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公告-Notice" sheetId="1" r:id="rId4"/>
    <sheet state="visible" name="SLG事件-Simulation" sheetId="2" r:id="rId5"/>
    <sheet state="visible" name="RPG事件-Combat" sheetId="3" r:id="rId6"/>
    <sheet state="visible" name="提示-Tips" sheetId="4" r:id="rId7"/>
    <sheet state="visible" name="地圖-Map" sheetId="5" r:id="rId8"/>
    <sheet state="visible" name="野外掉落-Drops" sheetId="6" r:id="rId9"/>
    <sheet state="visible" name="武器-Weap" sheetId="7" r:id="rId10"/>
    <sheet state="visible" name="裝甲-Gears" sheetId="8" r:id="rId11"/>
    <sheet state="visible" name="道具-Items" sheetId="9" r:id="rId12"/>
    <sheet state="visible" name="料理-Dish" sheetId="10" r:id="rId13"/>
    <sheet state="visible" name="狀態-Status" sheetId="11" r:id="rId14"/>
    <sheet state="hidden" name="影音-Video" sheetId="12" r:id="rId15"/>
    <sheet state="visible" name="手機存檔-MobileArchive" sheetId="13" r:id="rId16"/>
    <sheet state="visible" name="獨立顯卡-dGPU"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4">
      <text>
        <t xml:space="preserve">human translation</t>
      </text>
    </comment>
    <comment authorId="0" ref="D15">
      <text>
        <t xml:space="preserve">human translation</t>
      </text>
    </comment>
    <comment authorId="0" ref="D73">
      <text>
        <t xml:space="preserve">human translation</t>
      </text>
    </comment>
    <comment authorId="0" ref="B90">
      <text>
        <t xml:space="preserve">human translation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Y1">
      <text>
        <t xml:space="preserve">Human Translation
</t>
      </text>
    </comment>
    <comment authorId="0" ref="R3">
      <text>
        <t xml:space="preserve">Human translation 
</t>
      </text>
    </comment>
    <comment authorId="0" ref="S3">
      <text>
        <t xml:space="preserve">Human translation
</t>
      </text>
    </comment>
    <comment authorId="0" ref="J5">
      <text>
        <t xml:space="preserve">Human translation</t>
      </text>
    </comment>
    <comment authorId="0" ref="V5">
      <text>
        <t xml:space="preserve">Human Translator
</t>
      </text>
    </comment>
    <comment authorId="0" ref="Z5">
      <text>
        <t xml:space="preserve">Human Translation
</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
</t>
      </text>
    </comment>
    <comment authorId="0" ref="P6">
      <text>
        <t xml:space="preserve">human translation</t>
      </text>
    </comment>
    <comment authorId="0" ref="V6">
      <text>
        <t xml:space="preserve">Human Translator</t>
      </text>
    </comment>
    <comment authorId="0" ref="W6">
      <text>
        <t xml:space="preserve">Human translator</t>
      </text>
    </comment>
    <comment authorId="0" ref="X6">
      <text>
        <t xml:space="preserve">Human translator</t>
      </text>
    </comment>
    <comment authorId="0" ref="Z6">
      <text>
        <t xml:space="preserve">Human Translation
</t>
      </text>
    </comment>
    <comment authorId="0" ref="G7">
      <text>
        <t xml:space="preserve">Human Translator</t>
      </text>
    </comment>
    <comment authorId="0" ref="H7">
      <text>
        <t xml:space="preserve">Human Translator</t>
      </text>
    </comment>
    <comment authorId="0" ref="W7">
      <text>
        <t xml:space="preserve">Human Translator</t>
      </text>
    </comment>
    <comment authorId="0" ref="X7">
      <text>
        <t xml:space="preserve">Human Translator</t>
      </text>
    </comment>
    <comment authorId="0" ref="G8">
      <text>
        <t xml:space="preserve">Human Translator</t>
      </text>
    </comment>
    <comment authorId="0" ref="H8">
      <text>
        <t xml:space="preserve">Human Translator</t>
      </text>
    </comment>
    <comment authorId="0" ref="W8">
      <text>
        <t xml:space="preserve">Human Translator</t>
      </text>
    </comment>
    <comment authorId="0" ref="X8">
      <text>
        <t xml:space="preserve">Human translator</t>
      </text>
    </comment>
    <comment authorId="0" ref="G9">
      <text>
        <t xml:space="preserve">Human Translator</t>
      </text>
    </comment>
    <comment authorId="0" ref="H9">
      <text>
        <t xml:space="preserve">Human Translator</t>
      </text>
    </comment>
    <comment authorId="0" ref="W9">
      <text>
        <t xml:space="preserve">Human Translator</t>
      </text>
    </comment>
    <comment authorId="0" ref="X9">
      <text>
        <t xml:space="preserve">Human Translator</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S10">
      <text>
        <t xml:space="preserve">Human Translation</t>
      </text>
    </comment>
    <comment authorId="0" ref="V10">
      <text>
        <t xml:space="preserve">Human Translator</t>
      </text>
    </comment>
    <comment authorId="0" ref="W10">
      <text>
        <t xml:space="preserve">Human Translator</t>
      </text>
    </comment>
    <comment authorId="0" ref="X10">
      <text>
        <t xml:space="preserve">Human Translator</t>
      </text>
    </comment>
    <comment authorId="0" ref="Z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O11">
      <text>
        <t xml:space="preserve">Human Translation</t>
      </text>
    </comment>
    <comment authorId="0" ref="V11">
      <text>
        <t xml:space="preserve">Human Translator</t>
      </text>
    </comment>
    <comment authorId="0" ref="W11">
      <text>
        <t xml:space="preserve">Human Translator</t>
      </text>
    </comment>
    <comment authorId="0" ref="X11">
      <text>
        <t xml:space="preserve">Human Translator</t>
      </text>
    </comment>
    <comment authorId="0" ref="Z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P12">
      <text>
        <t xml:space="preserve">Human Translation</t>
      </text>
    </comment>
    <comment authorId="0" ref="S12">
      <text>
        <t xml:space="preserve">Human Translation</t>
      </text>
    </comment>
    <comment authorId="0" ref="V12">
      <text>
        <t xml:space="preserve">Human Translator</t>
      </text>
    </comment>
    <comment authorId="0" ref="W12">
      <text>
        <t xml:space="preserve">Human Translator</t>
      </text>
    </comment>
    <comment authorId="0" ref="X12">
      <text>
        <t xml:space="preserve">Human Translator</t>
      </text>
    </comment>
    <comment authorId="0" ref="Z12">
      <text>
        <t xml:space="preserve">Human Translation</t>
      </text>
    </comment>
    <comment authorId="0" ref="Z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O14">
      <text>
        <t xml:space="preserve">Human Translation</t>
      </text>
    </comment>
    <comment authorId="0" ref="V14">
      <text>
        <t xml:space="preserve">Human Translator</t>
      </text>
    </comment>
    <comment authorId="0" ref="W14">
      <text>
        <t xml:space="preserve">Human Translator</t>
      </text>
    </comment>
    <comment authorId="0" ref="X14">
      <text>
        <t xml:space="preserve">Human Translator</t>
      </text>
    </comment>
    <comment authorId="0" ref="Z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O15">
      <text>
        <t xml:space="preserve">Human Translation</t>
      </text>
    </comment>
    <comment authorId="0" ref="P15">
      <text>
        <t xml:space="preserve">Human Translation</t>
      </text>
    </comment>
    <comment authorId="0" ref="V15">
      <text>
        <t xml:space="preserve">Human Translator</t>
      </text>
    </comment>
    <comment authorId="0" ref="W15">
      <text>
        <t xml:space="preserve">Human Translator</t>
      </text>
    </comment>
    <comment authorId="0" ref="X15">
      <text>
        <t xml:space="preserve">Human Translator</t>
      </text>
    </comment>
    <comment authorId="0" ref="Z15">
      <text>
        <t xml:space="preserve">Human Translation</t>
      </text>
    </comment>
    <comment authorId="0" ref="F16">
      <text>
        <t xml:space="preserve">Human Translator
</t>
      </text>
    </comment>
    <comment authorId="0" ref="G16">
      <text>
        <t xml:space="preserve">Human Translator
</t>
      </text>
    </comment>
    <comment authorId="0" ref="H16">
      <text>
        <t xml:space="preserve">Human Translator
</t>
      </text>
    </comment>
    <comment authorId="0" ref="J16">
      <text>
        <t xml:space="preserve">Human translation</t>
      </text>
    </comment>
    <comment authorId="0" ref="F17">
      <text>
        <t xml:space="preserve">Human Translator
</t>
      </text>
    </comment>
    <comment authorId="0" ref="G17">
      <text>
        <t xml:space="preserve">Human Translator
</t>
      </text>
    </comment>
    <comment authorId="0" ref="H17">
      <text>
        <t xml:space="preserve">Human Translator
</t>
      </text>
    </comment>
    <comment authorId="0" ref="J17">
      <text>
        <t xml:space="preserve">Human translation</t>
      </text>
    </comment>
    <comment authorId="0" ref="R17">
      <text>
        <t xml:space="preserve">Human translation</t>
      </text>
    </comment>
    <comment authorId="0" ref="Z17">
      <text>
        <t xml:space="preserve">Human Translation</t>
      </text>
    </comment>
    <comment authorId="0" ref="F18">
      <text>
        <t xml:space="preserve">Human Translator
</t>
      </text>
    </comment>
    <comment authorId="0" ref="G18">
      <text>
        <t xml:space="preserve">Human Translator
</t>
      </text>
    </comment>
    <comment authorId="0" ref="H18">
      <text>
        <t xml:space="preserve">Human Translator
</t>
      </text>
    </comment>
    <comment authorId="0" ref="J18">
      <text>
        <t xml:space="preserve">Human translation</t>
      </text>
    </comment>
    <comment authorId="0" ref="R18">
      <text>
        <t xml:space="preserve">Human translation</t>
      </text>
    </comment>
    <comment authorId="0" ref="Z18">
      <text>
        <t xml:space="preserve">Human Translation
</t>
      </text>
    </comment>
    <comment authorId="0" ref="F19">
      <text>
        <t xml:space="preserve">Human Translator
</t>
      </text>
    </comment>
    <comment authorId="0" ref="G19">
      <text>
        <t xml:space="preserve">Human Translator
</t>
      </text>
    </comment>
    <comment authorId="0" ref="H19">
      <text>
        <t xml:space="preserve">Human Translator
</t>
      </text>
    </comment>
    <comment authorId="0" ref="J19">
      <text>
        <t xml:space="preserve">Human translation</t>
      </text>
    </comment>
    <comment authorId="0" ref="R19">
      <text>
        <t xml:space="preserve">Human translation</t>
      </text>
    </comment>
    <comment authorId="0" ref="Z19">
      <text>
        <t xml:space="preserve">Human Translation</t>
      </text>
    </comment>
    <comment authorId="0" ref="F20">
      <text>
        <t xml:space="preserve">Human Translator</t>
      </text>
    </comment>
    <comment authorId="0" ref="G20">
      <text>
        <t xml:space="preserve">Human Translator</t>
      </text>
    </comment>
    <comment authorId="0" ref="H20">
      <text>
        <t xml:space="preserve">Human Translator</t>
      </text>
    </comment>
    <comment authorId="0" ref="J20">
      <text>
        <t xml:space="preserve">Human translation</t>
      </text>
    </comment>
    <comment authorId="0" ref="Z20">
      <text>
        <t xml:space="preserve">Human Translation</t>
      </text>
    </comment>
    <comment authorId="0" ref="F21">
      <text>
        <t xml:space="preserve">Human Translator</t>
      </text>
    </comment>
    <comment authorId="0" ref="G21">
      <text>
        <t xml:space="preserve">Human Translator</t>
      </text>
    </comment>
    <comment authorId="0" ref="H21">
      <text>
        <t xml:space="preserve">Human Translator</t>
      </text>
    </comment>
    <comment authorId="0" ref="J21">
      <text>
        <t xml:space="preserve">Human Translation</t>
      </text>
    </comment>
    <comment authorId="0" ref="P21">
      <text>
        <t xml:space="preserve">Human Translation</t>
      </text>
    </comment>
    <comment authorId="0" ref="V21">
      <text>
        <t xml:space="preserve">Human Translator</t>
      </text>
    </comment>
    <comment authorId="0" ref="W21">
      <text>
        <t xml:space="preserve">Human Translator</t>
      </text>
    </comment>
    <comment authorId="0" ref="X21">
      <text>
        <t xml:space="preserve">Human Translator</t>
      </text>
    </comment>
    <comment authorId="0" ref="Z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P22">
      <text>
        <t xml:space="preserve">Human Translation</t>
      </text>
    </comment>
    <comment authorId="0" ref="V22">
      <text>
        <t xml:space="preserve">Human Translator
</t>
      </text>
    </comment>
    <comment authorId="0" ref="W22">
      <text>
        <t xml:space="preserve">Human Translator</t>
      </text>
    </comment>
    <comment authorId="0" ref="X22">
      <text>
        <t xml:space="preserve">Human Translator</t>
      </text>
    </comment>
    <comment authorId="0" ref="Z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V23">
      <text>
        <t xml:space="preserve">Human Translator
</t>
      </text>
    </comment>
    <comment authorId="0" ref="W23">
      <text>
        <t xml:space="preserve">Human Translator
</t>
      </text>
    </comment>
    <comment authorId="0" ref="X23">
      <text>
        <t xml:space="preserve">Human Translator
</t>
      </text>
    </comment>
    <comment authorId="0" ref="Z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V24">
      <text>
        <t xml:space="preserve">Human Translator
</t>
      </text>
    </comment>
    <comment authorId="0" ref="W24">
      <text>
        <t xml:space="preserve">Human Translator
</t>
      </text>
    </comment>
    <comment authorId="0" ref="X24">
      <text>
        <t xml:space="preserve">Human Translator</t>
      </text>
    </comment>
    <comment authorId="0" ref="Z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P25">
      <text>
        <t xml:space="preserve">Human Translation</t>
      </text>
    </comment>
    <comment authorId="0" ref="V25">
      <text>
        <t xml:space="preserve">Human Translator
</t>
      </text>
    </comment>
    <comment authorId="0" ref="W25">
      <text>
        <t xml:space="preserve">Human Translator</t>
      </text>
    </comment>
    <comment authorId="0" ref="X25">
      <text>
        <t xml:space="preserve">Human Translator
</t>
      </text>
    </comment>
    <comment authorId="0" ref="Z25">
      <text>
        <t xml:space="preserve">Human Translation</t>
      </text>
    </comment>
    <comment authorId="0" ref="F26">
      <text>
        <t xml:space="preserve">Human Translator</t>
      </text>
    </comment>
    <comment authorId="0" ref="G26">
      <text>
        <t xml:space="preserve">Human Translator</t>
      </text>
    </comment>
    <comment authorId="0" ref="H26">
      <text>
        <t xml:space="preserve">Human Translator</t>
      </text>
    </comment>
    <comment authorId="0" ref="J26">
      <text>
        <t xml:space="preserve">Human Translation</t>
      </text>
    </comment>
    <comment authorId="0" ref="V26">
      <text>
        <t xml:space="preserve">Human Translator</t>
      </text>
    </comment>
    <comment authorId="0" ref="W26">
      <text>
        <t xml:space="preserve">Human Translator</t>
      </text>
    </comment>
    <comment authorId="0" ref="X26">
      <text>
        <t xml:space="preserve">Human Translator</t>
      </text>
    </comment>
    <comment authorId="0" ref="Z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Z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Z28">
      <text>
        <t xml:space="preserve">Human Translation
</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Z29">
      <text>
        <t xml:space="preserve">Human Translation
</t>
      </text>
    </comment>
    <comment authorId="0" ref="F30">
      <text>
        <t xml:space="preserve">Human Translator
</t>
      </text>
    </comment>
    <comment authorId="0" ref="G30">
      <text>
        <t xml:space="preserve">Human Translator
</t>
      </text>
    </comment>
    <comment authorId="0" ref="H30">
      <text>
        <t xml:space="preserve">Human Translator
</t>
      </text>
    </comment>
    <comment authorId="0" ref="J30">
      <text>
        <t xml:space="preserve">Human translation</t>
      </text>
    </comment>
    <comment authorId="0" ref="R30">
      <text>
        <t xml:space="preserve">Human translation</t>
      </text>
    </comment>
    <comment authorId="0" ref="V30">
      <text>
        <t xml:space="preserve">Human Translator</t>
      </text>
    </comment>
    <comment authorId="0" ref="W30">
      <text>
        <t xml:space="preserve">Human Translator</t>
      </text>
    </comment>
    <comment authorId="0" ref="X30">
      <text>
        <t xml:space="preserve">Human Translator</t>
      </text>
    </comment>
    <comment authorId="0" ref="Z30">
      <text>
        <t xml:space="preserve">Human Translation</t>
      </text>
    </comment>
    <comment authorId="0" ref="G31">
      <text>
        <t xml:space="preserve">Human Translator
</t>
      </text>
    </comment>
    <comment authorId="0" ref="J31">
      <text>
        <t xml:space="preserve">Human Translation</t>
      </text>
    </comment>
    <comment authorId="0" ref="F32">
      <text>
        <t xml:space="preserve">Human Translator</t>
      </text>
    </comment>
    <comment authorId="0" ref="G32">
      <text>
        <t xml:space="preserve">Human Translator</t>
      </text>
    </comment>
    <comment authorId="0" ref="H32">
      <text>
        <t xml:space="preserve">Human Translator</t>
      </text>
    </comment>
    <comment authorId="0" ref="J32">
      <text>
        <t xml:space="preserve">Human Translation</t>
      </text>
    </comment>
    <comment authorId="0" ref="J34">
      <text>
        <t xml:space="preserve">Human Translation</t>
      </text>
    </comment>
    <comment authorId="0" ref="V34">
      <text>
        <t xml:space="preserve">Human Translator
</t>
      </text>
    </comment>
    <comment authorId="0" ref="Z34">
      <text>
        <t xml:space="preserve">Human Translation
</t>
      </text>
    </comment>
    <comment authorId="0" ref="F35">
      <text>
        <t xml:space="preserve">Human Translator</t>
      </text>
    </comment>
    <comment authorId="0" ref="G35">
      <text>
        <t xml:space="preserve">Human Translator</t>
      </text>
    </comment>
    <comment authorId="0" ref="H35">
      <text>
        <t xml:space="preserve">Human Translator</t>
      </text>
    </comment>
    <comment authorId="0" ref="J35">
      <text>
        <t xml:space="preserve">Human Translation</t>
      </text>
    </comment>
    <comment authorId="0" ref="P35">
      <text>
        <t xml:space="preserve">Human Translation</t>
      </text>
    </comment>
    <comment authorId="0" ref="V35">
      <text>
        <t xml:space="preserve">Human Translator
</t>
      </text>
    </comment>
    <comment authorId="0" ref="W35">
      <text>
        <t xml:space="preserve">Human Translator</t>
      </text>
    </comment>
    <comment authorId="0" ref="X35">
      <text>
        <t xml:space="preserve">Human Translator
</t>
      </text>
    </comment>
    <comment authorId="0" ref="Z35">
      <text>
        <t xml:space="preserve">Human Translation</t>
      </text>
    </comment>
    <comment authorId="0" ref="F36">
      <text>
        <t xml:space="preserve">Human Translator
</t>
      </text>
    </comment>
    <comment authorId="0" ref="G36">
      <text>
        <t xml:space="preserve">Human Translator
</t>
      </text>
    </comment>
    <comment authorId="0" ref="H36">
      <text>
        <t xml:space="preserve">Human Translator
</t>
      </text>
    </comment>
    <comment authorId="0" ref="J36">
      <text>
        <t xml:space="preserve">Human translation</t>
      </text>
    </comment>
    <comment authorId="0" ref="R36">
      <text>
        <t xml:space="preserve">Human translation</t>
      </text>
    </comment>
    <comment authorId="0" ref="V36">
      <text>
        <t xml:space="preserve">Human Translator</t>
      </text>
    </comment>
    <comment authorId="0" ref="W36">
      <text>
        <t xml:space="preserve">Human Translator</t>
      </text>
    </comment>
    <comment authorId="0" ref="X36">
      <text>
        <t xml:space="preserve">Human Translator</t>
      </text>
    </comment>
    <comment authorId="0" ref="Z36">
      <text>
        <t xml:space="preserve">Human Translation
</t>
      </text>
    </comment>
    <comment authorId="0" ref="F37">
      <text>
        <t xml:space="preserve">Human Translator
</t>
      </text>
    </comment>
    <comment authorId="0" ref="G37">
      <text>
        <t xml:space="preserve">Human Translator
</t>
      </text>
    </comment>
    <comment authorId="0" ref="H37">
      <text>
        <t xml:space="preserve">Human Translator
</t>
      </text>
    </comment>
    <comment authorId="0" ref="J37">
      <text>
        <t xml:space="preserve">Human translation</t>
      </text>
    </comment>
    <comment authorId="0" ref="R37">
      <text>
        <t xml:space="preserve">Human translation</t>
      </text>
    </comment>
    <comment authorId="0" ref="V37">
      <text>
        <t xml:space="preserve">Human Translator</t>
      </text>
    </comment>
    <comment authorId="0" ref="W37">
      <text>
        <t xml:space="preserve">Human Translator</t>
      </text>
    </comment>
    <comment authorId="0" ref="X37">
      <text>
        <t xml:space="preserve">Human Translator</t>
      </text>
    </comment>
    <comment authorId="0" ref="F38">
      <text>
        <t xml:space="preserve">Human Translator
</t>
      </text>
    </comment>
    <comment authorId="0" ref="G38">
      <text>
        <t xml:space="preserve">Human Translator
</t>
      </text>
    </comment>
    <comment authorId="0" ref="H38">
      <text>
        <t xml:space="preserve">Human Translator
</t>
      </text>
    </comment>
    <comment authorId="0" ref="J38">
      <text>
        <t xml:space="preserve">Human translation</t>
      </text>
    </comment>
    <comment authorId="0" ref="R38">
      <text>
        <t xml:space="preserve">Human translation</t>
      </text>
    </comment>
    <comment authorId="0" ref="V38">
      <text>
        <t xml:space="preserve">Human Translator</t>
      </text>
    </comment>
    <comment authorId="0" ref="W38">
      <text>
        <t xml:space="preserve">Human Translator</t>
      </text>
    </comment>
    <comment authorId="0" ref="X38">
      <text>
        <t xml:space="preserve">Human Translator</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W39">
      <text>
        <t xml:space="preserve">Human Translator</t>
      </text>
    </comment>
    <comment authorId="0" ref="X39">
      <text>
        <t xml:space="preserve">Human Translator</t>
      </text>
    </comment>
    <comment authorId="0" ref="Z39">
      <text>
        <t xml:space="preserve">Human Translation</t>
      </text>
    </comment>
    <comment authorId="0" ref="F40">
      <text>
        <t xml:space="preserve">Human Translator</t>
      </text>
    </comment>
    <comment authorId="0" ref="G40">
      <text>
        <t xml:space="preserve">Human Translator</t>
      </text>
    </comment>
    <comment authorId="0" ref="H40">
      <text>
        <t xml:space="preserve">Human Translator</t>
      </text>
    </comment>
    <comment authorId="0" ref="J40">
      <text>
        <t xml:space="preserve">Human Translation</t>
      </text>
    </comment>
    <comment authorId="0" ref="W40">
      <text>
        <t xml:space="preserve">Human Translator</t>
      </text>
    </comment>
    <comment authorId="0" ref="X40">
      <text>
        <t xml:space="preserve">Human Translator</t>
      </text>
    </comment>
    <comment authorId="0" ref="Z40">
      <text>
        <t xml:space="preserve">Human Translation</t>
      </text>
    </comment>
    <comment authorId="0" ref="F41">
      <text>
        <t xml:space="preserve">Human Translator</t>
      </text>
    </comment>
    <comment authorId="0" ref="G41">
      <text>
        <t xml:space="preserve">Human Translator</t>
      </text>
    </comment>
    <comment authorId="0" ref="H41">
      <text>
        <t xml:space="preserve">Human Translator</t>
      </text>
    </comment>
    <comment authorId="0" ref="J41">
      <text>
        <t xml:space="preserve">Human Translation</t>
      </text>
    </comment>
    <comment authorId="0" ref="V41">
      <text>
        <t xml:space="preserve">Human Translator</t>
      </text>
    </comment>
    <comment authorId="0" ref="W41">
      <text>
        <t xml:space="preserve">Human Translator</t>
      </text>
    </comment>
    <comment authorId="0" ref="F42">
      <text>
        <t xml:space="preserve">Human Translator
</t>
      </text>
    </comment>
    <comment authorId="0" ref="G42">
      <text>
        <t xml:space="preserve">Human Translator
</t>
      </text>
    </comment>
    <comment authorId="0" ref="H42">
      <text>
        <t xml:space="preserve">Human Translator
</t>
      </text>
    </comment>
    <comment authorId="0" ref="J42">
      <text>
        <t xml:space="preserve">Human translation</t>
      </text>
    </comment>
    <comment authorId="0" ref="R42">
      <text>
        <t xml:space="preserve">Human translation</t>
      </text>
    </comment>
    <comment authorId="0" ref="V42">
      <text>
        <t xml:space="preserve">Human Translator</t>
      </text>
    </comment>
    <comment authorId="0" ref="W42">
      <text>
        <t xml:space="preserve">Human Translator</t>
      </text>
    </comment>
    <comment authorId="0" ref="X42">
      <text>
        <t xml:space="preserve">Human Translator</t>
      </text>
    </comment>
    <comment authorId="0" ref="F43">
      <text>
        <t xml:space="preserve">Human Translator
</t>
      </text>
    </comment>
    <comment authorId="0" ref="G43">
      <text>
        <t xml:space="preserve">Human Translator
</t>
      </text>
    </comment>
    <comment authorId="0" ref="H43">
      <text>
        <t xml:space="preserve">Human Translator
</t>
      </text>
    </comment>
    <comment authorId="0" ref="J43">
      <text>
        <t xml:space="preserve">Human translation</t>
      </text>
    </comment>
    <comment authorId="0" ref="R43">
      <text>
        <t xml:space="preserve">Human translation</t>
      </text>
    </comment>
    <comment authorId="0" ref="V43">
      <text>
        <t xml:space="preserve">Human Translator</t>
      </text>
    </comment>
    <comment authorId="0" ref="W43">
      <text>
        <t xml:space="preserve">Human Translator</t>
      </text>
    </comment>
    <comment authorId="0" ref="X43">
      <text>
        <t xml:space="preserve">Human Translator</t>
      </text>
    </comment>
    <comment authorId="0" ref="F44">
      <text>
        <t xml:space="preserve">Human Translator
</t>
      </text>
    </comment>
    <comment authorId="0" ref="G44">
      <text>
        <t xml:space="preserve">Human Translator
</t>
      </text>
    </comment>
    <comment authorId="0" ref="H44">
      <text>
        <t xml:space="preserve">Human Translator
</t>
      </text>
    </comment>
    <comment authorId="0" ref="J44">
      <text>
        <t xml:space="preserve">Human translation</t>
      </text>
    </comment>
    <comment authorId="0" ref="R44">
      <text>
        <t xml:space="preserve">Human translation</t>
      </text>
    </comment>
    <comment authorId="0" ref="V44">
      <text>
        <t xml:space="preserve">Human Translator</t>
      </text>
    </comment>
    <comment authorId="0" ref="W44">
      <text>
        <t xml:space="preserve">Human Translator</t>
      </text>
    </comment>
    <comment authorId="0" ref="X44">
      <text>
        <t xml:space="preserve">Human Translator</t>
      </text>
    </comment>
    <comment authorId="0" ref="F45">
      <text>
        <t xml:space="preserve">Human Translator
</t>
      </text>
    </comment>
    <comment authorId="0" ref="G45">
      <text>
        <t xml:space="preserve">Human Translator
</t>
      </text>
    </comment>
    <comment authorId="0" ref="H45">
      <text>
        <t xml:space="preserve">Human Translator
</t>
      </text>
    </comment>
    <comment authorId="0" ref="J45">
      <text>
        <t xml:space="preserve">Human translation</t>
      </text>
    </comment>
    <comment authorId="0" ref="R45">
      <text>
        <t xml:space="preserve">Human translation</t>
      </text>
    </comment>
    <comment authorId="0" ref="V45">
      <text>
        <t xml:space="preserve">Human Translator</t>
      </text>
    </comment>
    <comment authorId="0" ref="W45">
      <text>
        <t xml:space="preserve">Human Translator</t>
      </text>
    </comment>
    <comment authorId="0" ref="X45">
      <text>
        <t xml:space="preserve">Human Translator</t>
      </text>
    </comment>
    <comment authorId="0" ref="F46">
      <text>
        <t xml:space="preserve">Human Translator
</t>
      </text>
    </comment>
    <comment authorId="0" ref="G46">
      <text>
        <t xml:space="preserve">Human Translator
</t>
      </text>
    </comment>
    <comment authorId="0" ref="H46">
      <text>
        <t xml:space="preserve">Human Translator
</t>
      </text>
    </comment>
    <comment authorId="0" ref="J46">
      <text>
        <t xml:space="preserve">Human translation</t>
      </text>
    </comment>
    <comment authorId="0" ref="R46">
      <text>
        <t xml:space="preserve">Human translation</t>
      </text>
    </comment>
    <comment authorId="0" ref="V46">
      <text>
        <t xml:space="preserve">Human Translator</t>
      </text>
    </comment>
    <comment authorId="0" ref="W46">
      <text>
        <t xml:space="preserve">Human Translator</t>
      </text>
    </comment>
    <comment authorId="0" ref="X46">
      <text>
        <t xml:space="preserve">Human Translator</t>
      </text>
    </comment>
    <comment authorId="0" ref="F47">
      <text>
        <t xml:space="preserve">Human Translator
</t>
      </text>
    </comment>
    <comment authorId="0" ref="G47">
      <text>
        <t xml:space="preserve">Human Translator
</t>
      </text>
    </comment>
    <comment authorId="0" ref="H47">
      <text>
        <t xml:space="preserve">Human Translator
</t>
      </text>
    </comment>
    <comment authorId="0" ref="J47">
      <text>
        <t xml:space="preserve">Human translation</t>
      </text>
    </comment>
    <comment authorId="0" ref="R47">
      <text>
        <t xml:space="preserve">Human translation</t>
      </text>
    </comment>
    <comment authorId="0" ref="V47">
      <text>
        <t xml:space="preserve">Human Translator</t>
      </text>
    </comment>
    <comment authorId="0" ref="W47">
      <text>
        <t xml:space="preserve">Human Translator</t>
      </text>
    </comment>
    <comment authorId="0" ref="J49">
      <text>
        <t xml:space="preserve">Human translation</t>
      </text>
    </comment>
    <comment authorId="0" ref="V49">
      <text>
        <t xml:space="preserve">Human Translator
</t>
      </text>
    </comment>
    <comment authorId="0" ref="Z49">
      <text>
        <t xml:space="preserve">Human Translation
</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Z50">
      <text>
        <t xml:space="preserve">Human Translation</t>
      </text>
    </comment>
    <comment authorId="0" ref="F51">
      <text>
        <t xml:space="preserve">Human Translator
</t>
      </text>
    </comment>
    <comment authorId="0" ref="G51">
      <text>
        <t xml:space="preserve">Human Translator
</t>
      </text>
    </comment>
    <comment authorId="0" ref="H51">
      <text>
        <t xml:space="preserve">Human Translator
</t>
      </text>
    </comment>
    <comment authorId="0" ref="J51">
      <text>
        <t xml:space="preserve">Human translation</t>
      </text>
    </comment>
    <comment authorId="0" ref="R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R52">
      <text>
        <t xml:space="preserve">Traducción humana
</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R53">
      <text>
        <t xml:space="preserve">Traducción humana
</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R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F57">
      <text>
        <t xml:space="preserve">Human Translator
</t>
      </text>
    </comment>
    <comment authorId="0" ref="G57">
      <text>
        <t xml:space="preserve">Human Translator
</t>
      </text>
    </comment>
    <comment authorId="0" ref="H57">
      <text>
        <t xml:space="preserve">Human Translator
</t>
      </text>
    </comment>
    <comment authorId="0" ref="J57">
      <text>
        <t xml:space="preserve">Human translation</t>
      </text>
    </comment>
    <comment authorId="0" ref="R57">
      <text>
        <t xml:space="preserve">Human translation</t>
      </text>
    </comment>
    <comment authorId="0" ref="F58">
      <text>
        <t xml:space="preserve">Human Translator
</t>
      </text>
    </comment>
    <comment authorId="0" ref="G58">
      <text>
        <t xml:space="preserve">Human Translator
</t>
      </text>
    </comment>
    <comment authorId="0" ref="H58">
      <text>
        <t xml:space="preserve">Human Translator
</t>
      </text>
    </comment>
    <comment authorId="0" ref="J58">
      <text>
        <t xml:space="preserve">Human translation</t>
      </text>
    </comment>
    <comment authorId="0" ref="R58">
      <text>
        <t xml:space="preserve">Human translation</t>
      </text>
    </comment>
    <comment authorId="0" ref="F59">
      <text>
        <t xml:space="preserve">Human Translator
</t>
      </text>
    </comment>
    <comment authorId="0" ref="G59">
      <text>
        <t xml:space="preserve">Human Translator
</t>
      </text>
    </comment>
    <comment authorId="0" ref="H59">
      <text>
        <t xml:space="preserve">Human Translator
</t>
      </text>
    </comment>
    <comment authorId="0" ref="J59">
      <text>
        <t xml:space="preserve">Human translation</t>
      </text>
    </comment>
    <comment authorId="0" ref="R59">
      <text>
        <t xml:space="preserve">Human translation</t>
      </text>
    </comment>
    <comment authorId="0" ref="F60">
      <text>
        <t xml:space="preserve">Human Translator
</t>
      </text>
    </comment>
    <comment authorId="0" ref="J60">
      <text>
        <t xml:space="preserve">Human translation</t>
      </text>
    </comment>
    <comment authorId="0" ref="R60">
      <text>
        <t xml:space="preserve">Human translation</t>
      </text>
    </comment>
    <comment authorId="0" ref="F61">
      <text>
        <t xml:space="preserve">Human Translator</t>
      </text>
    </comment>
    <comment authorId="0" ref="G61">
      <text>
        <t xml:space="preserve">Human Translator</t>
      </text>
    </comment>
    <comment authorId="0" ref="H61">
      <text>
        <t xml:space="preserve">Human Translator</t>
      </text>
    </comment>
    <comment authorId="0" ref="J61">
      <text>
        <t xml:space="preserve">Human translation</t>
      </text>
    </comment>
    <comment authorId="0" ref="F62">
      <text>
        <t xml:space="preserve">Human Translator</t>
      </text>
    </comment>
    <comment authorId="0" ref="G62">
      <text>
        <t xml:space="preserve">Human Translator</t>
      </text>
    </comment>
    <comment authorId="0" ref="H62">
      <text>
        <t xml:space="preserve">Human Translator</t>
      </text>
    </comment>
    <comment authorId="0" ref="J62">
      <text>
        <t xml:space="preserve">Human Translation</t>
      </text>
    </comment>
    <comment authorId="0" ref="R62">
      <text>
        <t xml:space="preserve">Traducción humana</t>
      </text>
    </comment>
    <comment authorId="0" ref="W62">
      <text>
        <t xml:space="preserve">Human Translator</t>
      </text>
    </comment>
    <comment authorId="0" ref="X62">
      <text>
        <t xml:space="preserve">Human Translator
</t>
      </text>
    </comment>
    <comment authorId="0" ref="Z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R63">
      <text>
        <t xml:space="preserve">Traducción humana</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R64">
      <text>
        <t xml:space="preserve">Traducción humana</t>
      </text>
    </comment>
    <comment authorId="0" ref="Z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Z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R67">
      <text>
        <t xml:space="preserve">Traducción humana
</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R68">
      <text>
        <t xml:space="preserve">Traducción humana
</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R69">
      <text>
        <t xml:space="preserve">Traduccion humana
</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O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R71">
      <text>
        <t xml:space="preserve">Traducción humana
</t>
      </text>
    </comment>
    <comment authorId="0" ref="Z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F75">
      <text>
        <t xml:space="preserve">Human Translator
</t>
      </text>
    </comment>
    <comment authorId="0" ref="G75">
      <text>
        <t xml:space="preserve">Human Translator
</t>
      </text>
    </comment>
    <comment authorId="0" ref="H75">
      <text>
        <t xml:space="preserve">Human Translator
</t>
      </text>
    </comment>
    <comment authorId="0" ref="J75">
      <text>
        <t xml:space="preserve">Human translation</t>
      </text>
    </comment>
    <comment authorId="0" ref="F76">
      <text>
        <t xml:space="preserve">Human Translator
</t>
      </text>
    </comment>
    <comment authorId="0" ref="G76">
      <text>
        <t xml:space="preserve">Human Translator
</t>
      </text>
    </comment>
    <comment authorId="0" ref="H76">
      <text>
        <t xml:space="preserve">Human Translator
</t>
      </text>
    </comment>
    <comment authorId="0" ref="J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J80">
      <text>
        <t xml:space="preserve">Human translation</t>
      </text>
    </comment>
    <comment authorId="0" ref="V80">
      <text>
        <t xml:space="preserve">Human Translator</t>
      </text>
    </comment>
    <comment authorId="0" ref="Z80">
      <text>
        <t xml:space="preserve">Human Translation
</t>
      </text>
    </comment>
    <comment authorId="0" ref="F81">
      <text>
        <t xml:space="preserve">Human Translator</t>
      </text>
    </comment>
    <comment authorId="0" ref="G81">
      <text>
        <t xml:space="preserve">Human Translator</t>
      </text>
    </comment>
    <comment authorId="0" ref="H81">
      <text>
        <t xml:space="preserve">Human Translator</t>
      </text>
    </comment>
    <comment authorId="0" ref="J81">
      <text>
        <t xml:space="preserve">Human Translation</t>
      </text>
    </comment>
    <comment authorId="0" ref="V81">
      <text>
        <t xml:space="preserve">Human Translator</t>
      </text>
    </comment>
    <comment authorId="0" ref="W81">
      <text>
        <t xml:space="preserve">Human Translator</t>
      </text>
    </comment>
    <comment authorId="0" ref="X81">
      <text>
        <t xml:space="preserve">Human Translator</t>
      </text>
    </comment>
    <comment authorId="0" ref="Z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P82">
      <text>
        <t xml:space="preserve">Human Translation</t>
      </text>
    </comment>
    <comment authorId="0" ref="V82">
      <text>
        <t xml:space="preserve">Human Translator
</t>
      </text>
    </comment>
    <comment authorId="0" ref="W82">
      <text>
        <t xml:space="preserve">Human Translator</t>
      </text>
    </comment>
    <comment authorId="0" ref="X82">
      <text>
        <t xml:space="preserve">Human Translator</t>
      </text>
    </comment>
    <comment authorId="0" ref="Z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V83">
      <text>
        <t xml:space="preserve">Human Translator
</t>
      </text>
    </comment>
    <comment authorId="0" ref="W83">
      <text>
        <t xml:space="preserve">Human Translator
</t>
      </text>
    </comment>
    <comment authorId="0" ref="X83">
      <text>
        <t xml:space="preserve">Human Translator
</t>
      </text>
    </comment>
    <comment authorId="0" ref="Z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V84">
      <text>
        <t xml:space="preserve">Human Translator
</t>
      </text>
    </comment>
    <comment authorId="0" ref="W84">
      <text>
        <t xml:space="preserve">Human Translator
</t>
      </text>
    </comment>
    <comment authorId="0" ref="Z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Z85">
      <text>
        <t xml:space="preserve">Human Translation
</t>
      </text>
    </comment>
    <comment authorId="0" ref="J87">
      <text>
        <t xml:space="preserve">Human translation</t>
      </text>
    </comment>
    <comment authorId="0" ref="V87">
      <text>
        <t xml:space="preserve">Human Translator
</t>
      </text>
    </comment>
    <comment authorId="0" ref="Z87">
      <text>
        <t xml:space="preserve">Human Translation
</t>
      </text>
    </comment>
    <comment authorId="0" ref="F88">
      <text>
        <t xml:space="preserve">Human Translator</t>
      </text>
    </comment>
    <comment authorId="0" ref="G88">
      <text>
        <t xml:space="preserve">Human Translator</t>
      </text>
    </comment>
    <comment authorId="0" ref="H88">
      <text>
        <t xml:space="preserve">Human Translator</t>
      </text>
    </comment>
    <comment authorId="0" ref="J88">
      <text>
        <t xml:space="preserve">Human Translation</t>
      </text>
    </comment>
    <comment authorId="0" ref="Z88">
      <text>
        <t xml:space="preserve">Human Translation
</t>
      </text>
    </comment>
    <comment authorId="0" ref="G89">
      <text>
        <t xml:space="preserve">Human Translator</t>
      </text>
    </comment>
    <comment authorId="0" ref="H89">
      <text>
        <t xml:space="preserve">Human Translator</t>
      </text>
    </comment>
    <comment authorId="0" ref="J89">
      <text>
        <t xml:space="preserve">Human Translation</t>
      </text>
    </comment>
    <comment authorId="0" ref="Z89">
      <text>
        <t xml:space="preserve">Human Translation
</t>
      </text>
    </comment>
    <comment authorId="0" ref="G90">
      <text>
        <t xml:space="preserve">Human Translator</t>
      </text>
    </comment>
    <comment authorId="0" ref="H90">
      <text>
        <t xml:space="preserve">Human Translator</t>
      </text>
    </comment>
    <comment authorId="0" ref="J90">
      <text>
        <t xml:space="preserve">Human Translation</t>
      </text>
    </comment>
    <comment authorId="0" ref="Z90">
      <text>
        <t xml:space="preserve">Human Translation
</t>
      </text>
    </comment>
    <comment authorId="0" ref="F91">
      <text>
        <t xml:space="preserve">Human Translator</t>
      </text>
    </comment>
    <comment authorId="0" ref="G91">
      <text>
        <t xml:space="preserve">Human Translator</t>
      </text>
    </comment>
    <comment authorId="0" ref="H91">
      <text>
        <t xml:space="preserve">Human Translator</t>
      </text>
    </comment>
    <comment authorId="0" ref="J91">
      <text>
        <t xml:space="preserve">Human Translation</t>
      </text>
    </comment>
    <comment authorId="0" ref="F92">
      <text>
        <t xml:space="preserve">Human Translator</t>
      </text>
    </comment>
    <comment authorId="0" ref="G92">
      <text>
        <t xml:space="preserve">Human Translator</t>
      </text>
    </comment>
    <comment authorId="0" ref="H92">
      <text>
        <t xml:space="preserve">Human Translator</t>
      </text>
    </comment>
    <comment authorId="0" ref="J92">
      <text>
        <t xml:space="preserve">Human Translation</t>
      </text>
    </comment>
    <comment authorId="0" ref="F93">
      <text>
        <t xml:space="preserve">Human Translator</t>
      </text>
    </comment>
    <comment authorId="0" ref="G93">
      <text>
        <t xml:space="preserve">Human Translator</t>
      </text>
    </comment>
    <comment authorId="0" ref="H93">
      <text>
        <t xml:space="preserve">Human Translator</t>
      </text>
    </comment>
    <comment authorId="0" ref="J93">
      <text>
        <t xml:space="preserve">Human Translation</t>
      </text>
    </comment>
    <comment authorId="0" ref="F94">
      <text>
        <t xml:space="preserve">Human Translator</t>
      </text>
    </comment>
    <comment authorId="0" ref="G94">
      <text>
        <t xml:space="preserve">Human Translator</t>
      </text>
    </comment>
    <comment authorId="0" ref="H94">
      <text>
        <t xml:space="preserve">Human Translator</t>
      </text>
    </comment>
    <comment authorId="0" ref="J94">
      <text>
        <t xml:space="preserve">Human Translation</t>
      </text>
    </comment>
    <comment authorId="0" ref="F95">
      <text>
        <t xml:space="preserve">Human Translator</t>
      </text>
    </comment>
    <comment authorId="0" ref="G95">
      <text>
        <t xml:space="preserve">Human Translator</t>
      </text>
    </comment>
    <comment authorId="0" ref="H95">
      <text>
        <t xml:space="preserve">Human Translator</t>
      </text>
    </comment>
    <comment authorId="0" ref="J95">
      <text>
        <t xml:space="preserve">Human Translation</t>
      </text>
    </comment>
    <comment authorId="0" ref="J97">
      <text>
        <t xml:space="preserve">Human translation</t>
      </text>
    </comment>
    <comment authorId="0" ref="V97">
      <text>
        <t xml:space="preserve">Human Translator</t>
      </text>
    </comment>
    <comment authorId="0" ref="Z97">
      <text>
        <t xml:space="preserve">Human Translation
</t>
      </text>
    </comment>
    <comment authorId="0" ref="F98">
      <text>
        <t xml:space="preserve">Human Translator</t>
      </text>
    </comment>
    <comment authorId="0" ref="G98">
      <text>
        <t xml:space="preserve">Human Translator</t>
      </text>
    </comment>
    <comment authorId="0" ref="H98">
      <text>
        <t xml:space="preserve">Human Translator</t>
      </text>
    </comment>
    <comment authorId="0" ref="J98">
      <text>
        <t xml:space="preserve">Human Translation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I3">
      <text>
        <t xml:space="preserve">Human Translation</t>
      </text>
    </comment>
    <comment authorId="0" ref="F5">
      <text>
        <t xml:space="preserve">Human Translator</t>
      </text>
    </comment>
    <comment authorId="0" ref="G5">
      <text>
        <t xml:space="preserve">Human Translator</t>
      </text>
    </comment>
    <comment authorId="0" ref="H5">
      <text>
        <t xml:space="preserve">Human Translator</t>
      </text>
    </comment>
    <comment authorId="0" ref="J5">
      <text>
        <t xml:space="preserve">Human Translation</t>
      </text>
    </comment>
    <comment authorId="0" ref="F6">
      <text>
        <t xml:space="preserve">Human Translator</t>
      </text>
    </comment>
    <comment authorId="0" ref="G6">
      <text>
        <t xml:space="preserve">Human Translator</t>
      </text>
    </comment>
    <comment authorId="0" ref="H6">
      <text>
        <t xml:space="preserve">Human Translator</t>
      </text>
    </comment>
    <comment authorId="0" ref="J6">
      <text>
        <t xml:space="preserve">Human Translation</t>
      </text>
    </comment>
    <comment authorId="0" ref="O6">
      <text>
        <t xml:space="preserve">human translation</t>
      </text>
    </comment>
    <comment authorId="0" ref="F7">
      <text>
        <t xml:space="preserve">Human Translator</t>
      </text>
    </comment>
    <comment authorId="0" ref="G7">
      <text>
        <t xml:space="preserve">Human Translator</t>
      </text>
    </comment>
    <comment authorId="0" ref="H7">
      <text>
        <t xml:space="preserve">Human Translator</t>
      </text>
    </comment>
    <comment authorId="0" ref="J7">
      <text>
        <t xml:space="preserve">Human Translation</t>
      </text>
    </comment>
    <comment authorId="0" ref="J8">
      <text>
        <t xml:space="preserve">Human Translation</t>
      </text>
    </comment>
    <comment authorId="0" ref="S8">
      <text>
        <t xml:space="preserve">Human Translation</t>
      </text>
    </comment>
    <comment authorId="0" ref="F9">
      <text>
        <t xml:space="preserve">Human Translator</t>
      </text>
    </comment>
    <comment authorId="0" ref="G9">
      <text>
        <t xml:space="preserve">Human Translator</t>
      </text>
    </comment>
    <comment authorId="0" ref="J9">
      <text>
        <t xml:space="preserve">Human Translation</t>
      </text>
    </comment>
    <comment authorId="0" ref="O9">
      <text>
        <t xml:space="preserve">human translation</t>
      </text>
    </comment>
    <comment authorId="0" ref="F10">
      <text>
        <t xml:space="preserve">Human Translator</t>
      </text>
    </comment>
    <comment authorId="0" ref="G10">
      <text>
        <t xml:space="preserve">Human Translator</t>
      </text>
    </comment>
    <comment authorId="0" ref="H10">
      <text>
        <t xml:space="preserve">Human Translator</t>
      </text>
    </comment>
    <comment authorId="0" ref="J10">
      <text>
        <t xml:space="preserve">Human Translation</t>
      </text>
    </comment>
    <comment authorId="0" ref="F11">
      <text>
        <t xml:space="preserve">Human Translator</t>
      </text>
    </comment>
    <comment authorId="0" ref="G11">
      <text>
        <t xml:space="preserve">Human Translator</t>
      </text>
    </comment>
    <comment authorId="0" ref="H11">
      <text>
        <t xml:space="preserve">Human Translator</t>
      </text>
    </comment>
    <comment authorId="0" ref="J11">
      <text>
        <t xml:space="preserve">Human Translation</t>
      </text>
    </comment>
    <comment authorId="0" ref="P11">
      <text>
        <t xml:space="preserve">human translation</t>
      </text>
    </comment>
    <comment authorId="0" ref="F12">
      <text>
        <t xml:space="preserve">Human Translator</t>
      </text>
    </comment>
    <comment authorId="0" ref="G12">
      <text>
        <t xml:space="preserve">Human Translator</t>
      </text>
    </comment>
    <comment authorId="0" ref="H12">
      <text>
        <t xml:space="preserve">Human Translator</t>
      </text>
    </comment>
    <comment authorId="0" ref="J12">
      <text>
        <t xml:space="preserve">Human Translation</t>
      </text>
    </comment>
    <comment authorId="0" ref="O12">
      <text>
        <t xml:space="preserve">human translation</t>
      </text>
    </comment>
    <comment authorId="0" ref="F13">
      <text>
        <t xml:space="preserve">Human Translator</t>
      </text>
    </comment>
    <comment authorId="0" ref="G13">
      <text>
        <t xml:space="preserve">Human Translator</t>
      </text>
    </comment>
    <comment authorId="0" ref="H13">
      <text>
        <t xml:space="preserve">Human Translator</t>
      </text>
    </comment>
    <comment authorId="0" ref="J13">
      <text>
        <t xml:space="preserve">Human Translation</t>
      </text>
    </comment>
    <comment authorId="0" ref="F14">
      <text>
        <t xml:space="preserve">Human Translator</t>
      </text>
    </comment>
    <comment authorId="0" ref="G14">
      <text>
        <t xml:space="preserve">Human Translator</t>
      </text>
    </comment>
    <comment authorId="0" ref="H14">
      <text>
        <t xml:space="preserve">Human Translator</t>
      </text>
    </comment>
    <comment authorId="0" ref="J14">
      <text>
        <t xml:space="preserve">Human Translation</t>
      </text>
    </comment>
    <comment authorId="0" ref="F15">
      <text>
        <t xml:space="preserve">Human Translator</t>
      </text>
    </comment>
    <comment authorId="0" ref="G15">
      <text>
        <t xml:space="preserve">Human Translator</t>
      </text>
    </comment>
    <comment authorId="0" ref="H15">
      <text>
        <t xml:space="preserve">Human Translator</t>
      </text>
    </comment>
    <comment authorId="0" ref="J15">
      <text>
        <t xml:space="preserve">Human Translation</t>
      </text>
    </comment>
    <comment authorId="0" ref="F16">
      <text>
        <t xml:space="preserve">Human Translator</t>
      </text>
    </comment>
    <comment authorId="0" ref="H16">
      <text>
        <t xml:space="preserve">Human Translator</t>
      </text>
    </comment>
    <comment authorId="0" ref="J16">
      <text>
        <t xml:space="preserve">Human Translation</t>
      </text>
    </comment>
    <comment authorId="0" ref="F17">
      <text>
        <t xml:space="preserve">Human Translator</t>
      </text>
    </comment>
    <comment authorId="0" ref="H17">
      <text>
        <t xml:space="preserve">Human Translator</t>
      </text>
    </comment>
    <comment authorId="0" ref="J17">
      <text>
        <t xml:space="preserve">Human Translation</t>
      </text>
    </comment>
    <comment authorId="0" ref="F18">
      <text>
        <t xml:space="preserve">Human Translator</t>
      </text>
    </comment>
    <comment authorId="0" ref="G18">
      <text>
        <t xml:space="preserve">Human Translator</t>
      </text>
    </comment>
    <comment authorId="0" ref="H18">
      <text>
        <t xml:space="preserve">Human Translator</t>
      </text>
    </comment>
    <comment authorId="0" ref="J18">
      <text>
        <t xml:space="preserve">Human Translation</t>
      </text>
    </comment>
    <comment authorId="0" ref="F19">
      <text>
        <t xml:space="preserve">Human Translator</t>
      </text>
    </comment>
    <comment authorId="0" ref="G19">
      <text>
        <t xml:space="preserve">Human Translator</t>
      </text>
    </comment>
    <comment authorId="0" ref="H19">
      <text>
        <t xml:space="preserve">Human Translator</t>
      </text>
    </comment>
    <comment authorId="0" ref="J19">
      <text>
        <t xml:space="preserve">Human Translation</t>
      </text>
    </comment>
    <comment authorId="0" ref="F20">
      <text>
        <t xml:space="preserve">「遺跡の森-4」右下の森に隠しアイテムがある</t>
      </text>
    </comment>
    <comment authorId="0" ref="G20">
      <text>
        <t xml:space="preserve">Human Translator</t>
      </text>
    </comment>
    <comment authorId="0" ref="H20">
      <text>
        <t xml:space="preserve">Human Translator</t>
      </text>
    </comment>
    <comment authorId="0" ref="J20">
      <text>
        <t xml:space="preserve">Human Translation</t>
      </text>
    </comment>
    <comment authorId="0" ref="F21">
      <text>
        <t xml:space="preserve">Human Translator</t>
      </text>
    </comment>
    <comment authorId="0" ref="H21">
      <text>
        <t xml:space="preserve">Human Translator</t>
      </text>
    </comment>
    <comment authorId="0" ref="J21">
      <text>
        <t xml:space="preserve">Human Translation</t>
      </text>
    </comment>
    <comment authorId="0" ref="F22">
      <text>
        <t xml:space="preserve">Human Translator</t>
      </text>
    </comment>
    <comment authorId="0" ref="G22">
      <text>
        <t xml:space="preserve">Human Translator</t>
      </text>
    </comment>
    <comment authorId="0" ref="H22">
      <text>
        <t xml:space="preserve">Human Translator</t>
      </text>
    </comment>
    <comment authorId="0" ref="J22">
      <text>
        <t xml:space="preserve">Human Translation</t>
      </text>
    </comment>
    <comment authorId="0" ref="F23">
      <text>
        <t xml:space="preserve">Human Translator</t>
      </text>
    </comment>
    <comment authorId="0" ref="G23">
      <text>
        <t xml:space="preserve">Human Translator</t>
      </text>
    </comment>
    <comment authorId="0" ref="H23">
      <text>
        <t xml:space="preserve">Human Translator</t>
      </text>
    </comment>
    <comment authorId="0" ref="J23">
      <text>
        <t xml:space="preserve">Human Translation</t>
      </text>
    </comment>
    <comment authorId="0" ref="F24">
      <text>
        <t xml:space="preserve">Human Translator</t>
      </text>
    </comment>
    <comment authorId="0" ref="G24">
      <text>
        <t xml:space="preserve">Human Translator</t>
      </text>
    </comment>
    <comment authorId="0" ref="H24">
      <text>
        <t xml:space="preserve">Human Translator</t>
      </text>
    </comment>
    <comment authorId="0" ref="J24">
      <text>
        <t xml:space="preserve">Human Translation</t>
      </text>
    </comment>
    <comment authorId="0" ref="F25">
      <text>
        <t xml:space="preserve">Human Translator</t>
      </text>
    </comment>
    <comment authorId="0" ref="G25">
      <text>
        <t xml:space="preserve">Human Translator</t>
      </text>
    </comment>
    <comment authorId="0" ref="H25">
      <text>
        <t xml:space="preserve">Human Translator</t>
      </text>
    </comment>
    <comment authorId="0" ref="J25">
      <text>
        <t xml:space="preserve">Human Translation</t>
      </text>
    </comment>
    <comment authorId="0" ref="O25">
      <text>
        <t xml:space="preserve">human translation</t>
      </text>
    </comment>
    <comment authorId="0" ref="F26">
      <text>
        <t xml:space="preserve">Human Translator</t>
      </text>
    </comment>
    <comment authorId="0" ref="H26">
      <text>
        <t xml:space="preserve">Human Translator</t>
      </text>
    </comment>
    <comment authorId="0" ref="J26">
      <text>
        <t xml:space="preserve">Human Translation</t>
      </text>
    </comment>
    <comment authorId="0" ref="F27">
      <text>
        <t xml:space="preserve">Human Translator</t>
      </text>
    </comment>
    <comment authorId="0" ref="G27">
      <text>
        <t xml:space="preserve">Human Translator</t>
      </text>
    </comment>
    <comment authorId="0" ref="H27">
      <text>
        <t xml:space="preserve">Human Translator</t>
      </text>
    </comment>
    <comment authorId="0" ref="J27">
      <text>
        <t xml:space="preserve">Human Translation</t>
      </text>
    </comment>
    <comment authorId="0" ref="F28">
      <text>
        <t xml:space="preserve">Human Translator</t>
      </text>
    </comment>
    <comment authorId="0" ref="G28">
      <text>
        <t xml:space="preserve">Human Translator</t>
      </text>
    </comment>
    <comment authorId="0" ref="H28">
      <text>
        <t xml:space="preserve">Human Translator</t>
      </text>
    </comment>
    <comment authorId="0" ref="J28">
      <text>
        <t xml:space="preserve">Human Translation</t>
      </text>
    </comment>
    <comment authorId="0" ref="F29">
      <text>
        <t xml:space="preserve">Human Translator</t>
      </text>
    </comment>
    <comment authorId="0" ref="G29">
      <text>
        <t xml:space="preserve">Human Translator</t>
      </text>
    </comment>
    <comment authorId="0" ref="H29">
      <text>
        <t xml:space="preserve">Human Translator</t>
      </text>
    </comment>
    <comment authorId="0" ref="J29">
      <text>
        <t xml:space="preserve">Human Translation</t>
      </text>
    </comment>
    <comment authorId="0" ref="F30">
      <text>
        <t xml:space="preserve">Human Translator</t>
      </text>
    </comment>
    <comment authorId="0" ref="G30">
      <text>
        <t xml:space="preserve">Human Translator</t>
      </text>
    </comment>
    <comment authorId="0" ref="H30">
      <text>
        <t xml:space="preserve">Human Translator</t>
      </text>
    </comment>
    <comment authorId="0" ref="J30">
      <text>
        <t xml:space="preserve">Human Translation</t>
      </text>
    </comment>
    <comment authorId="0" ref="F31">
      <text>
        <t xml:space="preserve">Human Translator</t>
      </text>
    </comment>
    <comment authorId="0" ref="G31">
      <text>
        <t xml:space="preserve">Human Translator</t>
      </text>
    </comment>
    <comment authorId="0" ref="H31">
      <text>
        <t xml:space="preserve">Human Translator</t>
      </text>
    </comment>
    <comment authorId="0" ref="J31">
      <text>
        <t xml:space="preserve">Human Translation</t>
      </text>
    </comment>
    <comment authorId="0" ref="G32">
      <text>
        <t xml:space="preserve">Human Translator</t>
      </text>
    </comment>
    <comment authorId="0" ref="H32">
      <text>
        <t xml:space="preserve">Human Translator</t>
      </text>
    </comment>
    <comment authorId="0" ref="J32">
      <text>
        <t xml:space="preserve">Human Translation</t>
      </text>
    </comment>
    <comment authorId="0" ref="F33">
      <text>
        <t xml:space="preserve">Human Translator</t>
      </text>
    </comment>
    <comment authorId="0" ref="G33">
      <text>
        <t xml:space="preserve">Human Translator</t>
      </text>
    </comment>
    <comment authorId="0" ref="H33">
      <text>
        <t xml:space="preserve">Human Translator</t>
      </text>
    </comment>
    <comment authorId="0" ref="J33">
      <text>
        <t xml:space="preserve">Human Translation</t>
      </text>
    </comment>
    <comment authorId="0" ref="F34">
      <text>
        <t xml:space="preserve">Human Translator</t>
      </text>
    </comment>
    <comment authorId="0" ref="G34">
      <text>
        <t xml:space="preserve">Human Translator</t>
      </text>
    </comment>
    <comment authorId="0" ref="H34">
      <text>
        <t xml:space="preserve">Human Translator</t>
      </text>
    </comment>
    <comment authorId="0" ref="J34">
      <text>
        <t xml:space="preserve">Human Translation</t>
      </text>
    </comment>
    <comment authorId="0" ref="G35">
      <text>
        <t xml:space="preserve">Human Translator</t>
      </text>
    </comment>
    <comment authorId="0" ref="H35">
      <text>
        <t xml:space="preserve">Human Translator</t>
      </text>
    </comment>
    <comment authorId="0" ref="J35">
      <text>
        <t xml:space="preserve">Human Translation</t>
      </text>
    </comment>
    <comment authorId="0" ref="F36">
      <text>
        <t xml:space="preserve">Human Translator</t>
      </text>
    </comment>
    <comment authorId="0" ref="G36">
      <text>
        <t xml:space="preserve">Human Translator</t>
      </text>
    </comment>
    <comment authorId="0" ref="H36">
      <text>
        <t xml:space="preserve">Human Translator</t>
      </text>
    </comment>
    <comment authorId="0" ref="J36">
      <text>
        <t xml:space="preserve">Human Translation</t>
      </text>
    </comment>
    <comment authorId="0" ref="F37">
      <text>
        <t xml:space="preserve">Human Translator</t>
      </text>
    </comment>
    <comment authorId="0" ref="H37">
      <text>
        <t xml:space="preserve">Human Translator</t>
      </text>
    </comment>
    <comment authorId="0" ref="J37">
      <text>
        <t xml:space="preserve">Human Translation</t>
      </text>
    </comment>
    <comment authorId="0" ref="G38">
      <text>
        <t xml:space="preserve">Human Translator</t>
      </text>
    </comment>
    <comment authorId="0" ref="H38">
      <text>
        <t xml:space="preserve">Human Translator</t>
      </text>
    </comment>
    <comment authorId="0" ref="J38">
      <text>
        <t xml:space="preserve">Human Translation</t>
      </text>
    </comment>
    <comment authorId="0" ref="F39">
      <text>
        <t xml:space="preserve">Human Translator</t>
      </text>
    </comment>
    <comment authorId="0" ref="G39">
      <text>
        <t xml:space="preserve">Human Translator</t>
      </text>
    </comment>
    <comment authorId="0" ref="H39">
      <text>
        <t xml:space="preserve">Human Translator</t>
      </text>
    </comment>
    <comment authorId="0" ref="J39">
      <text>
        <t xml:space="preserve">Human Translation</t>
      </text>
    </comment>
    <comment authorId="0" ref="O39">
      <text>
        <t xml:space="preserve">human translation</t>
      </text>
    </comment>
    <comment authorId="0" ref="F40">
      <text>
        <t xml:space="preserve">Human Translator</t>
      </text>
    </comment>
    <comment authorId="0" ref="G40">
      <text>
        <t xml:space="preserve">Human Translator</t>
      </text>
    </comment>
    <comment authorId="0" ref="H40">
      <text>
        <t xml:space="preserve">Human Translator</t>
      </text>
    </comment>
    <comment authorId="0" ref="J40">
      <text>
        <t xml:space="preserve">Human Translation</t>
      </text>
    </comment>
    <comment authorId="0" ref="F41">
      <text>
        <t xml:space="preserve">Human Translator</t>
      </text>
    </comment>
    <comment authorId="0" ref="J41">
      <text>
        <t xml:space="preserve">Human Translation</t>
      </text>
    </comment>
    <comment authorId="0" ref="F42">
      <text>
        <t xml:space="preserve">Human Translator</t>
      </text>
    </comment>
    <comment authorId="0" ref="J42">
      <text>
        <t xml:space="preserve">Human Translation</t>
      </text>
    </comment>
    <comment authorId="0" ref="F43">
      <text>
        <t xml:space="preserve">Human Translator</t>
      </text>
    </comment>
    <comment authorId="0" ref="G43">
      <text>
        <t xml:space="preserve">Human Translator</t>
      </text>
    </comment>
    <comment authorId="0" ref="H43">
      <text>
        <t xml:space="preserve">Human Translator</t>
      </text>
    </comment>
    <comment authorId="0" ref="J43">
      <text>
        <t xml:space="preserve">Human Translation</t>
      </text>
    </comment>
    <comment authorId="0" ref="P43">
      <text>
        <t xml:space="preserve">human translation</t>
      </text>
    </comment>
    <comment authorId="0" ref="F44">
      <text>
        <t xml:space="preserve">Human Translator</t>
      </text>
    </comment>
    <comment authorId="0" ref="G44">
      <text>
        <t xml:space="preserve">Human Translator</t>
      </text>
    </comment>
    <comment authorId="0" ref="H44">
      <text>
        <t xml:space="preserve">Human Translator</t>
      </text>
    </comment>
    <comment authorId="0" ref="J44">
      <text>
        <t xml:space="preserve">Human Translation</t>
      </text>
    </comment>
    <comment authorId="0" ref="F45">
      <text>
        <t xml:space="preserve">Human Translator</t>
      </text>
    </comment>
    <comment authorId="0" ref="G45">
      <text>
        <t xml:space="preserve">Human Translator</t>
      </text>
    </comment>
    <comment authorId="0" ref="H45">
      <text>
        <t xml:space="preserve">Human Translator</t>
      </text>
    </comment>
    <comment authorId="0" ref="J45">
      <text>
        <t xml:space="preserve">Human Translation</t>
      </text>
    </comment>
    <comment authorId="0" ref="F46">
      <text>
        <t xml:space="preserve">Human Translator</t>
      </text>
    </comment>
    <comment authorId="0" ref="G46">
      <text>
        <t xml:space="preserve">Human Translator</t>
      </text>
    </comment>
    <comment authorId="0" ref="H46">
      <text>
        <t xml:space="preserve">Human Translator</t>
      </text>
    </comment>
    <comment authorId="0" ref="F47">
      <text>
        <t xml:space="preserve">Human Translator</t>
      </text>
    </comment>
    <comment authorId="0" ref="G47">
      <text>
        <t xml:space="preserve">Human Translator</t>
      </text>
    </comment>
    <comment authorId="0" ref="H47">
      <text>
        <t xml:space="preserve">Human Translator</t>
      </text>
    </comment>
    <comment authorId="0" ref="J47">
      <text>
        <t xml:space="preserve">Human Translation</t>
      </text>
    </comment>
    <comment authorId="0" ref="F48">
      <text>
        <t xml:space="preserve">Human Translator</t>
      </text>
    </comment>
    <comment authorId="0" ref="G48">
      <text>
        <t xml:space="preserve">Human Translator</t>
      </text>
    </comment>
    <comment authorId="0" ref="H48">
      <text>
        <t xml:space="preserve">Human Translator</t>
      </text>
    </comment>
    <comment authorId="0" ref="J48">
      <text>
        <t xml:space="preserve">Human Translation</t>
      </text>
    </comment>
    <comment authorId="0" ref="F49">
      <text>
        <t xml:space="preserve">Human Translator</t>
      </text>
    </comment>
    <comment authorId="0" ref="G49">
      <text>
        <t xml:space="preserve">Human Translator</t>
      </text>
    </comment>
    <comment authorId="0" ref="H49">
      <text>
        <t xml:space="preserve">Human Translator</t>
      </text>
    </comment>
    <comment authorId="0" ref="J49">
      <text>
        <t xml:space="preserve">Human Translation</t>
      </text>
    </comment>
    <comment authorId="0" ref="F50">
      <text>
        <t xml:space="preserve">Human Translator</t>
      </text>
    </comment>
    <comment authorId="0" ref="G50">
      <text>
        <t xml:space="preserve">Human Translator</t>
      </text>
    </comment>
    <comment authorId="0" ref="H50">
      <text>
        <t xml:space="preserve">Human Translator</t>
      </text>
    </comment>
    <comment authorId="0" ref="J50">
      <text>
        <t xml:space="preserve">Human Translation</t>
      </text>
    </comment>
    <comment authorId="0" ref="F51">
      <text>
        <t xml:space="preserve">Human Translator</t>
      </text>
    </comment>
    <comment authorId="0" ref="G51">
      <text>
        <t xml:space="preserve">Human Translator</t>
      </text>
    </comment>
    <comment authorId="0" ref="H51">
      <text>
        <t xml:space="preserve">Human Translator</t>
      </text>
    </comment>
    <comment authorId="0" ref="J51">
      <text>
        <t xml:space="preserve">Human Translation</t>
      </text>
    </comment>
    <comment authorId="0" ref="F52">
      <text>
        <t xml:space="preserve">Human Translator</t>
      </text>
    </comment>
    <comment authorId="0" ref="G52">
      <text>
        <t xml:space="preserve">Human Translator</t>
      </text>
    </comment>
    <comment authorId="0" ref="H52">
      <text>
        <t xml:space="preserve">Human Translator</t>
      </text>
    </comment>
    <comment authorId="0" ref="J52">
      <text>
        <t xml:space="preserve">Human Translation</t>
      </text>
    </comment>
    <comment authorId="0" ref="F53">
      <text>
        <t xml:space="preserve">Human Translator</t>
      </text>
    </comment>
    <comment authorId="0" ref="G53">
      <text>
        <t xml:space="preserve">Human Translator</t>
      </text>
    </comment>
    <comment authorId="0" ref="H53">
      <text>
        <t xml:space="preserve">Human Translator</t>
      </text>
    </comment>
    <comment authorId="0" ref="J53">
      <text>
        <t xml:space="preserve">Human Translation</t>
      </text>
    </comment>
    <comment authorId="0" ref="F54">
      <text>
        <t xml:space="preserve">Human Translator</t>
      </text>
    </comment>
    <comment authorId="0" ref="G54">
      <text>
        <t xml:space="preserve">Human Translator</t>
      </text>
    </comment>
    <comment authorId="0" ref="H54">
      <text>
        <t xml:space="preserve">Human Translator</t>
      </text>
    </comment>
    <comment authorId="0" ref="J54">
      <text>
        <t xml:space="preserve">Human Translation</t>
      </text>
    </comment>
    <comment authorId="0" ref="F55">
      <text>
        <t xml:space="preserve">Human Translator</t>
      </text>
    </comment>
    <comment authorId="0" ref="G55">
      <text>
        <t xml:space="preserve">Human Translator</t>
      </text>
    </comment>
    <comment authorId="0" ref="H55">
      <text>
        <t xml:space="preserve">Human Translator</t>
      </text>
    </comment>
    <comment authorId="0" ref="J55">
      <text>
        <t xml:space="preserve">Human Translation</t>
      </text>
    </comment>
    <comment authorId="0" ref="F56">
      <text>
        <t xml:space="preserve">Human Translator</t>
      </text>
    </comment>
    <comment authorId="0" ref="G56">
      <text>
        <t xml:space="preserve">Human Translator</t>
      </text>
    </comment>
    <comment authorId="0" ref="H56">
      <text>
        <t xml:space="preserve">Human Translator</t>
      </text>
    </comment>
    <comment authorId="0" ref="J56">
      <text>
        <t xml:space="preserve">Human Translation</t>
      </text>
    </comment>
    <comment authorId="0" ref="F57">
      <text>
        <t xml:space="preserve">Human Translator</t>
      </text>
    </comment>
    <comment authorId="0" ref="G57">
      <text>
        <t xml:space="preserve">Human Translator</t>
      </text>
    </comment>
    <comment authorId="0" ref="H57">
      <text>
        <t xml:space="preserve">Human Translator</t>
      </text>
    </comment>
    <comment authorId="0" ref="J57">
      <text>
        <t xml:space="preserve">Human Translation</t>
      </text>
    </comment>
    <comment authorId="0" ref="F58">
      <text>
        <t xml:space="preserve">Human Translator</t>
      </text>
    </comment>
    <comment authorId="0" ref="G58">
      <text>
        <t xml:space="preserve">Human Translator</t>
      </text>
    </comment>
    <comment authorId="0" ref="H58">
      <text>
        <t xml:space="preserve">Human Translator</t>
      </text>
    </comment>
    <comment authorId="0" ref="J58">
      <text>
        <t xml:space="preserve">Human Translation</t>
      </text>
    </comment>
    <comment authorId="0" ref="F59">
      <text>
        <t xml:space="preserve">Human Translator</t>
      </text>
    </comment>
    <comment authorId="0" ref="G59">
      <text>
        <t xml:space="preserve">Human Translator</t>
      </text>
    </comment>
    <comment authorId="0" ref="H59">
      <text>
        <t xml:space="preserve">Human Translator</t>
      </text>
    </comment>
    <comment authorId="0" ref="J59">
      <text>
        <t xml:space="preserve">Human Translation</t>
      </text>
    </comment>
    <comment authorId="0" ref="F60">
      <text>
        <t xml:space="preserve">Human Translator</t>
      </text>
    </comment>
    <comment authorId="0" ref="G60">
      <text>
        <t xml:space="preserve">Human Translator</t>
      </text>
    </comment>
    <comment authorId="0" ref="H60">
      <text>
        <t xml:space="preserve">Human Translator</t>
      </text>
    </comment>
    <comment authorId="0" ref="J60">
      <text>
        <t xml:space="preserve">Human Translation</t>
      </text>
    </comment>
    <comment authorId="0" ref="F61">
      <text>
        <t xml:space="preserve">Human Translator
</t>
      </text>
    </comment>
    <comment authorId="0" ref="G61">
      <text>
        <t xml:space="preserve">Human Translator
</t>
      </text>
    </comment>
    <comment authorId="0" ref="H61">
      <text>
        <t xml:space="preserve">Human Translator
</t>
      </text>
    </comment>
    <comment authorId="0" ref="J61">
      <text>
        <t xml:space="preserve">Human translation</t>
      </text>
    </comment>
    <comment authorId="0" ref="F62">
      <text>
        <t xml:space="preserve">Human Translator
</t>
      </text>
    </comment>
    <comment authorId="0" ref="G62">
      <text>
        <t xml:space="preserve">Human Translator
</t>
      </text>
    </comment>
    <comment authorId="0" ref="H62">
      <text>
        <t xml:space="preserve">Human Translator
</t>
      </text>
    </comment>
    <comment authorId="0" ref="J62">
      <text>
        <t xml:space="preserve">Human translation</t>
      </text>
    </comment>
    <comment authorId="0" ref="F63">
      <text>
        <t xml:space="preserve">Human Translator</t>
      </text>
    </comment>
    <comment authorId="0" ref="G63">
      <text>
        <t xml:space="preserve">Human Translator</t>
      </text>
    </comment>
    <comment authorId="0" ref="H63">
      <text>
        <t xml:space="preserve">Human Translator</t>
      </text>
    </comment>
    <comment authorId="0" ref="J63">
      <text>
        <t xml:space="preserve">Human Translation</t>
      </text>
    </comment>
    <comment authorId="0" ref="F64">
      <text>
        <t xml:space="preserve">Human Translator</t>
      </text>
    </comment>
    <comment authorId="0" ref="G64">
      <text>
        <t xml:space="preserve">Human Translator</t>
      </text>
    </comment>
    <comment authorId="0" ref="H64">
      <text>
        <t xml:space="preserve">Human Translator</t>
      </text>
    </comment>
    <comment authorId="0" ref="J64">
      <text>
        <t xml:space="preserve">Human Translation</t>
      </text>
    </comment>
    <comment authorId="0" ref="F65">
      <text>
        <t xml:space="preserve">Human Translator</t>
      </text>
    </comment>
    <comment authorId="0" ref="G65">
      <text>
        <t xml:space="preserve">Human Translator</t>
      </text>
    </comment>
    <comment authorId="0" ref="H65">
      <text>
        <t xml:space="preserve">Human Translator</t>
      </text>
    </comment>
    <comment authorId="0" ref="J65">
      <text>
        <t xml:space="preserve">Human Translation</t>
      </text>
    </comment>
    <comment authorId="0" ref="F66">
      <text>
        <t xml:space="preserve">Human Translator</t>
      </text>
    </comment>
    <comment authorId="0" ref="G66">
      <text>
        <t xml:space="preserve">Human Translator</t>
      </text>
    </comment>
    <comment authorId="0" ref="H66">
      <text>
        <t xml:space="preserve">Human Translator</t>
      </text>
    </comment>
    <comment authorId="0" ref="J66">
      <text>
        <t xml:space="preserve">Human Translation</t>
      </text>
    </comment>
    <comment authorId="0" ref="F67">
      <text>
        <t xml:space="preserve">Human Translator</t>
      </text>
    </comment>
    <comment authorId="0" ref="G67">
      <text>
        <t xml:space="preserve">Human Translator</t>
      </text>
    </comment>
    <comment authorId="0" ref="H67">
      <text>
        <t xml:space="preserve">Human Translator</t>
      </text>
    </comment>
    <comment authorId="0" ref="J67">
      <text>
        <t xml:space="preserve">Human Translation</t>
      </text>
    </comment>
    <comment authorId="0" ref="F68">
      <text>
        <t xml:space="preserve">Human Translator</t>
      </text>
    </comment>
    <comment authorId="0" ref="G68">
      <text>
        <t xml:space="preserve">Human Translator</t>
      </text>
    </comment>
    <comment authorId="0" ref="H68">
      <text>
        <t xml:space="preserve">Human Translator</t>
      </text>
    </comment>
    <comment authorId="0" ref="J68">
      <text>
        <t xml:space="preserve">Human Translation</t>
      </text>
    </comment>
    <comment authorId="0" ref="F69">
      <text>
        <t xml:space="preserve">Human Translator</t>
      </text>
    </comment>
    <comment authorId="0" ref="G69">
      <text>
        <t xml:space="preserve">Human Translator</t>
      </text>
    </comment>
    <comment authorId="0" ref="H69">
      <text>
        <t xml:space="preserve">Human Translator</t>
      </text>
    </comment>
    <comment authorId="0" ref="J69">
      <text>
        <t xml:space="preserve">Human Translation</t>
      </text>
    </comment>
    <comment authorId="0" ref="F70">
      <text>
        <t xml:space="preserve">Human Translator</t>
      </text>
    </comment>
    <comment authorId="0" ref="G70">
      <text>
        <t xml:space="preserve">Human Translator</t>
      </text>
    </comment>
    <comment authorId="0" ref="H70">
      <text>
        <t xml:space="preserve">Human Translator</t>
      </text>
    </comment>
    <comment authorId="0" ref="J70">
      <text>
        <t xml:space="preserve">Human Translation</t>
      </text>
    </comment>
    <comment authorId="0" ref="F71">
      <text>
        <t xml:space="preserve">Human Translator</t>
      </text>
    </comment>
    <comment authorId="0" ref="G71">
      <text>
        <t xml:space="preserve">Human Translator</t>
      </text>
    </comment>
    <comment authorId="0" ref="H71">
      <text>
        <t xml:space="preserve">Human Translator</t>
      </text>
    </comment>
    <comment authorId="0" ref="J71">
      <text>
        <t xml:space="preserve">Human Translation</t>
      </text>
    </comment>
    <comment authorId="0" ref="F72">
      <text>
        <t xml:space="preserve">Human Translator</t>
      </text>
    </comment>
    <comment authorId="0" ref="G72">
      <text>
        <t xml:space="preserve">Human Translator</t>
      </text>
    </comment>
    <comment authorId="0" ref="H72">
      <text>
        <t xml:space="preserve">Human Translator</t>
      </text>
    </comment>
    <comment authorId="0" ref="J72">
      <text>
        <t xml:space="preserve">Human Translation</t>
      </text>
    </comment>
    <comment authorId="0" ref="F73">
      <text>
        <t xml:space="preserve">Human Translator</t>
      </text>
    </comment>
    <comment authorId="0" ref="G73">
      <text>
        <t xml:space="preserve">Human Translator</t>
      </text>
    </comment>
    <comment authorId="0" ref="H73">
      <text>
        <t xml:space="preserve">Human Translator</t>
      </text>
    </comment>
    <comment authorId="0" ref="J73">
      <text>
        <t xml:space="preserve">Human Translation</t>
      </text>
    </comment>
    <comment authorId="0" ref="F74">
      <text>
        <t xml:space="preserve">Human Translator</t>
      </text>
    </comment>
    <comment authorId="0" ref="G74">
      <text>
        <t xml:space="preserve">Human Translator</t>
      </text>
    </comment>
    <comment authorId="0" ref="H74">
      <text>
        <t xml:space="preserve">Human Translator</t>
      </text>
    </comment>
    <comment authorId="0" ref="J74">
      <text>
        <t xml:space="preserve">Human Translation</t>
      </text>
    </comment>
    <comment authorId="0" ref="F75">
      <text>
        <t xml:space="preserve">Human Translator</t>
      </text>
    </comment>
    <comment authorId="0" ref="G75">
      <text>
        <t xml:space="preserve">Human Translator</t>
      </text>
    </comment>
    <comment authorId="0" ref="H75">
      <text>
        <t xml:space="preserve">Human Translator</t>
      </text>
    </comment>
    <comment authorId="0" ref="J75">
      <text>
        <t xml:space="preserve">Human Translation</t>
      </text>
    </comment>
    <comment authorId="0" ref="F76">
      <text>
        <t xml:space="preserve">Human Translator</t>
      </text>
    </comment>
    <comment authorId="0" ref="G76">
      <text>
        <t xml:space="preserve">Human Translator</t>
      </text>
    </comment>
    <comment authorId="0" ref="H76">
      <text>
        <t xml:space="preserve">Human Translator</t>
      </text>
    </comment>
    <comment authorId="0" ref="J76">
      <text>
        <t xml:space="preserve">Human Translation</t>
      </text>
    </comment>
    <comment authorId="0" ref="F77">
      <text>
        <t xml:space="preserve">Human Translator</t>
      </text>
    </comment>
    <comment authorId="0" ref="G77">
      <text>
        <t xml:space="preserve">Human Translator</t>
      </text>
    </comment>
    <comment authorId="0" ref="H77">
      <text>
        <t xml:space="preserve">Human Translator</t>
      </text>
    </comment>
    <comment authorId="0" ref="J77">
      <text>
        <t xml:space="preserve">Human Translation</t>
      </text>
    </comment>
    <comment authorId="0" ref="F78">
      <text>
        <t xml:space="preserve">Human Translator</t>
      </text>
    </comment>
    <comment authorId="0" ref="G78">
      <text>
        <t xml:space="preserve">Human Translator</t>
      </text>
    </comment>
    <comment authorId="0" ref="H78">
      <text>
        <t xml:space="preserve">Human Translator</t>
      </text>
    </comment>
    <comment authorId="0" ref="J78">
      <text>
        <t xml:space="preserve">Human Translation</t>
      </text>
    </comment>
    <comment authorId="0" ref="F79">
      <text>
        <t xml:space="preserve">Human Translator</t>
      </text>
    </comment>
    <comment authorId="0" ref="G79">
      <text>
        <t xml:space="preserve">Human Translator</t>
      </text>
    </comment>
    <comment authorId="0" ref="H79">
      <text>
        <t xml:space="preserve">Human Translator</t>
      </text>
    </comment>
    <comment authorId="0" ref="J79">
      <text>
        <t xml:space="preserve">Human Translation</t>
      </text>
    </comment>
    <comment authorId="0" ref="F80">
      <text>
        <t xml:space="preserve">Human Translator</t>
      </text>
    </comment>
    <comment authorId="0" ref="G80">
      <text>
        <t xml:space="preserve">Human Translator</t>
      </text>
    </comment>
    <comment authorId="0" ref="H80">
      <text>
        <t xml:space="preserve">Human Translator</t>
      </text>
    </comment>
    <comment authorId="0" ref="J80">
      <text>
        <t xml:space="preserve">Human Translation</t>
      </text>
    </comment>
    <comment authorId="0" ref="F81">
      <text>
        <t xml:space="preserve">Human Translator</t>
      </text>
    </comment>
    <comment authorId="0" ref="H81">
      <text>
        <t xml:space="preserve">Human Translator</t>
      </text>
    </comment>
    <comment authorId="0" ref="J81">
      <text>
        <t xml:space="preserve">Human Translation</t>
      </text>
    </comment>
    <comment authorId="0" ref="F82">
      <text>
        <t xml:space="preserve">Human Translator</t>
      </text>
    </comment>
    <comment authorId="0" ref="G82">
      <text>
        <t xml:space="preserve">Human Translator</t>
      </text>
    </comment>
    <comment authorId="0" ref="H82">
      <text>
        <t xml:space="preserve">Human Translator</t>
      </text>
    </comment>
    <comment authorId="0" ref="J82">
      <text>
        <t xml:space="preserve">Human Translation</t>
      </text>
    </comment>
    <comment authorId="0" ref="F83">
      <text>
        <t xml:space="preserve">Human Translator</t>
      </text>
    </comment>
    <comment authorId="0" ref="G83">
      <text>
        <t xml:space="preserve">Human Translator</t>
      </text>
    </comment>
    <comment authorId="0" ref="H83">
      <text>
        <t xml:space="preserve">Human Translator</t>
      </text>
    </comment>
    <comment authorId="0" ref="J83">
      <text>
        <t xml:space="preserve">Human Translation</t>
      </text>
    </comment>
    <comment authorId="0" ref="F84">
      <text>
        <t xml:space="preserve">Human Translator</t>
      </text>
    </comment>
    <comment authorId="0" ref="G84">
      <text>
        <t xml:space="preserve">Human Translator</t>
      </text>
    </comment>
    <comment authorId="0" ref="H84">
      <text>
        <t xml:space="preserve">Human Translator</t>
      </text>
    </comment>
    <comment authorId="0" ref="J84">
      <text>
        <t xml:space="preserve">Human Translation</t>
      </text>
    </comment>
    <comment authorId="0" ref="F85">
      <text>
        <t xml:space="preserve">Human Translator</t>
      </text>
    </comment>
    <comment authorId="0" ref="G85">
      <text>
        <t xml:space="preserve">Human Translator</t>
      </text>
    </comment>
    <comment authorId="0" ref="H85">
      <text>
        <t xml:space="preserve">Human Translator</t>
      </text>
    </comment>
    <comment authorId="0" ref="J85">
      <text>
        <t xml:space="preserve">Human Translation</t>
      </text>
    </comment>
    <comment authorId="0" ref="F86">
      <text>
        <t xml:space="preserve">Human Translator</t>
      </text>
    </comment>
    <comment authorId="0" ref="J86">
      <text>
        <t xml:space="preserve">Human Translation</t>
      </text>
    </comment>
    <comment authorId="0" ref="J87">
      <text>
        <t xml:space="preserve">Human Translation</t>
      </text>
    </comment>
    <comment authorId="0" ref="J88">
      <text>
        <t xml:space="preserve">Human Translation</t>
      </text>
    </comment>
    <comment authorId="0" ref="J89">
      <text>
        <t xml:space="preserve">Human Translation</t>
      </text>
    </comment>
    <comment authorId="0" ref="J90">
      <text>
        <t xml:space="preserve">Human Translation</t>
      </text>
    </comment>
    <comment authorId="0" ref="J91">
      <text>
        <t xml:space="preserve">Human Translation</t>
      </text>
    </comment>
    <comment authorId="0" ref="J92">
      <text>
        <t xml:space="preserve">Human Translation</t>
      </text>
    </comment>
    <comment authorId="0" ref="J93">
      <text>
        <t xml:space="preserve">Human Translation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Human Translation</t>
      </text>
    </comment>
    <comment authorId="0" ref="C3">
      <text>
        <t xml:space="preserve">Human Translation</t>
      </text>
    </comment>
    <comment authorId="0" ref="D3">
      <text>
        <t xml:space="preserve">Human Translation</t>
      </text>
    </comment>
    <comment authorId="0" ref="C4">
      <text>
        <t xml:space="preserve">Human Translation</t>
      </text>
    </comment>
    <comment authorId="0" ref="C5">
      <text>
        <t xml:space="preserve">Human Translation</t>
      </text>
    </comment>
    <comment authorId="0" ref="C6">
      <text>
        <t xml:space="preserve">Human Translation</t>
      </text>
    </comment>
    <comment authorId="0" ref="C7">
      <text>
        <t xml:space="preserve">Human Translation</t>
      </text>
    </comment>
    <comment authorId="0" ref="C8">
      <text>
        <t xml:space="preserve">Human Translation</t>
      </text>
    </comment>
    <comment authorId="0" ref="C9">
      <text>
        <t xml:space="preserve">Human Translation</t>
      </text>
    </comment>
    <comment authorId="0" ref="C10">
      <text>
        <t xml:space="preserve">Human Translation</t>
      </text>
    </comment>
    <comment authorId="0" ref="B11">
      <text>
        <t xml:space="preserve">Human Translator</t>
      </text>
    </comment>
    <comment authorId="0" ref="C11">
      <text>
        <t xml:space="preserve">Human Translation</t>
      </text>
    </comment>
    <comment authorId="0" ref="B12">
      <text>
        <t xml:space="preserve">Human Translator</t>
      </text>
    </comment>
    <comment authorId="0" ref="C12">
      <text>
        <t xml:space="preserve">Human Translation</t>
      </text>
    </comment>
    <comment authorId="0" ref="B13">
      <text>
        <t xml:space="preserve">Human Translator</t>
      </text>
    </comment>
    <comment authorId="0" ref="C13">
      <text>
        <t xml:space="preserve">Human Translation</t>
      </text>
    </comment>
    <comment authorId="0" ref="C14">
      <text>
        <t xml:space="preserve">Human Translation</t>
      </text>
    </comment>
    <comment authorId="0" ref="C15">
      <text>
        <t xml:space="preserve">Human Translation</t>
      </text>
    </comment>
    <comment authorId="0" ref="C16">
      <text>
        <t xml:space="preserve">Human Translation</t>
      </text>
    </comment>
    <comment authorId="0" ref="B17">
      <text>
        <t xml:space="preserve">Human Translator</t>
      </text>
    </comment>
    <comment authorId="0" ref="C17">
      <text>
        <t xml:space="preserve">Human Translation</t>
      </text>
    </comment>
    <comment authorId="0" ref="B18">
      <text>
        <t xml:space="preserve">Human Translator</t>
      </text>
    </comment>
    <comment authorId="0" ref="C18">
      <text>
        <t xml:space="preserve">Human Translation</t>
      </text>
    </comment>
    <comment authorId="0" ref="B19">
      <text>
        <t xml:space="preserve">Human Translator</t>
      </text>
    </comment>
    <comment authorId="0" ref="C19">
      <text>
        <t xml:space="preserve">Human Translation</t>
      </text>
    </comment>
    <comment authorId="0" ref="B20">
      <text>
        <t xml:space="preserve">Human Translator</t>
      </text>
    </comment>
    <comment authorId="0" ref="C20">
      <text>
        <t xml:space="preserve">Human Translation</t>
      </text>
    </comment>
    <comment authorId="0" ref="B21">
      <text>
        <t xml:space="preserve">Human Translator</t>
      </text>
    </comment>
    <comment authorId="0" ref="C21">
      <text>
        <t xml:space="preserve">Human Translation</t>
      </text>
    </comment>
    <comment authorId="0" ref="B22">
      <text>
        <t xml:space="preserve">Human Translator</t>
      </text>
    </comment>
    <comment authorId="0" ref="C22">
      <text>
        <t xml:space="preserve">Human Translation</t>
      </text>
    </comment>
    <comment authorId="0" ref="C23">
      <text>
        <t xml:space="preserve">Human Translation</t>
      </text>
    </comment>
    <comment authorId="0" ref="B24">
      <text>
        <t xml:space="preserve">Human Translator</t>
      </text>
    </comment>
    <comment authorId="0" ref="C24">
      <text>
        <t xml:space="preserve">Human Translation</t>
      </text>
    </comment>
    <comment authorId="0" ref="B25">
      <text>
        <t xml:space="preserve">Human Translator</t>
      </text>
    </comment>
    <comment authorId="0" ref="C25">
      <text>
        <t xml:space="preserve">Human Translation</t>
      </text>
    </comment>
    <comment authorId="0" ref="B26">
      <text>
        <t xml:space="preserve">Human Translator</t>
      </text>
    </comment>
    <comment authorId="0" ref="C26">
      <text>
        <t xml:space="preserve">Human Translation</t>
      </text>
    </comment>
    <comment authorId="0" ref="B27">
      <text>
        <t xml:space="preserve">Human Translator</t>
      </text>
    </comment>
    <comment authorId="0" ref="C27">
      <text>
        <t xml:space="preserve">Human Translation</t>
      </text>
    </comment>
    <comment authorId="0" ref="C28">
      <text>
        <t xml:space="preserve">Human Translation</t>
      </text>
    </comment>
    <comment authorId="0" ref="D28">
      <text>
        <t xml:space="preserve">human translation</t>
      </text>
    </comment>
    <comment authorId="0" ref="B29">
      <text>
        <t xml:space="preserve">Human Translator</t>
      </text>
    </comment>
    <comment authorId="0" ref="C29">
      <text>
        <t xml:space="preserve">Human Translation</t>
      </text>
    </comment>
    <comment authorId="0" ref="D29">
      <text>
        <t xml:space="preserve">human translation</t>
      </text>
    </comment>
    <comment authorId="0" ref="B30">
      <text>
        <t xml:space="preserve">Human Translator</t>
      </text>
    </comment>
    <comment authorId="0" ref="C30">
      <text>
        <t xml:space="preserve">Human Translation</t>
      </text>
    </comment>
    <comment authorId="0" ref="B31">
      <text>
        <t xml:space="preserve">Human Translator</t>
      </text>
    </comment>
    <comment authorId="0" ref="C31">
      <text>
        <t xml:space="preserve">Human Translation</t>
      </text>
    </comment>
    <comment authorId="0" ref="C32">
      <text>
        <t xml:space="preserve">Human Translation</t>
      </text>
    </comment>
    <comment authorId="0" ref="C33">
      <text>
        <t xml:space="preserve">Human Translation</t>
      </text>
    </comment>
    <comment authorId="0" ref="B34">
      <text>
        <t xml:space="preserve">Human Translator</t>
      </text>
    </comment>
    <comment authorId="0" ref="C34">
      <text>
        <t xml:space="preserve">Human Translation</t>
      </text>
    </comment>
    <comment authorId="0" ref="B35">
      <text>
        <t xml:space="preserve">Human Translator</t>
      </text>
    </comment>
    <comment authorId="0" ref="C35">
      <text>
        <t xml:space="preserve">Human Translation</t>
      </text>
    </comment>
    <comment authorId="0" ref="C36">
      <text>
        <t xml:space="preserve">Human Translation</t>
      </text>
    </comment>
    <comment authorId="0" ref="D36">
      <text>
        <t xml:space="preserve">human translation</t>
      </text>
    </comment>
    <comment authorId="0" ref="C37">
      <text>
        <t xml:space="preserve">Human Translation</t>
      </text>
    </comment>
    <comment authorId="0" ref="C38">
      <text>
        <t xml:space="preserve">Human Translation</t>
      </text>
    </comment>
    <comment authorId="0" ref="B39">
      <text>
        <t xml:space="preserve">Human Translator</t>
      </text>
    </comment>
    <comment authorId="0" ref="C39">
      <text>
        <t xml:space="preserve">Human Translation</t>
      </text>
    </comment>
    <comment authorId="0" ref="B40">
      <text>
        <t xml:space="preserve">Human Translator</t>
      </text>
    </comment>
    <comment authorId="0" ref="C40">
      <text>
        <t xml:space="preserve">Human Translation</t>
      </text>
    </comment>
    <comment authorId="0" ref="D40">
      <text>
        <t xml:space="preserve">Human Translator</t>
      </text>
    </comment>
    <comment authorId="0" ref="B41">
      <text>
        <t xml:space="preserve">Human Translator</t>
      </text>
    </comment>
    <comment authorId="0" ref="C41">
      <text>
        <t xml:space="preserve">Human Translation</t>
      </text>
    </comment>
    <comment authorId="0" ref="C42">
      <text>
        <t xml:space="preserve">Human Translation</t>
      </text>
    </comment>
    <comment authorId="0" ref="B43">
      <text>
        <t xml:space="preserve">Human Translator</t>
      </text>
    </comment>
    <comment authorId="0" ref="C43">
      <text>
        <t xml:space="preserve">Human Translation</t>
      </text>
    </comment>
    <comment authorId="0" ref="B44">
      <text>
        <t xml:space="preserve">Human Translator</t>
      </text>
    </comment>
    <comment authorId="0" ref="C44">
      <text>
        <t xml:space="preserve">Human Translation</t>
      </text>
    </comment>
    <comment authorId="0" ref="B45">
      <text>
        <t xml:space="preserve">Human Translator</t>
      </text>
    </comment>
    <comment authorId="0" ref="C45">
      <text>
        <t xml:space="preserve">Human Translation</t>
      </text>
    </comment>
    <comment authorId="0" ref="B46">
      <text>
        <t xml:space="preserve">Human Translator</t>
      </text>
    </comment>
    <comment authorId="0" ref="C46">
      <text>
        <t xml:space="preserve">Human Translation</t>
      </text>
    </comment>
    <comment authorId="0" ref="B47">
      <text>
        <t xml:space="preserve">Human Translator</t>
      </text>
    </comment>
    <comment authorId="0" ref="C47">
      <text>
        <t xml:space="preserve">Human Translation</t>
      </text>
    </comment>
    <comment authorId="0" ref="B48">
      <text>
        <t xml:space="preserve">Human Translator</t>
      </text>
    </comment>
    <comment authorId="0" ref="C48">
      <text>
        <t xml:space="preserve">Human Translation</t>
      </text>
    </comment>
    <comment authorId="0" ref="B49">
      <text>
        <t xml:space="preserve">Human Translator</t>
      </text>
    </comment>
    <comment authorId="0" ref="C49">
      <text>
        <t xml:space="preserve">Human Translation</t>
      </text>
    </comment>
    <comment authorId="0" ref="B50">
      <text>
        <t xml:space="preserve">Human Translator</t>
      </text>
    </comment>
    <comment authorId="0" ref="C50">
      <text>
        <t xml:space="preserve">Human Translation</t>
      </text>
    </comment>
    <comment authorId="0" ref="B51">
      <text>
        <t xml:space="preserve">Human Translator</t>
      </text>
    </comment>
    <comment authorId="0" ref="C51">
      <text>
        <t xml:space="preserve">Human Translation</t>
      </text>
    </comment>
    <comment authorId="0" ref="B52">
      <text>
        <t xml:space="preserve">Human Translator</t>
      </text>
    </comment>
    <comment authorId="0" ref="C52">
      <text>
        <t xml:space="preserve">Human Translation</t>
      </text>
    </comment>
    <comment authorId="0" ref="D52">
      <text>
        <t xml:space="preserve">Human Translator</t>
      </text>
    </comment>
    <comment authorId="0" ref="C53">
      <text>
        <t xml:space="preserve">Human Translation</t>
      </text>
    </comment>
    <comment authorId="0" ref="C54">
      <text>
        <t xml:space="preserve">Human Translation</t>
      </text>
    </comment>
    <comment authorId="0" ref="B55">
      <text>
        <t xml:space="preserve">Human Translator</t>
      </text>
    </comment>
    <comment authorId="0" ref="C55">
      <text>
        <t xml:space="preserve">Human Translation</t>
      </text>
    </comment>
    <comment authorId="0" ref="C56">
      <text>
        <t xml:space="preserve">Human Translation</t>
      </text>
    </comment>
    <comment authorId="0" ref="B57">
      <text>
        <t xml:space="preserve">Human Translator</t>
      </text>
    </comment>
    <comment authorId="0" ref="C57">
      <text>
        <t xml:space="preserve">Human Translation</t>
      </text>
    </comment>
    <comment authorId="0" ref="D57">
      <text>
        <t xml:space="preserve">Human Translator</t>
      </text>
    </comment>
    <comment authorId="0" ref="B58">
      <text>
        <t xml:space="preserve">Human Translator</t>
      </text>
    </comment>
    <comment authorId="0" ref="C58">
      <text>
        <t xml:space="preserve">Human Translation</t>
      </text>
    </comment>
    <comment authorId="0" ref="B59">
      <text>
        <t xml:space="preserve">Human Translator</t>
      </text>
    </comment>
    <comment authorId="0" ref="C59">
      <text>
        <t xml:space="preserve">Human Translation</t>
      </text>
    </comment>
    <comment authorId="0" ref="D59">
      <text>
        <t xml:space="preserve">Human Translator</t>
      </text>
    </comment>
    <comment authorId="0" ref="B60">
      <text>
        <t xml:space="preserve">Human Translator</t>
      </text>
    </comment>
    <comment authorId="0" ref="C60">
      <text>
        <t xml:space="preserve">Human Translation</t>
      </text>
    </comment>
    <comment authorId="0" ref="B61">
      <text>
        <t xml:space="preserve">Human Translator</t>
      </text>
    </comment>
    <comment authorId="0" ref="C61">
      <text>
        <t xml:space="preserve">Human Translation</t>
      </text>
    </comment>
    <comment authorId="0" ref="D61">
      <text>
        <t xml:space="preserve">Human Translator</t>
      </text>
    </comment>
    <comment authorId="0" ref="B62">
      <text>
        <t xml:space="preserve">Human Translator</t>
      </text>
    </comment>
    <comment authorId="0" ref="C62">
      <text>
        <t xml:space="preserve">Human Translation</t>
      </text>
    </comment>
    <comment authorId="0" ref="B63">
      <text>
        <t xml:space="preserve">Human Translator</t>
      </text>
    </comment>
    <comment authorId="0" ref="C63">
      <text>
        <t xml:space="preserve">Human Translation</t>
      </text>
    </comment>
    <comment authorId="0" ref="B64">
      <text>
        <t xml:space="preserve">Human Translator</t>
      </text>
    </comment>
    <comment authorId="0" ref="C64">
      <text>
        <t xml:space="preserve">Human Translation</t>
      </text>
    </comment>
    <comment authorId="0" ref="B65">
      <text>
        <t xml:space="preserve">Human Translator</t>
      </text>
    </comment>
    <comment authorId="0" ref="C65">
      <text>
        <t xml:space="preserve">Human Translation</t>
      </text>
    </comment>
    <comment authorId="0" ref="B66">
      <text>
        <t xml:space="preserve">Human Translator</t>
      </text>
    </comment>
    <comment authorId="0" ref="C66">
      <text>
        <t xml:space="preserve">Human Translation</t>
      </text>
    </comment>
    <comment authorId="0" ref="B67">
      <text>
        <t xml:space="preserve">Human Translator</t>
      </text>
    </comment>
    <comment authorId="0" ref="C67">
      <text>
        <t xml:space="preserve">Human Translation</t>
      </text>
    </comment>
    <comment authorId="0" ref="C68">
      <text>
        <t xml:space="preserve">Human Translation</t>
      </text>
    </comment>
    <comment authorId="0" ref="B69">
      <text>
        <t xml:space="preserve">Human Translator</t>
      </text>
    </comment>
    <comment authorId="0" ref="C69">
      <text>
        <t xml:space="preserve">Human Translation</t>
      </text>
    </comment>
    <comment authorId="0" ref="B70">
      <text>
        <t xml:space="preserve">Human Translator</t>
      </text>
    </comment>
    <comment authorId="0" ref="C70">
      <text>
        <t xml:space="preserve">Human Translation</t>
      </text>
    </comment>
    <comment authorId="0" ref="C71">
      <text>
        <t xml:space="preserve">Human Translation</t>
      </text>
    </comment>
    <comment authorId="0" ref="B72">
      <text>
        <t xml:space="preserve">Human Translator</t>
      </text>
    </comment>
    <comment authorId="0" ref="C72">
      <text>
        <t xml:space="preserve">Human Translation</t>
      </text>
    </comment>
    <comment authorId="0" ref="B73">
      <text>
        <t xml:space="preserve">Human Translator</t>
      </text>
    </comment>
    <comment authorId="0" ref="C73">
      <text>
        <t xml:space="preserve">Human Translation</t>
      </text>
    </comment>
    <comment authorId="0" ref="B74">
      <text>
        <t xml:space="preserve">Human Translator</t>
      </text>
    </comment>
    <comment authorId="0" ref="C74">
      <text>
        <t xml:space="preserve">Human Translation</t>
      </text>
    </comment>
    <comment authorId="0" ref="B75">
      <text>
        <t xml:space="preserve">Human Translator</t>
      </text>
    </comment>
    <comment authorId="0" ref="C75">
      <text>
        <t xml:space="preserve">Human Translation</t>
      </text>
    </comment>
    <comment authorId="0" ref="B76">
      <text>
        <t xml:space="preserve">Human Translator</t>
      </text>
    </comment>
    <comment authorId="0" ref="C76">
      <text>
        <t xml:space="preserve">Human Translation</t>
      </text>
    </comment>
    <comment authorId="0" ref="C78">
      <text>
        <t xml:space="preserve">Human Translation</t>
      </text>
    </comment>
    <comment authorId="0" ref="C79">
      <text>
        <t xml:space="preserve">Human Translation</t>
      </text>
    </comment>
    <comment authorId="0" ref="C80">
      <text>
        <t xml:space="preserve">Human Translation</t>
      </text>
    </comment>
    <comment authorId="0" ref="C81">
      <text>
        <t xml:space="preserve">Human Translation</t>
      </text>
    </comment>
    <comment authorId="0" ref="C82">
      <text>
        <t xml:space="preserve">Human Translation</t>
      </text>
    </comment>
    <comment authorId="0" ref="C83">
      <text>
        <t xml:space="preserve">Human Translation</t>
      </text>
    </comment>
    <comment authorId="0" ref="C84">
      <text>
        <t xml:space="preserve">Human Translation</t>
      </text>
    </comment>
    <comment authorId="0" ref="C85">
      <text>
        <t xml:space="preserve">Human Translation</t>
      </text>
    </comment>
    <comment authorId="0" ref="B86">
      <text>
        <t xml:space="preserve">Human Translator</t>
      </text>
    </comment>
    <comment authorId="0" ref="B87">
      <text>
        <t xml:space="preserve">Human Translator</t>
      </text>
    </comment>
    <comment authorId="0" ref="C87">
      <text>
        <t xml:space="preserve">Human Translation</t>
      </text>
    </comment>
    <comment authorId="0" ref="B88">
      <text>
        <t xml:space="preserve">Human Translator</t>
      </text>
    </comment>
    <comment authorId="0" ref="C89">
      <text>
        <t xml:space="preserve">Human Translation</t>
      </text>
    </comment>
    <comment authorId="0" ref="C90">
      <text>
        <t xml:space="preserve">Human Translation</t>
      </text>
    </comment>
    <comment authorId="0" ref="B91">
      <text>
        <t xml:space="preserve">Human Translator</t>
      </text>
    </comment>
    <comment authorId="0" ref="B92">
      <text>
        <t xml:space="preserve">Human Translator</t>
      </text>
    </comment>
    <comment authorId="0" ref="B93">
      <text>
        <t xml:space="preserve">Human Translator</t>
      </text>
    </comment>
    <comment authorId="0" ref="C93">
      <text>
        <t xml:space="preserve">Human Translation</t>
      </text>
    </comment>
    <comment authorId="0" ref="B94">
      <text>
        <t xml:space="preserve">Human Translator</t>
      </text>
    </comment>
    <comment authorId="0" ref="B96">
      <text>
        <t xml:space="preserve">Human Translator</t>
      </text>
    </comment>
    <comment authorId="0" ref="B97">
      <text>
        <t xml:space="preserve">Human Translator</t>
      </text>
    </comment>
    <comment authorId="0" ref="B98">
      <text>
        <t xml:space="preserve">Human Translator</t>
      </text>
    </comment>
    <comment authorId="0" ref="B99">
      <text>
        <t xml:space="preserve">Human Translator</t>
      </text>
    </comment>
    <comment authorId="0" ref="B100">
      <text>
        <t xml:space="preserve">Human Translator</t>
      </text>
    </comment>
    <comment authorId="0" ref="B101">
      <text>
        <t xml:space="preserve">Human Translator</t>
      </text>
    </comment>
    <comment authorId="0" ref="B102">
      <text>
        <t xml:space="preserve">Human Translator</t>
      </text>
    </comment>
    <comment authorId="0" ref="B103">
      <text>
        <t xml:space="preserve">Human Translator</t>
      </text>
    </comment>
    <comment authorId="0" ref="C103">
      <text>
        <t xml:space="preserve">Human Translation</t>
      </text>
    </comment>
    <comment authorId="0" ref="B104">
      <text>
        <t xml:space="preserve">Human Translator</t>
      </text>
    </comment>
    <comment authorId="0" ref="C104">
      <text>
        <t xml:space="preserve">Human Translation</t>
      </text>
    </comment>
    <comment authorId="0" ref="B105">
      <text>
        <t xml:space="preserve">Human Translator</t>
      </text>
    </comment>
    <comment authorId="0" ref="C105">
      <text>
        <t xml:space="preserve">Human Translation</t>
      </text>
    </comment>
    <comment authorId="0" ref="B106">
      <text>
        <t xml:space="preserve">Human Translator</t>
      </text>
    </comment>
    <comment authorId="0" ref="C106">
      <text>
        <t xml:space="preserve">Human Translation</t>
      </text>
    </comment>
    <comment authorId="0" ref="B107">
      <text>
        <t xml:space="preserve">Human Translator</t>
      </text>
    </comment>
    <comment authorId="0" ref="C107">
      <text>
        <t xml:space="preserve">Human Translation</t>
      </text>
    </comment>
    <comment authorId="0" ref="B108">
      <text>
        <t xml:space="preserve">Human Translator</t>
      </text>
    </comment>
    <comment authorId="0" ref="C108">
      <text>
        <t xml:space="preserve">Human Translation</t>
      </text>
    </comment>
    <comment authorId="0" ref="B109">
      <text>
        <t xml:space="preserve">Human Translator</t>
      </text>
    </comment>
    <comment authorId="0" ref="C109">
      <text>
        <t xml:space="preserve">Human Translation</t>
      </text>
    </comment>
    <comment authorId="0" ref="B110">
      <text>
        <t xml:space="preserve">Human Translator</t>
      </text>
    </comment>
    <comment authorId="0" ref="C110">
      <text>
        <t xml:space="preserve">Human Translation</t>
      </text>
    </comment>
    <comment authorId="0" ref="B111">
      <text>
        <t xml:space="preserve">Human Translator</t>
      </text>
    </comment>
    <comment authorId="0" ref="C111">
      <text>
        <t xml:space="preserve">Human Translation</t>
      </text>
    </comment>
    <comment authorId="0" ref="B112">
      <text>
        <t xml:space="preserve">Human Translator</t>
      </text>
    </comment>
    <comment authorId="0" ref="C112">
      <text>
        <t xml:space="preserve">Human Translation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Human Translation</t>
      </text>
    </comment>
    <comment authorId="0" ref="G4">
      <text>
        <t xml:space="preserve">Human Translation</t>
      </text>
    </comment>
    <comment authorId="0" ref="G5">
      <text>
        <t xml:space="preserve">Human Translation</t>
      </text>
    </comment>
    <comment authorId="0" ref="P5">
      <text>
        <t xml:space="preserve">Human Translator
</t>
      </text>
    </comment>
    <comment authorId="0" ref="Q5">
      <text>
        <t xml:space="preserve">Human Translator</t>
      </text>
    </comment>
    <comment authorId="0" ref="E6">
      <text>
        <t xml:space="preserve">Human Translator</t>
      </text>
    </comment>
    <comment authorId="0" ref="G6">
      <text>
        <t xml:space="preserve">Human Translation</t>
      </text>
    </comment>
    <comment authorId="0" ref="Q6">
      <text>
        <t xml:space="preserve">Human Translator
</t>
      </text>
    </comment>
    <comment authorId="0" ref="E7">
      <text>
        <t xml:space="preserve">Human Translator</t>
      </text>
    </comment>
    <comment authorId="0" ref="G7">
      <text>
        <t xml:space="preserve">Human Translation</t>
      </text>
    </comment>
    <comment authorId="0" ref="Q7">
      <text>
        <t xml:space="preserve">Human Translator
</t>
      </text>
    </comment>
    <comment authorId="0" ref="D8">
      <text>
        <t xml:space="preserve">Human Translator</t>
      </text>
    </comment>
    <comment authorId="0" ref="E8">
      <text>
        <t xml:space="preserve">Human Translator</t>
      </text>
    </comment>
    <comment authorId="0" ref="G8">
      <text>
        <t xml:space="preserve">Human Translation</t>
      </text>
    </comment>
    <comment authorId="0" ref="P8">
      <text>
        <t xml:space="preserve">Human Translator
</t>
      </text>
    </comment>
    <comment authorId="0" ref="Q8">
      <text>
        <t xml:space="preserve">Human Translator
</t>
      </text>
    </comment>
    <comment authorId="0" ref="E9">
      <text>
        <t xml:space="preserve">Human Translator</t>
      </text>
    </comment>
    <comment authorId="0" ref="G9">
      <text>
        <t xml:space="preserve">Human Translation</t>
      </text>
    </comment>
    <comment authorId="0" ref="Q9">
      <text>
        <t xml:space="preserve">Human Translator
</t>
      </text>
    </comment>
    <comment authorId="0" ref="D10">
      <text>
        <t xml:space="preserve">Human Translator</t>
      </text>
    </comment>
    <comment authorId="0" ref="E10">
      <text>
        <t xml:space="preserve">Human Translator</t>
      </text>
    </comment>
    <comment authorId="0" ref="G10">
      <text>
        <t xml:space="preserve">Human Translation</t>
      </text>
    </comment>
    <comment authorId="0" ref="P10">
      <text>
        <t xml:space="preserve">Human Translator
</t>
      </text>
    </comment>
    <comment authorId="0" ref="Q10">
      <text>
        <t xml:space="preserve">Human Translator
</t>
      </text>
    </comment>
    <comment authorId="0" ref="E11">
      <text>
        <t xml:space="preserve">Human Translator</t>
      </text>
    </comment>
    <comment authorId="0" ref="G11">
      <text>
        <t xml:space="preserve">Human Translation</t>
      </text>
    </comment>
    <comment authorId="0" ref="P11">
      <text>
        <t xml:space="preserve">Human Translator</t>
      </text>
    </comment>
    <comment authorId="0" ref="Q11">
      <text>
        <t xml:space="preserve">Human Translator
</t>
      </text>
    </comment>
    <comment authorId="0" ref="D12">
      <text>
        <t xml:space="preserve">Human Translator</t>
      </text>
    </comment>
    <comment authorId="0" ref="E12">
      <text>
        <t xml:space="preserve">Human Translator</t>
      </text>
    </comment>
    <comment authorId="0" ref="G12">
      <text>
        <t xml:space="preserve">Human Translation</t>
      </text>
    </comment>
    <comment authorId="0" ref="P12">
      <text>
        <t xml:space="preserve">Human Translator</t>
      </text>
    </comment>
    <comment authorId="0" ref="Q12">
      <text>
        <t xml:space="preserve">Human Translator
</t>
      </text>
    </comment>
    <comment authorId="0" ref="D13">
      <text>
        <t xml:space="preserve">Human Translator</t>
      </text>
    </comment>
    <comment authorId="0" ref="E13">
      <text>
        <t xml:space="preserve">Human Translator</t>
      </text>
    </comment>
    <comment authorId="0" ref="G13">
      <text>
        <t xml:space="preserve">Human Translation</t>
      </text>
    </comment>
    <comment authorId="0" ref="P13">
      <text>
        <t xml:space="preserve">Human Translator</t>
      </text>
    </comment>
    <comment authorId="0" ref="Q13">
      <text>
        <t xml:space="preserve">Human Translator</t>
      </text>
    </comment>
    <comment authorId="0" ref="D14">
      <text>
        <t xml:space="preserve">Human Translator</t>
      </text>
    </comment>
    <comment authorId="0" ref="E14">
      <text>
        <t xml:space="preserve">Human Translator</t>
      </text>
    </comment>
    <comment authorId="0" ref="G14">
      <text>
        <t xml:space="preserve">Human Translation</t>
      </text>
    </comment>
    <comment authorId="0" ref="D15">
      <text>
        <t xml:space="preserve">Human Translator</t>
      </text>
    </comment>
    <comment authorId="0" ref="E15">
      <text>
        <t xml:space="preserve">Human Translator</t>
      </text>
    </comment>
    <comment authorId="0" ref="G15">
      <text>
        <t xml:space="preserve">Human Translation</t>
      </text>
    </comment>
    <comment authorId="0" ref="P15">
      <text>
        <t xml:space="preserve">Human Translator
</t>
      </text>
    </comment>
    <comment authorId="0" ref="Q15">
      <text>
        <t xml:space="preserve">Human Translator
</t>
      </text>
    </comment>
    <comment authorId="0" ref="D16">
      <text>
        <t xml:space="preserve">Human Translator</t>
      </text>
    </comment>
    <comment authorId="0" ref="E16">
      <text>
        <t xml:space="preserve">Human Translator</t>
      </text>
    </comment>
    <comment authorId="0" ref="G16">
      <text>
        <t xml:space="preserve">Human Translation</t>
      </text>
    </comment>
    <comment authorId="0" ref="P16">
      <text>
        <t xml:space="preserve">Human Translator
</t>
      </text>
    </comment>
    <comment authorId="0" ref="Q16">
      <text>
        <t xml:space="preserve">Human Translator</t>
      </text>
    </comment>
    <comment authorId="0" ref="D17">
      <text>
        <t xml:space="preserve">Human Translator</t>
      </text>
    </comment>
    <comment authorId="0" ref="G17">
      <text>
        <t xml:space="preserve">Human Translation</t>
      </text>
    </comment>
    <comment authorId="0" ref="P17">
      <text>
        <t xml:space="preserve">Human Translator</t>
      </text>
    </comment>
    <comment authorId="0" ref="Q17">
      <text>
        <t xml:space="preserve">Human Translator</t>
      </text>
    </comment>
    <comment authorId="0" ref="F18">
      <text>
        <t xml:space="preserve">Human Translator</t>
      </text>
    </comment>
    <comment authorId="0" ref="G18">
      <text>
        <t xml:space="preserve">Human Translation</t>
      </text>
    </comment>
    <comment authorId="0" ref="P18">
      <text>
        <t xml:space="preserve">Human Translator</t>
      </text>
    </comment>
    <comment authorId="0" ref="Q18">
      <text>
        <t xml:space="preserve">Human Translator</t>
      </text>
    </comment>
    <comment authorId="0" ref="R18">
      <text>
        <t xml:space="preserve">Human Translator</t>
      </text>
    </comment>
    <comment authorId="0" ref="D19">
      <text>
        <t xml:space="preserve">Human Translator</t>
      </text>
    </comment>
    <comment authorId="0" ref="F19">
      <text>
        <t xml:space="preserve">Human Translator</t>
      </text>
    </comment>
    <comment authorId="0" ref="G19">
      <text>
        <t xml:space="preserve">Human Translation</t>
      </text>
    </comment>
    <comment authorId="0" ref="P19">
      <text>
        <t xml:space="preserve">Human Translator</t>
      </text>
    </comment>
    <comment authorId="0" ref="Q19">
      <text>
        <t xml:space="preserve">Human Translator</t>
      </text>
    </comment>
    <comment authorId="0" ref="R19">
      <text>
        <t xml:space="preserve">Human Translator
</t>
      </text>
    </comment>
    <comment authorId="0" ref="D20">
      <text>
        <t xml:space="preserve">Human Translator</t>
      </text>
    </comment>
    <comment authorId="0" ref="F20">
      <text>
        <t xml:space="preserve">Human Translator</t>
      </text>
    </comment>
    <comment authorId="0" ref="G20">
      <text>
        <t xml:space="preserve">Human Translation</t>
      </text>
    </comment>
    <comment authorId="0" ref="P20">
      <text>
        <t xml:space="preserve">Human Translator</t>
      </text>
    </comment>
    <comment authorId="0" ref="Q20">
      <text>
        <t xml:space="preserve">Human Translator</t>
      </text>
    </comment>
    <comment authorId="0" ref="R20">
      <text>
        <t xml:space="preserve">Human Translator</t>
      </text>
    </comment>
    <comment authorId="0" ref="D21">
      <text>
        <t xml:space="preserve">Human Translator</t>
      </text>
    </comment>
    <comment authorId="0" ref="F21">
      <text>
        <t xml:space="preserve">Human Translator</t>
      </text>
    </comment>
    <comment authorId="0" ref="G21">
      <text>
        <t xml:space="preserve">Human Translation</t>
      </text>
    </comment>
    <comment authorId="0" ref="P21">
      <text>
        <t xml:space="preserve">Human Translator</t>
      </text>
    </comment>
    <comment authorId="0" ref="Q21">
      <text>
        <t xml:space="preserve">Human Translator</t>
      </text>
    </comment>
    <comment authorId="0" ref="R21">
      <text>
        <t xml:space="preserve">Human Translator</t>
      </text>
    </comment>
    <comment authorId="0" ref="D22">
      <text>
        <t xml:space="preserve">Human Translator</t>
      </text>
    </comment>
    <comment authorId="0" ref="F22">
      <text>
        <t xml:space="preserve">Human Translator</t>
      </text>
    </comment>
    <comment authorId="0" ref="G22">
      <text>
        <t xml:space="preserve">Human Translation</t>
      </text>
    </comment>
    <comment authorId="0" ref="P22">
      <text>
        <t xml:space="preserve">Human Translator</t>
      </text>
    </comment>
    <comment authorId="0" ref="Q22">
      <text>
        <t xml:space="preserve">Human Translator</t>
      </text>
    </comment>
    <comment authorId="0" ref="R22">
      <text>
        <t xml:space="preserve">Human Translator</t>
      </text>
    </comment>
    <comment authorId="0" ref="D23">
      <text>
        <t xml:space="preserve">Human Translator</t>
      </text>
    </comment>
    <comment authorId="0" ref="F23">
      <text>
        <t xml:space="preserve">Human Translator</t>
      </text>
    </comment>
    <comment authorId="0" ref="G23">
      <text>
        <t xml:space="preserve">Human Translation</t>
      </text>
    </comment>
    <comment authorId="0" ref="P23">
      <text>
        <t xml:space="preserve">Human Translator</t>
      </text>
    </comment>
    <comment authorId="0" ref="Q23">
      <text>
        <t xml:space="preserve">Human Translator</t>
      </text>
    </comment>
    <comment authorId="0" ref="R23">
      <text>
        <t xml:space="preserve">Human Translator</t>
      </text>
    </comment>
    <comment authorId="0" ref="D24">
      <text>
        <t xml:space="preserve">Human Translator</t>
      </text>
    </comment>
    <comment authorId="0" ref="G24">
      <text>
        <t xml:space="preserve">Human Translation</t>
      </text>
    </comment>
    <comment authorId="0" ref="Q24">
      <text>
        <t xml:space="preserve">Human Translator</t>
      </text>
    </comment>
    <comment authorId="0" ref="G25">
      <text>
        <t xml:space="preserve">Human Translation</t>
      </text>
    </comment>
    <comment authorId="0" ref="P25">
      <text>
        <t xml:space="preserve">Human Translator</t>
      </text>
    </comment>
    <comment authorId="0" ref="G26">
      <text>
        <t xml:space="preserve">Human Translation</t>
      </text>
    </comment>
    <comment authorId="0" ref="Q26">
      <text>
        <t xml:space="preserve">Human Translator</t>
      </text>
    </comment>
    <comment authorId="0" ref="D27">
      <text>
        <t xml:space="preserve">Human Translator</t>
      </text>
    </comment>
    <comment authorId="0" ref="E27">
      <text>
        <t xml:space="preserve">Human Translator</t>
      </text>
    </comment>
    <comment authorId="0" ref="G27">
      <text>
        <t xml:space="preserve">Human Translation</t>
      </text>
    </comment>
    <comment authorId="0" ref="Q27">
      <text>
        <t xml:space="preserve">Human Translator</t>
      </text>
    </comment>
    <comment authorId="0" ref="G28">
      <text>
        <t xml:space="preserve">Human Translation</t>
      </text>
    </comment>
    <comment authorId="0" ref="P28">
      <text>
        <t xml:space="preserve">Human Translator</t>
      </text>
    </comment>
    <comment authorId="0" ref="Q28">
      <text>
        <t xml:space="preserve">Human Translator</t>
      </text>
    </comment>
    <comment authorId="0" ref="G29">
      <text>
        <t xml:space="preserve">Human Translation</t>
      </text>
    </comment>
    <comment authorId="0" ref="P29">
      <text>
        <t xml:space="preserve">Human Translator</t>
      </text>
    </comment>
    <comment authorId="0" ref="Q29">
      <text>
        <t xml:space="preserve">Human Translator</t>
      </text>
    </comment>
    <comment authorId="0" ref="G30">
      <text>
        <t xml:space="preserve">Human Translation</t>
      </text>
    </comment>
    <comment authorId="0" ref="Q30">
      <text>
        <t xml:space="preserve">Human Translator</t>
      </text>
    </comment>
    <comment authorId="0" ref="E31">
      <text>
        <t xml:space="preserve">Human Translator</t>
      </text>
    </comment>
    <comment authorId="0" ref="F31">
      <text>
        <t xml:space="preserve">Human Translator</t>
      </text>
    </comment>
    <comment authorId="0" ref="G31">
      <text>
        <t xml:space="preserve">Human Translation</t>
      </text>
    </comment>
    <comment authorId="0" ref="Q31">
      <text>
        <t xml:space="preserve">Human Translator</t>
      </text>
    </comment>
    <comment authorId="0" ref="R31">
      <text>
        <t xml:space="preserve">Human Translator</t>
      </text>
    </comment>
    <comment authorId="0" ref="G32">
      <text>
        <t xml:space="preserve">Human Translation</t>
      </text>
    </comment>
    <comment authorId="0" ref="P32">
      <text>
        <t xml:space="preserve">Human Translator</t>
      </text>
    </comment>
    <comment authorId="0" ref="G33">
      <text>
        <t xml:space="preserve">Human Translation</t>
      </text>
    </comment>
    <comment authorId="0" ref="P33">
      <text>
        <t xml:space="preserve">Human Translator</t>
      </text>
    </comment>
    <comment authorId="0" ref="G34">
      <text>
        <t xml:space="preserve">Human Translation</t>
      </text>
    </comment>
    <comment authorId="0" ref="G35">
      <text>
        <t xml:space="preserve">Human Translation</t>
      </text>
    </comment>
    <comment authorId="0" ref="G36">
      <text>
        <t xml:space="preserve">Human Translation</t>
      </text>
    </comment>
    <comment authorId="0" ref="Q36">
      <text>
        <t xml:space="preserve">Human Translator</t>
      </text>
    </comment>
    <comment authorId="0" ref="E37">
      <text>
        <t xml:space="preserve">Human Translator</t>
      </text>
    </comment>
    <comment authorId="0" ref="F37">
      <text>
        <t xml:space="preserve">Human Translator</t>
      </text>
    </comment>
    <comment authorId="0" ref="G37">
      <text>
        <t xml:space="preserve">Human Translation</t>
      </text>
    </comment>
    <comment authorId="0" ref="Q37">
      <text>
        <t xml:space="preserve">Human Translator</t>
      </text>
    </comment>
    <comment authorId="0" ref="R37">
      <text>
        <t xml:space="preserve">Human Translator</t>
      </text>
    </comment>
    <comment authorId="0" ref="E38">
      <text>
        <t xml:space="preserve">Human Translator</t>
      </text>
    </comment>
    <comment authorId="0" ref="F38">
      <text>
        <t xml:space="preserve">Human Translator</t>
      </text>
    </comment>
    <comment authorId="0" ref="G38">
      <text>
        <t xml:space="preserve">Human Translation</t>
      </text>
    </comment>
    <comment authorId="0" ref="Q38">
      <text>
        <t xml:space="preserve">Human Translator</t>
      </text>
    </comment>
    <comment authorId="0" ref="R38">
      <text>
        <t xml:space="preserve">Human Translator</t>
      </text>
    </comment>
    <comment authorId="0" ref="G39">
      <text>
        <t xml:space="preserve">Human Translation</t>
      </text>
    </comment>
    <comment authorId="0" ref="Q39">
      <text>
        <t xml:space="preserve">Human Translator
</t>
      </text>
    </comment>
    <comment authorId="0" ref="G40">
      <text>
        <t xml:space="preserve">Human Translation</t>
      </text>
    </comment>
    <comment authorId="0" ref="Q40">
      <text>
        <t xml:space="preserve">Human Translator</t>
      </text>
    </comment>
    <comment authorId="0" ref="G41">
      <text>
        <t xml:space="preserve">Human Translation</t>
      </text>
    </comment>
    <comment authorId="0" ref="D42">
      <text>
        <t xml:space="preserve">Human Translator</t>
      </text>
    </comment>
    <comment authorId="0" ref="F42">
      <text>
        <t xml:space="preserve">Human Translator</t>
      </text>
    </comment>
    <comment authorId="0" ref="G42">
      <text>
        <t xml:space="preserve">Human Translator</t>
      </text>
    </comment>
    <comment authorId="0" ref="V42">
      <text>
        <t xml:space="preserve">Human Translator</t>
      </text>
    </comment>
    <comment authorId="0" ref="D43">
      <text>
        <t xml:space="preserve">Human Translator</t>
      </text>
    </comment>
    <comment authorId="0" ref="E43">
      <text>
        <t xml:space="preserve">Human Translator</t>
      </text>
    </comment>
    <comment authorId="0" ref="G43">
      <text>
        <t xml:space="preserve">Human Translator</t>
      </text>
    </comment>
    <comment authorId="0" ref="E44">
      <text>
        <t xml:space="preserve">Human Translator</t>
      </text>
    </comment>
    <comment authorId="0" ref="D45">
      <text>
        <t xml:space="preserve">Human Translator</t>
      </text>
    </comment>
    <comment authorId="0" ref="E45">
      <text>
        <t xml:space="preserve">Human Translator</t>
      </text>
    </comment>
    <comment authorId="0" ref="G45">
      <text>
        <t xml:space="preserve">Human Translation</t>
      </text>
    </comment>
    <comment authorId="0" ref="G46">
      <text>
        <t xml:space="preserve">Human Translation</t>
      </text>
    </comment>
    <comment authorId="0" ref="G47">
      <text>
        <t xml:space="preserve">Human Translation</t>
      </text>
    </comment>
    <comment authorId="0" ref="G48">
      <text>
        <t xml:space="preserve">Human Translation</t>
      </text>
    </comment>
    <comment authorId="0" ref="G49">
      <text>
        <t xml:space="preserve">Human Translation</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E3">
      <text>
        <t xml:space="preserve">Human Translation</t>
      </text>
    </comment>
    <comment authorId="0" ref="E4">
      <text>
        <t xml:space="preserve">Human Translation</t>
      </text>
    </comment>
    <comment authorId="0" ref="K4">
      <text>
        <t xml:space="preserve">Human Translator</t>
      </text>
    </comment>
    <comment authorId="0" ref="L4">
      <text>
        <t xml:space="preserve">Human Translator</t>
      </text>
    </comment>
    <comment authorId="0" ref="C5">
      <text>
        <t xml:space="preserve">Human Translator</t>
      </text>
    </comment>
    <comment authorId="0" ref="E5">
      <text>
        <t xml:space="preserve">Human Translation</t>
      </text>
    </comment>
    <comment authorId="0" ref="K5">
      <text>
        <t xml:space="preserve">Human Translator</t>
      </text>
    </comment>
    <comment authorId="0" ref="C6">
      <text>
        <t xml:space="preserve">Human Translator</t>
      </text>
    </comment>
    <comment authorId="0" ref="E6">
      <text>
        <t xml:space="preserve">Human Translation</t>
      </text>
    </comment>
    <comment authorId="0" ref="E7">
      <text>
        <t xml:space="preserve">Human Translation</t>
      </text>
    </comment>
    <comment authorId="0" ref="K7">
      <text>
        <t xml:space="preserve">Human Translator</t>
      </text>
    </comment>
    <comment authorId="0" ref="E8">
      <text>
        <t xml:space="preserve">Human Translation</t>
      </text>
    </comment>
    <comment authorId="0" ref="L8">
      <text>
        <t xml:space="preserve">Human Translator</t>
      </text>
    </comment>
    <comment authorId="0" ref="C9">
      <text>
        <t xml:space="preserve">Human Translator</t>
      </text>
    </comment>
    <comment authorId="0" ref="E9">
      <text>
        <t xml:space="preserve">Human Translation</t>
      </text>
    </comment>
    <comment authorId="0" ref="K9">
      <text>
        <t xml:space="preserve">Human Translator</t>
      </text>
    </comment>
    <comment authorId="0" ref="C10">
      <text>
        <t xml:space="preserve">Human Translator</t>
      </text>
    </comment>
    <comment authorId="0" ref="D10">
      <text>
        <t xml:space="preserve">Human Translator</t>
      </text>
    </comment>
    <comment authorId="0" ref="C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C12">
      <text>
        <t xml:space="preserve">Human Translator</t>
      </text>
    </comment>
    <comment authorId="0" ref="E12">
      <text>
        <t xml:space="preserve">Human Translation</t>
      </text>
    </comment>
    <comment authorId="0" ref="L12">
      <text>
        <t xml:space="preserve">Human Translator</t>
      </text>
    </comment>
    <comment authorId="0" ref="E13">
      <text>
        <t xml:space="preserve">Human Translation</t>
      </text>
    </comment>
    <comment authorId="0" ref="K13">
      <text>
        <t xml:space="preserve">Human Translator</t>
      </text>
    </comment>
    <comment authorId="0" ref="C14">
      <text>
        <t xml:space="preserve">Human Translator</t>
      </text>
    </comment>
    <comment authorId="0" ref="E14">
      <text>
        <t xml:space="preserve">Human Translation</t>
      </text>
    </comment>
    <comment authorId="0" ref="K14">
      <text>
        <t xml:space="preserve">Human Translator</t>
      </text>
    </comment>
    <comment authorId="0" ref="E15">
      <text>
        <t xml:space="preserve">Human Translation</t>
      </text>
    </comment>
    <comment authorId="0" ref="C16">
      <text>
        <t xml:space="preserve">Human Translator</t>
      </text>
    </comment>
    <comment authorId="0" ref="E16">
      <text>
        <t xml:space="preserve">Human Translation</t>
      </text>
    </comment>
    <comment authorId="0" ref="C17">
      <text>
        <t xml:space="preserve">Human Translator</t>
      </text>
    </comment>
    <comment authorId="0" ref="E17">
      <text>
        <t xml:space="preserve">Human Translation</t>
      </text>
    </comment>
    <comment authorId="0" ref="C18">
      <text>
        <t xml:space="preserve">Human Translator</t>
      </text>
    </comment>
    <comment authorId="0" ref="E18">
      <text>
        <t xml:space="preserve">Human Translation</t>
      </text>
    </comment>
    <comment authorId="0" ref="C19">
      <text>
        <t xml:space="preserve">Human Translator</t>
      </text>
    </comment>
    <comment authorId="0" ref="E19">
      <text>
        <t xml:space="preserve">Human Translation</t>
      </text>
    </comment>
    <comment authorId="0" ref="C20">
      <text>
        <t xml:space="preserve">Human Translator</t>
      </text>
    </comment>
    <comment authorId="0" ref="E20">
      <text>
        <t xml:space="preserve">Human Translation</t>
      </text>
    </comment>
    <comment authorId="0" ref="C21">
      <text>
        <t xml:space="preserve">Human Translator</t>
      </text>
    </comment>
    <comment authorId="0" ref="E21">
      <text>
        <t xml:space="preserve">Human Translation</t>
      </text>
    </comment>
    <comment authorId="0" ref="C22">
      <text>
        <t xml:space="preserve">Human Translator</t>
      </text>
    </comment>
    <comment authorId="0" ref="E22">
      <text>
        <t xml:space="preserve">Human Translation</t>
      </text>
    </comment>
    <comment authorId="0" ref="C23">
      <text>
        <t xml:space="preserve">Human Translator</t>
      </text>
    </comment>
    <comment authorId="0" ref="E23">
      <text>
        <t xml:space="preserve">Human Translation</t>
      </text>
    </comment>
    <comment authorId="0" ref="C24">
      <text>
        <t xml:space="preserve">Human Translator</t>
      </text>
    </comment>
    <comment authorId="0" ref="E24">
      <text>
        <t xml:space="preserve">Human Translator</t>
      </text>
    </comment>
    <comment authorId="0" ref="O24">
      <text>
        <t xml:space="preserve">Human Translator</t>
      </text>
    </comment>
    <comment authorId="0" ref="C25">
      <text>
        <t xml:space="preserve">Human Translator</t>
      </text>
    </comment>
    <comment authorId="0" ref="E25">
      <text>
        <t xml:space="preserve">Human Translator</t>
      </text>
    </comment>
    <comment authorId="0" ref="O25">
      <text>
        <t xml:space="preserve">Human Translator</t>
      </text>
    </comment>
    <comment authorId="0" ref="C26">
      <text>
        <t xml:space="preserve">Human Translator</t>
      </text>
    </comment>
    <comment authorId="0" ref="D26">
      <text>
        <t xml:space="preserve">Human Translator</t>
      </text>
    </comment>
    <comment authorId="0" ref="E26">
      <text>
        <t xml:space="preserve">Human Translation</t>
      </text>
    </comment>
    <comment authorId="0" ref="C27">
      <text>
        <t xml:space="preserve">Human Translator</t>
      </text>
    </comment>
    <comment authorId="0" ref="E27">
      <text>
        <t xml:space="preserve">Human Translation</t>
      </text>
    </comment>
    <comment authorId="0" ref="H27">
      <text>
        <t xml:space="preserve">Human Translator</t>
      </text>
    </comment>
    <comment authorId="0" ref="E28">
      <text>
        <t xml:space="preserve">Human Translation</t>
      </text>
    </comment>
    <comment authorId="0" ref="C29">
      <text>
        <t xml:space="preserve">Human Translator</t>
      </text>
    </comment>
    <comment authorId="0" ref="E29">
      <text>
        <t xml:space="preserve">Human Translation</t>
      </text>
    </comment>
    <comment authorId="0" ref="C30">
      <text>
        <t xml:space="preserve">Human Translator</t>
      </text>
    </comment>
    <comment authorId="0" ref="E30">
      <text>
        <t xml:space="preserve">Human Translation</t>
      </text>
    </comment>
    <comment authorId="0" ref="C31">
      <text>
        <t xml:space="preserve">Human Translator</t>
      </text>
    </comment>
    <comment authorId="0" ref="E31">
      <text>
        <t xml:space="preserve">Human Translator
</t>
      </text>
    </comment>
    <comment authorId="0" ref="E32">
      <text>
        <t xml:space="preserve">Human Translation</t>
      </text>
    </comment>
    <comment authorId="0" ref="C33">
      <text>
        <t xml:space="preserve">Human Translator</t>
      </text>
    </comment>
    <comment authorId="0" ref="E33">
      <text>
        <t xml:space="preserve">Human Translation</t>
      </text>
    </comment>
    <comment authorId="0" ref="E34">
      <text>
        <t xml:space="preserve">Human Translation</t>
      </text>
    </comment>
    <comment authorId="0" ref="C35">
      <text>
        <t xml:space="preserve">Human Translator</t>
      </text>
    </comment>
    <comment authorId="0" ref="E35">
      <text>
        <t xml:space="preserve">Human Translation</t>
      </text>
    </comment>
    <comment authorId="0" ref="E36">
      <text>
        <t xml:space="preserve">Human Translation</t>
      </text>
    </comment>
    <comment authorId="0" ref="E37">
      <text>
        <t xml:space="preserve">Human Translation</t>
      </text>
    </comment>
    <comment authorId="0" ref="C38">
      <text>
        <t xml:space="preserve">Human Translator</t>
      </text>
    </comment>
    <comment authorId="0" ref="E38">
      <text>
        <t xml:space="preserve">Human Translation</t>
      </text>
    </comment>
    <comment authorId="0" ref="C39">
      <text>
        <t xml:space="preserve">Human Translator</t>
      </text>
    </comment>
    <comment authorId="0" ref="E39">
      <text>
        <t xml:space="preserve">Human Translation</t>
      </text>
    </comment>
    <comment authorId="0" ref="C40">
      <text>
        <t xml:space="preserve">Human Translator</t>
      </text>
    </comment>
    <comment authorId="0" ref="E40">
      <text>
        <t xml:space="preserve">Human Translation</t>
      </text>
    </comment>
    <comment authorId="0" ref="C41">
      <text>
        <t xml:space="preserve">Human Translator</t>
      </text>
    </comment>
    <comment authorId="0" ref="D41">
      <text>
        <t xml:space="preserve">Human Translator</t>
      </text>
    </comment>
    <comment authorId="0" ref="E41">
      <text>
        <t xml:space="preserve">Human Translation</t>
      </text>
    </comment>
    <comment authorId="0" ref="C42">
      <text>
        <t xml:space="preserve">Human Translator</t>
      </text>
    </comment>
    <comment authorId="0" ref="D42">
      <text>
        <t xml:space="preserve">Human Translator</t>
      </text>
    </comment>
    <comment authorId="0" ref="E42">
      <text>
        <t xml:space="preserve">Human Translation</t>
      </text>
    </comment>
    <comment authorId="0" ref="E43">
      <text>
        <t xml:space="preserve">Human Translation</t>
      </text>
    </comment>
    <comment authorId="0" ref="E44">
      <text>
        <t xml:space="preserve">Human Translation</t>
      </text>
    </comment>
    <comment authorId="0" ref="C45">
      <text>
        <t xml:space="preserve">Human Translator</t>
      </text>
    </comment>
    <comment authorId="0" ref="E45">
      <text>
        <t xml:space="preserve">Human Translation</t>
      </text>
    </comment>
    <comment authorId="0" ref="E46">
      <text>
        <t xml:space="preserve">Human Translation</t>
      </text>
    </comment>
    <comment authorId="0" ref="C47">
      <text>
        <t xml:space="preserve">Human Translator</t>
      </text>
    </comment>
    <comment authorId="0" ref="D47">
      <text>
        <t xml:space="preserve">Human Translator</t>
      </text>
    </comment>
    <comment authorId="0" ref="E47">
      <text>
        <t xml:space="preserve">Human Translation</t>
      </text>
    </comment>
    <comment authorId="0" ref="E48">
      <text>
        <t xml:space="preserve">Human Translation</t>
      </text>
    </comment>
    <comment authorId="0" ref="E49">
      <text>
        <t xml:space="preserve">Human Translation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C4">
      <text>
        <t xml:space="preserve">Human Translator</t>
      </text>
    </comment>
    <comment authorId="0" ref="E4">
      <text>
        <t xml:space="preserve">Human Translation</t>
      </text>
    </comment>
    <comment authorId="0" ref="K4">
      <text>
        <t xml:space="preserve">Human Translator</t>
      </text>
    </comment>
    <comment authorId="0" ref="L4">
      <text>
        <t xml:space="preserve">Human Translator</t>
      </text>
    </comment>
    <comment authorId="0" ref="C5">
      <text>
        <t xml:space="preserve">Human Translator</t>
      </text>
    </comment>
    <comment authorId="0" ref="E5">
      <text>
        <t xml:space="preserve">Human Translation</t>
      </text>
    </comment>
    <comment authorId="0" ref="L5">
      <text>
        <t xml:space="preserve">Human Translator</t>
      </text>
    </comment>
    <comment authorId="0" ref="E6">
      <text>
        <t xml:space="preserve">Human Translation</t>
      </text>
    </comment>
    <comment authorId="0" ref="E7">
      <text>
        <t xml:space="preserve">Human Translation</t>
      </text>
    </comment>
    <comment authorId="0" ref="C8">
      <text>
        <t xml:space="preserve">Human Translator</t>
      </text>
    </comment>
    <comment authorId="0" ref="E8">
      <text>
        <t xml:space="preserve">Human Translation</t>
      </text>
    </comment>
    <comment authorId="0" ref="K8">
      <text>
        <t xml:space="preserve">Human Translator</t>
      </text>
    </comment>
    <comment authorId="0" ref="L8">
      <text>
        <t xml:space="preserve">Human Translator</t>
      </text>
    </comment>
    <comment authorId="0" ref="C9">
      <text>
        <t xml:space="preserve">Human Translator</t>
      </text>
    </comment>
    <comment authorId="0" ref="E9">
      <text>
        <t xml:space="preserve">Human Translation</t>
      </text>
    </comment>
    <comment authorId="0" ref="K9">
      <text>
        <t xml:space="preserve">Human Translator</t>
      </text>
    </comment>
    <comment authorId="0" ref="L9">
      <text>
        <t xml:space="preserve">Human Translator</t>
      </text>
    </comment>
    <comment authorId="0" ref="C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C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C12">
      <text>
        <t xml:space="preserve">Human Translator</t>
      </text>
    </comment>
    <comment authorId="0" ref="E12">
      <text>
        <t xml:space="preserve">Human Translation</t>
      </text>
    </comment>
    <comment authorId="0" ref="K12">
      <text>
        <t xml:space="preserve">Human Translator</t>
      </text>
    </comment>
    <comment authorId="0" ref="L12">
      <text>
        <t xml:space="preserve">Human Translator</t>
      </text>
    </comment>
    <comment authorId="0" ref="D13">
      <text>
        <t xml:space="preserve">Human Translator</t>
      </text>
    </comment>
    <comment authorId="0" ref="E13">
      <text>
        <t xml:space="preserve">Human Translation</t>
      </text>
    </comment>
    <comment authorId="0" ref="K13">
      <text>
        <t xml:space="preserve">Human Translator
</t>
      </text>
    </comment>
    <comment authorId="0" ref="L13">
      <text>
        <t xml:space="preserve">Human Translator</t>
      </text>
    </comment>
    <comment authorId="0" ref="E14">
      <text>
        <t xml:space="preserve">Human Translation</t>
      </text>
    </comment>
    <comment authorId="0" ref="K14">
      <text>
        <t xml:space="preserve">Human Translator</t>
      </text>
    </comment>
    <comment authorId="0" ref="L14">
      <text>
        <t xml:space="preserve">Human Translator</t>
      </text>
    </comment>
    <comment authorId="0" ref="C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C16">
      <text>
        <t xml:space="preserve">Human Translator</t>
      </text>
    </comment>
    <comment authorId="0" ref="E16">
      <text>
        <t xml:space="preserve">Human Translation</t>
      </text>
    </comment>
    <comment authorId="0" ref="K16">
      <text>
        <t xml:space="preserve">Human Translator</t>
      </text>
    </comment>
    <comment authorId="0" ref="L16">
      <text>
        <t xml:space="preserve">Human Translator</t>
      </text>
    </comment>
    <comment authorId="0" ref="C17">
      <text>
        <t xml:space="preserve">Human Translator</t>
      </text>
    </comment>
    <comment authorId="0" ref="E17">
      <text>
        <t xml:space="preserve">Human Translation</t>
      </text>
    </comment>
    <comment authorId="0" ref="K17">
      <text>
        <t xml:space="preserve">Human Translator</t>
      </text>
    </comment>
    <comment authorId="0" ref="L17">
      <text>
        <t xml:space="preserve">Human Translator</t>
      </text>
    </comment>
    <comment authorId="0" ref="C18">
      <text>
        <t xml:space="preserve">Human Translator</t>
      </text>
    </comment>
    <comment authorId="0" ref="C19">
      <text>
        <t xml:space="preserve">Human Translator</t>
      </text>
    </comment>
    <comment authorId="0" ref="E19">
      <text>
        <t xml:space="preserve">Human Translation</t>
      </text>
    </comment>
    <comment authorId="0" ref="C20">
      <text>
        <t xml:space="preserve">Human Translator</t>
      </text>
    </comment>
    <comment authorId="0" ref="E20">
      <text>
        <t xml:space="preserve">Human Translation</t>
      </text>
    </comment>
    <comment authorId="0" ref="E21">
      <text>
        <t xml:space="preserve">Human Translation</t>
      </text>
    </comment>
    <comment authorId="0" ref="K21">
      <text>
        <t xml:space="preserve">Human Translator</t>
      </text>
    </comment>
    <comment authorId="0" ref="L21">
      <text>
        <t xml:space="preserve">Human Translator
</t>
      </text>
    </comment>
    <comment authorId="0" ref="C22">
      <text>
        <t xml:space="preserve">Human Translator</t>
      </text>
    </comment>
    <comment authorId="0" ref="E22">
      <text>
        <t xml:space="preserve">Human Translation</t>
      </text>
    </comment>
    <comment authorId="0" ref="K22">
      <text>
        <t xml:space="preserve">Human Translator</t>
      </text>
    </comment>
    <comment authorId="0" ref="L22">
      <text>
        <t xml:space="preserve">Human Translator</t>
      </text>
    </comment>
    <comment authorId="0" ref="C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C24">
      <text>
        <t xml:space="preserve">Human Translator</t>
      </text>
    </comment>
    <comment authorId="0" ref="E24">
      <text>
        <t xml:space="preserve">Human Translation</t>
      </text>
    </comment>
    <comment authorId="0" ref="L24">
      <text>
        <t xml:space="preserve">Human Translator</t>
      </text>
    </comment>
    <comment authorId="0" ref="C25">
      <text>
        <t xml:space="preserve">Human Translator</t>
      </text>
    </comment>
    <comment authorId="0" ref="E25">
      <text>
        <t xml:space="preserve">Human Translation</t>
      </text>
    </comment>
    <comment authorId="0" ref="K25">
      <text>
        <t xml:space="preserve">Human Translator</t>
      </text>
    </comment>
    <comment authorId="0" ref="L25">
      <text>
        <t xml:space="preserve">Human Translator</t>
      </text>
    </comment>
    <comment authorId="0" ref="C26">
      <text>
        <t xml:space="preserve">Human Translator</t>
      </text>
    </comment>
    <comment authorId="0" ref="E26">
      <text>
        <t xml:space="preserve">Human Translation</t>
      </text>
    </comment>
    <comment authorId="0" ref="L26">
      <text>
        <t xml:space="preserve">Human Translator</t>
      </text>
    </comment>
    <comment authorId="0" ref="C27">
      <text>
        <t xml:space="preserve">Human Translator</t>
      </text>
    </comment>
    <comment authorId="0" ref="E27">
      <text>
        <t xml:space="preserve">Human Translation</t>
      </text>
    </comment>
    <comment authorId="0" ref="K27">
      <text>
        <t xml:space="preserve">Human Translator</t>
      </text>
    </comment>
    <comment authorId="0" ref="L27">
      <text>
        <t xml:space="preserve">Human Translator</t>
      </text>
    </comment>
    <comment authorId="0" ref="C28">
      <text>
        <t xml:space="preserve">Human Translator</t>
      </text>
    </comment>
    <comment authorId="0" ref="E28">
      <text>
        <t xml:space="preserve">Human Translation</t>
      </text>
    </comment>
    <comment authorId="0" ref="K28">
      <text>
        <t xml:space="preserve">Human Translator</t>
      </text>
    </comment>
    <comment authorId="0" ref="L28">
      <text>
        <t xml:space="preserve">Human Translator</t>
      </text>
    </comment>
    <comment authorId="0" ref="C29">
      <text>
        <t xml:space="preserve">Human Translator</t>
      </text>
    </comment>
    <comment authorId="0" ref="E29">
      <text>
        <t xml:space="preserve">Human Translation</t>
      </text>
    </comment>
    <comment authorId="0" ref="K29">
      <text>
        <t xml:space="preserve">Human Translator</t>
      </text>
    </comment>
    <comment authorId="0" ref="L29">
      <text>
        <t xml:space="preserve">Human Translator</t>
      </text>
    </comment>
    <comment authorId="0" ref="C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C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C32">
      <text>
        <t xml:space="preserve">Human Translator</t>
      </text>
    </comment>
    <comment authorId="0" ref="E32">
      <text>
        <t xml:space="preserve">Human Translation</t>
      </text>
    </comment>
    <comment authorId="0" ref="K32">
      <text>
        <t xml:space="preserve">Human Translator</t>
      </text>
    </comment>
    <comment authorId="0" ref="L32">
      <text>
        <t xml:space="preserve">Human Translator</t>
      </text>
    </comment>
    <comment authorId="0" ref="C33">
      <text>
        <t xml:space="preserve">Human Translator</t>
      </text>
    </comment>
    <comment authorId="0" ref="E33">
      <text>
        <t xml:space="preserve">Human Translation</t>
      </text>
    </comment>
    <comment authorId="0" ref="K33">
      <text>
        <t xml:space="preserve">Human Translator</t>
      </text>
    </comment>
    <comment authorId="0" ref="L33">
      <text>
        <t xml:space="preserve">Human Translator</t>
      </text>
    </comment>
    <comment authorId="0" ref="C34">
      <text>
        <t xml:space="preserve">Human Translator</t>
      </text>
    </comment>
    <comment authorId="0" ref="E34">
      <text>
        <t xml:space="preserve">Human Translation</t>
      </text>
    </comment>
    <comment authorId="0" ref="I34">
      <text>
        <t xml:space="preserve">Traduccion humana</t>
      </text>
    </comment>
    <comment authorId="0" ref="K34">
      <text>
        <t xml:space="preserve">Human Translator</t>
      </text>
    </comment>
    <comment authorId="0" ref="L34">
      <text>
        <t xml:space="preserve">Human Translator</t>
      </text>
    </comment>
    <comment authorId="0" ref="C35">
      <text>
        <t xml:space="preserve">Human Translator</t>
      </text>
    </comment>
    <comment authorId="0" ref="E35">
      <text>
        <t xml:space="preserve">Human Translation</t>
      </text>
    </comment>
    <comment authorId="0" ref="K35">
      <text>
        <t xml:space="preserve">Human Translator</t>
      </text>
    </comment>
    <comment authorId="0" ref="L35">
      <text>
        <t xml:space="preserve">Human Translator</t>
      </text>
    </comment>
    <comment authorId="0" ref="C36">
      <text>
        <t xml:space="preserve">Human Translator</t>
      </text>
    </comment>
    <comment authorId="0" ref="E36">
      <text>
        <t xml:space="preserve">Human Translation</t>
      </text>
    </comment>
    <comment authorId="0" ref="K36">
      <text>
        <t xml:space="preserve">Human Translator</t>
      </text>
    </comment>
    <comment authorId="0" ref="L36">
      <text>
        <t xml:space="preserve">Human Translator</t>
      </text>
    </comment>
    <comment authorId="0" ref="C37">
      <text>
        <t xml:space="preserve">Human Translator</t>
      </text>
    </comment>
    <comment authorId="0" ref="E37">
      <text>
        <t xml:space="preserve">Human Translation</t>
      </text>
    </comment>
    <comment authorId="0" ref="K37">
      <text>
        <t xml:space="preserve">Human Translator</t>
      </text>
    </comment>
    <comment authorId="0" ref="L37">
      <text>
        <t xml:space="preserve">Human Translator</t>
      </text>
    </comment>
    <comment authorId="0" ref="C38">
      <text>
        <t xml:space="preserve">Human Translator</t>
      </text>
    </comment>
    <comment authorId="0" ref="E38">
      <text>
        <t xml:space="preserve">Human Translation</t>
      </text>
    </comment>
    <comment authorId="0" ref="K38">
      <text>
        <t xml:space="preserve">Human Translator</t>
      </text>
    </comment>
    <comment authorId="0" ref="L38">
      <text>
        <t xml:space="preserve">Human Translator</t>
      </text>
    </comment>
    <comment authorId="0" ref="C39">
      <text>
        <t xml:space="preserve">Human Translator</t>
      </text>
    </comment>
    <comment authorId="0" ref="E39">
      <text>
        <t xml:space="preserve">Human Translation</t>
      </text>
    </comment>
    <comment authorId="0" ref="E40">
      <text>
        <t xml:space="preserve">Human Translation</t>
      </text>
    </comment>
    <comment authorId="0" ref="K40">
      <text>
        <t xml:space="preserve">Human Translator</t>
      </text>
    </comment>
    <comment authorId="0" ref="L40">
      <text>
        <t xml:space="preserve">Human Translator</t>
      </text>
    </comment>
    <comment authorId="0" ref="E41">
      <text>
        <t xml:space="preserve">Human Translation</t>
      </text>
    </comment>
    <comment authorId="0" ref="K41">
      <text>
        <t xml:space="preserve">Human Translator</t>
      </text>
    </comment>
    <comment authorId="0" ref="L41">
      <text>
        <t xml:space="preserve">Human Translator</t>
      </text>
    </comment>
    <comment authorId="0" ref="E42">
      <text>
        <t xml:space="preserve">Human Translation</t>
      </text>
    </comment>
    <comment authorId="0" ref="K42">
      <text>
        <t xml:space="preserve">Human Translator</t>
      </text>
    </comment>
    <comment authorId="0" ref="L42">
      <text>
        <t xml:space="preserve">Human Translator</t>
      </text>
    </comment>
    <comment authorId="0" ref="C43">
      <text>
        <t xml:space="preserve">Human Translator</t>
      </text>
    </comment>
    <comment authorId="0" ref="E43">
      <text>
        <t xml:space="preserve">Human Translation</t>
      </text>
    </comment>
    <comment authorId="0" ref="K43">
      <text>
        <t xml:space="preserve">Human Translator</t>
      </text>
    </comment>
    <comment authorId="0" ref="L43">
      <text>
        <t xml:space="preserve">Human Translator</t>
      </text>
    </comment>
    <comment authorId="0" ref="E44">
      <text>
        <t xml:space="preserve">Human Translation</t>
      </text>
    </comment>
    <comment authorId="0" ref="K44">
      <text>
        <t xml:space="preserve">Human Translator</t>
      </text>
    </comment>
    <comment authorId="0" ref="C45">
      <text>
        <t xml:space="preserve">Human Translator</t>
      </text>
    </comment>
    <comment authorId="0" ref="D45">
      <text>
        <t xml:space="preserve">Human Translator</t>
      </text>
    </comment>
    <comment authorId="0" ref="E45">
      <text>
        <t xml:space="preserve">Human Translation</t>
      </text>
    </comment>
    <comment authorId="0" ref="K45">
      <text>
        <t xml:space="preserve">Human Translator</t>
      </text>
    </comment>
    <comment authorId="0" ref="L45">
      <text>
        <t xml:space="preserve">Human Translator</t>
      </text>
    </comment>
    <comment authorId="0" ref="C46">
      <text>
        <t xml:space="preserve">Human Translator</t>
      </text>
    </comment>
    <comment authorId="0" ref="E46">
      <text>
        <t xml:space="preserve">Human Translation</t>
      </text>
    </comment>
    <comment authorId="0" ref="I46">
      <text>
        <t xml:space="preserve">Muñeca cambia el tiempo a soleado</t>
      </text>
    </comment>
    <comment authorId="0" ref="K46">
      <text>
        <t xml:space="preserve">Human Translator</t>
      </text>
    </comment>
    <comment authorId="0" ref="L46">
      <text>
        <t xml:space="preserve">Human Translator</t>
      </text>
    </comment>
    <comment authorId="0" ref="C47">
      <text>
        <t xml:space="preserve">Human Translator</t>
      </text>
    </comment>
    <comment authorId="0" ref="E47">
      <text>
        <t xml:space="preserve">Human Translation</t>
      </text>
    </comment>
    <comment authorId="0" ref="I47">
      <text>
        <t xml:space="preserve">Muñeca cambia el tiempo a nublado
</t>
      </text>
    </comment>
    <comment authorId="0" ref="K47">
      <text>
        <t xml:space="preserve">Human Translator</t>
      </text>
    </comment>
    <comment authorId="0" ref="L47">
      <text>
        <t xml:space="preserve">Human Translator</t>
      </text>
    </comment>
    <comment authorId="0" ref="C48">
      <text>
        <t xml:space="preserve">Human Translator</t>
      </text>
    </comment>
    <comment authorId="0" ref="E48">
      <text>
        <t xml:space="preserve">Human Translation</t>
      </text>
    </comment>
    <comment authorId="0" ref="I48">
      <text>
        <t xml:space="preserve">Muñeca cambia el tiempo a lluvioso</t>
      </text>
    </comment>
    <comment authorId="0" ref="K48">
      <text>
        <t xml:space="preserve">Human Translator</t>
      </text>
    </comment>
    <comment authorId="0" ref="L48">
      <text>
        <t xml:space="preserve">Human Translator</t>
      </text>
    </comment>
    <comment authorId="0" ref="C49">
      <text>
        <t xml:space="preserve">Human Translator</t>
      </text>
    </comment>
    <comment authorId="0" ref="E49">
      <text>
        <t xml:space="preserve">Human Translation</t>
      </text>
    </comment>
    <comment authorId="0" ref="K49">
      <text>
        <t xml:space="preserve">Human Translator</t>
      </text>
    </comment>
    <comment authorId="0" ref="L49">
      <text>
        <t xml:space="preserve">Human Translator</t>
      </text>
    </comment>
    <comment authorId="0" ref="C50">
      <text>
        <t xml:space="preserve">Human Translator</t>
      </text>
    </comment>
    <comment authorId="0" ref="E50">
      <text>
        <t xml:space="preserve">Human Translation</t>
      </text>
    </comment>
    <comment authorId="0" ref="K50">
      <text>
        <t xml:space="preserve">Human Translator</t>
      </text>
    </comment>
    <comment authorId="0" ref="L50">
      <text>
        <t xml:space="preserve">Human Translator</t>
      </text>
    </comment>
    <comment authorId="0" ref="C51">
      <text>
        <t xml:space="preserve">Human Translator</t>
      </text>
    </comment>
    <comment authorId="0" ref="E51">
      <text>
        <t xml:space="preserve">Human Translation</t>
      </text>
    </comment>
    <comment authorId="0" ref="L51">
      <text>
        <t xml:space="preserve">Human Translator</t>
      </text>
    </comment>
    <comment authorId="0" ref="L52">
      <text>
        <t xml:space="preserve">Human Translator</t>
      </text>
    </comment>
    <comment authorId="0" ref="C53">
      <text>
        <t xml:space="preserve">Human Translator</t>
      </text>
    </comment>
    <comment authorId="0" ref="E53">
      <text>
        <t xml:space="preserve">Human Translation</t>
      </text>
    </comment>
    <comment authorId="0" ref="L53">
      <text>
        <t xml:space="preserve">Human Translator</t>
      </text>
    </comment>
    <comment authorId="0" ref="C54">
      <text>
        <t xml:space="preserve">Human Translator</t>
      </text>
    </comment>
    <comment authorId="0" ref="E54">
      <text>
        <t xml:space="preserve">Human Translation</t>
      </text>
    </comment>
    <comment authorId="0" ref="L54">
      <text>
        <t xml:space="preserve">Human Translator</t>
      </text>
    </comment>
    <comment authorId="0" ref="C55">
      <text>
        <t xml:space="preserve">Human Translator</t>
      </text>
    </comment>
    <comment authorId="0" ref="E55">
      <text>
        <t xml:space="preserve">Human Translation</t>
      </text>
    </comment>
    <comment authorId="0" ref="K55">
      <text>
        <t xml:space="preserve">Human Translator</t>
      </text>
    </comment>
    <comment authorId="0" ref="L55">
      <text>
        <t xml:space="preserve">Human Translator</t>
      </text>
    </comment>
    <comment authorId="0" ref="C56">
      <text>
        <t xml:space="preserve">Human Translator</t>
      </text>
    </comment>
    <comment authorId="0" ref="D56">
      <text>
        <t xml:space="preserve">Human Translator</t>
      </text>
    </comment>
    <comment authorId="0" ref="E56">
      <text>
        <t xml:space="preserve">Human Translation</t>
      </text>
    </comment>
    <comment authorId="0" ref="I56">
      <text>
        <t xml:space="preserve">Muñeca cambia el tiempo a extremadamente caluroso
</t>
      </text>
    </comment>
    <comment authorId="0" ref="E57">
      <text>
        <t xml:space="preserve">Human Translation</t>
      </text>
    </comment>
    <comment authorId="0" ref="I57">
      <text>
        <t xml:space="preserve">humano
</t>
      </text>
    </comment>
    <comment authorId="0" ref="C58">
      <text>
        <t xml:space="preserve">Human Translator</t>
      </text>
    </comment>
    <comment authorId="0" ref="E58">
      <text>
        <t xml:space="preserve">Human Translator</t>
      </text>
    </comment>
    <comment authorId="0" ref="C59">
      <text>
        <t xml:space="preserve">Human Translator</t>
      </text>
    </comment>
    <comment authorId="0" ref="E59">
      <text>
        <t xml:space="preserve">Human Translator</t>
      </text>
    </comment>
    <comment authorId="0" ref="C60">
      <text>
        <t xml:space="preserve">Human Translator</t>
      </text>
    </comment>
    <comment authorId="0" ref="E60">
      <text>
        <t xml:space="preserve">Human Translator</t>
      </text>
    </comment>
    <comment authorId="0" ref="O60">
      <text>
        <t xml:space="preserve">Human Translator</t>
      </text>
    </comment>
    <comment authorId="0" ref="E61">
      <text>
        <t xml:space="preserve">Human Translation</t>
      </text>
    </comment>
    <comment authorId="0" ref="C62">
      <text>
        <t xml:space="preserve">Human Translator</t>
      </text>
    </comment>
    <comment authorId="0" ref="E62">
      <text>
        <t xml:space="preserve">Human Translation</t>
      </text>
    </comment>
    <comment authorId="0" ref="E63">
      <text>
        <t xml:space="preserve">Human Translation</t>
      </text>
    </comment>
    <comment authorId="0" ref="E64">
      <text>
        <t xml:space="preserve">Human Translation</t>
      </text>
    </comment>
    <comment authorId="0" ref="E65">
      <text>
        <t xml:space="preserve">Human Translation</t>
      </text>
    </comment>
    <comment authorId="0" ref="E66">
      <text>
        <t xml:space="preserve">Human Translation</t>
      </text>
    </comment>
    <comment authorId="0" ref="E67">
      <text>
        <t xml:space="preserve">Human Translation</t>
      </text>
    </comment>
    <comment authorId="0" ref="E68">
      <text>
        <t xml:space="preserve">Human Translation</t>
      </text>
    </comment>
    <comment authorId="0" ref="E69">
      <text>
        <t xml:space="preserve">Human Translation</t>
      </text>
    </comment>
    <comment authorId="0" ref="E70">
      <text>
        <t xml:space="preserve">Human Translation</t>
      </text>
    </comment>
    <comment authorId="0" ref="E71">
      <text>
        <t xml:space="preserve">Human Translation</t>
      </text>
    </comment>
    <comment authorId="0" ref="E72">
      <text>
        <t xml:space="preserve">Human Translation</t>
      </text>
    </comment>
    <comment authorId="0" ref="E73">
      <text>
        <t xml:space="preserve">Human Translation</t>
      </text>
    </comment>
    <comment authorId="0" ref="E74">
      <text>
        <t xml:space="preserve">Human Translation</t>
      </text>
    </comment>
    <comment authorId="0" ref="E75">
      <text>
        <t xml:space="preserve">Human Translation</t>
      </text>
    </comment>
    <comment authorId="0" ref="E76">
      <text>
        <t xml:space="preserve">Human Translation</t>
      </text>
    </comment>
    <comment authorId="0" ref="E77">
      <text>
        <t xml:space="preserve">Human Translation</t>
      </text>
    </comment>
    <comment authorId="0" ref="E78">
      <text>
        <t xml:space="preserve">Human Translation</t>
      </text>
    </comment>
    <comment authorId="0" ref="E79">
      <text>
        <t xml:space="preserve">Human Translation</t>
      </text>
    </comment>
    <comment authorId="0" ref="E80">
      <text>
        <t xml:space="preserve">Human Translation</t>
      </text>
    </comment>
    <comment authorId="0" ref="E81">
      <text>
        <t xml:space="preserve">Human Translation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Human Translation</t>
      </text>
    </comment>
    <comment authorId="0" ref="C3">
      <text>
        <t xml:space="preserve">Human Translator</t>
      </text>
    </comment>
    <comment authorId="0" ref="D3">
      <text>
        <t xml:space="preserve">Human Translator</t>
      </text>
    </comment>
    <comment authorId="0" ref="E3">
      <text>
        <t xml:space="preserve">Human Translation</t>
      </text>
    </comment>
    <comment authorId="0" ref="L3">
      <text>
        <t xml:space="preserve">Human Translator</t>
      </text>
    </comment>
    <comment authorId="0" ref="C4">
      <text>
        <t xml:space="preserve">Human Translator</t>
      </text>
    </comment>
    <comment authorId="0" ref="D4">
      <text>
        <t xml:space="preserve">Human Translator</t>
      </text>
    </comment>
    <comment authorId="0" ref="E4">
      <text>
        <t xml:space="preserve">Human Translation</t>
      </text>
    </comment>
    <comment authorId="0" ref="L4">
      <text>
        <t xml:space="preserve">Human Translator</t>
      </text>
    </comment>
    <comment authorId="0" ref="C5">
      <text>
        <t xml:space="preserve">Human Translator</t>
      </text>
    </comment>
    <comment authorId="0" ref="E5">
      <text>
        <t xml:space="preserve">Human Translation</t>
      </text>
    </comment>
    <comment authorId="0" ref="K5">
      <text>
        <t xml:space="preserve">Human Translator</t>
      </text>
    </comment>
    <comment authorId="0" ref="C6">
      <text>
        <t xml:space="preserve">Human Translator</t>
      </text>
    </comment>
    <comment authorId="0" ref="D6">
      <text>
        <t xml:space="preserve">Human Translator</t>
      </text>
    </comment>
    <comment authorId="0" ref="E6">
      <text>
        <t xml:space="preserve">Human Translation</t>
      </text>
    </comment>
    <comment authorId="0" ref="K6">
      <text>
        <t xml:space="preserve">Human Translator</t>
      </text>
    </comment>
    <comment authorId="0" ref="C7">
      <text>
        <t xml:space="preserve">Human Translator</t>
      </text>
    </comment>
    <comment authorId="0" ref="D7">
      <text>
        <t xml:space="preserve">Human Translator</t>
      </text>
    </comment>
    <comment authorId="0" ref="E7">
      <text>
        <t xml:space="preserve">Human Translation</t>
      </text>
    </comment>
    <comment authorId="0" ref="L7">
      <text>
        <t xml:space="preserve">Human Translator</t>
      </text>
    </comment>
    <comment authorId="0" ref="C8">
      <text>
        <t xml:space="preserve">Human Translator</t>
      </text>
    </comment>
    <comment authorId="0" ref="D8">
      <text>
        <t xml:space="preserve">Human Translator</t>
      </text>
    </comment>
    <comment authorId="0" ref="E8">
      <text>
        <t xml:space="preserve">Human Translation</t>
      </text>
    </comment>
    <comment authorId="0" ref="K8">
      <text>
        <t xml:space="preserve">Human Translator</t>
      </text>
    </comment>
    <comment authorId="0" ref="E9">
      <text>
        <t xml:space="preserve">Human Translation</t>
      </text>
    </comment>
    <comment authorId="0" ref="I9">
      <text>
        <t xml:space="preserve">Traducción humana</t>
      </text>
    </comment>
    <comment authorId="0" ref="C10">
      <text>
        <t xml:space="preserve">Human Translator</t>
      </text>
    </comment>
    <comment authorId="0" ref="D10">
      <text>
        <t xml:space="preserve">Human Translator</t>
      </text>
    </comment>
    <comment authorId="0" ref="E10">
      <text>
        <t xml:space="preserve">Human Translation</t>
      </text>
    </comment>
    <comment authorId="0" ref="K10">
      <text>
        <t xml:space="preserve">Human Translator</t>
      </text>
    </comment>
    <comment authorId="0" ref="L10">
      <text>
        <t xml:space="preserve">Human Translator</t>
      </text>
    </comment>
    <comment authorId="0" ref="C11">
      <text>
        <t xml:space="preserve">Human Translator</t>
      </text>
    </comment>
    <comment authorId="0" ref="D11">
      <text>
        <t xml:space="preserve">Human Translator</t>
      </text>
    </comment>
    <comment authorId="0" ref="E11">
      <text>
        <t xml:space="preserve">Human Translation</t>
      </text>
    </comment>
    <comment authorId="0" ref="K11">
      <text>
        <t xml:space="preserve">Human Translator</t>
      </text>
    </comment>
    <comment authorId="0" ref="L11">
      <text>
        <t xml:space="preserve">Human Translator</t>
      </text>
    </comment>
    <comment authorId="0" ref="C12">
      <text>
        <t xml:space="preserve">Human Translator</t>
      </text>
    </comment>
    <comment authorId="0" ref="D12">
      <text>
        <t xml:space="preserve">Human Translator</t>
      </text>
    </comment>
    <comment authorId="0" ref="E12">
      <text>
        <t xml:space="preserve">Human Translation</t>
      </text>
    </comment>
    <comment authorId="0" ref="K12">
      <text>
        <t xml:space="preserve">Human Translator</t>
      </text>
    </comment>
    <comment authorId="0" ref="C13">
      <text>
        <t xml:space="preserve">Human Translator</t>
      </text>
    </comment>
    <comment authorId="0" ref="D13">
      <text>
        <t xml:space="preserve">Human Translator</t>
      </text>
    </comment>
    <comment authorId="0" ref="E13">
      <text>
        <t xml:space="preserve">Human Translation</t>
      </text>
    </comment>
    <comment authorId="0" ref="L13">
      <text>
        <t xml:space="preserve">Human Translator</t>
      </text>
    </comment>
    <comment authorId="0" ref="C14">
      <text>
        <t xml:space="preserve">Human Translator</t>
      </text>
    </comment>
    <comment authorId="0" ref="D14">
      <text>
        <t xml:space="preserve">Human Translator</t>
      </text>
    </comment>
    <comment authorId="0" ref="E14">
      <text>
        <t xml:space="preserve">Human Translation</t>
      </text>
    </comment>
    <comment authorId="0" ref="H14">
      <text>
        <t xml:space="preserve">Human Translator</t>
      </text>
    </comment>
    <comment authorId="0" ref="K14">
      <text>
        <t xml:space="preserve">Human Translator</t>
      </text>
    </comment>
    <comment authorId="0" ref="L14">
      <text>
        <t xml:space="preserve">Human Translator</t>
      </text>
    </comment>
    <comment authorId="0" ref="C15">
      <text>
        <t xml:space="preserve">Human Translator</t>
      </text>
    </comment>
    <comment authorId="0" ref="D15">
      <text>
        <t xml:space="preserve">Human Translator</t>
      </text>
    </comment>
    <comment authorId="0" ref="E15">
      <text>
        <t xml:space="preserve">Human Translation</t>
      </text>
    </comment>
    <comment authorId="0" ref="K15">
      <text>
        <t xml:space="preserve">Human Translator</t>
      </text>
    </comment>
    <comment authorId="0" ref="L15">
      <text>
        <t xml:space="preserve">Human Translator</t>
      </text>
    </comment>
    <comment authorId="0" ref="C16">
      <text>
        <t xml:space="preserve">Human Translator</t>
      </text>
    </comment>
    <comment authorId="0" ref="D16">
      <text>
        <t xml:space="preserve">Human Translator</t>
      </text>
    </comment>
    <comment authorId="0" ref="E16">
      <text>
        <t xml:space="preserve">Human Translation</t>
      </text>
    </comment>
    <comment authorId="0" ref="K16">
      <text>
        <t xml:space="preserve">Human Translator</t>
      </text>
    </comment>
    <comment authorId="0" ref="L16">
      <text>
        <t xml:space="preserve">Human Translator</t>
      </text>
    </comment>
    <comment authorId="0" ref="C17">
      <text>
        <t xml:space="preserve">human translation</t>
      </text>
    </comment>
    <comment authorId="0" ref="D17">
      <text>
        <t xml:space="preserve">Human Translator</t>
      </text>
    </comment>
    <comment authorId="0" ref="E17">
      <text>
        <t xml:space="preserve">Human Translation</t>
      </text>
    </comment>
    <comment authorId="0" ref="K17">
      <text>
        <t xml:space="preserve">Human Translator</t>
      </text>
    </comment>
    <comment authorId="0" ref="C18">
      <text>
        <t xml:space="preserve">Human Translator</t>
      </text>
    </comment>
    <comment authorId="0" ref="D18">
      <text>
        <t xml:space="preserve">Human Translator</t>
      </text>
    </comment>
    <comment authorId="0" ref="E18">
      <text>
        <t xml:space="preserve">Human Translation</t>
      </text>
    </comment>
    <comment authorId="0" ref="L18">
      <text>
        <t xml:space="preserve">Human Translator</t>
      </text>
    </comment>
    <comment authorId="0" ref="C19">
      <text>
        <t xml:space="preserve">Human Translator</t>
      </text>
    </comment>
    <comment authorId="0" ref="D19">
      <text>
        <t xml:space="preserve">Human Translator</t>
      </text>
    </comment>
    <comment authorId="0" ref="E19">
      <text>
        <t xml:space="preserve">Human Translation</t>
      </text>
    </comment>
    <comment authorId="0" ref="L19">
      <text>
        <t xml:space="preserve">Human Translator</t>
      </text>
    </comment>
    <comment authorId="0" ref="C20">
      <text>
        <t xml:space="preserve">human translation</t>
      </text>
    </comment>
    <comment authorId="0" ref="D20">
      <text>
        <t xml:space="preserve">Human Translator</t>
      </text>
    </comment>
    <comment authorId="0" ref="E20">
      <text>
        <t xml:space="preserve">Human Translation</t>
      </text>
    </comment>
    <comment authorId="0" ref="L20">
      <text>
        <t xml:space="preserve">Human Translator</t>
      </text>
    </comment>
    <comment authorId="0" ref="D21">
      <text>
        <t xml:space="preserve">Human Translator</t>
      </text>
    </comment>
    <comment authorId="0" ref="E21">
      <text>
        <t xml:space="preserve">Human Translation</t>
      </text>
    </comment>
    <comment authorId="0" ref="L21">
      <text>
        <t xml:space="preserve">Human Translator</t>
      </text>
    </comment>
    <comment authorId="0" ref="C22">
      <text>
        <t xml:space="preserve">Human Translator</t>
      </text>
    </comment>
    <comment authorId="0" ref="D22">
      <text>
        <t xml:space="preserve">Human Translator</t>
      </text>
    </comment>
    <comment authorId="0" ref="E22">
      <text>
        <t xml:space="preserve">Human Translation</t>
      </text>
    </comment>
    <comment authorId="0" ref="K22">
      <text>
        <t xml:space="preserve">Human Translator</t>
      </text>
    </comment>
    <comment authorId="0" ref="C23">
      <text>
        <t xml:space="preserve">Human Translator</t>
      </text>
    </comment>
    <comment authorId="0" ref="D23">
      <text>
        <t xml:space="preserve">Human Translator</t>
      </text>
    </comment>
    <comment authorId="0" ref="E23">
      <text>
        <t xml:space="preserve">Human Translation</t>
      </text>
    </comment>
    <comment authorId="0" ref="K23">
      <text>
        <t xml:space="preserve">Human Translator</t>
      </text>
    </comment>
    <comment authorId="0" ref="L23">
      <text>
        <t xml:space="preserve">Human Translator</t>
      </text>
    </comment>
    <comment authorId="0" ref="C24">
      <text>
        <t xml:space="preserve">Human Translator</t>
      </text>
    </comment>
    <comment authorId="0" ref="D24">
      <text>
        <t xml:space="preserve">Human Translator</t>
      </text>
    </comment>
    <comment authorId="0" ref="E24">
      <text>
        <t xml:space="preserve">Human Translation</t>
      </text>
    </comment>
    <comment authorId="0" ref="K24">
      <text>
        <t xml:space="preserve">Human Translator</t>
      </text>
    </comment>
    <comment authorId="0" ref="L24">
      <text>
        <t xml:space="preserve">Human Translator</t>
      </text>
    </comment>
    <comment authorId="0" ref="C25">
      <text>
        <t xml:space="preserve">Human Translator</t>
      </text>
    </comment>
    <comment authorId="0" ref="D25">
      <text>
        <t xml:space="preserve">Human Translator</t>
      </text>
    </comment>
    <comment authorId="0" ref="E25">
      <text>
        <t xml:space="preserve">Human Translation</t>
      </text>
    </comment>
    <comment authorId="0" ref="L25">
      <text>
        <t xml:space="preserve">Human Translator</t>
      </text>
    </comment>
    <comment authorId="0" ref="C26">
      <text>
        <t xml:space="preserve">Human Translator</t>
      </text>
    </comment>
    <comment authorId="0" ref="D26">
      <text>
        <t xml:space="preserve">Human Translator</t>
      </text>
    </comment>
    <comment authorId="0" ref="E26">
      <text>
        <t xml:space="preserve">Human Translation</t>
      </text>
    </comment>
    <comment authorId="0" ref="K26">
      <text>
        <t xml:space="preserve">Human Translator</t>
      </text>
    </comment>
    <comment authorId="0" ref="L26">
      <text>
        <t xml:space="preserve">Human Translator</t>
      </text>
    </comment>
    <comment authorId="0" ref="C27">
      <text>
        <t xml:space="preserve">Human Translator</t>
      </text>
    </comment>
    <comment authorId="0" ref="E27">
      <text>
        <t xml:space="preserve">Human Translator</t>
      </text>
    </comment>
    <comment authorId="0" ref="D28">
      <text>
        <t xml:space="preserve">Human Translator</t>
      </text>
    </comment>
    <comment authorId="0" ref="E28">
      <text>
        <t xml:space="preserve">Human Translation</t>
      </text>
    </comment>
    <comment authorId="0" ref="K28">
      <text>
        <t xml:space="preserve">Human Translator</t>
      </text>
    </comment>
    <comment authorId="0" ref="C29">
      <text>
        <t xml:space="preserve">Human Translator</t>
      </text>
    </comment>
    <comment authorId="0" ref="D29">
      <text>
        <t xml:space="preserve">Human Translator</t>
      </text>
    </comment>
    <comment authorId="0" ref="E29">
      <text>
        <t xml:space="preserve">Human Translation</t>
      </text>
    </comment>
    <comment authorId="0" ref="L29">
      <text>
        <t xml:space="preserve">Human Translator</t>
      </text>
    </comment>
    <comment authorId="0" ref="C30">
      <text>
        <t xml:space="preserve">Human Translator</t>
      </text>
    </comment>
    <comment authorId="0" ref="D30">
      <text>
        <t xml:space="preserve">Human Translator</t>
      </text>
    </comment>
    <comment authorId="0" ref="E30">
      <text>
        <t xml:space="preserve">Human Translation</t>
      </text>
    </comment>
    <comment authorId="0" ref="K30">
      <text>
        <t xml:space="preserve">Human Translator</t>
      </text>
    </comment>
    <comment authorId="0" ref="L30">
      <text>
        <t xml:space="preserve">Human Translator</t>
      </text>
    </comment>
    <comment authorId="0" ref="D31">
      <text>
        <t xml:space="preserve">Human Translator</t>
      </text>
    </comment>
    <comment authorId="0" ref="E31">
      <text>
        <t xml:space="preserve">Human Translation</t>
      </text>
    </comment>
    <comment authorId="0" ref="K31">
      <text>
        <t xml:space="preserve">Human Translator</t>
      </text>
    </comment>
    <comment authorId="0" ref="L31">
      <text>
        <t xml:space="preserve">Human Translator</t>
      </text>
    </comment>
    <comment authorId="0" ref="D32">
      <text>
        <t xml:space="preserve">Human Translator</t>
      </text>
    </comment>
    <comment authorId="0" ref="E32">
      <text>
        <t xml:space="preserve">Human Translation</t>
      </text>
    </comment>
    <comment authorId="0" ref="D33">
      <text>
        <t xml:space="preserve">Human Translator</t>
      </text>
    </comment>
    <comment authorId="0" ref="E33">
      <text>
        <t xml:space="preserve">Human Translation</t>
      </text>
    </comment>
    <comment authorId="0" ref="D34">
      <text>
        <t xml:space="preserve">Human Translator</t>
      </text>
    </comment>
    <comment authorId="0" ref="E34">
      <text>
        <t xml:space="preserve">Human Translation</t>
      </text>
    </comment>
    <comment authorId="0" ref="E35">
      <text>
        <t xml:space="preserve">Human translation</t>
      </text>
    </comment>
    <comment authorId="0" ref="E36">
      <text>
        <t xml:space="preserve">Human translation</t>
      </text>
    </comment>
    <comment authorId="0" ref="E37">
      <text>
        <t xml:space="preserve">Human translation</t>
      </text>
    </comment>
    <comment authorId="0" ref="C38">
      <text>
        <t xml:space="preserve">Human Translator</t>
      </text>
    </comment>
    <comment authorId="0" ref="E38">
      <text>
        <t xml:space="preserve">Human Translator</t>
      </text>
    </comment>
    <comment authorId="0" ref="E39">
      <text>
        <t xml:space="preserve">Human Translator</t>
      </text>
    </comment>
    <comment authorId="0" ref="C40">
      <text>
        <t xml:space="preserve">Human Translator</t>
      </text>
    </comment>
    <comment authorId="0" ref="D40">
      <text>
        <t xml:space="preserve">Human Translator</t>
      </text>
    </comment>
    <comment authorId="0" ref="E40">
      <text>
        <t xml:space="preserve">Human Translation</t>
      </text>
    </comment>
    <comment authorId="0" ref="E41">
      <text>
        <t xml:space="preserve">Human Translation</t>
      </text>
    </comment>
    <comment authorId="0" ref="E42">
      <text>
        <t xml:space="preserve">Human Translation</t>
      </text>
    </comment>
    <comment authorId="0" ref="E43">
      <text>
        <t xml:space="preserve">Human Translation</t>
      </text>
    </comment>
    <comment authorId="0" ref="E44">
      <text>
        <t xml:space="preserve">Human Translation</t>
      </text>
    </comment>
    <comment authorId="0" ref="E45">
      <text>
        <t xml:space="preserve">Human Translation</t>
      </text>
    </comment>
    <comment authorId="0" ref="E46">
      <text>
        <t xml:space="preserve">Human Translation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4">
      <text>
        <t xml:space="preserve">Human Translator</t>
      </text>
    </comment>
    <comment authorId="0" ref="AC5">
      <text>
        <t xml:space="preserve">Human Translator
</t>
      </text>
    </comment>
    <comment authorId="0" ref="Z8">
      <text>
        <t xml:space="preserve">Human Translator</t>
      </text>
    </comment>
    <comment authorId="0" ref="AB8">
      <text>
        <t xml:space="preserve">Human Translator
</t>
      </text>
    </comment>
    <comment authorId="0" ref="Z9">
      <text>
        <t xml:space="preserve">Human Translator</t>
      </text>
    </comment>
    <comment authorId="0" ref="Z10">
      <text>
        <t xml:space="preserve">Human Translator</t>
      </text>
    </comment>
    <comment authorId="0" ref="Z11">
      <text>
        <t xml:space="preserve">Human Translator</t>
      </text>
    </comment>
    <comment authorId="0" ref="AB11">
      <text>
        <t xml:space="preserve">Human Translator</t>
      </text>
    </comment>
    <comment authorId="0" ref="Z13">
      <text>
        <t xml:space="preserve">Human Translator</t>
      </text>
    </comment>
    <comment authorId="0" ref="AC13">
      <text>
        <t xml:space="preserve">Human Translator</t>
      </text>
    </comment>
    <comment authorId="0" ref="AD13">
      <text>
        <t xml:space="preserve">Human Translator</t>
      </text>
    </comment>
    <comment authorId="0" ref="Z14">
      <text>
        <t xml:space="preserve">Human Translator</t>
      </text>
    </comment>
    <comment authorId="0" ref="AB14">
      <text>
        <t xml:space="preserve">Human Translator</t>
      </text>
    </comment>
    <comment authorId="0" ref="AB15">
      <text>
        <t xml:space="preserve">Human Translator</t>
      </text>
    </comment>
    <comment authorId="0" ref="Z16">
      <text>
        <t xml:space="preserve">Human Translator</t>
      </text>
    </comment>
    <comment authorId="0" ref="AB16">
      <text>
        <t xml:space="preserve">Human Translator</t>
      </text>
    </comment>
    <comment authorId="0" ref="AC16">
      <text>
        <t xml:space="preserve">Human Translator</t>
      </text>
    </comment>
    <comment authorId="0" ref="Z17">
      <text>
        <t xml:space="preserve">Human Translator</t>
      </text>
    </comment>
    <comment authorId="0" ref="AB17">
      <text>
        <t xml:space="preserve">Human Translator</t>
      </text>
    </comment>
    <comment authorId="0" ref="AC17">
      <text>
        <t xml:space="preserve">Human Translator</t>
      </text>
    </comment>
    <comment authorId="0" ref="AD17">
      <text>
        <t xml:space="preserve">Human Translator</t>
      </text>
    </comment>
    <comment authorId="0" ref="AC18">
      <text>
        <t xml:space="preserve">Human Translator</t>
      </text>
    </comment>
    <comment authorId="0" ref="AB19">
      <text>
        <t xml:space="preserve">Human Translator</t>
      </text>
    </comment>
    <comment authorId="0" ref="Z20">
      <text>
        <t xml:space="preserve">Human Translator</t>
      </text>
    </comment>
    <comment authorId="0" ref="AB20">
      <text>
        <t xml:space="preserve">Human Translator</t>
      </text>
    </comment>
    <comment authorId="0" ref="AC20">
      <text>
        <t xml:space="preserve">Human Translator</t>
      </text>
    </comment>
    <comment authorId="0" ref="AB21">
      <text>
        <t xml:space="preserve">Human Translator</t>
      </text>
    </comment>
    <comment authorId="0" ref="AB22">
      <text>
        <t xml:space="preserve">Human Translator</t>
      </text>
    </comment>
    <comment authorId="0" ref="AC22">
      <text>
        <t xml:space="preserve">Human Translator</t>
      </text>
    </comment>
    <comment authorId="0" ref="AB24">
      <text>
        <t xml:space="preserve">Human Translator</t>
      </text>
    </comment>
    <comment authorId="0" ref="Z25">
      <text>
        <t xml:space="preserve">Human Translator</t>
      </text>
    </comment>
    <comment authorId="0" ref="AB25">
      <text>
        <t xml:space="preserve">Human Translator</t>
      </text>
    </comment>
    <comment authorId="0" ref="Z26">
      <text>
        <t xml:space="preserve">Human Translator</t>
      </text>
    </comment>
    <comment authorId="0" ref="Z27">
      <text>
        <t xml:space="preserve">Human Translator</t>
      </text>
    </comment>
    <comment authorId="0" ref="AC31">
      <text>
        <t xml:space="preserve">Human Translator</t>
      </text>
    </comment>
    <comment authorId="0" ref="AC35">
      <text>
        <t xml:space="preserve">Human Translator</t>
      </text>
    </comment>
    <comment authorId="0" ref="Z36">
      <text>
        <t xml:space="preserve">Human Translator</t>
      </text>
    </comment>
    <comment authorId="0" ref="Z37">
      <text>
        <t xml:space="preserve">Human Translator</t>
      </text>
    </comment>
    <comment authorId="0" ref="Z38">
      <text>
        <t xml:space="preserve">Human Translator</t>
      </text>
    </comment>
    <comment authorId="0" ref="AB38">
      <text>
        <t xml:space="preserve">Human Translator</t>
      </text>
    </comment>
    <comment authorId="0" ref="AC38">
      <text>
        <t xml:space="preserve">Human Translator</t>
      </text>
    </comment>
    <comment authorId="0" ref="AB39">
      <text>
        <t xml:space="preserve">Human Translator</t>
      </text>
    </comment>
    <comment authorId="0" ref="Z40">
      <text>
        <t xml:space="preserve">Human Translator</t>
      </text>
    </comment>
    <comment authorId="0" ref="AB41">
      <text>
        <t xml:space="preserve">Human Translator</t>
      </text>
    </comment>
    <comment authorId="0" ref="AC41">
      <text>
        <t xml:space="preserve">Human Translator</t>
      </text>
    </comment>
    <comment authorId="0" ref="AD41">
      <text>
        <t xml:space="preserve">Human Translator</t>
      </text>
    </comment>
    <comment authorId="0" ref="Z42">
      <text>
        <t xml:space="preserve">Human Translator</t>
      </text>
    </comment>
    <comment authorId="0" ref="Z44">
      <text>
        <t xml:space="preserve">Human Translator</t>
      </text>
    </comment>
    <comment authorId="0" ref="AB44">
      <text>
        <t xml:space="preserve">Human Translator</t>
      </text>
    </comment>
    <comment authorId="0" ref="Z45">
      <text>
        <t xml:space="preserve">Human Translator</t>
      </text>
    </comment>
    <comment authorId="0" ref="AB45">
      <text>
        <t xml:space="preserve">Human Translator</t>
      </text>
    </comment>
    <comment authorId="0" ref="Z46">
      <text>
        <t xml:space="preserve">Human Translator</t>
      </text>
    </comment>
    <comment authorId="0" ref="AC46">
      <text>
        <t xml:space="preserve">Human Translator</t>
      </text>
    </comment>
    <comment authorId="0" ref="Z47">
      <text>
        <t xml:space="preserve">Human Translator</t>
      </text>
    </comment>
    <comment authorId="0" ref="AB47">
      <text>
        <t xml:space="preserve">Human Translator</t>
      </text>
    </comment>
    <comment authorId="0" ref="Z48">
      <text>
        <t xml:space="preserve">Human Translator</t>
      </text>
    </comment>
    <comment authorId="0" ref="AB48">
      <text>
        <t xml:space="preserve">Human Translator</t>
      </text>
    </comment>
    <comment authorId="0" ref="AC48">
      <text>
        <t xml:space="preserve">Human Translator</t>
      </text>
    </comment>
    <comment authorId="0" ref="Z49">
      <text>
        <t xml:space="preserve">Human Translator</t>
      </text>
    </comment>
    <comment authorId="0" ref="AB49">
      <text>
        <t xml:space="preserve">Human Translator</t>
      </text>
    </comment>
    <comment authorId="0" ref="AC49">
      <text>
        <t xml:space="preserve">Human Translator</t>
      </text>
    </comment>
    <comment authorId="0" ref="Z50">
      <text>
        <t xml:space="preserve">Human Translator</t>
      </text>
    </comment>
    <comment authorId="0" ref="AA50">
      <text>
        <t xml:space="preserve">Human Translator</t>
      </text>
    </comment>
    <comment authorId="0" ref="AB50">
      <text>
        <t xml:space="preserve">Human Translator</t>
      </text>
    </comment>
    <comment authorId="0" ref="AC50">
      <text>
        <t xml:space="preserve">Human Translator</t>
      </text>
    </comment>
    <comment authorId="0" ref="AD50">
      <text>
        <t xml:space="preserve">Human Translator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Human Translation</t>
      </text>
    </comment>
    <comment authorId="0" ref="E4">
      <text>
        <t xml:space="preserve">Human Translator</t>
      </text>
    </comment>
    <comment authorId="0" ref="H4">
      <text>
        <t xml:space="preserve">Human Translator</t>
      </text>
    </comment>
    <comment authorId="0" ref="I4">
      <text>
        <t xml:space="preserve">Human Translation</t>
      </text>
    </comment>
    <comment authorId="0" ref="E5">
      <text>
        <t xml:space="preserve">Human Translator</t>
      </text>
    </comment>
    <comment authorId="0" ref="H5">
      <text>
        <t xml:space="preserve">Human Translator</t>
      </text>
    </comment>
    <comment authorId="0" ref="I5">
      <text>
        <t xml:space="preserve">Human Translation</t>
      </text>
    </comment>
    <comment authorId="0" ref="E6">
      <text>
        <t xml:space="preserve">Human Translator</t>
      </text>
    </comment>
    <comment authorId="0" ref="H6">
      <text>
        <t xml:space="preserve">Human Translator</t>
      </text>
    </comment>
    <comment authorId="0" ref="I6">
      <text>
        <t xml:space="preserve">Human Translation</t>
      </text>
    </comment>
    <comment authorId="0" ref="E7">
      <text>
        <t xml:space="preserve">Human Translator</t>
      </text>
    </comment>
    <comment authorId="0" ref="G7">
      <text>
        <t xml:space="preserve">Human Translator</t>
      </text>
    </comment>
    <comment authorId="0" ref="H7">
      <text>
        <t xml:space="preserve">Human Translator</t>
      </text>
    </comment>
    <comment authorId="0" ref="I7">
      <text>
        <t xml:space="preserve">Human Translation</t>
      </text>
    </comment>
    <comment authorId="0" ref="E8">
      <text>
        <t xml:space="preserve">Human Translator</t>
      </text>
    </comment>
    <comment authorId="0" ref="F8">
      <text>
        <t xml:space="preserve">Human Translator</t>
      </text>
    </comment>
    <comment authorId="0" ref="H8">
      <text>
        <t xml:space="preserve">Human Translator</t>
      </text>
    </comment>
    <comment authorId="0" ref="I8">
      <text>
        <t xml:space="preserve">Human Translation</t>
      </text>
    </comment>
    <comment authorId="0" ref="G9">
      <text>
        <t xml:space="preserve">Human Translator</t>
      </text>
    </comment>
    <comment authorId="0" ref="H9">
      <text>
        <t xml:space="preserve">Human Translator</t>
      </text>
    </comment>
    <comment authorId="0" ref="I9">
      <text>
        <t xml:space="preserve">Human Translation</t>
      </text>
    </comment>
    <comment authorId="0" ref="E10">
      <text>
        <t xml:space="preserve">Human Translator</t>
      </text>
    </comment>
    <comment authorId="0" ref="F10">
      <text>
        <t xml:space="preserve">Human Translator</t>
      </text>
    </comment>
    <comment authorId="0" ref="H10">
      <text>
        <t xml:space="preserve">Human Translator</t>
      </text>
    </comment>
    <comment authorId="0" ref="I10">
      <text>
        <t xml:space="preserve">Human Translation</t>
      </text>
    </comment>
    <comment authorId="0" ref="E11">
      <text>
        <t xml:space="preserve">Human Translator</t>
      </text>
    </comment>
    <comment authorId="0" ref="G11">
      <text>
        <t xml:space="preserve">Human Translator</t>
      </text>
    </comment>
    <comment authorId="0" ref="H11">
      <text>
        <t xml:space="preserve">Human Translator</t>
      </text>
    </comment>
    <comment authorId="0" ref="I11">
      <text>
        <t xml:space="preserve">Human Translation</t>
      </text>
    </comment>
    <comment authorId="0" ref="E12">
      <text>
        <t xml:space="preserve">Human Translator</t>
      </text>
    </comment>
    <comment authorId="0" ref="G12">
      <text>
        <t xml:space="preserve">Human Translator</t>
      </text>
    </comment>
    <comment authorId="0" ref="H12">
      <text>
        <t xml:space="preserve">Human Translator</t>
      </text>
    </comment>
    <comment authorId="0" ref="I12">
      <text>
        <t xml:space="preserve">Human Translation</t>
      </text>
    </comment>
    <comment authorId="0" ref="H13">
      <text>
        <t xml:space="preserve">Human Translator</t>
      </text>
    </comment>
    <comment authorId="0" ref="I13">
      <text>
        <t xml:space="preserve">Human Translation</t>
      </text>
    </comment>
    <comment authorId="0" ref="E14">
      <text>
        <t xml:space="preserve">Human Translator</t>
      </text>
    </comment>
    <comment authorId="0" ref="F14">
      <text>
        <t xml:space="preserve">Human Translator</t>
      </text>
    </comment>
    <comment authorId="0" ref="G14">
      <text>
        <t xml:space="preserve">Human Translator</t>
      </text>
    </comment>
    <comment authorId="0" ref="H14">
      <text>
        <t xml:space="preserve">Human Translator</t>
      </text>
    </comment>
    <comment authorId="0" ref="I14">
      <text>
        <t xml:space="preserve">Human Translation</t>
      </text>
    </comment>
    <comment authorId="0" ref="F15">
      <text>
        <t xml:space="preserve">Human Translator</t>
      </text>
    </comment>
    <comment authorId="0" ref="H15">
      <text>
        <t xml:space="preserve">Human Translator</t>
      </text>
    </comment>
    <comment authorId="0" ref="I15">
      <text>
        <t xml:space="preserve">Human Translation</t>
      </text>
    </comment>
    <comment authorId="0" ref="E16">
      <text>
        <t xml:space="preserve">Human Translator</t>
      </text>
    </comment>
    <comment authorId="0" ref="G16">
      <text>
        <t xml:space="preserve">Human Translator</t>
      </text>
    </comment>
    <comment authorId="0" ref="I16">
      <text>
        <t xml:space="preserve">Human Translation</t>
      </text>
    </comment>
    <comment authorId="0" ref="E17">
      <text>
        <t xml:space="preserve">Human Translator</t>
      </text>
    </comment>
    <comment authorId="0" ref="G17">
      <text>
        <t xml:space="preserve">Human Translator</t>
      </text>
    </comment>
    <comment authorId="0" ref="I17">
      <text>
        <t xml:space="preserve">Human Translation</t>
      </text>
    </comment>
    <comment authorId="0" ref="E18">
      <text>
        <t xml:space="preserve">Human Translator</t>
      </text>
    </comment>
    <comment authorId="0" ref="G18">
      <text>
        <t xml:space="preserve">Human Translator</t>
      </text>
    </comment>
    <comment authorId="0" ref="H18">
      <text>
        <t xml:space="preserve">Human Translator</t>
      </text>
    </comment>
    <comment authorId="0" ref="I18">
      <text>
        <t xml:space="preserve">Human Translation</t>
      </text>
    </comment>
    <comment authorId="0" ref="E19">
      <text>
        <t xml:space="preserve">Human Translator</t>
      </text>
    </comment>
    <comment authorId="0" ref="G19">
      <text>
        <t xml:space="preserve">Human Translator</t>
      </text>
    </comment>
    <comment authorId="0" ref="I19">
      <text>
        <t xml:space="preserve">Human Translation</t>
      </text>
    </comment>
    <comment authorId="0" ref="E20">
      <text>
        <t xml:space="preserve">Human Translator</t>
      </text>
    </comment>
    <comment authorId="0" ref="I20">
      <text>
        <t xml:space="preserve">Human Translation</t>
      </text>
    </comment>
    <comment authorId="0" ref="E21">
      <text>
        <t xml:space="preserve">Human Translator</t>
      </text>
    </comment>
    <comment authorId="0" ref="F21">
      <text>
        <t xml:space="preserve">Human Translator</t>
      </text>
    </comment>
    <comment authorId="0" ref="G21">
      <text>
        <t xml:space="preserve">Human Translator</t>
      </text>
    </comment>
    <comment authorId="0" ref="I21">
      <text>
        <t xml:space="preserve">Human Translation</t>
      </text>
    </comment>
    <comment authorId="0" ref="E22">
      <text>
        <t xml:space="preserve">Human Translator</t>
      </text>
    </comment>
    <comment authorId="0" ref="F22">
      <text>
        <t xml:space="preserve">Human Translator</t>
      </text>
    </comment>
    <comment authorId="0" ref="G22">
      <text>
        <t xml:space="preserve">Human Translator</t>
      </text>
    </comment>
    <comment authorId="0" ref="I22">
      <text>
        <t xml:space="preserve">Human Translation</t>
      </text>
    </comment>
    <comment authorId="0" ref="E23">
      <text>
        <t xml:space="preserve">Human Translator</t>
      </text>
    </comment>
    <comment authorId="0" ref="G23">
      <text>
        <t xml:space="preserve">Human Translator</t>
      </text>
    </comment>
    <comment authorId="0" ref="H23">
      <text>
        <t xml:space="preserve">Human Translator</t>
      </text>
    </comment>
    <comment authorId="0" ref="I23">
      <text>
        <t xml:space="preserve">Human Translation</t>
      </text>
    </comment>
    <comment authorId="0" ref="E24">
      <text>
        <t xml:space="preserve">Human Translator</t>
      </text>
    </comment>
    <comment authorId="0" ref="F24">
      <text>
        <t xml:space="preserve">Human Translator</t>
      </text>
    </comment>
    <comment authorId="0" ref="H24">
      <text>
        <t xml:space="preserve">Human Translator</t>
      </text>
    </comment>
    <comment authorId="0" ref="I24">
      <text>
        <t xml:space="preserve">Human Translation</t>
      </text>
    </comment>
    <comment authorId="0" ref="I25">
      <text>
        <t xml:space="preserve">Human Translation</t>
      </text>
    </comment>
    <comment authorId="0" ref="E26">
      <text>
        <t xml:space="preserve">Human Translator</t>
      </text>
    </comment>
    <comment authorId="0" ref="F26">
      <text>
        <t xml:space="preserve">Human Translator</t>
      </text>
    </comment>
    <comment authorId="0" ref="I26">
      <text>
        <t xml:space="preserve">Human Translation</t>
      </text>
    </comment>
    <comment authorId="0" ref="E27">
      <text>
        <t xml:space="preserve">Human Translator</t>
      </text>
    </comment>
    <comment authorId="0" ref="F27">
      <text>
        <t xml:space="preserve">Human Translator</t>
      </text>
    </comment>
    <comment authorId="0" ref="I27">
      <text>
        <t xml:space="preserve">Human Translation</t>
      </text>
    </comment>
    <comment authorId="0" ref="I28">
      <text>
        <t xml:space="preserve">Human Translation</t>
      </text>
    </comment>
    <comment authorId="0" ref="F29">
      <text>
        <t xml:space="preserve">Human Translator</t>
      </text>
    </comment>
    <comment authorId="0" ref="G29">
      <text>
        <t xml:space="preserve">Human Translator</t>
      </text>
    </comment>
    <comment authorId="0" ref="I29">
      <text>
        <t xml:space="preserve">Human Translation</t>
      </text>
    </comment>
    <comment authorId="0" ref="E30">
      <text>
        <t xml:space="preserve">Human Translator</t>
      </text>
    </comment>
    <comment authorId="0" ref="I30">
      <text>
        <t xml:space="preserve">Human Translation</t>
      </text>
    </comment>
    <comment authorId="0" ref="E31">
      <text>
        <t xml:space="preserve">Human Translator</t>
      </text>
    </comment>
    <comment authorId="0" ref="I31">
      <text>
        <t xml:space="preserve">Human Translation</t>
      </text>
    </comment>
    <comment authorId="0" ref="E32">
      <text>
        <t xml:space="preserve">Human Translator</t>
      </text>
    </comment>
    <comment authorId="0" ref="F32">
      <text>
        <t xml:space="preserve">Human Translator</t>
      </text>
    </comment>
    <comment authorId="0" ref="G32">
      <text>
        <t xml:space="preserve">Human Translator</t>
      </text>
    </comment>
    <comment authorId="0" ref="H32">
      <text>
        <t xml:space="preserve">Human Translator</t>
      </text>
    </comment>
    <comment authorId="0" ref="I32">
      <text>
        <t xml:space="preserve">Human Translation</t>
      </text>
    </comment>
    <comment authorId="0" ref="E33">
      <text>
        <t xml:space="preserve">Human Translator</t>
      </text>
    </comment>
    <comment authorId="0" ref="F33">
      <text>
        <t xml:space="preserve">Human Translator</t>
      </text>
    </comment>
    <comment authorId="0" ref="H33">
      <text>
        <t xml:space="preserve">Human Translator</t>
      </text>
    </comment>
    <comment authorId="0" ref="I33">
      <text>
        <t xml:space="preserve">Human Translation</t>
      </text>
    </comment>
    <comment authorId="0" ref="E34">
      <text>
        <t xml:space="preserve">Human Translator</t>
      </text>
    </comment>
    <comment authorId="0" ref="G34">
      <text>
        <t xml:space="preserve">Human Translator</t>
      </text>
    </comment>
    <comment authorId="0" ref="H34">
      <text>
        <t xml:space="preserve">Human Translator</t>
      </text>
    </comment>
    <comment authorId="0" ref="I34">
      <text>
        <t xml:space="preserve">Human Translation</t>
      </text>
    </comment>
    <comment authorId="0" ref="I35">
      <text>
        <t xml:space="preserve">Human Translation</t>
      </text>
    </comment>
    <comment authorId="0" ref="E36">
      <text>
        <t xml:space="preserve">Human Translator</t>
      </text>
    </comment>
    <comment authorId="0" ref="F36">
      <text>
        <t xml:space="preserve">Human Translator</t>
      </text>
    </comment>
    <comment authorId="0" ref="H36">
      <text>
        <t xml:space="preserve">Human Translator</t>
      </text>
    </comment>
    <comment authorId="0" ref="I36">
      <text>
        <t xml:space="preserve">Human Translation</t>
      </text>
    </comment>
    <comment authorId="0" ref="E37">
      <text>
        <t xml:space="preserve">Human Translator</t>
      </text>
    </comment>
    <comment authorId="0" ref="F37">
      <text>
        <t xml:space="preserve">Human Translator</t>
      </text>
    </comment>
    <comment authorId="0" ref="H37">
      <text>
        <t xml:space="preserve">Human Translator</t>
      </text>
    </comment>
    <comment authorId="0" ref="I37">
      <text>
        <t xml:space="preserve">Human Translation</t>
      </text>
    </comment>
    <comment authorId="0" ref="I38">
      <text>
        <t xml:space="preserve">Human Translation</t>
      </text>
    </comment>
    <comment authorId="0" ref="I39">
      <text>
        <t xml:space="preserve">Human Translation</t>
      </text>
    </comment>
    <comment authorId="0" ref="E40">
      <text>
        <t xml:space="preserve">Human Translator</t>
      </text>
    </comment>
    <comment authorId="0" ref="F40">
      <text>
        <t xml:space="preserve">Human Translator</t>
      </text>
    </comment>
    <comment authorId="0" ref="H40">
      <text>
        <t xml:space="preserve">Human Translator</t>
      </text>
    </comment>
    <comment authorId="0" ref="I40">
      <text>
        <t xml:space="preserve">Human Translation</t>
      </text>
    </comment>
    <comment authorId="0" ref="E41">
      <text>
        <t xml:space="preserve">Human Translator</t>
      </text>
    </comment>
    <comment authorId="0" ref="F41">
      <text>
        <t xml:space="preserve">Human Translator</t>
      </text>
    </comment>
    <comment authorId="0" ref="G41">
      <text>
        <t xml:space="preserve">Human Translator</t>
      </text>
    </comment>
    <comment authorId="0" ref="H41">
      <text>
        <t xml:space="preserve">Human Translator</t>
      </text>
    </comment>
    <comment authorId="0" ref="I41">
      <text>
        <t xml:space="preserve">Human Translation</t>
      </text>
    </comment>
    <comment authorId="0" ref="E42">
      <text>
        <t xml:space="preserve">Human Translator</t>
      </text>
    </comment>
    <comment authorId="0" ref="F42">
      <text>
        <t xml:space="preserve">Human Translator</t>
      </text>
    </comment>
    <comment authorId="0" ref="G42">
      <text>
        <t xml:space="preserve">Human Translator</t>
      </text>
    </comment>
    <comment authorId="0" ref="H42">
      <text>
        <t xml:space="preserve">Human Translator</t>
      </text>
    </comment>
    <comment authorId="0" ref="I42">
      <text>
        <t xml:space="preserve">Human Translation</t>
      </text>
    </comment>
    <comment authorId="0" ref="I43">
      <text>
        <t xml:space="preserve">Human Translation</t>
      </text>
    </comment>
    <comment authorId="0" ref="I44">
      <text>
        <t xml:space="preserve">Human Translation</t>
      </text>
    </comment>
    <comment authorId="0" ref="I45">
      <text>
        <t xml:space="preserve">Human Translation</t>
      </text>
    </comment>
  </commentList>
</comments>
</file>

<file path=xl/sharedStrings.xml><?xml version="1.0" encoding="utf-8"?>
<sst xmlns="http://schemas.openxmlformats.org/spreadsheetml/2006/main" count="8443" uniqueCount="7050">
  <si>
    <r>
      <rPr>
        <rFont val="Microsoft JhengHei"/>
        <b/>
        <color rgb="FF1155CC"/>
        <sz val="12.0"/>
        <u/>
      </rPr>
      <t xml:space="preserve">Steam Store
</t>
    </r>
    <r>
      <rPr>
        <rFont val="Microsoft JhengHei"/>
        <b/>
        <sz val="12.0"/>
      </rPr>
      <t>加入願望清單!
Add to wish list!</t>
    </r>
  </si>
  <si>
    <r>
      <rPr>
        <rFont val="Microsoft JhengHei"/>
        <b/>
        <color rgb="FF1155CC"/>
        <sz val="11.0"/>
        <u/>
      </rPr>
      <t xml:space="preserve">Steam Store
</t>
    </r>
    <r>
      <rPr>
        <rFont val="Microsoft JhengHei"/>
        <b/>
        <sz val="11.0"/>
      </rPr>
      <t>Sei nett und füge es zur Steamwunschliste hinzu, um das Game zu supporten.</t>
    </r>
  </si>
  <si>
    <t>關於遊戲內的攻略道具"冒險者心得"，因為無法開啟網站連結/地圖之類的外連結，因此建議有需求的玩家們使用一般網站開啟本份攻略，才能正常使用各個連結功能。
(部分地區仍然需要使用VPN至其他地區，才能正常開啟)。</t>
  </si>
  <si>
    <t>※※※
1.官方宣傳或預告的圖片，以及部分已實裝的物品，不代表已經完全實裝，因此不要再問某些無法做到的事情該怎麼做，答案永遠是"還沒做好"，並非攻略不齊全！
2.每次更新大版本，建議手動至官方網站下載最新版本，並使用自動更新至最新版本(部分地區需要使用VPN至其他地區，才有此更新功能)。
3.本攻略專注於PC版本，安卓版本部分功能無法使用(例如相機等)，因此部分內容無法適用於攻略範圍內。
4.IOS版本，官方暫時不考慮製作。
5.本文件不用申請權限，所有人都可以在最下方的分頁標籤中，直接點選查看。</t>
  </si>
  <si>
    <t>1. Hình ảnh quảng cáo hoặc xem trước chính thức không đảm bảo một phiên bản hoàn thiện. Vì thế, hãy dừng hỏi làm điều gì đó bạn không thể. Câu trả lời luôn là "chưa sẵn sàng", chứ không phải bản hướng dẫn bị thiếu!
2. Với mỗi bản cập nhật lớn, hãy tải xuống bằng tay bản cập nhật mới nhất từ những trang web chính thức và dùng tính năng tự cập nhật (một vài khu vực đòi hỏi VPN để truy cập những vùng khác)
3. Bản hướng dẫn này được làm đặc biệt cho phiên bản PC. Một số tính năng của phiên bản Android (như là máy ảnh) không có, nên một số nội dung sẽ không xuất hiện trong bản hướng dẫn này.
4. Phiên bản iOs đang không có trong quá trình phát triển
5. Bản hướng dẫn này không yêu cầu quyền truy cập; bất kì ai cũng có thể xem trực tiếp bằng các tab ở dưới cùng</t>
  </si>
  <si>
    <t>0.82版本，沒有新增SLG方面的玩法，請自行決定是否跳過
下次的0.85版本，預計會實裝許多浴室和洗面所的項目，讓我們一起期待吧</t>
  </si>
  <si>
    <t>Phiên bản 0.82 không bao gồm bất kì SLG nào, nên hãy bỏ qua nó nếu bạn muốn
Phiên bản tiếp theo, 0.85, được dự kiến sẽ bao gôm vô số tính năng phòng tắm và phòng giặt đồ. Hãy chờ đón nó!</t>
  </si>
  <si>
    <t>關於道具"初號核心"的提升，使用位置在技能欄中，由於目前該欄位還無文字敘述所以是空白的，只是尚未設計完全，不是BUG，點選後可以照常進行升級。</t>
  </si>
  <si>
    <t>Liên quan đến sự nâng cấp của vật phẩm "Lõi Số Một", cách dùng ở trong cột kĩ năng. Vì hiện tại cột này không có chú thích bằng chữ, nó trống trơn. Chỉ là nó chưa được nâng cấp đầy đủ, và nó không phải là lỗi. Bạn có thể nâng cấp như thường sau khi nhấp vào đó.</t>
  </si>
  <si>
    <t>因0.8版本地圖MAP需要進行大量製作，因此目前該分頁的部分語言內容還在製作中，可能無法正常瀏覽，請見諒
可以先參考繁體中文版進行對照。</t>
  </si>
  <si>
    <t xml:space="preserve">Do số lượng công việc khổng lồ cần để làm bản đồ phiên bản 0.8, một số nội dung của vài ngôn ngữ sẽ không được hoàn chỉnh. Hãy ghi nhớ rằng bản đồ phiên bản tiếng Trung phồn thể có thể được dùng để tham khảo  </t>
  </si>
  <si>
    <r>
      <rPr>
        <rFont val="Microsoft JhengHei"/>
        <b/>
        <sz val="12.0"/>
      </rPr>
      <t xml:space="preserve">官方discord群組：
</t>
    </r>
    <r>
      <rPr>
        <rFont val="Microsoft JhengHei"/>
        <b/>
        <color rgb="FF1155CC"/>
        <sz val="12.0"/>
        <u/>
      </rPr>
      <t>https://discord.gg/2Bt7RWknyH</t>
    </r>
  </si>
  <si>
    <t>Discord chính thức:
https://discord.gg/2Bt7RWknyH</t>
  </si>
  <si>
    <t>Steam商店連結</t>
  </si>
  <si>
    <t>Steam Store</t>
  </si>
  <si>
    <r>
      <rPr>
        <rFont val="Microsoft JhengHei"/>
        <b/>
        <sz val="12.0"/>
      </rPr>
      <t>※推薦購買此版本(</t>
    </r>
    <r>
      <rPr>
        <rFont val="Microsoft JhengHei"/>
        <b/>
        <color rgb="FFFFE599"/>
        <sz val="12.0"/>
      </rPr>
      <t>高清版本</t>
    </r>
    <r>
      <rPr>
        <rFont val="Microsoft JhengHei"/>
        <b/>
        <sz val="12.0"/>
      </rPr>
      <t xml:space="preserve">)※
Itch正版遊戲的永久版本購買連結:
</t>
    </r>
    <r>
      <rPr>
        <rFont val="Microsoft JhengHei"/>
        <b/>
        <color rgb="FF1155CC"/>
        <sz val="12.0"/>
        <u/>
      </rPr>
      <t>https://nlch.itch.io/sister/devlog/879085/demo-v065a-release</t>
    </r>
  </si>
  <si>
    <r>
      <rPr>
        <rFont val="Microsoft JhengHei"/>
        <b/>
        <sz val="12.0"/>
      </rPr>
      <t>※このバージョンの購入を推奨します(</t>
    </r>
    <r>
      <rPr>
        <rFont val="Microsoft JhengHei"/>
        <b/>
        <color rgb="FFFFE599"/>
        <sz val="12.0"/>
      </rPr>
      <t>HDバージョン</t>
    </r>
    <r>
      <rPr>
        <rFont val="Microsoft JhengHei"/>
        <b/>
        <sz val="12.0"/>
      </rPr>
      <t xml:space="preserve">)※
Itch の正規ゲームの永久版の購入リンク:
</t>
    </r>
    <r>
      <rPr>
        <rFont val="Microsoft JhengHei"/>
        <b/>
        <color rgb="FF1155CC"/>
        <sz val="12.0"/>
        <u/>
      </rPr>
      <t>https://nlch.itch.io/sister/devlog/879085/demo-v065a-release</t>
    </r>
  </si>
  <si>
    <r>
      <rPr>
        <rFont val="Microsoft JhengHei"/>
        <b/>
        <sz val="12.0"/>
      </rPr>
      <t>※Recommended to purchase this version(</t>
    </r>
    <r>
      <rPr>
        <rFont val="Microsoft JhengHei"/>
        <b/>
        <color rgb="FFFFE599"/>
        <sz val="12.0"/>
      </rPr>
      <t>HD version</t>
    </r>
    <r>
      <rPr>
        <rFont val="Microsoft JhengHei"/>
        <b/>
        <sz val="12.0"/>
      </rPr>
      <t xml:space="preserve">)※
Purchase link for the permanent version of Itch genuine game:
</t>
    </r>
    <r>
      <rPr>
        <rFont val="Microsoft JhengHei"/>
        <b/>
        <color rgb="FF1155CC"/>
        <sz val="12.0"/>
        <u/>
      </rPr>
      <t>https://nlch.itch.io/sister/devlog/879085/demo-v065a-release</t>
    </r>
  </si>
  <si>
    <r>
      <rPr>
        <rFont val="Microsoft JhengHei"/>
        <b/>
        <sz val="12.0"/>
      </rPr>
      <t>※推荐购买此版本(</t>
    </r>
    <r>
      <rPr>
        <rFont val="Microsoft JhengHei"/>
        <b/>
        <color rgb="FFFFE599"/>
        <sz val="12.0"/>
      </rPr>
      <t>高清版本</t>
    </r>
    <r>
      <rPr>
        <rFont val="Microsoft JhengHei"/>
        <b/>
        <sz val="12.0"/>
      </rPr>
      <t xml:space="preserve">)※
Itch正版游戏的永久版本购买连结:
</t>
    </r>
    <r>
      <rPr>
        <rFont val="Microsoft JhengHei"/>
        <b/>
        <color rgb="FF1155CC"/>
        <sz val="12.0"/>
        <u/>
      </rPr>
      <t>https://nlch.itch.io/sister/devlog/879085/demo-v065a-release</t>
    </r>
  </si>
  <si>
    <r>
      <rPr>
        <rFont val="Microsoft JhengHei"/>
        <b/>
        <sz val="10.0"/>
      </rPr>
      <t>※Se recomienda comprar esta versión (</t>
    </r>
    <r>
      <rPr>
        <rFont val="Microsoft JhengHei"/>
        <b/>
        <color rgb="FFFFE599"/>
        <sz val="10.0"/>
      </rPr>
      <t>versión HD</t>
    </r>
    <r>
      <rPr>
        <rFont val="Microsoft JhengHei"/>
        <b/>
        <sz val="10.0"/>
      </rPr>
      <t xml:space="preserve">)※ Enlace de compra para la versión permanente del juego original de Itch: 
</t>
    </r>
    <r>
      <rPr>
        <rFont val="Microsoft JhengHei"/>
        <b/>
        <color rgb="FF1155CC"/>
        <sz val="10.0"/>
        <u/>
      </rPr>
      <t>https://nlch.itch.io/sister/devlog/879085/demo-v065a-release</t>
    </r>
  </si>
  <si>
    <r>
      <rPr>
        <rFont val="Microsoft JhengHei"/>
        <b/>
        <sz val="10.0"/>
      </rPr>
      <t>※본 버전(</t>
    </r>
    <r>
      <rPr>
        <rFont val="Microsoft JhengHei"/>
        <b/>
        <color rgb="FFFFE599"/>
        <sz val="10.0"/>
      </rPr>
      <t>HD버전</t>
    </r>
    <r>
      <rPr>
        <rFont val="Microsoft JhengHei"/>
        <b/>
        <sz val="10.0"/>
      </rPr>
      <t xml:space="preserve">) 구매를 권장합니다※ Itch의 정품 게임 영구 버전 구매 링크: </t>
    </r>
    <r>
      <rPr>
        <rFont val="Microsoft JhengHei"/>
        <b/>
        <color rgb="FF1155CC"/>
        <sz val="10.0"/>
        <u/>
      </rPr>
      <t>https://nlch.itch.io/sister/devlog/879085/demo-v065a-release</t>
    </r>
  </si>
  <si>
    <r>
      <rPr>
        <rFont val="Microsoft JhengHei"/>
        <b/>
        <sz val="10.0"/>
      </rPr>
      <t>※Рекомендуется приобрести эту версию (</t>
    </r>
    <r>
      <rPr>
        <rFont val="Microsoft JhengHei"/>
        <b/>
        <color rgb="FFFFE599"/>
        <sz val="10.0"/>
      </rPr>
      <t>HD-версия</t>
    </r>
    <r>
      <rPr>
        <rFont val="Microsoft JhengHei"/>
        <b/>
        <sz val="10.0"/>
      </rPr>
      <t xml:space="preserve">)※ Ссылка для приобретения постоянной версии оригинальной игры Itch: </t>
    </r>
    <r>
      <rPr>
        <rFont val="Microsoft JhengHei"/>
        <b/>
        <color rgb="FF1155CC"/>
        <sz val="10.0"/>
        <u/>
      </rPr>
      <t>https://nlch.itch.io/sister/devlog/879085/demo-v065a-release</t>
    </r>
  </si>
  <si>
    <r>
      <rPr>
        <rFont val="Microsoft JhengHei"/>
        <b/>
        <sz val="10.0"/>
      </rPr>
      <t>※Der Kauf dieser Version (</t>
    </r>
    <r>
      <rPr>
        <rFont val="Microsoft JhengHei"/>
        <b val="0"/>
        <color rgb="FFFFE599"/>
        <sz val="10.0"/>
      </rPr>
      <t>HD-Version</t>
    </r>
    <r>
      <rPr>
        <rFont val="Microsoft JhengHei"/>
        <b/>
        <sz val="10.0"/>
      </rPr>
      <t xml:space="preserve">) wird empfohlen※ Kauflink für die permanente Version </t>
    </r>
    <r>
      <rPr>
        <rFont val="Microsoft JhengHei"/>
        <b/>
        <color rgb="FF1155CC"/>
        <sz val="10.0"/>
        <u/>
      </rPr>
      <t>https://nlch.itch.io/sister/devlog/879085/demo-v065a-release</t>
    </r>
  </si>
  <si>
    <r>
      <rPr>
        <b/>
        <sz val="11.0"/>
      </rPr>
      <t xml:space="preserve">*Khuyến khích nên mua phiên bản này (     )*
Đường link mua phiên bản lâu dài của phiên bản itch của trò chơi: 
</t>
    </r>
    <r>
      <rPr>
        <b/>
        <color rgb="FF1155CC"/>
        <sz val="11.0"/>
        <u/>
      </rPr>
      <t>https://nlch.itch.io/sister/devlog/879085/demo-v065a-release</t>
    </r>
  </si>
  <si>
    <r>
      <rPr>
        <rFont val="Microsoft JhengHei"/>
        <b/>
        <sz val="12.0"/>
      </rPr>
      <t xml:space="preserve">Fanbox正版遊戲的訂閱連結:
</t>
    </r>
    <r>
      <rPr>
        <rFont val="Microsoft JhengHei"/>
        <b/>
        <color rgb="FF1155CC"/>
        <sz val="12.0"/>
        <u/>
      </rPr>
      <t xml:space="preserve">https://nlch.fanbox.cc/posts/9317203
</t>
    </r>
    <r>
      <rPr>
        <rFont val="Microsoft JhengHei"/>
        <b/>
        <sz val="12.0"/>
      </rPr>
      <t>永久版給的KEY應該是Itch的版本</t>
    </r>
  </si>
  <si>
    <r>
      <rPr>
        <rFont val="Microsoft JhengHei"/>
        <b/>
        <sz val="12.0"/>
      </rPr>
      <t xml:space="preserve">Fanbox-正規版ゲームの永久版の購入リンク: 
</t>
    </r>
    <r>
      <rPr>
        <rFont val="Microsoft JhengHei"/>
        <b/>
        <color rgb="FF1155CC"/>
        <sz val="12.0"/>
        <u/>
      </rPr>
      <t xml:space="preserve">https://nlch.fanbox.cc/posts/9317203
</t>
    </r>
    <r>
      <rPr>
        <rFont val="Microsoft JhengHei"/>
        <b/>
        <sz val="12.0"/>
      </rPr>
      <t>永続バージョンによって与えられる KEY は、Itch のバージョンである必要があります。</t>
    </r>
  </si>
  <si>
    <r>
      <rPr>
        <rFont val="Microsoft JhengHei"/>
        <b/>
        <sz val="12.0"/>
      </rPr>
      <t xml:space="preserve">Fanbox-Coded Purchase link for the permanent version of the genuine game: 
</t>
    </r>
    <r>
      <rPr>
        <rFont val="Microsoft JhengHei"/>
        <b/>
        <color rgb="FF1155CC"/>
        <sz val="12.0"/>
        <u/>
      </rPr>
      <t xml:space="preserve">https://nlch.fanbox.cc/posts/9317203
</t>
    </r>
    <r>
      <rPr>
        <rFont val="Microsoft JhengHei"/>
        <b/>
        <sz val="12.0"/>
      </rPr>
      <t>The KEY given by the permanent version should be the version of Itch.</t>
    </r>
  </si>
  <si>
    <r>
      <rPr>
        <rFont val="Microsoft JhengHei"/>
        <b/>
        <sz val="12.0"/>
      </rPr>
      <t xml:space="preserve">Fanbox正版游戏的永久版本購買連結:
</t>
    </r>
    <r>
      <rPr>
        <rFont val="Microsoft JhengHei"/>
        <b/>
        <color rgb="FF1155CC"/>
        <sz val="12.0"/>
        <u/>
      </rPr>
      <t xml:space="preserve">https://nlch.fanbox.cc/posts/9317203
</t>
    </r>
    <r>
      <rPr>
        <rFont val="Microsoft JhengHei"/>
        <b/>
        <sz val="12.0"/>
      </rPr>
      <t>永久版给的KEY应该是Itch的版本</t>
    </r>
  </si>
  <si>
    <r>
      <rPr>
        <rFont val="Microsoft JhengHei"/>
        <b/>
        <sz val="10.0"/>
      </rPr>
      <t xml:space="preserve">Enlace de suscripción para juegos originales de Fanbox: 
</t>
    </r>
    <r>
      <rPr>
        <rFont val="Microsoft JhengHei"/>
        <b/>
        <color rgb="FF1155CC"/>
        <sz val="10.0"/>
        <u/>
      </rPr>
      <t xml:space="preserve">https://nlch.fanbox.cc/posts/9317203
</t>
    </r>
    <r>
      <rPr>
        <rFont val="Microsoft JhengHei"/>
        <b/>
        <sz val="10.0"/>
      </rPr>
      <t xml:space="preserve"> La CLAVE dada por la versión permanente debe ser la versión de Itch.</t>
    </r>
  </si>
  <si>
    <r>
      <rPr>
        <rFont val="Microsoft JhengHei"/>
        <b/>
        <sz val="10.0"/>
      </rPr>
      <t xml:space="preserve">Fanbox 정품 게임 구독 링크: 
</t>
    </r>
    <r>
      <rPr>
        <rFont val="Microsoft JhengHei"/>
        <b/>
        <color rgb="FF1155CC"/>
        <sz val="10.0"/>
        <u/>
      </rPr>
      <t>https://nlch.fanbox.cc/posts/9317203</t>
    </r>
    <r>
      <rPr>
        <rFont val="Microsoft JhengHei"/>
        <b/>
        <sz val="10.0"/>
      </rPr>
      <t xml:space="preserve">
 영구 버전에서 제공되는 KEY는 Itch 버전이어야 합니다.</t>
    </r>
  </si>
  <si>
    <r>
      <rPr>
        <rFont val="Microsoft JhengHei"/>
        <b/>
        <sz val="10.0"/>
      </rPr>
      <t xml:space="preserve">Ссылка на подписку на оригинальные игры Fanbox: 
</t>
    </r>
    <r>
      <rPr>
        <rFont val="Microsoft JhengHei"/>
        <b/>
        <color rgb="FF1155CC"/>
        <sz val="10.0"/>
        <u/>
      </rPr>
      <t>https://nlch.fanbox.cc/posts/9317203</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</si>
  <si>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Fanbox-Spiele: 
</t>
    </r>
    <r>
      <rPr>
        <rFont val="Microsoft JhengHei"/>
        <b/>
        <color rgb="FF1155CC"/>
        <sz val="10.0"/>
        <u/>
      </rPr>
      <t>https://nlch.fanbox.cc/posts/9317203</t>
    </r>
    <r>
      <rPr>
        <rFont val="Microsoft JhengHei"/>
        <b/>
        <sz val="10.0"/>
      </rPr>
      <t xml:space="preserve">
Der von der permanenten Version bereitgestellte SCHLÜSSEL sollte die Version von Itch sein.</t>
    </r>
  </si>
  <si>
    <r>
      <rPr>
        <b/>
        <sz val="11.0"/>
      </rPr>
      <t xml:space="preserve">Đường link đã mã hóa-fanbox cho phiên bản lâu dài của trò chơi: 
</t>
    </r>
    <r>
      <rPr>
        <b/>
        <color rgb="FF1155CC"/>
        <sz val="11.0"/>
        <u/>
      </rPr>
      <t>https://nlch.fanbox.cc/posts/9317203</t>
    </r>
    <r>
      <rPr>
        <b/>
        <sz val="11.0"/>
      </rPr>
      <t xml:space="preserve">
CHÌA KHÓA được cho bởi phiên bản lâu dài nên là phiên bản của Itch</t>
    </r>
  </si>
  <si>
    <r>
      <rPr>
        <rFont val="Microsoft JhengHei"/>
        <b/>
        <sz val="12.0"/>
      </rPr>
      <t xml:space="preserve">Cien正版遊戲的訂閱連結:
</t>
    </r>
    <r>
      <rPr>
        <rFont val="Microsoft JhengHei"/>
        <b/>
        <color rgb="FF1155CC"/>
        <sz val="12.0"/>
        <u/>
      </rPr>
      <t xml:space="preserve">https://ci-en.dlsite.com/creator/24375/plan
</t>
    </r>
    <r>
      <rPr>
        <rFont val="Microsoft JhengHei"/>
        <b/>
        <sz val="12.0"/>
      </rPr>
      <t>永久版給的KEY應該是Itch的版本</t>
    </r>
  </si>
  <si>
    <r>
      <rPr>
        <rFont val="Microsoft JhengHei"/>
        <b/>
        <sz val="12.0"/>
      </rPr>
      <t xml:space="preserve">Cien-正規版ゲームの永久版の購入リンク: 
</t>
    </r>
    <r>
      <rPr>
        <rFont val="Microsoft JhengHei"/>
        <b/>
        <color rgb="FF1155CC"/>
        <sz val="12.0"/>
        <u/>
      </rPr>
      <t xml:space="preserve">https://ci-en.dlsite.com/creator/24375/plan
</t>
    </r>
    <r>
      <rPr>
        <rFont val="Microsoft JhengHei"/>
        <b/>
        <sz val="12.0"/>
      </rPr>
      <t>永続バージョンによって与えられる KEY は、Itch のバージョンである必要があります。</t>
    </r>
  </si>
  <si>
    <r>
      <rPr>
        <rFont val="Microsoft JhengHei"/>
        <b/>
        <sz val="12.0"/>
      </rPr>
      <t xml:space="preserve">Cien-Coded Purchase link for the permanent version of the genuine game: 
</t>
    </r>
    <r>
      <rPr>
        <rFont val="Microsoft JhengHei"/>
        <b/>
        <color rgb="FF1155CC"/>
        <sz val="12.0"/>
        <u/>
      </rPr>
      <t xml:space="preserve">https://ci-en.dlsite.com/creator/24375/plan
</t>
    </r>
    <r>
      <rPr>
        <rFont val="Microsoft JhengHei"/>
        <b/>
        <sz val="12.0"/>
      </rPr>
      <t>The KEY given by the permanent version should be the version of Itch.</t>
    </r>
  </si>
  <si>
    <r>
      <rPr>
        <rFont val="Microsoft JhengHei"/>
        <b/>
        <sz val="12.0"/>
      </rPr>
      <t xml:space="preserve">Cien正版游戏的永久版本購買連結:
</t>
    </r>
    <r>
      <rPr>
        <rFont val="Microsoft JhengHei"/>
        <b/>
        <color rgb="FF1155CC"/>
        <sz val="12.0"/>
        <u/>
      </rPr>
      <t xml:space="preserve">https://ci-en.dlsite.com/creator/24375/plan
</t>
    </r>
    <r>
      <rPr>
        <rFont val="Microsoft JhengHei"/>
        <b/>
        <sz val="12.0"/>
      </rPr>
      <t>永久版给的KEY应该是Itch的版本</t>
    </r>
  </si>
  <si>
    <r>
      <rPr>
        <rFont val="Microsoft JhengHei"/>
        <b/>
        <sz val="10.0"/>
      </rPr>
      <t xml:space="preserve">Enlace de suscripción para juegos originales de Cien: 
</t>
    </r>
    <r>
      <rPr>
        <rFont val="Microsoft JhengHei"/>
        <b/>
        <color rgb="FF1155CC"/>
        <sz val="10.0"/>
        <u/>
      </rPr>
      <t>https://ci-en.dlsite.com/creator/24375/plan</t>
    </r>
    <r>
      <rPr>
        <rFont val="Microsoft JhengHei"/>
        <b/>
        <sz val="10.0"/>
      </rPr>
      <t xml:space="preserve">
La CLAVE dada por la versión permanente debe ser la versión de Itch</t>
    </r>
  </si>
  <si>
    <r>
      <rPr>
        <rFont val="Microsoft JhengHei"/>
        <b/>
        <sz val="10.0"/>
      </rPr>
      <t xml:space="preserve">Cien 정품 게임 구독 링크:
</t>
    </r>
    <r>
      <rPr>
        <rFont val="Microsoft JhengHei"/>
        <b/>
        <color rgb="FF1155CC"/>
        <sz val="10.0"/>
        <u/>
      </rPr>
      <t>https://ci-en.dlsite.com/creator/24375/plan</t>
    </r>
    <r>
      <rPr>
        <rFont val="Microsoft JhengHei"/>
        <b/>
        <sz val="10.0"/>
      </rPr>
      <t xml:space="preserve">
영구 버전에서 제공되는 KEY는 Itch 버전이어야 합니다.</t>
    </r>
  </si>
  <si>
    <r>
      <rPr>
        <rFont val="Microsoft JhengHei"/>
        <b/>
        <sz val="10.0"/>
      </rPr>
      <t xml:space="preserve">Ссылка на подписку на оригинальные игры Cien:
</t>
    </r>
    <r>
      <rPr>
        <rFont val="Microsoft JhengHei"/>
        <b/>
        <color rgb="FF1155CC"/>
        <sz val="10.0"/>
        <u/>
      </rPr>
      <t>https://ci-en.dlsite.com/creator/24375/plan</t>
    </r>
    <r>
      <rPr>
        <rFont val="Microsoft JhengHei"/>
        <b/>
        <sz val="10.0"/>
      </rPr>
      <t xml:space="preserve"> 
КЛЮЧ, заданный постоянной версией, должен быть версией Itch.</t>
    </r>
  </si>
  <si>
    <r>
      <rPr>
        <rFont val="Microsoft JhengHei"/>
        <b/>
        <sz val="10.0"/>
      </rPr>
      <t xml:space="preserve">Abonnementlink für echte Cien-Spiele: 
</t>
    </r>
    <r>
      <rPr>
        <rFont val="Microsoft JhengHei"/>
        <b/>
        <color rgb="FF1155CC"/>
        <sz val="10.0"/>
        <u/>
      </rPr>
      <t xml:space="preserve">https://ci-en.dlsite.com/creator/24375/plan
</t>
    </r>
    <r>
      <rPr>
        <rFont val="Microsoft JhengHei"/>
        <b/>
        <sz val="10.0"/>
      </rPr>
      <t xml:space="preserve"> Der von der permanenten Version bereitgestellte SCHLÜSSEL sollte die Version von Itch sein.</t>
    </r>
  </si>
  <si>
    <r>
      <rPr>
        <b/>
        <sz val="11.0"/>
      </rPr>
      <t xml:space="preserve">Đường link đã mã hóa-cien cho phiên bản lâu dài của trò chơi:
</t>
    </r>
    <r>
      <rPr>
        <b/>
        <color rgb="FF1155CC"/>
        <sz val="11.0"/>
        <u/>
      </rPr>
      <t>https://ci-en.dlsite.com/creator/24375/plan</t>
    </r>
    <r>
      <rPr>
        <b/>
        <sz val="11.0"/>
      </rPr>
      <t xml:space="preserve">
CHÌA KHÓA được cho bởi phiên bản lâu dài nên là phiên bản của Itch</t>
    </r>
  </si>
  <si>
    <t>互動式地圖連結網址(可以進行地圖查看/互動)
地圖網站製作者：Ruika</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</si>
  <si>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</si>
  <si>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</si>
  <si>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</si>
  <si>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Enlace al mapa interactivo (visualización e interacción del mapa disponibles) Sitio web del mapa creado por: Ruika</t>
  </si>
  <si>
    <t>대화형 지도 링크(지도 보기/상호작용 가능) 지도 웹사이트 제작자: Ruika</t>
  </si>
  <si>
    <t>Ссылка на интерактивную карту (доступен просмотр карты/взаимодействие) Создал сайт карты: Ruika</t>
  </si>
  <si>
    <t>Interaktiver Kartenlink (Kartenanzeige/Interaktion verfügbar) Kartenwebsite erstellt von: Ruika</t>
  </si>
  <si>
    <t>Liên kết bản đồ tương tác (có thể xem bản đồ/tương tác) Trang web bản đồ được tạo bởi: Ruika</t>
  </si>
  <si>
    <t xml:space="preserve">本文件旨在協助玩家解決疑惑，不用於商業或廣告用途！ 
本攻略由台灣玩家製作，因此主要以繁體文字為主，其他語系若翻譯上出現不通順的情況，請見諒。
編輯長只是玩家，大部分未公開的情報都是與官方諮詢得到的，所以可能有尚未發現到的機制沒有填寫，若文件有未發現的機制、缺失、異常的地方，歡迎寄信件給主編輯。
您可以取得轉載他網刊登(免費)，或新增其他內容於本表單，歡迎來信
主編輯Discord:RORO#3330
或者寄信至gameconlch@gmail.com與我聯繫，謝謝配合。
地圖製作:Discord:mioakatukaze
簡體中文翻譯人員：:ShigeLuna
日文翻譯人員：눈_눈
英文翻譯人員：Ruika
西班牙文翻譯人員：zNagato、AndyJango
德語翻譯人員：Gabriel
俄語翻譯人員：Libeti
韓文翻譯人員：maltesey
越文翻譯人員：IntenseLag、Nian Sprout
協助資料彙整人員：落染
</t>
  </si>
  <si>
    <r>
      <rPr>
        <rFont val="Microsoft JhengHei"/>
        <b/>
        <color rgb="FFCC0000"/>
        <sz val="12.0"/>
      </rPr>
      <t xml:space="preserve">本文件是免费观看，但不代表可以免费取得，请勿私自下载转传
您可以与作者联系取得免费转载授权。
请勿私自刊登这份文件进行任何形式之商业广告、盗版网站等用途！
</t>
    </r>
    <r>
      <rPr>
        <rFont val="Microsoft JhengHei"/>
        <b/>
        <color theme="1"/>
        <sz val="12.0"/>
      </rPr>
      <t xml:space="preserve">
本攻略由台湾玩家制作，因此主要以繁体文字为主，其他语系若出现翻译上的不通顺，请见谅。
本文件旨在帮助玩家解决游玩过程中产生的疑惑，希望帮助到各位老哥们。
编辑长只是玩家，大部分未公开情报都是与官方咨询得到的，所以可能有尚未发现到的机制没有填写，若文件有未发现的机制、缺失、异常的地方，请寄信給主编辑。
如果你想取得转载其他平台（免费）和新增内容于本表格等等
请加表格作者：Discord:RORO#3330或者发送电子邮件gameconlch@gmail.com与我联系，谢谢配合。
地图制作、简体中文本地化翻译人员:Discord:mioakatukaze
日文翻译人员：Discord:눈_눈
英文翻译人员：Discord:Ruika
西班牙文翻译人员：Discord:zNagato、AndyJango
德語翻译人员：Gabriel
俄語翻译人员：Discord:Libeti
韓文翻译人员：Discord:maltesey
协助资料汇整人员：落染</t>
    </r>
  </si>
  <si>
    <t>Tài liệu này được tạo ra với ý định hỗ trợ người chơi với các câu hỏi của họ và không nhằm mục đích quảng cáo hay thương mại!
Bản hướng dẫn này được tạo ra bởi một người chơi Đài Loan, nên nó chủ yếu sử dụng tiếng Trung phồn thể. Xin hãy bỏ qua sai sót khi dịch sang những ngôn ngữ nào khác.
Biên tập chỉ là một người chơi duy nhất. Những nội dung chưa được phát hành chủ yếu có được bởi sự thảo luận chính thức, nên có thể những tính năng chưa được phát hiện bị bỏ qua. Nếu có những tính năng nào chưa được phát hiện, bỏ qua, hay bất thường trong bản tài liệu này, xin hãy email biên tập
Bạn có thể xin phép để đăng lại nơi khác (miễn phí) hoặc bổ sung nội dung vào tài liệu này. Xin hãy email tôi.
Discord biên tập: RORO#3330
Hoặc, hãy email gameconlch@gmail.com. Cảm ơn vì sự hợp tác của bạn.
Người tạo ra bản đồ: Discord: mioakatukaze
Người dịch tiếng Trung giản thể: Discord: ShigeLuna
Người dịch tiếng Nhật: Discord: 눈_눈
Người dịch tiếng Anh: Discord: Ruika
Người dịch tiếng Tây Ban Nha: Discord: zNagato, AndyJango
Người dịch tiếng Đức: Gabriel
Người dịch tiếng Nga: Discord: Libeti
Người dịch tiếng Hàn: Discord: maltesey
Người dịch tiếng Việt: IntenseLag, Nian Sprout
Người sắp xếp dữ liệu: Luo Ran</t>
  </si>
  <si>
    <t>遊戲目前還是測試版，預告的圖片不代表已經實裝，因此不要再問某些無法做到的事情該怎麼做，答案永遠是"還沒做好"
目前本文件僅接受文件內容缺失相關問題，不接受任何遊戲內容的提問或者BUG反饋，請勿寄信詢問。
相關問題可以到官方Discord和玩家們討論，謝謝配合！</t>
  </si>
  <si>
    <t>游戏目前还是测试版，预告的图片不代表已经实装，因此不要再问某些无法做到的事情该怎么做，答案永远是“还没做好”
目前本文件僅接受文件缺失相关问题，不接受任何游戏内容的讨论或者BUG反饋，請勿寄信詢問。
相关问题可以到官方discord和玩家们讨论，谢谢配合！</t>
  </si>
  <si>
    <t>Trò chơi hiện đang trong phiên bản beta. Hình ảnh xem trước không đảm bảo về một cập nhật. Vậy nên, hãy dừng hỏi làm điều gì đó bạn không thể làm. Câu trả lời sẽ luôn là "Nó chưa sẵn sàng".
Hiện tại, tài liệu này chỉ chấp nhận yêu cầu liên quan đến thiếu nội dung file. Chúng tôi không chấp nhận các yêu cầu liên quan đến nội dung trò chơi hoặc báo cáo bug. Đừng email chúng tôi.
Với các câu hỏi liên quan, xin hãy ghé qua kênh Discord chính thức để trao đổi với những người chơi khác. Cảm ơn vì sự hợp tác của bạn!</t>
  </si>
  <si>
    <r>
      <rPr>
        <rFont val="Microsoft JhengHei"/>
        <b/>
        <sz val="12.0"/>
      </rPr>
      <t xml:space="preserve">主編輯的巴哈姆特小屋(台灣的遊戲論壇)連結:
</t>
    </r>
    <r>
      <rPr>
        <rFont val="Microsoft JhengHei"/>
        <b/>
        <color rgb="FF1155CC"/>
        <sz val="12.0"/>
        <u/>
      </rPr>
      <t>https://home.gamer.com.tw/artwork.php?sn=6032493</t>
    </r>
  </si>
  <si>
    <r>
      <rPr>
        <rFont val="Microsoft JhengHei"/>
        <b/>
        <sz val="12.0"/>
      </rPr>
      <t xml:space="preserve">谷歌文件永远是第一时间更新，可以通过梯子进行查询。
腾讯文件仅用在转载，不具有任何的编辑功能。但腾讯文件因需要等转载人空闲时进行转档和网站发布审查，因此不会得到立即更新
</t>
    </r>
    <r>
      <rPr>
        <rFont val="Microsoft JhengHei"/>
        <b/>
        <color rgb="FFCC0000"/>
        <sz val="12.0"/>
      </rPr>
      <t>谷歌原始文件网址：</t>
    </r>
    <r>
      <rPr>
        <rFont val="Microsoft JhengHei"/>
        <b/>
        <sz val="12.0"/>
      </rPr>
      <t xml:space="preserve">
</t>
    </r>
    <r>
      <rPr>
        <rFont val="Microsoft JhengHei"/>
        <b/>
        <color rgb="FF1155CC"/>
        <sz val="12.0"/>
        <u/>
      </rPr>
      <t>https://docs.google.com/spreadsheets/d/1fDTga-dhWarmZjoPLGN9X85UqCQwDj1L9NpInVcVVLE/edit?gid=1857835699#gid=1857835699</t>
    </r>
  </si>
  <si>
    <t>編輯工作日誌</t>
  </si>
  <si>
    <t>Báo cáo chỉnh sửa</t>
  </si>
  <si>
    <t>2025/11/3 新增0.85版本：SLG-C-23~SLG-C-29、SLG-A-24</t>
  </si>
  <si>
    <t>2025/10/14 新增0.82D：R4、R68、Items +3</t>
  </si>
  <si>
    <t>2025/10/6 新增越南文的翻譯</t>
  </si>
  <si>
    <t>6/10/2025 Đã thêm bản dịch tiếng Việt</t>
  </si>
  <si>
    <t>2025/10/1
0.82 update：
R21、R66~R68、R83~89、Weap-45~49、Drops-15、47~49、Gears-75~78、TIPS-106~112</t>
  </si>
  <si>
    <t>1/10/2025 
Cập nhật 0.82： 
R21、R66~R68、R83~89、Vũ khí-45~49、Vật phẩm rơi-15、47~49、Trang bị-75~78、TIPS-106~112</t>
  </si>
  <si>
    <t>2025/9/14 0.81update：
R69~R82、R24/TIPS 105~106/Drops 46/Weap 45.46/Gears 64~74/Items 42</t>
  </si>
  <si>
    <t>14/9/2025 Cập nhật 0.81:
R69~R82,R24/TIPS 105~106/Vật phẩm rơi 46/Vũ khí 45.46/Trang bị 64~74/Vật phẩn 42</t>
  </si>
  <si>
    <t>2025/9/4 新增影音分頁</t>
  </si>
  <si>
    <t>4/9/2025 Thêm trang video</t>
  </si>
  <si>
    <t>2025/8/31 Map板塊圖檔網站由imgse網站更換為postimage</t>
  </si>
  <si>
    <t>31/8/2025 Trang web phần file bản đồ sẽ được đổi từ trang web img sang postimage</t>
  </si>
  <si>
    <t>2025/8/30 0.80版本新增：SLG-A8、R11、R59~68、6樣裝備及道具、繁體中文地圖更新</t>
  </si>
  <si>
    <t>30/8/2025 Phiên bản 0.80 thêm: SLG-81, R11, R59~68, 6 loại trang bị và trang bị, cập nhật bản đồ tiếng Trung phồn thể</t>
  </si>
  <si>
    <t>2025/8/29 map更新完成繁體中文版本，其餘語系將逐步更新</t>
  </si>
  <si>
    <t>29/8/2025 Hoàn thiện cập nhật bản đồ tiếng Trung phồn thể, những tiếng khác sẽ được cập nhật dần</t>
  </si>
  <si>
    <t>2025/8/11 新增了0.79H版本 TIPS</t>
  </si>
  <si>
    <t>11/8/2025 Phiên bản mới 0.79H TIPS</t>
  </si>
  <si>
    <t>2025/7/20 新增了0.79E版本 RPG35.41</t>
  </si>
  <si>
    <t>20/7/2025 Thêm phiên bản 0.79E RPG35.41</t>
  </si>
  <si>
    <t>2025/7/20 新增了0.79D版本TIPS</t>
  </si>
  <si>
    <t>20/7/2025 Thêm TIPS phiên bản 0.79D</t>
  </si>
  <si>
    <t>2025/7/12 新增了0.79版本SLG-A、SLG-C、TIPS、Weap、Drops</t>
  </si>
  <si>
    <t xml:space="preserve">12/7/2025 Thêm phiên bản 0.79 SLG-A, SLG-C, TIPS, Vũ khí, Vật phẩm rơi </t>
  </si>
  <si>
    <t>2025/6/11 修正了部分0.77版本的敘述，並新增了TIPS</t>
  </si>
  <si>
    <t>11/6/2025 Sửa một số mô tả của phiên bản 0.77 và thêm TIPS</t>
  </si>
  <si>
    <t>2025/6/10 更新0.77版本的內容</t>
  </si>
  <si>
    <t>10/6/2025 Cập nhật nội dung của phiên bản 0.77</t>
  </si>
  <si>
    <t>2025/6/3 更新0.77版本的內容</t>
  </si>
  <si>
    <t>3/6/2025 Cập nhật nội dung của phiên bản 0.77</t>
  </si>
  <si>
    <t>2025/5/26 重製了SLG頁面的所有排版</t>
  </si>
  <si>
    <t>26/5/2025 Làm lại toàn bộ bố cục các trang SLG</t>
  </si>
  <si>
    <t>2025/5/24 新增了獨立顯卡的安裝教學</t>
  </si>
  <si>
    <t>24/5/2025 Thêm hướng dẫn cài đặt cho card đồ họa rời</t>
  </si>
  <si>
    <t>2025/5/15 新增0.75D版本的內容 (R4、R33)、一個防具</t>
  </si>
  <si>
    <t>15/5/2025 Thêm nội dung của phiên bản 0.75D (R4, R33), một giáp</t>
  </si>
  <si>
    <t>2025/5/6 新增大焦熱熔岩帶地圖圖片</t>
  </si>
  <si>
    <t>6/5/2025 Thêm hình ảnh bản đồ của Vùng Dung Nham Nóng Cháy</t>
  </si>
  <si>
    <t>2025/5/5-2025/？ 地圖板塊最近會嘗試更新洞口掉落位置，還請後續留意</t>
  </si>
  <si>
    <t>5/5/2025-?/2025 Phần bản đồ sẽ cố gắng cập nhật vị trí của hố rơi gần đây, xin chú ý đến nó sau</t>
  </si>
  <si>
    <t>2025/5/4 新增了俄語和德語翻譯</t>
  </si>
  <si>
    <t>4/5/2025 Thêm bản dịch tiếng Nga và tiếng Đức</t>
  </si>
  <si>
    <t>2025/5/2 新增了0.75版本內容</t>
  </si>
  <si>
    <t>2/5/2025 Thêm nội dung mới cho phiên bản 0.75</t>
  </si>
  <si>
    <t>2025/4/29 刪除第二份表單，合併西班牙語和韓語的翻譯至本表單</t>
  </si>
  <si>
    <t>29/4/2025 Xóa bảng hướng dẫn thứ hai và gộp bản dịch tiếng Tây Ban Nha và tiếng Hàn vào bảng hướng dẫn</t>
  </si>
  <si>
    <t>2025/4/19 新建第二份表單，有西班牙語和韓語的翻譯</t>
  </si>
  <si>
    <t>19/4/2025 Tạo bảng hướng dẫn thứ hai với bản dịch tiếng Tây Ban Nha và tiếng Hàn</t>
  </si>
  <si>
    <t>2025/4/13  新建"料理"分頁</t>
  </si>
  <si>
    <t>13/4/2025 Thêm trang “Cooking” mới</t>
  </si>
  <si>
    <t>2025/4/6 更新0.721版本 S32~34</t>
  </si>
  <si>
    <t>6/4/2025 Cập nhật phiên bản 0.721 S32~S34</t>
  </si>
  <si>
    <t>2025/4/4 地圖新增大焦熱溶岩帯</t>
  </si>
  <si>
    <t>2025/4/4 マップモジュールに大焦熱溶岩帯</t>
  </si>
  <si>
    <t>2025/4/4 Added the Scorching Lava Zone to the map module</t>
  </si>
  <si>
    <t>1/4/2025 Thêm Vùng Dung Nham Nóng Cháy vào mô-đun bản đồ</t>
  </si>
  <si>
    <t>2025/4/1  新增0.72版本項目：S7、S32~S35、TIPS、兩樣道具、一件防具</t>
  </si>
  <si>
    <t>1/4/2025 Thêm vật phẩm mới phiên bản 0.72: S7, S32~S35, TIPS, hai trang bị, một bộ giáp</t>
  </si>
  <si>
    <t>2025/4/1  新增了網頁愚人節的小彩蛋</t>
  </si>
  <si>
    <t>1/4/2025 Thêm một trò đùa Cá Tháng Tư nhỏ trên trang web</t>
  </si>
  <si>
    <t>2025/3/25 更新事件內地圖名稱與部分內容修正</t>
  </si>
  <si>
    <t>25/3/2025 Cập nhật tên bản đồ và chỉnh sửa một số nội dung trong sự kiện</t>
  </si>
  <si>
    <t>2025/3/22-2025/5/5 地圖板塊重新完成</t>
  </si>
  <si>
    <t>22/3/2025-5/5/2025 Phần bản đồ được hoàn thiện lại</t>
  </si>
  <si>
    <t>2025/3/21 重製事件頁面，分成SLG、RPG頁面</t>
  </si>
  <si>
    <t>21/3/2025 Làm lại trang Event, chia ra làm trang SLG và RPG</t>
  </si>
  <si>
    <t>2025/3/16 更新0.7版本資訊</t>
  </si>
  <si>
    <t>16/03/2025 Cập nhật thông tin phiên bản 0.7</t>
  </si>
  <si>
    <t>2025/3/15 新增狀態分頁</t>
  </si>
  <si>
    <t>15/03/2025 Thêm trang Status</t>
  </si>
  <si>
    <t>2025/3/13 更新TIPS</t>
  </si>
  <si>
    <t>13/03/2025 Cập nhật TIPS</t>
  </si>
  <si>
    <t>2025/3/12 重新製作武器、防具、道具的頁面</t>
  </si>
  <si>
    <t>12/03/2025 Làm lại trang vũ khí, giáp và trang bị</t>
  </si>
  <si>
    <t>2025/3/10 更新公告</t>
  </si>
  <si>
    <t xml:space="preserve">10/03/2025 Cập nhật thông báo </t>
  </si>
  <si>
    <t>2025/2/10 更新公告</t>
  </si>
  <si>
    <t>10/02/2025 Cập nhật thông báo</t>
  </si>
  <si>
    <t>2025/2/4 新增0.65 B版本 事件</t>
  </si>
  <si>
    <t>04/02/2025 Thêm sự kiện mới phiên bản 0.65B</t>
  </si>
  <si>
    <t>2025/2/3-2/4 新增墮落的聖堂地圖圖片，一部分地圖新增了篝火的標記</t>
  </si>
  <si>
    <t>03-04/02/2025 Đã thêm hình ảnh bản đồ Đền Đổ Nát, và thêm dấu hiệu lửa trại vào một số bản đồ</t>
  </si>
  <si>
    <t>2025/2/2 新增0.65A版本 事件、裝甲</t>
  </si>
  <si>
    <t>02/02/2025 Đã thêm sự kiện và giáp phiên bản 0.65A</t>
  </si>
  <si>
    <t>2025/1/15 地圖圖庫資訊更新</t>
  </si>
  <si>
    <t>15/01/2025 Cập nhật Thông Tin Thư viện Bản đồ</t>
  </si>
  <si>
    <t>2025/1/13 新增0.61版本資訊:事件</t>
  </si>
  <si>
    <t>13/01/2025 Thêm thông tin mới phiên bản 0.61: Event</t>
  </si>
  <si>
    <t>2025/1/6 新增0.6C版本資訊:裝甲</t>
  </si>
  <si>
    <t>06/01/2025 Thêm thông tin mới phiên bản 0.6C: Armor</t>
  </si>
  <si>
    <t>2025/1/5 新增0.6B版本資訊:事件</t>
  </si>
  <si>
    <t>05/01/2025 Thêm thông tin mới phiên bản 0.6B: Event</t>
  </si>
  <si>
    <t>2025/1/3 新增0.6A版本資訊:事件</t>
  </si>
  <si>
    <t>03/01/2025 Thêm thông tin mới phiên bản 0.6A: Event</t>
  </si>
  <si>
    <t>2025/1/2 新增0.6版本資訊</t>
  </si>
  <si>
    <t>02/01/2025 Đã thêm thông tin phiên bản 0.6</t>
  </si>
  <si>
    <t>2024/12/25 新增提示與部分文本修正、地圖製作初步完成</t>
  </si>
  <si>
    <t>25/12/2024 Mẹo mới và một số chỉnh sửa chính tả, xây dựng bản đồ bước đầu hoàn thành</t>
  </si>
  <si>
    <t>2024/12/2 新增0.55資訊-事件</t>
  </si>
  <si>
    <t>02/12/2024 Đã thêm thông tin - Event phiên bản 0.55</t>
  </si>
  <si>
    <t>2024/11/29 新增遺跡相關地圖</t>
  </si>
  <si>
    <t xml:space="preserve">29/11/2024 Đã thêm bản đồ mới liên quan đến tàn tích </t>
  </si>
  <si>
    <t>2024/11/24 新增0.5C版本內容-事件、怪物資訊、提示</t>
  </si>
  <si>
    <t>24/11/2024 Nội dung mới được thêm vào phiên bản 0.5C - event, thông tin quái vật, mẹo</t>
  </si>
  <si>
    <t>2024/11/22 新增0.5B版本內容-事件/提示</t>
  </si>
  <si>
    <t>22/11/2024 Nội dung mới được thêm vào phiên bản 0.5B - Event/Lệnh</t>
  </si>
  <si>
    <t>2024/11/21 新增MAP圖檔</t>
  </si>
  <si>
    <t>2024/11/21 新增地图图片</t>
  </si>
  <si>
    <t>21/11/2024 Tệp MAP mới</t>
  </si>
  <si>
    <t>2024/11/20 新增0.5A版本內容-事件/提示</t>
  </si>
  <si>
    <t>20/11/2024 Đã thêm nội dung mới vào phiên bản 0.5A - Event/Lệnh</t>
  </si>
  <si>
    <t>2024/11/2 轉載至巴哈姆特個人創作https://home.gamer.com.tw/artwork.php?sn=6032493</t>
  </si>
  <si>
    <t>02/11/2024 Đăng lại trên sáng tác cá nhân của Bahamut https://home.gamer.com.tw/artwork.php?sn=6032493</t>
  </si>
  <si>
    <t>2024/11/2 新增0.45版本內容-事件/提示</t>
  </si>
  <si>
    <t>02/11/2024 Đã thêm nội dung mới vào phiên bản 0.45 - Event/Lệnh</t>
  </si>
  <si>
    <t>2024/10/31 新增獨立顯卡操作說明</t>
  </si>
  <si>
    <t>31/10/2024 Đã thêm hướng dẫn chạy card đồ họa độc lập</t>
  </si>
  <si>
    <t>2024/10/28 新增部分公告內容</t>
  </si>
  <si>
    <t>28/10/2024 Đã thêm một số nội dung thông báo</t>
  </si>
  <si>
    <t>2024/10/24 新增0.4C版本內容-事件/野外掉落/裝甲</t>
  </si>
  <si>
    <t>24/10/2024 Nội dung mới được thêm vào phiên bản 0.4C - Event/Drops/Armor</t>
  </si>
  <si>
    <t>2024/10/21 新增0.4A版本內容(Drop/Equip/Tips)</t>
  </si>
  <si>
    <t>21/10/2024 Nội dung mới được thêm vào phiên bản 0.4A (Drops/Gears/Tips)</t>
  </si>
  <si>
    <t>2024/10/15新增地圖、事件編號表</t>
  </si>
  <si>
    <t>15/10/2024 Thêm mới đánh số bản đồ và sự kiện</t>
  </si>
  <si>
    <t>2024/10/15新增部分事件、新增事件NO.</t>
  </si>
  <si>
    <t>15/10/2024 Đã thêm một số sự kiện và đánh số sự kiện mới</t>
  </si>
  <si>
    <t>2024/10/14 調整部分格式</t>
  </si>
  <si>
    <t>14/10/2024 Điều chỉnh một số định dạng</t>
  </si>
  <si>
    <t>2024/10/13新增簡體中文翻譯</t>
  </si>
  <si>
    <t>13/10/2024 Đã thêm bản dịch tiếng Trung giản thể</t>
  </si>
  <si>
    <t>2024/10/12新增公告表與編輯日誌、修正塔羅牌</t>
  </si>
  <si>
    <t>12/10/2024 Đã thêm bảng thông báo và nhật ký chỉnh sửa, thẻ Tarot đã chỉnh sửa</t>
  </si>
  <si>
    <t>2024/10/10 新增事件、提示表內容</t>
  </si>
  <si>
    <t>10/10/2024 Thêm sự kiện và lệnh mới</t>
  </si>
  <si>
    <t>2024/10/9新增事件、提示表內容</t>
  </si>
  <si>
    <t>9/10/2024 Thêm sự kiện và lệnh mới</t>
  </si>
  <si>
    <t>2024/10/8新增事件、提示表內容</t>
  </si>
  <si>
    <t>8/10/2024 Thêm sự kiện và lệnh mới</t>
  </si>
  <si>
    <t>2024/10/7新增提示表</t>
  </si>
  <si>
    <t>7/10/2024 Bảng TIPS mới</t>
  </si>
  <si>
    <r>
      <rPr>
        <rFont val="Microsoft JhengHei"/>
        <color theme="1"/>
        <sz val="12.0"/>
      </rPr>
      <t xml:space="preserve">2024/10/6
授權Discord:mioakatukaze轉載至bilibili
</t>
    </r>
    <r>
      <rPr>
        <rFont val="Microsoft JhengHei"/>
        <color rgb="FF000000"/>
        <sz val="12.0"/>
      </rPr>
      <t>https://www.bilibili.com/opus/985591575966908440?spm_id_from=333.999.0.0</t>
    </r>
    <r>
      <rPr>
        <rFont val="Microsoft JhengHei"/>
        <color theme="1"/>
        <sz val="12.0"/>
      </rPr>
      <t xml:space="preserve"> </t>
    </r>
  </si>
  <si>
    <t>2024/10/6
Discord:mioakatukaze に bilibili への再投稿を許可する
https://www.bilibili.com/opus/985591575966908440?spm_id_from=333.999.0.0</t>
  </si>
  <si>
    <t>6 tháng 10 2024
Được cho phép đăng lại trên Bilibili qua Discord: mioakatukaze
https://www.bilibili.com/opus/985591575966908440?spm_id_from=333.999.0.0</t>
  </si>
  <si>
    <t>2024/10/6全頁面修改調整</t>
  </si>
  <si>
    <t>6/10/2024 Sửa đổi và điều chỉnh toàn bộ toàn bộ trang</t>
  </si>
  <si>
    <t>2024/10/5對外發布</t>
  </si>
  <si>
    <t>Được phát hành vào ngày 5 tháng 10, 2024</t>
  </si>
  <si>
    <t>2024/10/4初版完成</t>
  </si>
  <si>
    <t>4/10/2024 Phiên bản đầu tiên được hoàn thiện</t>
  </si>
  <si>
    <t>2024/10/1 建立本表單</t>
  </si>
  <si>
    <t>Biểu mẫu này được tạo ra vào ngày 1 tháng 10, 2024</t>
  </si>
  <si>
    <t>請支持正版遊戲：逆流茶会-存在感薄い妹との簡単生活
攻略彙整：官方Discord-RORO ，協助者-MIO、落染，翻譯者-눈_눈、Ruika、zNagato、Libeti、Gabriel B、maltesey、AndyJango、IntenseLag、Nian Sprout
如未經過許可，請勿私自轉載</t>
  </si>
  <si>
    <t>Please support the official game by 逆流茶会(NLCH) - A Simple Life with My Unobtrusive Sister
Guide: Official Discord-RORO, Facilitator-MIO, 落染, Translator-눈_눈、Ruika、zNagato、Libeti、Gabriel B、maltesey、AndyJango、IntenseLag、Nian Sprout
Please do not copy without permission</t>
  </si>
  <si>
    <t>Пожалуйста поддержите оффициальную игру от 逆流茶会(NLCH) - A Simple Life with My Unobtrusive Sister
Гайд от: Official Discord-RORO, Facilitator-MIO, 落染, Переводчики: -눈_눈, Ruika, zNagato, Libeti, Gabriel B, maltesey,AndyJango、IntenseLag、Nian Sprout
Пожалуйста не копируйте данные без разрешения.</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</si>
  <si>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
Xin không sao chép mà không có sự đồng ý</t>
  </si>
  <si>
    <t>NO.</t>
  </si>
  <si>
    <t>SLG事件</t>
  </si>
  <si>
    <t>說明</t>
  </si>
  <si>
    <t>結果</t>
  </si>
  <si>
    <t>Simulation Event</t>
  </si>
  <si>
    <t>How to Get</t>
  </si>
  <si>
    <t>Result</t>
  </si>
  <si>
    <t>Simulacion de Evento</t>
  </si>
  <si>
    <t>Como obtenerlos</t>
  </si>
  <si>
    <t>Resultado</t>
  </si>
  <si>
    <t>События</t>
  </si>
  <si>
    <t>Способы получения</t>
  </si>
  <si>
    <t>Результат</t>
  </si>
  <si>
    <t>Eventsnamen</t>
  </si>
  <si>
    <t>Wie bekommt man es?</t>
  </si>
  <si>
    <t>Die Ergebnisse</t>
  </si>
  <si>
    <t>Số</t>
  </si>
  <si>
    <t>Sự kiện mô phỏng</t>
  </si>
  <si>
    <t>Cách có được</t>
  </si>
  <si>
    <t>Kết quả</t>
  </si>
  <si>
    <t>A</t>
  </si>
  <si>
    <t>平時相關</t>
  </si>
  <si>
    <t>一般的なイベント</t>
  </si>
  <si>
    <t>General Events</t>
  </si>
  <si>
    <t>Eventos Generales</t>
  </si>
  <si>
    <t>일상 이벤트</t>
  </si>
  <si>
    <t>Основные события</t>
  </si>
  <si>
    <t>Übliche, relevante Events</t>
  </si>
  <si>
    <t>Sự kiện chung</t>
  </si>
  <si>
    <t>開局選項</t>
  </si>
  <si>
    <t>抱住妹妹</t>
  </si>
  <si>
    <t>提升妹妹性慾</t>
  </si>
  <si>
    <t>最初の選択肢</t>
  </si>
  <si>
    <t>妹の性欲を高める「お兄ちゃんのバカ！変態！」</t>
  </si>
  <si>
    <t>First Choices</t>
  </si>
  <si>
    <t>Hug my sister</t>
  </si>
  <si>
    <t>Sister's desire will be increased</t>
  </si>
  <si>
    <t>提升妹妹Xin欲
（谁不想趁妹妹在旁边叫你起床的时候rua一下呢）</t>
  </si>
  <si>
    <t>Primeras Opciones</t>
  </si>
  <si>
    <t>El deseo sexual de la hermana se incrementara</t>
  </si>
  <si>
    <t>첫 번째 선택지</t>
  </si>
  <si>
    <t>여동생을 껴안는다.</t>
  </si>
  <si>
    <t>여동생의 호감도가 올라갔다.</t>
  </si>
  <si>
    <t>Начальные действия</t>
  </si>
  <si>
    <t>Обнимите сестру</t>
  </si>
  <si>
    <t>Повышает сексуальное влечение сестры</t>
  </si>
  <si>
    <t>Erste Entscheidungen</t>
  </si>
  <si>
    <t>Umarme deine Schwester</t>
  </si>
  <si>
    <t>Sexuelle Lust deiner Schwester erhöht</t>
  </si>
  <si>
    <t>Lựa chọn đầu tiên</t>
  </si>
  <si>
    <t>Ôm em gái</t>
  </si>
  <si>
    <t>Mong muốn của em gái sẽ tăng</t>
  </si>
  <si>
    <t>沒事-&gt;小時候</t>
  </si>
  <si>
    <t>獲得隨機部分武器</t>
  </si>
  <si>
    <t>大丈夫、もう起きた → 子供の頃の夢</t>
  </si>
  <si>
    <t>ランダムな武器を入手！「お兄ちゃん…なんだかすごく子供っぽいよ…」</t>
  </si>
  <si>
    <t>I'm awake now -&gt; Childhood</t>
  </si>
  <si>
    <t>Obtain random weapons</t>
  </si>
  <si>
    <t>Se consigue un arma al azar</t>
  </si>
  <si>
    <t>괜찮아, 일어났어. -&gt; 어릴 적 꿈</t>
  </si>
  <si>
    <t>무작위 무기 획득합니다.</t>
  </si>
  <si>
    <t>Пробуждение -&gt; Воспоминания о детстве</t>
  </si>
  <si>
    <t>Получение случайного оружия</t>
  </si>
  <si>
    <t xml:space="preserve">
Ich bin jetzt wach -&gt; Kindheit
</t>
  </si>
  <si>
    <t>Erhalte eine zufällige Waffe</t>
  </si>
  <si>
    <t>Mình thức rồi -&gt; Tuổi thơ</t>
  </si>
  <si>
    <t>Nhận được vũ khí bất kì</t>
  </si>
  <si>
    <t>沒事-&gt;牛排餐</t>
  </si>
  <si>
    <t>約定:肉料理</t>
  </si>
  <si>
    <t>大丈夫、もう起きた → ステーキの夢</t>
  </si>
  <si>
    <t>妹との約束「肉料理が食べたいな～」に派生する</t>
  </si>
  <si>
    <t>I'm awake now -&gt; Dream of steak</t>
  </si>
  <si>
    <t>This choice will lead to "Promise: Meat Dishes"</t>
  </si>
  <si>
    <t>Esta opcion activara la promesa: ''Platillo de Carne''</t>
  </si>
  <si>
    <t>괜찮아, 일어났어. -&gt; 스테이크의 꿈</t>
  </si>
  <si>
    <t>여동생과 고기요리를 먹기로 약속했어요.</t>
  </si>
  <si>
    <t>Пробуждение  -&gt; Раздумия о стейке</t>
  </si>
  <si>
    <t xml:space="preserve">Этот выбор активирует "Обещание мясного блюда" </t>
  </si>
  <si>
    <t>Ich bin jetzt wach -&gt; Traum des Steak</t>
  </si>
  <si>
    <t>Ich verspreche ihr ein Fleischgericht</t>
  </si>
  <si>
    <t>Mình thức rồi -&gt; Ước mơ về thịt</t>
  </si>
  <si>
    <t>Lựa chọn này sẽ dẫn đến "Lời hứa: Món thịt"</t>
  </si>
  <si>
    <t>沒事-&gt;忘光光</t>
  </si>
  <si>
    <t>獲得狀態:總有一天會想起</t>
  </si>
  <si>
    <t>大丈夫、もう起きた → 何も思い出せない</t>
  </si>
  <si>
    <t>まぁ、後で思い出せばいいか・・・</t>
  </si>
  <si>
    <t>I'm awake now -&gt; I don't remember</t>
  </si>
  <si>
    <t>"I'll probably remember it eventually..."</t>
  </si>
  <si>
    <t>'Probablemente lo recuerde algun dia''</t>
  </si>
  <si>
    <t>괜찮아, 일어났어. -&gt; 아무것도 기억나지 않아</t>
  </si>
  <si>
    <t>언젠가 떠올리게 될 거야..</t>
  </si>
  <si>
    <t>Пробуждение  -&gt; Я не могу вспомнить</t>
  </si>
  <si>
    <t>"Возможно я вспомню это когда нибудь"</t>
  </si>
  <si>
    <t>Ich bin jetzt wach -&gt; Traum Vergessen</t>
  </si>
  <si>
    <t>Ich werde mich wahrscheinlich irgendwann daran erinnern …</t>
  </si>
  <si>
    <t>Mình thức rồi - Không nhớ nữa</t>
  </si>
  <si>
    <t>"Đằng nào thì mình chắc cũng sẽ nhớ ra nó..."</t>
  </si>
  <si>
    <t>第一次的探險</t>
  </si>
  <si>
    <t>第一次開始探險時，妹妹會有特殊的對話</t>
  </si>
  <si>
    <t>特殊對話</t>
  </si>
  <si>
    <t>さぁ、冒険の始まりだ！</t>
  </si>
  <si>
    <t>二日目の朝、冒険に出る前に妹と少し話そう</t>
  </si>
  <si>
    <t>「ごめんね、お兄ちゃん…また危険な場所に行かせて…」</t>
  </si>
  <si>
    <t>First Adventure</t>
  </si>
  <si>
    <t>Before you set out to explore for the first time, a one-time dialog will play with the sister.</t>
  </si>
  <si>
    <t>Sister will say a one-time dialog</t>
  </si>
  <si>
    <t>La hermana dira un dialogo especial una sola vez</t>
  </si>
  <si>
    <t>모험의 시작</t>
  </si>
  <si>
    <t>첫 모험을 떠나기 전에 여동생과 대화를 나눌 수 있습니다.</t>
  </si>
  <si>
    <t>여동생과 특별한 대화를 합니다.</t>
  </si>
  <si>
    <t>Первое путешествие</t>
  </si>
  <si>
    <t>После первого путешествия у вас откроется особый диалог с сестрой, который будет проигран всего один раз.</t>
  </si>
  <si>
    <t>Специальный диалог</t>
  </si>
  <si>
    <t>Erstes Abenteuer</t>
  </si>
  <si>
    <t>Bevor du dich zum ersten Mal auf Entdeckungsreise nach draußen begibst, wird ein einmaliger Dialog mit deiner Schwester abgespielt.</t>
  </si>
  <si>
    <t>Meine Schwester spricht einen einmaligen Dialog.</t>
  </si>
  <si>
    <t>Cuộc phiêu lưu đầu tiên</t>
  </si>
  <si>
    <t>Trước khi bạn bắt đầu khám phá lần đầu tiên, một cuộc nói chuyện một lần sẽ diễn ra với em gái</t>
  </si>
  <si>
    <t>Em gái sẽ nói một hội thoại một lần duy nhất</t>
  </si>
  <si>
    <t>製作肉料理</t>
  </si>
  <si>
    <t>獲得"少女的笑容"裝備</t>
  </si>
  <si>
    <t>妹との約束「肉料理が食べたいな～」</t>
  </si>
  <si>
    <t>妹との約束後にお肉料理を作る</t>
  </si>
  <si>
    <t>少女の笑顔を入手！「お兄ちゃん！ちゃんと約束を守ったね～」</t>
  </si>
  <si>
    <t>Promise: Meat Dishes</t>
  </si>
  <si>
    <t>Cook meat dishes for sister</t>
  </si>
  <si>
    <t>Obtain "Girl's Smile" equipment</t>
  </si>
  <si>
    <t>Se consigue el equipo: Sonrisa de Niña</t>
  </si>
  <si>
    <t>여동생과 한 약속 : 고기요리 만들기</t>
  </si>
  <si>
    <t>여동생을 위해 고기 요리를 만들어 보세요.</t>
  </si>
  <si>
    <t>장비 "소녀의 미소" 획득</t>
  </si>
  <si>
    <t>Обещание мясного блюда</t>
  </si>
  <si>
    <t>Приготовьте мясное блюдо</t>
  </si>
  <si>
    <t>Получение предмета 
"Улыбка девочки"</t>
  </si>
  <si>
    <t>Versprich ein Fleischgericht</t>
  </si>
  <si>
    <t>Koch ein Fleischgericht für deine Schwester</t>
  </si>
  <si>
    <t>Erhalte die Ausrüstung „Mädchenlächeln''</t>
  </si>
  <si>
    <t>Lời hứa: Món thịt</t>
  </si>
  <si>
    <t>Nấu món thịt cho em gái</t>
  </si>
  <si>
    <t xml:space="preserve">Nhận được trang bị "Nụ Cười Của Một Cô Gái" </t>
  </si>
  <si>
    <t>約定:別受傷</t>
  </si>
  <si>
    <t>30天內不可受到致命傷害(死亡)，需使用傳送門提前回家或時間到時回家，使用地圖起始處下方的提前回家無效，若中斷就須重新累計。</t>
  </si>
  <si>
    <t>獲得"什麼都行券"道具
後續未實裝</t>
  </si>
  <si>
    <t>妹との約束「怪我しないで」</t>
  </si>
  <si>
    <t>妹のフリーパスを入手！
「妹が頑張って書いたのだろう…沢山書き直した跡がある」
(後続のイベントは未実装）</t>
  </si>
  <si>
    <t>Promise: Don't Get Hurt</t>
  </si>
  <si>
    <t>You cannot be incapacitated for 30 days straight. Sister will give you a cute stamp whenever you go home using the Star Gate (Red Door) or if the time reaches 17:00. Going home early at the start of the map does not count. You have to start over again whenever you fail (die)</t>
  </si>
  <si>
    <t>Obtain "Free Pass Ticket" item from Imouto. (Subsequent events are still unimplemented)</t>
  </si>
  <si>
    <t>Evita sufrir daños por 30 dias, usa la puerta para volver a casa o cuando se termine el tiempo. El regresar temprano a casa no es valido. Si se interrumpe el progreso se reiniciara</t>
  </si>
  <si>
    <t>Se obtiene ''Free Pass Ticket'' de la hermana. (Eventos subsecuentes todavia no han sido implementados)</t>
  </si>
  <si>
    <t>30일 이내에 치명상(사망)을 입으면 안 됩니다.
일찍 귀가하거나 시간이 다 되어 귀가하는 경우에는 포탈을 사용할 필요가 있습니다.
맵의 시작지점 아래에서의 조기 귀가 기능 사용은 무효가 됩니다.
중단한 경우에는 처음부터 다시 시작할 필요가 있습니다.</t>
  </si>
  <si>
    <t>아이템 '여동생 자유이용권' 획득                               (이벤트 미구현)</t>
  </si>
  <si>
    <t>Обещание не пострадать</t>
  </si>
  <si>
    <t>Вы должны не получать статус "травмирован" в течение 30 дней. Вы можете использовать портал телепортации или дождаться 17:00, чтобы вернуться домой. Действие "Пойти домой пораньше" возле входа на локацию не считается . Если вы вернулись травмированым то 30 дневный таймер обнуляеться.</t>
  </si>
  <si>
    <t>Получите "Билет бесплатного пропуска" от сестры. (Дальнейшие действия с ним еще не реализованы).</t>
  </si>
  <si>
    <t>Versprich, nicht verletzt zu werden.</t>
  </si>
  <si>
    <t>Du darfst für 30 Tage am Stück nicht außer Gefecht gesetzt werden. Deine Schwester wird dir einen süßen Stempel geben, wann immer du nach Hause gehst, indem du das Sternentor (Rote Tür) benutzt oder wenn die Zeit 17:00 erreicht. Frühes nach Hause gehen zu Beginn der Karte zählt nicht. Du musst von vorne anfangen, wenn du scheiterst (stirbst)</t>
  </si>
  <si>
    <t>Erhalte das ,,Freipass-Ticket" von deiner Schwester Imouto. (Folge Ergebnisse sind noch nicht implementiert.)</t>
  </si>
  <si>
    <t>Lời hứa: Đừng bị thương</t>
  </si>
  <si>
    <t>Bạn không được bị chết trong 30 ngày liên tiếp. Em gái sẽ cho bạn một hình dán dễ thương mỗi khi bạn về nhà bằng Cửa Sao (Hồng Môn) hoặc khi thời gian là 17:00. Về nhà sớm bằng cách quay lại điểm bắt đầu của bản đồ sẽ không được tính. Bạn sẽ phải bắt đầu lại từ đầu mỗi khi bạn thất bại (chết)</t>
  </si>
  <si>
    <t>Nhận được "Phiếu thưởng của em gái" từ em gái. (Những sự kiện theo sau chưa đuọc triển khai)</t>
  </si>
  <si>
    <t>約定:草莓牛奶</t>
  </si>
  <si>
    <t>當想做出某些妹妹不想做的事情時，可以賄絡妹妹1、10、100瓶草莓牛奶，數值越高妹妹越容易答應(此約定的機制類似於"什麼都行券")</t>
  </si>
  <si>
    <t>需要在一日之內達成約定的承諾，否則妹妹的❤️ 會轉為🖤
(未實裝)</t>
  </si>
  <si>
    <t>約束:ストロベリーミルク</t>
  </si>
  <si>
    <t>妹がやりたくないことをお願いする時には、1、10、100本のストロベリーミルクで彼女を誘うことができる。数が多いほど、妹が承諾しやすくなる（この約束の仕組みは「何でもOK券」に似ている）</t>
  </si>
  <si>
    <t>約束の承諾は1日以内に達成する必要があり、そうでない場合は妹の❤️が🖤に変わる（未実装）</t>
  </si>
  <si>
    <t>Promise: Strawberry Milk</t>
  </si>
  <si>
    <t>When you want the sister to do something that she doesn't want to do, you can bribe her with a Strawberry Milk in amounts of 1, 10 or 100. The chances of her agreeing to your request increases the more milk you give her. (This gimmick is similar to the sister's reward coipon)</t>
  </si>
  <si>
    <t>You need to fulfill this promise within 1 day otherwise the sister's ❤️ will turn into 🖤
(Not yet implemented)</t>
  </si>
  <si>
    <t>Promesa: Leche de fresa</t>
  </si>
  <si>
    <t>Si deseas proponer algo que ella normalmente rechazaría, puedes sobornarla con leche de fresa. Al ofrecerle 1, 10 o incluso 100 botellas, aumentas las probabilidades de que acepte tu petición. Este sistema funciona de forma similar al “Vale para Todo”</t>
  </si>
  <si>
    <t>Debes cumplir el compromiso del acuerdo dentro de un día, o el ❤️ de tu hermana se convertirá en 🖤
(No implementado aún)</t>
  </si>
  <si>
    <t>Обещание клубничного молока</t>
  </si>
  <si>
    <t>N/A aka. Waiting for Eng. ver.</t>
  </si>
  <si>
    <t xml:space="preserve">N/A aka. Waiting for Eng. ver.
</t>
  </si>
  <si>
    <t>Versprechen: Erdbeermilch</t>
  </si>
  <si>
    <t>Wenn du möchtest, dass deine Schwester etwas tut, was sie eigentlich nicht möchte, kannst du sie mit Erdbeermilch bestechen. Du hast die Wahl zwischen 1, 10 oder 100 Flaschen. Je höher die Menge, desto wahrscheinlicher ist es, dass deine Schwester zustimmt. Dieser Bestechungsmechanismus funktioniert ähnlich wie das "Freie Fahrt Ticket.</t>
  </si>
  <si>
    <t>Du musst das Versprechen innerhalb eines Tages einhalten, sonst verwandelt sich die ❤️ deiner Schwester in 🖤. (Noch nicht implementiert)</t>
  </si>
  <si>
    <t>Lời hứa: Sữa Dâu Tây</t>
  </si>
  <si>
    <t>Khi bạn yêu cầu gì đó với em gái mà em ấy không muốn, bạn có thể "hối lộ" em ấy với Sữa Dâu Tây với số lượng là 1,10 hay 100. Khả năng em ấy đồng ý tăng tương ứng với số sữa bạn cho em ấy (cơ chế này giống với phiếu thưởng của em gái)</t>
  </si>
  <si>
    <t>Bạn cần thực hiện lời hứa này trong một ngày, nếu không thì ❤️ của em gái sẽ biến thành 🖤 (chưa được triển khai)</t>
  </si>
  <si>
    <t>第一次帶飲料</t>
  </si>
  <si>
    <t>當第一次帶飲料回家時，有特殊對話
若有打爆飲料販售機的話，有另一種對話</t>
  </si>
  <si>
    <t>解鎖"喝點什麼"選項</t>
  </si>
  <si>
    <t>飲み物を入手した後にお家に帰る</t>
  </si>
  <si>
    <t>初めて飲み物を持ち帰ると特別なセリフがあります
飲み物の自動販売機を爆破すると、また会話が発生します。</t>
  </si>
  <si>
    <t>[妹と一緒に飲む]を選択できるようになる！
「・・・なんで森に自販機があるの？」</t>
  </si>
  <si>
    <t>First Time Bringing Drinks</t>
  </si>
  <si>
    <t xml:space="preserve">A dialogue will be triggered when you bring a drink home for the first time. 
Another dialogue will trigger if you ended up destroying the vending machine
</t>
  </si>
  <si>
    <t>Unlocks "Drink Something" option with sister</t>
  </si>
  <si>
    <t>当第一次带饮料回家时，有特殊对话 
若有打坏饮料贩卖机的话，有另一种对话
（贩卖机：你别过来啊）</t>
  </si>
  <si>
    <t>Se desbloquea la opcion: ''Beber algo'' con la hermana</t>
  </si>
  <si>
    <t>음료를 입수 후 집에 돌아가기</t>
  </si>
  <si>
    <t>처음으로 집에 음료를 가지고 가면 특별한 대화를 들을 수 있습니다.
또한 음료 자판기를 박살내면 또 다른 대화가 발생합니다.</t>
  </si>
  <si>
    <t>여동생과 함께 음료 마시기 옵션이 해제됩니다.</t>
  </si>
  <si>
    <t>Принести напиток в первый раз</t>
  </si>
  <si>
    <t>Принесите домой напиток, после этого происходит особый диалог. Если взорвать автомат напитков, произойдет еще один диалог.</t>
  </si>
  <si>
    <t>Открывает действие "Выпить что-нибудь" с сестрой</t>
  </si>
  <si>
    <t>Zum ersten Mal Getränke mitbringen</t>
  </si>
  <si>
    <t>Ein Dialog wird ausgelöst, wenn du zum ersten Mal ein Getränk nach Hause bringst. 
Ein weiterer Dialog wird ausgelöst, wenn du den Automaten in die Luft jagst"</t>
  </si>
  <si>
    <t>Schaltet die Option ,,Etwas trinken" mit deiner Schwester frei</t>
  </si>
  <si>
    <t>Lần đầu mang đồ uống về</t>
  </si>
  <si>
    <t>Một cuộc nói chuyện sẽ xảy ra khi bạn mang đồ uống về nhà lần đầu tiên.
Một cuộc nói chuyện khác cũng sẽ xảy ra nếu bạn phá hủy máy bán đồ ven đường</t>
  </si>
  <si>
    <t>Mở khóa lựa chọn "Uống gì đó" với em gái</t>
  </si>
  <si>
    <t>第一次死亡</t>
  </si>
  <si>
    <t>第一次死亡後，吃到妹妹料理</t>
  </si>
  <si>
    <t>※一次性事件
一段特殊夢境，並且獲得可以請妹妹製作料理的選項</t>
  </si>
  <si>
    <t>初めての敗北</t>
  </si>
  <si>
    <t>家に着くと妹が怪我を心配して看病してくれるイベントが発生します</t>
  </si>
  <si>
    <t>※1回限りのイベント
妹に夕飯を作って貰えるようになる！</t>
  </si>
  <si>
    <t>First Time Incapacitated</t>
  </si>
  <si>
    <t>After being incapacitated for the first time, a scene will play where Sister will cook and feed you</t>
  </si>
  <si>
    <t>※One-time event
The option to let sister cook for you will be unlocked and you will see a special dream.</t>
  </si>
  <si>
    <t>※一次性事件 
一段特殊梦境，并且获得可以请妹妹制作料理的选项</t>
  </si>
  <si>
    <t>Primera incapacitacion</t>
  </si>
  <si>
    <t>첫 패배</t>
  </si>
  <si>
    <t>사망 시 집으로 돌아오며 여동생이 음식을 만들어줍니다. 
(사망 시 반복)</t>
  </si>
  <si>
    <t>※일회성 이벤트
여동생에게 요리를 부탁할 수 있는 선택지가 해금됩니다.</t>
  </si>
  <si>
    <t>Первая смерть</t>
  </si>
  <si>
    <t>После первой смерти нужно скушать еду приготовленую сестрой</t>
  </si>
  <si>
    <t>※Разовое событие
После еды сестры вы можете увидеть особый сон.</t>
  </si>
  <si>
    <t>Erstes Mal außer Gefecht gesetzt</t>
  </si>
  <si>
    <t>Nachdem du zum ersten Mal außer Gefecht gesetzt wurdest, wird eine Szene abgespielt, wo deine Schwester kocht und dir etwas zu essen gibt</t>
  </si>
  <si>
    <t>※Einmaliges Ereignis 
Die Option, Schwester für dich kochen zu lassen, wird freigeschaltet und du wirst einen besonderen Traum sehen"</t>
  </si>
  <si>
    <t>Lần đầu bị bất tỉnh</t>
  </si>
  <si>
    <t>Sau khi bị bất tỉnh lần đầu tiên, em gái sẽ nấu và cho bạn ăn</t>
  </si>
  <si>
    <t>* Sự kiện một lần
Lựa chọn cho em gái nấu cho bạn sẽ được mở khóa và bạn sẽ có một giấc mơ đặc biệt.</t>
  </si>
  <si>
    <t>妹妹的料理</t>
  </si>
  <si>
    <t>通過選項去優先抉擇妹妹煮出來的食物種類。
並且另外有部分規則：
1.於剩餘的食材中隨機選擇
2.妹妹不會選擇辣椒和垃圾
3.一般情況下肉類優先度較高
4.參照平時的食譜產生對應的料理
5.機率發動"大奇蹟術"：就是製作失敗，也可能產生成功的料理
6.哥哥的幸運值能提高妹妹的"大奇蹟術"發動率
7.妹妹心情差的時候不會做飯
8.高紫心狀態，妹妹會偷偷加料(未實裝)</t>
  </si>
  <si>
    <t>產生料理
P.S.想要吃掉你的選項，未實裝</t>
  </si>
  <si>
    <t>妹のお料理!</t>
  </si>
  <si>
    <t>選択肢を通じて、妹が作る料理の種類を優先的に選ぶ。また、いくつかのルールがある
1.残りの食材の中からランダムに選択する。
2.妹は唐辛子やゴミを選ばない。
3.お肉類の優先度が高い。
4.普段のレシピに基づいて対応する料理を生成する。
5.確率で「大奇跡術」を発動：失敗しても成功する料理が生まれる可能性がある。
6.お兄ちゃんの幸運値が妹の「大奇跡術」の発動率を上げる。
7.妹の機嫌が悪いときは料理を作らない。
8.高い💜状態のとき、妹はこっそりと材料を追加する（未実装）</t>
  </si>
  <si>
    <t>料理が出来る！
P.S. 君を食べたい(性的な意味)は現時点で未実装</t>
  </si>
  <si>
    <t>Imouto's Cooking</t>
  </si>
  <si>
    <t xml:space="preserve">When you let Imouto cook, she will do the following:
1. Randomly choose from any available ingredient
2. Never pick Chili or Junk
3. Prioritize Meat
4. Make food based off generic recipes
5. Has a chance to trigger ""Great Miracle"" when cooking, even if the ingredients are for a failed dish.
6. Onii-chan's luck can help increase the activation chance of ""Great Miracle""
7. Won't cook if she's in a bad mood. 
8. Might secretly add an extra ingredient when having high purple hearts </t>
  </si>
  <si>
    <t>Let Imouto cook
PS: The option to choose "Eat you!" is not yet implemented</t>
  </si>
  <si>
    <t>Schwesterchens Küche</t>
  </si>
  <si>
    <t>Treffe die Auswahl, um die Art von Gericht zu priorisieren, das meine Schwester kochen soll.
Zusätzlich gelten folgende Regeln:
1. Aus den verbleibenden Zutaten wird zufällig gewählt.
2. Meine Schwester wählt keine Chili und keinen Müll.
3. Normalerweise haben Fleischzutaten höhere Priorität.
4. Das Gericht wird basierend auf den üblichen Rezepten erstellt.
5. Chance auf Aktivierung der "Großen Wundertechnik": Auch bei einem misslungenen Versuch kann ein erfolgreiches Gericht entstehen.
6. Der Glückswert des Bruders erhöht die Aktivierungswahrscheinlichkeit der "Großen Wundertechnik".
7. Wenn Schwesterchen schlecht gelaunt ist, kocht sie nicht.
8. Im Zustand "Hohe Violettes Herz" fügt Schwesterchen heimlich Zutaten hinzu (noch nicht implementiert).</t>
  </si>
  <si>
    <t>Gericht zubereiten
Ps. Möchte deine Auswahl verspeisen – noch nicht implementiert</t>
  </si>
  <si>
    <t>Em gái nấu ăn</t>
  </si>
  <si>
    <t>Khi cho Em gái nấu, em ấy sẽ làm những điều sau:
1. Chọn ngẫu nhiên trong số nguyên liệu còn lại
2. Không bao giờ chọn Ớt hoặc Rác
3. Ưu tiên Thịt
4. Nấu ăn dựa trên công thức chung
5. Có khả năng kích hoạt "Phép lạ vĩ đại" khi nấu ăn, dù nguyên liệu là cho món ăn hỏng
6. May mắn của Onii-chan sẽ tăng khả năng xảy ra "Phép Lạ Vĩ Đại"
7. Sẽ không nấu nếu em ấy ở trong tâm trạng xấu
8. Có thể bí mật cho thêm nguyên liệu khi số lượng tim tím cao</t>
  </si>
  <si>
    <t>Cho Imouto nấu
PS: Lựa chọn "Ăn anh!" chưa có</t>
  </si>
  <si>
    <t>製作辣料理</t>
  </si>
  <si>
    <t>妹妹被辣哭</t>
  </si>
  <si>
    <t>觸發被辣哭的劇情</t>
  </si>
  <si>
    <t>辛い料理を作る</t>
  </si>
  <si>
    <t>あまりの辛さで妹が泣いた</t>
  </si>
  <si>
    <t>激辛で泣く妹イベントが発生する</t>
  </si>
  <si>
    <t>Cook spicy dishes</t>
  </si>
  <si>
    <t>Imouto will cry when fed with spicy dishes</t>
  </si>
  <si>
    <t>Triggers the "Crying Imouto" event</t>
  </si>
  <si>
    <t>Cocinar platos picantes</t>
  </si>
  <si>
    <t>La hermanita llorará cuando coma platos picantes</t>
  </si>
  <si>
    <t>Desencadena el evento "hermanita llorando"</t>
  </si>
  <si>
    <t>Готовка острой еды</t>
  </si>
  <si>
    <t>Покормите сестренку острой едой</t>
  </si>
  <si>
    <t>Сработает событие 
"Плачущая сестренка"</t>
  </si>
  <si>
    <t>Scharfe Gerichte zubereiten</t>
  </si>
  <si>
    <t>Deine Schwester weint, weil es zu scharf ist</t>
  </si>
  <si>
    <t>Die Handlung "Schwester weint wegen Schärfe" starten.</t>
  </si>
  <si>
    <t>Nấu đồ ăn cay</t>
  </si>
  <si>
    <t>Em gái sẽ khóc khi được cho đồ ăn cay</t>
  </si>
  <si>
    <t>Xảy ra sự kiện "Imouto Khóc"</t>
  </si>
  <si>
    <t>解除辣味危機</t>
  </si>
  <si>
    <t>妹妹會被辣到趴在床上，需要解除辣味</t>
  </si>
  <si>
    <t>觸發解除辣味的選項</t>
  </si>
  <si>
    <t>激辛危機を脱する</t>
  </si>
  <si>
    <t>妹はあまりの辛さでベットに倒れ込んじゃった</t>
  </si>
  <si>
    <t>辛さを紛らわす選択肢が発生する</t>
  </si>
  <si>
    <t>Solution to spiciness</t>
  </si>
  <si>
    <t>The food is so spicy that Imouto collapses on the bed to relieve the spiciness</t>
  </si>
  <si>
    <t>Allows the option to help relieve the spiciness</t>
  </si>
  <si>
    <t>Solucion al picante</t>
  </si>
  <si>
    <t>la hermanita colapsará en la cama para aliviar el picante</t>
  </si>
  <si>
    <t>Permite la opcion de "ayudar a aliviar el picor"</t>
  </si>
  <si>
    <t>Спасение от жжения</t>
  </si>
  <si>
    <t>Еда настолько острая, что сестренка упадёт на кровать, чтобы облегчить жжение.</t>
  </si>
  <si>
    <t>Открывает действие 
"Помочь снять остроту"</t>
  </si>
  <si>
    <t>Die scharfe Gefahr lösen</t>
  </si>
  <si>
    <t>Die Schärfe wird deine Schwester aufs Bett zwingen. 
Befreie sie von der Schärfe.</t>
  </si>
  <si>
    <t>Die Option "Schärfe lindern" auslösen.</t>
  </si>
  <si>
    <t>Giài pháp cho vị cay</t>
  </si>
  <si>
    <t>Đồ ăn cay tới mức Em gái đổ gục xuống giờng để giảm độ cay</t>
  </si>
  <si>
    <t>Cho phép lựa chọn giúp giảm bớt vị cay</t>
  </si>
  <si>
    <t>紅腫的小嘴-1</t>
  </si>
  <si>
    <t>解除了妹妹辣哭了狀態後，可以進一步提出口腔檢查請求，妹妹紫心低於3時會拒絕</t>
  </si>
  <si>
    <t>觸發被拒絕檢查口腔的劇情</t>
  </si>
  <si>
    <t>腫れた赤い唇 - 1</t>
  </si>
  <si>
    <t>妹の辛さで泣いている状態を解除した後、口腔検査のリクエストをさらに提案できますが、妹の💜が3未満の場合は拒否されます</t>
  </si>
  <si>
    <t>お口の検査を拒否されるイベントが発生する</t>
  </si>
  <si>
    <t>Swollen Lips - 1</t>
  </si>
  <si>
    <t>After relieving the spiciness on Imouto, you can request for an oral inspection. If your purple heart is below 3, she will refuse.</t>
  </si>
  <si>
    <t>Triggers the "Oral Inspection - Refused" event</t>
  </si>
  <si>
    <t>Labios hinchados -1</t>
  </si>
  <si>
    <t>Luego de que tu hermanita alivie el picor, puedes solicitarle una inspeccion oral, si tienes menos de 3 corazones morados, ella te rechazará</t>
  </si>
  <si>
    <t>Desencadena el evento: "inspeccion oral, rechazada"</t>
  </si>
  <si>
    <t>Чувствительные губы 1</t>
  </si>
  <si>
    <t>После действия "Помочь снять остроту" можно попросить у сестренки проверить её рот. Если количество фиолетовых сердечек меньше 3, она откажется.</t>
  </si>
  <si>
    <t>Сработает событие 
"Осмотр рта - отказ"</t>
  </si>
  <si>
    <t>Gerötetes, geschwollenes kl. Mündchen -1</t>
  </si>
  <si>
    <t>Nachdem du Schwesterlein geholfen hast, kannst du Sie nach einer Munduntersuchung fragen.
Ps. der Wert muss über 3 Lila Herzen liegen.</t>
  </si>
  <si>
    <t>Die Szene "Munduntersuchung abgelehnt" auslösen.</t>
  </si>
  <si>
    <t>Môi bị sưng - 1</t>
  </si>
  <si>
    <t>Sau khi Em gái hết cay, bạn có thể hỏi một cuộc kiểm tra miệng. Nếu số lượng tim tím dưới 3, em ấy sẽ từ chối</t>
  </si>
  <si>
    <t>Xảy ra sự kiện "Kiểm tra miệng - Từ chối"</t>
  </si>
  <si>
    <t>紅腫的小嘴-2</t>
  </si>
  <si>
    <t>同上，妹妹紫心高於3時，可以觸發口腔檢查的後續劇情</t>
  </si>
  <si>
    <t>觸發檢查口腔的劇情</t>
  </si>
  <si>
    <t>腫れた赤い唇 - 2</t>
  </si>
  <si>
    <t>妹の💜が3以上のとき、口腔検査の後続のイベントが発生する</t>
  </si>
  <si>
    <t>お口の検査を行うイベントが発生する</t>
  </si>
  <si>
    <t>Swollen Lips - 2</t>
  </si>
  <si>
    <t>Same as above. If your purple hearts are above 3, Imouto will let you do an inspection of her mouth.</t>
  </si>
  <si>
    <t>Triggers the "Oral Inspection" event
*Still has a chance to refuse</t>
  </si>
  <si>
    <t>Labios hinchados -2</t>
  </si>
  <si>
    <t>Si tienes 3 o mas corazones morados, desencadenaras la escena de inspeccion oral</t>
  </si>
  <si>
    <t>Desencadena el evento: "inspeccion oral"</t>
  </si>
  <si>
    <t>Чувствительные губы 2</t>
  </si>
  <si>
    <t>То же самое, что и "Чувствительные губы 1", но если у вас 3 или более фиолетовых сердечек, то сестренка позволит проверить её рот.</t>
  </si>
  <si>
    <t>Сработае событие 
"Осмотр рта"</t>
  </si>
  <si>
    <t>Gerötetes, geschwollenes kl. Mündchen -2</t>
  </si>
  <si>
    <t>Wenn die Zuneigung deiner Schwester über 3 Lila Herzen liegt, kann die Folgegeschichte der Munduntersuchung ausgelöst werden.</t>
  </si>
  <si>
    <t>Die Szene "Munduntersuchung" auslösen.</t>
  </si>
  <si>
    <t>Môi bị sưng - 2</t>
  </si>
  <si>
    <t>Giống như trên, nhưng nếu số tim tím trên 3, em ấy sẽ cho bạn kiểm tra miệng.</t>
  </si>
  <si>
    <t>Xảy ra sự kiện "Kiểm tra miệng"
*Vẫn có khả năng bị từ chối</t>
  </si>
  <si>
    <t>呆毛</t>
  </si>
  <si>
    <t>每次親密接觸時，可以拔一次呆毛(每天最多兩次)；隔天之後，與深淵的重置是同步進行的(例如下雨天或者使用塔羅牌等等)，重置後才可以繼續拔呆毛。</t>
  </si>
  <si>
    <t>獲得"妹妹的呆毛"食材</t>
  </si>
  <si>
    <t>妹のアホ毛</t>
  </si>
  <si>
    <t>スキンシップ時、妹のアホ毛を抜くことができる！(2回まで)
※入浴後のスキンシップでは不可</t>
  </si>
  <si>
    <t>「妹のアホ毛」を入手！</t>
  </si>
  <si>
    <t>Ahoge</t>
  </si>
  <si>
    <t>While doing skinship with Imouto, you can pick up her ahoge (up to two times). This can't be done if imouto just finished bathing. You can contnue picking up the ahoge when it resets. It reset at the same time as abyss, tarot cards or rainy days.</t>
  </si>
  <si>
    <t>Obtain "Sister's Ahoge" ingredient</t>
  </si>
  <si>
    <t>获得"妹妹的呆毛"食材
（这真的能吃吗...）</t>
  </si>
  <si>
    <t>Para contacto intimo que no sea despues del baño, se puede arrancar el pelo tonto (hasta dos veces)</t>
  </si>
  <si>
    <t>Se consigue el ingrediente ''Ahoge''</t>
  </si>
  <si>
    <t>여동생의 바보털</t>
  </si>
  <si>
    <t>스킨십 시 여동생의 바보털을 뽑을 수 있습니다. (2회까지) 
※목욕 후 스킨십으로는 불가</t>
  </si>
  <si>
    <t>여동생의 바보털 획득합니다.</t>
  </si>
  <si>
    <t>Ахоге</t>
  </si>
  <si>
    <t>При тактильном контакте вы можете выдернуть ахоге (до двух раз). 
Не может быть выполнено после принятия ванны.</t>
  </si>
  <si>
    <t>Получение предмета 
"Ахоге сестры", как ингредиента для еды.</t>
  </si>
  <si>
    <t>Albernes Haar</t>
  </si>
  <si>
    <t>Beim Streicheln – außer nach dem Baden – kannst du ihr das Haarsträhnchen auszupfen (bis zu zweimal)</t>
  </si>
  <si>
    <t>Erhalte die Zutat ,,Albernes Schwester-Haar"</t>
  </si>
  <si>
    <t>Khi vuốt ve em gái, bạn có thể nhặt ahoge của em gái (tối đa hai lần). Không thể thực hiện nếu Em gái vừa tắm xong</t>
  </si>
  <si>
    <t>Nhận được nguyên liệu "Ahoge Của Em Gái"</t>
  </si>
  <si>
    <t>渾身惡臭-1</t>
  </si>
  <si>
    <t>裝備"臭魚骨"回家時可觸發</t>
  </si>
  <si>
    <t>觸發"哥哥好臭"事件</t>
  </si>
  <si>
    <t>お兄ちゃんが臭い -1</t>
  </si>
  <si>
    <t>「くさい魚の骨」を装備して帰宅すると…</t>
  </si>
  <si>
    <t>「臭い！お兄ちゃん臭い！」イベントが起きる…</t>
  </si>
  <si>
    <t>Onii-chan, you reek! - 1</t>
  </si>
  <si>
    <t>Triggers when you go home with the weapon "Rotten Fishbone" equipped.</t>
  </si>
  <si>
    <t>The "Onii-chan, you reek! - 1" event is triggered</t>
  </si>
  <si>
    <t>Hermano, apestas! - 1</t>
  </si>
  <si>
    <t>오빠, 몸에서 냄새나! - 1</t>
  </si>
  <si>
    <t>냄새나는 생선 뼈를 장착한 채 집으로 돌아가면 이벤트가 발생합니다.</t>
  </si>
  <si>
    <t>오빠, 몸에서 냄새나! - 1 이벤트가 발생합니다.</t>
  </si>
  <si>
    <t>Братик ты воняешь 1</t>
  </si>
  <si>
    <t>Событие можно активировать, возвращаясь домой снаряженным 
"Вонючей рыбной костью".</t>
  </si>
  <si>
    <t>Запускает событие 
"От брата очень плохо пахнет".</t>
  </si>
  <si>
    <t>Großer Bruder, du stinkst! - 1</t>
  </si>
  <si>
    <t>Wird ausgelöst, wenn du nach Hause gehst und die Waffe ,,Verfaulter Fischknochen" ausgerüstet hast</t>
  </si>
  <si>
    <t>Das ,,Großer Bruder, du stinkst! - 1" Ereignis wird ausgelöst</t>
  </si>
  <si>
    <t>Onii-chan, anh hôi! - 1</t>
  </si>
  <si>
    <t>Xảy ra khi bạn về nhà và trang bị vũ khí "Xương Cá Thối"</t>
  </si>
  <si>
    <t>Sự kiện "Onii-chan, anh hôi! - 1" xảy ra</t>
  </si>
  <si>
    <t>渾身惡臭-2</t>
  </si>
  <si>
    <t>哥哥不洗澡一段時間</t>
  </si>
  <si>
    <t>未實裝</t>
  </si>
  <si>
    <t>お兄ちゃんが臭い -2</t>
  </si>
  <si>
    <t>お兄ちゃんがしばらくお風呂に入っていない…</t>
  </si>
  <si>
    <t>未実装</t>
  </si>
  <si>
    <t>Onii-chan, you reek! - 2</t>
  </si>
  <si>
    <t xml:space="preserve">Don't shower/take a bath for a while.
</t>
  </si>
  <si>
    <t>Not implemented yet.</t>
  </si>
  <si>
    <t>Hermano, apestas! -2</t>
  </si>
  <si>
    <t>No te bañes por un tiempo</t>
  </si>
  <si>
    <t>No ha sido implementado</t>
  </si>
  <si>
    <t>오빠, 몸에서 냄새나! - 2</t>
  </si>
  <si>
    <t>오빠가 며칠 동안 목욕을 안 했어요.</t>
  </si>
  <si>
    <t>미구현</t>
  </si>
  <si>
    <t>Братик ты воняешь 2</t>
  </si>
  <si>
    <t>Вы должны не принимать душ некоторое время</t>
  </si>
  <si>
    <t>Пока не реализовано.</t>
  </si>
  <si>
    <t>Großer Bruder, du stinkst! - 2</t>
  </si>
  <si>
    <t>Eine Weile nicht duschen oder baden</t>
  </si>
  <si>
    <t>Noch nicht implementiert</t>
  </si>
  <si>
    <t>Onii-chan, anh hôi! - 2</t>
  </si>
  <si>
    <t>Không tắm trong vòng một tuần</t>
  </si>
  <si>
    <t>Chưa được thực hiện</t>
  </si>
  <si>
    <t>洗完澡來喝點</t>
  </si>
  <si>
    <t>當身上有牛奶時，洗澡後機率觸發喝牛奶</t>
  </si>
  <si>
    <t>特殊動畫</t>
  </si>
  <si>
    <t>お風呂上がりの最高の一杯！</t>
  </si>
  <si>
    <t>「オイシイミルク」を持ってる場合、お風呂上りに飲むことがある！</t>
  </si>
  <si>
    <t>特殊演出を見れる</t>
  </si>
  <si>
    <t>Drink after a shower!</t>
  </si>
  <si>
    <t>When possessing milk in your inventory, there is a chance the sister will drink it after bath.</t>
  </si>
  <si>
    <t>An animation of her chugging the milk will play. Favorability will increase.</t>
  </si>
  <si>
    <t>Bebida despues de bañarse</t>
  </si>
  <si>
    <t>Cuando tengas leche en el inventario, habra una probabilidad de que se active el evento de beber leche despues de bañarse.</t>
  </si>
  <si>
    <t xml:space="preserve">Una animacion de la hermana tomando leche se activara, este evento incrementa la favorablidad </t>
  </si>
  <si>
    <t>목욕 후 마시는 최고의 한 잔!</t>
  </si>
  <si>
    <t>아이템에 우유가 있으면 목욕 후에 여동생이 우유를 마시는 경우가 있습니다.</t>
  </si>
  <si>
    <t>특수 애니메이션을 볼 수 있습니다.</t>
  </si>
  <si>
    <t>Напиток после душа!</t>
  </si>
  <si>
    <t>Если в вашем инвентаре есть молоко, есть вероятность, что сестра выпьет его после принятия ванны.</t>
  </si>
  <si>
    <t>Будет воспроизведена анимация того, как она пьет молоко. 
Заинтересованность сестры увеличиться.</t>
  </si>
  <si>
    <t>Trinken nach der Dusche</t>
  </si>
  <si>
    <t>Wenn du Milch in deinem Inventar hast, besteht die Chance, dass deine Schwester sie nach dem Baden trinkt</t>
  </si>
  <si>
    <t>Eine Animation wird abgespielt, in der sie die Milch trinkt. Die Beliebtheit von dir wird steigen</t>
  </si>
  <si>
    <t>Uống sau khi tắm!</t>
  </si>
  <si>
    <t>Khi có sữa trong túi đồ của bạn, có khả năng em gái sẽ uống nó sau khi tắm</t>
  </si>
  <si>
    <t>Một animation em ấy uống trọn sữa sẽ xảy ra. Độ yêu thích tăng lên</t>
  </si>
  <si>
    <t>喧囂的風兒</t>
  </si>
  <si>
    <t>第一次與妹妹共浴之後，可以幫妹妹吹頭髮</t>
  </si>
  <si>
    <t>解鎖"吹頭髮"選項</t>
  </si>
  <si>
    <t>ドライヤー</t>
  </si>
  <si>
    <t>初めて妹と一緒にお風呂に入った後、髪をドライヤーで乾かすのを手伝うことができます</t>
  </si>
  <si>
    <t>ドライヤーで妹の髪を乾かすことが出来るようになる</t>
  </si>
  <si>
    <t>Strong Wind</t>
  </si>
  <si>
    <t>After the first time you take a bath with your sister, you can offer to blow dry her hair.</t>
  </si>
  <si>
    <t>Unlocks "Dry Hair" option with sister</t>
  </si>
  <si>
    <t>Viento fuerte</t>
  </si>
  <si>
    <t>Despues de bañarte por primera vez con tu hermana, puedes ofrecerle ayudarla a secarse el cabello</t>
  </si>
  <si>
    <t>Desbloquea la opcion ''Secarle el cabello a tu hermana''</t>
  </si>
  <si>
    <t>머리카락 말리기</t>
  </si>
  <si>
    <t>처음으로 여동생과 목욕을 한 후에 여동생의 머리카락을 말려줄 수 있게 됩니다.</t>
  </si>
  <si>
    <t>여동생의 머리카락을 말려줄 수 있는 선택지가 해금됩니다.</t>
  </si>
  <si>
    <t>Ветряной поток</t>
  </si>
  <si>
    <t>После того, как вы впервые примете ванну с сестрой,  предложите ей свою помощь, что-бы высушить волосы феном.</t>
  </si>
  <si>
    <t>Открывает действие 
"Подсушить волосы" с сестрой.</t>
  </si>
  <si>
    <t>Starker Wind</t>
  </si>
  <si>
    <t>Nach dem ersten Mal, dass du mit deiner Schwester ein Bad nimmst, kannst du ihr anbieten, ihre Haare zu föhnen</t>
  </si>
  <si>
    <t>Schaltet die Option ,,Haare föhnen" mit der Schwester frei.</t>
  </si>
  <si>
    <t>Gió mạnh</t>
  </si>
  <si>
    <t>Sau khi tắm với em gái lần đầu tiên, bạn có thể hỏi để thổi khô tóc cho em ấy</t>
  </si>
  <si>
    <t>Mở khóa lựa chọn "Thổi khô tóc" cùng em gái</t>
  </si>
  <si>
    <t>哥睏了</t>
  </si>
  <si>
    <t>提前睡覺</t>
  </si>
  <si>
    <t>大約第四天後觸發:冷落妹妹，日後早睡會有妹妹的特殊對話
後續未實裝</t>
  </si>
  <si>
    <t>お兄ちゃんが早く寝るようになった</t>
  </si>
  <si>
    <t>21時前に寝ると早く寝る判定になる</t>
  </si>
  <si>
    <t>4日目くらいから早く寝ようとすると妹のセリフが変ります。
(後続のイベントは未実装)</t>
  </si>
  <si>
    <t>Sleepy Onii-chan</t>
  </si>
  <si>
    <t>Go to bed early</t>
  </si>
  <si>
    <t>Can only be triggered after the fourth day.
Ignore the sister and go to sleep.
A special dialogue will trigger.
(Subsequent events have not yet been implemented)</t>
  </si>
  <si>
    <t>大约第四天后触发:冷落妹妹，日后早睡会有妹妹的特殊对话 
后续未实装
（你怎么忍心的.jpg）</t>
  </si>
  <si>
    <t>Hermano dormilon</t>
  </si>
  <si>
    <t>Ve a dormir temprano</t>
  </si>
  <si>
    <t>Solo se puede activar despues del cuarto dia, ignora a tu hermana y ve a dormir, un dialogo especial sera activado (Evento subsequente todavia no ha sido implementado)</t>
  </si>
  <si>
    <t>피곤한 오빠</t>
  </si>
  <si>
    <t>일찍 자기</t>
  </si>
  <si>
    <t>4일째부터 일찍 자려고 하면 여동생의 대사가 바뀝니다.
(후속 이벤트는 미구현)</t>
  </si>
  <si>
    <t>Сонный братик</t>
  </si>
  <si>
    <t>Ложитесь спать рано.</t>
  </si>
  <si>
    <t>Можно запустить только после четвертого дня. Проигнорируйте сестру и идите спать. Запустится специальный диалог.
(Последующие события еще не реализованы)</t>
  </si>
  <si>
    <t>Ich bin müde</t>
  </si>
  <si>
    <t>Geh früher ins Bett</t>
  </si>
  <si>
    <t>Event kann erst nach dem vierten Tag ausgelöst werden. Ignoriere die Schwester und geh schlafen. Ein spezieller Dialog wird ausgelöst. (Weitere Ereignisse sind noch nicht implementiert.)</t>
  </si>
  <si>
    <t>Onii-chan buồn ngủ</t>
  </si>
  <si>
    <t>Đi ngủ sớm</t>
  </si>
  <si>
    <t>Chỉ có thể xảy ra sau ngày thứ tư. 
Phớt lờ em gái và đi ngủ
Một cuộc nói chuyện đặc biệt sẽ xảy ra
(Những sự kiện theo sau chưa được thực hiện)</t>
  </si>
  <si>
    <t>起床囉</t>
  </si>
  <si>
    <t>在沒有餵過"紅髓液"的情況下，早上起床時，可以使用叫醒妹妹，失敗累積達到三次。第四次之後可以解鎖"強行叫醒"</t>
  </si>
  <si>
    <t>機率解鎖"強行叫醒"動畫
被強行叫醒的妹妹，不會徹底醒來，而是會重新回去睡</t>
  </si>
  <si>
    <t>おはよう</t>
  </si>
  <si>
    <t>「紅髓液」を与えなくても、妹を起こすことができますが、何度か妹を起こすを選択するとイベントが発生する可能性がある。確率で失敗します</t>
  </si>
  <si>
    <t>起きた妹はいつもより甘えん坊になるかもしれません</t>
  </si>
  <si>
    <t>Wake up!!</t>
  </si>
  <si>
    <t>If you haven't given the Philosopher's Stone Fragment to the sister, waking her up in the morning will always fail. After doing this three times, there is a chance that you will forcibly try to wake her up.</t>
  </si>
  <si>
    <t>Has a chance to trigger "Forcefully wake up" animation.
When imouto is waken up forcibly, she will still not wake up and go back to sleep.</t>
  </si>
  <si>
    <t>Levantate!</t>
  </si>
  <si>
    <t>Si nunca le has dado el antidoto ''Liquido de Medula Roja'', puedes usar la funcion de despertarla cuando vayas por la mañana, fallara tres veces en total. Despues de un cuarto intento, se desbloqueara el despertar forzado</t>
  </si>
  <si>
    <t>'Hay una probabilidad de activar la animacion ''Despertado Forzado'' Cuando la hermana haya sido despertada forzosamente, ella aun no se despertara y volvera a dormir</t>
  </si>
  <si>
    <t>Пробуждение</t>
  </si>
  <si>
    <t>Если вы не давали сестре Фрагмент Философского Камня, попытки разбудить её утром всегда будут безуспешны. Только после трёх попыток есть шанс, что вы сможете разбудить её насильно.</t>
  </si>
  <si>
    <t>Сработает событие "Принудительное пробуждение".
Когда сестрёнку будят насильно, она всё равно не просыпается и снова заснёт.</t>
  </si>
  <si>
    <t>Wach auf!!</t>
  </si>
  <si>
    <t>Wenn du das Fragment des Stein der Weisen nicht der Schwester gegeben hast, wird das Aufwecken am Morgen immer fehlschlagen. Nachdem du dies dreimal versucht hast, besteht die Chance, dass du versuchst, sie gewaltsam zu wecken</t>
  </si>
  <si>
    <t>Es besteht die Chance, die ,,Gewaltsam aufwecken" -Animation auszulösen. Wenn Imouto gewaltsam geweckt wird, wird sie trotzdem nicht aufwachen und wieder einschlafen</t>
  </si>
  <si>
    <t>Dậy đi!!</t>
  </si>
  <si>
    <t>Nếu bạn chưa đưa cho em hái Mảnh Hiền Triết, gọi em gái dậy vào buổi sáng sẽ luôn thất bại. Sau khi làm điều này ba lần, có khả năng bạn có thể bắt em gái thức dậy</t>
  </si>
  <si>
    <t>Có cơ hội xảy ra animation "Bị bắt phải thức dậy"
Khi imouto bị bắt phải thức dậy, em ấy vẫn sẽ không tình dậy và ngủ tiếp</t>
  </si>
  <si>
    <t>第一次治癒</t>
  </si>
  <si>
    <t>"喝點什麼"
可以讓妹妹喝下"紅髓液"，進行治癒
P.S.只能治癒一次，請參考RPG事件</t>
  </si>
  <si>
    <t>取消"強行叫醒"的機制
治癒後，早晨可以叫醒妹妹，進行劇情，第一次之後仍有機率失敗</t>
  </si>
  <si>
    <t>「一緒に飲む」を選択すると紅髄液のイベントを進めることが出来る
P.S. 一度しか治癒できませんので、RPGイベントを参照してください。</t>
  </si>
  <si>
    <t>治癒後、朝に妹を起こすことができ、ストーリーが進行しますが、治療後も失敗する可能性があります。</t>
  </si>
  <si>
    <t>First Cure</t>
  </si>
  <si>
    <t>By doing "Drink something together.",
you can let your sister drink the red liquid.
Note: Can only be done once. Please refer to RPG events.</t>
  </si>
  <si>
    <t>Forcibly waking up imouto will no longer occur.
After being cured, there is a chance to successfully wake her up in the morning to trigger some scenes. However, there's still a chance of failure in waking her up.</t>
  </si>
  <si>
    <t>Primer antidoto</t>
  </si>
  <si>
    <t>При выполнении действия 
"Выпить что-то вместе", можно будет дать сестре выпить красную жидкость.
Примечание: можно выполнить только один раз.
Пожалуйста, обратитесь к событиям RPG.</t>
  </si>
  <si>
    <t>После этого событие
"Принудительное пробуждение" больше не будет происходить.
Появляется шанс успешно разбудить сестрёнку утром и активировать некоторые сцены. Тем не менее, шанс неудачи по-прежнему остаётся.</t>
  </si>
  <si>
    <t>Erste Heilung</t>
  </si>
  <si>
    <t xml:space="preserve">Indem du ,,Zusammen etwas trinken" auswählst, kannst du deiner Schwester die rote Flüssigkeit zum Trinken geben. Hinweis: Kann nur einmal gemacht werden. Bitte beachten Sie die RPG-Ereignisse, um herauszufinden, wie du sie erhältst
</t>
  </si>
  <si>
    <t>Das gewaltsame Wecken von Imouto wird nicht mehr vorkommen. 
Nachdem sie geheilt wurde, besteht eine Chance, sie morgens erfolgreich zu wecken, um einige Szenen auszulösen. 
Es besteht jedoch immer noch die Möglichkeit, dass das Wecken fehlschlägt"</t>
  </si>
  <si>
    <t>Thuốc chữa đầu tiên</t>
  </si>
  <si>
    <t>Bằng cách "Cùng nhau uống gì đó", bạn có thể cho em gái uống chất lỏng màu đỏ 
Ghi chú: chỉ có thể được thực hiện một lần. Hãy xem các sự kiện RPG</t>
  </si>
  <si>
    <t>Bắt imouto thức dậy sẽ không còn xảy ra.
Sau khi được chữa, sẽ có khả năng gọi em ấy dậy thành công vào buổi sáng để xảy ra một vài sự kiện. Dù vậy, vẫn có khả năng thất bại trong việc gọi em ấy dậy</t>
  </si>
  <si>
    <t>-</t>
  </si>
  <si>
    <t>「喝點什麼」給妹妹餵一顆"藍色金平糖"和一顆"粉色金平糖"後，會使妹妹進入??狀態</t>
  </si>
  <si>
    <t>妹と『一緒に飲む？』時に『ブルーの金平糖』と『ピンクの金平糖』を一粒ずつ与えると、妹は??状態に入る</t>
  </si>
  <si>
    <t>After drinking something with the sister, choose to give her the "Blue Konpeito" candy. Drink something with her again and this time, give her a "Pink Konpeito" candy. This will put her in ?? state.</t>
  </si>
  <si>
    <t>Not yet implemented.</t>
  </si>
  <si>
    <t>Начав действий "выпить что-нибудь" с сестрой, дайте ей конфету "Синий Конпейто". Выпейте что-нибудь с ней ещё раз и дайте ей "Розовый Конпейто". Это введет её в особое состояние.</t>
  </si>
  <si>
    <t>Пока еще не реализовано.</t>
  </si>
  <si>
    <t>Nachdem du mit deiner Schwester etwas getrunken hast, wähle, ihr das „Blaue Konpeito“ Bonbon zu geben. Trink noch einmal etwas mit ihr und gib ihr diesmal das „Pink Konpeito“ Bonbon. Dies wird sie in den Zustand ?? versetzen</t>
  </si>
  <si>
    <t>Sau khi uống gì đó cùng em gái, chọn đưa cho em ấy kẹo "Konpeito Xanh". Uống gì đó với em ấy lần nữa, và lần này đưa cho em ấy kẹo "Konpeito Hồng". Việc này sẽ đưa em ấy vào trạng thái ??</t>
  </si>
  <si>
    <t>Chưa có bây giờ</t>
  </si>
  <si>
    <t>惡夢</t>
  </si>
  <si>
    <t>當拔呆毛達到一定數量時，平時晚間睡覺時，可能觸發做惡夢
(一天最多拔2次，隔天才能繼續拔，累計拔到5次就會觸發做惡夢)</t>
  </si>
  <si>
    <t>觸發惡夢動畫</t>
  </si>
  <si>
    <t>悪夢</t>
  </si>
  <si>
    <t>アホ毛を抜くのが一定の量に達すると、普段の夜間睡眠時に悪夢を見る可能性が高まります
（1日に2回まで、翌日から再び抜く事が可能。累計5回に達すると悪夢を見るトリガーが発動します）</t>
  </si>
  <si>
    <t>ホラーアニメーションが見れる…</t>
  </si>
  <si>
    <t>Nightmares</t>
  </si>
  <si>
    <t>After pulling a certain amount of ahoge, nightmare may be triggered at night. (You can pull at most two ahoges per day, and continue plucking the next day. If the total amount of ahoges pulled is 5, nightmares will trigger.)</t>
  </si>
  <si>
    <t>Triggers the nightmare animation</t>
  </si>
  <si>
    <t>Pesadillas</t>
  </si>
  <si>
    <t>Despues de arrancar cierto numero de Ahoge, la pesadilla podra ser activada por la noche, (Puedes arrancar hasta 2 ahoges por dia, y continuar con ello al dia siguiente. Si el total de ahoges arrancados es 5, el evento de pesadilla sera activado)</t>
  </si>
  <si>
    <t>Activa la animacion de pesadilla</t>
  </si>
  <si>
    <t>악몽</t>
  </si>
  <si>
    <t>여동생의 바보털을 일정 횟수 뽑게 되면 잠을 자는 중 악몽을 꾸게 되는 이벤트가 발생합니다.
(하루에 최대 2번만 뽑을 수 있고, 다음 날이 되어야 다시 뽑을 수 있으며 총 5번 누적해서 뽑으면 악몽 이벤트가 발생합니다.)</t>
  </si>
  <si>
    <t>악몽을 애니메이션으로 볼 수 있습니다.</t>
  </si>
  <si>
    <t>Кошмар</t>
  </si>
  <si>
    <t>Вы должны вытянуть определенное количество ахоге, чтобы ночью тригернуть событие "Ночной кошмар". 
(Вы можете вытягивать не более двух ахоге в день. После того как вы в сумме вытяните 5 ахоге событие будет активировано.)</t>
  </si>
  <si>
    <t>Воспроизведется анимация ночного кошмара.</t>
  </si>
  <si>
    <t>Albträume</t>
  </si>
  <si>
    <t>Nachdem eine bestimmte Anzahl an seltsamen Haaren gezupft wurde, kann in der Nacht ein Albtraum ausgelöst werden. (Man kann höchstens zwei seltsame Haare pro Tag zupfen und am nächsten Tag weitermachen. Wenn insgesamt 5 seltsame Haare gezupft wurden, wird ein Albtraum ausgelöst.</t>
  </si>
  <si>
    <t>Löst die Albtraumanimation aus.</t>
  </si>
  <si>
    <t>Ác mộng</t>
  </si>
  <si>
    <t>Sau khi nhổ ra một số lượng ahoge nhất định, ác mộng có thể xảy ra vào ban đêm. (Bạn có thể nhổ ra nhiều nhất 2 ahoge một ngày, và có thể tiếp tục vào ngày hôm sau. Nếu tổng số lượng ahoge đã nhổ là 5, ác mộng sẽ xảy ra)</t>
  </si>
  <si>
    <t>Xảy ra animation ác mộng</t>
  </si>
  <si>
    <t>和妹妹看電視</t>
  </si>
  <si>
    <t>關於客廳，必須遊玩超過第5日後才會觸發，每個檔案都有一個隨機值判定是禮拜幾觸發。
例如：存檔的隨機值是"每周六"，遊戲內就是第6、13、20、27日可以觸發。設定上大約於晚上8點期間可能觸發</t>
  </si>
  <si>
    <t>觀看電視
*大部分功能未實裝</t>
  </si>
  <si>
    <t>妹と一緒にテレビを見る</t>
  </si>
  <si>
    <t xml:space="preserve">
リビングに関しては、5日目以降にプレイして初めてイベントが発生します。各セーブデータには、どの曜日に発生するかを決めるランダム値があります。
例：セーブデータのランダム値が『毎週土曜日』の場合、ゲーム内では6日目、13日目、20日目、27日目に発生します。設定上はおおよそ夜8時ごろに発生する可能性があります</t>
  </si>
  <si>
    <t xml:space="preserve">
テレビを見る!
※ほとんどの機能は未実装</t>
  </si>
  <si>
    <t>Watching TV</t>
  </si>
  <si>
    <t>The Living Room event only triggers after Day 5. Each save file has a random value that determines which day of the week this event will occur. For example, my value ended up giving me "Saturday" as the day when the Living Room event will occur. That means it will trigger on day 6, day 13, day 20, etc. and this event triggers mostly around 20:00.</t>
  </si>
  <si>
    <t>Watches TV with imouto
*Most features are not yet implemented</t>
  </si>
  <si>
    <t>Fernsehen glotzen</t>
  </si>
  <si>
    <t>Die Wohnzimmerszene wird erst nach Tag 5 ausgelöst. Jeder Spielstand hat einen zufälligen Wert, der bestimmt, an welchem Wochentag dieses Ereignis stattfindet. Zum Beispiel ergab mein Wert den "Samstag" als Tag, an dem das Wohnzimmer-Ereignis ausgelöst wird. Das bedeutet, es wird an Tag 6, Tag 13, Tag 20 usw. ausgelöst, und dieses Ereignis tritt meist gegen 20:00 Uhr auf.</t>
  </si>
  <si>
    <t>Die meisten Funktionen sind noch nicht implementiert</t>
  </si>
  <si>
    <t>Xem TV</t>
  </si>
  <si>
    <t>Sự kiện ở Phòng khách chỉ xảy ra sau ngày 5. Mỗi file lưu đều sẽ có một giá trị ngẫu nhiên quyết định sự kiện này sẽ xảy ra vào ngày nào. Ví dụ, giá trị của tôi có thể là Thứ Bảy khi sự kiện ở Phòng khách xảy ra. Điều này có nghĩa nó sẽ xảy ra vào ngày 6, ngày 13, ngày 20, vv... và sự kiện này sẽ xảy ra nhiều nhất vào khoảng 20:00</t>
  </si>
  <si>
    <t>Xem TV cùng imouto
*Hầu hết các tính năng chưa được triển khai</t>
  </si>
  <si>
    <t>和妹妹撒嬌</t>
  </si>
  <si>
    <t>擁有"什麼都行券"，平時要和"妹妹做點什麼"時，會新增一個選項</t>
  </si>
  <si>
    <t>新增選項：向妹妹撒嬌吧！
*目前尚無後續</t>
  </si>
  <si>
    <t>妹に甘える</t>
  </si>
  <si>
    <t>「何でも券」を所持している場合、普段「妹と何かする」時に選択肢が一つ追加されます</t>
  </si>
  <si>
    <t xml:space="preserve">
選択肢が追加される：妹に甘えよう！
※現時点では続きはありません
</t>
  </si>
  <si>
    <t>Spoil me!</t>
  </si>
  <si>
    <t>If you have a "Free Pass Ticket", you can use it when choosing the "Do Something" option when you talk to imouto in her room.</t>
  </si>
  <si>
    <t>New option: Spoil me!
No-follow up yet</t>
  </si>
  <si>
    <t>Mit deiner kl. Schwester kuscheln</t>
  </si>
  <si>
    <t>Wenn man ein "Freie Fahrt Ticket" besitzt, erscheint normalerweise ein neuer Auswahlpunkt, wenn man etwas mit der kleinen Schwester unternehmen möchte.</t>
  </si>
  <si>
    <t>Neuer Auswahlpunkt: Bei deiner kl. Schwester schmusen
Bisher gibt es noch keine weiteren Inhalte</t>
  </si>
  <si>
    <t>Chiều chuộng!</t>
  </si>
  <si>
    <t>Nếu bạn có "Phiếu Thưởng Của Em Gái", bạn có thể dùng nó khi chọn lựa chọn "Làm gì đó" khi nói chuyện với imouto trong phòng em ấy</t>
  </si>
  <si>
    <t>Lựa chọn mới: Chiều chuộng!
Chưa có gì nối tiếp</t>
  </si>
  <si>
    <t>B</t>
  </si>
  <si>
    <t>廁所相關</t>
  </si>
  <si>
    <t>トイレイベント</t>
  </si>
  <si>
    <t>Toilet Events</t>
  </si>
  <si>
    <t>Eventos en el Baño</t>
  </si>
  <si>
    <t>화장실 이벤트</t>
  </si>
  <si>
    <t>События в туалете</t>
  </si>
  <si>
    <t xml:space="preserve">Auf die Toilette bezoge Events </t>
  </si>
  <si>
    <t>Sự kiện trong nhà vệ sinh</t>
  </si>
  <si>
    <t>哥要加油</t>
  </si>
  <si>
    <t>於廁所待的時間過長，並持續N天</t>
  </si>
  <si>
    <t>大約第四天後，會被妹妹誤會哥哥身體有恙
暫無後續玩法</t>
  </si>
  <si>
    <t>お兄ちゃん…便秘なの？</t>
  </si>
  <si>
    <t>トイレで長く過ごし妹から不審に思われることが数日続く…</t>
  </si>
  <si>
    <t>4日目くらいから妹は兄が便秘だと誤解するようになる。
(後続のイベントは未実装)</t>
  </si>
  <si>
    <t>Do your best, Onii-chan</t>
  </si>
  <si>
    <t>Stay too long in the toilet and get called out for a couple of times</t>
  </si>
  <si>
    <t xml:space="preserve">After the fourth day, the sister will think you are constipated.
(No further events have yet been implemented)
</t>
  </si>
  <si>
    <t xml:space="preserve">大约第四天后，会被妹妹误会哥哥身体有恙 
（后续未实装）
</t>
  </si>
  <si>
    <t>Apurate hermano</t>
  </si>
  <si>
    <t>Permanece mucho tiempo en el baño y ser llamado un par de veces</t>
  </si>
  <si>
    <t>오빠 화장실에서 뭐 하고 있어?</t>
  </si>
  <si>
    <t>화장실에서 너무 오랜 시간을 보내 여동생에게 의심을 받게 됩니다.</t>
  </si>
  <si>
    <t>4일차쯤에 여동생은 오빠가 몸에 이상이 있나 하고 오해하게 됩니다. (후속 이벤트는 미구현)</t>
  </si>
  <si>
    <t>Ты сможешь Братик!</t>
  </si>
  <si>
    <t>Просидите в туалете очень долго и будьте окликнуты сестрой несколько раз.</t>
  </si>
  <si>
    <t>После чётвертого дня повторения данного действия, сестра подумает, что вы заболели.
(Дальнейшее развитие действие еще не реализовано.)</t>
  </si>
  <si>
    <t>Gib dein Bestes, großer Bruder</t>
  </si>
  <si>
    <t>Bleibe zu lange auf der Toilette und werde ein paar Mal darauf hingewiesen</t>
  </si>
  <si>
    <t>Nach dem vierten Tag wird die Schwester denken, dass du verstopft bist. (Weitere Ereignisse wurden noch nicht implementiert.)</t>
  </si>
  <si>
    <t>Hãy làm tốt nhất, Onii-chan</t>
  </si>
  <si>
    <t>Ở trong toilet quá lâu và bị gọi ra ngoài vài lần</t>
  </si>
  <si>
    <t>Sau ngày thứ tư, em gái sẽ nghĩ bạn bị táo bón 
(Chưa có sự kiện theo sau nào được thực hiện)</t>
  </si>
  <si>
    <t>發情的妹妹-1</t>
  </si>
  <si>
    <t>「喝點什麼」給妹妹餵「粉色金平糖」後，第一次必定觸發，然後請點選空白處回到召喚妹妹的畫面，會觸發劇情
(其他出現糖的場合，目前只是單純的過場)</t>
  </si>
  <si>
    <t>觸發妹妹在廁所解決需求的劇情
不同紫心會有差別演出
另外在發情的狀態下，平常時會有不同的對話、親密接觸等</t>
  </si>
  <si>
    <t>発情した妹-1</t>
  </si>
  <si>
    <t>『何か飲む？』と妹に『ピンクの金平糖』を与えた後、必ず最初にイベントが発生します。
妹を呼び出す画面に戻ると、イベントが進行します。（他の砂糖が登場する場面は、現時点では単なる演出です）</t>
  </si>
  <si>
    <t>妹がトイレで用を足すシーンを発生させます。💜に応じてイベントが分岐する！
また、興奮状態にあるときは、普段とは違う会話やスキンシップになる</t>
  </si>
  <si>
    <t>Sister in Heat - 1</t>
  </si>
  <si>
    <t>"After drinking something with the sister, choose to give her the ""Pink Konpeito"" candy.
Afterwards, she will be in heat. Summon her and talk to her directly. There is a chance she will go to the toilet.</t>
  </si>
  <si>
    <t>Trigger the event where the sister takes care of her needs in the toilet.
Purple hearts and desire will affect how the scene plays.
Furthermore, interactions with her in the room while she's in heat will be different.</t>
  </si>
  <si>
    <t>Hermana en celo -1</t>
  </si>
  <si>
    <t>Despues de beber algo con tu hermana, elige la opcion: ''Pink Konpeito - Dulce Rosa''. Despues, ella estara excitada. Habla con ella y habra una posiblidad de que ella vaya al baño.</t>
  </si>
  <si>
    <t>Activa el evento donde la hermana se encarga de sus necesidades en el baño. Aparte, las interacciones con ella en el cuarto mientras este excitada seran diferentes.</t>
  </si>
  <si>
    <t>흥분한 여동생 - 1</t>
  </si>
  <si>
    <t>뭔가 마시기를 누른 후 여동생에게 핑크색 별사탕을 주면 이벤트가 발생합니다.
그 후에 화면을 아무 데나 누른 다음 여동생이랑 상호작용을 하는 화면으로 다시 돌아가면 이벤트가 진행됩니다.
(다른 사탕이 등장하는 장면은 단순한 연출입니다.)</t>
  </si>
  <si>
    <t>여동생이 화장실에서 볼일을 보는 이벤트를 발생시키고 보유하고 있는 보라색 하트에 따라 연출이 달라집니다.
또한 흥분상태일 경우 평상시 대사나 스킨십 등이 달라집니다.</t>
  </si>
  <si>
    <t>Возбужденная сестрёнка 1</t>
  </si>
  <si>
    <t>После того как вы вместе выпьете напиток, выбери опцию дать сестре конфету «Розовый Конпэйто». После этого у неё начнётся «жар». Позови её и поговори напрямую — есть шанс, что она пойдёт в туалет.</t>
  </si>
  <si>
    <t>Активируйте событие, в котором сестра справляет нужду в туалете. Фиолетовые сердца и желание повлияют на ход сцены. Кроме того, взаимодействие с ней в комнате во время течки будет отличаться.</t>
  </si>
  <si>
    <t>Meine Schwester in Hitze – 1</t>
  </si>
  <si>
    <t>Nachdem du etwas mit deiner Schwester getrunken hast, wähle die Option, ihr das ,,Rosa Konpeito-Bonbon" zu geben. 
Danach wird sie erregt sein. Rufe sie herbei und sprich direkt mit ihr. Es besteht eine Chance, dass sie zur Toilette geht.</t>
  </si>
  <si>
    <t>Löst das Ereignis aus, bei dem deine Schwester ihre Erregung auf der Toilette verrichtet. 
Lila Herzen und Verlangen beeinflussen den Ablauf dieses Events. 
Zudem werden Interaktionen mit ihr im Zimmer, während sie Erregt ist, anders ablaufen</t>
  </si>
  <si>
    <t>Em gái rạo rực - 1</t>
  </si>
  <si>
    <t>Sau khi uống gì đó với em gái,chọn đưa cho em ấy kẹo "Konpeito Hồng".
Sau đấy, em ấy sẽ trở nên rạo rực. Gọi em ấy và nói chuyện trực tiếp. Có khả năng em ấy sẽ đi vào toilet.</t>
  </si>
  <si>
    <t xml:space="preserve">Xảy ra sự kiện mà em gái cần chăm sóc bản thân trong toilet. Số tim tím và mong muốn sẽ ảnh hưởng đến cách cảnh xảy ra.
Thêm nữa, tương tác với em ấy khi em ấy đang rạo rực sẽ khác đi. </t>
  </si>
  <si>
    <t>發情的妹妹-2</t>
  </si>
  <si>
    <t>承上，當紫心達到一定程度後，哥哥能進入並且讓妹妹服務。</t>
  </si>
  <si>
    <t>使用手部進行特殊劇情</t>
  </si>
  <si>
    <t>発情した妹-2</t>
  </si>
  <si>
    <t>💜が一定のレベルに達すると、お兄ちゃんが入室して妹に奉仕させることができる</t>
  </si>
  <si>
    <t>手を使ったイベントが発生する</t>
  </si>
  <si>
    <t>Sister in Heat - 2</t>
  </si>
  <si>
    <t>Same as above. When the sister's purple heart reaches a certain level, the brother can go in and ask the sister for a service.</t>
  </si>
  <si>
    <t>Hands will be used to trigger special scenes.</t>
  </si>
  <si>
    <t>Hermana en celo -2</t>
  </si>
  <si>
    <t>Igual que arriba, Cuando los corazones morados de la hermana alcanzan cierto nivel, el hermano puede pedirle un servicio especial</t>
  </si>
  <si>
    <t>Se usaran las manos para activar escenas especiales</t>
  </si>
  <si>
    <t>흥분한 여동생 - 2</t>
  </si>
  <si>
    <t>보라색 하트가 일정 수준에 도달하면 오빠도 화장실에 들어가서 여동생한테 봉사를 받을 수 있게 됩니다.</t>
  </si>
  <si>
    <t>손을 사용한 이벤트가 발생합니다.</t>
  </si>
  <si>
    <t>Возбужденная сестрёнка 2</t>
  </si>
  <si>
    <t>Meine Schwester in Hitze – 2</t>
  </si>
  <si>
    <t>Wie bereits erwähnt. Bei ausreichend hohem lila Herzen kannst du als Bruder deine Schwester aufsuchen und sie um besondere Gefälligkeiten bitten.</t>
  </si>
  <si>
    <t>Löst das „C"-Tötungsereignis aus. Hinweis: Du musst „C" nicht vorher finden</t>
  </si>
  <si>
    <t>Em gái đang rạo rực - 2</t>
  </si>
  <si>
    <t>Giống như trên. Khi số tim tím của em gái đạt đến một mức nhất định, anh trai có thể đi vào và hỏi em gái một dịch vụ</t>
  </si>
  <si>
    <t>Bàn tay sẽ được sử dụng để bắt đầu những cảnh đặc biệt.</t>
  </si>
  <si>
    <t>發情的妹妹-3</t>
  </si>
  <si>
    <t>承第1點，若此時遇到蟑螂的突擊，觸發一種分歧</t>
  </si>
  <si>
    <t>觸發打蟑螂劇情
備註：無須發現Z的前置操作
(未實裝)</t>
  </si>
  <si>
    <t>発情した妹-3</t>
  </si>
  <si>
    <t>この時にゴキブリ(G)の襲撃に遭遇した場合、分岐が発生する</t>
  </si>
  <si>
    <t>ゴキブリ(G)を叩くシナリオを発動
備考：Gの前提操作を発見する必要はない</t>
  </si>
  <si>
    <t>Sister in Heat - 3</t>
  </si>
  <si>
    <t>Based on Sister in Heat - 1, if you encounter a "C" at this time, the plot will branch out differently.</t>
  </si>
  <si>
    <t>Triggers the "C" killing event.
Note: You don't need to find "C" beforehand
(Not yet implemented)</t>
  </si>
  <si>
    <t>Hermana en celo -3</t>
  </si>
  <si>
    <t>Basado en ''Hermana excitada -1'' si te encuentras a la criatura ''C'' en este momento, el evento tendra otra direccion</t>
  </si>
  <si>
    <t>Activa el evento de matar la criatura ''C''. NOTA: No puedes encontrar a la criatura ''C'' antes de esto.</t>
  </si>
  <si>
    <t>흥분한 여동생 - 3</t>
  </si>
  <si>
    <t>이 때 바퀴벌레랑 조우하게 되면 분기점이 발생합니다.</t>
  </si>
  <si>
    <t>바퀴벌레를 때려잡는 이벤트가 발생합니다.
(바퀴벌레를 사전에 볼 필요가 없습니다.) 
미구현</t>
  </si>
  <si>
    <t>Возбужденная сестрёнка 3</t>
  </si>
  <si>
    <t>Meine Schwester in Hitze – 3</t>
  </si>
  <si>
    <t>Basierend auf ,,Schwester in Hitze - 1": Bei einer Begegnung mit „C" zu diesem Zeitpunkt nimmt das Event einen alternativen Verlauf.</t>
  </si>
  <si>
    <t>Hände werden verwendet, um ein besonderes Event auszulösen</t>
  </si>
  <si>
    <t>Em gái đang rạo rực - 3</t>
  </si>
  <si>
    <t>Dựa trên "Em gái đang rạo rực - 1", nếu bạn gặp một Tiểu Cường lần này, câu truyện sẽ rẽ sang hướng khác.</t>
  </si>
  <si>
    <t>Xảy ra sự kiện giết Tiểu Cường 
Ghi chú: bạn không cần tìm ra Tiểu Cường trước đó
(Chưa được thực hiện)</t>
  </si>
  <si>
    <t>憋不住了-1</t>
  </si>
  <si>
    <t>部分食材，(例如：垃圾、紫丁香蘑菇、月夜茸)，做成料理後，都有相當的概率讓哥哥進入食物中毒狀態</t>
  </si>
  <si>
    <t>一段時間後強制觸發腹瀉事件，大量損失體力並減少夜晚的自由活動時間。
還有機率同時觸發妹妹的憋尿事件。</t>
  </si>
  <si>
    <t>我慢できない…-1</t>
  </si>
  <si>
    <t>特定の食材（ゴミ、紫丁香のキノコ、月夜茸）を使った料理は、お兄ちゃんが食中毒になる可能性があります。</t>
  </si>
  <si>
    <t>後に強制的に下痢のイベントが発生し、大量の体力を失い夜間の自由行動時間が減ります。また、妹の我慢できないイベントが同時に発生する可能性もあります</t>
  </si>
  <si>
    <t>I can't hold it any longer... - 1</t>
  </si>
  <si>
    <t>Some food ingredients such as Junk, Lilac Mushrooms, Moonlight Mushroom, etc. have a chance to cause food poisoning when cooked. Food poisoning only affects the brother and will upset his stomach.</t>
  </si>
  <si>
    <t>After eating the food, a diarrhea event will trigger. Your health will significantly deplete as well as your free time for the night. 
There is also a chance to trigger the event where the sister would hold her pee and try to hurry you up.</t>
  </si>
  <si>
    <t>No puedo aguantarme!</t>
  </si>
  <si>
    <t>특정 식재료(쓰레기, 라일락 버섯, 달빛버섯)로 요리를 만들게 되면 오빠가 식중독에 걸릴 가능성이 있습니다.</t>
  </si>
  <si>
    <t>나중에 설사 이벤트가 강제로 발생하며 체력을 크게 소모하고 밤에 자유 행동 시간이 줄어듭니다.
또한, 여동생의 참기 이벤트가 동시에 발생할 가능성도 있습니다.</t>
  </si>
  <si>
    <t>Ich kann es nicht mehr halten... - 1</t>
  </si>
  <si>
    <t>Einige Lebensmittelzutaten wie Abfall, Fliederpilze, Mondlichtpilze usw. haben eine Chance, bei der Zubereitung Lebensmittelvergiftung zu verursachen. Dies betrifft nur den Bruder und wird ihm Magenbeschwerden bereiten.</t>
  </si>
  <si>
    <t>Nach dem Essen des Gerichts wird ein Durchfall-Ereignis ausgelöst. Deine Gesundheit wird erheblich sinken, ebenso wie deine freie Zeit für die Nacht. Es gibt auch eine Chance, dass das Ereignis ausgelöst wird, bei dem deine Schwester ihr Urin zurückhält und versucht, dich zu beeilen.</t>
  </si>
  <si>
    <t>Mình không thể nhịn thêm được nữa... - 1</t>
  </si>
  <si>
    <t>Một số nguyên liệu như Rác, Nấm Liliac, Nấm Ánh Trăng, vv,... có cơ hội gây ngộ độc thức ăn khi được nấu. Ngộ độc chỉ ảnh hưởng đến anh trai và sẽ gây đau bụng.</t>
  </si>
  <si>
    <t>Sau khi ăn xong, một sự kiện bị tiêu chảy sẽ xảy ra. Sức khỏe của bạn sẽ bị giảm sút đáng kể cũng như thời gian rảnh rỗi của bạn vào buổi tối.
Cũng có khả năng xảy ra sự kiện mà em gái sẽ cố nhịn tiểu và giục bạn nhanh lên.</t>
  </si>
  <si>
    <t>憋不住了-2</t>
  </si>
  <si>
    <t>如果食材還混入了辣椒，會進一步強化腹瀉的副作用</t>
  </si>
  <si>
    <t>隔天冒險時，哥哥會因為屁股痛無法奔跑。
※這個是可透過塔羅牌、胡蘿蔔牛奶清除的異常狀態
※目前版本會一直維持，之後會修改為定時解除</t>
  </si>
  <si>
    <t>我慢できない…-2</t>
  </si>
  <si>
    <t>食材に唐辛子が混ざっていた場合、下痢がさらに強化される…</t>
  </si>
  <si>
    <t>翌日の探索で、お兄ちゃんはお尻が痛くて走れなくなります。（解除可能）</t>
  </si>
  <si>
    <t>I can't hold it any longer... - 2</t>
  </si>
  <si>
    <t>Aside from the poisonous food ingredients, adding Chili in to the mix will further worsen the effects of the diarrhea induced by food poisoning.</t>
  </si>
  <si>
    <t>When the next day comes, the brother's butt will severely hurt, which prevents him from running.
*This effect can be removed by the Tarot card "Justice" or by drinking Carrot Milk.*
*The current version we have will be maintained and will be modified later.</t>
  </si>
  <si>
    <t>No puedo aguantarme! 2</t>
  </si>
  <si>
    <t>식재료에 고추가 섞여 있으면 설사가 더욱 심해집니다.</t>
  </si>
  <si>
    <t>다음 날 모험 시 엉덩이가 아파서 달릴 수 없게 됩니다.
이 상태는 타로 카드나 당근 우유로 해제할 수 있습니다..
현재 버전에서는 상태가 계속 유지되지만 이후에는 일정 시간 후 자동 해제되도록 수정될 예정입니다.</t>
  </si>
  <si>
    <t>Ich kann es nicht mehr halten... - 2</t>
  </si>
  <si>
    <t>Abgesehen von den giftigen Zutaten wird das Hinzufügen von Chili die Auswirkungen der durch Lebensmittelvergiftung verursachten Durchfallerkrankung noch weiter verschlimmern.</t>
  </si>
  <si>
    <t>Wenn der nächste Tag kommt, wird der Hintern des Bruders stark schmerzen, was ihn daran hindert, zu rennen.</t>
  </si>
  <si>
    <t>Mình không thể nhịn thêm được nữa... - 2</t>
  </si>
  <si>
    <t>Bên cạnh những nguyên liệu gây ngộ độc, thêm Ớt vào hỗn hợp sẽ làm tồi tệ hơn tình trạng tiêu chảy gây ra bởi ngộ độc thực phẩm.</t>
  </si>
  <si>
    <t>Khi ngày tiếp theo đến, mông của anh trai sẽ bị đau dữ dội, ngăn cản việc chạy.
*Hiệu ứng này có thể được loại bỏ nhờ lá bài Tarot "Công Lí" hoặc bằng cách uống Sữa Cà Rốt.*
*Phiên bản hiện tại mà chúng ta có sẽ được giữ nguyên và sẽ chỉnh sửa sau.</t>
  </si>
  <si>
    <t>氣息消除-4</t>
  </si>
  <si>
    <t>廁所門改造</t>
  </si>
  <si>
    <t>気配遮断-4</t>
  </si>
  <si>
    <t>トイレのドア改造することが出来る…</t>
  </si>
  <si>
    <t>Breath Concealment - 4</t>
  </si>
  <si>
    <t>Onii-chan can also modify the door of the toilet into another ninja door.</t>
  </si>
  <si>
    <t>*Not yet implemented.</t>
  </si>
  <si>
    <t>기척 제거 - 4</t>
  </si>
  <si>
    <t>화장실 문을 개조할 수 있습니다.</t>
  </si>
  <si>
    <t>Atemverhüllung - 4</t>
  </si>
  <si>
    <t>Großer Bruder kann auch die Tür der Toilette in eine andere Ninja-Tür umwandeln</t>
  </si>
  <si>
    <t>Noch nicht implementiert. Bitte warte, bis die nächtlichen Überfälle überarbeitet wurden</t>
  </si>
  <si>
    <t>Giấu hơi thở - 4</t>
  </si>
  <si>
    <t>Onii-chan cũng có thể điều chỉnh cửa nhà vệ sinh thành một cánh cửa ninja khác.</t>
  </si>
  <si>
    <t>*Chưa được thực hiện</t>
  </si>
  <si>
    <t>想上廁所...1</t>
  </si>
  <si>
    <t>冒險回家後前往廁所-&gt;翻找-&gt;找到類似蟑螂的生物(Z)。
之後平時在房間中呼叫妹妹時，有機率觸發廁所事件。</t>
  </si>
  <si>
    <t>妹妹在不同紫心時，觸發後會有不同演出
※只能觸發一次※</t>
  </si>
  <si>
    <t>トイレに行きたい…1</t>
  </si>
  <si>
    <t>冒険から帰った後、トイレに行く-&gt; 探索する -&gt; ゴキブリに似た生物（G）を見つける。その後、普段部屋で妹を呼ぶときに、トイレイベントが発生する確率がある。</t>
  </si>
  <si>
    <t>妹の💜の数に応じて、異なる演出がある
※一度だけ発生する※</t>
  </si>
  <si>
    <t>I need to go to the toilet... - 1</t>
  </si>
  <si>
    <t>Once you get home from adventure, select the options Go to toilet -&gt; Searching until you find a creature called "C".
Later, when you call out your sister in her room, there is a chance the Toilet Event will occur.</t>
  </si>
  <si>
    <t>Purple hearts and desire will affect how the scene plays.
*Can only happen once</t>
  </si>
  <si>
    <t>Necesito ir al baño... -1</t>
  </si>
  <si>
    <t>Una vez hayas regresado de la aventura, Selecciona la opcion: Ir al baño &gt; Buscar &gt; Hasta que encuentras a la criatura llamada ''C'', Mas tarde, cuando estes en el cuarto con tu hermana, hay una posiblidad de que se active un Evento del baño.</t>
  </si>
  <si>
    <t>Los corazones morados y el deseo afectarán a cómo se desarrolla la escena.</t>
  </si>
  <si>
    <t>화장실에 가고 싶어... - 1</t>
  </si>
  <si>
    <t>집으로 돌아온 후, 화장실 가기 → 탐색하기를 눌러 바퀴벌레를 찾을 때까지 탐색합니다.
그 후, 방에서 여동생을 부르면 일정 확률로 화장실 이벤트가 발생할 수 있습니다.</t>
  </si>
  <si>
    <t>여동생의 보라색 하트 개수에 따라 각각 다른 연출이 있습니다.
※한 번만 발동 가능※</t>
  </si>
  <si>
    <t>Ich muss auf die Toilette... – 1</t>
  </si>
  <si>
    <t>Wenn du nach Hause kommst, wählst du die Optionen ,,Zur Toilette gehen" -&gt; Suchen bis du eine Kreatur namens ,,C" findest. 
Später, wenn du deine Schwester in ihrem Zimmer rufst, besteht die Chance dass das Toiletten-Ereignis eintritt.</t>
  </si>
  <si>
    <t>Lila Herzen und Verlangen beeinflussen das Event.
※Kann nur einmal ausgelöst werden※</t>
  </si>
  <si>
    <t>Mình cần đi nhà vệ sinh... - 1</t>
  </si>
  <si>
    <t>Khi bạn về nhà từ cuộc thám hiểm, chọn lựa chọn Đi vào toilet -&gt; Tìm kiếm đến khi tìm thấy một sinh vật tên là Tiểu Cường.
Sau đó, khi bạn gọi em gái ra từ trong phòng, có cơ hộ Sự kiện trong nhà vệ sinh sẽ xảy ra.</t>
  </si>
  <si>
    <t>Số tim tím và mong muốn sẽ thay đổi cách cảnh diễn ra.
*Chỉ xảy ra một lần</t>
  </si>
  <si>
    <t>想上廁所...2</t>
  </si>
  <si>
    <t>妹妹平常時，有小概率觸發上廁所的事件，喝飲料的話會增加概率。</t>
  </si>
  <si>
    <t>觸發是否前往廁所偷看的選項
※未實裝</t>
  </si>
  <si>
    <t>トイレに行きたい…2</t>
  </si>
  <si>
    <t>妹がトイレに行くイベントが低確率で発生し、飲み物を飲むことでその確率が増加する。</t>
  </si>
  <si>
    <t>トイレに行くかどうかの選択肢を選択する
※未実装</t>
  </si>
  <si>
    <t>I need to go to the toilet... - 2</t>
  </si>
  <si>
    <t>Normally, there is a small chance that the sister will go to the toilet. Drinking beverages increases this chance.</t>
  </si>
  <si>
    <t xml:space="preserve">Allows you to trigger the option of peeking in the toilet.
*Not yet implemented
</t>
  </si>
  <si>
    <t>Necesito ir al baño... -2</t>
  </si>
  <si>
    <t>Normalmente, hay una pequeña probabilidad de que la hermana vaya al baño. Al tomar bebidas se puede incrementar la probabilidad</t>
  </si>
  <si>
    <t>Te permite activar la opcion de espiar en el baño.
*no implementado</t>
  </si>
  <si>
    <t>화장실에 가고 싶어... - 2</t>
  </si>
  <si>
    <t>여동생이 평소에 화장실 가는 이벤트가 발생할 확률이 낮게 설정되어 있지만 음료를 마시면 그 확률이 증가합니다.</t>
  </si>
  <si>
    <t>화장실에 몰래 들어가서 보는 선택지가 활성화됩니다.</t>
  </si>
  <si>
    <t>Ich muss auf die Toilette... – 2</t>
  </si>
  <si>
    <t>Es besteht jetzt eine geringe Chance, dass deine Schwester zur Toilette geht. Das Trinken von Getränken erhöht diese Wahrscheinlichkeit.</t>
  </si>
  <si>
    <t>Ermöglicht die Spionier-Option in der Toilette.</t>
  </si>
  <si>
    <t>Mình cần đi nhà vệ sinh... - 2</t>
  </si>
  <si>
    <t>Bình thường, có một cơ hội nhỏ em gái sẽ đi vệ sinh. Đồ uống sẽ làm gia tăng khả năng này.</t>
  </si>
  <si>
    <t>Cho bạn lựa chọn nhìn trộm trong toilet.
*Chưa được thực hiện</t>
  </si>
  <si>
    <t>廁所Plpy-1</t>
  </si>
  <si>
    <t>若妹妹在廁所時前往偷窺
且妹妹處於自摸的狀態(粉紅金平糖)，哥哥可以在偷窺時一邊偷偷打手槍，若未被發現則安全結束</t>
  </si>
  <si>
    <t>觸發劇情
※目前尚未實裝被發現的相關劇情</t>
  </si>
  <si>
    <t>トイレPlpy-1</t>
  </si>
  <si>
    <t>妹がトイレにいるときに覗きに行くと、妹がオナニーしているのをお兄ちゃんが覗きこっそりオナニーする…バレなければ無事に帰ることが出来る。</t>
  </si>
  <si>
    <t>ストーリーを進める
※現在、発見に関連するストーリーは未実装</t>
  </si>
  <si>
    <t>Fapping Sister - 1</t>
  </si>
  <si>
    <t>An event will trigger where you can spy the sister touching herself in the toilet. While peeping, onii-chan can masturbate and if he doesn't get discovered, it will end safely.</t>
  </si>
  <si>
    <t>Triggers the toilet peeking event.</t>
  </si>
  <si>
    <t>"若妹妹在厕所时前往偷窥
且妹妹处于自我高潮的状态(粉红金平糖)，哥哥可以在偷窥时一边偷偷申请起飞，若未被发现则起飞成功"</t>
  </si>
  <si>
    <t>Masturbacion de la hermana -1</t>
  </si>
  <si>
    <t>Un evento se activara donde puedes espiar a tu hermana masturbandose en el baño, mientras espias, el hermano puede masturbarse y si no lo descubren, acabara bien.</t>
  </si>
  <si>
    <t>Un evento sera activado</t>
  </si>
  <si>
    <t>화장실Plpy - 1</t>
  </si>
  <si>
    <t xml:space="preserve">
여동생이 화장실에 있을 때 몰래 엿보러 간다면 여동생이 자위하고 있는 걸 볼 수 있습니다. 
오빠는 그걸 몰래 엿보면서 자위할 수 있고 들키지만 않으면 무사히 돌아갈 수 있습니다.
.</t>
  </si>
  <si>
    <t>이벤트가 발생합니다.</t>
  </si>
  <si>
    <t>Selbstbefriedigende Schwester - 1</t>
  </si>
  <si>
    <t>Es kann zu einer Szene kommen, in der deine Schwester in der Toilette intim mit sich selbst beschäftigt ist. Onii-chan hat die Möglichkeit, sie heimlich zu beobachten und sich dabei selbst zu befriedigen, solange er nicht ertappt wird.</t>
  </si>
  <si>
    <t>Ein Event wird ausgelöst.</t>
  </si>
  <si>
    <t>Em gái thẩm - 1</t>
  </si>
  <si>
    <t>Một sự kiện sẽ xảy ra mà bạn có thể bí mật theo dõi em gái trong nhà vệ sinh. Khi nhìn trộm, onii-chan có thể thủ dâm và nếu không bị phát hiện, nó sẽ kết thúc an toàn.</t>
  </si>
  <si>
    <t>Xảy ra sự kiện nhìn trộm trong toilet.</t>
  </si>
  <si>
    <t>廁所Plpy-2</t>
  </si>
  <si>
    <t>同上
若哥哥打手槍時被發現，且妹妹處於低紫心的狀態，觸發一種分歧</t>
  </si>
  <si>
    <t>觸發相關劇情
※目前尚未實裝被發現的相關劇情</t>
  </si>
  <si>
    <t>トイレPlpy-2</t>
  </si>
  <si>
    <t>お兄ちゃんがオナニーをしている所を見つかり妹の💜が低い状態にある場合、イベントが分岐する</t>
  </si>
  <si>
    <t>関連するストーリーを発生させる
※現在、発見に関連するストーリーは未実装</t>
  </si>
  <si>
    <t>Fapping Sister - 2</t>
  </si>
  <si>
    <t>Branching from Fapping Sister - 1, if the sister has a low purple heart and you get caught jerking off, the event will branch out differently</t>
  </si>
  <si>
    <t>Triggers the related event.
*Currently, the related event is not yet implemented</t>
  </si>
  <si>
    <t>Masturbacion de la hermana -2</t>
  </si>
  <si>
    <t>Igual que arriba, si te descubren mientras te masturbas y tu hermana tiene pocos corazones morados, el evento tendra otra direccion.</t>
  </si>
  <si>
    <t>Activa el evento relacionado</t>
  </si>
  <si>
    <t>화장실Plpy - 2</t>
  </si>
  <si>
    <t>오빠가 여동생을 보며 자위하는 걸 들킨 상태에서 여동생이 낮은 보라색 하트 상태일 경우 분기점이 발생합니다.</t>
  </si>
  <si>
    <t>이벤트가 발생합니다.
미구현</t>
  </si>
  <si>
    <t>Selbstbefriedigende Schwester - 2</t>
  </si>
  <si>
    <t>Wie oben. Wenn du beim Spritzen erwischt wirst, während deine Schwester nur wenige lila Herzen hat, gibt es eine andere Handlung.</t>
  </si>
  <si>
    <t>Löst das zugehörige Ereignis aus.</t>
  </si>
  <si>
    <t>Em gái thẩm - 2</t>
  </si>
  <si>
    <t>Rẽ nhánh từ "Em gái thẩm - 1", nếu em gái có số tim tím thấp và bạn bị bắt quả tang, sự kiện sẽ xảy ra theo cách khác.</t>
  </si>
  <si>
    <t>Xảy ra các sự kiện liên quan.
*Hiện tại, các sự kiện liên quan chưa được triển khai</t>
  </si>
  <si>
    <t>廁所Plpy-3</t>
  </si>
  <si>
    <t>同-1
若此時遇到Z的突擊，觸發一種分歧</t>
  </si>
  <si>
    <t>50%機率，出現打死Z劇情
備註：無須發現Z的前置操作</t>
  </si>
  <si>
    <t>トイレPlpy-3</t>
  </si>
  <si>
    <t>この時にゴキブリ(G)の襲撃に遭遇した場合、イベントが分岐する</t>
  </si>
  <si>
    <t>ゴキブリを叩くストーリーが発生する
備考：Gの前提操作は不要</t>
  </si>
  <si>
    <t>Fapping Sister - 3</t>
  </si>
  <si>
    <t>Continuing from Fapping Sister - 1, If you encounter the "C" at this time, the event will branch out differently</t>
  </si>
  <si>
    <t>50% chance to trigger the "C" killing event that leads to the one-time BJ event.
Note: You don't need to find "C" beforehand</t>
  </si>
  <si>
    <t>Masturbacion de la hermana -3</t>
  </si>
  <si>
    <t>Igual que arriba, Si encuentras la criatura ''C'' en este punto, el evento tendra otra direccion.</t>
  </si>
  <si>
    <t>화장실Plpy - 3</t>
  </si>
  <si>
    <t>이 시점에 바퀴벌레랑 조우하게 되면 분기점이 발생합니다.</t>
  </si>
  <si>
    <t xml:space="preserve">바퀴벌레를 때려잡는 이벤트가 발생합니다.
(바퀴벌레를 사전에 볼 필요가 없습니다.) </t>
  </si>
  <si>
    <t>Selbstbefriedigende Schwester - 3</t>
  </si>
  <si>
    <t>Falls du während dieses Events auf die Kreatur „C" triffst, nimmt die Handlung einen anderen Verlauf.</t>
  </si>
  <si>
    <t>Em gái thẩm - 3</t>
  </si>
  <si>
    <t>Tiếp tục từ "Em gái thẩm - 1", nếu bạn bắt gặp Tiểu Cường, sự kiện sẽ lại xảy ra theo cách khác</t>
  </si>
  <si>
    <t>50% khả năng xảy ra sự kiện giết Tiểu Cường, dẫn đến sự kiện BJ một lần.
Ghi chú: bạn không cần tìm thấy Tiểu Cường trước đó.</t>
  </si>
  <si>
    <t>廁所Plpy-4</t>
  </si>
  <si>
    <t>同上
若妹妹處於高紫心的狀態，且哥哥已經觸發過Z突擊的劇情，選擇闖入廁所，觸發另一種分歧</t>
  </si>
  <si>
    <t>觸發使用嘴巴服務的相關劇情
*三種差分，分為蹲式、躺式，坐式待更新</t>
  </si>
  <si>
    <t>トイレPlpy-4</t>
  </si>
  <si>
    <t>妹の💜が高い状態にある場合、別のイベント分岐が発生する。</t>
  </si>
  <si>
    <t>妹にお口で奉仕して貰うことが出来る！※現在、しゃがんだ状態、座った状態、横になった状態の3種類の差分があります。</t>
  </si>
  <si>
    <t>Fapping Sister - 4</t>
  </si>
  <si>
    <t xml:space="preserve">Continuing from Fapping Sister - 3, if the sister has a high purple heart and you already witnessed the "C" showing up, you can choose to "Break in" inside the toilet. </t>
  </si>
  <si>
    <t>Triggers the event where the sister uses her mouth to service you.
*There are three variations: Lying, squatting and sitting</t>
  </si>
  <si>
    <t>Masturbacion de la hermana -4</t>
  </si>
  <si>
    <t>Igual que arriba, si te descubren mientras te masturbas y tu hermana tiene varios corazones morados, el evento tendra otra direccion.</t>
  </si>
  <si>
    <t>Activa el evento donde la hermana usa su boca para darte un servicio. *Hay tres variaciones: Tumbado, En cunclillas y Sentado*</t>
  </si>
  <si>
    <t>화장실Plpy - 4</t>
  </si>
  <si>
    <t>오빠가 여동생을 보며 자위하는 걸 들킨 상태에서 여동생이 높은 보라색 하트 상태일 경우 분기점이 발생합니다.</t>
  </si>
  <si>
    <t>입을 사용한 이벤트가 발생합니다.
쪼그려 앉은 상태, 앉은 상태, 누운 상태의 3종류의 차이가 있습니다.</t>
  </si>
  <si>
    <t>Selbstbefriedigende Schwester - 4</t>
  </si>
  <si>
    <t>Wie oben. Wenn du beim Spritzen erwischt wirst, während deine Schwester viele lila Herzen hat, nimmt gibt es ebenfalls ein anderes Event.</t>
  </si>
  <si>
    <t>Löst das Ereignis aus, bei dem die Schwester dich mit ihrem Mund befriedigt.
*Es gibt drei Varianten: Liegend, hockend und sitzend</t>
  </si>
  <si>
    <t>Em gái thẩm - 4</t>
  </si>
  <si>
    <t>Tiếp tục từ "Em gái thẩm - 3", nếu em gái có số tim tím cao và bạn đã thấy Tiểu Cường xuất hiện, bạn có thể chọn "Đi vào" bên trong toilet</t>
  </si>
  <si>
    <t>Xảy ra sự kiện mà em gái dùng miệng để phục vụ bạn.
*Có ba biến thể: nằm, ngồi xổm và ngồi</t>
  </si>
  <si>
    <t>C</t>
  </si>
  <si>
    <t>浴室相關</t>
  </si>
  <si>
    <t>お風呂イベント</t>
  </si>
  <si>
    <t>Washroom Events</t>
  </si>
  <si>
    <t>Eventos en la ducha</t>
  </si>
  <si>
    <t>욕실 이벤트</t>
  </si>
  <si>
    <t>События в ванной</t>
  </si>
  <si>
    <t>Aufs Badezimmer bezogene Events</t>
  </si>
  <si>
    <t>Sự kiện trong phòng giặt</t>
  </si>
  <si>
    <t>洗髮乳</t>
  </si>
  <si>
    <t>洗澡大約7天會消耗光，並在不偷窺的情況下機率性觸發
哥哥獨自洗澡時，可以提前使用完畢
或者在偷內衣時，機率觸發</t>
  </si>
  <si>
    <t>機率觸發浴室摔倒事件</t>
  </si>
  <si>
    <t>お風呂に入ると約7日間でシャンプーを消費し、お風呂を覗いてなくても確率で発生することがある。
または下着を漁ってると確率で発動します</t>
  </si>
  <si>
    <t>確率で浴槽に戻る途中に足を滑らせ転倒するイベントが発生する</t>
  </si>
  <si>
    <t>Triggers if you take a bath alone and excessively use the shampoo. Once the shampoo runs out, don't peek on your sister. Can also randomly trigger while you are sneaking to get your sister's underwear.</t>
  </si>
  <si>
    <t>Triggers the "Bathroom Slip" event by chance.</t>
  </si>
  <si>
    <t>Появляеться, когда вы принимаете ванну самому и тратите очень много шампуня. Если шампуть закончился, не подглядывайте за своей сестрой. Также может рандомно сработать во время осмотра нижнего белья сестры.</t>
  </si>
  <si>
    <t>Вызывает событие "Падения в ванной".</t>
  </si>
  <si>
    <t>Shampoo</t>
  </si>
  <si>
    <t>Wird ausgelöst, wenn du alleine badest und übermäßig Shampoo benutzt. Sobald das Shampoo aufgebraucht ist, spähe nicht bei deiner Schwester. Kann auch zufällig ausgelöst werden, wenn du versuchst, heimlich an die Unterwäsche deiner Schwester zu kommen</t>
  </si>
  <si>
    <t>Löst zufällig das ,,Badezimmer-Rutsch" -Ereignis aus</t>
  </si>
  <si>
    <t>Dầu gội</t>
  </si>
  <si>
    <t>Xảy ra nếu bạn tắm một mình và dùng quá nhiều dầu gội. Một khi đã hết dầu gội, đừng nhìn trộm em gái. Cũng có thể xảy ra ngẫu nhiên khi bạn đang lén đi vào để lấy quần lót em gái.</t>
  </si>
  <si>
    <t>Xảy ra sự kiện "Trượt ngã trong phòng giặt" ngẫu nhiên</t>
  </si>
  <si>
    <t>要等妹妹洗澡嗎</t>
  </si>
  <si>
    <t>當哥哥性慾足夠時，獨自洗澡後可以前往潛入洗面所</t>
  </si>
  <si>
    <t>出現前往的選項
1.現在就去
2.再等會
3.算了吧</t>
  </si>
  <si>
    <t>妹が入浴するのを待つ…それとも今すぐ行くべきか？</t>
  </si>
  <si>
    <t>お兄ちゃんの性欲が十分にあるときは、一人でお風呂に入った後、覗きに行くことができる</t>
  </si>
  <si>
    <t>選択肢が発生する
1.今すぐ行く！
2.もう少し待つ…
3.やめておく</t>
  </si>
  <si>
    <t>Wait for imouto to finish bathing?</t>
  </si>
  <si>
    <t>When you have enough excitement/desire, you can go ahead and peek over to the sister when she takes a bath.</t>
  </si>
  <si>
    <t>The options that will appear include:
1. Go now!
2. Wait longer
3. Forget it</t>
  </si>
  <si>
    <t>¿Esperar afuera mientras tu hermana se baña?</t>
  </si>
  <si>
    <t>Cuando el deseo del hermano alcanza su punto, podrá colarse silenciosamente al baño tras ducharse solo.</t>
  </si>
  <si>
    <t>- Ir ahora mismo
-Esperar un momento
-Dejarlo pasar</t>
  </si>
  <si>
    <t>Soll ich warten, bis meine Schwester geduscht hat?</t>
  </si>
  <si>
    <t>Ist die Erregung deines Bruders ausreichend, kann er theoretisch nach dem Duschen unbemerkt ins Badezimmer gehen.</t>
  </si>
  <si>
    <t>Angezeigte Optionen:
1. Jetzt gehen
2. Noch etwas warten
3. Lass es lieber</t>
  </si>
  <si>
    <t>Chờ imouto tắm xong?</t>
  </si>
  <si>
    <t>Khi bạn có đủ sự hứng thú/mong muốn, bạn có thể tiến đến và nhìn trộm vào em gái khi em ấy đang tắm.</t>
  </si>
  <si>
    <t>Những lựa chọn xuất hiện bao gồm:
1. Đi ngay!
2. Chờ một lát
3. Quên đi</t>
  </si>
  <si>
    <t>現在就去-1</t>
  </si>
  <si>
    <t>觸發偷窺換衣事件，拉門越大越容易被發現</t>
  </si>
  <si>
    <t>1.安全潛入洗面所
2.被妹妹發現</t>
  </si>
  <si>
    <t>今すぐ行く-1</t>
  </si>
  <si>
    <t>着替えを覗くイベントが発生します、開けるドアが大きいほど見つかりやすくなる</t>
  </si>
  <si>
    <t>1.洗面所に潜入する
2.妹にバレる…</t>
  </si>
  <si>
    <t>Go now! - 1</t>
  </si>
  <si>
    <t>Triggers the peeping event. If you choose to "Go now!", you can peek on Imouto while she undresses. The more you open the door, the higher the chance she'll spot you.</t>
  </si>
  <si>
    <t>There will be two outcomes:
1. Safely snuck into the washroom
2. Caught by Imouto</t>
  </si>
  <si>
    <t>Ir de inmediato -1</t>
  </si>
  <si>
    <t>Se activa el evento de espiar mientras se cambia. Cuanto más abras la puerta, mayor será el riesgo de que te descubra.</t>
  </si>
  <si>
    <t>Habrán 2 resultados
1. Infiltrarse seguramente en el baño
2. Ser atrapado por tu hermanita</t>
  </si>
  <si>
    <t>Jetzt gehen -1</t>
  </si>
  <si>
    <t>Löse das Ereignis "Heimliches Beobachten beim Umziehen" aus.
Je weiter die Tür geöffnet wird, desto leichter wirst du entdeckt.</t>
  </si>
  <si>
    <t>1. Erfolgreich ins Badezimmer geschlichen
2. Würde von Schwesterlein entdeckt</t>
  </si>
  <si>
    <t>Đi ngay! - 1</t>
  </si>
  <si>
    <t>Xảy ra sự kiện nhìn trộm. Nếu bạn chọn "Đi ngay!", bạn có thể nhìn trộm imouto khi em ấy đang cởi đồ. Bạn càng mở cửa rộng, cơ hội em ấy phát hiện bạn càng cao.</t>
  </si>
  <si>
    <t>Có hai kết quả có thể xảy ra: 
1. Lẻn vào phòng giặt an toàn
2. Bị bắt bởi Imouto</t>
  </si>
  <si>
    <t>現在就去-2</t>
  </si>
  <si>
    <t>觸發偷窺換衣事件，當好感度高於2時，拉門未完全開啟，可觸發被發現的選項</t>
  </si>
  <si>
    <t>出現三個選項(包含-讓我看看)</t>
  </si>
  <si>
    <t>今すぐ行く-2</t>
  </si>
  <si>
    <t>着替えを覗くイベントを発動させる。💗が2以上のとき、ドアが完全に開いていない場合、見つかる選択肢が発生する</t>
  </si>
  <si>
    <t>3つの選択肢を表示する！「見せて」を含む…</t>
  </si>
  <si>
    <t>Go now! - 2</t>
  </si>
  <si>
    <t xml:space="preserve">Same as above. When the favorability is higher than 2 and you got caught peeping despite the door not being fully open, three choices will be presented to the player. </t>
  </si>
  <si>
    <t>Three options will show up:
1. Health check up
2. Let me see!
3. Make an excuse</t>
  </si>
  <si>
    <t>Ir de inmediato -2</t>
  </si>
  <si>
    <t>Si tus corazones son 2 o mas, y te descubren espiando, se te presentaran 3 opciones a escojer</t>
  </si>
  <si>
    <t>Las Tres opciones son:
1. Chequeo de salud
2. Dejame ver!
3. Inventar una escusa</t>
  </si>
  <si>
    <t>Jetzt gehen -2</t>
  </si>
  <si>
    <t>Wenn die Zuneigung über 2 Rote Herzen liegt und die Tür nicht vollständig geöffnet ist, kann die Option "Entdeckt werden" ausgelöst werden.</t>
  </si>
  <si>
    <t>Angezeigte Optionen:
1. Jetzt gehen
2. Noch etwas warten
3. Lass mich sehen</t>
  </si>
  <si>
    <t>Đi ngay! - 2</t>
  </si>
  <si>
    <t>Giống như trên. Khi độ yêu thích cao hơn 2 và bạn bị bắt quả tang dù chưa mở hết cánh cửa, ba lựa chọn sẽ được đưa ra cho người chơi.</t>
  </si>
  <si>
    <t>Ba lựa chọn sẽ xuất hiện:
1. Kiểm tra sức khỏe
2. Để anh xem!
3. Bịa ra lí do</t>
  </si>
  <si>
    <t>現在就去-3</t>
  </si>
  <si>
    <t>觸發偷窺換衣事件，當好感度高於2時，拉門未完全開啟，(出現三個選項都不選)，此時點擊"鼠標右鍵"，即出現特殊選項</t>
  </si>
  <si>
    <t>出現特殊選項</t>
  </si>
  <si>
    <t>今すぐ行く-3</t>
  </si>
  <si>
    <t>着替えを覗くイベントを発動させる。💗が2以上のとき、ドアが完全に開いていない場合、（3つの選択肢を選ばず）、この時に「右クリック」をすると、特別な選択肢が表示される</t>
  </si>
  <si>
    <t>特別な選択肢が表示される…！</t>
  </si>
  <si>
    <t>Go now! - 3</t>
  </si>
  <si>
    <t>Same as above. However, when the three choices show up, press right click to reveal the hidden option.</t>
  </si>
  <si>
    <t>A hidden option shows up:
Last resort</t>
  </si>
  <si>
    <t>Ir de inmediato -3</t>
  </si>
  <si>
    <t>Igual a lo anterior, pero si presionas click derecho se revelara una opcion secreta</t>
  </si>
  <si>
    <t>La opción secreta, se mostrara:
Ultimo recurso</t>
  </si>
  <si>
    <t>Jetzt gehen -3</t>
  </si>
  <si>
    <t>Löse das Ereignis "Heimliches Beobachten beim Umziehen" aus.
Wenn die Zuneigung über 2 Rote Herzen liegt und die Tür nicht vollständig geöffnet ist, und du keine der drei angezeigten Optionen wählst, dann klicke mit der rechten Maustaste, um eine spezielle Option freizuschalten.</t>
  </si>
  <si>
    <t>Spezielle Option erscheint</t>
  </si>
  <si>
    <t>Đi ngay! - 3</t>
  </si>
  <si>
    <t>Giống như trên. Tuy nhiên, khi ba lựa chọn xuất hiện, nhấn chuột phải để xem lựa chọn ẩn</t>
  </si>
  <si>
    <t>Một lựa chọn ẩn xuất hiện:
Phương án cuối cùng</t>
  </si>
  <si>
    <t>現在就去-4</t>
  </si>
  <si>
    <t>觸發偷窺換衣事件，拉門完全開啟，觸發唯一選項</t>
  </si>
  <si>
    <t>觸發黑色選項(讓我看看)</t>
  </si>
  <si>
    <t>今すぐ行く-4</t>
  </si>
  <si>
    <t>着替えを覗くイベントを発動させる。ドアが完全に開いている場合、唯一の選択肢が発生する</t>
  </si>
  <si>
    <t>黒い選択肢を発動させる（見せて）</t>
  </si>
  <si>
    <t>Go now! - 4</t>
  </si>
  <si>
    <t>Same as above. When you completely open the door and get caught, a single option will show up.</t>
  </si>
  <si>
    <t>Only one option will show up:
Let me see!</t>
  </si>
  <si>
    <t>Ir de inmediato -4</t>
  </si>
  <si>
    <t>Igual a lo anterior. Cuando abras la puerta completamante se te presentara una unica opcion</t>
  </si>
  <si>
    <t>Solo se mostrara la opcion: 
Dejame ver!</t>
  </si>
  <si>
    <t>Jetzt gehen -4</t>
  </si>
  <si>
    <t>Löse das Ereignis "Heimliches Beobachten beim Umziehen" aus.
Wenn die Tür vollständig geöffnet ist, wird die einzige Option ausgelöst.</t>
  </si>
  <si>
    <t>Die Option "Lass mich sehen" auslösen.</t>
  </si>
  <si>
    <t>Đi ngay! - 4</t>
  </si>
  <si>
    <t>Giống như trên. Khi bạn mở hoàn toàn cánh cửa và bị bắt, một lựa chọn duy nhất sẽ xuất hiện.</t>
  </si>
  <si>
    <t>Chỉ một lựa chọn sẽ xuất hiện: 
Để anh xem!</t>
  </si>
  <si>
    <t>現在就去-5</t>
  </si>
  <si>
    <t>同上，拉門完全開啟後，馬上將門再次關閉</t>
  </si>
  <si>
    <t>觸發不同的對話
出現三個選項(包含-讓我看看)</t>
  </si>
  <si>
    <t>今すぐ行く-5</t>
  </si>
  <si>
    <t>覗き見の着替えイベントを見るには、ドアを完全に開けて特別な選択肢を発生させます</t>
  </si>
  <si>
    <t>異なる会話を発生させると、3つの選択肢が表示されます（その中には「見せてください」という選択肢も含まれています）</t>
  </si>
  <si>
    <t>Go now! - 5</t>
  </si>
  <si>
    <t>Same as above. When you completely open the door and slide it all the way, you can close it again</t>
  </si>
  <si>
    <t>Triggers a different dialog. Three options will appear.</t>
  </si>
  <si>
    <t>Jetzt gehen -5</t>
  </si>
  <si>
    <t>Wenn du die Tür ganz öffnest und sie komplett zur Seite schiebst, kannst du sie auch wieder schließen.</t>
  </si>
  <si>
    <t>Das löst einen anderen Dialog aus. Drei Optionen werden erscheinen.</t>
  </si>
  <si>
    <t>Đi ngay! - 5</t>
  </si>
  <si>
    <t>Giống như trên. Khi bạn mở hoàn toàn cánh cửa và kéo nó hết sang bên, bạn có thể đóng nó lại lần nữa</t>
  </si>
  <si>
    <t>Xảy ra một cuộc nói chuyện khác. Ba lựa chọn sẽ xuất hiện</t>
  </si>
  <si>
    <t>讓我看看...-1</t>
  </si>
  <si>
    <t>被妹妹拒絕</t>
  </si>
  <si>
    <t>哥哥是笨蛋！</t>
  </si>
  <si>
    <t>ちょっと見せて...-1</t>
  </si>
  <si>
    <t>💗が2未満の場合、妹に拒絶される…</t>
  </si>
  <si>
    <t>ばか！へんたい！</t>
  </si>
  <si>
    <t>Let me see... - 1</t>
  </si>
  <si>
    <t>If your favorability is lower than 2, you will be rejected</t>
  </si>
  <si>
    <t>Onii-chan you baka!! (baka = idiot/fool)</t>
  </si>
  <si>
    <t>Dejame ver... -1</t>
  </si>
  <si>
    <t>si tus corazones son menos a 2, seras rechazado</t>
  </si>
  <si>
    <t>Onii-chan baka!</t>
  </si>
  <si>
    <t>Lass mich sehen... -1</t>
  </si>
  <si>
    <t>Zuneigung unter 2 rote Herzen, von der Schwester abgelehnt.</t>
  </si>
  <si>
    <t>OnIi-cHaN ud BiST eIN IDiot</t>
  </si>
  <si>
    <t>Để xem nào... - 1</t>
  </si>
  <si>
    <t>Nếu độ yêu thích của bạn thấp hơn 2, bạn sẽ bị từ chối</t>
  </si>
  <si>
    <t>Onii-chan anh baka!! (baka = đồ ngốc/đần)</t>
  </si>
  <si>
    <t>讓我看看...-2
"想要色色"</t>
  </si>
  <si>
    <t>將門完全打開時，有機率出現"想要色色"
若此時你的愛心數量不足，則可以使用"約定:草莓牛奶"或金幣</t>
  </si>
  <si>
    <t>執行"想要色色"選項
後續依照賄絡結果，觸發後續劇情(賄絡未實裝)</t>
  </si>
  <si>
    <t>ちょっと見せて...-2</t>
  </si>
  <si>
    <t>拒否された時には「約束:ストロベリーミルク」またはコインを使用することができる。</t>
  </si>
  <si>
    <t>賄絡の結果に応じて、後続のイベントが発生する（賄絡は未実装）</t>
  </si>
  <si>
    <t>Let me see... - 2</t>
  </si>
  <si>
    <t>Same as above. Once rejected, you can bribe Imouto with Strawberry Milk or Gold Coins. If successful, the related events to this scene will trigger. (Bribery has not yet been implemented)</t>
  </si>
  <si>
    <t>Depending on the result of the bribery, the related events will trigger. (Bribery has not yet been implemented)</t>
  </si>
  <si>
    <t>Dejame ver... -2</t>
  </si>
  <si>
    <t xml:space="preserve">Igual a lo anterior. si te rechazan, puedes sobornar a tu hermanita con leche de fresa o monedas de oro. si resulta, eventos relacionados se activaran ( El soborno aun no está implementado ) </t>
  </si>
  <si>
    <t>Dependiendo los resultados del "soborno" se activaran los eventos relacionados.
(El soborno aun no a sido implementado)</t>
  </si>
  <si>
    <t>Lass mich sehen... -2</t>
  </si>
  <si>
    <t>Bei Ablehnung "Versprechen: Erdbeermilch" oder Goldmünzen verwenden.</t>
  </si>
  <si>
    <t>Löst die Folgegeschichte basierend auf dem Bestechungsergebnis aus (Bestechung nicht implementiert).</t>
  </si>
  <si>
    <t>Để xem nào... - 2</t>
  </si>
  <si>
    <t>Giống như trên. Một khi bị từ chối, bạn có thể nịnh Imouto bằng Sữa Dâu Tây hoặc Xu Vàng. Nếu thành công, những sự kiện liên quan đến cảnh này sẽ xảy ra. (Nịnh nọt chưa được triển khai)</t>
  </si>
  <si>
    <t>Dựa vào kết quả của việc nịnh nọt, những sự kiện liên quan sẽ xảy ra. (Nịnh nọt chưa được triển khai)</t>
  </si>
  <si>
    <t>讓我看看...-3
"想要色色"</t>
  </si>
  <si>
    <t>同上，被拒絕時，使用"什麼都行券"</t>
  </si>
  <si>
    <t>執行"想要色色"選項
後續使用"什麼都行券"必定可以觸發後續劇情(未實裝)</t>
  </si>
  <si>
    <t>ちょっと見せて...-3</t>
  </si>
  <si>
    <t>拒否された時には「何でもOK券」を使用することができる</t>
  </si>
  <si>
    <t>後続のイベントが発生する（「何でもOK券」は未実装）</t>
  </si>
  <si>
    <t>Let me see... - 3</t>
  </si>
  <si>
    <t>Same as above. Once rejected, use the "Free Pass Ticket" instead that is obtained from Promise: Don't Get Hurt (Not yet implemented)</t>
  </si>
  <si>
    <t>Triggers the related events. (Not yet implemented)</t>
  </si>
  <si>
    <t>Dejame ver... -3</t>
  </si>
  <si>
    <t>Igual a lo anterior una vez te rechazen, usa el "Vale todo" el cual se obtiene mediante la promesa: No te lastimes ( No esta implementado aún )</t>
  </si>
  <si>
    <t>Desencadena eventos relacionados. 
(no implementados aún)</t>
  </si>
  <si>
    <t>Lass mich sehen... -3</t>
  </si>
  <si>
    <t>Wenn abgelehnt, "Freie Fahrt Ticket" benutzen...</t>
  </si>
  <si>
    <t>Löst die Folgegeschichte aus ("Freie Fahrt Ticket" nicht implementiert).</t>
  </si>
  <si>
    <t>Để xem nào... - 3</t>
  </si>
  <si>
    <t>Giống như trên. Một khi bị từ chối, hãy dùng "Phiếu Thưởng Của Em Gái" đã được nhận từ Lời húa: Đừng bị thương
(Chưa được thực hiện)</t>
  </si>
  <si>
    <t>Xảy ra các sự kiện liên quan (chưa có)</t>
  </si>
  <si>
    <t>讓我看看...-4
"想要色色"</t>
  </si>
  <si>
    <t>同上，當紫心1以上、紅心2以上，可以觸發劇情</t>
  </si>
  <si>
    <t>執行"想要色色"選項
觸發用手服務的劇情</t>
  </si>
  <si>
    <t>ちょっと見せて...-4</t>
  </si>
  <si>
    <t>💜が1以上、💗が2以上の場合、イベントを発生させることができる</t>
  </si>
  <si>
    <t>エッチな選択肢を選ぶと、おててを使ったイベントが発生する</t>
  </si>
  <si>
    <t>Want to Lewd</t>
  </si>
  <si>
    <r>
      <rPr>
        <rFont val="Microsoft JhengHei"/>
        <color theme="1"/>
      </rPr>
      <t>If your purple heart is 1 or more and your red heart is 2 or more, a handjob event can be triggered by chance when you have the door</t>
    </r>
    <r>
      <rPr>
        <rFont val="Microsoft JhengHei"/>
        <b/>
        <color theme="1"/>
      </rPr>
      <t xml:space="preserve"> completely </t>
    </r>
    <r>
      <rPr>
        <rFont val="Microsoft JhengHei"/>
        <color theme="1"/>
      </rPr>
      <t>opened. The option will turn from "Let me see" to "Want to Lewd"</t>
    </r>
  </si>
  <si>
    <t>Triggers a handjob event. You still have a chance to get rejected and the door must be completely opened. 
Note: She must be facing you and not the other way around</t>
  </si>
  <si>
    <t>Dejame ver... -4</t>
  </si>
  <si>
    <t>Si los corazones purpura son 1 o mas y los corazones rojos son 2 o mas, el evento de "handjob" ocurrirá</t>
  </si>
  <si>
    <t>Activa evento de: 
"Handjob"</t>
  </si>
  <si>
    <t>Lass mich sehen... -4</t>
  </si>
  <si>
    <t>Wenn du 1 violettes Herz oder höher und 2 rote Herze oder höher hast, kannst du diese Szene ausgelöst auslösen.</t>
  </si>
  <si>
    <t>Löst ein Ereignis aus, bei dem dein Schwesterchen Imouto deinen Schwanz rubbelt.</t>
  </si>
  <si>
    <t>Muốn làm chuyện dâm đãng</t>
  </si>
  <si>
    <r>
      <t xml:space="preserve">Nếu số tim tím của bạn là 1 hoặc hơn và số tim đỏ là 2 hoặc hơn, một sự kiện handjob sẽ xảy ra ngẫu nhiên khi bạn để cánh cửa mở </t>
    </r>
    <r>
      <rPr>
        <rFont val="Arial"/>
        <b/>
        <color theme="1"/>
      </rPr>
      <t>hoàn toàn</t>
    </r>
    <r>
      <rPr>
        <rFont val="Arial"/>
        <color theme="1"/>
      </rPr>
      <t>. Lựa chọn sẽ chuyển từ "Để xem nào" sang "Muốn</t>
    </r>
  </si>
  <si>
    <t>Xảu ra sự kiện handjob. Bạn vẫn có khả năng bị từ chối và cánh cửa phải được mở hoàn toàn.
Ghi chú: em ấy phải đối mặt với bạn, không phải quay mặt đi</t>
  </si>
  <si>
    <t>再等會</t>
  </si>
  <si>
    <t>跳過偷窺換衣事件，保證安全潛入洗面所</t>
  </si>
  <si>
    <t>安全潛入洗面所</t>
  </si>
  <si>
    <t>少し待ってて？</t>
  </si>
  <si>
    <t>覗き見の着替え事件をスキップし、安全に洗面所に潜入する</t>
  </si>
  <si>
    <t>先に洗面所に潜入する</t>
  </si>
  <si>
    <t>Wait for a bit</t>
  </si>
  <si>
    <t>Skips the early peeping scene and goes directly to the washroom peeping event</t>
  </si>
  <si>
    <t>Safely sneak into the washroom</t>
  </si>
  <si>
    <t>Espera un minuto</t>
  </si>
  <si>
    <t>Omites el evento de cambio de ropa y entras al baño de manera segura.</t>
  </si>
  <si>
    <t>Inlitracion silenciosa y sin riesgos</t>
  </si>
  <si>
    <t>Etwas warten</t>
  </si>
  <si>
    <t>Überspringe das Ereignis "Heimliches Beobachten beim Umziehen" und sorge für ein sicheres Eindringen ins Badezimmer.</t>
  </si>
  <si>
    <t>Du wirst nicht entdeckt.</t>
  </si>
  <si>
    <t>Chờ một chút</t>
  </si>
  <si>
    <t>Bỏ qua cảnh nhìn trộm trước đó và đi thẳng đến sự kiện nhìn trộm trong phòng giặt giũ.</t>
  </si>
  <si>
    <t>Lẻn vào phòng giặt đồ an toàn</t>
  </si>
  <si>
    <t>第一次潛入</t>
  </si>
  <si>
    <t>第一次於洗面所潛入，屬於特殊劇情</t>
  </si>
  <si>
    <t>※一次性事件
只能探索一下就必須離開</t>
  </si>
  <si>
    <t>初めて覗きに行く時、ちょっとしたイベントが発生します</t>
  </si>
  <si>
    <t>※1回限りのイベント
「…ちょっと見に行こうかな？」</t>
  </si>
  <si>
    <t>First Time Peeping</t>
  </si>
  <si>
    <t>The first time you peep in the washroom, a small event will occur</t>
  </si>
  <si>
    <t>※One-time event
You can only explore for a little bit, and then you have to leave</t>
  </si>
  <si>
    <t>Primera vez espiando</t>
  </si>
  <si>
    <t>*Evento unico.
puedes explorar un poco y luego tienes que salir</t>
  </si>
  <si>
    <t>처음 엿보러 갈 때 작은 이벤트가 발생합니다.</t>
  </si>
  <si>
    <t>※일회성 이벤트
몰래 엿볼 수 있습니다.</t>
  </si>
  <si>
    <t>Первое подглядывание</t>
  </si>
  <si>
    <t>Первый раз, когда вы загляните в туалет, будет особый диалог.</t>
  </si>
  <si>
    <t>※Разовое событие
Вы можете сделать только одно действие, после которого вам придется уйти.</t>
  </si>
  <si>
    <t>Erstes Mal Spähen</t>
  </si>
  <si>
    <t>Wenn du das erste Mal in den Waschraum spähst, wird ein kleines Ereignis ausgelöst</t>
  </si>
  <si>
    <t>※Einmaliges Ereignis
Du darfst nur für kurz erkunden und musst dann gehen"</t>
  </si>
  <si>
    <t>Lần đầu nhìn trộm</t>
  </si>
  <si>
    <t>Lần đầu tiên bạn nhìn trộm trong phòng giặt giũ, một sự kiện nhỏ sẽ xảy ra.</t>
  </si>
  <si>
    <t>*Sự kiện một lần
Bạn chỉ được khám phá một chút, rồi phải rời khỏi đó</t>
  </si>
  <si>
    <t>胖次！</t>
  </si>
  <si>
    <t>潛入時，偷拿內褲，並被發現</t>
  </si>
  <si>
    <t>特殊劇情
獲得道具:妹妹脫下的內褲</t>
  </si>
  <si>
    <t>ぱんつ！</t>
  </si>
  <si>
    <t>潜入中にパンツを盗んで、見つかってしまった…</t>
  </si>
  <si>
    <t>特殊なイベント
入手アイテム: 妹の脱いだパンツ</t>
  </si>
  <si>
    <t>Panties!</t>
  </si>
  <si>
    <t>Sneak into the washroom and hold Imouto's underwear then get caught for the first time and a cutscene will trigger.</t>
  </si>
  <si>
    <t>An event will trigger
Obtain "Imouto's panties" equipment</t>
  </si>
  <si>
    <t>Calzones!</t>
  </si>
  <si>
    <t>Escabullete en el baño mientras tu hermanita se este bañando y sostiene su ropa interior, y deja que te descubran por primera vez, y una escena desencadenará</t>
  </si>
  <si>
    <t>El evento te dara el item equipable "Calzones de hermanita"</t>
  </si>
  <si>
    <t>Höschen!</t>
  </si>
  <si>
    <t>Beim Spannen heimlich Unterwäsche nehmen und dabei entdeckt werden.</t>
  </si>
  <si>
    <t>Du hast das Item "Die ausgezogene Unterhose der Schwester" erhalten.</t>
  </si>
  <si>
    <t>Quần lót!</t>
  </si>
  <si>
    <t>Lẻn vào phòng giặt và giữ đồ lót của Imouto và bị bắt lần đầu tiên rồi một cutscene sẽ xảy ra.</t>
  </si>
  <si>
    <t>Một sự kiện sẽ xảy ra.
Nhận được trang bị "Quần Lót Của Em Gái"</t>
  </si>
  <si>
    <t>手的溫度-1</t>
  </si>
  <si>
    <t>第二次偷內衣時被發現，並且當愛心達到6，即可觸發。</t>
  </si>
  <si>
    <t>妹妹用手來服務的特殊劇情
*目前實裝3種內褲</t>
  </si>
  <si>
    <t>妹の手のぬくもり-1</t>
  </si>
  <si>
    <t>好感度が6以上あり妹の下着にいたずらしてるところを見つかるとイベントが発生します</t>
  </si>
  <si>
    <t>特別なイベント
※現在現時点で実装されてるパンツは3種類です</t>
  </si>
  <si>
    <t>Sister's Warm Hands - 1</t>
  </si>
  <si>
    <t>If you have hearts that total to 6 (i.e 3 red and 3 purple), she will give you a handjob when she catches you with her underwear for the second time.</t>
  </si>
  <si>
    <t>A special scene will be played where the sister gives you a handjob with the underwear.
*There are currently 3 types of underwear.</t>
  </si>
  <si>
    <t>Servicio de la hermana -1</t>
  </si>
  <si>
    <t>La segunda vez que te atrapen robando ropa, si tienes mas de 6 corazones, un evento se desencadenara</t>
  </si>
  <si>
    <t>Теплые ручки сестренки 1</t>
  </si>
  <si>
    <t>Если вы наберете в сумме 6 сердечек (то есть 3 красных и 3 фиолетовых), она подрочит вам, когда во следующий раз застанет вас, когда вы трогаете её нижнее белье.</t>
  </si>
  <si>
    <t>Будет проиграна специальная сцена, в которой сестра мастурбирует вам своим нижним бельем.
(В настоящее время существует 3 вида нижнего белья)</t>
  </si>
  <si>
    <t>Schwesterchens warme Händchen - 1</t>
  </si>
  <si>
    <t>Wenn du insgesamt 6 Herzen haben (also 3 rote und 3 violette), gibt deine Schwester dir einen Handjob, wenn sie dich zum zweiten Mal mit ihrer Unterwäsche erwischt</t>
  </si>
  <si>
    <t xml:space="preserve">Es wird eine besondere Szene gezeigt, in der deine Schwester dir mit ihrer Unterwäsche einen Handjob gibt. </t>
  </si>
  <si>
    <t>Bàn tay ấm của em gái - 1</t>
  </si>
  <si>
    <t>Nếu bạn có số lượng tim tổng là 6 (vd: 3 dỏ và 3 tím), em ấy sẽ handjob cho bạn khi em ấy bắt quả tang bạn với đồ lót của em ấy lần thứ hai.
(Phải xảy ra "Lẻn vào phòng giặt - 1" trước</t>
  </si>
  <si>
    <t>Một cảnh đặc biệt sẽ xảy ra khi mà em gái cho bạn handjob với đồ lót em ấy
*Hiện tại có 3 loại đồ lót</t>
  </si>
  <si>
    <t>手的溫度-2</t>
  </si>
  <si>
    <t>承上，紫心達到3，可以不用隔著衣物</t>
  </si>
  <si>
    <t>妹妹用手來服務的特殊劇情</t>
  </si>
  <si>
    <t>妹の手のぬくもり-2</t>
  </si>
  <si>
    <t>紫♡が3つ以上あるとパンツ越しではなく奉仕してくれる…</t>
  </si>
  <si>
    <t>特別なイベント
「前にもこんなことあったよね…？」</t>
  </si>
  <si>
    <t>Sister's Warm Hands - 2</t>
  </si>
  <si>
    <t>Continuation from above. If you have 3 purple hearts and you do it again, she will give you a direct handjob instead (no underwear).</t>
  </si>
  <si>
    <t>A scene where the sister gives you a direct handjob.</t>
  </si>
  <si>
    <t>Servicio de la hermana -2</t>
  </si>
  <si>
    <t>Теплые ручки сестренки 2</t>
  </si>
  <si>
    <t xml:space="preserve">Продолжение события сверху. Если у вас есть 3 фиолетовых сердечка и вы сделаете это снова, вместо этого она сделает вам обычную дрочку (без нижнего белья).
</t>
  </si>
  <si>
    <t>Сцена, где сестра дрочит вам руками без нижнего белья.</t>
  </si>
  <si>
    <t>Schwesterchens warme Händchen - 2</t>
  </si>
  <si>
    <t>Wenn du danach immer noch 3 violette Herzen hast und es noch einmal tust, wird sie dir anstelle der Unterwäsche direkt einen Handjob geben. Falls nicht, tritt das vorherige Event ein</t>
  </si>
  <si>
    <t>Deine Schwester holt dir mit ihrer Nackten Hand einen runter</t>
  </si>
  <si>
    <t>Bàn tay ấm của em gái - 2</t>
  </si>
  <si>
    <t>Tiếp tục từ bên trên. Nếu bạn có 3 tim tím và làm lại lần nữa, em ấy sẽ cho bạn handjob trực tiếp (không có đồ lót).</t>
  </si>
  <si>
    <t>Một xảnh mà em gái cho bạn handjob trực tiếp</t>
  </si>
  <si>
    <t>氣息消除-1</t>
  </si>
  <si>
    <t>在習得"氣息消除"後，於妹妹洗澡時潛入洗面所，可以使用忍者跳舞選項</t>
  </si>
  <si>
    <t>使用特殊選項</t>
  </si>
  <si>
    <t>気配遮断-1</t>
  </si>
  <si>
    <t>『気配遮断』を習得した後、妹が入浴している時に洗面所に潜入し、ダンスの選択肢を使用できる。</t>
  </si>
  <si>
    <t>特殊な選択肢を使用できる</t>
  </si>
  <si>
    <t>Breath Concealment- 1</t>
  </si>
  <si>
    <t>After learning the ninja skill "Breath Concealment", sneak inside the washroom while your sister is bathing and choose the "Ninja Dance" option</t>
  </si>
  <si>
    <t>Allows you to use a special option</t>
  </si>
  <si>
    <t>Atemverhüllung - 1</t>
  </si>
  <si>
    <t>Nach dem Erlernen der Ninja-Fähigkeit „Atemverhüllung" kannst du dich heimlich ins Badezimmer schleichen, während deine Schwester badet, und die Option „Ninja-Tanz“ wählen</t>
  </si>
  <si>
    <t>Ermöglicht dir, eine spezielle Option zu verwenden.</t>
  </si>
  <si>
    <t>Giấu hơi thở -  1</t>
  </si>
  <si>
    <t>Sau khi học kĩ năng ninja "Giấu Hơi Thở", lẻn phòng giặt khi em gái đang tắm và chọn lựa chọn "Điệu Nhảy Ninja"</t>
  </si>
  <si>
    <t>Cho phép bạn dùng lựa chọn đặc biệt</t>
  </si>
  <si>
    <t>透明的門-1</t>
  </si>
  <si>
    <t>可以在妹妹獨自洗澡時進行偷窺</t>
  </si>
  <si>
    <t>可以看到妹妹洗頭、胸的場景
目前無偷窺失敗、好感愛心的分歧，待製作。</t>
  </si>
  <si>
    <t>透明なドア-1</t>
  </si>
  <si>
    <t>シャワー中の妹を覗くことが出来る！</t>
  </si>
  <si>
    <t>妹が頭や胸を洗うシーンが見られます。
現在、覗き失敗や好意のハートの分岐は未実装です。
※制作中</t>
  </si>
  <si>
    <t>Transparent Door - 1</t>
  </si>
  <si>
    <t>You can peep on your sister when she is showering alone.</t>
  </si>
  <si>
    <t>You will be able to see the sister wash her hair and breasts.
Favorability and failing to peep currently doesn't make any difference. This will be improved in the future.</t>
  </si>
  <si>
    <t>Puerta transparente -1</t>
  </si>
  <si>
    <t xml:space="preserve">Шпионите за сестрой, пока она принимает душ одна.
</t>
  </si>
  <si>
    <t xml:space="preserve">Вы можете увидеть сцену, где моя сестра моет волосы и грудь. 
(В настоящее время плохие исходы не просаживают заинтересованность сестры к вам. Это будет реализованно в будущем.)
</t>
  </si>
  <si>
    <t>Transparente Tür -1</t>
  </si>
  <si>
    <t>Du kannst deine Schwester heimlich beobachten, wenn sie alleine duscht</t>
  </si>
  <si>
    <t>Du wirst deine Schwester sehen können, wie sie ihr Haar und ihre Brüste wäscht. Beliebtheit und das Nicht-Erwischen beim Spähen machen derzeit keinen Unterschied. Dies wird in Zukunft verbessert</t>
  </si>
  <si>
    <t>Cánh cừa trong suốt - 1</t>
  </si>
  <si>
    <t>Bạn có thể nhìn trộm em gái khi em ấy đang tắm vòi sen một mình.</t>
  </si>
  <si>
    <t>Bạn sẽ thấy em gái gội đầu và ngực
Độ yêu thích và việc thất bại trong việc nhìn trộm hiện tại không tạo ra sự khác biệt gì 
Việc này sẽ được cải thiện trong tương lai</t>
  </si>
  <si>
    <t>透明的門-2</t>
  </si>
  <si>
    <t>在妹妹獨自洗澡時，進行時間消耗，直到浴室門沒有妹妹的身影，再進到浴室中偷窺，可以看到泡澡時的樣子</t>
  </si>
  <si>
    <t>有無黃色小鴨有不同畫面
(目前還沒有製作無小鴨的場景，近期應該會更新)
目前無偷窺失敗的場景</t>
  </si>
  <si>
    <t>透明なドア-2</t>
  </si>
  <si>
    <t>浴室の前で妹の姿が無くなるまで過ごし、見えなくなった後にこっそり覗くと湯につかる妹を見る事が出来る！</t>
  </si>
  <si>
    <t>黄色いアヒルがあるかないかで演出が少し変わります(現時点ではアヒルのいないシーンはありませんが、近い将来更新される予定です)
現時点でのぞき失敗シーンはありません。</t>
  </si>
  <si>
    <t>Transparent Door - 2</t>
  </si>
  <si>
    <t>Spend time in the washroom until the sister's silhouette completely disappears from the door and then peek on her. You will see her dipped in the bathtub.</t>
  </si>
  <si>
    <t xml:space="preserve">There are variations depending on if you picked up the rubber ducky by the river.
(Currently, there's no scenes without the rubber ducky this time. Peeping will also never fail.
This will be improved in the future.)
</t>
  </si>
  <si>
    <t>Puerta transparente -2</t>
  </si>
  <si>
    <t>Mientras ella se baña sola, puedes quedarte cerca y dejar pasar el tiempo. Una vez que su silueta desaparezca tras la puerta del baño, puedes colarte para espiarla mientras se relaja en la bañera.</t>
  </si>
  <si>
    <t>Выполняйте действия в ванной, пока силуэт сестры полностью не исчезнет за дверью, а затем загляните к ней. После чего вы увидите, как она принимает в ванну.
Примечание: Можно просто брать её нижнее белье и ложить обратно, что бы реализовать данное действие.</t>
  </si>
  <si>
    <t>Существуют варианты в зависимости от того, подобрали ли вы резиновую уточку у реки.
Примечание: На данный момент нет сцен без резиновой уточки. Действие подглядывания не может быть провальным. В будущем это будет улучшено.</t>
  </si>
  <si>
    <t>Transparente Tür -2</t>
  </si>
  <si>
    <t>Verbringe Zeit im Badezimmer, bis der Schattenriss deiner Schwester vollständig von der Tür verschwunden ist, und spähe dann nach ihr. Du wirst sie in der Badewanne sitzend sehen</t>
  </si>
  <si>
    <t>Es gibt Variationen, je nachdem, ob du die Gummi-Ente am Fluss gefunden hast. (Derzeit gibt es keine Szenen ohne die Gummi-Ente. Das Spähen wird auch nie fehlschlagen. Dies wird in der Zukunft verbessert.)</t>
  </si>
  <si>
    <t>Cánh cừa trong suốt - 2</t>
  </si>
  <si>
    <t xml:space="preserve">Chờ trong phòng giặt đồ đến khi bóng của em gái trên cánh cửa hoàn toàn biến mất và rồi nhìn trộm em ấy. Bạn sẽ thấy em ấy ngâm mình trong bồn tắm </t>
  </si>
  <si>
    <t>Sẽ có biến thể tùy vào việc bạn có nhặt con vịt cao su ở sông không
(Hiện tại, không có cảnh nào không có con vịt cao su. Việc nhìn trộm cũng sẽ không bao giờ thất bại.
Điều này sẽ được cải thiện trong tương lai.)</t>
  </si>
  <si>
    <t>透明的門-3</t>
  </si>
  <si>
    <t>在習得"氣息消除"後，哥哥會在一個人洗澡時偷偷改造浴室門，使其變成忍者門。
於偷看妹妹洗澡時的第三階段，觸發使用忍者門的選項。</t>
  </si>
  <si>
    <t>特殊視角觀看演出</t>
  </si>
  <si>
    <t>透明なドア-3</t>
  </si>
  <si>
    <t>『気息消除』を習得した後、お兄ちゃんは一人で入浴しているときに、こっそりと浴室のドアを改造し、忍者のドアに変えてしまう。
妹が入浴しているのを覗く第三段階では、忍者のドアを使う選択肢が発生する。</t>
  </si>
  <si>
    <t>覗きを別の視点で見る事が出来る！</t>
  </si>
  <si>
    <t>Transparent Door - 3</t>
  </si>
  <si>
    <t>Onii-chan will secretly modify the washroom door into some sort of ninja door when he takes a bath alone. Afterwards, when you peek to the sister while she's showering, you will have the option to use it.</t>
  </si>
  <si>
    <t>You can watch the showering sister from a different angle.</t>
  </si>
  <si>
    <t>Puerta transparente -3</t>
  </si>
  <si>
    <t>Después de dominar la técnica de Ocultación de Presencia, el protagonista aprovecha un baño en solitario para modificar secretamente la puerta, convirtiéndola en una “puerta ninja”.
En la tercera etapa del evento de espionaje, se desbloquea la opción de usarla para espiar sin ser detectado.</t>
  </si>
  <si>
    <t>La escena se muestra desde una perspectiva especial.</t>
  </si>
  <si>
    <t>Transparente Tür -3</t>
  </si>
  <si>
    <t>In der dritten Phase, wenn du deine Schwester beim Duschen heimlich beobachtest, wird die Option zur Nutzung der "Ninjatür" freigeschaltet.</t>
  </si>
  <si>
    <t>Du kannst die duschende Schwester aus einem anderen Winkel beobachten.</t>
  </si>
  <si>
    <t>Cánh cửa trong suốt - 3</t>
  </si>
  <si>
    <t>Onii-chan sẽ bí mật chỉnh sửa cánh cửa thành một loại cửa ninja khi anh ấy tắm một mình. Sau đói, khi bạn nhìn trộm em ấy khi em ấy đang tắm vòi sen, bạn sẽ có lựa chọn sử dụng nó</t>
  </si>
  <si>
    <t>Bạn có thể thấy em gái tắm vòi sen ở nhiều góc độ</t>
  </si>
  <si>
    <t>一起洗澡</t>
  </si>
  <si>
    <t>當好感度大於2時</t>
  </si>
  <si>
    <t>可以和妹妹一起洗澡</t>
  </si>
  <si>
    <t>一緒にお風呂に入る！</t>
  </si>
  <si>
    <t>💗が2つ以上のとき！</t>
  </si>
  <si>
    <t>妹と一緒にお風呂に入ることができる！！</t>
  </si>
  <si>
    <t>Let's bathe together</t>
  </si>
  <si>
    <t>Unlocked when favorability reaches level 2</t>
  </si>
  <si>
    <t>Allows bathing together with Imouto</t>
  </si>
  <si>
    <t>Bañarse juntos</t>
  </si>
  <si>
    <t>Cuando el nivel de afecto es mayor a 2</t>
  </si>
  <si>
    <t>Bañarse con tu hermanita</t>
  </si>
  <si>
    <t>Gemeinsam baden</t>
  </si>
  <si>
    <t>Wenn der Zuneigungswert über 2 Herzen liegt</t>
  </si>
  <si>
    <t>Du kannst mit deiner Schwester baden gehen</t>
  </si>
  <si>
    <t>Hãy tắm cùng nhau</t>
  </si>
  <si>
    <t>Mở khóa khi độ yêu thích đạt cấp 2</t>
  </si>
  <si>
    <t>Cho phép tắm chung với Imouto</t>
  </si>
  <si>
    <t>拜託一起洗</t>
  </si>
  <si>
    <t>已經滿足和妹妹一起洗澡的條件，但妹妹心情低落</t>
  </si>
  <si>
    <t>特殊選項</t>
  </si>
  <si>
    <t>断れない妹</t>
  </si>
  <si>
    <t>一緒にお風呂に入ろうとしたが妹の機嫌が良くない…</t>
  </si>
  <si>
    <t>選択肢が追加される</t>
  </si>
  <si>
    <t>Please, let's bathe together</t>
  </si>
  <si>
    <t>Take a bath with the sister while she's in a bad mood</t>
  </si>
  <si>
    <t>Another option will be added.
(Not working as of current version)</t>
  </si>
  <si>
    <t>Bañemonos juntos!</t>
  </si>
  <si>
    <t>Давай примем ванну вместе</t>
  </si>
  <si>
    <t>Примите ванну с сестрой, когда она в плохом настроении.</t>
  </si>
  <si>
    <t>Будет добавлена еще одна вариация.
(Не работает в текущей версии)</t>
  </si>
  <si>
    <t>Lass uns zusammen baden</t>
  </si>
  <si>
    <t>Nimm ein Bad mit deiner Schwester, während sie in schlechter Stimmung ist</t>
  </si>
  <si>
    <t>Eine weitere Option wird hinzugefügt. (Derzeit nicht funktionsfähig in der aktuellen Version</t>
  </si>
  <si>
    <t>Xin hãy tắm cùng nhau</t>
  </si>
  <si>
    <t>Tắm với em gái khi em ấy có tâm trạng xấu.</t>
  </si>
  <si>
    <t>Một lựa chọn nữa sẽ được thêm vào
(Không hoạt động trong phiên bản này)</t>
  </si>
  <si>
    <t>快要熱暈了-1</t>
  </si>
  <si>
    <t>在沒有紫心的情況下，與妹妹一起泡澡時，如果一直摸妹妹，妹妹會逃跑</t>
  </si>
  <si>
    <t>妹妹逃跑了</t>
  </si>
  <si>
    <t>逆上せちゃいそう-1</t>
  </si>
  <si>
    <t>💜がない状態で妹とお風呂に入っている時、妹を撫で続けると、妹は逃げ出します</t>
  </si>
  <si>
    <t>妹が逃げちゃった…</t>
  </si>
  <si>
    <t>Almost Fainted - 1</t>
  </si>
  <si>
    <t>When bathing with imouto without purple hearts, if you consistently touch her, she will get up the bath and run away</t>
  </si>
  <si>
    <t>"Imouto ran away"</t>
  </si>
  <si>
    <t>Mir wird heiß und schwindelig-1</t>
  </si>
  <si>
    <t>Wenn du ohne lila Herzen zusammen mit deiner kl. Schwester badest, und sie die ganze Zeit berührst, wird deine kleine Schwester sich aus dem Staub machen.</t>
  </si>
  <si>
    <t>Deine kleine Schwster verpisst sich von dir</t>
  </si>
  <si>
    <t xml:space="preserve">Gần ngất đi - 1 </t>
  </si>
  <si>
    <t>Khi tắm với imouto mà không có tim tím nào, nếu bạn liên tục chọc em ấy, em ấy sẽ ra khỏi bồn tắm và chạy đi</t>
  </si>
  <si>
    <t>"Imouto chạy đi"</t>
  </si>
  <si>
    <t>快要熱暈了-2</t>
  </si>
  <si>
    <t>有至少一顆紫心時，一直摸妹妹，妹妹會熱到暈倒</t>
  </si>
  <si>
    <t>妹妹熱暈了
*此為一次性事件</t>
  </si>
  <si>
    <t>逆上せちゃいそう-2</t>
  </si>
  <si>
    <t>💜が1つ以上ある状態で妹を撫で続けると、妹は逆上せて気を失います</t>
  </si>
  <si>
    <t xml:space="preserve">
妹が逆上せて気絶しちゃった
※一度限りのイベントです
</t>
  </si>
  <si>
    <t>Similar to above, if you have at least 1 purple heart, she will end up fainting from the heat</t>
  </si>
  <si>
    <t>"Imouto fainted from the heat"
*One-time event</t>
  </si>
  <si>
    <t>Mir wird heiß und schwindelig-2</t>
  </si>
  <si>
    <t>Wenn du mindestens ein lila Herz hast und deine kl. Schwester die ganze Zeit berührt, wird ihr so heiß, dass sie ohnmächtig wird.</t>
  </si>
  <si>
    <t>Dein kl. Schwesterchen ist ohnmächtig geworden</t>
  </si>
  <si>
    <t>Gần ngất đi - 2</t>
  </si>
  <si>
    <t>Giống như trên, nếu bạn có ít nhất 1 tim tím, em ấy cuối cùng sẽ ngất đi vì hơi nóng</t>
  </si>
  <si>
    <t>"Imouto ngất đi vì hơi nóng"
*Sự kiện một lần</t>
  </si>
  <si>
    <t>快要熱暈了-3</t>
  </si>
  <si>
    <t>同上，第二次進入熱暈環節前，會進入特殊畫面</t>
  </si>
  <si>
    <t>CG演出</t>
  </si>
  <si>
    <t>逆上せちゃいそう-3</t>
  </si>
  <si>
    <t>2回目に気絶する段階に入る前に、特殊イベントに移行します</t>
  </si>
  <si>
    <t>Similar to above, but before she faints from the heat, a special screen will appear</t>
  </si>
  <si>
    <t>A special CG will show up</t>
  </si>
  <si>
    <t>Mir wird heiß und schwindelig-3</t>
  </si>
  <si>
    <t>Beim 2x, bevor Sie Ohnmächtig wird, erscheint ein spezielle Szene</t>
  </si>
  <si>
    <t>Bilderszene(Ein erotisches Bild)</t>
  </si>
  <si>
    <t>Gần ngất đi - 3</t>
  </si>
  <si>
    <t>Giống như trên, nhưng trước khi em ấy ngất đi vì hơi nóng, một cảnh đặc biệt sẽ xuất hiện</t>
  </si>
  <si>
    <t>Một CG đặc biệt sẽ xuất hiện</t>
  </si>
  <si>
    <t>請妹妹幫忙洗-1</t>
  </si>
  <si>
    <t>在和妹妹共浴時，請妹妹幫忙擦背</t>
  </si>
  <si>
    <t>觸發一段劇情
並於下一次時新增一個選項：清洗前方</t>
  </si>
  <si>
    <t>妹を洗ったり洗ってもらう−1</t>
  </si>
  <si>
    <t>妹と一緒にお風呂に入っているときに、妹に背中を洗ってもらう！</t>
  </si>
  <si>
    <t>イベントが発生し、次回に新しい選択肢『前を洗う』が追加される</t>
  </si>
  <si>
    <t>Imouto's Washing - 1</t>
  </si>
  <si>
    <t>When you bathe with imouto, ask her to wash your back. A new option will be added where you can ask her to wash your front.</t>
  </si>
  <si>
    <t>A new scene is triggered.
A new option is added: "Wash front"</t>
  </si>
  <si>
    <t>Helfe bitte deine kl. Schwester beim Waschen-1</t>
  </si>
  <si>
    <t>Wenn du zusammen mit deinen kl. Schwesterlein badest, bitte Sie deinen Geilen Sexy Rücken abzuwischen.</t>
  </si>
  <si>
    <t>Löst eine Szene aus und beim nächsten Mal erscheint ein neuer Auswahlpunkt: Vorderseite waschen</t>
  </si>
  <si>
    <t>Imouto tắm cho - 1</t>
  </si>
  <si>
    <t xml:space="preserve">Khi bạn tắm với imouto, hỏi em ấy kì lưng cho bạn. Một lựa chọn mới sẽ được thêm vào mà bạn có thể hỏi em ấy cọ phía trước của bạn </t>
  </si>
  <si>
    <t>Một cảnh đặc biệt xảy ra
Một lựa chọn mới được thêm vào: "Cọ phía trước"</t>
  </si>
  <si>
    <t>請妹妹幫忙洗-2</t>
  </si>
  <si>
    <t>同上，第二次選擇幫忙清洗前方，且未達4顆紫心時</t>
  </si>
  <si>
    <t>妹妹會拒絕幫忙</t>
  </si>
  <si>
    <t>妹を洗ったり洗ってもらう−2</t>
  </si>
  <si>
    <t>2回目で「前を洗う」を選択し、紫のハートが4つ未満の場合</t>
  </si>
  <si>
    <t>妹は洗われるのを嫌がる…</t>
  </si>
  <si>
    <t>Imouto's Washing - 2</t>
  </si>
  <si>
    <t>Similar to above, if you insist to wash the front while your purple hearts is below 4, imouto will refuse.</t>
  </si>
  <si>
    <t>Imouto will refuse your request</t>
  </si>
  <si>
    <t>Helfe bitte deine kl. Schwester beim Waschen-2</t>
  </si>
  <si>
    <t>Wenn du beim zweiten Mal auswählst, deiner kl. Schwester beim Vorderseitenwaschen zu helfen und noch keine 4 Purple Herzen hat</t>
  </si>
  <si>
    <t>Deine kl. Schwester wird sich weigern zu helfen</t>
  </si>
  <si>
    <t>Imouto tắm cho - 2</t>
  </si>
  <si>
    <t>Giống như trên, nếu bạn yêu cầu cọ phía trước mà số tim tím thấp hơn 4, imouto sẽ từ chối</t>
  </si>
  <si>
    <t>Imouto sẽ từ chối yêu cầu của bạn</t>
  </si>
  <si>
    <t>請妹妹幫忙洗-3</t>
  </si>
  <si>
    <t>同上，若達到4顆紫心時</t>
  </si>
  <si>
    <t>第一段素股畫面演出</t>
  </si>
  <si>
    <t>妹を洗ったり洗ってもらう−3</t>
  </si>
  <si>
    <t>💜が4つに達した時</t>
  </si>
  <si>
    <t>1段階目の「素股」で洗ってくれる…</t>
  </si>
  <si>
    <t>Imouto's Washing - 3</t>
  </si>
  <si>
    <t>Similar to above but if you have 4 purple hearts, the first sumata scene will trigger</t>
  </si>
  <si>
    <t>First scene of sumata</t>
  </si>
  <si>
    <t>Helfe bitte deine kl. Schwester beim Waschen-3</t>
  </si>
  <si>
    <t>Wenn du beim zweiten Mal auswählst, deiner kl. Schwesterchen beim Vorderseitenwaschen zu helfen ud bereits 4 Purple Herzen hat</t>
  </si>
  <si>
    <t>Erste Vaginale Sexszene ohne Kondom</t>
  </si>
  <si>
    <t>Imouto tắm cho - 3</t>
  </si>
  <si>
    <t>Giống như trên, nhưng nếu bạn có 4 tim tím, cảnh sumata đầu tiên sẽ xảy ra</t>
  </si>
  <si>
    <t>Cảnh Sumata đầu tiên</t>
  </si>
  <si>
    <t>請妹妹幫忙洗-4</t>
  </si>
  <si>
    <t>同上，若達到5顆紫心時</t>
  </si>
  <si>
    <t>第二段素股畫面演出</t>
  </si>
  <si>
    <t>妹を洗ったり洗ってもらう−4</t>
  </si>
  <si>
    <t>💜が5つに達した時</t>
  </si>
  <si>
    <t>2段階目の「素股」で洗ってくれる…</t>
  </si>
  <si>
    <t>Imouto's Washing - 4</t>
  </si>
  <si>
    <t>Similar to above but if you have 5 purple hearts, the second sumata scene will trigger</t>
  </si>
  <si>
    <t>Second scene of sumata</t>
  </si>
  <si>
    <t>Helfe bitte deine kl. Schwester beim Waschen-4</t>
  </si>
  <si>
    <t>Wenn du beim zweiten Mal auswählst, deiner kl. Schwester beim Vorderseitenwaschen zu helfen und bereits 5 Purple Herzen hat</t>
  </si>
  <si>
    <t>Zweite Vaginale Sexszene ohne Kondom</t>
  </si>
  <si>
    <t>Imouto tắm cho - 4</t>
  </si>
  <si>
    <t>Giống như trên nhưng nếu bạn có 5 tim tím, cảnh sumata thứ hai sẽ xảy ra</t>
  </si>
  <si>
    <t>Cảnh Sumata thứ hai</t>
  </si>
  <si>
    <t>D</t>
  </si>
  <si>
    <t>遊戲機相關劇情</t>
  </si>
  <si>
    <t>ゲームイベント</t>
  </si>
  <si>
    <t>Gaming Console Events</t>
  </si>
  <si>
    <t>Eventos de la Consola de juegos</t>
  </si>
  <si>
    <t>콘솔 게임 중 이벤트</t>
  </si>
  <si>
    <t>События с приставкой</t>
  </si>
  <si>
    <t>Auf die Spielkonsole bezogene Events</t>
  </si>
  <si>
    <t>Sự kiện máy chơi game</t>
  </si>
  <si>
    <t>第一次遊戲中的惡作劇</t>
  </si>
  <si>
    <t>在擁有遊戲機後，第一次對正在獨自一人玩遊戲的妹妹，使用一起遊玩的惡作劇</t>
  </si>
  <si>
    <t>有一段的特殊對話，並且之後可以對遊戲中的妹妹惡作劇</t>
  </si>
  <si>
    <t>ちょっとしたいたずらでも…</t>
  </si>
  <si>
    <t>2回目のゲーム中に妹を膝に乗せるとイベントが始まります</t>
  </si>
  <si>
    <t>ちょっとした会話の後「いたずら」をすることが出来るようになる</t>
  </si>
  <si>
    <t>First Gaming Prank</t>
  </si>
  <si>
    <t>Once you get the gaming console, play a prank on your sister for the first time while she plays a game on her own.</t>
  </si>
  <si>
    <t xml:space="preserve">There will be a special dialogue, and then you can play pranks on your sister while she's occupied with the game.
</t>
  </si>
  <si>
    <t>Primera broma jugando</t>
  </si>
  <si>
    <t>Una vez obtenida la consola de videojuegos, juegale una broma a tu hermana por primera vez mientras ella juega por su cuenta</t>
  </si>
  <si>
    <t>Habra un dialogo especial, y despues podras jugarle una broma a tu hermana mientras esta ocupada jugando.</t>
  </si>
  <si>
    <t>게임 플레이 중에 장난치기</t>
  </si>
  <si>
    <t>게임을 하고 있는 여동생을 오빠 무릎에 두 번 앉히면 이벤트가 발생합니다. (S13으로 이어짐)</t>
  </si>
  <si>
    <t>약간의 대화를 할 예정이며 여동생이 게임에 몰두하고 있을 때 장난을 칠 수 있습니다..</t>
  </si>
  <si>
    <t>Первая шалость во время игры</t>
  </si>
  <si>
    <t>После того как у вас появилась консоль, вы должны присоединиться к игре когда она играет и пранкануть её.</t>
  </si>
  <si>
    <t>Появиться специальный диалог, после которого вы можете потрогать сестру в то время пока она играет на консоли.</t>
  </si>
  <si>
    <t>Erster Gaming-Streich</t>
  </si>
  <si>
    <t>Sobald du die Spielekonsole hast, spielst du zum ersten Mal einen Streich mit deiner Schwester, während sie alleine ein Spiel spielt</t>
  </si>
  <si>
    <t>Es wird einen speziellen Dialog geben, und danach kannst du deiner Schwester Streiche spielen, während sie mit dem Spiel beschäftigt ist</t>
  </si>
  <si>
    <t>Trò đùa khi chơi game đầu tiên</t>
  </si>
  <si>
    <t>Một khi bạn có máy chơi game, hãy trêu em ấy lần đầu tiên khi em ấy chơi game một mình.</t>
  </si>
  <si>
    <t>Sẽ có hội thoại đặc biệt, và rồi bạn có thể chọc ghẹo em gái khi em ấy tập trung vào trò chơi</t>
  </si>
  <si>
    <t>夜晚的發現</t>
  </si>
  <si>
    <t>在擁有遊戲機後，第一次夜襲時，妹妹會因偷玩遊戲被哥哥抓到</t>
  </si>
  <si>
    <t>※觸發一次性劇情</t>
  </si>
  <si>
    <t>ちゃんと寝てるかな？</t>
  </si>
  <si>
    <t>初めて夜中に起きると妹が寝てるのを確認しに部屋に行く</t>
  </si>
  <si>
    <t>※特別なイベントが発生する
「ちゃんと寝るんだよ」</t>
  </si>
  <si>
    <t>Caught at Night</t>
  </si>
  <si>
    <t>Once you get the gaming console, you will be able to catch your sister secretly playing games at night during your first "night raid". A special dialog will trigger.</t>
  </si>
  <si>
    <t>A special one-time event will occur.</t>
  </si>
  <si>
    <t>※触发一次性剧情
[妹妹：你什么都没有看见哟（心虚）]</t>
  </si>
  <si>
    <t>Descubierta por la noche</t>
  </si>
  <si>
    <t>Despues de conseguir la consola de videojuegos, podras atrapar a tu hermana jugando a escondidas durante tu visita nocturna. Un dialogo especial se activara</t>
  </si>
  <si>
    <t>Un evento especial sera activado</t>
  </si>
  <si>
    <t>밤중에 습격?</t>
  </si>
  <si>
    <t>게임 콘솔을 가지고 있는 상태로 밤중에 일어나서 여동생이 자는 것을 확인하러 방에 가보세요.</t>
  </si>
  <si>
    <t>※특별한 이벤트가 발생합니다.</t>
  </si>
  <si>
    <t>Ночное обнаружение</t>
  </si>
  <si>
    <t>После получения консоли, вы можете проверить комнату сестры ночью и застать её играющей за консолью.</t>
  </si>
  <si>
    <t>※Запускает разовое событие</t>
  </si>
  <si>
    <t>Schwester in der Nacht erwischt</t>
  </si>
  <si>
    <t>Sobald du die Spielekonsole hast, wirst du deine Schwester dabei erwischen können, wie sie nachts heimlich spielt, während deiner ersten ,,Nacht-Razzia". Ein spezieller Dialog wird ausgelöst</t>
  </si>
  <si>
    <t>※Ein spezielles einmaliges Ereignis wird ausgelöst</t>
  </si>
  <si>
    <t>Bị bắt vào buổi đêm</t>
  </si>
  <si>
    <t xml:space="preserve">Một khi bạn đã có máy chơi game, bạn sẽ bắt được em gái đang bí mật chơi game vào buổi đêm trong lần "Chọc ghẹo ban đêm" lần đầu tiên. Một cuộc nói chuyện đặc biệt sẽ xảy ra </t>
  </si>
  <si>
    <t>Một sự kiện một lần sẽ xảy ra</t>
  </si>
  <si>
    <t>遊戲中的干擾</t>
  </si>
  <si>
    <t>在妹妹獨自一人玩遊戲時，若進行干擾，妹妹會生氣</t>
  </si>
  <si>
    <t>生氣之後安撫好，會獲得隨機的肉料理、別受傷的約定</t>
  </si>
  <si>
    <t>今なら悪戯しても…</t>
  </si>
  <si>
    <t>ゲーム中にいたずらして反応を楽しもう！
※やりすぎはダメ！ゼッタイ！</t>
  </si>
  <si>
    <t>怒らせてしまった後に妹を慰めることで「妹との約束」をする事が出来る！</t>
  </si>
  <si>
    <t>Please don't distract me...</t>
  </si>
  <si>
    <t>Interrupt the sister when she is playing video games and she will become upset.</t>
  </si>
  <si>
    <t>Sister will get angry and needs to be comforted. 
Once comforted, you'll get asked to make a random meat dish and "Promise: Don't Get Hurt"</t>
  </si>
  <si>
    <t>Porfavor no me distraigas</t>
  </si>
  <si>
    <t>Si interrumpes a tu hermana jugando, ella se enojara</t>
  </si>
  <si>
    <t>Tu hermana estara enojada y tendras que animarla. Una vez hecho, te pedira un platillo random de carne. Promesa: No te lastimes</t>
  </si>
  <si>
    <t>장난치지 말아 줘...</t>
  </si>
  <si>
    <t>여동생이 게임을 하고 있을 때 장난치면서 반응을 즐겨보세요.</t>
  </si>
  <si>
    <t>장난을 치다가 화가 난 여동생을 달래주고 나면 여동생한테 고기 요리를 만들어 달라는 요청과 약속 : 다치지 마세요가 가능해집니다. (S3으로 이어짐)</t>
  </si>
  <si>
    <t>Пожалуйста не отвлекай меня</t>
  </si>
  <si>
    <t>Вмешайтесь, когда ваша сестра будет играть в приставку и помешайте ей играть.</t>
  </si>
  <si>
    <t>Сестра рассердится, после чего нужно будет ее утешить. После чего она попросит вас сделать ей мясное блюдо и пообещать не травмироваться.</t>
  </si>
  <si>
    <t>Bitte lenk mich nicht ab...</t>
  </si>
  <si>
    <t>Unterbreche die Schwester, während sie Videospiele spielt</t>
  </si>
  <si>
    <t>Die Schwester wird wütend und braucht Trost. Nachdem sie getröstet wurde, wirst du gebeten, ein zufälliges Fleischgericht zuzubereiten und das ,,Versprechen: Nicht verletzt zu werden" zu geben</t>
  </si>
  <si>
    <t>Đừng làm em mất tập trung...</t>
  </si>
  <si>
    <t>Làm phiền em gái khi em ấy đang chơi game và làm em ấy tức giận</t>
  </si>
  <si>
    <t>Em gái sẽ tức giận và cần được an ủi.
Một khi đã được an ủi, bạn sẽ được hỏi làm một móm thịt bất kì và "Lời hứa: Đừng bị thương"</t>
  </si>
  <si>
    <t>遊戲中的干擾-1</t>
  </si>
  <si>
    <t>同上，若擁有暗影之魂-DLC後，即可觸發其他選項</t>
  </si>
  <si>
    <t>新增其他選項</t>
  </si>
  <si>
    <t>今なら悪戯しても…-1</t>
  </si>
  <si>
    <t>Shadow Souls-DLCを持っている場合は、他の選択肢を選ぶことが出来る！</t>
  </si>
  <si>
    <t>選択肢を追加します</t>
  </si>
  <si>
    <t>Game Distractions - 1</t>
  </si>
  <si>
    <r>
      <rPr>
        <rFont val="Microsoft JhengHei"/>
        <color theme="1"/>
      </rPr>
      <t xml:space="preserve">Same as above, if you manage to get the Shadow Souls - DLC from R28, you'll be able to do more actions.
</t>
    </r>
    <r>
      <rPr>
        <rFont val="Microsoft JhengHei"/>
        <b/>
        <color theme="1"/>
      </rPr>
      <t>NOTE: Shadow Souls is a video game that imouto plays. It's not this game's DLC.</t>
    </r>
  </si>
  <si>
    <t>New actions are unlocked during gaming pranks</t>
  </si>
  <si>
    <t>Distracciones del juego -1</t>
  </si>
  <si>
    <r>
      <rPr>
        <rFont val="Microsoft JhengHei"/>
        <color theme="1"/>
      </rPr>
      <t xml:space="preserve">Igual que arriba, si consigues el DLC ''Shadow Souls'' (Por favor revisa el R28), Se desbloquearan mas acciones. </t>
    </r>
    <r>
      <rPr>
        <rFont val="Microsoft JhengHei"/>
        <b/>
        <color theme="1"/>
      </rPr>
      <t>NOTA: Shadow Souls es un videojuego que tu hermana juega, no un dlc dentro del juego</t>
    </r>
  </si>
  <si>
    <t>장난치지 말아 줘 - 1</t>
  </si>
  <si>
    <t>섀도우 소울 - DLC를 얻으면 더 많은 액션을 수행할 수 있습니다. 섀도우 소울 - DLC는 여동생이 플레이하는 비디오 게임입니다.     (RPG事件-Combat R28 항목 참조)</t>
  </si>
  <si>
    <t>Отвлекающие факторы в игре 1</t>
  </si>
  <si>
    <t>Как и выше, если у вас есть DLC Shadow Soul, вы можете активировать другие варианты помешать ей играть.</t>
  </si>
  <si>
    <t>Открывает дополнительные действия шалостей над сестрой во время игры в приставку.</t>
  </si>
  <si>
    <t>Spiel-Ablenkung - 1</t>
  </si>
  <si>
    <t>Wie oben, wenn du es schaffst, das Shadow Souls - DLC von R28 zu bekommen, wirst du mehr Aktionen ausführen können. (HINWEIS ein Fantasie DLC von der Schwester und nicht von NLCH)</t>
  </si>
  <si>
    <t>Neue Aktionen werden während der Gaming-Streiche freigeschaltet</t>
  </si>
  <si>
    <t>Mất tập trung khi game - 1</t>
  </si>
  <si>
    <r>
      <t xml:space="preserve">Như trên, nếu bạn có được Linh Hồn Bóng Tối - DLC từ R28, bạn có thể làm thêm nhiều hành động
</t>
    </r>
    <r>
      <rPr>
        <rFont val="Arial"/>
        <b/>
        <color theme="1"/>
      </rPr>
      <t>Ghi chú: Linh Hồn Bóng Tối là video game mà imouto chơi. Nó không phải DLC của trò chơi</t>
    </r>
  </si>
  <si>
    <t>Vài hành động mới sẽ được mở khóa trong trò đùa khi chơi game</t>
  </si>
  <si>
    <t>Zzz -1</t>
  </si>
  <si>
    <t>「喝點什麼」給妹妹餵一顆"藍色金平糖"後，會處發妹妹想睡覺的放鬆狀態</t>
  </si>
  <si>
    <t>放鬆戒心，偷窺不容易被發現
和妹妹遊戲對戰時，妹妹會因為犯睏發揮不出全力(未實裝)
捉弄玩遊戲的妹妹，會讓妹妹更快地输掉遊戲(未實裝)</t>
  </si>
  <si>
    <t>うとうとしてる妹-1</t>
  </si>
  <si>
    <t>妹と『一緒に飲む？』時に『ブルーの金平糖』を一粒与えると、妹は眠たくなりリラックスした状態になる</t>
  </si>
  <si>
    <t>警戒心が緩み、覗きがしやすくなる…!
一緒にゲームをしてる際、妹は眠たくて全力を出せない…（未実装）
ゲーム中の妹にいたずらすると、妹はより早くゲームに負けてしまう（未実装）</t>
  </si>
  <si>
    <t>Sleepy Imouto - 1</t>
  </si>
  <si>
    <t>After drinking something with the sister, choose to give her the "Blue Konpeito" candy.
Afterwards, she will be in a state of drowsiness. 
When playing games with your sister, she won't be able to play to her full potential (not yet implemented)
Pranking your sister while she's playing games will make her lose faster (not yet implemented)</t>
  </si>
  <si>
    <t>The sister's guard is lowered down, so it's less likely to get caught when peeping.</t>
  </si>
  <si>
    <t>Hermana dormilona -1</t>
  </si>
  <si>
    <t>Después de beber algo con la hermana, opta por darle el caramelo "Konpeito Azul".
Después, ella estará en un estado de somnolencia. 
Cuando juegues con tu hermana, ella no podrá jugar a su máximo potencial (aún no implementado)
Gastar bromas a tu hermana mientras juega hará que pierda más rápido (aún no implementado)</t>
  </si>
  <si>
    <t>La guardia de la hermana sera reducida, asi que sera menos probable que te descubran mientras espias</t>
  </si>
  <si>
    <t>Сонная сестренка 1</t>
  </si>
  <si>
    <t>Начав действий "выпить что-нибудь" с сестрой, дайте ей конфету "Синий Конпейто". После чего она станет сонной. Во время игры с сестрой, она не будет играть в полную силу (еще не реализовано). Во время шалости над сестрой во время игры она начнёт проигрывать быстрее (еще не реализовано).</t>
  </si>
  <si>
    <t xml:space="preserve">Внимательность сестры опуститься, поэтому будет вероятность быть пойманным во время подглядывания снизиться.
</t>
  </si>
  <si>
    <t>Schläfriges Schwesterlein – 1</t>
  </si>
  <si>
    <t>Nachdem du mit deiner Schwester etwas getrunken hast, wähle, ihr das „Blaue Konpeito“ Bonbon zu geben. Danach wird sie in einen Zustand der Schläfrigkeit versetzt. Wenn du mit deiner Schwester Spiele spielst, wird sie nicht ihr volles Potenzial ausschöpfen können (noch nicht implementiert). Einen Streich zu spielen, während sie Spiele spielt, wird dazu führen, dass sie schneller verliert (noch nicht fertig)</t>
  </si>
  <si>
    <t>Die Wachsamkeit der Schwester wird verringert, sodass die Wahrscheinlichkeit, erwischt zu werden, wenn du sie beobachtest, sinkt</t>
  </si>
  <si>
    <t>Imouto buồn ngủ - 1</t>
  </si>
  <si>
    <t>Sau khi uống gì đó, hãy đưa cho em ấy kẹo "Konpeito Xanh".
Sau đó, em ấy sẽ rơi vào trạng thái buồn ngủ.
Khi chơi game với em gái, em ấy sẽ khôgn thể chơi hết khả năng (chưa được thực hiện)
Chọc ghẹo em gái khi em ấy đang chơi game sẽ khiến em ấy thua nhanh hơn (chưa được thực hiện)</t>
  </si>
  <si>
    <t>Phòng bị của em gái bị giảm xuống, khiến cho việc bị bắt khi đang nhìn trộm khó bị bắt hơn.</t>
  </si>
  <si>
    <t>E</t>
  </si>
  <si>
    <t>特殊天氣相關</t>
  </si>
  <si>
    <t>特殊な天気イベント</t>
  </si>
  <si>
    <t>Weather-related Events</t>
  </si>
  <si>
    <t xml:space="preserve">Eventos de Clima especifico </t>
  </si>
  <si>
    <t>날씨 관련 이벤트</t>
  </si>
  <si>
    <t>События зависящие от погоды</t>
  </si>
  <si>
    <t>Aufs Wetter bezogene Events</t>
  </si>
  <si>
    <t>Sự kiện liên quan đến thời tiết</t>
  </si>
  <si>
    <t>炎熱的消暑-1</t>
  </si>
  <si>
    <t>於炎熱天氣時，遞給妹妹喝逆流可樂</t>
  </si>
  <si>
    <t>特殊動畫、妹妹的心情+10好感+20</t>
  </si>
  <si>
    <t>暑さを和らげる-1</t>
  </si>
  <si>
    <t>猛暑の時、妹に『逆流コーラ』を飲ませることができる！</t>
  </si>
  <si>
    <t>特別なアニメーション！妹の心情 +10、好感 +20</t>
  </si>
  <si>
    <t>Hot Weather - Cooling Off 1</t>
  </si>
  <si>
    <t>During the hot weather, you can give your sister a soda.</t>
  </si>
  <si>
    <t>A special animation will play. Sister's mood is increased by 10 and favorability by 20</t>
  </si>
  <si>
    <t>Clima caliente, a refrescarse -1</t>
  </si>
  <si>
    <t>En los dias calurosos, le puedes dar a tu hermana una Coca-cola</t>
  </si>
  <si>
    <t>Освежение в жару 1</t>
  </si>
  <si>
    <t>В жаркую погоду дайте сестре газировку.</t>
  </si>
  <si>
    <t>Будет воспроизведена специальная сцена. Настроение сестры повышается на 10 и заинтересованность на 20.</t>
  </si>
  <si>
    <t>Abkühlung im heißen Sommer - 1</t>
  </si>
  <si>
    <t>Während des heißen Wetters kannst du deiner Schwester eine besondere Cola geben</t>
  </si>
  <si>
    <t>Eine spezielle Animation wird abgespielt. Die Laune der Schwester wird um 10 erhöht und die Beliebtheit um 20</t>
  </si>
  <si>
    <t>Trời nóng - Làm mát 1</t>
  </si>
  <si>
    <t>Nếu trời nóng, bạn có thể cho em gái một chai soda</t>
  </si>
  <si>
    <t>Một animation đặc biệt sẽ xảy ra. Tâm trạng của em gái sẽ tăng lên 10 và độ yêu thích tăng 20</t>
  </si>
  <si>
    <t>炎熱的消暑-2</t>
  </si>
  <si>
    <t>於炎熱天氣時，搖一搖後給妹妹喝"逆流可樂"</t>
  </si>
  <si>
    <t>特殊動畫、妹妹的心情會固定剩20點</t>
  </si>
  <si>
    <t>暑さを和らげる-2</t>
  </si>
  <si>
    <t>猛暑の時に、めちゃくちゃ振った『逆流コーラ』を妹に飲ませる</t>
  </si>
  <si>
    <t>特殊なアニメーションでは、妹の気分が常に20ポイントに固定される</t>
  </si>
  <si>
    <t>Hot Weather - Cooling Off 2</t>
  </si>
  <si>
    <t>When passing the soda to the sister, shake it.</t>
  </si>
  <si>
    <t>A special animation will play and your sister's mood will be reduced to a fixed value of 20.</t>
  </si>
  <si>
    <t>Clima caliente, a refrescarse -2</t>
  </si>
  <si>
    <t>Cuando le des la Coca-Cola a tu hermana, agitala</t>
  </si>
  <si>
    <t>Освежение в жару 2</t>
  </si>
  <si>
    <t>Нужно встряхнуть газировку перед тем как дать её сестре.</t>
  </si>
  <si>
    <t>Будет воспроизведена специальная сцена. Настроение сестры понизиться до фиксированого значения в 20 единиц.</t>
  </si>
  <si>
    <t>Abkühlung im heißen Sommer - 2</t>
  </si>
  <si>
    <t>Wenn du der Schwester die Spezial-Cola gibst, schüttle sie</t>
  </si>
  <si>
    <t>Eine spezielle Animation wird abgespielt und die Laune der Schwester wird auf einen festen Wert von 20 reduziert</t>
  </si>
  <si>
    <t>Trời nóng - Làm mát 2</t>
  </si>
  <si>
    <t>Khi đưa soda cho em gái, lắc nó</t>
  </si>
  <si>
    <t>Một animation đặc biệt sẽ xảy ra và tâm trạng của em gái sẽ giảm xuống một mức cố định là 20</t>
  </si>
  <si>
    <t>炎熱的消暑-3</t>
  </si>
  <si>
    <t>同上，第二次之後有70%概率觸發另一段劇情</t>
  </si>
  <si>
    <t>暑さを和らげる-3</t>
  </si>
  <si>
    <t>2回目以降は70%の確率で別のストーリーが発生する</t>
  </si>
  <si>
    <t>Hot Weather - Cooling Off 3</t>
  </si>
  <si>
    <t xml:space="preserve">Same as above. There is now a 70% chance this event will occur </t>
  </si>
  <si>
    <t>Clima caliente, a refrescarse -3</t>
  </si>
  <si>
    <t>Igual que arriba, ahora hay un 70% de probabilidad de que este evento ocurra</t>
  </si>
  <si>
    <t>Освежение в жару 3</t>
  </si>
  <si>
    <t>То же, что и выше, но вероятность события будет 70%.</t>
  </si>
  <si>
    <t>Abkühlung im heißen Sommer - 3</t>
  </si>
  <si>
    <t>Wie oben. Es gibt jetzt eine 70%ige Chance, dass dieses Ereignis eintritt</t>
  </si>
  <si>
    <t>Trời nóng - Làm mát 3</t>
  </si>
  <si>
    <t>Như trên. Hiện tại có 70% sự kiện này xảy ra</t>
  </si>
  <si>
    <t>掀起來看看</t>
  </si>
  <si>
    <t>妹妹穿遊戲衣服，進行親密互動時，可以進行掀衣服等操作。</t>
  </si>
  <si>
    <t>特殊互動
※初步實裝，部分內容未實裝(例如兔兔塗鴉)
※目前只有天氣炎熱時才能觸發，之後會新增平時夜晚也能穿遊戲衣服</t>
  </si>
  <si>
    <t>服をめくってみても…</t>
  </si>
  <si>
    <t>妹がゲームの衣装を着て、親密なインタラクションを行う際、服をめくるなどの操作が可能です</t>
  </si>
  <si>
    <t>特殊なインタラクション
※初期実装であり、一部の内容は未実装（例えば、ウサギの落書き）。
※現在は猛暑時にのみトリガーされますが、今後は通常の夜間でもゲーム衣装を着ることができるようになります。</t>
  </si>
  <si>
    <t>Lifting up and taking a peek</t>
  </si>
  <si>
    <t>When Imouto is wearing the T-Shirt given by the Weird Knight, you can lift it up and do other things when you have skinship with her.</t>
  </si>
  <si>
    <t>Special interactions
*Currently, this is in its preliminary stage so some contents are not yet fully implemented (such as drawing on her)
*It can only be triggered during hot weather but later on, it can also be triggered at night when the T-Shirt is made available for it in future updates.</t>
  </si>
  <si>
    <t>Levantar y echar un vistazo</t>
  </si>
  <si>
    <t>Cuando tu hermana este vistiendo la camisa que te obtuviste del Caballero Extraño, puedes levantarla y hacer otras cosas cuando eligas la opcion de tocarla.</t>
  </si>
  <si>
    <t>Interacciones especiales
*Actualmente, se encuentra en su fase preliminar por lo que algunos contenidos aún no están totalmente implementados (como dibujar sobre ella)
*Sólo puede activarse cuando hace calor, pero más adelante, también podrá activarse por la noche cuando la camiseta esté disponible para ello en futuras actualizaciones.</t>
  </si>
  <si>
    <t>Hochheben und ein Blick erhaschen</t>
  </si>
  <si>
    <t>Wenn Imouto das T-Shirt trägt, das Sie vom Weird Knight bekommen haben, können Sie es hochheben und andere Dinge tun, während Sie mit ihr verkehren</t>
  </si>
  <si>
    <t>Spezielle Interaktionen
Derzeit befindet sich dies noch in der Vorabphase, daher sind einige Inhalte noch nicht vollständig implementiert (wie zum Beispiel das Zeichnen auf ihr).
Es kann nur während heißem Wetter ausgelöst werden, aber später wird es auch nachts verfügbar sein, wenn das T-Shirt in zukünftigen Updates hinzugefügt wird"</t>
  </si>
  <si>
    <t>Vén lên và nhìn trộm</t>
  </si>
  <si>
    <t>Khi imouto đang mặc chiếc T-shirt được cho bởi Hiệp Sĩ Kì Lạ, bạn có thể kéo nó lên và làm những điều khác khi vuốt ve em ấy</t>
  </si>
  <si>
    <t>Tương tác đặc biệt
*Hiện tại, sự kiện này đang ở trong giai đoạn đầu nên một số nội dung chưa được hoàn thiện (như vẽ lên em ấy)
*Điều này chỉ có thể xảy ra trong thời tiết nóng nhưng sau này, nó cũng có thể xảy ra vào buổi tối khi T-shirt sẵn sàng cho lúc đó vào các cập nhật tiếp theo)</t>
  </si>
  <si>
    <t>提前回家也是件好事-1</t>
  </si>
  <si>
    <t>炎熱天氣並且擁有電風扇時，提前回家後選擇去偷看妹妹</t>
  </si>
  <si>
    <t>妹妹穿著服飾吹電風扇</t>
  </si>
  <si>
    <t>早めに帰宅するしたい....-1</t>
  </si>
  <si>
    <t>猛暑で家に扇風機がある場合、早めに帰宅した後に妹を覗き見することを選択する</t>
  </si>
  <si>
    <t>妹が服を着て扇風機に当たっている…</t>
  </si>
  <si>
    <t>Going home early - 1</t>
  </si>
  <si>
    <t>During hot days, you can go home early and choose to sneak up on Imouto (must have the Electric Fan)</t>
  </si>
  <si>
    <t>Imouto wears the T-shirt and uses the Electric Fan</t>
  </si>
  <si>
    <t>Früh nach Hause gehen – 1</t>
  </si>
  <si>
    <t>An heißen Tagen kannst du früh nach Hause gehen und dich an deine Schwester heranschleichen (muss einen Ventilator besitzen).</t>
  </si>
  <si>
    <t>Deine Schwester trägt das T-Shirt und benutzt den Ventilator.</t>
  </si>
  <si>
    <t>Về nhà sớm - 1</t>
  </si>
  <si>
    <t>Trong những ngày nóng, bạn có thể chọn về nhà sớm và lén lút tiếp cận imouto (phải có Quạt Điện)</t>
  </si>
  <si>
    <t>Imouto mặc chiếc T-shirt và dùng Quạt Điện</t>
  </si>
  <si>
    <t>提前回家也是件好事-2</t>
  </si>
  <si>
    <t>同上，偷看妹妹時，有機率出現</t>
  </si>
  <si>
    <t>妹妹無穿著底褲吹電風扇</t>
  </si>
  <si>
    <t>早めに帰宅するしたい....-2</t>
  </si>
  <si>
    <t>妹を覗き見するには確率で発生する</t>
  </si>
  <si>
    <t>妹が下着を履かずに扇風機に当たっている…</t>
  </si>
  <si>
    <t>Going home early - 2</t>
  </si>
  <si>
    <t>Similar to above, there is a chance that this event will occur.</t>
  </si>
  <si>
    <t>Imouto is blowing the fan to her crotch and is not wearing any underwear</t>
  </si>
  <si>
    <t>Früh nach Hause gehen – 2</t>
  </si>
  <si>
    <t>Ähnlich wie oben: Es besteht eine Chance, dass dieses Ereignis eintritt.</t>
  </si>
  <si>
    <t>Deine Schwester hält den Ventilator auf ihren Schritt und trägt keine Unterwäsche.</t>
  </si>
  <si>
    <t>Về nhà sớm - 2</t>
  </si>
  <si>
    <t>Giống như trên, nhưng có khả năng sự kiện này sẽ xảy ra</t>
  </si>
  <si>
    <t>Imouto đang chĩa quạt vào háng em ấy và đang không mặc đồ lót nào</t>
  </si>
  <si>
    <t>提前回家也是件好事-3</t>
  </si>
  <si>
    <t>同上，妹妹紫心以及性慾高的時候，有機率出現</t>
  </si>
  <si>
    <t>妹妹使用冰棒(未實裝)</t>
  </si>
  <si>
    <t>早めに帰宅するしたい....-3</t>
  </si>
  <si>
    <t>妹の紫のハートと性欲が高い時に、一定の確率で発生します</t>
  </si>
  <si>
    <t>妹がアイスキャンディーを使用する（未実装）</t>
  </si>
  <si>
    <t>Going home early - 3</t>
  </si>
  <si>
    <t>Similar to above, there is a chance that this even will occur if Imouto has a high purple heart</t>
  </si>
  <si>
    <t>Imouto uses the popsicle on herself (not yet implemented)</t>
  </si>
  <si>
    <t>Früh nach Hause gehen – 3</t>
  </si>
  <si>
    <t>Ähnlich wie oben: Dieses Ereignis kann auftreten, wenn deine Schwester ein hohes Lilaherz-Level hat.</t>
  </si>
  <si>
    <t>Deine Schwester benutzt das Eis am Stiel an sich selbst (noch nicht implementiert).</t>
  </si>
  <si>
    <t>Về nhà sớm - 3</t>
  </si>
  <si>
    <t>Giống như trên, nhưng có khả năng sự kiện này sẽ xảy ra nếu imouto có số tim tím cao</t>
  </si>
  <si>
    <t>Imouto tự dùng que kem cho em ấy (chưa được triển khai)</t>
  </si>
  <si>
    <t>提前回家也是件好事-4</t>
  </si>
  <si>
    <t>在與妹妹的對話中，進行裸族教育之後，有可能出現</t>
  </si>
  <si>
    <t>裸族妹妹(未實裝)</t>
  </si>
  <si>
    <t>早めに帰宅するしたい....-4</t>
  </si>
  <si>
    <t>妹との対話で、裸の教育(？)を行った後、服を着ずに居ることがある</t>
  </si>
  <si>
    <t>裸の妹が居る…(未実装)</t>
  </si>
  <si>
    <t>Going home early - 4</t>
  </si>
  <si>
    <t>When talking to Imouto about lewd things, there is a chance that this event will occur</t>
  </si>
  <si>
    <t>Imouto will get naked (not yet implemented)</t>
  </si>
  <si>
    <t>Früh nach Hause gehen – 4</t>
  </si>
  <si>
    <t>Wenn du mit deiner Schwester über schmutzige Dinge sprichst, besteht eine Chance, dass dieses Ereignis eintritt.</t>
  </si>
  <si>
    <t>Deie Schwester wird nackt (noch nicht implementiert).</t>
  </si>
  <si>
    <t>Về nhà sớm - 4</t>
  </si>
  <si>
    <t>Khi nói chuyện với imouto về những chuyện dâm đãng, có khả năng sự kiện này sẽ xảy ra</t>
  </si>
  <si>
    <t>Imouto sẽ khỏa thân (chưa được triển khai)</t>
  </si>
  <si>
    <t>F</t>
  </si>
  <si>
    <t>夜襲相關</t>
  </si>
  <si>
    <t>眠りさわさわイベント</t>
  </si>
  <si>
    <t>Night Raid Events</t>
  </si>
  <si>
    <t>Eventos de Noche</t>
  </si>
  <si>
    <t>야간 이벤트</t>
  </si>
  <si>
    <t>Ночные события</t>
  </si>
  <si>
    <t>Auf nächtliche Überfälle bezogene Events</t>
  </si>
  <si>
    <t>Sự kiện trong chọc ghẹo ban đêm</t>
  </si>
  <si>
    <t>氣息消除-3</t>
  </si>
  <si>
    <t>夜襲相關選項</t>
  </si>
  <si>
    <t>未實裝
待夜襲場景重製</t>
  </si>
  <si>
    <t>気配遮断-3</t>
  </si>
  <si>
    <t>夜襲に関連する選択肢を追加する</t>
  </si>
  <si>
    <t>未実装
夜襲のリメイク待ち</t>
  </si>
  <si>
    <t>Breath Concealment- 3</t>
  </si>
  <si>
    <t>A new option will be available during night raids.</t>
  </si>
  <si>
    <t>*Not yet implemented. Please wait for the night raids to be reworked.</t>
  </si>
  <si>
    <t>Congelación del aliento</t>
  </si>
  <si>
    <t>Una nueva opcion estara disponible en la visita nocturna.</t>
  </si>
  <si>
    <t>Todavia no ha sido implementado. Por favor espera a que las visitas nocturnas sean reworkeadas.</t>
  </si>
  <si>
    <t>Atemverhüllung - 3</t>
  </si>
  <si>
    <t>Eine neue Option wird während der nächtlichen Überfälle verfügbar</t>
  </si>
  <si>
    <t>Giấu hơi thở - 3</t>
  </si>
  <si>
    <t>Một lựa chọn mới sẽ được sử dụng trong ban đêm</t>
  </si>
  <si>
    <t>*Chưa được triển khai. Hãy chờ những cuộc chọc ghẹo ban đêm được làm lại</t>
  </si>
  <si>
    <t>地面上的發光文字，有許多是玩家們的騙人留言。
請不要用那些假情報進行提問。</t>
  </si>
  <si>
    <t>Most of the text on the ground are written by players and as such, can be deceptive.
Please don't ask questions based off these messages.</t>
  </si>
  <si>
    <t>Viele der leuchtenden Worte auf dem Boden sind irreführende Botschaften von Spielern.
Bitte stellen Sie keine Fragen mit diesen falschen Informationen.</t>
  </si>
  <si>
    <t>Hầu hết những dòng chữ dưới đây đều được viết bởi các người chơi và vì thế, có thể nhầm lẫn.
Xin không hỏi dựa trên những tin nhắn.</t>
  </si>
  <si>
    <t>RPG事件</t>
  </si>
  <si>
    <t>Combat Event</t>
  </si>
  <si>
    <t>RPG-Events</t>
  </si>
  <si>
    <t>Orte um das Event zu erhalten</t>
  </si>
  <si>
    <t>Ergebnisse</t>
  </si>
  <si>
    <t>SỐ</t>
  </si>
  <si>
    <t>Sự kiện chiến đấu</t>
  </si>
  <si>
    <t>Cách đạt được</t>
  </si>
  <si>
    <t>R1</t>
  </si>
  <si>
    <t>提前回家</t>
  </si>
  <si>
    <t>於冒險者的街道
起始點往下走，是提前回家。</t>
  </si>
  <si>
    <t>第一次會觸發一段特殊劇情
後續可能觸發
*和妹妹玩了一整天
*和妹妹一起悠閒度過
*和妹妹一起睡午覺
*妹妹幫忙按摩</t>
  </si>
  <si>
    <t>早めにお家に帰る</t>
  </si>
  <si>
    <t>冒険開始地点のすぐ後ろから帰ることが出来る</t>
  </si>
  <si>
    <t>特別な会話があり妹とお昼を過ごす事が出来る
※17時まで時間が進みます
*一日中妹と遊んだ
*妹とゆっくり過ごす
*妹と一緒にお昼寝
※妹がマッサージを手伝ってくれます</t>
  </si>
  <si>
    <t>Going Home Early</t>
  </si>
  <si>
    <t>From the starting point, immediately go down and go back home.</t>
  </si>
  <si>
    <t>A special dialogue will be triggered for the first time.
Subsequent dialogs will be randomzed between
 -Playing games with your sister
 -Relaxing time with your sister
 -Nap together with your sister
 -Sister gives you a massage
Time will be skipped to dinner time.</t>
  </si>
  <si>
    <t>일찍 집에 돌아갔어요</t>
  </si>
  <si>
    <t>여동생과 하루 종일 같이 지낼 수 있습니다.
이후에는 다음과 같은 이벤트가 발생할 수 있습니다.
*여동생과 하루 종일 놀았어요.
*여동생이랑 같이 낮잠을 잤어요.
*여동생이 마사지를 도와줬어요.</t>
  </si>
  <si>
    <t>Früher als erwartet daheim</t>
  </si>
  <si>
    <t>Wenn du vom Startpunkt jeder Expedition nach unten läufst, kehrst du vorzeitig nach Hause zurück</t>
  </si>
  <si>
    <t>Beim ersten Mal wird eine spezielle Szene ausgelöst.
Danach können zufällig folgende Ereignisse auftreten:
 -Einen ganzen Tag mit der Schwester spielen
 -Entspannt Zeit mit der Schwester verbringen
 -Mit der Schwester ein Mittagsschläfchen halten
 -Die Schwester hilft beim Massieren</t>
  </si>
  <si>
    <t>Về nhà sớm</t>
  </si>
  <si>
    <t>Từ nơi bắt đầu, đi xuống ngay lập tức và quay về nhà</t>
  </si>
  <si>
    <t>Một đoạn hội thoại đặc biệt sẽ được kích hoạt lần đầu tiên. 
Những lần sau sẽ ngẫu nhiên giữa:
 -Chơi game với em gái
 -Thư giãn cùng em gái
 -Ngủ trưa cùng em gái
 -Em gái mát xa cho bạn
Thời gian sẽ được tua nhanh đến bữa tối.</t>
  </si>
  <si>
    <t>R2</t>
  </si>
  <si>
    <t>閃步太刀</t>
  </si>
  <si>
    <t>裝備或者持有"硬木劍"
於冒險者小道:集結地的貓耳劍聖NPC對話，並成功擊敗
(中途可切換武器)</t>
  </si>
  <si>
    <t>習得技能:閃步太刀</t>
  </si>
  <si>
    <t>「堅木の剣」を所持してる時に謎の剣士に話すと手合わせする事ができ勝つことで習得できる。</t>
  </si>
  <si>
    <t>閃步太刀を習得する
「これも妹の為…卑怯とは言うまいな？」</t>
  </si>
  <si>
    <t>Senpo Tachi</t>
  </si>
  <si>
    <t>Must have "Hardwood Sword" equipped or in your inventory.
Talk to the Mysterious Swordsman in Adventurer's Path: Gathering Point and spar with them. You must win the fight.</t>
  </si>
  <si>
    <t>Obtain new skill: "Senpo Tachi"</t>
  </si>
  <si>
    <t>装备或者持有"硬木剑" 于冒险者小道:集结地的谜之剑士进行对话，并成功击败(中途可切换武器)
（谜之剑士：卧槽你不讲武德）</t>
  </si>
  <si>
    <t>Klinge des Blitzschritts</t>
  </si>
  <si>
    <t>Rüste das Hartholzschwert aus oder halte es, während du mit dem Katzenohren-Schwertmeisterin-NPC am Versammlungsort des Abenteurerwegs sprichst. Frag Sie nach einem Kampf und versuche, zu gewinnen. (Waffen können während des Kampfes gewechselt werden)</t>
  </si>
  <si>
    <t>Erlerne die Fähigkeit ,,Klinge des Blitzschritts"
(TP nach vorne, verursacht Schaden)</t>
  </si>
  <si>
    <t>Phải trang bị hoặc có trong túi đồ "Kiếm Gỗ".
Nói chuyện với Kiếm Sĩ Bí Ẩn ở Con Đường Nhà Thám Hiểm: Điểm Tập Trung và chiến đấu với họ. Bạn phải thắng cuộc.</t>
  </si>
  <si>
    <t>Nhận kỹ năng mới: “Senpo Tachi”.</t>
  </si>
  <si>
    <t>R3</t>
  </si>
  <si>
    <t>劍術修行</t>
  </si>
  <si>
    <t>習得「閃步太刀」後
裝備「近戰武器」進行揮空攻擊達到第4次時，將自動進入隱藏的劍術修行狀態。
若使用增大了的武器，可以提升修行效率（例如塔羅牌或武器本身附帶技能）。</t>
  </si>
  <si>
    <t>在修行過程中，將逐步累積隱藏數值，最高可達空揮36000次。
隨著空揮次數的累積，將逐漸提升平砍攻擊力和些微的攻擊速度</t>
  </si>
  <si>
    <t>剣術修行</t>
  </si>
  <si>
    <t>『閃步太刀』を習得後、近接武器を装備して空振り攻撃を4回行うと、自動的に隠された剣術修行状態に入ります。もし強化された武器を使用すると、修行の効率が向上します（例えば、タロットカードや武器自体に付随するスキルなど）</t>
  </si>
  <si>
    <t>修行の過程で、隠された数値が段階的に蓄積されます。空振り回数が蓄積されるにつれて、通常攻撃力とわずかな攻撃速度が徐々に上がっていく!※36000回まで</t>
  </si>
  <si>
    <t>Swordsmanship Training</t>
  </si>
  <si>
    <t>Prerequisite: Senpo Tachi
After swinging your sword for the 4th time in the air, you will receive a hidden skill. Additionally, you can also speed up your training efficiency when using a large weapon (e.g Strength Tarot card, weapon skills, etc.)</t>
  </si>
  <si>
    <t>Obtain new passive: "Swordsmanship Training".
You can do practice swings. While practicing, you can accumulate up to 36000 practice swings, with each swing increasing the base damage of each melee weapon by a certain amount. Attack speed also increases by a short amount.</t>
  </si>
  <si>
    <t>Despues de aprender ''Flash step tachi'' Cuando realices un ataque aereo por cuarta vez con un arma cuerpo a cuerpo, se entrara en el estado de entrenamiento de esgrima oculto. Si se utilizan armas potenciadas, se mejorara la eficiencia del entrenamiento (como cartas del tarot o habilidades de las armas)</t>
  </si>
  <si>
    <t>Meister der Schwertkunst</t>
  </si>
  <si>
    <t>Voraussetzung ist die Fähigkeit „Klinge des Blitzschritts"!!!
Nachdem du dein Schwert zum vierten Mal in der Luft schwingst, wird eine verborgene Fähigkeit freigeschaltet. Mit dieser Fähigkeit kannst du die Effizienz deines Trainings steigern. Der Fortschritt wird beschleunigt, wenn du eine größere Waffe verwendest (z.B. durch die Stärke-Tarotkarte oder waffenspezifische Fähigkeiten).</t>
  </si>
  <si>
    <t>Im Laufe des Trainings wird ein versteckter Wert schrittweise angesammelt, der bis zu 36.000 Luftschläge erreichen kann. Mit der Ansammlung dieser Luftschläge werden sowohl die Grundangriffsleistung als auch die Angriffsgeschwindigkeit allmählich gesteigert</t>
  </si>
  <si>
    <t>Luyện kĩ năng kiếm thuật</t>
  </si>
  <si>
    <t>Yêu cầu: Senpo Tachi
Sau khi vung kiếm trong không khí lần thứ 4, bạn sẽ nhận được một kĩ năng ẩn. Thêm vào đó, bạn có thể tăng tốc quá trình rèn luyện bằng cách dùng một vũ khí lớn (vd: lá bài Tarot Sức Mạnh, kĩ năng vũ khí, vv...)</t>
  </si>
  <si>
    <t>Nhận nội tại mới: “Rèn Luyện Kiếm Thuật”. Bạn có thể tập vung kiếm. Khi tập luyện, bạn có thể tích lũy tối đa 36.000 lần vung kiếm, mỗi lần vung sẽ tăng sát thương cơ bản của từng vũ khí cận chiến thêm một lượng nhất định. Tốc độ tấn công cũng sẽ tăng một chút.</t>
  </si>
  <si>
    <t>R4</t>
  </si>
  <si>
    <t>攻略在哪裡?</t>
  </si>
  <si>
    <t>冒險者小道:集結地  篝火前方
只有在晴天(不可炎熱)、中午12點以前會出現"連衣裙的幽靈少女"，與其對話並在隔日之後，再次對話可以獲得道具</t>
  </si>
  <si>
    <t>獲得道具：冒險者心得
*後續劇情待更新</t>
  </si>
  <si>
    <t>攻略はどこにあるの…？</t>
  </si>
  <si>
    <t xml:space="preserve">
「冒険者の小道：集結地」篝火の前方に、
晴天（ただし暑すぎる日は不可）で、正午12時以前のみ「ワンピースの幽霊少女」が出現します。
彼女と会話し、翌日以降にもう一度話しかけるとアイテムを入手できます。
</t>
  </si>
  <si>
    <t xml:space="preserve">
入手アイテム：冒険者の心得
※ストーリーはアップデートで追加される予定
</t>
  </si>
  <si>
    <t>Where is the guide?</t>
  </si>
  <si>
    <t>In Adventurer's Path: Gathering Point, the "Ghost Girl in a Dress" will show up during sunny days (not hot) before 12:00PM  in front of the bonfire. Talk to her TWICE on separate sunny days to receive the item.</t>
  </si>
  <si>
    <t>Obtain "Adventurer's Handbook" item.
Subsequent events are not yet implemented</t>
  </si>
  <si>
    <t>El NPC con sombrero morado ha sido borrado del juego</t>
  </si>
  <si>
    <t>Wo ist der Guide?</t>
  </si>
  <si>
    <t>In Adventurer's Path: Gathering Point
Nur bei klarem Wetter (nicht heiß) und vor 12 Uhr mittags erscheint das "Geistermädchen im Kleid". Sprich mit ihr, und nachdem ein Tag vergangen ist, kannst du beim nächsten Gespräch einen Gegenstand erhalten.</t>
  </si>
  <si>
    <t>Erhaltener Gegenstand: Abenteurerwissen
*Weitere Handlung wird noch aktualisiert</t>
  </si>
  <si>
    <t>Bản hướng dẫn ở đâu?</t>
  </si>
  <si>
    <t>Ở Con Đường Nhà Thám Hiểm: Điểm Tập Hợp, "Cô Gái Ma Mặc Váy" sẽ chỉ xuất hiện trong những ngày nắng (không phải nóng) trước đống lửa trại và trước 12 giờ trưa. Nói chuyện với cô ấy và làm lại lần nữa vào ngày nắng tiếp theo để nhận được vật phẩm</t>
  </si>
  <si>
    <t>Nhận được vật phẩm "Chỉ Dẫn Nhà Thám Hiểm"
Những sự kiện liên quan chưa được triển khai</t>
  </si>
  <si>
    <t>R5</t>
  </si>
  <si>
    <t>飲料販售機重生</t>
  </si>
  <si>
    <t>冒險者小道:集結地
若打爆飲料販售機器，機器於雨天時重生，並提高售價。</t>
  </si>
  <si>
    <t>修理された自販機</t>
  </si>
  <si>
    <t>雨が降ると自販機が修理され飲み物を再度購入することが出来る！※値段も上がります</t>
  </si>
  <si>
    <t>Repaired Vending Machine</t>
  </si>
  <si>
    <t xml:space="preserve">If the vending machine has been destroyed, it will respawn again on rainy days. The price of items it sells will increase.
</t>
  </si>
  <si>
    <t>若打爆自动贩卖机，机器将会在下雨天时修好，并提高售价（天价牛奶警告.jpg）</t>
  </si>
  <si>
    <t>Wiedergeburt des Getränkeautomaten</t>
  </si>
  <si>
    <t>Du kannst den Getränkeautomaten zerstören und bekommst ein paar Getränke</t>
  </si>
  <si>
    <t>Der Getränkeautomat ist ein cheater und belebt sich nach ein paar Tagen, wenn es regnet, wieder</t>
  </si>
  <si>
    <t>Máy bán đồ ven đường được sửa</t>
  </si>
  <si>
    <t>Nếu máy bán đồ ven đường bị phá hủy, nó sẽ xuất hiện lại vào những ngày mưa. Giá bán đồ sẽ tăng</t>
  </si>
  <si>
    <t>R6</t>
  </si>
  <si>
    <t>垃圾桶</t>
  </si>
  <si>
    <t>冒險者小道:集結地
於垃圾桶丟棄裝備，打爆垃圾桶會獲得道具。
只限制丟棄的當天，隔天就不算。</t>
  </si>
  <si>
    <t>獲得道具：魔力小凝膠
用於拓展背包格子</t>
  </si>
  <si>
    <t>ゴミ箱</t>
  </si>
  <si>
    <t>ゴミ箱に不要な装備を捨てることが出来てスロットを開けることが出来る
捨てた後にゴミ箱を破壊すると特定のアイテムが入手できる!だし、捨てるのは当日のみで、翌日以降はカウントされません。</t>
  </si>
  <si>
    <t>魔力の小凝縮ジェルを入手
使用することで武器スロットや装備スロットを拡張できる</t>
  </si>
  <si>
    <t>Garbage Bin</t>
  </si>
  <si>
    <t>You can discard items and equipment you don't need to the garbage bin. Destroying it after discarding items will drop magic gels based on the amount you discarded.
*Only items disposed in the same day are counted</t>
  </si>
  <si>
    <t>Obtain "Small Magic Gel" item.
This expands your backpack slots.</t>
  </si>
  <si>
    <t>Mülleimer</t>
  </si>
  <si>
    <t>Du kannst Ausrüstung in den Mülleimer werfen und erhältst Items, wenn du ihn zerstörst. Am nächsten Tag sind die Items vom vorherigen Tag nicht mehr vorhanden.</t>
  </si>
  <si>
    <t>Erhaltenes Item: Magisches Minigel
Verwendung: Erweitert die Inventarplätze</t>
  </si>
  <si>
    <t>Thùng rác</t>
  </si>
  <si>
    <t>Bạn có thể loại bỏ vật phẩm và trang bị bạn không cần trong thùng rác. Phá hủy nó sau khi bỏ đồ vật sẽ rơi ra gel ma thuật dựa trên số lượng bạn đã bỏ đi.
*Chỉ những vật phẩm đã bỏ đi trong cùng ngày mới được tính</t>
  </si>
  <si>
    <t>Nhận vật phẩm “Gel Ma Thuật Nhỏ”. Vật phẩm này mở rộng số ô trong ba lô của bạn.</t>
  </si>
  <si>
    <t>R7</t>
  </si>
  <si>
    <t>5000$</t>
  </si>
  <si>
    <t>冒險者小道:林間 
小木屋煙囪後方撿取
(木屋左方斧頭可撿到斧頭)</t>
  </si>
  <si>
    <t>$5000
下雨之後會刷新，但金額會降低。</t>
  </si>
  <si>
    <t>隠された5000円</t>
  </si>
  <si>
    <t>冒険の遊歩道:林間
小屋の煙突の後ろに隠されたお金がある…
（左側にある斧が刺さってる切り株から伐採斧を入手可能）</t>
  </si>
  <si>
    <t>5000円
雨が降ると再度入手可能だが金額は減少します。</t>
  </si>
  <si>
    <t>5000 Yen</t>
  </si>
  <si>
    <t xml:space="preserve">Adventurer's Path: Grove
Behind the chimney of the house, there is a 5000 yen bill.
(The Wooden Axe on the tree trunk can also be looted)
</t>
  </si>
  <si>
    <t>5000 yen
You will be able to receive this again once it rains but the amount is reduced.</t>
  </si>
  <si>
    <t>$5000 下雨之后会刷新，但金额会降低。
（无限金币池...?）</t>
  </si>
  <si>
    <t>5000엔</t>
  </si>
  <si>
    <t>모험가의 길 : 작은 숲
나무꾼의 집 굴뚝 뒤쪽에서 5000엔을 얻을 수 있습니다.
(그루터기에서 벌목용 도끼를 가져갈 수 있습니다.)</t>
  </si>
  <si>
    <t xml:space="preserve">
5000엔
비가 오면 다시 얻을 수 있지만 금액이 줄어듭니다.
</t>
  </si>
  <si>
    <t>5000 $</t>
  </si>
  <si>
    <t>Wenn du direkt nach dem Start nach links gehst, wirst du schnell eine Holzfällerhütte finden.
(Links von der Hütte liegt eine aufhebbare Axt.)</t>
  </si>
  <si>
    <t>Hinter der Hütte findest du 5000$. An Regentagen wird der Quelle erneut erscheinen, aber mit weniger Geld.</t>
  </si>
  <si>
    <t>5000 Yên</t>
  </si>
  <si>
    <t>Con Đường Nhà Thám Hiểm: Bụi Cây
Đằng sau ống khói của căn nhà, có một tờ giấy 5000 Yên.
(Rìu Gỗ ở trên thân cây cũng có thể được nhặt)</t>
  </si>
  <si>
    <t>5000 Yên
Bạn sẽ có thể nhận lại khi trời mưa nhưng số lượng sẽ bị giảm.</t>
  </si>
  <si>
    <t>R8</t>
  </si>
  <si>
    <t>遊戲機</t>
  </si>
  <si>
    <t>冒險者小道:集結地
於冒險者的街道
向騎士花費$5000購買</t>
  </si>
  <si>
    <t>獲得"JoyStation V"
回家後觸發和開啟與妹妹遊戲的功能</t>
  </si>
  <si>
    <t>JS V</t>
  </si>
  <si>
    <t>冒険者の遊歩道 集結地にいる謎の騎士から5000円で買うことが出来る</t>
  </si>
  <si>
    <t>「JS V」を入手
家に帰ると妹と開封の儀を行い妹と一緒にゲームする事が出来るようになる</t>
  </si>
  <si>
    <t>Game Console</t>
  </si>
  <si>
    <t>Purchase the console from the Weird Knight in Adventurer's Path: Gathering Point for 5000 yen.</t>
  </si>
  <si>
    <t>Obtain "JoyStation V" item.
A scene will trigger when you get home to play with your sister.</t>
  </si>
  <si>
    <r>
      <rPr>
        <rFont val="Microsoft JhengHei"/>
        <color theme="1"/>
      </rPr>
      <t>于冒险者步道里的骑士花费5000元购买
（如果你恰巧获得了木屋后的5000元可以直接找骑士购买，</t>
    </r>
    <r>
      <rPr>
        <rFont val="Microsoft JhengHei"/>
        <strike/>
        <color theme="1"/>
      </rPr>
      <t>什么回收计划</t>
    </r>
    <r>
      <rPr>
        <rFont val="Microsoft JhengHei"/>
        <color theme="1"/>
      </rPr>
      <t>）</t>
    </r>
  </si>
  <si>
    <t>Spielekonsole</t>
  </si>
  <si>
    <t>Wenn du 5000$ hast, gehe zum Ritter am Adventurer's Path Ort</t>
  </si>
  <si>
    <t>Kaufe die ,,JoyStation V".
Nach der Rückkehr nach Hause wird die Funktion „Zocken mit deiner Schwester“ freigeschaltet und ein Zock-Event wird ausgelöst.</t>
  </si>
  <si>
    <t>Máy chơi game</t>
  </si>
  <si>
    <t>Mua chiếc máy từ Hiệp SĨ Kì Lạ ở Con Đường Nhà Thám Hiểm: Điểm Tập Hợp với giá 5000 Yên</t>
  </si>
  <si>
    <t>Nhận vật phẩm “JoyStation V”.
Một cảnh sẽ được kích hoạt khi bạn về nhà để chơi với em gái.</t>
  </si>
  <si>
    <t>R9</t>
  </si>
  <si>
    <t>鴨鴨</t>
  </si>
  <si>
    <t>冒險者小道:紀念碑
在右邊的岸邊可以撿到
*若你從遺跡之森-4的瀑布被沖到此處，會觸發另一段對話。</t>
  </si>
  <si>
    <t>獲得"橡膠鴨"道具
可於洗澡時可放入</t>
  </si>
  <si>
    <t>ゴム製の黄色いアヒル</t>
  </si>
  <si>
    <t>冒険の遊歩道:記念碑 右側の階段を下りた先にある水場で拾うことが出来る
※遺跡の森-4の橋付近から落ち滝から流されるとここで別の会話が発生します。</t>
  </si>
  <si>
    <t>「ゴム製アヒル」を入手する
入浴時にアヒルを風呂に持ち込むことが出来る</t>
  </si>
  <si>
    <t>Quack Quack</t>
  </si>
  <si>
    <t>Adventurer's Pathway 2
A rubber duck can be found floating on near the shore.
Another dialogue will be triggered if you were washed here by the waterfall from Forest of Ruins 4.</t>
  </si>
  <si>
    <t>Obtain "Rubber Ducky" item.
This can be placed on the bathtub.</t>
  </si>
  <si>
    <t>Pato de Goma</t>
  </si>
  <si>
    <t>Sendero del aventurero 2. Un pato de goma puede ser encontrado a las orillas del rio, otro dialogo se activara si fuiste arrastrado por la corriente hasta aqui</t>
  </si>
  <si>
    <t>Gummiente</t>
  </si>
  <si>
    <t>◀ Adventurer's Path:Monument  (R9)
Du kannst es am rechten Ufer finden.
*Falls du vom Wasserfall im Wald der Ruinen 4 hierher gespült wirst, wird ein spezieller Dialog ausgelöst.:</t>
  </si>
  <si>
    <t>Gegenstand "Quietscheente" erhalten
Kann beim Baden ins Wasser gelegt werden</t>
  </si>
  <si>
    <t>Quạc Quạc</t>
  </si>
  <si>
    <t>Con Đường Nhà Thám Hiểm 2
Một con vịt cao su có thể được tìm thấy đang nổi gần bở.
Một cuộc nói chuyện khác sẽ xảy ra nếu bạn bị cuốn trôi xuống đây bằng thác nước từ Khu Rừng Của Tàn Tích 4</t>
  </si>
  <si>
    <t>Nhận vật phẩm “Vịt Cao Su”.
Có thể đặt nó trong bồn tắm.</t>
  </si>
  <si>
    <t>R10</t>
  </si>
  <si>
    <t>連結遺跡洞口</t>
  </si>
  <si>
    <t>遺跡之森-4
地圖中央的岩石清除完畢</t>
  </si>
  <si>
    <t>連結至遺跡地圖
見聞</t>
  </si>
  <si>
    <t>開発中エリアに繋がる洞窟</t>
  </si>
  <si>
    <t>遺跡の森-4
入り口を塞いでいた大きな岩がなくなっており入ることが出来る</t>
  </si>
  <si>
    <t>開発エリア内を探索できる
「トロッコに乗って洞窟内を走り回ろう！」</t>
  </si>
  <si>
    <t>Cave entrance to the Ruins</t>
  </si>
  <si>
    <t>Forest of Ruins 4
There is a cave entrance blocked by rocks. Destroy the rocks to gain access.</t>
  </si>
  <si>
    <t>Insight: Gain insight regarding the secret entrance to the Ruins Labyrinth.</t>
  </si>
  <si>
    <t>Entrada de la cueva a las ruinas</t>
  </si>
  <si>
    <t>"Bosque de Ruinas-4'' Hay una entrada por la cueva a las ruinas, se pueden destruir las rocas para tener acceso.</t>
  </si>
  <si>
    <t>Versteckter Felseingang im Wald der Ruinen 4</t>
  </si>
  <si>
    <t>Zerstöre den Felsen in der Kartenmitte von Forest of Ruins 4 (R17), um den versteckten Pfad freizulegen</t>
  </si>
  <si>
    <t>Erkenntnis: Erhalte Einsicht über den geheimen Eingang zum Ruins Labyrinth.</t>
  </si>
  <si>
    <t>Lối vào Tàn Tích bằng hang</t>
  </si>
  <si>
    <t>Khu Rừng Của Tàn Tích 4
Có một cái hang bị chặn bởi đá. Phá chỗ đá để đi vào</t>
  </si>
  <si>
    <t>Tầm nhìn: Nhận được thông tin về lối vào bí mật đến Mê Cung Tàn Tích.</t>
  </si>
  <si>
    <t>R11</t>
  </si>
  <si>
    <t>不知名地洞</t>
  </si>
  <si>
    <t>在遺跡門前
往右下方尋找一塊石頭並且清除
裡面有一條個地道，並且可以撿到道具</t>
  </si>
  <si>
    <t>後續未實裝</t>
  </si>
  <si>
    <t>大迷宮入り口の右下にある不自然な岩を壊すことで洞窟に繋がる入り口が出来る！</t>
  </si>
  <si>
    <t>現時点で入ることは出来るがイベントはまだ未実装です</t>
  </si>
  <si>
    <t>Mysterious Cave</t>
  </si>
  <si>
    <t>Near the abyss, there is a rock that you can destroy on the right-hand side of the map. There will be an entrance to a cave where you can collect some items.</t>
  </si>
  <si>
    <t>Unbekannte Höhle</t>
  </si>
  <si>
    <t>In front of the ruins gate Ort:
Suche unten rechts nach einem Stein und zerstöre ihn.
Darunter befindet sich ein geheimer Tunnel, in dem du ein Item finden kannst.</t>
  </si>
  <si>
    <t>Der Inhalt ist noch nicht implementiert</t>
  </si>
  <si>
    <t>Cái hang bí ẩn</t>
  </si>
  <si>
    <t>Ở gần Vực Sâu, có một cục đá bạn có thề phá hủy ở bên tay phải của bản đồ. 
Sẽ có một lối vào hang nơi bạn có thể nhặt được một vài vật phẩm.</t>
  </si>
  <si>
    <t>Khu vực này chưa được triển khai đầy đủ.</t>
  </si>
  <si>
    <t>R12</t>
  </si>
  <si>
    <t>隱藏通道1</t>
  </si>
  <si>
    <t>冒險者小道:林間 右下角樹林，有隱藏物品</t>
  </si>
  <si>
    <t>獲得道具</t>
  </si>
  <si>
    <t>隠しアイテム-1</t>
  </si>
  <si>
    <t>アイテムを入手できる</t>
  </si>
  <si>
    <t>Hidden Chest 1</t>
  </si>
  <si>
    <t xml:space="preserve">Adventurer's Path: Grove
On the bottom-right side of the map, there is a hidden chest.
</t>
  </si>
  <si>
    <t>Obtain random items</t>
  </si>
  <si>
    <t>Cofre oculto 1</t>
  </si>
  <si>
    <t>Versteckter Durchgang 1</t>
  </si>
  <si>
    <t>Adventurer's Path: Grove: Wald gibt es rechts einen Gang nach unten, in dem versteckte Items zu finden sind.</t>
  </si>
  <si>
    <t xml:space="preserve">Erhalte Gegenstände </t>
  </si>
  <si>
    <t>Rương ẩn 1</t>
  </si>
  <si>
    <t>Con Đường Nhà Thám Hiểm: Bụi Cây
Ở góc phải bên dưới bản đồ. có một cái rương ẩn</t>
  </si>
  <si>
    <t>Nhận vật phẩm ngẫu nhiên.</t>
  </si>
  <si>
    <t>R13</t>
  </si>
  <si>
    <t>隱藏通道2</t>
  </si>
  <si>
    <t>冒險者小道:集結地，左上方有個寶箱</t>
  </si>
  <si>
    <t>獲得武器-千鳥、特殊字條劇情</t>
  </si>
  <si>
    <t>隠しアイテム-2</t>
  </si>
  <si>
    <t>武器とボロボロの紙切れを入手できる</t>
  </si>
  <si>
    <t>Hidden Chest 2</t>
  </si>
  <si>
    <t>In Adventurer's Path: Gathering Point, there is a treasure chest on the top-left corner of the map</t>
  </si>
  <si>
    <t>Obtain "Chidori" weapon
Obtain a note</t>
  </si>
  <si>
    <t>Cofre oculto 2</t>
  </si>
  <si>
    <t>Versteckter Durchgang 2</t>
  </si>
  <si>
    <t>In Adventurer's Path: Versammlungsplatz ist im oberen linken Bereich eine Truhe</t>
  </si>
  <si>
    <t>Erhalte die Waffe ,,Tausend Vögel" und eine spezielle Notiz mit einer Handlung</t>
  </si>
  <si>
    <t>Rương ẩn 2</t>
  </si>
  <si>
    <t>Ở Con Đường Nhà Thám Hiểm: Điểm Tập Hợp, có một cái rương kho báu ở góc trái trên cùng của bản đồ</t>
  </si>
  <si>
    <t>Nhận vũ khí “Chidori”.
Nhận một ghi chú.</t>
  </si>
  <si>
    <t>R14</t>
  </si>
  <si>
    <t>隱藏通道3</t>
  </si>
  <si>
    <t>冒險者小道:紀念碑，下方的石碑後方，有隱藏道具</t>
  </si>
  <si>
    <t>獲得道具和武器-熔岩杖</t>
  </si>
  <si>
    <t>隠しアイテム-3</t>
  </si>
  <si>
    <t>冒険者の遊歩道：記念碑の下の方にある大きな石碑の裏側に隠しアイテムがあります</t>
  </si>
  <si>
    <t>武器とアイテムを入手できる</t>
  </si>
  <si>
    <t>Hidden Chest 3</t>
  </si>
  <si>
    <t>Adventurer's Path: Monument
Behind the large monument, there are hidden items you can loot.</t>
  </si>
  <si>
    <t>Obtain random items.
Obtain "Lava Staff" weapon</t>
  </si>
  <si>
    <t>Cofre oculto 3</t>
  </si>
  <si>
    <t>Versteckter Durchgang 3</t>
  </si>
  <si>
    <t>Adventurer's Pathway 2: 
Hinter dem Stein unten gibt es ein verstecktes Item.</t>
  </si>
  <si>
    <t>Erhalte ein Item und die Waffe ,,Lavastab"</t>
  </si>
  <si>
    <t>Rương ẩn 3</t>
  </si>
  <si>
    <t>Con Đường Nhà Thám Hiểm 2
Sau đài tưởng niệm lớn, có những vật phẩm ẩn mà bạn có thể nhặt</t>
  </si>
  <si>
    <t>Nhận vật phẩm ngẫu nhiên.
Nhận vũ khí “Trượng Dung Nham”.</t>
  </si>
  <si>
    <t>R15</t>
  </si>
  <si>
    <t>隱藏通道4</t>
  </si>
  <si>
    <t>"遺跡之森-4"右下角樹林，有隱藏物品</t>
  </si>
  <si>
    <t>隠しアイテム-4</t>
  </si>
  <si>
    <t>「遺跡の森-4」右下の森に隠しアイテムがある</t>
  </si>
  <si>
    <t>Hidden Chest 4</t>
  </si>
  <si>
    <t xml:space="preserve">Forest of Ruins 4
There is a hidden chest on the bottom-right corner
(Note: Please refer to the Map section of this document)
</t>
  </si>
  <si>
    <t>Cofre oculto 4</t>
  </si>
  <si>
    <t>Se obtienen objetos random</t>
  </si>
  <si>
    <t>Versteckter Durchgang 4</t>
  </si>
  <si>
    <t>Forest of Ruins 4:
Gibt es im unteren rechten Bereich des Waldes ein verstecktes Item</t>
  </si>
  <si>
    <t>Bekomme  einen Gegenständ</t>
  </si>
  <si>
    <t>Rương ẩn 4</t>
  </si>
  <si>
    <t>Khu Rừng Của Tàn Tích 4
Có một cái rương ẩn ở phía bên phải góc dưới.
(Ghi chú: xin hãy xem phần Map của tài liệu này)</t>
  </si>
  <si>
    <t>R16</t>
  </si>
  <si>
    <t>隱藏通道5</t>
  </si>
  <si>
    <t>被遺棄的森林，依照發光的蘑菇走，到達終點地圖後的右下方寶箱</t>
  </si>
  <si>
    <t>獲得"熔岩杖"武器</t>
  </si>
  <si>
    <t>隠しアイテム-5</t>
  </si>
  <si>
    <t>捨てられた森に入り光る植物を探して進むと奥に進める※ただし、間違えると最初からになります</t>
  </si>
  <si>
    <t>武器を入手できる</t>
  </si>
  <si>
    <t>Hidden Chest 5</t>
  </si>
  <si>
    <t xml:space="preserve">Abandoned Forest
Follow the glowing mushrooms. Once you reach the end, there will be a wooden chest on the bottom-right side
</t>
  </si>
  <si>
    <t>Obtain "Lava Staff" weapon</t>
  </si>
  <si>
    <t>Cofre oculto 5</t>
  </si>
  <si>
    <t>Versteckter Durchgang 5</t>
  </si>
  <si>
    <t>Abandoned Forest:
Folge den leuchtenden Pilzen und du findest im unteren rechten Bereich der Endkarte eine Truhe</t>
  </si>
  <si>
    <t>Erhalte die Waffe ,,Lavastab"</t>
  </si>
  <si>
    <t>Rương ẩn 5</t>
  </si>
  <si>
    <t>Khu Rừng Bỏ Hoang
Theo dấu những cây nấm phát sáng. Một khi đã đến đích, sẽ có một rương gỗ ở phía bên phải góc dưới</t>
  </si>
  <si>
    <t>Nhận vũ khí “Trượng Dung Nham”.</t>
  </si>
  <si>
    <t>R17</t>
  </si>
  <si>
    <t>隱藏通道6</t>
  </si>
  <si>
    <t>開發中區域(礦坑)-1，礦車到達最遠處，可以取得裝備</t>
  </si>
  <si>
    <t>獲得裝備-倒吊人骨戒</t>
  </si>
  <si>
    <t>隠しアイテム-6</t>
  </si>
  <si>
    <t>装備を入手できる</t>
  </si>
  <si>
    <t>Hidden Chest 6</t>
  </si>
  <si>
    <t>Excavation Site Mines 2
When the minecart reaches the furthest point, you can obtain the equipment.</t>
  </si>
  <si>
    <t>Obtain "Hanged Man's Bone Ring" equipment.</t>
  </si>
  <si>
    <t>Cofre oculto 6</t>
  </si>
  <si>
    <t>Sitio de excavacion 2. Cuando el carrito de mina llegue al final del trayecto podras adquirir el equipamiento.</t>
  </si>
  <si>
    <t>Versteckter Durchgang 6</t>
  </si>
  <si>
    <t>Excavation Site Mines 2:
Musst du der Lore folgen, bis du das Ende des Bergwerks erreichst und eine Truhe findest</t>
  </si>
  <si>
    <t>Erhalte die Ausrüstung ,,Knochenring des Gehängten"</t>
  </si>
  <si>
    <t>Rương ẩn 6</t>
  </si>
  <si>
    <t>Khu Khai Quật Mỏ 2
Khi chiếc xe mỏ đến chỗ xa nhất, bạn có thể nhận được trang bị</t>
  </si>
  <si>
    <t>Nhận trang bị “Nhẫn Xương Kẻ Bị Treo Cổ”.</t>
  </si>
  <si>
    <t>R18</t>
  </si>
  <si>
    <t>隱藏通道7</t>
  </si>
  <si>
    <t>於被遺忘的墓穴，將左側墳墓打掉，會有隱藏通道</t>
  </si>
  <si>
    <t>隱藏地圖內可獲得"魔力汲取手套"、營火地點
*0.75版本實裝  忍者NPC</t>
  </si>
  <si>
    <t>隠しアイテム-7</t>
  </si>
  <si>
    <t>忘却のカタコンベ上層の左側の墓を壊すことで秘密の部屋に行くことが出来る。</t>
  </si>
  <si>
    <t>隠しマップで焚き火と装備を入手できる</t>
  </si>
  <si>
    <t>Hidden Chest 7</t>
  </si>
  <si>
    <t>In the first floor of the Forgotten Tomb, you can knock down a tombstone on the left side and there will be a secret entrance.</t>
  </si>
  <si>
    <t>You can obtain "Magic Draining Gloves" equipment in the hidden room. There is also a bonfire in there.
A wounded ninja NPC is also lying down nearby.</t>
  </si>
  <si>
    <t>Cofre oculto 7</t>
  </si>
  <si>
    <t>Versteckter Durchgang 7</t>
  </si>
  <si>
    <t>Forgotten Tomb: 
Zerstöre alle Gräber, um einen versteckten Gang zu finden</t>
  </si>
  <si>
    <t>Im Forgotten Tomb kannst du die ,,Magieabsorbierenden Handschuhe" und den Lagerfeuerpunkt finden. *Version 0.75 eingeführt, Ninja-NPC</t>
  </si>
  <si>
    <t>Rương ẩn 7</t>
  </si>
  <si>
    <t>Ở tầng thứ nhất của Khu Mộ Bị Lãng Quên, bạn có thể phá đổ một bia mộ ở bên trái và sẽ có một lối vào ẩn.</t>
  </si>
  <si>
    <t>Bạn có thể nhận trang bị “Găng Tay Hấp Thụ Mana” trong căn phòng bí mật. Trong đó cũng có một đống lửa.
Một NPC ninja bị thương cũng đang nằm gần đó.</t>
  </si>
  <si>
    <t>R19</t>
  </si>
  <si>
    <t>隱藏通道8</t>
  </si>
  <si>
    <t>於被遺忘的墓穴，將右側石板打掉，會有隱藏通道</t>
  </si>
  <si>
    <t>隱藏地圖內可獲得寶箱與隱藏光點</t>
  </si>
  <si>
    <t>隠しアイテム-8</t>
  </si>
  <si>
    <t>忘却のカタコンベ上層で、右側の墓石を壊すと隠し通路が解放され通れるようになる。</t>
  </si>
  <si>
    <t>隠しマップでは宝箱とアイテムを入手することが出来る</t>
  </si>
  <si>
    <t>Hidden Chest 8</t>
  </si>
  <si>
    <t>In the first floor of the Forgotten Tomb, knock down the tombstone on the right-most side and there will be a hidden path.</t>
  </si>
  <si>
    <t>There will be a chest and item spots at the end of the path. Obtain random items.</t>
  </si>
  <si>
    <t>Cofre oculto 8</t>
  </si>
  <si>
    <t>Versteckter Durchgang 8</t>
  </si>
  <si>
    <t>Forgotten Tomb: 
Zerstöre die Steintafel auf der rechten Seite, um einen versteckten Gang zu finden</t>
  </si>
  <si>
    <t>Im Forgotten Tomb kannst du eine Truhe und versteckte Lichtpunkte finden</t>
  </si>
  <si>
    <t>Rương ẩn 8</t>
  </si>
  <si>
    <t>Ở tầng thứ nhất của Khu Mộ Bị Lãng Quên, bạn có thể phá đổ một bia mộ ở bên phải và sẽ có một lối đi ẩn</t>
  </si>
  <si>
    <t>Ở cuối con đường sẽ có một rương và các vật phẩm.
Nhận vật phẩm ngẫu nhiên.</t>
  </si>
  <si>
    <t>R20</t>
  </si>
  <si>
    <t>隱藏通道9</t>
  </si>
  <si>
    <t>被遺忘的墓穴-2
遺跡BOSS-狂亂的紅獸，下方的懸崖利用道具過去，可以在那裏找到寶箱
或者使用復活羽毛，從上一層的左下角地洞掉落，跳過BOSS進入該地區。</t>
  </si>
  <si>
    <t>獲得"倒吊人的骨戒"裝備</t>
  </si>
  <si>
    <t>隠しアイテム-9</t>
  </si>
  <si>
    <t>遺跡3階にいるBOSSを倒し、ライドーを使って下の崖を超えることができそこに宝箱があります。
または、火の鳥の羽を装備しカタコンベ下層の左下の穴から落ちることで直接行くことが出来る※ライドーを持っていない場合崖を渡ることが出来ないので注意</t>
  </si>
  <si>
    <t>Hidden Chest 9</t>
  </si>
  <si>
    <t>In the room of the first boss, there is a place you can get into below the map. Use items or Senpo Tachi to get to the other side. Additionally, you can use the Phoenix Feather and fall in the bottom-left hole from the previous floor.</t>
  </si>
  <si>
    <t>Cofre oculto 9</t>
  </si>
  <si>
    <t>En la sala del primer jefe, hay un lugar al que puedes acceder por debajo del mapa. Usa objetos o Senpo Tachi para llegar al otro lado. Además, puedes usar la Pluma de Fénix y caer en el agujero de abajo a la izquierda desde el piso anterior.</t>
  </si>
  <si>
    <t>Versteckter Durchgang 9</t>
  </si>
  <si>
    <t>Forgotten Catacombs- 2. Wo der Ruinen-Boss (die wahnsinnige rote Bestie) ist, überquere die Klippe unten mit einem Item, um dort eine Truhe zu finden. Alternativ kannst du eine Wiederbelebungsfeder verwenden, um vom linken unteren Bereich der vorherigen Ebene in das Loch zu fallen und den Boss zu überspringen, um in diesen Bereich zu gelangen.</t>
  </si>
  <si>
    <t>Erhalte die Ausrüstung: 
Knochenring des Gehängten</t>
  </si>
  <si>
    <t>Rương ẩn 9</t>
  </si>
  <si>
    <t xml:space="preserve">Trong căn phòng của boss đầu tiên, sẽ có một nơi bạn có thể đi vào bên dưới bản đồ. Dùng vật phẩm hoặc Senpo Tachi để sang đến bên kia. Thêm vào đó, bạn có thể sử dụng Hỏa Điểu Vũ và rơi xuống cái hố bên trái góc dưới từ tầng trước đó </t>
  </si>
  <si>
    <t>R21</t>
  </si>
  <si>
    <t>隱藏通道10
機甲</t>
  </si>
  <si>
    <t>於"冒險者小道:集結地"
飲料機右方繩索上去後，下方的大片森林有隱藏通道</t>
  </si>
  <si>
    <t>發現機甲，第二天前往後會消失，此時才可觸發見聞
(後續未實裝)
獲得道具：初號核心</t>
  </si>
  <si>
    <t>隠しMAP-10
機甲</t>
  </si>
  <si>
    <t>冒険者の遊歩道(集結地)にある自販機横のツタを上りそのまま下の森の方を散策すると隠された道があり眠りの地に行くことが出来る</t>
  </si>
  <si>
    <t>見つけた後に眠りの地を離れるとメカが怪しく光る描写があるが…翌日また訪れると何故か姿を消している…
（後続部分は未実装）
アイテム獲得：初号機コア</t>
  </si>
  <si>
    <t>Hidden Chest 10</t>
  </si>
  <si>
    <t xml:space="preserve">Adventurer's Path: Gathering Point
If you climb the rope above the vending machine, there will be a hidden path to the right.
</t>
  </si>
  <si>
    <t>Upon interacting with the giant mecha, it will disappear the next day when you come back. This will trigger a short story..
Obtain "Unit 1 Nexus" equipment</t>
  </si>
  <si>
    <t>在冒险者小道:集结地的自动贩卖机右方藤条上去后，下方的大片森林有隐藏通道</t>
  </si>
  <si>
    <t>Cofre oculto 10</t>
  </si>
  <si>
    <t>Versteckter Weg 10 
Mech</t>
  </si>
  <si>
    <t>Adventurer's Path: Gathering Point Ort, gehe rechts vom Getränkeautomaten die Seilrutsche hoch, und im darunterliegenden großen Wald gibt es einen versteckten Gang</t>
  </si>
  <si>
    <t>Der Mech wird entdeckt, am nächsten Tag wird er verschwinden. Erst dann kann die Entdeckung fortgesetzt werden. (Später implementiert)</t>
  </si>
  <si>
    <t>Rương ẩn 10</t>
  </si>
  <si>
    <t>Con Đường Nhà Thám Hiểm: Điểm Tập Hợp
Nếu bạn trèo lên dây thừng phía bên trên máy bán đồ, sẽ có một lối đi ẩn bên phải</t>
  </si>
  <si>
    <t>Khi tương tác với mecha khổng lồ, nó sẽ biến mất vào ngày hôm sau.
Nhận được trang bị "Unit 1 Nexus"</t>
  </si>
  <si>
    <t>R22</t>
  </si>
  <si>
    <t>隱藏通道11</t>
  </si>
  <si>
    <t>於"大焦熱溶岩帶"左側柱子後面，有個隱藏物品與採集處</t>
  </si>
  <si>
    <t>裝備:熔岩戒指
*此道具可以通過地圖刷新後重複取得</t>
  </si>
  <si>
    <t>隠しアイテム-11</t>
  </si>
  <si>
    <t>装備：溶岩リング
※この装備はマップを更新すると繰り返し入手できます</t>
  </si>
  <si>
    <t>Hidden Chest 11</t>
  </si>
  <si>
    <t>Behind the pillar to the left in the Scorching Lava Zone area, there is an item that you can collect.</t>
  </si>
  <si>
    <t>Obtain "Lava Ring" equipment.
*This item can be obtained every time you enter the map.</t>
  </si>
  <si>
    <t>Cofre oculto 11</t>
  </si>
  <si>
    <t>Versteckter Durchgang 11</t>
  </si>
  <si>
    <t>Im ,,Scorching Lava Zone area" Ort, hinter der Säule auf der linken Seite, gibt es ein verstecktes Item und einen Sammelpunkt</t>
  </si>
  <si>
    <t xml:space="preserve">Sie benötigen den Lavaring.
*Dieses Item kann nach dem Aktualisieren der Karte erneut erhalten werden. </t>
  </si>
  <si>
    <t>Rương ẩn 11</t>
  </si>
  <si>
    <t>Đằng sau cái cột bên trái của Khu Dung Nham Nóng Chảy, có một vật phẩm bạn có thể nhặt</t>
  </si>
  <si>
    <t>Nhận trang bị “Nhẫn Dung Nham”.
*Vật phẩm này có thể được nhận mỗi lần bạn vào bản đồ.</t>
  </si>
  <si>
    <t>R23</t>
  </si>
  <si>
    <t>摔洞裡</t>
  </si>
  <si>
    <t>開發中區域(礦坑)
礦坑地圖掉下去</t>
  </si>
  <si>
    <t>見聞：掉到洞窟</t>
  </si>
  <si>
    <t>大迷宮の中にある穴に落ちる</t>
  </si>
  <si>
    <t>見聞: 穴に落ちる</t>
  </si>
  <si>
    <t>Falling Down</t>
  </si>
  <si>
    <t xml:space="preserve">Fall in any of the holes in the Excavation Site Mines
</t>
  </si>
  <si>
    <t>Insight: Gain insight about falling in caves</t>
  </si>
  <si>
    <t>Dejate caer en cualquier agujero que estan en el sitio de excavacion.</t>
  </si>
  <si>
    <t>Hoppla, da war ein Loch</t>
  </si>
  <si>
    <t>Falle im Excavation Site Mines von der Map</t>
  </si>
  <si>
    <t>Entdeckung: In die Höhle gefallen.</t>
  </si>
  <si>
    <t>Rơi xuống</t>
  </si>
  <si>
    <t>Rơi xuống bất kì cái hố nào trong Khu Khai Quật Mỏ</t>
  </si>
  <si>
    <t>Tầm nhìn: Nhận thông tin về việc rơi xuống hang động.</t>
  </si>
  <si>
    <t>R24</t>
  </si>
  <si>
    <t>礦坑寶箱</t>
  </si>
  <si>
    <t>開發中地帶(礦坑)-1，沿著樓梯的中央有寶箱</t>
  </si>
  <si>
    <t>獲得道具：魔力小凝膠x10
雨天刷新</t>
  </si>
  <si>
    <t>開発エリアの宝箱</t>
  </si>
  <si>
    <t>開発地帯(鉱山)-2の階段沿い中央に宝箱ある</t>
  </si>
  <si>
    <t>武器「狩人の弓」を入手できる
ねこパンチと組み合わせるとマップ兵器と化す…</t>
  </si>
  <si>
    <t>Chest in the Mines</t>
  </si>
  <si>
    <t xml:space="preserve">Excavation Site Mines 2
There is a chest on the center of the stairs area.
</t>
  </si>
  <si>
    <t>Obtain 10 "Small Magic Gel " item
Refreshes every rainy day.</t>
  </si>
  <si>
    <t>Sitio de excavacion 2 - 1, hay un cofre del tesoro en el medio de las escaleras</t>
  </si>
  <si>
    <t>Schatztruhe im Stollen</t>
  </si>
  <si>
    <t>Excavation Site Mines 2: In der Mitte der Treppe befindet sich eine Truhe</t>
  </si>
  <si>
    <t>Gegenstand erhalten</t>
  </si>
  <si>
    <t>Rương trong khu mỏ</t>
  </si>
  <si>
    <t>Khu Khai Quật Mỏ 2
Có một cái rương ở giữa khu vực cầu thang</t>
  </si>
  <si>
    <t>Nhận 10 vật phẩm “Gel Ma Thuật Nhỏ”.
*Mỗi ngày mưa sẽ được làm mới.</t>
  </si>
  <si>
    <t>R25</t>
  </si>
  <si>
    <t>遺跡寶箱1</t>
  </si>
  <si>
    <t>淺層遺跡迷宮
遺跡第一層
右方機關處、左方連接外面處，各有一個白寶箱
左方有一個紅寶箱，可以從藤蔓邊緣走過去</t>
  </si>
  <si>
    <t>白寶箱獲得：漏電的不良品、火燒雲
紅寶箱獲得：霜月、戰車塔羅牌 (紅寶箱可以刷新)</t>
  </si>
  <si>
    <t>大迷宮の宝箱1</t>
  </si>
  <si>
    <t>遺跡の1階
右側の仕掛け部屋と左上の端の方に白い宝箱があります。
左側に赤い宝箱があり、植物の横を通ることで入手できます</t>
  </si>
  <si>
    <t>白い宝箱で獲得：漏電の不良品、火焼雲
赤い宝箱で獲得：霜月、ザ・チャリオットのカード（赤い宝箱はリフレッシュ可能）</t>
  </si>
  <si>
    <t>Labyrinth Ruins Chest 1</t>
  </si>
  <si>
    <t xml:space="preserve">On the first floor of the Labyrinth Ruins, there is a switch to the right side from the entrance with a white box nearby.
Just below from the entrance and to the left, there is a red treasure chest beside a hole. You can get to it by squeezing through between the large vine and the hole.
</t>
  </si>
  <si>
    <t>White Box: Obtain "Leaky Electric Sword" equipment
Red Box: Obtain "Frostmoon" or "Sunflare" equipment</t>
  </si>
  <si>
    <t>En la primera planta de las Ruinas del Laberinto, hay un interruptor a la derecha de la entrada con un cofre blanco cerca.
Justo debajo de la entrada y a la izquierda, hay un cofre rojo al lado de un agujero. Puedes llegar a él colándote entre la gran enredadera y el agujero.</t>
  </si>
  <si>
    <t>Relikttruhe 1</t>
  </si>
  <si>
    <t>Im ,,Labyrinth Ruins", in der ersten Ebene der Ruinen, gibt es rechts bei den Mechanismen und links beim Ausgang jeweils eine weiße Truhe.
Links befindet sich eine rote Truhe, die du entlang des Rands der Lianen erreichen kannst.</t>
  </si>
  <si>
    <t>Weiße Truhe erhältst du: Defektes Elektrogut, Feuerwolke
Rote Truhe erhältst du: Frostmond, Streitwagen-Tarotkarte (Rote Truhe kann aktualisiert werden)</t>
  </si>
  <si>
    <t>Rương trong Tàn Tích Mê Cung 1</t>
  </si>
  <si>
    <t>Tầng đầu tiên của Tàn Tích Mê Cung, có một công tắc ở bên phải cửa ra vào với một hộp trắng gần đó.
Ngay dưới cửa vào và bên trái, có một rương kho báu đỏ bên cạnh một hố. Bạn có thể vào được bằng cách chui qua giữa cái dây leo lớn và cái hố đó.</t>
  </si>
  <si>
    <t>Hộp Trắng: Nhận trang bị “Kiếm Rò Rỉ Điện”.
Hộp Đỏ: Nhận trang bị “Hàn Nguyệt” hoặc “Nhật Diễm”.</t>
  </si>
  <si>
    <t>R26</t>
  </si>
  <si>
    <t>遺跡寶箱2</t>
  </si>
  <si>
    <t>被遺忘的墓穴第一層右邊洞窟出入口旁，在一排蛋的左邊有一個寶箱</t>
  </si>
  <si>
    <t>獲得武器-臭魚骨</t>
  </si>
  <si>
    <t>遺跡の宝箱2</t>
  </si>
  <si>
    <t>忘却のカタコンベ上層右側の卵が3つ並んでいる場所に宝箱があります。</t>
  </si>
  <si>
    <t>Labyrinth Ruins Chest 2</t>
  </si>
  <si>
    <t>On the  base floor of the Forgotten Tomb, there is a chest that you can open near the cave entrance.</t>
  </si>
  <si>
    <t>Obtain "Rotten Fishbone" equipment</t>
  </si>
  <si>
    <t>En el primer piso de la Tumba Olvidada, hay un cofre que puedes abrir cerca de la entrada a la cueva</t>
  </si>
  <si>
    <t>Relikttruhe 2</t>
  </si>
  <si>
    <t>Erhalte die Waffe „Verfaulter Fischknochen"</t>
  </si>
  <si>
    <t>Rương trong Tàn Tích Mê Cung 2</t>
  </si>
  <si>
    <t>Tầng đầu tiên của Khu Mộ Bị Lãng Quên, có một chiếc rương mà bạn có thể mở gần cửa hang.</t>
  </si>
  <si>
    <t>Nhận trang bị “Xương Cá Thối”.</t>
  </si>
  <si>
    <t>R27</t>
  </si>
  <si>
    <t>遺跡寶箱3</t>
  </si>
  <si>
    <t>被遺忘的墓穴-1，中間的蛋附近一個寶箱</t>
  </si>
  <si>
    <t>獲得武器-雪見</t>
  </si>
  <si>
    <t>遺跡の宝箱3</t>
  </si>
  <si>
    <t>忘却のカタコンベ下層の中央辺り、卵がたくさん並んでる場所に宝箱があります</t>
  </si>
  <si>
    <t>Labyrinth Ruins Chest 3</t>
  </si>
  <si>
    <t>In the lower levels of the Forgotten Tomb, there is a chest nearby a row of eggs in the middle.</t>
  </si>
  <si>
    <t>Obtain "Snow Watch" weapon.</t>
  </si>
  <si>
    <t>En los niveles inferiores de la Tumba Olvidada, hay un cofre cerca de una fila de huevos en el centro.</t>
  </si>
  <si>
    <t>Relikttruhe 3</t>
  </si>
  <si>
    <t>Hol dir die Waffe ,,Schneeschau"</t>
  </si>
  <si>
    <t>Rương trong Tàn Tích Mê Cung 3</t>
  </si>
  <si>
    <t>Ở các tầng thấp hơn của Khu Mộ Bị Lãng Quên, có một chiếc rương gần một hàng trứng ở giữa.</t>
  </si>
  <si>
    <t>Nhận vũ khí “Tuyết Giám”.</t>
  </si>
  <si>
    <t>R28</t>
  </si>
  <si>
    <t>DLC</t>
  </si>
  <si>
    <t>冒險者小道:集結地
和騎士分享一定數量的見聞可以獲得</t>
  </si>
  <si>
    <t>暗影之魂-DLC</t>
  </si>
  <si>
    <t>謎の騎士と一定数見聞を共有するとお返しで貰える</t>
  </si>
  <si>
    <t>Shadow Souls-DLCを入手できる！</t>
  </si>
  <si>
    <t>Share a certain amount of insights with the Weird Knight.</t>
  </si>
  <si>
    <r>
      <rPr>
        <rFont val="Microsoft JhengHei"/>
        <color theme="1"/>
      </rPr>
      <t xml:space="preserve">Obtain "Shadow Souls - DLC" item
</t>
    </r>
    <r>
      <rPr>
        <rFont val="Microsoft JhengHei"/>
        <b/>
        <color theme="1"/>
      </rPr>
      <t>*Shadow Souls is a video game that imouto plays.</t>
    </r>
  </si>
  <si>
    <t>Compartir una cierta cantidad de conocimientos con el Caballero Raro.</t>
  </si>
  <si>
    <t>Shadow Soul-DLC</t>
  </si>
  <si>
    <t>Chia sẻ một lượng nhất định cái nhìn với Hiệp sĩ Kì Lạ</t>
  </si>
  <si>
    <t>Nhận vật phẩm “Shadow Souls - DLC”.
Shadow Souls là một trò mà em gái chơi.</t>
  </si>
  <si>
    <t>R29</t>
  </si>
  <si>
    <t>全部見聞</t>
  </si>
  <si>
    <t>於冒險步道的騎士分享見聞：
怪鳥吼聲/獸肉料理/ 走路菇料理/ 史萊姆料理/被遺棄的森林/打掉連接遺跡的石頭/掉到洞窟/機甲/陪妹妹玩遊戲揉大白兔
數字表示:事件編號</t>
  </si>
  <si>
    <t>分享一定數量見聞後，會獲得「特典T恤」，回家後會看到妹妹穿著的劇情。
(後續更衣功能尚未實裝)</t>
  </si>
  <si>
    <t>見聞を共有する</t>
  </si>
  <si>
    <t>謎の騎士と見聞を一定数共有することでお返しを貰える
怪鳥の咆哮/お肉料理/歩くキノコ料理/スライム料理/捨てられた森最奥のキノコの家/大迷宮に繋がる隠し通路/大迷宮内で穴に落ちる/機甲/ゲーム中に妹のおっぱいを揉む</t>
  </si>
  <si>
    <t>一定数を共有すると
「特典Tシャツ」を貰える
帰宅後に玄関で着替える妹を見る事が出来る
(後続のイベントは未実装)</t>
  </si>
  <si>
    <t>Insights</t>
  </si>
  <si>
    <t>Share your insights with the Weird Knight:
Strange bird screeches / Monster Meat Dishes
/ Walking Mushroom Dishes
/ Slime Dishes / Abandoned Forest / Cave Entrance to Ruins / Falling Down / Mecha / 
Play games with your sister and knead her "white rabbits"</t>
  </si>
  <si>
    <t>After sharing a certain amount of insights, you will receive a T-Shirt.
A special event will trigger once you get home.
(Subsequent events have not yet been implemented)</t>
  </si>
  <si>
    <t>Todos los conocimientos</t>
  </si>
  <si>
    <t>Comparte tus conocimientos con el Caballero Raro:
Extraños chillidos de pájaro / Platos de carne de monstruo
/ Platos de seta andante
/ Platos de limo / Bosque abandonado / Entrada de cueva a ruinas / Caerse / Mecha / 
Juega con tu hermana y amasa sus "conejos blancos"</t>
  </si>
  <si>
    <t>Gesammelte Beobachtungen</t>
  </si>
  <si>
    <t>Ich teile die Erkenntnisse mit dem Unheimlichen Ritter
Monster-Vögel Schreie / Bestien Fleischgerichte / Gehämmerte Pilzgerichte / Schleimgerichte / Der verlassene Wald / Den Felsen zerstören, der die Ruinen verbindet / In eine Höhle fallen / Mecha / Mit der kleinen Schwester spielen und knete ihre „weißen Kaninchen"</t>
  </si>
  <si>
    <t>Nach dem Teilen einer bestimmten Anzahl an Entdeckungen erhältst du ein "spezielle T-Shirt". Wenn du nach Hause gehst, wirst du sehen, wie deine Schwester das T-Shirt trägt.
(Die Umkleidefunktion ist noch nicht implementiert.)</t>
  </si>
  <si>
    <t>Sự sáng suốt</t>
  </si>
  <si>
    <t>Chia sẻ cái nhìn của bạn với Hiệp sĩ Lạ: 
Tiếng chim kêu kỳ lạ / Món thịt quái vật / Món nấm đi bộ / Món ăn từ slime / Khu Rừng Bỏ Hoang / Lối Vào Hang Đến Tàn Tích/ Ngã / Mecha / Chơi trò chơi với em gái và nhào nặn "thỏ trắng" của em ấy.</t>
  </si>
  <si>
    <t>Sau khi chia sẻ một lượng cái nhìn nhất định, bạn sẽ nhận được một chiếc T-shirt
Một sự kiện đặc biệt sẽ kích hoạt khi bạn về nhà.
(Các sự kiện sau chưa được triển khai.)</t>
  </si>
  <si>
    <t>R30</t>
  </si>
  <si>
    <t>遺留信</t>
  </si>
  <si>
    <t>冒險者小道:集結地
當完成騎士的相關的所有任務後，會發現信件，照著上面的提示前進吧</t>
  </si>
  <si>
    <t>遺留信內容
(後續未實裝)</t>
  </si>
  <si>
    <t>置き手紙</t>
  </si>
  <si>
    <t>見聞をすべて共有すると謎の騎士が居た場所に手紙が置かれている。拾うことで読むことが出来る</t>
  </si>
  <si>
    <t>手紙には謎の騎士も大迷宮に行くことが書かれていた…
(後続のイベントは未実装)</t>
  </si>
  <si>
    <t>Left-behind Letter</t>
  </si>
  <si>
    <t>After completing all the tasks assosciated with the Weird Knight, he will leave a letter in his place. Follow the tasks above (#32).</t>
  </si>
  <si>
    <t>Be able to read the contents of the Left-behind Letter.
(Subsequent events have not yet been implemented)</t>
  </si>
  <si>
    <t>Hinterlassene Nachricht</t>
  </si>
  <si>
    <t>Nachdem du alle Aufgaben des Ritters im ,,Adventurer's Path: Gathering Poin" abgeschlossen hast, findest du einen Brief. Folge den Hinweisen darin.</t>
  </si>
  <si>
    <t>Inhalt des hinterlassenen Briefes
(Später noch nicht implementiert)</t>
  </si>
  <si>
    <t>Bức thư bị bỏ lại</t>
  </si>
  <si>
    <t>Sau khi hoàn thành tất cả các nhiệm vụ liên quan đến Hiệp Sĩ Kì Lạ, anh ấy sẽ để lại một lá thư ở nơi của mình. Hãy làm theo các nhiệm vụ ở trên (#32).</t>
  </si>
  <si>
    <t>Có thể đọc nội dung của Bức thư bị bỏ lại
(Các sự kiện sau chưa được triển khai.)</t>
  </si>
  <si>
    <t>R31</t>
  </si>
  <si>
    <t>炎熱天氣1</t>
  </si>
  <si>
    <t>晴天時，外出有機率變為炎熱。
(妹妹若已經收到了T恤，炎熱機率會提升)</t>
  </si>
  <si>
    <t>部分NPC會躲起來
若提前回家(不可使用星之門)，妹妹有炎熱天氣相關劇情</t>
  </si>
  <si>
    <t>猛暑-1</t>
  </si>
  <si>
    <t>晴天の時、外出すると猛暑になることがある。
（妹がすでにTシャツを受け取っている場合、猛暑になる確率が上がる）</t>
  </si>
  <si>
    <t>一部のNPCは避難します。
早めに帰宅すると（星の門は使用不可）、妹に関連する猛暑にに関連するストーリーが発生する。</t>
  </si>
  <si>
    <t>Hot Weather 1</t>
  </si>
  <si>
    <t>During sunny days, there is a chance that the weather will be really hot. (If the sister has already obtained the T-Shirt, then the chance of this happening increases)</t>
  </si>
  <si>
    <t>Some NPCs won't be available.
If you go home early (not using the Star Gate (Red Door)), a dialogue with your sister will occur regarding the hot weather.</t>
  </si>
  <si>
    <t>Clima caluroso 1</t>
  </si>
  <si>
    <t>Heißes Wetter 1</t>
  </si>
  <si>
    <t>An sonnigen Tagen besteht eine Chance, dass es mega heiß wird.
(Wenn die Schwester bereits das T-Shirt erhalten hat, steigt die Wahrscheinlichkeit für extreme Hitze.)</t>
  </si>
  <si>
    <t>Einige NPCs verstecken sich.
Wenn du frühzeitig nach Hause zurückkehrst (die Sternentor-Nutzung ist dabei nicht erlaubt), kann bei heißem Wetter eine entsprechende Szene mit deiner kleinen Schwester ausgelöst werden</t>
  </si>
  <si>
    <t>Trời nóng 1</t>
  </si>
  <si>
    <t>Vào những ngày nắng, có khả năng thời tiết sẽ rất nóng. (Nếu em gái đã nhận được áo T-Shirt, khả năng này sẽ tăng lên).</t>
  </si>
  <si>
    <t>Một số NPC sẽ không xuất hiện.
Nếu bạn về nhà sớm (không dùng Cổng Sao (Hồng Môn)), sẽ có một đoạn hội thoại với em gái về thời tiết nóng.</t>
  </si>
  <si>
    <t>R32</t>
  </si>
  <si>
    <t>炎熱天氣2
特典T恤</t>
  </si>
  <si>
    <t>同上，若有T恤時，將有分支劇情</t>
  </si>
  <si>
    <t>同上
炎熱天氣分支劇情
(現版本不管你有沒有取得T恤，都會是自動穿上這套)</t>
  </si>
  <si>
    <t>猛暑-2
特典Tシャツ</t>
  </si>
  <si>
    <t>特典Tシャツを妹に渡してる場合は、分岐するストーリーが発生します。</t>
  </si>
  <si>
    <t>猛暑による分岐ストーリーがあります。
（現バージョンでは、特典Tシャツを取得しているかどうかに関わらず、自動的にこの服を着ることになります）</t>
  </si>
  <si>
    <t>Hot Weather 2 -
Special T-Shirt</t>
  </si>
  <si>
    <t>Similar to above, if you manage to obtain the T-Shirt, there will be another event with the sister.</t>
  </si>
  <si>
    <t>Same as Hot Weather 1
(Currently in this version, the T-Shirt will be worn regardless if you obtained it or not)</t>
  </si>
  <si>
    <t>Clma caluroso 2, Camisa especial</t>
  </si>
  <si>
    <t>Igual que lo anterior, si consigues la camiseta especial, se desbloqueara un evento con tu hermana.</t>
  </si>
  <si>
    <t>Heißes Wetter 2
Spezial T-Shirt</t>
  </si>
  <si>
    <t>Wie oben, wenn das T-Shirt vorhanden ist, wird es eine alternative Handlung geben</t>
  </si>
  <si>
    <t>Wie oben.
Verzweigte Szene bei heißem Wetter.
(Im aktuellen Spielstand wird das spezielle T-Shirt automatisch getragen – unabhängig davon, ob du es erhalten hast oder nicht.)</t>
  </si>
  <si>
    <t>Trời nóng 2 -
Chiếc T-shirt đặc biệt</t>
  </si>
  <si>
    <t>Tương tự như trên, nếu bạn nhận được áo T-Shirt, sẽ có một sự kiện khác với em gái</t>
  </si>
  <si>
    <t>Giống như Trời nóng 1
(Hiện tại trong phiên bản này, T-shirt sẽ được mặc bất kể bạn đã nhận được nó hay chưa.)</t>
  </si>
  <si>
    <t>R33</t>
  </si>
  <si>
    <t>炎熱天氣3
電風扇</t>
  </si>
  <si>
    <t>同上，可以透過"戰車"塔羅牌召喚的商店車中，購買電風扇</t>
  </si>
  <si>
    <t>獲得電風扇
炎熱天氣分支劇情</t>
  </si>
  <si>
    <t>猛暑-3
扇風機</t>
  </si>
  <si>
    <t>扇風機を入手
猛暑時の分岐ストーリーが発生します</t>
  </si>
  <si>
    <t>Hot Weather 3 -
Electric Fan</t>
  </si>
  <si>
    <t>Similar to above, if you manage to buy an Electric Fan from the shop car summoned by the "Chariot" Tarot card, there will be another event with the sister.</t>
  </si>
  <si>
    <t>Obtain "Electric Fan" item.
Another event from the "Hot Weather" storyline</t>
  </si>
  <si>
    <t>Clima caluroso 3, Ventilador electrico</t>
  </si>
  <si>
    <t>Al igual que en el caso anterior, si consigues comprar un Ventilador Eléctrico del carro de la tienda invocado por la carta del Tarot «Carro», habrá otro evento con la hermana.</t>
  </si>
  <si>
    <t>Heißes Wetter 3
Elektrischer Ventilator</t>
  </si>
  <si>
    <t>Wie oben, der Ladenwagen, der durch die „Kriegswagen“ Tarotkarte herbeigerufen wird, bietet einen elektrischen Ventilator zum Kauf an.</t>
  </si>
  <si>
    <t>Hol dir den elektrischen Ventilator um eine Heiße Wetter Handlung zu bekommen</t>
  </si>
  <si>
    <t>Trời nóng 3 - 
Quạt điện</t>
  </si>
  <si>
    <t>Tương tự như trên, nếu bạn có thể mua một chiếc Quạt Điện từ cửa hàng trên xe triệu hồi bởi lá bài Tarot "Xe Ngựa", sẽ có một sự kiện khác với em gái</t>
  </si>
  <si>
    <t>Nhận vật phẩm “Quạt Điện”.
Một sự kiện khác từ cốt truyện “Trời Nóng”</t>
  </si>
  <si>
    <t>R34</t>
  </si>
  <si>
    <t>R35</t>
  </si>
  <si>
    <t>神秘商店</t>
  </si>
  <si>
    <t>晴天天氣时，60%概率在"遺跡之森系列"的隨機地點刷新
"遺跡之森"系列，請看地圖，並不是"迷失之森"</t>
  </si>
  <si>
    <t>初次見到時有兩個選項的對話，""請記得都要對話完成""。
否則錯過之後就不會再有了，會錯失之後出現的商品。
*
可以使用此代碼(僅用於召喚商店，可能產生BUG，請謹慎使用)
在晴天時，找一個遺跡森林的空地，F12-&gt;第二欄位(Console)
輸入腳本
QJ.SE.spawnRegionNum(1,94,[118],1,true)
之後案ENTER鍵就可以召喚了</t>
  </si>
  <si>
    <t>神秘商店—「アキの菓子店」</t>
  </si>
  <si>
    <t>晴れた天気の時、60%の確率で『遺跡の森エリア』のランダムな地点に出現します。
『遺跡の森』エリアは地図を確認してください。『迷いの森』ではありません。</t>
  </si>
  <si>
    <t>このコードを使用できます（神秘商店専用で、バグが発生する可能性がありますので注意してください）
晴れた日に遺跡の森の空き地を見つけ、F12-&gt;2列目（Console）に
スクリプトを入力します。
QJ.SE.spawnRegionNum(1,94,[118],1,true)
その後、ENTERキーを押すと召喚できます。」</t>
  </si>
  <si>
    <t>Mysterious Shop -
"Aki's Sweet Shop"</t>
  </si>
  <si>
    <t>During sunny days, there is a 60% chance that the mysterious shop will spawn on a random location of Forest of Ruins.
Note: "Forest of Ruins" and not "Abandoned Forest"</t>
  </si>
  <si>
    <t>Note: You can manually summon the shop.
First, find an open space in the Forest of Ruins during a sunny day.
You can type this code by pressing F12 -&gt; Console (2nd column)
QJ.SE.spawnRegionNum(1,94,[118],1,true)
And then press Enter 
(CAUTION: This may cause unwanted bugs!)</t>
  </si>
  <si>
    <t xml:space="preserve">晴天天气时，60%概率在"遗迹之森系列"的随机地点刷新
（商店贩卖功能未实装，目前只会在遗迹森林的随机地点刷新） 
ps：是"遗迹之森"地区，并不是"迷失之森"地区的地图
</t>
  </si>
  <si>
    <t>Tienda misteriosa - Dulceria de Aki</t>
  </si>
  <si>
    <t>Durante los dias soleados, Hay una probalidad del 60% de que aparezca una tienda misteriosa, aparecera en una locacion aleatoria del Bosque en ruinas. NOTA: ''Bosque en ruinas'' y no en ''Bosque abandonado''</t>
  </si>
  <si>
    <t>Mysteriöser Laden</t>
  </si>
  <si>
    <t>An sonnigen Tagen besteht eine 60%ige Wahrscheinlichkeit, dass an zufälligen Orten im „Ruinenwald" Bereich ein Spawn stattfindet.
Der „Forest of Ruins" Bereich ist auf der Karte zu finden und darf nicht mit dem „Abandoned Forest" verwechselt werden.</t>
  </si>
  <si>
    <t>Du kannst diesen Code verwenden (nur zur Beschwörung des Ladenwagens – kann Bugs verursachen, also mit Vorsicht benutzen)
An einem sonnigen Tag, suche dir eine freie Fläche im „Wald der Ruinen“ und öffne die Konsole über F12 → Reiter 2 (Console)
"QJ.SE.spawnRegionNum(1,94,[118],1,true)" ohne "".
Drücke danach die Enter-Taste, um den Ladenwagen zu beschwören.</t>
  </si>
  <si>
    <t>Cửa hàng bí ẩn - 
"Cửa hàng kẹo của Aki"</t>
  </si>
  <si>
    <t>Trong những ngày nắng, có 60% khả năng một cửa hàng bí ẩn sẽ xuất hiện ở một nơi bất kì trong Khu Rừng Của Tàn Tích 
Ghi chú: "Khu Rừng Của Tàn Tích" và không phải "Khu Rừng Bị Bỏ Hoang"</t>
  </si>
  <si>
    <t>Lưu ý: Bạn có thể tự triệu hồi cửa hàng.
Đầu tiên, tìm một chỗ trống trong Khu Rừng Đổ Nát vào ngày nắng.
Bạn có thể nhập mã này bằng cách nhấn F12 -&gt; Console (cột thứ 2)
QJ.SE.spawnRegionNum(1,94,[118],1,true)
Sau đó nhấn Enter
(CẢNH BÁO: Việc này có thể gây ra lỗi ngoài ý muốn!)</t>
  </si>
  <si>
    <t>R36</t>
  </si>
  <si>
    <t>神秘商店-1</t>
  </si>
  <si>
    <t>於神秘商店的扭蛋，花費5千元或指定道具</t>
  </si>
  <si>
    <t>隨機獲得藍色、綠色、粉色的金平糖
"商店主人的好感度越高，花費越低"</t>
  </si>
  <si>
    <t>神秘商店—「アキの菓子店」‐1</t>
  </si>
  <si>
    <t>アキの菓子店ではガチャを5,000円、または指定のアイテムを消費して利用できます。</t>
  </si>
  <si>
    <t>ランダムで青、緑、ピンクの金平糖を獲得できます。
『商店主の好感度が高いほど費用が安くなります。』</t>
  </si>
  <si>
    <t>Aki's Sweet Shop - 1</t>
  </si>
  <si>
    <t>Roll on the gacha of the mysterious shop.
Costs 5000 yen or an item.</t>
  </si>
  <si>
    <t xml:space="preserve">Randomly obtain a Pink, Green, or Blue Konpeito candy item.
The higher your favorability with the shop owner, the lower the cost to roll. 
</t>
  </si>
  <si>
    <t>Dulceria de Aki 1</t>
  </si>
  <si>
    <t>Rueda en el gacha de la tienda misteriosa. Cuesta 5000 yenes o un objeto</t>
  </si>
  <si>
    <t>Mysteriöser Laden - 1</t>
  </si>
  <si>
    <t>Im mysteriösen Geschäft gibt es ein Gacha-Spiel, bei dem du ca 5000$ oder ein bestimmtes Item ausgeben kannst.</t>
  </si>
  <si>
    <t>Zufälliger Erhalt von blauen, grünen und pinken Bonbons.
Je höher die Zuneigung des Ladenbesitzers, desto geringer die Kosten.</t>
  </si>
  <si>
    <t>Cửa hàng kẹo của Aki - 1</t>
  </si>
  <si>
    <t>Quay gacha ở cửa hàng bí ẩn.
Tốn 5000 yên hoặc một vật phẩm.</t>
  </si>
  <si>
    <t>Ngẫu nhiên nhận kẹo Konpeito Hồng, Xanh Lá hoặc Xanh Dương.
Độ thiện cảm với chủ cửa hàng càng cao, chi phí quay càng thấp.</t>
  </si>
  <si>
    <t>R37</t>
  </si>
  <si>
    <t>神秘商店-2</t>
  </si>
  <si>
    <t>於神秘商店的店長對話，並給予"鮭魚"。</t>
  </si>
  <si>
    <t>糖果機降價$50
*糖果機最低價格為$500</t>
  </si>
  <si>
    <t>神秘商店—「アキの菓子店」‐2</t>
  </si>
  <si>
    <t>Aki's Sweet Shop - 2</t>
  </si>
  <si>
    <t>Talk to the shopkeeper and give her a "Salmon".</t>
  </si>
  <si>
    <t>Gacha price of the candy machine is reduced by 50 yen. You can't reduce the price below 500 yen</t>
  </si>
  <si>
    <t>Dulceria de Aki 2</t>
  </si>
  <si>
    <t>Mysteriöser Laden - 2</t>
  </si>
  <si>
    <t>Sprich mit dem Ladenbesitzer im geheimnisvollen Laden und gib ihr einen Lachs.</t>
  </si>
  <si>
    <t>Zuckermaschine um $50 reduziert
Der Mindestpreis der Zuckermaschine beträgt $500</t>
  </si>
  <si>
    <t>Cửa hàng kẹo của Aki - 2</t>
  </si>
  <si>
    <t>Nói chuyện với chủ cửa hàng và đưa cho cô ấy “Cá Hồi”.</t>
  </si>
  <si>
    <t>Giá gacha máy bán kẹo được giảm 50 yên. Bạn không thể giảm giá bán xuống dưới 500 yên</t>
  </si>
  <si>
    <t>R38</t>
  </si>
  <si>
    <t>神秘商店-3</t>
  </si>
  <si>
    <t>於神秘商店的店長對話，並給予"帝王鮭"。</t>
  </si>
  <si>
    <t>糖果機降價$500
獲得道具:壽司布丁
*糖果機最低價格為$500</t>
  </si>
  <si>
    <t>神秘商店—「アキの菓子店」‐3</t>
  </si>
  <si>
    <t>Aki's Sweet Shop - 3</t>
  </si>
  <si>
    <t>Talk to the shopkeeper and give her a "King Salmon".</t>
  </si>
  <si>
    <t>Aki's favorability increased.
One-time only:
Obtain "Sushi Pudding" item</t>
  </si>
  <si>
    <t>Dulceria de Aki 3</t>
  </si>
  <si>
    <t>Mysteriöser Laden - 3</t>
  </si>
  <si>
    <t>Im Gespräch mit der Besitzerin kannst du ihr auch einen Königslachs geben</t>
  </si>
  <si>
    <t>Nicht implementiert</t>
  </si>
  <si>
    <t>Cửa hàng kẹo của Aki - 3</t>
  </si>
  <si>
    <t>Nói chuyện với chủ cửa hàng và đưa cho cô ấy “Cá Hồi Vua”.</t>
  </si>
  <si>
    <t>Độ thiện cảm của Aki tăng lên.
Chỉ một lần duy nhất:
Nhận vật phẩm “Sushi Pudding”.</t>
  </si>
  <si>
    <t>R39</t>
  </si>
  <si>
    <t>神秘商店-4</t>
  </si>
  <si>
    <t>於神秘商店店長對話，並"不給予"鮭魚。</t>
  </si>
  <si>
    <t>獲得狀態：詛咒
哥哥的下面發光。
目前只有和妹妹共浴時，坐在一起，會有特殊劇情</t>
  </si>
  <si>
    <t>神秘商店—「アキの菓子店」‐4</t>
  </si>
  <si>
    <t>店主にサーモンを「あげない」を選択する</t>
  </si>
  <si>
    <t>BADステータス：お前はもう呪われている…
妹と一緒に風呂に入ることでイベントが発生します
「俺は考えることをやめた…」</t>
  </si>
  <si>
    <t>Aki's Sweet Shop - 4</t>
  </si>
  <si>
    <t>Talk to the shopkeeper and don't give her any "Salmon"</t>
  </si>
  <si>
    <t>Obtain "Cursed" status effect.
Onii-chan's crotch will glow.
Currently, the only event associated with this is when you take a bath with your sister and "sit together" and a scene will trigger.</t>
  </si>
  <si>
    <t>获得状态：诅咒 哥哥的下面发光。 
目前只有和妹妹共浴时，坐在一起，会有特殊剧情
（妹妹：...老哥，你喝生可乐了...?）</t>
  </si>
  <si>
    <t>Dulceria de Aki 4</t>
  </si>
  <si>
    <t>Mysteriöser Laden - 4</t>
  </si>
  <si>
    <t>Nach dem Gespräch mit der Besitzerin gibst du ihr keinen Lachs</t>
  </si>
  <si>
    <t>Erhaltene den Status: ,,Verflucht"
Der untere Teil des Bruders leuchtet.
Aktuell gibt es ein spezielles Ereignis, wenn du mit deiner Schwester zusammen badest und gemeinsam sitzt</t>
  </si>
  <si>
    <t>Cửa hàng kẹo của Aki - 4</t>
  </si>
  <si>
    <t>Nói chuyện với chủ cửa hàng và đừng đưa cho cô ấy bất kỳ “Cá Hồi” nào.</t>
  </si>
  <si>
    <t>Nhận hiệu ứng trạng thái “Nguyền Rủa”.
Chỗ kín của Onii-chan sẽ phát sáng.
Hiện tại, sự kiện duy nhất liên quan đến điều này là khi bạn tắm với em gái và chọn “ngồi cùng nhau”, một cảnh sẽ được kích hoạt.</t>
  </si>
  <si>
    <t>R40</t>
  </si>
  <si>
    <t>神秘商店-5</t>
  </si>
  <si>
    <t>接續上一項目，給予帝王鮭，可以解除該詛咒狀態</t>
  </si>
  <si>
    <t>解除詛咒</t>
  </si>
  <si>
    <t>神秘商店—「アキの菓子店」‐5</t>
  </si>
  <si>
    <t>呪われた状態で店主に話しかけて「キングサーモン」を渡すを選択すると呪いを解いてくれる</t>
  </si>
  <si>
    <t>無事に呪いは解かれた…</t>
  </si>
  <si>
    <t>Aki's Sweet Shop - 5</t>
  </si>
  <si>
    <t>If you are cursed by the shopkeeper, give her "Salmon"</t>
  </si>
  <si>
    <t>The curse will be lifted.</t>
  </si>
  <si>
    <t>Dulceria de Aki 5</t>
  </si>
  <si>
    <t>Mysteriöser Laden - 5</t>
  </si>
  <si>
    <t>Nachdem du mit der Besitzerin gesprochen hast, gib ihr den Kaiserlachs, um den Fluch zu lösen</t>
  </si>
  <si>
    <t>Hebt den Fluch auf</t>
  </si>
  <si>
    <t>Cửa hàng kẹo của Aki - 5</t>
  </si>
  <si>
    <t>Nếu bạn bị chủ cửa hàng nguyền rủa, hãy đưa cho cô ấy “Cá Hồi”.</t>
  </si>
  <si>
    <t>Lời nguyền sẽ được hóa giải.</t>
  </si>
  <si>
    <t>R41</t>
  </si>
  <si>
    <t>神秘商店-6</t>
  </si>
  <si>
    <t>完成對話後，並且第二次遇到商店時，可能就會有水饅頭的商品</t>
  </si>
  <si>
    <t>購買後獲得道具"超敏軟Q水饅頭"</t>
  </si>
  <si>
    <t>神秘商店—「アキの菓子店」‐6</t>
  </si>
  <si>
    <t>会話を完了した後、2回目に商店と遭遇した際に、超敏やわQ水まんじゅうの商品が出現することがある</t>
  </si>
  <si>
    <t>購入すると、アイテム『超敏やわQ水まんじゅう』を獲得する</t>
  </si>
  <si>
    <t>Aki's Sweet Shop - 6</t>
  </si>
  <si>
    <t>After talking to her for the second time, you may a see a new product called "Springy Mizumanju"</t>
  </si>
  <si>
    <t>Obtain "Springy Mizumanju" item after purchase</t>
  </si>
  <si>
    <t>Mysteriöser Laden - 6</t>
  </si>
  <si>
    <t>Nachdem du zum zweiten Mal mit ihr gesprochen hast, könnte ein neues Produkt erscheinen: "Federndes Mizumanju"</t>
  </si>
  <si>
    <t>Erhalte den Gegenstand "Federndes Mizumanju" nach dem Kauf</t>
  </si>
  <si>
    <t>Cửa hàng kẹo của Aki - 6</t>
  </si>
  <si>
    <t>Sau khi nói chuyện với cô ấy lần thứ hai, bạn có thể thấy một sản phẩm mới gọi là “Bánh Mizumanju Đàn Hồi".</t>
  </si>
  <si>
    <t>Nhận vật phẩm “Bánh Mizumanju Đàn Hồi” sau khi mua</t>
  </si>
  <si>
    <t>R42</t>
  </si>
  <si>
    <t>深淵BOSS</t>
  </si>
  <si>
    <t>被遺忘的墓穴-2
攻略遺跡BOSS</t>
  </si>
  <si>
    <t>獲得道具和裝備
P.S.深淵BOSS每七天會重生，而且每次重生會更强，也可以使用"世界"塔羅牌</t>
  </si>
  <si>
    <t>大迷宮のBOSS</t>
  </si>
  <si>
    <t>大迷宮の3階層にいるBOSS</t>
  </si>
  <si>
    <t>BOSSを倒すことで装備とアイテムを獲得できる！
P,S,BOSSは7日事に復活し、復活するごとに強くなる…タロットカード「ザ・ワールド」を使用する事ですぐに復活することが出来る！</t>
  </si>
  <si>
    <t>Abyss Boss</t>
  </si>
  <si>
    <t>Fight the Frenzied Crimson Beast  on the 3rd level of the Ruins Labyrinth.</t>
  </si>
  <si>
    <t>Obtain items and equipment.
Note: The Abyss Boss will respawn every 7 days. You can forcibly respawn it using "The World" tarot card.</t>
  </si>
  <si>
    <t xml:space="preserve">Pelea contra el jefe del abismo en el tercer nivel del Laberinto en ruinas </t>
  </si>
  <si>
    <t>Ruinen-Boss</t>
  </si>
  <si>
    <t>Forgotten Catacombs- 2
Besiege dort den Ruinenboss</t>
  </si>
  <si>
    <t>Erhalte Items und Ausrüstung
P.S. Der Ruinen-Boss wird alle sieben Tage wiedergeboren und wird bei jeder Wiedergeburt stärker. Du kannst auch die "Welt"-Tarotkarte verwenden.</t>
  </si>
  <si>
    <t>Boss Vực Sâu</t>
  </si>
  <si>
    <t>Đánh boss Vực Sâu ở tầng 3 của Mê Cung Tàn Tích.</t>
  </si>
  <si>
    <t>Nhận vật phẩm và trang bị.
Lưu ý: Trùm Vực Sâu sẽ hồi sinh lại sau mỗi 7 ngày. Bạn có thể ép nó hồi sinh bằng cách dùng lá bài tarot “Thế Giới”.</t>
  </si>
  <si>
    <t>R43</t>
  </si>
  <si>
    <t>天上之石碎片1</t>
  </si>
  <si>
    <t>攻略遺跡第三層的BOSS，獲得道具後，使用"星之門"回家，觸發劇情</t>
  </si>
  <si>
    <t>獲得道具"紅髓液"</t>
  </si>
  <si>
    <t>天上の石の欠片1</t>
  </si>
  <si>
    <t>遺跡3階にいるBOSSを倒し、天上の石の欠片を入手したら「星の門」を使って家に帰りろうとするとイベントが発生する</t>
  </si>
  <si>
    <t>「紅髄液」を入手</t>
  </si>
  <si>
    <t>Philosopher's Fragment 1</t>
  </si>
  <si>
    <t>Defeat the boss of Labyrinth Ruins. Afterwards, use the "Star Gate" (Red Door) to go home and an event will trigger to turn it into liquid.</t>
  </si>
  <si>
    <t>Obtain "Philosopher's Fragment" item</t>
  </si>
  <si>
    <t>Fragment des Steins der Weisen - 1</t>
  </si>
  <si>
    <t>Besiege den Boss der dritten Ebene der Ruinen, erhalte ein Item und benutze das „Sternentor“, um nach Hause zurückzukehren und eine Szene auszulösen</t>
  </si>
  <si>
    <t>Erhalte das Item "Rote Markflüssigkeit".</t>
  </si>
  <si>
    <t>Mảnh Hiền Triết 1</t>
  </si>
  <si>
    <t>Đánh bại Boss của Mê Cung Tàn Tích. Sau đó, dùng “Cổng Sao” (Hồng Môn) để về nhà và một sự kiện sẽ kích hoạt biến nó thành chất lỏng.</t>
  </si>
  <si>
    <t>Nhận vật phẩm “Mảnh Hiền Triết”.</t>
  </si>
  <si>
    <t>R44</t>
  </si>
  <si>
    <t>天上之石碎片2</t>
  </si>
  <si>
    <t>哥哥可以喝下該道具，並獲得狀態。</t>
  </si>
  <si>
    <t>獲得狀態
*治癒妹妹前、後喝下，有不同劇情</t>
  </si>
  <si>
    <t>天上の石の欠片2</t>
  </si>
  <si>
    <t>冒険中にItemから選択し飲むことが出来る、非常に不味いらしいがお兄ちゃんが強化される</t>
  </si>
  <si>
    <t>お兄ちゃんの体力が増える
※妹を治す前と治した後に飲むとイベントが異なる反応になる</t>
  </si>
  <si>
    <t>Philosopher's Fragment 2</t>
  </si>
  <si>
    <t>Onii-chan can drink this item and permanently increase his stats</t>
  </si>
  <si>
    <t>Receive buffs.
Drinking this before or after the curing the sister will have different dialogs</t>
  </si>
  <si>
    <t>Fragment des Steins der Weisen - 2</t>
  </si>
  <si>
    <t>Ich kann diesen Gegenstand Trinken und meinen Status erhöhen</t>
  </si>
  <si>
    <t>Erhalte den Status:
*Trinke vor oder nach der Heilung deiner Schwester, es wird unterschiedliche Szenen auslösen.</t>
  </si>
  <si>
    <t>Mảnh Hiền Triết 2</t>
  </si>
  <si>
    <t>Onii-chan có thể uống vật phẩm này và vĩnh viễn tăng chỉ số của mình.</t>
  </si>
  <si>
    <t>Nhận hiệu ứng cường hóa.
Uống cái này trước hoặc sau khi chữa trị cho em gái sẽ có hội thoại khác nhau.</t>
  </si>
  <si>
    <t>R45</t>
  </si>
  <si>
    <t>贖罪吧</t>
  </si>
  <si>
    <t>被遺忘的墓穴-2
攻略遺跡的BOSS(必須要25秒內打完)，會有一個召喚門</t>
  </si>
  <si>
    <t>新地點-墮落的聖堂
有營火
(地圖簡稱"教堂"，目前NPC無任何功能，等待日後更新)</t>
  </si>
  <si>
    <t>汝よ、自からの罪を数えよ！</t>
  </si>
  <si>
    <t>遺跡3階のBOSSを倒すと異空間に繋がる建物が出現する
※25秒以内に倒すと発生する</t>
  </si>
  <si>
    <t>隠しマップ‐堕落の聖堂
聖堂には焚き火と謎のサキュバスが存在してるが現時点ではまだ「その時」ではないらしい
(後続のイベントは未実装)</t>
  </si>
  <si>
    <t>Atone for your sins</t>
  </si>
  <si>
    <t>If you kill the BOSS of the Labyrinth Ruins within 25 seconds, a special door will appear.</t>
  </si>
  <si>
    <t>New Location - "The Fallen Church"
Also called "Church". There are plethora of items and an NPC.
Currently this place serves no purpose and will be implemented in the future.</t>
  </si>
  <si>
    <t>Expia tus pecados</t>
  </si>
  <si>
    <t>Buße</t>
  </si>
  <si>
    <t>Besiege den Ruinen-Boss in der Forgotten Catacombs- 2 innerhalb von 25 Sekunden, um ein Kirchentor zu beschwören</t>
  </si>
  <si>
    <t>Neuer Ort – The Fallen Sanctuary
Es gibt ein Lagerfeuer.
(Kartenkürzel: „Kathedrale“. Die NPCs haben derzeit keine Funktion – Inhalte folgen in zukünftigen Updates.)</t>
  </si>
  <si>
    <t>Chuộc lại tội lỗi của bạn</t>
  </si>
  <si>
    <t>Nếu bạn giết boss của Mê Cung Tàn Tích trong vòng 25 giây, một cánh cửa đặc biệt sẽ xuất hiện.</t>
  </si>
  <si>
    <t>Địa điểm mới – “Nhà Thờ Sa Ngã”
Còn gọi là “Nhà Thờ”. Bên trong có một đống lửa, rất nhiều vật phẩm và một NPC.
Hiện tại nơi này chưa có tác dụng và sẽ được triển khai trong tương lai.</t>
  </si>
  <si>
    <t>R46</t>
  </si>
  <si>
    <t>教堂隱藏物品-1</t>
  </si>
  <si>
    <t>教堂NPC後方，石像的背後</t>
  </si>
  <si>
    <t>裝備:聖少女的憐憫</t>
  </si>
  <si>
    <t>教会に隠されたもの-1</t>
  </si>
  <si>
    <t>謎の淫魔の後ろにある石造の裏側</t>
  </si>
  <si>
    <t>装備を入手</t>
  </si>
  <si>
    <t>Hidden Item - Church - 1</t>
  </si>
  <si>
    <t>Behind the NPC in the Church, there is a statue. Behind it is the hidden item.</t>
  </si>
  <si>
    <t>Obtain "Saint Maiden's Mercy" equipment.</t>
  </si>
  <si>
    <t>Detras del NPC en la iglesia, hay una estatua. Detras de la estatua hay un objeto oculto</t>
  </si>
  <si>
    <t>Versteckter Gegenständ der Kirche- 1</t>
  </si>
  <si>
    <t>Hinter dem Kirchen-NPC, auf der Rückseite der Statue.</t>
  </si>
  <si>
    <t>Ausrüstung: Gnade der Heiligen Jungfrau</t>
  </si>
  <si>
    <t>Vật phẩm ẩn - Nhà thờ - 1</t>
  </si>
  <si>
    <t>Đằng sau NPC trong Nhà Thờ có một bức tượng. Sau bức tượng là vật phẩm ẩn.</t>
  </si>
  <si>
    <t>Nhận trang bị “Lòng Thương Xót của Thánh Nữ"</t>
  </si>
  <si>
    <t>R47</t>
  </si>
  <si>
    <t>商店車-1</t>
  </si>
  <si>
    <t>使用"戰車"塔羅牌進行召喚</t>
  </si>
  <si>
    <t>會召喚貓娘商店車。
請勿立刻撿起物品！否則會視為偷竊！</t>
  </si>
  <si>
    <t>茶会の宅配車-1</t>
  </si>
  <si>
    <t>タロットカード「ザ・チャリオット」を使用する</t>
  </si>
  <si>
    <t>猫娘の販売車を呼ぶことが出来る！
※商品をすぐに拾わないでください！窃盗とみなされます！</t>
  </si>
  <si>
    <t>Shopping Van - 1</t>
  </si>
  <si>
    <t>Can be summoned using "Chariot" tarot card</t>
  </si>
  <si>
    <t>Summons a van owned by a cat girl shop owner.
Don't pick up items immediately because it's considered stealing!!</t>
  </si>
  <si>
    <t>Se puede invocar con la tarjeta del tarot ''Chariot''</t>
  </si>
  <si>
    <t>Fahrender Laden 1</t>
  </si>
  <si>
    <t>Verwende die „Streitwagen“ Tarotkarte, um eine Beschwörung durchzuführen.</t>
  </si>
  <si>
    <t>Es wird ein Katzenmädchen-Shopwagen beschworen.
Bitte nimm die Items nicht sofort auf! Andernfalls wird es als Diebstahl betrachtet!</t>
  </si>
  <si>
    <t>Xe Van Bán Đồ - 1</t>
  </si>
  <si>
    <t>Có thể được triệu hồi bằng lá bài tarot “Xe Ngựa".</t>
  </si>
  <si>
    <t>Triệu hồi một chiếc xe van thuộc về cô gái mèo chủ tiệm.
Đừng nhặt đồ ngay lập tức vì sẽ bị coi là ăn cắp!!</t>
  </si>
  <si>
    <t>R48</t>
  </si>
  <si>
    <t>商店車-2</t>
  </si>
  <si>
    <t>於商店車偷竊商品</t>
  </si>
  <si>
    <t>會被攻擊
警告:貓娘浅羽極為強大，通常情況下是無法擊殺的存在。因此在存檔之前請不要輕易挑戰她。
P.S.即使使用時間暫停器仍會被發現</t>
  </si>
  <si>
    <t>茶会の宅配車-2</t>
  </si>
  <si>
    <t>商品を盗む</t>
  </si>
  <si>
    <t>命を持って償え…
警告：浅羽はお兄ちゃんよりとても強いので普通に勝つことは出来ません！休憩(セーブ)する前に戦おうとしないでください。
P.S. 時間停止器を使用しても見つかることがあります…</t>
  </si>
  <si>
    <t>Shopping Van - 2</t>
  </si>
  <si>
    <t>Steal items from the shop lady</t>
  </si>
  <si>
    <t>The shop owner will attack you.
WARNING: She is extremely strong and will most likely destroy you. Please consider saving before you start stealing.
PS: Even if you stop time, she can still attack you.</t>
  </si>
  <si>
    <t>Fahrender Laden 2</t>
  </si>
  <si>
    <t>Begehe den Diebstahl eines der Items aus dem Ladenwagen</t>
  </si>
  <si>
    <t>Du wirst angegriffen
Warnung: Die Katzenmädchen-Shan Yu ist äußerst stark und normalerweise unbesiegbar. Daher solltest du sie nicht leicht herausfordern, bevor du ein Spiel gespeichert hast.
P.S. Selbst wenn du den Zeitstopper benutzt, wirst du trotzdem entdeckt.</t>
  </si>
  <si>
    <t>Xe Van Bán Đồ - 2</t>
  </si>
  <si>
    <t>Ăn cắp vật phẩm từ cô gái bán hàng.</t>
  </si>
  <si>
    <t>Chủ cửa hàng sẽ tấn công bạn.
CẢNH BÁO: Cô ta cực kỳ mạnh và rất có thể sẽ hủy diệt bạn. Hãy cân nhắc lưu game trước khi bắt đầu ăn cắp.
P/S: Dù bạn dừng thời gian, cô ấy vẫn có thể tấn công bạn.</t>
  </si>
  <si>
    <t>R49</t>
  </si>
  <si>
    <t>商店車-3</t>
  </si>
  <si>
    <t>商店車的固定商品之一</t>
  </si>
  <si>
    <t>獲得道具-魔導映寫器(照相機)
*實裝.拍攝對象是妹妹時，妹妹可能會扮鬼臉
H場景時拍攝也會讓妹妹感到害羞
哥哥被詛咒時，容易拍到靈異照片
*實裝.在深淵中使用，拍照的音效會引起附近怪物們的注意
(目前功能還在初期階段，許多內容未完全實裝)</t>
  </si>
  <si>
    <t>茶会の宅配車-3</t>
  </si>
  <si>
    <t>商店車の固定アイテムの一つ</t>
  </si>
  <si>
    <t>道具 - 魔導映写器（カメラ）
*実装.妹を撮影する際、妹が怒ることがある
Hなシーンで撮影すると妹が恥ずかしがることがある
お兄ちゃんが呪われていると心霊写真が撮れやすくなる…
*実装.大迷宮で使用すると、シャッター音で近くのモンスターの注意を引きます
※まだ初期段階の機能であり、十分に実装されていないコンテンツも多くあります。</t>
  </si>
  <si>
    <t>Shopping Van - 3</t>
  </si>
  <si>
    <t>Buy one of the fixed items from the shop lady</t>
  </si>
  <si>
    <t>Obtain "Magic Camera" item.
Uses: 
- Taking a picture of the sister might cause her to get angry.
- Taking a picture of the sister during H-Scenes might cause her to become embarrassed.
- Taking a picture while cursed might have ghosts in it
- Taking a picture in the abyss might attract monsters due to the sound of the shutters
*Item is still in very early stage and as such, it could be buggy.</t>
  </si>
  <si>
    <t>Compra uno de los objetos fijos a la señora de la tienda</t>
  </si>
  <si>
    <t>Fahrender Laden 3</t>
  </si>
  <si>
    <t>Eines der festen Produkte des Ladenwagens.</t>
  </si>
  <si>
    <t>Erhalte das Item: Magische Fotokamera (Magisches Kamera-Gerät)
Implementiert. Wenn du ein Foto von deiner Schwester machst, könnte sie ein lustiges Gesicht ziehen.
In H-Szenen wird das Fotografieren sie schüchtern machen.
Wenn der Bruder verflucht ist, können Geisterfotos gemacht werden.
Implementiert. Wenn du es in der Ruinen-Zone benutzt, wird das Fotografieren Geräusche erzeugen, die nahegelegene Monster aufmerksam machen.
(Die Funktion befindet sich noch in der Anfangsphase, viele Inhalte sind noch nicht vollständig implementiert.)</t>
  </si>
  <si>
    <t>Xe Van Bán Đồ - 3</t>
  </si>
  <si>
    <t>Mua một trong các vật phẩm cố định từ cô gái bán hàng.</t>
  </si>
  <si>
    <t>Nhận vật phẩm “Máy Ảnh Ma Thuật”.
Công dụng:
 - Chụp hình em gái có thể khiến cô ấy tức giận.
 - Chụp hình em gái trong cảnh H có thể khiến cô ấy xấu hổ.
 - Chụp hình khi đang bị nguyền có thể xuất hiện hồn ma trong ảnh.
 - Chụp hình trong Vực Sâu có thể thu hút quái vật vì tiếng chụp.
*Vật phẩm này vẫn đang ở giai đoạn rất ban đầu nên có thể bị lỗi.</t>
  </si>
  <si>
    <t>R50</t>
  </si>
  <si>
    <t>商店車-4</t>
  </si>
  <si>
    <t>獲得道具:小豬撲滿
該道具在蒐集到100萬之後會進化(同時只能存在一個)
能獲得利息、"瑪門光環"能力、移速加快能力、堅不可摧能力
P.S.無法將身上的錢餵給小豬</t>
  </si>
  <si>
    <t>茶会の宅配車-4</t>
  </si>
  <si>
    <t>宅配車の固定アイテムの一つ</t>
  </si>
  <si>
    <t>アイテム:小豚貯金箱
この貯金箱は100万円集めると進化します(貯金箱は一つしか出現しない)
貯金額に応じて『マモンの光環』能力、移動速度アップ能力、不屈の能力を得ます
P.S. お兄ちゃんが持ってるお金を貯金することは出来ません！</t>
  </si>
  <si>
    <t>Shopping Van - 4</t>
  </si>
  <si>
    <t>Obtain "Piggy Bank" item.
The item will evolve after you collect 1 million yen. (You can only have one at a time)
Depending on how much money it has, you will be able to get certain abilities such as "Mammon Halo", a movement speed acceleration ability and invincibility.
PS: You can't feed the money you have to the piggy bank.</t>
  </si>
  <si>
    <t>Fahrender Laden 4</t>
  </si>
  <si>
    <t>Erhalte das Item: Sparschwein
Dieses Item wird sich weiterentwickeln, wenn du 1 Million gesammelt hast (nur ein Exemplar kann gleichzeitig existieren).
Es gewährt Zinsen, die Fähigkeit "Mammon Aura", erhöhte Bewegungsgeschwindigkeit und die Fähigkeit "Unzerstörbar".
P.S. Es ist nicht möglich, das Geld aus deinem Inventar dem Sparschwein zu geben.</t>
  </si>
  <si>
    <t>Xe Van Bán Đồ - 4</t>
  </si>
  <si>
    <t>Nhận vật phẩm “Heo Đất”.
Vật phẩm này sẽ tiến hóa sau khi bạn tích lũy được 1 triệu yên. (Chỉ có thể giữ một cái cùng lúc)
Tùy theo số tiền bên trong, bạn sẽ có thể nhận được những kỹ năng nhất định như “Vòng Sáng Mammon”, kỹ năng tăng tốc độ di chuyển và bất tử.
P/S: Bạn không thể nạp số tiền đang có vào ống heo</t>
  </si>
  <si>
    <t>R51</t>
  </si>
  <si>
    <t>商店車-5</t>
  </si>
  <si>
    <t xml:space="preserve">
在商店車出現時，如果哥哥剛好被撞到並HP歸零，會到新地圖(未實裝)</t>
  </si>
  <si>
    <t>未實装</t>
  </si>
  <si>
    <t>茶会の宅配車-5</t>
  </si>
  <si>
    <t>茶会の宅配車を呼び出した時にお兄ちゃんが轢かれ体力が0になると異世界転生します…
※現時点では未実装</t>
  </si>
  <si>
    <t>Shopping Van - 5</t>
  </si>
  <si>
    <t>When your hp is reduced to 0 after being run over by the Shopping Van (upon summoning it), you will be transported into a different place. (Not yet implemented)</t>
  </si>
  <si>
    <t>Not yet implemented</t>
  </si>
  <si>
    <t>Cuando tu HP se reduzca a 0 despues de ser arrollado por el carrito de compras (Despues de invocarlo) seras teletransportado a un lugar diferente. (Todavia no ha sido implementado)</t>
  </si>
  <si>
    <t>Fahrender Laden 5</t>
  </si>
  <si>
    <t>Wenn der Ladenwagen erscheint und der Bruder zufällig angefahren wird, sodass seine HP auf null sinken, gelangt er in eine neue Karte (noch nicht implementiert)</t>
  </si>
  <si>
    <t>Xe Van Bán Đồ - 5</t>
  </si>
  <si>
    <t>Khi HP của bạn giảm xuống 0 sau khi bị Xe Van Bán Đồ cán qua (khi triệu hồi nó), bạn sẽ được đưa đến một nơi khác. (Chưa được triển khai)</t>
  </si>
  <si>
    <t>Chưa được triển khai.</t>
  </si>
  <si>
    <t>R52</t>
  </si>
  <si>
    <t>稻草人</t>
  </si>
  <si>
    <t>主要用於測試玩家傷害數值用，有可能透過其他方式擊殺。
(可以參考TIPS)</t>
  </si>
  <si>
    <t>獲得道具：稻草人的心</t>
  </si>
  <si>
    <t>カカシ</t>
  </si>
  <si>
    <t>お兄ちゃんのダメージ値をテストするために使用され、色々な方法で撃破する可能性もある！（TIPSを参照）</t>
  </si>
  <si>
    <t>カカシの心を入手できる</t>
  </si>
  <si>
    <t>Scarecrow</t>
  </si>
  <si>
    <t>Mainly used to test the damage values of the player. Can be killed by other means.
Refer to TIPS on how to do so.</t>
  </si>
  <si>
    <t>Obtain "Scarecrow's Heart" equipment</t>
  </si>
  <si>
    <t>Vogelscheuche</t>
  </si>
  <si>
    <t>Es wird hauptsächlich verwendet, um die Schadenswerte des Spielers zu testen. Es ist möglich, dass es auch auf andere Weisen besiegt werden kann.
(Siehe Tipps)</t>
  </si>
  <si>
    <t>Du erhältst den Gegenstand "Herz der Vogelscheuche".</t>
  </si>
  <si>
    <t>Bù Nhìn</t>
  </si>
  <si>
    <t>Chủ yếu dùng để kiểm tra chỉ số sát thương của người chơi. Có thể bị giết bằng cách khác. Xem mục TIPS để biết cách thực hiện.</t>
  </si>
  <si>
    <t>Nhận trang bị “Trái Tim Bù Nhìn”.</t>
  </si>
  <si>
    <t>R53</t>
  </si>
  <si>
    <t>忍術-1</t>
  </si>
  <si>
    <t>於第R18項目的位置，投餵食物後，可以與忍者NPC學習技能</t>
  </si>
  <si>
    <t>習得技能：氣息消除
可以減少範圍內的敵人警戒範圍，最大可達??格
可以減少妹妹的警戒值累積速率，最大可達??%
需要按下shift鍵切換為走路姿態。</t>
  </si>
  <si>
    <t>R18項目の部屋で、食べ物を与えると忍者NPCからスキルを学ぶことができる！</t>
  </si>
  <si>
    <t>習得スキル：気配遮断
スキル発動中にshiftキーでステルス状態に変更することが出来る
モンスターに発見される警戒範囲を1マス減少する！
妹を覗き見する際の警戒蓄積値を15％減少する
※熟練度を上げることで効果が強くなる！</t>
  </si>
  <si>
    <t>Ninjutsu - 1</t>
  </si>
  <si>
    <t>In the same location as R18, by feeding the ninja NPC some food, she will offer to teach you some ninja skills</t>
  </si>
  <si>
    <t>Obtain new skill: "Breath Concealment"
This skill can reduce detection range by up to ?? tiles.
This skill can reduce imouto's alertness level when peeping by up to ??%
Press the "Shift" key to go to sneaking pose in combat.</t>
  </si>
  <si>
    <t>Ninja 1</t>
  </si>
  <si>
    <t>Ninjutsu -1</t>
  </si>
  <si>
    <t>An der Stelle des R18-Objekts kannst du nach dem Füttern mit Nahrung eine Fähigkeit vom Ninja-NPC erlernen.</t>
  </si>
  <si>
    <t>Erlerne die Fähigkeit: ,,Atemmaskierung"
Kann den Wahrnehmungsbereich der Feinde im Umkreis reduzieren, bis zu ?? Felder.
Kann die Akkumulationsrate der Wachsamkeit von der kleinen Schwester verringern, bis zu ??%.
Du musst die Shift-Taste drücken, um in den Gehmodus zu wechseln.</t>
  </si>
  <si>
    <t>Nhẫn Thuật - 1</t>
  </si>
  <si>
    <t>Ở cùng vị trí với R18, nếu cho NPC ninja một ít thức ăn, cô ấy sẽ đề nghị dạy bạn một số kỹ năng ninja.</t>
  </si>
  <si>
    <t>Nhận kỹ năng mới: “Ẩn Hơi Thở”.
Kỹ năng này có thể giảm phạm vi phát hiện tối đa ?? ô.
Kỹ năng này có thể giảm mức độ cảnh giác của em gái khi rình trộm tối đa ??%.
Nhấn phím “Shift” để vào tư thế lén lút trong chiến đấu.</t>
  </si>
  <si>
    <t>R54</t>
  </si>
  <si>
    <t>忍術-2</t>
  </si>
  <si>
    <t>同上，投餵食物後，可以學習另一項技能
PS：詳細內容於TIPS中</t>
  </si>
  <si>
    <t>習得技能：背後刺殺
於敵人背後進行攻擊，可提升傷害。倍率會隨著熟練度提升，最高可以達到300%</t>
  </si>
  <si>
    <t>さらに他に、食べ物を与えると別のスキルを学ぶことができる。
PS：詳細はTIPSにあります</t>
  </si>
  <si>
    <t>習得スキル：背後刺殺(？)
敵の背後から攻撃することでダメージが増加します。倍率は熟練度に応じて上昇し、最大で300%に達します。</t>
  </si>
  <si>
    <t>Ninjutsu - 2</t>
  </si>
  <si>
    <t>If you feed the ninja NPC some more food, she will teach you more skills</t>
  </si>
  <si>
    <t>Obtain new skill: "Backstab"
Gain up to 300% bonus damage increase when hitting enemies from behind. Proficiency accumulates similarly to Swordsmanship Training.</t>
  </si>
  <si>
    <t>Ninja 2</t>
  </si>
  <si>
    <t>Ninjutsu-2</t>
  </si>
  <si>
    <t>Wie oben, nach dem Füttern mit Nahrung kannst du eine weitere Fähigkeit erlernen.
PS: Weitere Details findest du in den TIPS.</t>
  </si>
  <si>
    <t>Erlerne die Fähigkeit: ,,Hinterhalt"
Greife deinen Feind von hinten an, um den Schaden zu erhöhen. Der Multiplikator steigt mit der Fertigkeit und kann bis zu 300% erreichen</t>
  </si>
  <si>
    <t>Nhẫn Thuật - 2</t>
  </si>
  <si>
    <t>Nếu bạn cho NPC ninja thêm thức ăn, cô ấy sẽ dạy bạn thêm kỹ năng.</t>
  </si>
  <si>
    <t>Nhận kỹ năng mới: “Đâm Lén”.
Gây thêm tối đa 300% sát thương khi tấn công kẻ địch từ phía sau. Độ thành thạo tích lũy tương tự như kỹ năng Rèn Luyện Kiếm Thuật.</t>
  </si>
  <si>
    <t>R55</t>
  </si>
  <si>
    <t>大焦熱溶岩帶</t>
  </si>
  <si>
    <t>於被遺忘的墓穴-2，往洞口掉落(請攜帶復活羽毛)，即可抵達新地圖</t>
  </si>
  <si>
    <t>新地圖：大焦熱溶岩帶
(本地圖各功能皆尚未完成，可能遭遇錯誤BUG，未存檔前不建議前往。)</t>
  </si>
  <si>
    <t>大焦熱溶岩帯</t>
  </si>
  <si>
    <t>忘却のカタコンベ-2において、洞口に落ちると、新しいマップ行くことができます。（火の鳥の羽を装備して落ちるようにしてください）</t>
  </si>
  <si>
    <t>このマップの各機能は未完成のため、エラーやバグに遭遇する可能性があります。セーブせず向かうのは推奨しません。</t>
  </si>
  <si>
    <t>Scorching Lava Zone</t>
  </si>
  <si>
    <t>In Forgotten Catacombs - 2, drop down from the entrance of the cave to reach the new map. Bring a "Feather of Firebird" and try saving before doing so.</t>
  </si>
  <si>
    <t>New area unlocked: "Scorching Lava Zone"
(This map is not completely finished and as such, it might cause bugs or errors. Please save before going here.)</t>
  </si>
  <si>
    <t>Zona de lava</t>
  </si>
  <si>
    <t>En Catacumbas Olvidadas - 2, déjate caer desde la entrada de la cueva para llegar al nuevo mapa. Lleva una «Pluma de Pájaro de Fuego» e intenta guardar antes de hacerlo.</t>
  </si>
  <si>
    <t>Große, brennend heiße Lavazone</t>
  </si>
  <si>
    <t>Forgotten Catacombs - 2, falle in den Eingang der Höhle (bitte nimm ein Wiederbelebungsfeder mit), um eine neue Karte zu erreichen</t>
  </si>
  <si>
    <t>Neuen Scorching Lava Zone.
(Diese Karte ist noch unvollständig, es können Fehler und Bugs auftreten. Es wird empfohlen, sie nicht zu betreten, bevor du gespeichert hast.)</t>
  </si>
  <si>
    <t>Vùng Dung Nham Nóng Chảy</t>
  </si>
  <si>
    <t>Ở Khu Mộ Bị Lãng Quên - 2, nhảy xuống từ lối vào hang để đến bản đồ mới. Hãy mang theo “Hỏa Điểu Vũ” và thử lưu trước khi thực hiện.</t>
  </si>
  <si>
    <t>Khu vực mới được mở khóa: “Khu Dung Nham Nóng Cháy”.
(Bản đồ này chưa hoàn chỉnh nên có thể gây ra lỗi. Hãy lưu game trước khi đến đây.)</t>
  </si>
  <si>
    <t>R56</t>
  </si>
  <si>
    <t>甲蟲</t>
  </si>
  <si>
    <t>同R16，出現了一個未知的生物</t>
  </si>
  <si>
    <t>初步設置的BOSS甲蟲
目前無作用</t>
  </si>
  <si>
    <t>カブトムシ…？</t>
  </si>
  <si>
    <t>同R16、未知の生物が出現した。</t>
  </si>
  <si>
    <t>初期設置のボスモンスター
現在はただのデカい虫でしかない！</t>
  </si>
  <si>
    <t>Beetle Boss</t>
  </si>
  <si>
    <t>Similar to R16, an unknown creature appears for a short time.</t>
  </si>
  <si>
    <t>A preliminary stage for the Beetle boss fight. Currently inactive.</t>
  </si>
  <si>
    <t>Käfer</t>
  </si>
  <si>
    <t>Wie in R16 erscheint eine unbekannte Kreatur</t>
  </si>
  <si>
    <t>Vorläufig eingerichteter Boss-Käfer, derzeit ohne Funktion</t>
  </si>
  <si>
    <t>Boss Bọ Cánh Cứng</t>
  </si>
  <si>
    <t>Giống như R16, một sinh vật bí ẩn xuất hiện trong thời gian ngắn.</t>
  </si>
  <si>
    <t>Một giai đoạn sơ bộ cho trận đánh boss Bọ Cánh Cứng. Hiện chưa hoạt động.</t>
  </si>
  <si>
    <t>R57</t>
  </si>
  <si>
    <t>商店車-6</t>
  </si>
  <si>
    <t>獲得道具:百合同人本
效果：提升性慾
※目前版本只是實驗性道具，之後會有CG鑑賞的功能</t>
  </si>
  <si>
    <t>茶会の宅配車-6</t>
  </si>
  <si>
    <t>商店車の固定商品の一つ</t>
  </si>
  <si>
    <t>百合同人本
効果：性欲を高める
※現在のバージョンは実験的な道具であり、今後CG鑑賞機能が追加される予定です</t>
  </si>
  <si>
    <t>Shopping Van - 6</t>
  </si>
  <si>
    <t>Purchase the new item added in the shopping van</t>
  </si>
  <si>
    <t>Obtain "Yuri Doujinshi" item.
This item increases your sexual desire.
*The current version of this item is just an experimental version. A CG related to this item will be added later.</t>
  </si>
  <si>
    <t>Fahrender Laden 6</t>
  </si>
  <si>
    <t>Ein Festes Produkt vom Fahrenden Laden</t>
  </si>
  <si>
    <t>Erhaltenes Item: Lily Dōjinshi
Effekt: Erhöht das sexuelle Verlangen
※ In der aktuellen Version ist dies nur ein experimentelles Item. Später wird eine Bildergalerie verfügbar sein.</t>
  </si>
  <si>
    <t>Xe Van Bán Đồ - 6</t>
  </si>
  <si>
    <t>Mua vật phẩm mới được thêm vào trong xe tải mua sắm.</t>
  </si>
  <si>
    <t>Nhận vật phẩm “Yuri Doujinshi”. Vật phẩm này làm tăng ham muốn tình dục của bạn.
*Phiên bản hiện tại của vật phẩm này chỉ là thử nghiệm. Hình CG liên quan sẽ được bổ sung sau.</t>
  </si>
  <si>
    <t>R58</t>
  </si>
  <si>
    <t>商店車-7</t>
  </si>
  <si>
    <t>獲得道具:萌萌同人本
效果：是提升性慾
※目前版本只是實驗性道具，之後會有CG鑑賞的功能</t>
  </si>
  <si>
    <t>茶会の宅配車-7</t>
  </si>
  <si>
    <t>萌え萌え同人誌
効果：性欲を高める
※現在のバージョンは実験的な道具であり、今後CG鑑賞機能が追加される予定です</t>
  </si>
  <si>
    <t>Shopping Van - 7</t>
  </si>
  <si>
    <t>Obtain "Moe Doujinshi" item.
This item increases your sexual desire.
*The current version of this item is just an experimental version. A CG related to this item will be added later.</t>
  </si>
  <si>
    <t>Fahrender Laden 7</t>
  </si>
  <si>
    <t>Ebenfalls ein Festes Produkt vom Fahrenden Laden</t>
  </si>
  <si>
    <t>Erhaltenes Item: Moe Dōjinshi
Effekt: Steigert das sexuelle Verlangen
※ In der aktuellen Version ist dies nur ein experimentelles Item. Später wird es eine Bildergalerie geben.</t>
  </si>
  <si>
    <t>Xe Van Bán Đồ - 7</t>
  </si>
  <si>
    <t>Nhận vật phẩm “Doujinshi Moe”. Vật phẩm này làm tăng ham muốn tình dục của bạn.
*Phiên bản hiện tại của vật phẩm này chỉ là thử nghiệm. Hình CG liên quan sẽ được bổ sung sau.</t>
  </si>
  <si>
    <t>R59</t>
  </si>
  <si>
    <t>開發中區域(礦坑)-2</t>
  </si>
  <si>
    <t>從開發中區域(礦坑)-1的最後方，可以通往下一張地圖</t>
  </si>
  <si>
    <t>抵達"開發中區域(礦坑)-2"</t>
  </si>
  <si>
    <t>開発中区域（鉱坑）-2</t>
  </si>
  <si>
    <t>開発中区域（鉱坑）-1の最後の部分から、次のマップに進むことができる</t>
  </si>
  <si>
    <t>『開発中区域（鉱坑）-2』に到達</t>
  </si>
  <si>
    <t>Excavation Site (Mine Tunnels) - 2</t>
  </si>
  <si>
    <t>At the end of Excavation Site (Mine Tunnels) - 1, you can proceed further to the second tunnel</t>
  </si>
  <si>
    <t>Will arrive at  Excavation Site (Mine Tunnels) - 2</t>
  </si>
  <si>
    <t>Entwicklungsbereich (Mine-2)</t>
  </si>
  <si>
    <t>Vom hintersten Ende des Entwicklungsbereichs (Mine-1) aus gelangst du zur nächsten Karte.</t>
  </si>
  <si>
    <t>Ankunft im Entwicklungsbereich (Mine-2)</t>
  </si>
  <si>
    <t>Khu Khai Quật (Đường Hầm Mỏ) - 2</t>
  </si>
  <si>
    <t>Ở cuối Khu Khai Quật (Đường Hầm Mỏ) - 1, bạn có thể tiến xa hơn vào đường hầm thứ hai.</t>
  </si>
  <si>
    <t>Sẽ đến được Khu Khai Quật (Đường Hầm Mỏ) – 2.</t>
  </si>
  <si>
    <t>R60</t>
  </si>
  <si>
    <t>隱藏通道</t>
  </si>
  <si>
    <t>開發中區域(礦坑)-2，地圖中間往右上方，有一個隱藏通道可以連接到"山的洞窟"(R11)</t>
  </si>
  <si>
    <t>清除岩石後可以連接到山的洞窟</t>
  </si>
  <si>
    <t>隠し通路</t>
  </si>
  <si>
    <t>開発中区域（鉱坑）-2の地図の中央から右上に、山の洞窟（R11）に繋がる隠し通路があります</t>
  </si>
  <si>
    <t>岩石を取り除いた後、山の洞窟に繋がります</t>
  </si>
  <si>
    <t>Hidden Passage - 1</t>
  </si>
  <si>
    <t>When in Excavation Site (Mine Tunnels) - 2, there is a hidden passage that can be found at the upper right corner in the middle part of the map that you can walk through which leads to the Mountain Cave map (R11)</t>
  </si>
  <si>
    <t>Once you break the rocks blocking the doorway, you'll be able to enter the Mountain Cave</t>
  </si>
  <si>
    <t>Geheimer Durchgang</t>
  </si>
  <si>
    <t>Im Entwicklungsbereich (Mine-2), in der Mitte der Karte gibt es rechts oben einen geheimen Durchgang, der zur "Berghöhle" (R11) führt.</t>
  </si>
  <si>
    <t>Nach dem Entfernen des Felsens gelangt man zur Berghöhle.</t>
  </si>
  <si>
    <t xml:space="preserve">Lối đi bí mật -1 </t>
  </si>
  <si>
    <t>Khi ở Khu Khai Quật (Đường Hầm Mỏ) - 2, có một lối đi bí mật nằm ở góc trên bên phải phần giữa bản đồ mà bạn có thể đi qua để đến khu vực Hang Núi (R11).</t>
  </si>
  <si>
    <t>Khi bạn phá vỡ những tảng đá chặn lối vào, bạn sẽ có thể tiến vào Hang Núi.</t>
  </si>
  <si>
    <t>R61</t>
  </si>
  <si>
    <t>開發中區域(礦坑)-3</t>
  </si>
  <si>
    <t>於"開發中區域(礦坑)-2"，地圖中間往上方的巨大岩石，通過後可以抵達"開發中區域(礦坑)-3"，可以手動破壞，或者乘坐礦車衝進去</t>
  </si>
  <si>
    <t>抵達"開發中區域(礦坑)-3"</t>
  </si>
  <si>
    <t>開発中区域（鉱坑）-3</t>
  </si>
  <si>
    <t>『開発中区域（鉱坑）-2』の中央上方にある巨大な岩石を通過すると、『開発中区域（鉱坑）-3』に到達できます。手動で破壊するか、鉱車に乗って突進することが可能です</t>
  </si>
  <si>
    <t>『開発中区域（鉱坑）-3』に到達</t>
  </si>
  <si>
    <t>Excavation Site (Mine Tunnels) - 3</t>
  </si>
  <si>
    <t>In Excavation Site (Mine Tunnels) - 2, there is a passage that can be found at the north from the middle part of the map which leads further to the tunnels. The rocks blocking the way can be destroyed by attacking or hit by the minecart.</t>
  </si>
  <si>
    <t xml:space="preserve">Will arrive at Excavation Site (Mine Tunnels) - 3
 </t>
  </si>
  <si>
    <t>Entwicklungsbereich (Mine-3)</t>
  </si>
  <si>
    <t>Im "Entwicklungsbereich (Mine-2)": Der riesige Felsen in der Mitte der Karte nach oben kann überwunden werden, um zum "Entwicklungsbereich (Mine-3)" zu gelangen. Er kann entweder manuell zerstört oder mit der Lore durchstoßen werden.</t>
  </si>
  <si>
    <t>Ankunft im "Entwicklungsbereich (Mine-3)"</t>
  </si>
  <si>
    <t>Khu Khai Quật (Đường Hầm Mỏ) - 3</t>
  </si>
  <si>
    <t>Ở Khu Khai Quật (Đường Hầm Mỏ) - 2, có một lối đi ở phía bắc từ giữa bản đồ dẫn sâu hơn vào đường hầm. Những tảng đá chặn đường có thể bị phá hủy bằng cách tấn công hoặc bị xe mỏ va vào.</t>
  </si>
  <si>
    <t>Sẽ đến được Khu Khai Quật (Đường Hầm Mỏ) – 3.</t>
  </si>
  <si>
    <t>R62</t>
  </si>
  <si>
    <t>開發中區域(礦坑)-4</t>
  </si>
  <si>
    <t>於"開發中區域(礦坑)-3"，順著地圖路徑可以抵達"開發中區域(礦坑)-4"，若不慎跌落將抵達熔岩區域</t>
  </si>
  <si>
    <t>抵達"開發中區域(礦坑)-4"</t>
  </si>
  <si>
    <t>開発中区域（鉱坑）-4</t>
  </si>
  <si>
    <t>『開発中区域（鉱坑）-3』から道を進むと、『開発中区域（鉱坑）-4』に到達できます。もし不注意で落ちると、溶岩エリアに落ちてしまう…</t>
  </si>
  <si>
    <t>『開発中区域（鉱坑）-4』に到達</t>
  </si>
  <si>
    <t>Excavation Site (Mine Tunnels) - 4</t>
  </si>
  <si>
    <t>In Excavation Site (Mine Tunnels) - 3, keep following the path to reach the furthest area of the mines. If you accidentally fall, you'll arrive at the Scorching Lava Zone map.</t>
  </si>
  <si>
    <t xml:space="preserve">Will arrive at  Excavation Site (Mine Tunnels) - 4
 </t>
  </si>
  <si>
    <t>Entwicklungsbereich (Mine-4)</t>
  </si>
  <si>
    <t>Im "Entwicklungsbereich (Mine-3)": Folge dem Kartenweg, um zum "Entwicklungsbereich (Mine-4)" zu gelangen. Ein unvorsichtiges Hinabfallen führt in den Lavabereich.</t>
  </si>
  <si>
    <t>Ankunft im "Entwicklungsbereich (Mine-4)"</t>
  </si>
  <si>
    <t>Ở Khu Khai Quật (Đường Hầm Mỏ) - 3, tiếp tục đi theo con đường để đến khu vực sâu nhất của mỏ. Nếu bạn lỡ ngã xuống, bạn sẽ đến khu vực Khu Dung Nham Nóng Chảy.</t>
  </si>
  <si>
    <t>Sẽ đến được Địa Điểm Khai Quật (Đường Hầm Mỏ) – 4.</t>
  </si>
  <si>
    <t>R63</t>
  </si>
  <si>
    <t>於"開發中區域(礦坑)-4"，離開樓梯區域後的右上方大片岩石，有個隱藏的通道</t>
  </si>
  <si>
    <t>抵達"被遺忘的墓穴-1"</t>
  </si>
  <si>
    <t>『開発中区域（鉱坑）-4』で、階段エリアを出た後の右上方にある大きな岩石の裏に、隠し通路があります</t>
  </si>
  <si>
    <t>『忘却のカタコンベ-1』に到達</t>
  </si>
  <si>
    <t>Hidden Passage - 2</t>
  </si>
  <si>
    <t>When in Excavation Site (Mine Tunnels) - 4, there is a hidden passage that can be found on the large rock in the upper right corner after leaving the stairs.</t>
  </si>
  <si>
    <t>Will arrive at Forgotten Catacombs Upper Level - 1</t>
  </si>
  <si>
    <t>Geheimer Durchgang 2</t>
  </si>
  <si>
    <t>Im "Entwicklungsbereich (Mine-4)": Rechts oben hinter dem Treppenbereich befindet sich ein großer Felsen mit einem geheimen Durchgang.</t>
  </si>
  <si>
    <t>Ankunft im "Vergessenen Grabmal-1"</t>
  </si>
  <si>
    <t>Lối đi bí mật - 2</t>
  </si>
  <si>
    <t>Khi ở Khu Khai Quật (Đường Hầm Mỏ) - 4, có một lối đi bí mật nằm trên tảng đá lớn ở góc trên bên phải sau khi rời khỏi cầu thang.</t>
  </si>
  <si>
    <t>Sẽ đến được Hầm Mộ Bị Lãng Quên – 1.</t>
  </si>
  <si>
    <t>R64</t>
  </si>
  <si>
    <t>前往廢墟森林</t>
  </si>
  <si>
    <t>於"冒險者小道:林間-2"，繞過公告牌子後，通過森林可以抵達"廢墟森林"</t>
  </si>
  <si>
    <t>抵達"廢墟森林"</t>
  </si>
  <si>
    <t>廃墟の森へ…</t>
  </si>
  <si>
    <t>『冒険者小道：林間-2』で掲示板を破壊した後、森を通過すると『廃墟の森』に到達できる</t>
  </si>
  <si>
    <t>『廃墟の森』に到達</t>
  </si>
  <si>
    <t>Forest of Ruins</t>
  </si>
  <si>
    <t>In Adventurer's Path: Grove - 2, you can destroy the signpost which will give you access to the Forest of Ruins map</t>
  </si>
  <si>
    <t>Will arrive at Forest oF Ruins</t>
  </si>
  <si>
    <t>Geh in den Ruinenwald.</t>
  </si>
  <si>
    <t>Im "Adventurer's Path: Grove - 2“: Nachdem du das Anschlagbrett zerstört hast, kannst du durch den Wald zur "Ruinen-Wald" gelangen.</t>
  </si>
  <si>
    <t>Du erreichst den Ruinenwald.
(Forest oF Ruins)</t>
  </si>
  <si>
    <t>Khu rừng tàn tích</t>
  </si>
  <si>
    <t>Trong Con Đường Nhà Thám Hiểm: Tượng Đài, bạn có thể phá hủy tấm bảng chỉ dẫn để mở lối đến khu vực Khu Rừng Đổ Nát</t>
  </si>
  <si>
    <t>Sẽ đến được Khu Rừng Của Tàn Tích</t>
  </si>
  <si>
    <t>R65</t>
  </si>
  <si>
    <t>女僕兔BOSS區域-1</t>
  </si>
  <si>
    <t>於"廢墟森林"透過特殊移動手段，可以抵達女僕兔的BOSS區域</t>
  </si>
  <si>
    <t>抵達BOSS區域
P.S.例如：怪鳥的羽毛可以進行漂浮</t>
  </si>
  <si>
    <t>メイドバニーBOSSエリア-1</t>
  </si>
  <si>
    <t>『廃墟の森』で特殊な移動手段を使うことで、メイドバニーのBOSS区域に到達できる</t>
  </si>
  <si>
    <t>BOSS区域に到達
P.S. 例：怪鳥の羽は浮遊に使用できます</t>
  </si>
  <si>
    <t>Maid Rabbit Boss Area - 1</t>
  </si>
  <si>
    <t>In the Ruined Forest map, you can reach the Maid Rabbit's Boss Area by using special movement methods</t>
  </si>
  <si>
    <t>Will arrive at the Maid Rabbit Boss Area
PS: For example, you can use the weapon "Weird Feather" to float around the hole</t>
  </si>
  <si>
    <t>Bereich der Hasenmädchen Magd BOSS-1</t>
  </si>
  <si>
    <t>Im "Ruinenwald": Mit speziellen Bewegungsmethoden kannst du zum Bossbereich der Hasenmädchenmagd gelangen.</t>
  </si>
  <si>
    <t>Ankunft im Bossbereich
Ps. Mit den Federn des Monstervogels kann man schweben.</t>
  </si>
  <si>
    <t>Khu vực boss Thỏ Hầu Gái - 1</t>
  </si>
  <si>
    <t>Trong bản đồ Khu Rừng Đổ Nát, bạn có thể đến Khu Vực Boss Thỏ Hầu Gái bằng cách sử dụng những phương pháp di chuyển đặc biệt.</t>
  </si>
  <si>
    <t>Sẽ đến được Khu Vực Trùm Thỏ Hầu Gái.
P/S: Ví dụ, bạn có thể dùng vũ khí “Lông Vũ Kỳ Lạ” để bay lơ lửng quanh cái hố.</t>
  </si>
  <si>
    <t>R66</t>
  </si>
  <si>
    <t>女僕兔BOSS區域-2</t>
  </si>
  <si>
    <t>於BOSS區域前的寶箱，開啟後會爆炸，會對玩家或敵人造成傷害</t>
  </si>
  <si>
    <t>請謹慎開啟
*不會重置</t>
  </si>
  <si>
    <t>メイドバニーBOSSエリア-2</t>
  </si>
  <si>
    <t>BOSSエリア前の宝箱は開けると爆発し、お兄ちゃんや敵にダメージを与えます…</t>
  </si>
  <si>
    <t>慎重に開けよう…
※リセットされません</t>
  </si>
  <si>
    <t>Maid Rabbit Boss Area - 2</t>
  </si>
  <si>
    <t>The treasure chest placed in the boss area will explode immediately after interacting that damages both the player and the enemy.</t>
  </si>
  <si>
    <t>Open with caution
*One-time only</t>
  </si>
  <si>
    <t>Bereich der Hasenmädchen Magd BOSS-2</t>
  </si>
  <si>
    <t>Die Schatzkiste vor dem Bossbereich explodiert beim Öffnen und verursacht Schaden an Spieler oder Gegner.</t>
  </si>
  <si>
    <t>Bitte vorsichtig öffnen.</t>
  </si>
  <si>
    <t>Khu vực boss Thỏ Hầu Gái - 2</t>
  </si>
  <si>
    <t>Rương kho báu đặt trong khu vực boss sẽ phát nổ ngay sau khi tương tác, gây sát thương cho cả người chơi lẫn kẻ địch.</t>
  </si>
  <si>
    <t>Mở ra một cách thận trọng.
*Chỉ một lần duy nhất</t>
  </si>
  <si>
    <t>R67</t>
  </si>
  <si>
    <t>女僕兔BOSS區域-3</t>
  </si>
  <si>
    <t>拔除發光的胡蘿蔔後，將召喚女僕兔BOSS
P.S.穿著女僕裝有不同的分歧對話，但仍會觸發戰鬥，請記得更新戰鬥裝備</t>
  </si>
  <si>
    <t>召喚BOSS-箱庭的白兔</t>
  </si>
  <si>
    <t>メイドバニーBOSSエリア-3</t>
  </si>
  <si>
    <t>ニンジンを抜くと、メイドバニーのボスが召喚されます
P.S. メイド服を着ている場合、異なる分岐会話が発生しますが、戦闘は発生します。装備を変更するのを忘れることなかれ…</t>
  </si>
  <si>
    <t>ボス召喚-箱庭の白うさぎ</t>
  </si>
  <si>
    <t>Maid Rabbit Boss Area - 3</t>
  </si>
  <si>
    <t>Picking up the glowing carrot on the ground will trigger the boss battle.
PS: Wearing the maid outfit will trigger different dialog but still triggers a fight. Please remember to change your gear.</t>
  </si>
  <si>
    <t xml:space="preserve">Spawns the boss "White Rabbit Beyond Wonderland"
</t>
  </si>
  <si>
    <t>Bereich der Hasenmädchen Magd BOSS-3</t>
  </si>
  <si>
    <t>Nachdem die Karotte herausgezogen wird, wird der Boss der Hasenmädchenmagd beschworen. Im Dienstmädchenoutfit gibt es unterschiedliche verzweigte Dialoge.</t>
  </si>
  <si>
    <t>Beschwöre den Boss: Weiße Kaninchen des Miniaturgartens</t>
  </si>
  <si>
    <t>Khu vực boss Thỏ Hầu Gái - 3</t>
  </si>
  <si>
    <t>Nhặt những củ cà rốt trên mặt đất sẽ kích hoạt trận chiến với boss.
Ghi chú: Mặc bộ đồ hầu gái sẽ kích hoạt hội thoại khác nhưng vẫn dẫn đến trận chiến. Hãy nhớ thay đổi trang bị của bạn.</t>
  </si>
  <si>
    <t>Triệu hồi boss “Thỏ Trắng Vượt Ngoài Xứ Sở Thần Tiên” (CHƯA ĐƯỢC TRIỂN KHAI).</t>
  </si>
  <si>
    <t>R68</t>
  </si>
  <si>
    <t>女僕兔BOSS區域-4</t>
  </si>
  <si>
    <t>擊敗-箱庭的白兔
特殊擊敗(未實裝)-將所有洞口炸毀，即可擊敗BOSS</t>
  </si>
  <si>
    <t>機率掉落道具：胡蘿蔔大劍/凍蘿蔔大劍/霉蘿蔔大劍
機率掉落食材：胡蘿蔔
機率掉落裝甲：萌萌兔耳、女僕制服
掉落道具：兔子地圖(唯一)</t>
  </si>
  <si>
    <t>メイドバニーBOSSエリア-4</t>
  </si>
  <si>
    <t>撃破 ― 箱庭の白うさぎ
特殊な撃破（未実装） ― すべての穴を爆破すれば、BOSSを倒すことができる</t>
  </si>
  <si>
    <t xml:space="preserve">
確率でドロップするアイテム：にんじん大剣／凍ったにんじん大剣／カビたにんじん大剣
確率でドロップする食材：にんじん
確率でドロップする防具：もふもふウサ耳、メイド服
確定ドロップアイテム：うさぎの地図（唯一）
</t>
  </si>
  <si>
    <t>Maid Rabbit Boss Area - 4</t>
  </si>
  <si>
    <t>Defeat White Rabbit Beyond Wonderland
Special method of killing: Blow up all the rabbit holes until there is nothing left</t>
  </si>
  <si>
    <t>Drops "Carrot Sword" weapon
Drops "Frozen Carrot Greatsword" weapon
Drops "Moldy Carrot Greatsword" weapon
Drops "Carrot" food ingredient
Drops Bunny Map item at a chance</t>
  </si>
  <si>
    <t>Bereich der Hasenmädchen Magd BOSS-4</t>
  </si>
  <si>
    <t>Besiege das Weiße Kaninchen des Miniaturgartens</t>
  </si>
  <si>
    <t>Gefundenes Item: Riesenkarottenschwert
Gefundene Zutat: Karotte</t>
  </si>
  <si>
    <t>Khu vực boss Thỏ Hầu Gái - 4</t>
  </si>
  <si>
    <t>Đánh bại Thỏ Trắng Ngoài Xứ Sở Thần Tiên.
Cách đặc biệt để đánh bại: cho nổ tung tất cả các hang thỏ đến khi không còn gì sót lại</t>
  </si>
  <si>
    <t>Rơi ra vũ khí “Kiếm Cà Rốt”
Rơi ra vũ khí "Đại Kiếm Cà Rốt Đông Đá"
Rơi ra vũ khí "Đại Kiếm Cà Rốt Mốc"
Rơi ra nguyên liệu thức ăn “Cà Rốt”.
Rơi ra vật phẩm Bản Đồ Thỏ ngẫu nhiên</t>
  </si>
  <si>
    <t>R69</t>
  </si>
  <si>
    <t>獵人小屋</t>
  </si>
  <si>
    <t xml:space="preserve">獵人小屋開放探索了，需要打破門才能進入
在皮草堆中可撿到獵人服
在中央櫃子堆中可撿到獵人腰帶
</t>
  </si>
  <si>
    <t>獲得裝備：獵人服、獵人腰帶
*未來預計有Npc</t>
  </si>
  <si>
    <t>狩人の小屋</t>
  </si>
  <si>
    <t>獲物小屋が開放されて探索可能になりました。入るにはドアを壊す必要があります。
毛皮の山の中からハンターの服を拾えます
中央の棚の山の中からハンターのベルトを拾えます</t>
  </si>
  <si>
    <t>ハンターの服、ハンターのベルト
*将来的にNPCが追加される予定です</t>
  </si>
  <si>
    <t>Hunter's Lodge</t>
  </si>
  <si>
    <t xml:space="preserve">The Hunter's Lodge is now accessible. You have to break down the door to enter.
Interacting with the hanging fur robe gives you the Hunter's Robe equipment
Interacting with the cabinet to the right of the hanging fur robe gives you the Hunter's Belt equipment
</t>
  </si>
  <si>
    <t>Obtain "Hunter's Robe" equipment
Obtain "Hunter's Belt" equipment
*NPCs are expected to be added in the future</t>
  </si>
  <si>
    <t>Jägerhütte - Keller</t>
  </si>
  <si>
    <t>Die Jägerhütte kann nun erkundet werden, die Tür muss zum Betreten aufgebrochen werden.
Im Fellhaufen kann man die Jägerkleidung finden.
Im Haufen der mittleren Schränke kann man den Jägergürtel finden.</t>
  </si>
  <si>
    <t>Erhaltene Ausrüstung: Jägerkleidung, Jägergürtel
In Zukunft sind NPCs geplant</t>
  </si>
  <si>
    <t>Căn Nhà Của Thợ Săn</t>
  </si>
  <si>
    <t>Ngôi Nhà Của Thợ Săn giờ đã được mở. Bạn cần phá cửa để đi vào
Tương tác với áo choàng lông đang treo sẽ cho bạn trang bị Áo Choàng Thợ Săn.
Tương tác với chiếc tủ ở bên phải áo choàng lông treo sẽ cho bạn trang bị Đai Thợ Săn.</t>
  </si>
  <si>
    <t>Nhận trang bị “Áo Choàng Thợ Săn”
Nhận trang bị “Đai Thợ Săn”
*Dự kiến NPC sẽ được thêm vào trong tương lai.</t>
  </si>
  <si>
    <t>R70</t>
  </si>
  <si>
    <t>獵人小屋-地下室</t>
  </si>
  <si>
    <t>中下方木板處有隱藏通道，可以通過爆炸等手段進入
可獲得獵人短刀
並且在右下方的木桶中，可以獲得護刃眾的徽章</t>
  </si>
  <si>
    <t>獲得裝備：獵人短刀、護刃眾的徽章</t>
  </si>
  <si>
    <t>狩人の小屋-地下室</t>
  </si>
  <si>
    <t>下方の木板のところに隠し通路があり、爆発などの手段で入ることができます。
ハンターの短刀を獲得できます。
さらに右下の木桶の中で、護刃の徽章を獲得できます</t>
  </si>
  <si>
    <t>ハンターの短刀、護刃衆の徽章</t>
  </si>
  <si>
    <t>Hunter's Lodge - Basement</t>
  </si>
  <si>
    <t>From the center of the lodge, if you look at the bottom left corner, there is a plank that covers a hidden path on the floor. Use explosives to destroy it. You'll be able to find a Hunter's Dagger and upon breaking the barrel to the bottom right, you'll obtain Bladekeeper's Badge</t>
  </si>
  <si>
    <t>Obtain "Hunter's Dagger" equipment
Obtain "Bladekeeper's Badge" equipment</t>
  </si>
  <si>
    <t>Jägerhütte – Keller</t>
  </si>
  <si>
    <t>Unterhalb der mittleren Holzplanken gibt es einen versteckten Durchgang, den man z. B. durch Sprengung betreten kann.
Man kann das Jägerkurzschwert erhalten.
Außerdem kann man im Holzfass unten rechts das Abzeichen der Schutzklingen bekommen.</t>
  </si>
  <si>
    <t>Erhaltene Ausrüstung: Jägerkurzschwert, Abzeichen der Schutzklingen</t>
  </si>
  <si>
    <t>Căn Nhà Của Thợ Săn - Tầng Hầm</t>
  </si>
  <si>
    <t>Từ trung tâm căn nhà, nếu bạn nhìn xuống góc dưới bên trái, có một tấm ván che một lối đi bí mật trên sàn. Hãy dùng thuốc nổ để phá hủy nó. Bạn sẽ tìm được Dao Thợ Săn và khi phá thùng ở góc dướii bên phải, bạn sẽ nhận được Huy Hiệu Thủ Hộ Kiếm.</t>
  </si>
  <si>
    <t>Nhận trang bị “Dao Thợ Săn”
Nhận trang bị “Huy Hiệu Thủ Hộ Kiếm”.</t>
  </si>
  <si>
    <t>R71</t>
  </si>
  <si>
    <t>隱藏道具</t>
  </si>
  <si>
    <t>於"開發中區域(礦坑)-2"最下方水面的發光處</t>
  </si>
  <si>
    <t>獲得裝備：護刃眾的徽章</t>
  </si>
  <si>
    <t>隠されたアイテム</t>
  </si>
  <si>
    <t>「開発中区域（鉱坑）-2」の最下方水面の発光部分</t>
  </si>
  <si>
    <t>護刃衆の徽章</t>
  </si>
  <si>
    <t>Hidden Items</t>
  </si>
  <si>
    <t>In Excavation Site (Mine Tunnels) - 2, there is a glowing spot on the water just to the left of the entrance.</t>
  </si>
  <si>
    <t>Obtain "Bladekeeper's Badge" equipment</t>
  </si>
  <si>
    <t>Verstecktes Item</t>
  </si>
  <si>
    <t>Erhaltene Ausrüstung: Abzeichen der Schutzklingen</t>
  </si>
  <si>
    <t>Vật phẩm ẩn</t>
  </si>
  <si>
    <t>Ở Khu Khai Quật (Đường Hầm Mỏ) - 2, có một chấm sáng trên mặt nước ngay bên trái lối vào.</t>
  </si>
  <si>
    <t>Nhận trang bị “Huy Hiệu Thủ Hộ Kiếm”.</t>
  </si>
  <si>
    <t>R72</t>
  </si>
  <si>
    <t>於"開發中區域(礦坑)-3"進入後的左方木箱發光處</t>
  </si>
  <si>
    <t>獲得裝備：安全手套</t>
  </si>
  <si>
    <t>セーフティグローブ</t>
  </si>
  <si>
    <t>In Excavation Site (Mine Tunnels) - 3, there is a glowing spot just to the left after going up from the entrance.</t>
  </si>
  <si>
    <t>Obtain "Safety Gloves" equipment</t>
  </si>
  <si>
    <t>Erhaltene Ausrüstung: Sichere Handschuhe</t>
  </si>
  <si>
    <t>Ở Khu Khai Quật (Đường Hầm Mỏ) - 3, có một chấm sáng ngay bên trái sau khi đi lên từ lối vào.</t>
  </si>
  <si>
    <t>Nhận trang bị “Găng Tay An Toàn”.</t>
  </si>
  <si>
    <t>R73</t>
  </si>
  <si>
    <t xml:space="preserve">於開發中區域(礦坑)-3的懸空處，利用裝備技巧可以獲得隱藏道具
</t>
  </si>
  <si>
    <t>獲得裝備：寶石劍</t>
  </si>
  <si>
    <t xml:space="preserve">「開発中区域（鉱坑）-3の浮いている場所で、浮遊すると隠しアイテムを獲得できます(怪鳥の羽など)　</t>
  </si>
  <si>
    <t>宝石の剣</t>
  </si>
  <si>
    <t>In Excavation Site (Mine Tunnels) - 3, after you pass the first wooden bridge, there is a glowing spot below on a cave stalagmite. You can obtain it by uitilizing various equipments' abilities.</t>
  </si>
  <si>
    <t>Obtain "Jeweled Armament" equipment</t>
  </si>
  <si>
    <t>Erhaltene Ausrüstung: Juwelenschwert</t>
  </si>
  <si>
    <t>Ở Khu Khai Quật (Đường Hầm Mỏ) - 3, sau khi bạn đi qua cây cầu gỗ đầu tiên, có một chấm sáng bên dưới trên măng đá trong hang. Bạn có thể lấy nó bằng cách tận dụng khả năng của nhiều loại trang bị khác nhau.</t>
  </si>
  <si>
    <t>Nhận trang bị “Vũ Khí Nạm Ngọc”.</t>
  </si>
  <si>
    <t>R74</t>
  </si>
  <si>
    <t>於開發中區域(礦坑)-4，中央樓梯上方的發光處</t>
  </si>
  <si>
    <t>獲得裝備：生鏽的鐵劍</t>
  </si>
  <si>
    <t>「開発中区域（鉱坑）-4」の中央の階段上方にある発光部分</t>
  </si>
  <si>
    <t>錆びた鉄剣</t>
  </si>
  <si>
    <t xml:space="preserve">In the Excavation Site (Mine Tunnels) - 4, find the glowing spot on the top of the stairs before you go down
</t>
  </si>
  <si>
    <t>Obtain "Rusty Iron Sword" equipment</t>
  </si>
  <si>
    <t>Erhaltene Ausrüstung: Verrostetes Eisenschwert</t>
  </si>
  <si>
    <t>Ở Khu Khai Quật (Đường Hầm Mỏ) - 4, hãy tìm chấm sáng ở trên đỉnh cầu thang trước khi bạn đi xuống</t>
  </si>
  <si>
    <t>Nhận trang bị “Kiếm Sắt Gỉ”.</t>
  </si>
  <si>
    <t>R75</t>
  </si>
  <si>
    <t>於開發中區域(礦坑)-4，中央樓梯下去後的左方</t>
  </si>
  <si>
    <t>獲得裝備：鐵覘
鐵覘的規則說明於Tips中</t>
  </si>
  <si>
    <t>「開発中区域（鉱坑）-4」で、中央の階段を降りた後の左側にあります</t>
  </si>
  <si>
    <t>金床
金床の説明はTipsに記載されています</t>
  </si>
  <si>
    <t xml:space="preserve">In the Excavation Site (Mine Tunnels) - 4, find the glowing spot on the left after going down the stairs from the center
</t>
  </si>
  <si>
    <t>Obtain "Anvil" equipment
Anvil's purpose is explained in TIPS</t>
  </si>
  <si>
    <t>Erhaltene Ausrüstung: Eisenzirkel
Die Regeln für den Eisenzirkel sind im Tipps-Bereich erklärt</t>
  </si>
  <si>
    <t>Ở Khu Khai Quật (Đường Hầm Mỏ) - 4, hãy tìm điểm sáng bên trái sau khi đi xuống cầu thang từ trung tâm.</t>
  </si>
  <si>
    <t>Nhận trang bị “Đe Sắt”.
Công dụng của Đe Sắt được giải thích trong phần MẸO.</t>
  </si>
  <si>
    <t>R76</t>
  </si>
  <si>
    <t>於開發中區域(礦坑)-4，中央樓梯下去後的右方發光處</t>
  </si>
  <si>
    <t>獲得道具：魔力小凝膠x10</t>
  </si>
  <si>
    <t>「開発中区域（鉱坑）-4」で、中央の階段を降りた後の右側にある発光してる場所です</t>
  </si>
  <si>
    <t>魔力の小凝縮ジェル×10</t>
  </si>
  <si>
    <t>In the Excavation Site (Mine Tunnels) - 4, find the glowing spot on the right after going down the stairs from the center</t>
  </si>
  <si>
    <t>Obtain "Small Mana Gel" x10</t>
  </si>
  <si>
    <t>Erhaltenes Item: Magischer Minigel x10</t>
  </si>
  <si>
    <t>Ở Khu Khai Quật (Đường Hầm Mỏ) - 4, hãy tìm điểm sáng bên phải sau khi đi xuống cầu thang từ trung tâm.</t>
  </si>
  <si>
    <t>Nhận “Gel Ma Lực Nhỏ” ×10.</t>
  </si>
  <si>
    <t>R77</t>
  </si>
  <si>
    <t>ASABA-1</t>
  </si>
  <si>
    <t>餵食ASABA-"一般食物"</t>
  </si>
  <si>
    <t>毫無反應，次數多了還會產生厭惡</t>
  </si>
  <si>
    <t>A↗SA↘BA↗-1</t>
  </si>
  <si>
    <t>A↗SA↘BA↗に普通の食べ物を与える</t>
  </si>
  <si>
    <t>何の反応もなく、回数が増えると嫌悪感を生む...</t>
  </si>
  <si>
    <t>ASABA - 1</t>
  </si>
  <si>
    <t>Feed ASABA "Normal Food"</t>
  </si>
  <si>
    <t>No reaction, and sometimes will show a disgusting face if fed too often</t>
  </si>
  <si>
    <t>Keine Reaktion; bei zu häufiger Anwendung kann es eine Abneigung hervorrufen</t>
  </si>
  <si>
    <t>Cho ASABA ăn “Thức Ăn Bình Thường”.</t>
  </si>
  <si>
    <t>Không có phản ứng, và đôi khi sẽ hiện nét mặt ghê tởm nếu bị cho ăn quá nhiều lần.</t>
  </si>
  <si>
    <t>R78</t>
  </si>
  <si>
    <t>ASABA-2</t>
  </si>
  <si>
    <t>餵食ASABA-"妹妹的呆毛"</t>
  </si>
  <si>
    <t>讓ASABA的大腦當機</t>
  </si>
  <si>
    <t>A↗SA↘BA↗-2</t>
  </si>
  <si>
    <t>A↗SA↘BA↗にアホ毛を食べさせると…？</t>
  </si>
  <si>
    <t>A↗SA↘BA↗が壊れた…</t>
  </si>
  <si>
    <t>ASABA - 2</t>
  </si>
  <si>
    <t>Feed ASABA "Imouto's Ahoge"</t>
  </si>
  <si>
    <t>ASABA's brain will crash and glitch out</t>
  </si>
  <si>
    <t>ASABAs Gehirn zum Absturz bringen</t>
  </si>
  <si>
    <t>Cho ASABA ăn “Ahoge Của Em Gái".</t>
  </si>
  <si>
    <t>Bộ não của ASABA sẽ bị rối và trở nên lỗi.</t>
  </si>
  <si>
    <t>R79</t>
  </si>
  <si>
    <t>ASABA-3</t>
  </si>
  <si>
    <t>餵食ASABA-"草莓"，可以獲得BUFF</t>
  </si>
  <si>
    <t>獲得BUFF</t>
  </si>
  <si>
    <t>A↗SA↘BA↗-3</t>
  </si>
  <si>
    <t>イチゴを与えると、謎のバフを獲得する</t>
  </si>
  <si>
    <t>ASABA - 3</t>
  </si>
  <si>
    <t>Feed ASABA "Strawberry"</t>
  </si>
  <si>
    <t>Will receive a positive BUFF</t>
  </si>
  <si>
    <t>Erhalte einen Buff</t>
  </si>
  <si>
    <t>Cho ASABA ăn “Dâu Tây”.</t>
  </si>
  <si>
    <t>Sẽ nhận được một hiệu ứng cường hóa tích cực</t>
  </si>
  <si>
    <t>R80</t>
  </si>
  <si>
    <t>ASABA-4</t>
  </si>
  <si>
    <t>將普通的ASABA擊敗後獲得"ASABA的草莓"</t>
  </si>
  <si>
    <t>獲得ASABA的草莓</t>
  </si>
  <si>
    <t>A↗SA↘BA↗-4</t>
  </si>
  <si>
    <t>A↗SA↘BA↗のイチゴを入手</t>
  </si>
  <si>
    <t>ASABA - 4</t>
  </si>
  <si>
    <t>After killing the normal ASABA, you will obtain "ASABA's Strawberry"</t>
  </si>
  <si>
    <t>Obtain "ASABA's Strawberry" food</t>
  </si>
  <si>
    <t>Erhalten eine ASABAs Erdbeere</t>
  </si>
  <si>
    <t>Sau khi đánh bại ASABA thường, bạn sẽ nhận được “Dâu Tây của ASABA”.</t>
  </si>
  <si>
    <t>Nhận món ăn “Dâu Tây của ASABA”.</t>
  </si>
  <si>
    <t>R81</t>
  </si>
  <si>
    <t>ASABA-5</t>
  </si>
  <si>
    <t>餵食ASABA-"ASABA的草莓"，可以進入BOSS戰鬥</t>
  </si>
  <si>
    <t>擊敗後獲得"ASABA的草莓"</t>
  </si>
  <si>
    <t>A↗SA↘BA↗-5</t>
  </si>
  <si>
    <t>A↗SA↘BA↗にA↗SA↘BA↗のイチゴを与えるとbossバトルが発生する</t>
  </si>
  <si>
    <t>倒すとA↗SA↘BA↗のイチゴを入手できる</t>
  </si>
  <si>
    <t>ASABA - 5</t>
  </si>
  <si>
    <t>Feed ASABA "ASABA's Strawberry"</t>
  </si>
  <si>
    <t>Boss battle. After defeating ASABA, you will reobtain ASABA's Strawberry</t>
  </si>
  <si>
    <t>Nach dem Besiegen erhält man eine ASABAs Erdbeere</t>
  </si>
  <si>
    <t>Cho ASABA ăn “Dâu Tây của ASABA”.</t>
  </si>
  <si>
    <t>Trận đánh boss. Sau khi đánh bại ASABA, bạn sẽ nhận Dâu Tây của ASABA lần nữa.</t>
  </si>
  <si>
    <t>R82</t>
  </si>
  <si>
    <t>ASABA-6</t>
  </si>
  <si>
    <t>同上，期間被BOSS的必殺技命中越多次，會越來越有機會獲得特殊掉落</t>
  </si>
  <si>
    <t>獲得裝備"把草莓奪回來！!"
(指令請看技能欄位)</t>
  </si>
  <si>
    <t>A↗SA↘BA↗-6</t>
  </si>
  <si>
    <t>BOSSの必殺技に命中する回数が増えるほど、特殊ドロップを獲得するチャンスが高まります</t>
  </si>
  <si>
    <t>ASABA - 6</t>
  </si>
  <si>
    <t>Continuing from above, the more you get hit by the ASABA's special attack, the chances of you dropping the special item increases.</t>
  </si>
  <si>
    <t>Obtain "Ichigo Wo Torimodose!!" equipment
Check the skills tab when you equip it to see the command.</t>
  </si>
  <si>
    <t>Tiếp theo ở trên, càng bị trúng nhiều đòn tấn công đặc biệt của ASABA, cơ hội rơi ra vật phẩm đặc biệt càng cao.</t>
  </si>
  <si>
    <t>Nhận trang bị “Giành lại tình yêu!!”.
Hãy kiểm tra tab kỹ năng khi bạn trang bị nó để xem lệnh.</t>
  </si>
  <si>
    <t>R83</t>
  </si>
  <si>
    <t>◉▽◉?</t>
  </si>
  <si>
    <t>炸魚時，可能會出現該小怪</t>
  </si>
  <si>
    <t>薩卡班甲魚(小)
擊殺掉落：◉▽◉(藍色)</t>
  </si>
  <si>
    <t>魚を爆破した時、この小型モンスターが出現することがある</t>
  </si>
  <si>
    <t>サカバンバスピス(小)
討伐時のドロップ：◉▽◉（青）</t>
  </si>
  <si>
    <t>When you throw bombs in the water, this monster may spawn</t>
  </si>
  <si>
    <t>Spawns Small Sacambaspis
Drops: ◉▽◉ (Blue)</t>
  </si>
  <si>
    <t>Nếu ném bom vào trong nước, con quái này có thể xuất hiện</t>
  </si>
  <si>
    <t>Xuất hiện Sacambaspis Nhỏ
Rơi ra ◉▽◉ (Xanh)</t>
  </si>
  <si>
    <t>R84</t>
  </si>
  <si>
    <t>◉▽◉!?</t>
  </si>
  <si>
    <t>炸魚時，較低機率可能會出現該小怪</t>
  </si>
  <si>
    <t>薩卡班甲魚(大)
擊殺掉落：◉▽◉(紫色)</t>
  </si>
  <si>
    <t>爆破漁の際、低確率でこの小型モンスターが出現する</t>
  </si>
  <si>
    <t>サカバンバスピス（大）
ドロップ：◉▽◉（紫）</t>
  </si>
  <si>
    <t>When you throw bombs in the water, this monster may spawn at a low chance</t>
  </si>
  <si>
    <t xml:space="preserve">Spawns a Large Sacambaspis
Drops: ◉▽◉ (Purple)
</t>
  </si>
  <si>
    <t>Nếu bạn ném bom vào trong nước, con quái này có thể xuất hiện với khả năng thấp</t>
  </si>
  <si>
    <t>Xuất hiện Sacambaspis Lớn
Rơi ra ◉▽◉ (Đỏ)</t>
  </si>
  <si>
    <t>R85</t>
  </si>
  <si>
    <t>♔
◉▽◉</t>
  </si>
  <si>
    <t>當稀有機率足夠，且符合地形條件時，可能召喚出BOSS
(詳細說明於TIPS中)</t>
  </si>
  <si>
    <t>召喚BOSS：
應該已經滅絕的河之主!?(甲魚王)
擊殺掉落：王權之令、◉▽◉(粉色)</t>
  </si>
  <si>
    <t>レア出現率かつ、特定の条件を満たす場合BOSSが召喚されることがある
（詳細はTIPSを参照）</t>
  </si>
  <si>
    <t>BOSS召喚：
すでに絶滅したはずの河の主！？（甲魚王）
撃破ドロップ：王権征令、◉▽◉（ピンク）</t>
  </si>
  <si>
    <t>When the rare spawn chance is high enough and the environment conditions are met, a boss may spawn instead.
(See TIPS)</t>
  </si>
  <si>
    <t>Spawns The River Lord  - Wasn't it extinct!?
Drops: Royal Decree, ◉▽◉ (Pink)</t>
  </si>
  <si>
    <t>Khi cơ hội xuất hiện đủ cao và điều kiện môi trường được đáp ứng, boss có thể xuất hiện thay thế.
(Xem TIPS)</t>
  </si>
  <si>
    <t>Triệu hồi Chúa tể Sông - Không phải nó đã tuyệt chủng rồi sao!?
Rơi: Sắc Lệnh Hoàng Gia, ◉▽◉ (Hồng)</t>
  </si>
  <si>
    <t>R86</t>
  </si>
  <si>
    <t>回歸水中</t>
  </si>
  <si>
    <t>當甲魚從者、甲魚王遇到水面，將會逃跑回水中。</t>
  </si>
  <si>
    <t>對象逃跑</t>
  </si>
  <si>
    <t>水中へ帰還</t>
  </si>
  <si>
    <t>甲魚の従者および甲魚王は、水面に触れると水中へ逃げ帰る</t>
  </si>
  <si>
    <t>逃げられた....</t>
  </si>
  <si>
    <t>Back to the water I go!</t>
  </si>
  <si>
    <t>When Small/Large Sacambaspis or The River Lord - Wasn't it extinct!? gets near a water surface, they'll swim away and escape</t>
  </si>
  <si>
    <t>The fight will end and the monster will escape</t>
  </si>
  <si>
    <t>Zurück ins Wasser!</t>
  </si>
  <si>
    <t>Feind geht Milch holen</t>
  </si>
  <si>
    <t>Quay trở lại với nước tôi đi!</t>
  </si>
  <si>
    <t>Khi Sacambaspis Nhỏ/Lớn hoặc Chúa tể Sông - Không phải nó đã tuyệt chủng rồi sao!? đến gần mặt nước, chúng sẽ bơi đi và trốn thoát</t>
  </si>
  <si>
    <t>Cuộc đấu sẽ kết thúc và con quái sẽ trốn thoát</t>
  </si>
  <si>
    <t>R87</t>
  </si>
  <si>
    <t>發光的胡蘿蔔</t>
  </si>
  <si>
    <t>發光的胡蘿蔔會在女僕兔BOSS出場時，沒收掉在場的特殊胡蘿蔔，直到你打倒它才會出現。
拔起這個特殊胡蘿蔔，會掉落特殊物品</t>
  </si>
  <si>
    <t>獲得：胡蘿蔔大劍、天上之石碎片
未實裝後續流程，現階段無法製作第二號紅髓液</t>
  </si>
  <si>
    <t>光るにんじん</t>
  </si>
  <si>
    <t xml:space="preserve">
光るニンジンは、メイドウサギBOSSが登場すると場にある特殊ニンジンを没収し、撃破するまで出現しない。
この特殊ニンジンを引き抜くと、特殊アイテムがドロップする
</t>
  </si>
  <si>
    <t xml:space="preserve">
ドロップ：にんじん大剣、天上の石の欠片
後続の内容は未実装のため、現時点では第2号紅髄液を製作できない…
</t>
  </si>
  <si>
    <t>Glowing Carrot</t>
  </si>
  <si>
    <t>When the Maid Rabbit Boss appears, all your carrots will be confiscated upon picking this up. It will be returned shortly after you defeat the boss. Pulling this carrot up will give you the Carrot Sword weapon and a fragment of the Philosopher's Stone</t>
  </si>
  <si>
    <t>Obtain "Carrot Greatsword" equipment
Obtain "Philosopher's Stone Fragment"
*The subsequent events regarding the Philosopher's stone upgrade isn't implemented yet.</t>
  </si>
  <si>
    <t>Leuchtende Karotte</t>
  </si>
  <si>
    <t>Erhalten: Karottengroßschwert, Himmelssteinsplitter
Der weitere Ablauf ist noch nicht implementiert; aktuell kann die zweite Portion Rotmarksaft noch nicht hergestellt werden.</t>
  </si>
  <si>
    <t>Cà Rốt Phát Sáng</t>
  </si>
  <si>
    <t>Khi boss Thỏ Hầu Gái xuất hiện, tất cả cà rốt của bạn sẽ bị tịch thu khi nhặt nó lên. Nó sẽ được trả lại ngay sau khi bạn đánh bại boss. Kéo củ cà rốt này lên, bạn sẽ nhận được vũ khí Kiếm Cà Rốt và một mảnh Đá Hiền Triết</t>
  </si>
  <si>
    <t>Nhận được trang bị "Đại Kiếm Cà Rốt"
Nhận được "Mảnh Đa Hiền Triết"
*Những sự kiện liên quan đến Mảnh Hiền Triết chưa được triển khai</t>
  </si>
  <si>
    <t>R88</t>
  </si>
  <si>
    <t>蘿蔔大劍</t>
  </si>
  <si>
    <t>於篝火中使用凍蘿蔔大劍解凍之後，能獲得霉蘿蔔大劍</t>
  </si>
  <si>
    <t>にんじん大剣</t>
  </si>
  <si>
    <t>篝火で凍ったニンジン大剣を解凍すると、カビたニンジン大剣を入手できる</t>
  </si>
  <si>
    <t>Frozen Carrot Greatsword</t>
  </si>
  <si>
    <t>Using a Frozen Radish Greatsword on the campfire will thaw out the ice and transform it into a Moldy Carrot Greatsword</t>
  </si>
  <si>
    <t>Gefrorenes Karottengroßschwert</t>
  </si>
  <si>
    <t>Đại Kiếm Củ Cải</t>
  </si>
  <si>
    <t>Sử dụng Đại Kiếm Củ Cái Đông Lạnh trên lửa trại sẽ làm tan băng và biến nó thành Đại Kiếm Cà Rốt mốc</t>
  </si>
  <si>
    <t>Chưa được triển khai</t>
  </si>
  <si>
    <t>R89</t>
  </si>
  <si>
    <t>蘿蔔大劍-1</t>
  </si>
  <si>
    <t>於篝火中使用胡蘿蔔大劍，可以召喚友好的女僕兔，幫助你進行地圖傳送</t>
  </si>
  <si>
    <t>にんじん大剣-1</t>
  </si>
  <si>
    <t>篝火でニンジン大剣を使用すると、友好的なメイドバニーを召喚でき、マップ移動を助けてくれる！</t>
  </si>
  <si>
    <t>Carrot Greatsword</t>
  </si>
  <si>
    <t>Using the Carrot Greatsword in the campfire spawns a Maid Rabbit NPC that will let you teleport to other discovered campfires</t>
  </si>
  <si>
    <t>Karottengroßschwert</t>
  </si>
  <si>
    <t>Đại Kiếm Cà Rốt</t>
  </si>
  <si>
    <t>Sử dụng Đại Kiếm Cà rốt trong lửa trại sẽ sinh ra một NPC Thỏ Hầu Gái cho phép bạn dịch chuyển đến các lửa trại khác đã được tìm thấy</t>
  </si>
  <si>
    <t>存檔想跨越不同版本，將www-&gt;save的檔案搬運至新版本同樣位置即可</t>
  </si>
  <si>
    <t>If you want to transfer saves from an older version to a newer version, just copy the save folder from www/save to the same location of the new version</t>
  </si>
  <si>
    <t>存档想跨越不同版本，将www-&gt;save的档案搬运至新版本同样位置即可
注意：版本之间可能会出现存档不兼容情况，继承上一版本的存档后读档报错的情况很有可能是版本不兼容导致的</t>
  </si>
  <si>
    <t>Wenn du Speicherstände von einer älteren Version auf eine neuere übertragen möchtest, kopiere einfach den Ordner www/save in denselben Pfad der neuen Version.</t>
  </si>
  <si>
    <t>Nếu bạn muốn chuyển dữ liệu từ phiên bản cũ sang phiên bản mới, hãy copy folder ở www/save đến cùng thư mục ở phiên bản mới</t>
  </si>
  <si>
    <t>ALT可加速動畫演繹</t>
  </si>
  <si>
    <t>Holding ALT speeds up animation rendering</t>
  </si>
  <si>
    <t>ALT gedrückt halten beschleunigt die Animationswiedergabe</t>
  </si>
  <si>
    <t>Giữ phím ALT để tăng tốc độ hiển thị animation</t>
  </si>
  <si>
    <t>CTRL可加速對話</t>
  </si>
  <si>
    <t>Holding CTRL speeds up dialog</t>
  </si>
  <si>
    <t>STRG gedrückt halten beschleunigt Dialoge.</t>
  </si>
  <si>
    <t>Giữ phím CTRL để tăng tốc độ nói chuyện</t>
  </si>
  <si>
    <t>Z鍵可以推進對話</t>
  </si>
  <si>
    <t>Pressing the Z key also lets you move to the next dialog</t>
  </si>
  <si>
    <t>Z drücken lässt dich ebenfalls den nächsten Dialogabschnitt anzeigen</t>
  </si>
  <si>
    <t>Có thể nhấn nút Z để chuyển tới lời thoại tiếp theo</t>
  </si>
  <si>
    <t>在取得相機後，F7可快速截圖</t>
  </si>
  <si>
    <t>Once you get the camera, press F7 to take photos.</t>
  </si>
  <si>
    <t>Sobald du die Kamera hast, kannst du mit F7 Fotos machen</t>
  </si>
  <si>
    <t>Khi bạn đã có vật phẩm camera, nhấm F7 để chụp ảnh</t>
  </si>
  <si>
    <t>F12可顯示控制台</t>
  </si>
  <si>
    <t>Pressing F12 brings out the command console</t>
  </si>
  <si>
    <t>Mit F12 öffnest du die Konsolenbefehle</t>
  </si>
  <si>
    <t>Nhấn nút F12 để hiển thị bảng lệnh điều khiển</t>
  </si>
  <si>
    <t>紅色的進度條是好感度，累積滿後會將一顆❤️，愛心最高7顆。
％是氣氛值，也就是性慾值，當超過100％時，會將一顆❤️ 轉化為💜，"不會"額外多給一個❤️， 在未來版本實裝H事件後，💜是會作為消耗品使用的。
藍色進度條是特定場景下妹妹的警戒值，例如：
1.在夜襲場景中，藍條越低，反而表示妹妹睡得越沉，不容易醒來。
2.在使用藍色糖果後，一起玩遊戲的情境中，藍條被清空代表妹妹無法集中精神，導致她的遊戲落敗。</t>
  </si>
  <si>
    <t>The gauge above her head indicates her favorability. filling this to max gives you 1 red heart ❤️
The % above her head indicates imouto's desire or horniness. Filling this up to 100% gives you a purple heart 💜. 
You can't have a purple heart 💜 if you don't have a red heart ❤️
There are times the gauge above her head will be colored blue. This indicates imouto's awareness of your actions, such as when peeping at her in the washroom or touching her at night. 
In the case of Night Raids, the lower the value of the blue bar, the less likely is imouto to wake up.
After feeding her the blue konpeito, the blue bar will disappear when you play video games with her, indicating she has lost her concentration in playing the game which results to her loss.</t>
  </si>
  <si>
    <t>Der rote Balken zeigt die Zuneigung an. Wenn er vollständig gefüllt ist, erhältst du ein rotes Herz ❤️. Insgesamt kannst du maximal 7 Herzen sammeln.
Der Prozentwert repräsentiert die Erregung der Schwester. Erreicht dieser Wert 100%, wird ein rotes Herz ❤️ in ein lila Herz 💜 umgewandelt. Dabei erhältst du kein zusätzliches rotes Herz.
Der blaue Balken zeigt in bestimmten Situationen die Aufmerksamkeit der Schwester an:
Bei nächtlichen Annäherungsversuchen: Je niedriger der blaue Balken ist, desto fester schläft die Schwester und wird entsprechend seltener aufwachen.
Nachdem sie blaue Konpeitō gegessen hat: Während ihr gemeinsam spielt, verschwindet der blaue Balken komplett. Dies bedeutet, dass sie ihre Konzentration verliert und deshalb das Spiel verliert."</t>
  </si>
  <si>
    <t>Thanh bên trên imouto hiển thị sự yêu thích. Khi đầy sẽ cho bạn 1 tim đỏ ❤️
% bên trên imouto hiển thị ham muốn hoặc sự kích thích. Khi đến 100% sẽ cho bạn 1 tim tím 💜. Bạn không thể có tim tím 💜 nếu bạn không có tim đỏ ❤️
Có những lúc mà thanh bên trên imouto là màu xanh. Điều này thể hiện em ấy biết những hành động của bạn, như nhìn trộm khi đang tắm hoặc chạm vào em ấy khi đang ngủ
Trong chọc ghẹo ban đêm, thanh màu xanh càng thấp, imouto càng ít khả năng thức dậy hơn.
Sau khi cho Imouto ăn kẹo konpeito xanh, thanh màu xanh sẽ biến mất khi bạn chơi video games với Imouto, thể hiện Imouto đã mất tập trung vào việc chơi, khiến em ấy thua</t>
  </si>
  <si>
    <t>好感度7顆的數值是：100-200-300-400-500-600-700
0.6版本只要4星就可以完整體驗完遊戲，不用到達7顆</t>
  </si>
  <si>
    <t>The amount of favorability needed to level up starts from 100, with the amount needed increasing per heart
100-&gt;200-&gt;300-&gt;400-&gt;500-&gt;600-&gt;700
Version 0.6 only requires 4 hearts to experience everything, so there's no need to reach 7 hearts</t>
  </si>
  <si>
    <t>Die Menge an Zuneigung, die für einen Stufenaufstieg benötigt wird, beginnt bei 100 und steigt mit jedem Herz an:
100 → 200 → 300 → 400 → 500 → 600 → 700</t>
  </si>
  <si>
    <t>Lượng yêu thích cần thiết để tăng bắt đầu từ 100, với lượng cần thiết tăng lên với mỗi một trái tim
100&gt;200&gt;300&gt;400&gt;500&gt;600&gt;700
Từ phiên bản 0.6 trở đi, bạn chỉ cần 4 trái tim tim để có trải nghiệm với mọi thứ, nên không cần thiết phải đạt đến 7 trái tim</t>
  </si>
  <si>
    <t>目前版本想要快速滿紅心和紫心的作法就是和妹妹玩遊戲以及夜襲</t>
  </si>
  <si>
    <t>現在のバージョンでは、赤と紫のハートをすぐに埋める方法は、ゲームをプレイして夜襲をすることです。</t>
  </si>
  <si>
    <t>In the current version, the fastest way to get red hearts is by playing video games with the sister and for purple hearts, doing night raids</t>
  </si>
  <si>
    <t>In der aktuellen Version erhält man rote Herzen am schnellsten, indem man Videospiele mit der Schwester spielt, und lila Herzen durch nächtliche Überfälle</t>
  </si>
  <si>
    <t>Ở phiên bản hiện tại, cách nhanh nhất để có tim đỏ là chơi video games với Imouto, còn với tim tím, hãy chọc ghẹo ban đêm</t>
  </si>
  <si>
    <t>想和妹妹共浴嗎? 請先到達2愛心</t>
  </si>
  <si>
    <t>妹とお風呂に入りたいなら♡を2まで増やしましょう</t>
  </si>
  <si>
    <t>You need 2 purple hearts in order to bathe with your sister</t>
  </si>
  <si>
    <t>Um mit der Schwester zu baden, benötigt man 2 lila Herzen.</t>
  </si>
  <si>
    <t>Bạn cần 2 tim tím để tắm với Imouto</t>
  </si>
  <si>
    <t>假如很不幸地遇到遇到卡點，可以發呆到下午5點自動回家</t>
  </si>
  <si>
    <t>外でハマったりどうしようもなくなった場合は17時までボーと過ごしましょう…</t>
  </si>
  <si>
    <t>If you happen to get stuck at something, you can only wait until 5PM to automatically get home</t>
  </si>
  <si>
    <t>Falls du irgendwo feststeckst, kannst du einfach bis 17:00 Uhr warten – dann wirst du automatisch nach Hause gebracht</t>
  </si>
  <si>
    <t>Nếu bạn bị mắc kẹt ở đâu đó, bạn chỉ cần chờ đến 5 giờ chiều để tự về nhà</t>
  </si>
  <si>
    <t>當哥哥性慾值高於一定數值才會觸發夜襲</t>
  </si>
  <si>
    <t>To do night raids, Onii-chan must have a certain amount of excitement and he'll wake up at night for night raids.</t>
  </si>
  <si>
    <t xml:space="preserve">Um Nachtüberfälle durchzuführen, muss Onii-chan einen bestimmten Erregungswert erreicht haben. Dann wacht er nachts dafür auf </t>
  </si>
  <si>
    <t>Để có thể vào phòng imouto ban đêm, onii-chan cần có đủ sự kích thích để thức dậy vào giữa đêm.</t>
  </si>
  <si>
    <t>若打爆了扭蛋機別擔心，使用塔羅牌能隨時再召喚</t>
  </si>
  <si>
    <t>Don't worry. If you accidentally destroy the gacha Machine, you can summon it again using "Temperance" tarot card</t>
  </si>
  <si>
    <t>Keine Sorge: Wenn du den Spieleautomaten versehentlich zerstörst, kannst du sie mit der Tarotkarte "Mäßigkeit" erneut beschwören</t>
  </si>
  <si>
    <t>Nếu bạn phá vỡ máy Gacha, bạn có thể triệu hồi nó một lần nữa bằng thẻ “Temperance”. Đừng lo lắng</t>
  </si>
  <si>
    <t>從後方接近扭蛋機，扭蛋機會跳起</t>
  </si>
  <si>
    <t>When you approach the gacha machine from behind, it will get startled and jump up</t>
  </si>
  <si>
    <t>Wenn du dich den Spieleautomaten von hinten näherst, wird sie erschreckt und springt hoch</t>
  </si>
  <si>
    <t>Nếu bạn tiếp cận máy gacha từ đằng sau, nó có thể sẽ hoảng sợ và nhảy lên</t>
  </si>
  <si>
    <t>扭蛋獎品可以使用遠距離武器攻擊，快速開啟</t>
  </si>
  <si>
    <t>ガチャの景品は遠距離武器で獲得でき、すぐに開けることができます。</t>
  </si>
  <si>
    <t>Gachapon balls that drop on the floor can be attacked by ranged weapons to open them easily</t>
  </si>
  <si>
    <t>Falls du Probleme hast eine Kugel vom Spieleautomaten aufzusammeln - schieße darauf um sie zu öffnen</t>
  </si>
  <si>
    <t>Những quả gachapon trên mặt đất có thể được mở dễ dàng bằng cách tấn công bằng vũ khí tầm xa</t>
  </si>
  <si>
    <t>扭蛋機的金蛋只有2%概率出現</t>
  </si>
  <si>
    <t>ガシャポンの金玉の確率は2％で出現します。</t>
  </si>
  <si>
    <t>The golden balls have roughly 2% chance to come out from the gacha machine</t>
  </si>
  <si>
    <t>Goldene Kugeln haben eine ungefähre 2 % Chance, aus dem Spieleautomaten zu erscheinen</t>
  </si>
  <si>
    <t>Quả gacha vàng có khoảng 2% để được rơi ra từ máy gacha</t>
  </si>
  <si>
    <t>扭蛋機的愛好與妹妹差不多</t>
  </si>
  <si>
    <t>ガシャポンの好物は妹と似ています</t>
  </si>
  <si>
    <t>The expression of the gacha machine looks similar to the sister</t>
  </si>
  <si>
    <t>Der Gesichtsausdruck des Spieleautomaten erinnert stark an den deiner Schwester</t>
  </si>
  <si>
    <t>Biểu cảm của máy gacha nhìn giống với Imouto</t>
  </si>
  <si>
    <t>在投錢進入扭蛋機前，最好先保證機器完好無損，因為機器血量會影響扭蛋數量</t>
  </si>
  <si>
    <t>ガシャポンの体力がある程度あることを確認してからお金を入れるようにするといいです。※少ない状態で10000円入れても出し切る前に爆発してお釣りも帰ってきません…</t>
  </si>
  <si>
    <t>Before you put money in the gacha machine, you need to make sure it's in excellent condition. If the gacha machine is damaged, the amount of rewards it will dispose is reduced.</t>
  </si>
  <si>
    <t>Bevor du Geld in den Spieleautomaten einwirfst, musst du sicherstellen, dass er sich in einwandfreiem Zustand befindet. Ist der Automat beschädigt, verringert sich die Menge der ausgegebenen Belohnungen.</t>
  </si>
  <si>
    <t>Trước khi cho tiền vào máy gacha, hãy đảm bảo nó ở tình trạng tốt nhất. Nếu máy trong trạng thái hư hại, lượng phần thưởng cho ra sẽ bị giảm đi</t>
  </si>
  <si>
    <t>召喚門若位置不好，可以破壞並重新召喚</t>
  </si>
  <si>
    <t>星の門は現在、召喚する位置を任意で決めることが出来ます。※破壊して再召喚も可能</t>
  </si>
  <si>
    <t>If the Star Gate (Red Door) is summoned in a bad position, you can destroy it and summon it again</t>
  </si>
  <si>
    <t>Wenn das Sternentor (rote Tür) an einer ungünstigen Position beschworen wurde, kannst du es zerstören und erneut beschwören</t>
  </si>
  <si>
    <t>Nếu Cửa Sao (Hồng Môn) được triệu hồi ở vị trí xấu, bạn có thể phá nó đi và triệu hồi lại</t>
  </si>
  <si>
    <t>在洗面所的偷窺，會因為開門的多寡而影響被妹妹發現的機率</t>
  </si>
  <si>
    <t>洗面所での覗きはドアを開け具合で見つかる確率が変わります</t>
  </si>
  <si>
    <t>When you peep in the washroom as soon as the sister goes in,  she will spot you depending on how much you opened the door</t>
  </si>
  <si>
    <t>Wenn du ins Badezimmer spähst, sobald die Schwester hineingeht, wird sie dich je nach dem Grad der geöffneten Tür bemerken</t>
  </si>
  <si>
    <t>Nếu bạn nhìn trộm Imouto trong phòng giặt đồ, Imouto sẽ nhìn thấy bạn dựa trên việc cửa đã mở rộng bao nhiêu</t>
  </si>
  <si>
    <t>機甲消失後，該地圖名稱會改變</t>
  </si>
  <si>
    <t>Once the mecha disappears, the map's name will change</t>
  </si>
  <si>
    <t>Sobald das Mecha verschwindet, ändert sich der Name der Karte</t>
  </si>
  <si>
    <t>Một khi mecha đã biến mất, tên của khu vực sẽ thay đổi</t>
  </si>
  <si>
    <t>讀取其他版本的存檔時，會有特殊字段顯示</t>
  </si>
  <si>
    <t>他のバージョンのセーブを読み込む場合、特別なイベントが挟まります。</t>
  </si>
  <si>
    <t>When a save is detected from a previous version, a special message pops out</t>
  </si>
  <si>
    <t>Wenn ein Spielstand aus einer früheren Version erkannt wird, erscheint eine spezielle Nachricht</t>
  </si>
  <si>
    <t>Nếu một bản lưu từ phiên bản trước được tìm thấy, một thông báo đặc biệt sẽ hiện ra</t>
  </si>
  <si>
    <t>礦車行進中，可使用遠距離武器攻擊方向舵</t>
  </si>
  <si>
    <t>トロッコに乗車中でも遠距離攻撃でレバーを作動させることが出来ます</t>
  </si>
  <si>
    <t>You can shoot switches in the mine using long-ranged weapons while you're riding the minecart</t>
  </si>
  <si>
    <t>Du kannst im Bergwerk Schalter mit Fernkampfwaffen betätigen, während du mit der Lore fährst</t>
  </si>
  <si>
    <t>Bạn có thể bắn các cần gạt trong hầm mỏ bằng vũ khí tầm xa khi đang đi trên xe đẩy</t>
  </si>
  <si>
    <t>電擊類武器碰到水...你懂的~ 包含下雨天</t>
  </si>
  <si>
    <t>電撃系の装備で水に触れると…(雨の時も同様です)</t>
  </si>
  <si>
    <t>Electric attribute weapons conduct electricity when it comes to contact with water... such as when it's raining...</t>
  </si>
  <si>
    <t>Waffen mit dem Element „Elektrizität“ leiten Strom, wenn sie mit Wasser in Berührung kommen... zum Beispiel bei Regen</t>
  </si>
  <si>
    <t>Những vũ khí có đặc tính điện sẽ tạo ra điện khi tiếp xúc với nước… chẳng hạn khi đang mưa…</t>
  </si>
  <si>
    <t>炸彈除了無視防禦炸岩石、炸水面，還可以炸自己</t>
  </si>
  <si>
    <t>爆弾は防御力を無視してダメージを与えます。(岩、水、お兄ちゃん)</t>
  </si>
  <si>
    <t>Aside from ignoring enemy defenses, blowing up rocks, or catching fishes, the bomb can also hurt the player</t>
  </si>
  <si>
    <t>Abgesehen davon, dass sie gegnerische Verteidigung ignorieren, Felsen sprengen oder Fische fangen können, können Bomben auch dem Spieler selbst Schaden zufügen.</t>
  </si>
  <si>
    <t>Bên cạnh việc bỏ qua phòng thủ của kẻ thù, phá đá, bắt cá, bom cũng có thể làm người chơi bị thương</t>
  </si>
  <si>
    <t>聽說...騎士大人很香，或許可以期待未來</t>
  </si>
  <si>
    <t>I heard that the knight is popular. We'll have to see what happens next.</t>
  </si>
  <si>
    <t>听说...骑士大人很香，或许可以期待未来
（据现有的情报来推断...骑士可能是位妹纸哟）</t>
  </si>
  <si>
    <t>Ich habe gehört, dass der Ritter beliebt ist. Mal sehen, was als Nächstes passiert</t>
  </si>
  <si>
    <t>Tôi nghe thấy rằng người hiệp sĩ rất nổi tiếng. Hãy chờ xem điều gì sẽ xảy ra tiếp theo</t>
  </si>
  <si>
    <t>妹妹的罩杯是多大呢? 聽說是G~H</t>
  </si>
  <si>
    <t>妹のおっぱいのサイズはG〜H…らしい</t>
  </si>
  <si>
    <t>The sister's breast size is said to be G~H</t>
  </si>
  <si>
    <t>妹妹的罩杯是多大呢? 听说是G~H
（山就在那啊.JPG）</t>
  </si>
  <si>
    <t>Es heißt, dass die Schwester eine BH-Größe von G bis H hat</t>
  </si>
  <si>
    <t>Vòng ngực của Imouto được cho là khoảng G~H</t>
  </si>
  <si>
    <t>當成為賢者的哥哥在胡思亂想時...</t>
  </si>
  <si>
    <t>賢者タイムになったお兄ちゃんがぼんやり考えている時…</t>
  </si>
  <si>
    <t>When Onii-chan is in his "Sage Mode", he is lost deep in thought.</t>
  </si>
  <si>
    <t>Wenn Onii-chan im „Weisenmodus" ist, ist er tief in Gedanken versunken</t>
  </si>
  <si>
    <t>Khi onii-chan ở trong “Trạng thái Tĩnh tâm”, anh ấy sẽ chìm trong suy nghĩ sâu lắng</t>
  </si>
  <si>
    <t>當裝備"少女的笑容"時，會無視賢者狀態副作用</t>
  </si>
  <si>
    <t>「少女の笑顔」を装備している場合、賢者状態の副作用は無視されます。</t>
  </si>
  <si>
    <t>Wenn „Mädchens Lächeln" ausgerüstet ist, werden die Nebenwirkungen des Weisenmodus ignoriert</t>
  </si>
  <si>
    <t>Khi vật phẩm “Nụ Cười Của Một Cô Gái” được trang bị, tác dụng phụ của trạng thái Tĩnh tâm sẽ đươc bỏ qua</t>
  </si>
  <si>
    <t>在廁所的不可名狀生物，在各語系版本中有不同的稱呼</t>
  </si>
  <si>
    <t>The creature in the toilet had different names across different versions</t>
  </si>
  <si>
    <t>Die Kreatur in der Toilette hatte in verschiedenen Versionen unterschiedliche Namen</t>
  </si>
  <si>
    <t>Sinh vật trong nhà vệ sinh có nhiều tên gọi khác nhau qua nhiều phiên bản</t>
  </si>
  <si>
    <t>在廁所的不可名狀生物，其實是哥哥從深淵帶回來的</t>
  </si>
  <si>
    <t>The creature in the toilet was actually brought back by Onii-chan from the Abyss</t>
  </si>
  <si>
    <t>Die Kreatur in der Toilette wurde tatsächlich von Onii-chan aus dem Abgrund zurückgebracht</t>
  </si>
  <si>
    <t>Sinh vật trong nhà vệ sinh thật ra đã được onii-chan mang về từ Vực sâu</t>
  </si>
  <si>
    <t>在雨天修理飲料販賣機的人是誰呢?目前仍是個謎</t>
  </si>
  <si>
    <t>雨の日に自動販売機を修理した人は誰なんだろう・・・？</t>
  </si>
  <si>
    <t>Who is the one repairing the vending machine during rainy days? It's still a mystery</t>
  </si>
  <si>
    <t>Wer den Getränkeautomaten an Regentagen repariert, ist immer noch ein Rätsel</t>
  </si>
  <si>
    <t>Ai là người đã sửa máy bán hàng trong những ngày mưa? Đó vẫn là một bí ẩn</t>
  </si>
  <si>
    <t>早上可透過窗外狀況，得知外出時的天氣</t>
  </si>
  <si>
    <t>朝起きたと時、窓を見る事によって天気をある程度判別できます</t>
  </si>
  <si>
    <t>When you wake up in the morning, you can see the current weather before going out by looking at the window.</t>
  </si>
  <si>
    <t>Wenn du morgens aufwachst, kannst du das aktuelle Wetter sehen, indem du aus dem Fenster schaust</t>
  </si>
  <si>
    <t>Khi bạn thức dậy vào buổi sáng, bạn có thể thấy được thời tiết hiện tại trước khi ra ngoài khi nhìn ra cửa sổ</t>
  </si>
  <si>
    <t>越可愛的生物，通常攻擊力也越高</t>
  </si>
  <si>
    <t>Typically, the cuter it is, the higher is its attack power</t>
  </si>
  <si>
    <t>越可爱的生物，通常攻击力也越高
（各水果妖精妖精：泥头车警告.jpg）</t>
  </si>
  <si>
    <t>Je niedlicher es ist, desto höher ist seine Angriffskraft</t>
  </si>
  <si>
    <t>Bình thường, nó càng dễ thương, sức tấn công của nó càng cao</t>
  </si>
  <si>
    <t>廁所沉思中的&lt;42&gt;
出自道格拉斯·亞當斯所作的小說《銀河系漫遊指南》中「生命、宇宙以及任何事物的終極答案」的答案</t>
  </si>
  <si>
    <t xml:space="preserve">Meditating in the toilet &lt;42&gt;
This answer is based from "The Ultimate Question about Life, the Universe, and Everything" from the novel "The Hitchhiker's Guide to the Galaxy" by Douglas Adams </t>
  </si>
  <si>
    <t>Meditieren in der Toilette &lt;42&gt;
Diese Antwort basiert auf "Die ultimative Frage nach dem Leben, dem Universum und dem ganzen Rest" aus dem Roman "Per Anhalter durch die Galaxis" von Douglas Adams</t>
  </si>
  <si>
    <t>Thiền định trong nhà vệ sinh
Câu trả lời được dựa trên “Câu Hỏi Tối Thượng về Cuộc sống, Vũ trụ, và Mọi thứ” từ tiểu thuyết “Bí kíp quá giang vào Ngân Hà” của Douglas Adams</t>
  </si>
  <si>
    <t>一個水怪黏液大約等於兩個史萊姆黏液</t>
  </si>
  <si>
    <t>One WaterWeird Mucus is equivalent to two Slime Mucus</t>
  </si>
  <si>
    <t>Ein Wasser-Monster-Schleim ist ungefähr so stark wie zwei normale Schleime</t>
  </si>
  <si>
    <t>Hai Chất Nhầy Thủy Linh bằng với một Chất Nhầy Slime</t>
  </si>
  <si>
    <t>深淵BOSS每七天會重生，而且每次重生會更强，也可以使用"世界"塔羅牌</t>
  </si>
  <si>
    <t>遺跡のBOSSは撃破後の7日事に生まれ変わり度に強くなっていきます。タロットカード「ザ・ワールド」も再使用できます。</t>
  </si>
  <si>
    <t>The boss in the Abyss respawns every 7 days, in which it gets stronger every time. You can also forcibly respawn it using "The World" tarot card</t>
  </si>
  <si>
    <t>Der Boss im Abgrund respawnt alle 7 Tage und wird jedes Mal stärker. Du kannst ihn auch gewaltsam respawnen, indem du die "Die Welt" Tarotkarte benutzt</t>
  </si>
  <si>
    <t>Quái boss trong Vực sâu hồi sinh sau mỗi 7 ngày, mỗi lần mạnh hơn. Bạn cũng có thể hồi sinh ngay lập tức bằng lá bài tarot “Thế Giới”</t>
  </si>
  <si>
    <t>深淵BOSS很難打? 
可以試著站在懸崖邊的當個卑鄙的外鄉人</t>
  </si>
  <si>
    <t>遺跡BOSSは倒すのが難しいですか？
崖の端に立って対策を練るといいでしょう…
「計画通り」</t>
  </si>
  <si>
    <t>Is the boss too hard to fight? Try standing near the edge of the cliff below for a big brain moment.</t>
  </si>
  <si>
    <t>深渊BOSS很难打? 可以试着站在悬崖边的当个卑鄙的外乡人
（老哥：計画通り 狂乱的红兽：***）</t>
  </si>
  <si>
    <t xml:space="preserve">Ist der Boss zu schwer? Versuch, nahe am Rand der Klippe unten zu stehen </t>
  </si>
  <si>
    <t>Có phải con quái boss quá khó để đánh bại? Hãy thử đứng cạnh vực để cho khoảnh khắc nổ não</t>
  </si>
  <si>
    <t>增加攻速的效果(例如:貓爪手套)，也會使魔法效果增強</t>
  </si>
  <si>
    <t>ねこパンチの攻撃速度アップは魔法攻撃にも乗る</t>
  </si>
  <si>
    <t>Effects that increases attack speed such as Neko Punch also enhances magic effects</t>
  </si>
  <si>
    <t>Hiệu ứng tăng tốc độ tấn công như Vuốt Mèo cũng tăng các hiệu ứng pháp thuật</t>
  </si>
  <si>
    <t>加強命中的效果(例如:墮落法師的手套)，以後也會使魔法獲得效果，多穿幾件還會增加更多</t>
  </si>
  <si>
    <t>When wearing gears that increases damage on hit (such as Fallen Mage's Gloves), this will also be able to affect magic in the future. You can also wear multiple gears of the same type and the effect will stack</t>
  </si>
  <si>
    <t>Khi đang trang bị những đồ tăng sát thương trên đòn đánh (như Găng Tay Phù Thủy Sa Ngã), điều này cũng sẽ ảnh hưởng đến pháp thuật. Bạn cũng có thể trang bị cùng lúc nhiều vật phẩm cùng loại, hiệu ứng sẽ tiếp tục chồng lên nhau</t>
  </si>
  <si>
    <t>遺跡BOSS房間，底下懸崖有個秘密地點，想辦法過去吧!
提示:移動型道具 / 加速型道具+技能</t>
  </si>
  <si>
    <t>遺跡のBOSS部屋、下の崖に秘密の場所があるので、そこに行く方法を見つけてください!</t>
  </si>
  <si>
    <t>In the boss room of the Abyss, there is a secret area below. Try to find a way to get there!
Tip: You can get to it by using certain items and skills.</t>
  </si>
  <si>
    <t>Trong phòng boss ở Vực sâu, có một khu vực bí mật bên dưới. Hãy thử tìm cách đến đó!
Mẹo: Hãy dùng các kĩ năng và vật phẩm nhất định.</t>
  </si>
  <si>
    <t>利用道具，不只能和怪物，也能使NPC交換位置</t>
  </si>
  <si>
    <t>アイテムを使うとモンスターやNPCと場所を入れ替わることが出来る！</t>
  </si>
  <si>
    <t>Using items, not only you can swap positions with monsters, you can also swap positions with NPCs</t>
  </si>
  <si>
    <t>Bằng cách dùng các vật phẩm, bạn không chỉ có thể đổi chỗ với quái, mà còn có thể đổi chỗ với các NPC nữa</t>
  </si>
  <si>
    <t>怪物也有嗅覺，而有些怪物也會懼怕臭味而逃離</t>
  </si>
  <si>
    <t>モンスターにも嗅覚があり、臭い匂いからは逃げたくもなる…</t>
  </si>
  <si>
    <t>Monsters can smell too.. and some of them will run away if they smell something bad</t>
  </si>
  <si>
    <t>Các con quái cũng có thể ngửi nữa… vài con sẽ chạy đi nếu chũng ngửi thấy gì đó tệ.</t>
  </si>
  <si>
    <t>獨自洗澡時，妹妹有一定機率闖入，哥哥的血量越低越容易觸發。(0.55版本暫時鎖定)</t>
  </si>
  <si>
    <t>一人でお風呂に入る場合、一定の確率で妹が一緒にお風呂に入ってくる！お兄ちゃんの体力が低いと確率が上がる</t>
  </si>
  <si>
    <t>When you're taking a bath alone, there is a chance that your sister will join you. The lower your HP when you get home, the likelihood of this happening increases 
(Currently disabled after version 0.55)</t>
  </si>
  <si>
    <t>Nếu bạn đi tắm một mình, có khả năng là Imouto sẽ vào cùng bạn. HP càng thấp khi về nhà, khả năng điều này xảy ra càng cao
(Hiện tại đã bị vô hiệu hóa đi từ phiên bản 0.55)</t>
  </si>
  <si>
    <t>當妹妹玩遊戲時，可以對妹妹惡作劇。
若要觸發特殊的開腿選項，需要先完成DCL的任務</t>
  </si>
  <si>
    <t>ゲームをしている妹に「いたずら」をすることが出来る！
エッチな態勢にするには前提条件をクリアする必要がある</t>
  </si>
  <si>
    <t>You can play pranks on your sister while she's playing games.
To be able to spread her legs, you need to get the DLC.</t>
  </si>
  <si>
    <t>Bạn có thể chọc ghẹo Imouto khi đang chơi game
Để mở chân Imouto, bạn cần có DLC</t>
  </si>
  <si>
    <t>妹妹治癒後，除了早上起得來，睡眠時間也會變晚</t>
  </si>
  <si>
    <t>妹は病気が治ってからは朝起きることが出来て、夜遅くまで起きることが出来るようになった！</t>
  </si>
  <si>
    <t>After giving your sister the cure, not only she can wake up in the mornings, she can also stay up late at night.</t>
  </si>
  <si>
    <t>Sau khi đưa thuốc chữa cho Imouto, em ấy không chỉ có thể dậy vào buổi sáng, mà còn có thể ngủ muộn vào ban đêm.</t>
  </si>
  <si>
    <t>幸運值可以用來影響扭蛋、物品掉落(實裝)
和妹妹相關的機率事件也會受到幸運值的影響(未實裝)</t>
  </si>
  <si>
    <t>お兄ちゃんの運が高いとガシャポンやアイテムドロップにも影響を与えるよ！
妹関連のイベントも運によって左右される（未実装）</t>
  </si>
  <si>
    <t>Luck can affect the rate of obtaining prizes from the Gacha (Implemented)
Luck can also affect events that involve chance with your sister (Unimplemented)</t>
  </si>
  <si>
    <t>Vận may cũng có thể ảnh hưởng đến giải thưởng từ máy gacha (đã được thực hiện)
Vận may có thể ảnh hưởng đến những sự kiện cần may mắn với Imouto (chưa được thực hiện)</t>
  </si>
  <si>
    <t>商店老闆娘叫做aki，另外妹妹的聲優也是aki</t>
  </si>
  <si>
    <t>アキの菓子店の店主はアキちゃんだけど、妹の声優もアキちゃんである！
かわいい！えっち！</t>
  </si>
  <si>
    <t>The mysterious shop owner is called Aki and the little sister's voice actor is also named Aki</t>
  </si>
  <si>
    <t>Chủ cửa hàng bí ẩn có tên là Aki và người lồng tiếng cho Imouto cũng tên là Aki</t>
  </si>
  <si>
    <t>Ehwaz符文會在扔出去后和觸碰到的敵人交換位置</t>
  </si>
  <si>
    <t>エワズは投げた後に敵に当たると場所が入れ替わるよ！</t>
  </si>
  <si>
    <t>The Ehwaz rune will swap places with the enemy it touches after being thrown.</t>
  </si>
  <si>
    <t>Ehwaz sẽ đổi chỗ với kẻ thù nó chạm vào sau khi bị ném</t>
  </si>
  <si>
    <t>Raido符文是投擲出去會落地形成一个標記，鼠標點擊这个標記會把你直接瞬移到這個位置上</t>
  </si>
  <si>
    <t>ライドーは投げた場所にルーンを刻み、その場所をクリックすることで瞬間移動することが出来る！
「卑劣斬り！」</t>
  </si>
  <si>
    <t>When the Raido rune is thrown, it will create a mark on the spot. Clicking on this mark with the mouse will teleport you directly to this location.</t>
  </si>
  <si>
    <t>Raido符文是投掷出去会落地形成一个标记，鼠标点击这个标记会把你直接瞬移到这个位置上
（老哥：飞雷神！）</t>
  </si>
  <si>
    <t>Khi Raido bị ném, nó sẽ tạo ra một dấu vết trên mặt đất. Nhấp chuột vào vị trí này sẽ dịch chuyển bạn đến vị trí đó ngay lập tức</t>
  </si>
  <si>
    <t>Jera符文，丟出去可以變換接觸到的敵人或掉落物，也就是複製的作用(未實裝)</t>
  </si>
  <si>
    <t>When throwing the Jera Rune, it can transform enemies or dropped objects it comes into contact with (not yet implemented)</t>
  </si>
  <si>
    <t>Khi Jera, nó sẽ chuyển đổi kẻ thù hoặc vật phẩm bị rơi nó chạm vào (chưa được thực hiện)</t>
  </si>
  <si>
    <t>Perth符文，丢出去會造成範圍影響，範圍内的敵人或掉落物會被随機替换(未實裝)</t>
  </si>
  <si>
    <t>When Perth Rune is thrown, it will cause various effects, and enemies or dropped items within range will be randomly replaced (not yet implemented)</t>
  </si>
  <si>
    <t>Khi Perth bị ném, nó sẽ tạo ra nhiều hiệu ứng, và kẻ thù hoặc vật phẩm bị rơi trong tầm sẽ được thế chỗ một cách ngẫu nhiên (chưa được thực hiện)</t>
  </si>
  <si>
    <t>甜筒大劍的效果是餵食怪物，每次攻擊有一定機率累積數值，當到達一定數量時怪物會吃太飽而死亡。(BOSS未測試)</t>
  </si>
  <si>
    <t>"シュガーコーン大剣の効果は、モンスターに食べさせることです。攻撃するたびに一定の確率で数値が蓄積され、一定の数に達するとモンスターは食べ過ぎて死亡します。（BOSSは未検証）"</t>
  </si>
  <si>
    <t>The purpose of the Cone Greatsword weapon is to feed monsters. It accumulates a stack value and when a certain number is reached, the monster will be too full and die. (Not tested on boss)</t>
  </si>
  <si>
    <t>Mục đích của vũ khí Đại Gương Câu Thông là để cho quái ăn. Nó sẽ tích lũy một giá trị, và khi đạt đến một giá trị nhất định, con quái sẽ chết vì no (chưa được thử trên quái boss)</t>
  </si>
  <si>
    <t>如果扭蛋掉到騎士的腳邊，他會幫你撿起</t>
  </si>
  <si>
    <t>If the gachapon balls drop near the Weird Knight's feet, he will pick it up for you.</t>
  </si>
  <si>
    <t>Nếu một quả gachapon rơi gần chân Hiệp Sĩ Kì Lạ, anh ta sẽ nhặt lên cho bạn</t>
  </si>
  <si>
    <t>全武器默認的耐久度上限是114514，來源自&lt;仲夏夜之淫夢&gt;</t>
  </si>
  <si>
    <t>すべての武器のデフォルトの最大耐久力は 114514 です。これは「真夏の夜の淫夢」に由来しています。
「たまげたなぁ…」</t>
  </si>
  <si>
    <t>The default durability of each weapon is 114514. This comes from the meme "A Midsummer Night's Dream"</t>
  </si>
  <si>
    <t>全武器默认的耐久度上限是114514，来源自&lt;仲夏夜之淫梦&gt;
（这么臭的武器还有必要使用吗...怕不是拿出来就能臭死这个世界上所有的生命体了罢...（恼））</t>
  </si>
  <si>
    <t>Độ bền mặc định của mỗi vũ khí là 114514. Việc này đến từ meme “A Midsummer Night’s Dream”.</t>
  </si>
  <si>
    <t>貓娘商店車會有以下的商品：
1.固定物品 2.貓娘們收集到的食材 3.隨機的常規道具，品質隨機分佈。</t>
  </si>
  <si>
    <t>浅羽のショップカートには以下の商品が入ります。
1. 固定アイテム 2. 浅羽が集めた材料 3. ランダムな通常アイテム（品質はランダムです）</t>
  </si>
  <si>
    <t>The Cat Girl's Shopping Van will be composed of the following:
1. A fixed item 2. Random ingredients 3. Random items of random quality</t>
  </si>
  <si>
    <t>Xe Van Bán Đồ của Cô Gái Mèo bao gồm:
1. Một vật phẩm không thay đổi 2. Nguyên liệu ngẫu nhiên 3. Vật phẩm ngẫu nhiên với chất lượng ngẫu nhiên</t>
  </si>
  <si>
    <t>貓娘淺羽相當於6個貓爪的攻速、投擲隨機武器，極為強大。
且仇恨會維持一整天、復活無法消除仇恨、跨圖追殺
(部分效果尚未實裝)</t>
  </si>
  <si>
    <t>浅羽は、6つの猫の爪に相当する攻撃速度を持ち、ランダムな武器を投げることができ、非常に強力です。また、敵対心は1日中持続し、復活しても敵対心は消えず、マップを越えて追跡します。（一部の効果はまだ実装されていません）</t>
  </si>
  <si>
    <t>The cat girl Asaba has an attack speed similar to having 6 Neko Punches. She throws you random weapons and is extremely powerful.
When provoked, she will chase you for the entire day, even if you revive from Feather of Firebird. She will also chase you even if you go to different maps. (Some of these are not yet implemented)</t>
  </si>
  <si>
    <t>猫娘浅羽相当于6个猫爪的攻速、投掷随机武器，极为强大。 
且仇恨会维持一整天、复活无法消除仇恨、跨图追杀 (部分效果尚未实装)</t>
  </si>
  <si>
    <t>Cô gái mèo Asaba có tốc độ tấn công nhanh bằng 6 Vuốt Mèo. Cô ấy ném cho bạn vũ khí bất kì vào cực kì mạnh
Khi bị chọc giận, cô ấy sẽ đuổi bạn cả ngày, kể cả khi bạn hồi sinh bằng Hỏa Điểu Vũ. Cô ấy cũng sẽ đuổi theo bạn nếu bạn đi sang bản đồ khác (một số bản đồ chưa có)</t>
  </si>
  <si>
    <t>可以對貓娘商店車使用時間暫停器，是個優秀的攻擊方式
(P.S.對AKI商店無效)</t>
  </si>
  <si>
    <t>走行中の茶会の宅配車に時間停止器を使用することができます。（P.S. AKI商店には無効です）</t>
  </si>
  <si>
    <t>You can use Sealed Timepiece against the Cat Girl's Shopping Van which is an excellent attack method. (PS: You can't use it on Aki's store)</t>
  </si>
  <si>
    <t>Bạn có thể sử dụng vật phẩm Đồng Hồ Niêm Phong chống lại Xe Van Bán Đồ của Cô Gái Mèo, một cách tấn công tuyệt vời (bạn không thể sử dụng nó với cửa hàng của Aki)</t>
  </si>
  <si>
    <t>不論是行駛中的商店車或者貓娘淺羽的傷害，都可以對怪物造成傷害
既使是深淵BOSS也無法抵擋住貓娘淺羽，雖然你也會獻上自己的生命</t>
  </si>
  <si>
    <t>宅配車アタックや浅羽の攻撃はモンスターにも当たります
BOSSでさえ浅羽には敵いませんがお兄ちゃんも同じ運命をたどります…</t>
  </si>
  <si>
    <t>Both the Shopping Van and Asaba's attacks can deal damage to other entities. Even the abyss boss is no match for Asaba... but that only means you are also risking yourself.</t>
  </si>
  <si>
    <t>不论是行驶中的商店车或者猫娘浅羽的伤害，都可以对怪物造成伤害 
既使是深渊BOSS也无法抵挡住猫娘浅羽，虽然你也会献上自己的生命
（杀敌一千自损一万（））</t>
  </si>
  <si>
    <t>Cả Xe Van Bán Đồ và đòn tấn công của Asaba đều có thể ảnh hưởng lên các thực thể khác. Kể cả quái boss của Vực sâu cũng không là đối thủ của Asaba... nhưng điều đó cũng có nghĩa là bạn tự đặt mình vào nguy hiểm</t>
  </si>
  <si>
    <t>機率100%不代表必定觸發，因為還有敵人的抗性。有些裝備還會依據溢出的機率來增強效果。</t>
  </si>
  <si>
    <t>100％の効果でもモンスターのも抵抗力があるため必ず発動するとは限りません。
一部の装備によってはオーバーフローしその分効果が発動しやすくなるものもあります</t>
  </si>
  <si>
    <t xml:space="preserve"> "100% chance" doesn't necessarily mean it's guaranteed since there are other factors such as enemy resistances. Some equipments may also be enhanced depending on the excess value.</t>
  </si>
  <si>
    <t>"Xác suất 100%” không nhất thiết là sẽ chắc chắn xảy ra vì còn có nhiều yếu tố khác như kháng sát thương của kẻ địch. Một số trang bị có thể được nâng cấp dựa vào giá trị thừa ra.</t>
  </si>
  <si>
    <t>不同天氣時，妹妹會塗不同顏色的指甲油。</t>
  </si>
  <si>
    <t>天気によって、妹は違う色のネイルをしてるよ</t>
  </si>
  <si>
    <t>The sister will have different colors of nail polish depending on the weather.</t>
  </si>
  <si>
    <t>Imouto sẽ có màu móng khác nhau tùy vào thời tiết</t>
  </si>
  <si>
    <t>星之門地圖，丟棄在星之門中的物品不會遺失，可以當作臨時倉庫。
但數量過多可能會卡住，不建議丟太多。
上限數量約200~600左右(未完全實裝)</t>
  </si>
  <si>
    <t>星の門の内部では、捨てたアイテムは失われず、一時的な倉庫として使える。
ただし、数が多すぎると詰まる可能性があるため、あまり捨てすぎないことをお勧めします。
上限数は約200〜600程度です（未完全実装）</t>
  </si>
  <si>
    <t>When inside the Star Gate, dropped items will not disappear so you can use it as a temporary storage area. However, due its limited space, throwing too much items might cause problems.
The maximum capacity should be around 200~600 items. 
(Not yet fully implemented)</t>
  </si>
  <si>
    <t>Khi ở bên trong Cửa sao, các vật phẩm bị rơi sẽ không biến mất nên bạn có thể sử dụng nó như một chỗ chứa tạm thời. Tuy nhiên, do không gian giới hạn, quá nhiều vật phẩm có thể gây ra vài vấn đề
Khả năng chứa tối đa nên khoảng 200~600 vật phẩm
(chưa được triển khai hoàn toàn)</t>
  </si>
  <si>
    <t>心情數值(0~100)是隱藏的，可以從妹妹平時的態度感受出來</t>
  </si>
  <si>
    <t>気分値（0～100）が隠されており、妹の普段の態度や表情から判断できる！</t>
  </si>
  <si>
    <t>There is a hidden mood value in the game from 0-100. You can tell the sister's mood based off her facial expressions.</t>
  </si>
  <si>
    <t>Có một giá trị cảm xúc ẩn ở trong game, từ 0-100. Bạn có thể nhìn ra cảm xúc của Imouto dựa vào biểu cảm khuôn mặt</t>
  </si>
  <si>
    <t>0.75版本後，使用新存檔的玩家，能從一塊墓碑上聽到很細微的，發出奇怪的咕嚕聲</t>
  </si>
  <si>
    <t>0.75バージョン以降、新しいセーブデータを使用するプレイヤーは、一つの墓碑から微かな奇妙なゴロゴロ音を聞くことができる…</t>
  </si>
  <si>
    <t>After version 0.75, players who start on a new save file will be able to hear a subtle, gurgling noise from tombstones</t>
  </si>
  <si>
    <t>Từ sau phiên bản 0.75, người chơi sẽ nghe thấy một tiếng ríu rít nhỏ từ các bia mộ</t>
  </si>
  <si>
    <t>妹妹免疫毒素，因此有毒的食物不會使她中毒，但哥哥無法免疫。</t>
  </si>
  <si>
    <t>妹は毒素に免疫があるため、有毒な食べ物で中毒になることはありませんが、お兄ちゃんはクソ雑魚なので免疫がありません…</t>
  </si>
  <si>
    <t>Imouto is actually immune to poison, so feeding her poisonous food doesn't affect her. Unfortunately, this is not the same case for onii-chan</t>
  </si>
  <si>
    <t>Imouto thực ra miễn nhiễm với chất độc, nên ăn đồ nhiễm độc sẽ không ảnh hưởng đến em ấy. Tuy nhiên, điều này lại không đúng với onii-chan</t>
  </si>
  <si>
    <t>shift鍵可以切換走路/奔跑姿態</t>
  </si>
  <si>
    <t>Pressing the Shift key toggles between walking and running.</t>
  </si>
  <si>
    <t>Nhấn nút Shift chuyển đổi giữa chạy và đi bộ</t>
  </si>
  <si>
    <t>部分武器會因為習得忍者相關技能後而產生變化，例如匕首
近距離無敵人時，會自動切換為遠距離的投擲，並且"標記"該敵人。
"旋風斬"被替換為"強襲"，對擁有"標記"的敵人能夠瞬間移動到其身後並強化背刺傷害傷害。
"閃步太刀"技能被強制切換為短時間的隱身，隱身期間的第一次攻擊會追加背刺判定
****匕首類型武器暫時未實裝</t>
  </si>
  <si>
    <t>一部の武器は、忍者関連のスキルを習得することで変化します。例えば、短剣は次のようになります。
近距離に敵がいない場合、自動的に遠距離の投擲に切り替わり、その敵に「マーク」を付けます。
「旋風斬」は「強襲」に置き換えられ、マークの付いた敵に対して瞬時に背後に移動し、背後からのダメージが強化されます。
「閃歩太刀」スキルは短時間の隠身に強制的に切り替わり、隠身中の最初の攻撃には背刺判定が追加されます。
****ダガータイプの武器は現在未実装です</t>
  </si>
  <si>
    <t>Some weapons will change once you learn ninja-related skills, such as daggers.
When there are no enemies in melee range, it will immediately switch to a ranged weapon where it will be thrown as a range weapon, leaving a mark on enemies when hit. 
Senpuu Giri is now replaced with "Power Assault", which lets you instantly teleport behind an enemy target with a mark from throwing daggers while increasing backstab damage.
Senpo Tachi is now forced to put you into stealth for a very short duration. The first hit during stealth will deal bonus backstab damage.
*Dagger weapons are not yet implemented</t>
  </si>
  <si>
    <t>Một số vũ khí sẽ thay đổi khi bạn học được các kỹ năng liên quan đến ninja, như dao găm.
Khi không có kẻ thù nào trong tầm vũ khí cầm tay, nó sẽ tự chuyển sang vũ khí tầm xa khi nó có thể được ném, để lại dấu vết trên kẻ thù khi trúng
Senpuu Giri giờ đã bị thay thế bằng “Đâm Lén”, thứ cho phép bạn dịch chuyển ngay đằng sau kẻ thù đã bị đánh dấu từ con dao găm đã ném, cùng với đó là tăng sát thương đâm lén
Senpo Tachi giờ bắt buộc đưa bạn vào trạng thái lén lút trong một khoảng thời gian ngắn. Cú đâm đầu tiên trong trạng thái lén lút sẽ gây thêm sát thương đâm sau lưng
*Các vũ khí dao găm chưa được triển khai</t>
  </si>
  <si>
    <t>「做壞事」會累積罪惡值，例如：對妹妹性騷擾、背刺敵人、破壞公物、使用炸彈到河裡
(罪惡值目前未實裝)</t>
  </si>
  <si>
    <t>"『悪事を行う』ことで罪悪値が蓄積されます。例えば：妹へのセクハラ、敵の背刺、公物の破壊、爆弾を川に投げ入れるなどです。"</t>
  </si>
  <si>
    <t>Doing bad things will accumulate "evilness". These include sexually harassing imouto, attacking enemies in the back, vandalizing public property, using bombs to fish in the river, etc. (Repercussions for being evil isn't implemented yet)</t>
  </si>
  <si>
    <t>Làm các việc xấu sẽ tích lũy “Độ xấu xa”. Việc này bao gồm có hành động khiếm nhã với Imouto, phá hủy tài sản công cộng, dùng bom để bắt cá trên sông, vv... (hậu quả của việc trở nên xấu xa chưa được thực hiện)</t>
  </si>
  <si>
    <t>背後刺殺的各階段熟練度需求:
5.27.60.120.256.530.960.1587.2452.3600</t>
  </si>
  <si>
    <t>背後刺殺の各階段熟練度要求：
5, 27, 60, 120, 256, 530, 960, 1587, 2452, 3600</t>
  </si>
  <si>
    <t>Backstabbing proficiency requirements for each stage:
5%/27%/60%/120%/256%/530%/960%/1587%/2452%/3600%</t>
  </si>
  <si>
    <t xml:space="preserve">Độ thông thạo đâm lén sau lưng cho mỗi giai đoạn:
5%/27%/60%/120%/256%/530%/960%/1587%/2452%/3600% </t>
  </si>
  <si>
    <t>背後刺殺，也可以對場景物件(例如樹木、罐子)生效，可以輕鬆的提升熟練度。
(有些物件的方位要注意，例如：花朵、蘑菇)</t>
  </si>
  <si>
    <t xml:space="preserve">背後からの暗殺は、シーン内のオブジェクト（例えば、木や壺）にも効果があります。これにより、簡単に熟練度を上げることができます。
（ただし、一部のオブジェクトの向きには注意が必要です。例えば：花やキノコ）
</t>
  </si>
  <si>
    <t>Backstab also works on inanimate objects such as vases, trees, etc. so they can be used to help improve the skill's efficiency. (Pay attention to some objects as to where they are facing such as mushrooms and flowers)</t>
  </si>
  <si>
    <t>Đâm lén cũng hoạt động với các vật vô tri như bình, cây, vv,... nên cũng có thể dùng chúng để tăng độ thông thạo kĩ năng. (Chú ý đến hướng các vật như nấm và hoa đang quay vào)</t>
  </si>
  <si>
    <t>技能"氣息消除"
在敵人背後潛行和在洗面所跳舞都可以累積熟練度，熟練度看不到，請直接查看技能等級</t>
  </si>
  <si>
    <t>スキル『気配遮断』
敵の背後で潜行したり、洗面所で踊ったりすることで熟練度を蓄積できます。熟練度は表示されないため、スキルレベルを確認してください。</t>
  </si>
  <si>
    <t>Regarding the skill "Breath Concealment"
This skill's proficiency can be increased by sneaking behind the enemy or by dancing in the washroom. The proficiency can't be seen directly, except in the skills tab during adventure mode.</t>
  </si>
  <si>
    <t>Fähigkeit ,,Atemverbergen":
Die Fertigkeit dieser Fähigkeit kann verbessert werden, indem man sich hinter Feinde schleicht oder im Waschraum tanzt. Der Fertigkeitsgrad ist nicht direkt sichtbar, außer im Fähigkeitenmenü während des Abenteuermodus.</t>
  </si>
  <si>
    <t>Liên quan đến kĩ năng “Ẩn Hơi Thở”
Độ thông thạo kĩ năng có thể được nâng lên bằng cách đi lén lút đằng sau kẻ thù hoặc nhảy trong phòng giặt đồ. Độ thông thạo không thể được thấy trực tiếp, trừ thẻ kĩ năng trong chế độ phiêu lưu</t>
  </si>
  <si>
    <t>精英野怪：當一種怪物被擊殺的數量達到某個程度後，就可能誕生被強化的野怪，擁有更強大的屬性。
目前只有初步實裝，後續會再加強各方面的特效以及寶物掉落。</t>
  </si>
  <si>
    <t>エリート810(野獣)：ある種のモンスターが一定数撃破されると、強化された先輩(野獣)が出現する可能性があり、より強力な属性を持っています。現在は初期実装のみで、今後はエフェクトやレアのドロップを強化する予定です。
「この辺にィ、強化された野獣が出るらしいっすよ？」
「じゃけん倒しに行きましょうね～」</t>
  </si>
  <si>
    <t xml:space="preserve">When monsters have been killed by a certain amount, an elite version whose stats are more powerful than that of the original monster, will spawn around the abyss.
Currently, it's on its early stages, so future drops such as better loot, etc. are not yet implemented. </t>
  </si>
  <si>
    <t>Elite-Gegner Mechanik:
Wenn eine bestimmte Anzahl von Monstern getötet wurde, erscheint eine stärkere Elite-Version dieser Monster in der Nähe des Abgrunds. Diese besitzen verbesserte Werte gegenüber den normalen Monstern.
Das System befindet sich noch in der frühen Entwicklungsphase, daher sind zukünftige Belohnungen wie bessere Beute noch nicht implementiert.</t>
  </si>
  <si>
    <t>Khi số quái đã bị giết đạt đến một con số nhất định, một phiên bản cao hơn của chúng sẽ xuất hiện trong Vực sâu, với chỉ số cao hơn con nguyên bản
Hiện tại, nó ở giai đoạn ban đầu, nên việc các vật phẩm rơi ra như vật phẩm tốt hơn, vv... chưa được triển khai</t>
  </si>
  <si>
    <t>同上，飲料販賣機也有可能出現菁英飲料販賣機</t>
  </si>
  <si>
    <t>上記と同様に、自販機も強化された飲料自販機として登場する場合があります…</t>
  </si>
  <si>
    <t>For the same reasons above, the vending machine may also have an elite variant!</t>
  </si>
  <si>
    <t>Ebenso könnte es in der Zukunft nicht nur einen Getränkeautomaten, sondern auch einen Elite-Getränkeautomaten geben</t>
  </si>
  <si>
    <t>Với cùng lí do như trên, máy bán đồ cũng sẽ có phiên bản cao cấp hơn!</t>
  </si>
  <si>
    <t>史萊姆貓咪其實不是喜歡哥哥，而是喜歡他身上沾到的妹妹香味。</t>
  </si>
  <si>
    <t>猫スライムはお兄ちゃんのことは好きではないけど、妹の匂いが付いたお兄ちゃんは大好きである！</t>
  </si>
  <si>
    <t>In reality, the slime cat doesn't like the brother. It only likes him because of the lingering scent of his sister.</t>
  </si>
  <si>
    <t>Schleimkatzen-Verhalten:
Eigentlich mag die Schleimkatze den Bruder nicht. Sie toleriert ihn nur wegen des vertrauten Geruchs seiner Schwester</t>
  </si>
  <si>
    <t>Thật ra, con mèo slime không thích onii-chan. Nó chỉ thích mùi hương còn lại của imouto</t>
  </si>
  <si>
    <t>打開的"星之門"可以吸收物體和子彈，阻擋的傷害有上限(被淺羽攻擊大約2秒就爆了)</t>
  </si>
  <si>
    <t>When the Star Gate is left open, it can absorb objects and projectiles that pass through it (this has a limit as it explodes after 2 seconds after being attacked by Asaba)
In addition to this, the door can also damage monsters passing through it</t>
  </si>
  <si>
    <t>Sternentor-Mechanik:
Wenn das Sternentor offen bleibt, kann es Objekte und Geschosse absorbieren, die durchfliegen (dies hat jedoch Grenzen - nach 2 Sekunden oder wenn es von Asaba angegriffen wird, explodiert es).
Zusätzlich fügt das Tor durchquerenden Monstern Schaden zu</t>
  </si>
  <si>
    <t>Khi Cửa Sao được để mở, nó sẽ hấp thụ tất cả vật thể và đạn bay qua nó (nó có giới hạn khi nó phát nổ 2 giây sau khi bị Asaba tấn công)
Thêm vào đó, Cửa Sao cũng sẽ gây sát thương lên quái đi qua nó</t>
  </si>
  <si>
    <t>親密接觸(洗澡後、各服裝、各心情、各甜品狀態，皆有可能有不同演出)
身體部位有以下內容：呆毛、頭部、胸部、私處、耳朵、鎖骨、乳頭、肚皮
拖拽時特殊項目：呆毛、胸部、乳頭</t>
  </si>
  <si>
    <t>Skinship:
Different animations will occur depending on imouto's outfit, mood, after eating desserts, after taking a shower, etc.
The following body parts can be touched:
Ahoge, head, chest, crotch, ears, collarbone, nipples, belly
Special interactions when dragging:
Ahoge, chest, nipples</t>
  </si>
  <si>
    <t>Zärtlichkeiten:
Je nach Outfit, Stimmung, nach dem Essen von Süßigkeiten oder nach dem Duschen der kleinen Schwester werden unterschiedliche Animationen ausgelöst.
Folgende Körperteile können berührt werden:
Ahoge (Strahnenhaar), Kopf, Brust, Intimbereich, Ohren, Schlüsselbein, Brustwarzen, Bauch
Durch Ziehen an diesen Stellen erhältst du besondere Gegenstände:
Ahoge (Komisches Haar), Brust, Brustwarzen</t>
  </si>
  <si>
    <t>Skinship:
Các animation khác nhau sẽ xảy ra dựa trên trang phục của imouto, cảm xúc, sau khi ăn tráng miệng, sau khi tắm, vv...
Những bộ phận sau đây có thể được chạm:
Ahoge, đầu, ngực, xương chậu, tai, xương đòn, núm vú, bụng
Những tương tác đặc biệt khi di và kéo:
Ahoge, ngực, núm vú</t>
  </si>
  <si>
    <t>空手且背刺的情況下，可以使用隱藏的千年殺技能，可以擊飛目標敵人
※傷害的數值受到背刺技能影響、不受劍術修行技能影響
※無法對免疫擊飛的怪物使用、只能對敵人單位使用
※未來可能會實裝對不同敵人有不同色情動作的延伸</t>
  </si>
  <si>
    <t>When you have no equipped weapons and have learnt the backstab skill, you can use the hidden technique "One Thousand Years of Death" when attacking enemies from behind. 
*The damage is based on your backstab proficiency, not sword proficiency
*Cannot be used on monsters that are immune to knockback effects. Can only be used on enemies.
*In the future, different lewd actions may happen when used on certain enemies</t>
  </si>
  <si>
    <t>Khi bạn đang không trang bị vũ khí nào và đã học được kĩ năng đâm sau lưng, bạn có thể sử dụng kĩ năng ẩn “Ngàn Năm của Thần Chết” khi tấn công kẻ địch từ đằng sau
*Sát thương sẽ dựa trên độ thông thạo đâm lén, không phải độ thông thạo vũ khí
*Không thể áp dụng lên quái miễn nhiễm với hiệu ứng đẩy lùi. Chỉ có thể được dùng lên kẻ thù
*Trong tương lai, nhiều hành động không đứng đắn sẽ xảy ra khi được sử dụng trên một số kẻ thù nhất định</t>
  </si>
  <si>
    <t>牛奶是最好的解辣飲品，能大幅縮短解除辣哭了的持續時間</t>
  </si>
  <si>
    <t>牛乳は最良の辛さ解消飲料であり、辛さで泣いてしまう時間を大幅に短縮することができます</t>
  </si>
  <si>
    <t>Milk is the best drink to relieve spiciness as it will significantly reduce its duration</t>
  </si>
  <si>
    <t>La leche es el mejor antídoto contra el picante.
 Reduce drásticamente la duración del estado "llorar por lo picante".</t>
  </si>
  <si>
    <t>Milch ist das beste Getränk, um Schärfe zu lindern, und kann die Dauer des "Weinen von Schärfe"-Zustands erheblich verkürzen.</t>
  </si>
  <si>
    <t>Sữa là đồ uống tốt nhất để chữa cay vì nó làm giảm đáng kể thời gian cay</t>
  </si>
  <si>
    <t>客廳的電視，目前無實際用途，未來預計會依照不同的天數，每天做出不同的畫面(例如：新聞、動畫、食譜、黑暗料理、彩蛋等)</t>
  </si>
  <si>
    <t>リビングのテレビは現在実際の用途がなく、将来的には異なる日数に応じて、毎日異なる画面を表示する予定です（例：ニュース、アニメ、レシピ、ダーク料理、隠し要素など）</t>
  </si>
  <si>
    <t>The TV in the living room has no use as of the moment. In the future, it's expected to display various content depending what day it is. (e.g. news, animation, recipe, dark food, easter eggs, etc.)</t>
  </si>
  <si>
    <t>La televisión de la sala no tiene utilidad por ahora,
 pero en el futuro mostrará distintos contenidos según el día:
Noticias, anime, recetas, cocina oscura… incluso easter eggs.</t>
  </si>
  <si>
    <t>Der Fernseher im Wohnzimmer hat aktuell keine tatsächliche Funktion. Zukünftig soll er je nach Tag verschiedene Inhalte anzeigen, darunter Nachrichten, Animationen, Rezepte, "dunkle Küche (humorvolle Anspielung auf schlechte Kochkünste) und Easter Eggs.</t>
  </si>
  <si>
    <t>TV trong phòng khách hiện tại không có tác dụng gì. Trong tương lai, nó sẽ chiếu vô số nội dung tùy vào ngày đó là ngày gì (vd tin tức, animation, công thức, đồ ăn hắc ám, easter egg, vv)</t>
  </si>
  <si>
    <t>ASABA通常會出現在路邊的草莓叢中</t>
  </si>
  <si>
    <t>ASABAは通常、道端のイチゴの茂みの中に出現します</t>
  </si>
  <si>
    <t>ASABA is mostly seen nearby strawberry bushes in the sideroad</t>
  </si>
  <si>
    <t>ASABA suele aparecer entre los arbustos de fresas al borde del camino.</t>
  </si>
  <si>
    <t>ASABA erscheint typischerweise in Erdbeerbüschen am Straßenrand.</t>
  </si>
  <si>
    <t>ASABA sẽ được thấy nhiều nhất gần bụi dâu tây ở ven đường</t>
  </si>
  <si>
    <t>"草莓"食材，目前無實際用途，等待未來更新</t>
  </si>
  <si>
    <t>「イチゴ」食材は現在実際の用途がなく、今後のアップデートを待っています</t>
  </si>
  <si>
    <t>Presently, Strawberry has no practical use. Please wait for future updates.</t>
  </si>
  <si>
    <t xml:space="preserve">El ingrediente “Fresa” no tiene uso actualmente.
</t>
  </si>
  <si>
    <t>Erdbeeren als Zutat haben derzeit keinen praktischen Nutzen, warten auf zukünftige Updates.</t>
  </si>
  <si>
    <t>Hiện tại, Dâu Tây không có mục đích sử dụng thực sự. Hãy chờ đến các cập nhật trong tương lai</t>
  </si>
  <si>
    <t>關於稻草人，目前版本開發出來的擊殺方式只有死神塔羅牌、破顏拳套+貓爪手套的應用</t>
  </si>
  <si>
    <t>現在のバージョンでは、カカシを撃破する方法として開発されたのは、死神タロットカードと破顔拳套＋猫爪手袋の組み合わせのみです</t>
  </si>
  <si>
    <t>In this current version, the only way to kill the Scarecrow is by using the Death tarot card or using Face Breaker paired with Neko Punch.</t>
  </si>
  <si>
    <t>Actualmente, solo hay dos formas de derrotar al espantapájaros: 
Usar la Carta del Tarot: Muerte
 Combinar Guantes Rompecaras + Guantes de Garras de Gato</t>
  </si>
  <si>
    <t>Derzeit kann man Vogelscheuchen im Spiel nur mit der Sense der Todes-Tarotkarte oder durch die Anwendung von Gesichtsprenger Fäustlingen in Kombination mit Katzenkrallen Handschuhen besiegen.</t>
  </si>
  <si>
    <t>Trong phiên bản hiện tại, cách duy nhất để phá hủy Bù Nhìn là dùng bài tarot “Thần Chết” hoặc trang bị “Hủy Dung” với “Nắm Đấm Neko"</t>
  </si>
  <si>
    <t>使用『6a1n60ld』密技，可以立即獲得"10萬金幣"、"Ruika的萬寶槌"(增加掉落率)
使用『healmeplz』密技，可以立即獲得"Mio的急救箱"(每秒血量回復)
使用『unshatter』密技，可以立即獲得"白湮的金手指"(武器無消耗)
使用『60dpat』密技，可以立即獲得"愛神蕩漾"道具(摸一次頭可以增加一顆紅心)
使用『muestacz』密技，可以立即獲得"絕對領域"道具(武器/防具持有數量+99)
使用『1f0g0ty0u』，可以重新替妹妹取名，此操作不算使用作弊代碼
使用『aut0update』，手機版本可以重新觸發版本更新，此操作不算使用作弊代碼
請注意：一旦使用作弊代碼，會獲得"雜魚"的稱號，此效果無法移除且永久存在，擁有此稱號將在後續版本更新中，出現其他的影響。
例如開場的妹妹嘲諷語音、來自NPC的嘲諷等等，建議使用不同的存檔。
於外出的RPG模式時，無須輸入框，請直接"手動輸入"，不可複製貼上。</t>
  </si>
  <si>
    <t xml:space="preserve">
チートコード「6a1n60ld」を使用すると、「10万ゴールド」と「Ruikaの万能ハンマー」（ドロップ率上昇）を即座に獲得できます。
チートコード「healmeplz」を使用すると、「Mioの救急箱」（毎秒HP回復）を即座に獲得できます。
チートコード「unshatter」を使用すると、「白湮のゴールデンフィンガー」（武器の耐久消費なし）を即座に獲得できます。
チートコード「60dpat」を使用すると、「愛の女神のときめき」アイテム（頭を1回なでるとハートが1つ増える）を即座に獲得できます。
チートコード「muestacz」を使用すると、「絶対領域」アイテム（武器／防具の所持数＋99）を即座に獲得できます。
チートコード「1f0g0ty0u」を使用すると、妹の名前を再設定できます。この操作はチートコード使用には該当しません。
チートコード「aut0update」を使用すると、モバイル版でバージョン更新を再度トリガーできます。この操作もチートコード使用には該当しません。
ご注意：一度チートコードを使用すると、「雑魚」という称号を獲得します。この効果は削除できず、永続的に残ります。
この称号を持っていると、今後のバージョン更新で他の影響が発生します。
たとえば、ゲーム開始時に妹の嘲笑ボイスが流れたり、NPCからのからかいが追加されるなどです。
別のセーブデータを使用することをおすすめします。
RPG／アドベンチャーモード中は入力欄が表示されません。キーボードで直接コードを入力し、コピー＆ペーストはしないようにしてください。
</t>
  </si>
  <si>
    <t xml:space="preserve">Want to cheat? You can do so by typing the following on your keyboard:
『6a1n60ld』 - Immediately gives 100,000 yen and "Ruika's Magic Hammer" (cheat item), which increases drop rate
『healmeplz』 - Gives "Mio's First Aid Kit" (cheat item) that massively restores health per second
『unshatter』 - Gives "Shiroin's Golden Finger" (cheat item) that gives weapons infinite durability
『60dpat』 - Gives you the "Catalyst Amatoria" equipment which makes headpats give 1 red heart immediately when worn
『muestacz』 - Gives you the "Absolute Territory" equipment, which gives +99 weapon/equipment inventory space when worn
『1f0g0ty0u』- sister's name will be forgotten and will let the player rename her. (does not count as cheat code)
『aut0update』- forces the game to update (MOBILE ONLY, does not count as a cheat code)
NOTE: Once you cheat in the game (except 1f0g0ty0u), you will have a title called "zako" (meaning noob/trash) which cannot be removed and will exist permanently. Having this title will have subsequent effects related to it in the future such as taunting remarks from imouto, NPCs, etc. 
During RPG/Adventure Mode, there is no input box. Just type the codes in your keyboard and remember not to copy paste.
</t>
  </si>
  <si>
    <t>Si quieres hacer trampas debes escribir lo siguiente en tu teclado:
『6a1n6l0d』
Obtén instantáneamente 100,000 monedas de oro.
『healmepls』
Recuperacion infinita al instante.
『unshatter』
armas con durabilidad infinita
『60dpat』
Recibe el objeto especial "Caricia Divina"
Usarlo para acariciar la cabeza de tu hermana te dará un ❤️ extra por vez
Advertencia importante
Al usar cualquier truco, recibirás el título permanente de "Don Nadie" (雜魚).
Este título no puede eliminarse y se mantendrá para siempre,
Afectará el juego en futuras actualizaciones con consecuencias aún desconocidas.</t>
  </si>
  <si>
    <t>Cheatcode 『6a1n60ld』 erhältst du 100.000 Gold. 
Cheatcode 『healmeplz』 erhältst du unendliche Heilung.
Cheatcode 『unshatter』 erhältst du unendliche Waffenhaltbarkeit.
Cheatcode 『60dpat』 erhältst du sofort das Item "Lust der Liebesgöttin" (einmal den Kopf streicheln erhöht ein rotes Herz).
Cheatcode 『muestacz』 erhältst du sofort das Item "Absolute Zone" (Anzahl der Waffen/Rüstungen +99).
Befehl『1f0g0ty0u』 kannst du deiner kleinen Schwester einen neuen Namen geben – dies zählt nicht als Cheat.
Befehl 『aut0update』 kann die Handyversion das Update erneut auslösen – dies zählt nicht als Cheat.
Bitte beachten: Sobald ein Cheatcode verwendet wurde, erhältst du den Titel "Schwächling".
Dieser Effekt kann nicht entfernt werden und bleibt dauerhaft bestehen.
Mit diesem Titel wirst du in zukünftigen Updates mit zusätzlichen Effekten konfrontiert –
zum Beispiel Spottstimmen der kleinen Schwester am Anfang, Hohn von NPCs usw.
Es wird empfohlen, dafür einen separaten Spielstand zu verwenden.
Im RPG-Außenmodus ist kein Eingabefeld nötig – bitte "manuell eingeben",
kopieren und einfügen ist nicht erlaubt.</t>
  </si>
  <si>
    <t>Bạn muốn ăn gian? Hãy nhập những dòng sau lên bàn phím:
{6a1n60ld} - ngay lập tức cho 100.000 yên và "Búa Phép Thuật Của Ruika" (vật phẩm ăn gian), tăng tỉ lệ rơi đồ
{healmepls} - cho vật phẩm "Bộ Sơ Cứu Của Mio" (vật phẩm ăn gian) giúp hồi đầy máu mỗi giây
{unshatter} - cho vật phẩm "Kim Thủ Chỉ Của Shiroin" (vật phẩm ăn gian) giúp vũ khí có vô tận độ bền
{60dpat} - cho bạn trang bị “Chất Xúc Tác Ái Tình", làm cho xoa đầu tăng 1 tim đỏ ngay lập tức khi đang đeo
{muestacz} - cho bạn trang bị “Vùng Tuyệt Đối”, làm tăng 99 vũ khí/trang bị không gian trong túi khi đeo
{1f0g0ty0u} - tên của em gái sẽ biến mất và cho người chơi đặt lại tên em gái
{aut0update} - bắt trò chơi phải cập nhật (CHỈ ĐIỆN THOẠI, không tính là mã gian lận)
Ghi chú: Một khi bạn ăn gian trong trò chơi (trừ 1f0g0ty0u), bạn sẽ được gọi là "zako" (nghĩ là noob/gà), không thể loại bỏ nó và sẽ tồn tại vĩnh viễn. Dòng chữ này tạo ra các hiệu ứng đi kèm liên quan đến nó trong tương lai, như hiệu ứng chọc ghẹo từ imouto, NPC, vv... 
Trog chế độ RPG/Phiêu Lưu, không có ô nhập. Chỉ cần gõ mã trên bàn phím và nhớ đừng copy paste</t>
  </si>
  <si>
    <t>安卓版在RPG模式下，透過長按頭像框，可以顯示作弊碼的輸入框</t>
  </si>
  <si>
    <t>In the Android version of the game, during the RPG mode, you can long press the avatar frame to display the cheat code input box</t>
  </si>
  <si>
    <t>In der Android Version kann im RPG Modus durch langes Drücken auf den Avatar Rahmen das Eingabefeld für Cheat-Codes eingeblendet werden.</t>
  </si>
  <si>
    <t>Trong phiên bản Android của trò chơi, trong chế độ RPG, bạn có thể nhấn giữ ảnh đại diện để hiển thị nơi nhập mã gian lận</t>
  </si>
  <si>
    <t>取名補充：
取妹妹相關的名子時，遊戲標題和遊戲LOGO中的"彼女"將會變更為"妹"</t>
  </si>
  <si>
    <t>Fun fact when naming imouto:
If you choose a name related to her being a sister, the game's logo will change accordingly from "A Simple Life With My Unobtrusive Girl" to "A Simple Life With My Unobtrusive Sister"</t>
  </si>
  <si>
    <t>Fun Fact beim Benennen der Imouto:
Wenn du einen Namen wählst, der sich auf ihre Rolle als Schwester bezieht, ändert sich das Spiel-Logo entsprechend von "A Simple Life With My Unobtrusive Girl" zu "A Simple Life With My Unobtrusive Sister".</t>
  </si>
  <si>
    <t xml:space="preserve">Fun fact khi đặt lại tên Imouto:
Nếu bạn chọn một tên có liên quan đến việc có em ấy là em gái, tên của trò chơi sẽ chuyển từ “A Simple Life With My Unobtrusive Sister” thành “A Simple Life With My Unobtrusive Sister” </t>
  </si>
  <si>
    <t>安卓版在RPG模式下，透過點擊頭像框，可以顯示FPS；PC版本是F2按鍵。</t>
  </si>
  <si>
    <t>In the Android version of the game, during the RPG mode, you can press the avatar frame to display the FPS. In PC, the hotkey for this is F2.</t>
  </si>
  <si>
    <t>In der Android Version kann im RPG-Modus durch Antippen des Avatar Rahmens die FPS angezeigt werden; in der PC Version über die F2 Taste.</t>
  </si>
  <si>
    <t>Trong phiên bản Android của trò chơi, trong chế độ RPG, bạn có thể nhấn giữ ảnh đại diện để hiển thị FPS. Trên PC, phím tắt là F2</t>
  </si>
  <si>
    <t>關於賄絡系統
當你的紅心、紫心數量不足以達到事件要求時，可以賄絡妹妹，使用約定草莓牛奶、金幣、什麼都行券，來無視條件
妹妹發情等特殊狀態會做獨立判定</t>
  </si>
  <si>
    <t>賄絡システムについて
あなたの赤いハートや紫のハートの数がイベントの要求を満たしていない場合、賄絡妹（妹）を使用して、約定のイチゴミルク、ゴールド、何でもOK券を使うことで条件を無視できます。
妹が発情などの特殊な状態にある場合、独立した判定が行われます。</t>
  </si>
  <si>
    <t>Regarding the bribery system:
When your red and purple hearts aren't sufficient to trigger the event requirements, you can bribe Imouto with Strawberry Milk, gold coins or the Free Pass Ticket to completely bypass the conditions.
Special status such as "sister in heat" is still needed as prerequisite as they are checked independently.</t>
  </si>
  <si>
    <t>Sobre el sistema de sobornos:
Cuando no tengas suficientes corazones rojos o morados para activar un evento, puedes sobornar a tu hermana para saltarte los requisitos.
Los sobornos aceptados son:
Leche de fresa con promesa, Monedas de oro, Vale para todo 
 Estados especiales como excitación u otras condiciones emocionales serán evaluadas por separado, y no pueden ser forzadas con sobornos.</t>
  </si>
  <si>
    <t>Wenn deine Anzahl an roten oder violetten Herzen nicht ausreicht, um die Anforderungen eines Ereignisses zu erfüllen, kannst du das Mädchen bestechen. Du kannst dabei Versprochene Erdbeermilch, Goldmünzen oder "Freie Fahrt Ticket" verwenden, um die Bedingungen zu ignorieren.
Besondere Zustände wie Brünstigkeit des Mädchens werden separat beurteilt.</t>
  </si>
  <si>
    <t>Liên quan đến hệ thống hối lộ
Khi tim đỏ và tím của bạn không đủ để kích hoạt điều kiện, bạn có thể hối lộ em ấy bằng Sữa Dâu Tây, xu vàng hoặc Vé Cho Phép Miễn Phí để hoàn toàn bỏ qua điều kiện
Những trạng thái đặc biệt như “em gái đang rạo rực” vẫn cần là điều kiện đầu tiên vì nó được kiểm tra độc lập</t>
  </si>
  <si>
    <t>在"冒險者小道:紀念碑"地圖中，石碑可以查看到戰敗的次數了</t>
  </si>
  <si>
    <t>In "Adventurer's Path: Monument", you can interact with the stone pillar to see how many times you've died in your playthrough.</t>
  </si>
  <si>
    <t>In "Adventurer's Path: Monument" kannst du mit der Steinsäule interagieren, um zu sehen, wie oft du in deinem Spieldurchlauf gestorben bist.</t>
  </si>
  <si>
    <t>Ở “Con Đường Nhà Thám Hiểm: Đài Tưởng Niệm”, bạn có thể tương tác với cột đá để xem bạn đã chết bao nhiêu lần trong trò chơi</t>
  </si>
  <si>
    <t>傳說，在某個地區的下方藏著天上之石碎片，而導致胡蘿蔔巨大化；而在這裡就有個想要保護胡蘿蔔的BOSS</t>
  </si>
  <si>
    <t>伝説によれば、ある地域の下に天上の石の欠片が隠されており、それがにんじんの巨大化を引き起こしています。そして、ここにはそのにんじんを守りたいBOSSが居るらしい…？</t>
  </si>
  <si>
    <t>Legend says that there are Philosopher's Stone fragments buried underneath a certain area, which causes carrots to grow abnormally huge... and that there is boss protecting said carrots.</t>
  </si>
  <si>
    <t>Der Legende nach ist unter einem bestimmten Gebiet ein Himmelssteinfragment versteckt, das die Karotten riesig werden lässt. Hier gibt es ein Wesen, das es bewacht.</t>
  </si>
  <si>
    <t>Truyền thuyết kể rằng có những mảnh của Hòn Đá Giả Kim được chôn dưới một khu vực nào đó, khiến cà rốt mọc to bất thường… và có một con boss canh giữ những củ cà rốt đó.</t>
  </si>
  <si>
    <t>盧恩符文Kenaz，只要是能攻擊的對象，都可以發生效果(地圖物件、怪物、BOSS、兔子洞...等)</t>
  </si>
  <si>
    <t>ルーン符文Kenaz - 攻撃できる対象には、マップのオブジェクト、モンスター、BOSS、ウサギの洞窟など、すべてに効果が発生します</t>
  </si>
  <si>
    <t>Kenaz Rune: Any object that can be attacked will be affected (destructibles, monsters, bosses, rabbit holes, etc.)</t>
  </si>
  <si>
    <t>Runensymbol Kenaz – Solange das Ziel angreifbar ist, kann der Effekt eintreten (Kartenobjekte, Monster, BOSS, Kaninchenbau usw.).</t>
  </si>
  <si>
    <t>Kenaz: Bất kỳ vật thể nào có thể bị tấn công đều sẽ chịu ảnh hưởng (vật có thể phá hủy, quái vật, boss, hang thỏ, v.v.).</t>
  </si>
  <si>
    <t>不論是哥哥或妹妹，當食材全吃光後...將會觸發在倉庫中發現泡麵的隱藏劇情</t>
  </si>
  <si>
    <t>お兄ちゃんや妹達が食材を全て食べ尽くした後…倉庫でインスタントラーメンを発見する隠しストーリーが発生する…
「ひもじいよ…お兄ちゃん」</t>
  </si>
  <si>
    <t>When all the food ingredients have been used up, a hidden event will play where the player and imouto will be eating instant noodles instead.</t>
  </si>
  <si>
    <t>Khi tất cả nguyên liệu nấu ăn đã được sử dụng hết, một sự kiện ẩn sẽ xảy ra, trong đó người chơi và em gái sẽ ăn mì gói thay thế.</t>
  </si>
  <si>
    <t>礦車移動期間，可以提前跳車(部分效果演繹也會因此發生變化)</t>
  </si>
  <si>
    <t>鉱車移動中に、早めに飛び降りることができます（一部の効果の演出も変化する）</t>
  </si>
  <si>
    <t>While the minecart is moving, you can immediately jump out in advance. (Some effects or events may change as a result)</t>
  </si>
  <si>
    <t>Während der Bewegung mit der Lore kann man vorzeitig abspringen (einige Effekte können sich dadurch ebenfalls verändern).</t>
  </si>
  <si>
    <t>Trong khi xe mỏ đang di chuyển, bạn có thể nhảy ra ngay lập tức. (Một số hiệu ứng hoặc sự kiện có thể thay đổi do điều này).</t>
  </si>
  <si>
    <t>關於水面的氣泡，氣泡位置於水域場景隨機產生，使用炸彈時，會比平常更容易出現食材。
另外，有可能炸出生物（未實裝）</t>
  </si>
  <si>
    <t>水面に水泡が出ている場合、そこに爆弾を使うと通常より多く魚が獲れます</t>
  </si>
  <si>
    <t>If there's water bubbles on the water surface, using bombs on it will yield more fish than usual. These bubble areas appear randomly on any bodies of water.
Also, there's a chance that creatures will appear (not yet implemented)</t>
  </si>
  <si>
    <t>Wenn sich Blasen auf der Wasseroberfläche zeigen, kannst du mit Bomben mehr Fische als gewöhnlich fangen. Diese Blasenstellen erscheinen zufällig in allen Gewässern.
Außerdem besteht die Möglichkeit, dass Kreaturen auftauchen (noch nicht implementiert).</t>
  </si>
  <si>
    <t>Nếu có bong bóng nổi trên mặt nước, sử dụng bom ở đó sẽ cho nhiều cá hơn bình thường. Các vùng bong bóng này xuất hiện ngẫu nhiên trên bất kỳ chỗ nước nào.
Ngoài ra, có khả năng các sinh vật sẽ xuất hiện (chưa được triển khai).</t>
  </si>
  <si>
    <t>箱庭的白兔-在兔子洞全部破壞後，會被迫彈到地面</t>
  </si>
  <si>
    <t>また、生物が出現する可能性があるかもしれません（未実装）</t>
  </si>
  <si>
    <t>In the White Rabbit Beyond Wonderland Garden boss fight, after all the rabbit holes are destroyed, the boss will be forced to bounce out to the ground.</t>
  </si>
  <si>
    <t>Weiße Kaninchen des Miniaturgartens – Nach vollständiger Zerstörung des Kaninchenbaus wird es gezwungen, auf den Boden zu springen.</t>
  </si>
  <si>
    <t>Trong trận đấu trùm Thỏ Trắng Ngoài Xứ Sở Thần Tiên (khu vườn), sau khi tất cả hang thỏ bị phá hủy, boss sẽ buộc phải nhảy ra ngoài mặt đất.</t>
  </si>
  <si>
    <t>箱庭的白兔-會強制玩家無法逃離(星之門也會被吞噬)，但是塔羅牌不受影響。</t>
  </si>
  <si>
    <t>箱庭の白うさぎ - お兄ちゃんは強制的に逃げられなくなる（星の門も飲み込れる…）、ただしタロットカードには影響ないみたいだ</t>
  </si>
  <si>
    <t>In the White Rabbit Beyond Wonderland boss fight, the player is locked onto the boss battle and will be unable to escape, such as using the Star Gate. Using Tarot cards are still allowed however</t>
  </si>
  <si>
    <t>Weiße Kaninchen des Miniaturgartens – Der Spieler kann nicht entkommen (auch das Sternentor wird verschluckt), aber die Tarotkarten bleiben unberührt.</t>
  </si>
  <si>
    <t>Trong trận đấu boss Thỏ Trắng Ngoài Xứ Sở Thần Tiên, người chơi sẽ bị kẹt trong trận chiến và không thể thoát ra, ví dụ bằng cách dùng Cổng Sao. Tuy nhiên, vẫn được phép sử dụng Thẻ Tarot.</t>
  </si>
  <si>
    <t>箱庭的白兔-如果玩家戰鬥落敗，身上的胡蘿蔔會被沒收</t>
  </si>
  <si>
    <t>箱庭の白うさぎ - お兄ちゃんが戦闘に敗北すると、持っているにんじんが没収される…</t>
  </si>
  <si>
    <t>When you lose the boss battle against White Rabbit Beyond Wonderland, all carrots in possession will be confiscated</t>
  </si>
  <si>
    <t xml:space="preserve">Weiße Kaninchen des Miniaturgartens – Wenn der Spieler im Kampf verliert, werden die getragenen Karotten enteignet. </t>
  </si>
  <si>
    <t>Khi bạn thua trong trận đấu với Thỏ Trắng Ngoài Xứ Sở Thần Tiên, tất cả cà rốt đang có sẽ bị tịch thu.</t>
  </si>
  <si>
    <t>胡蘿蔔大劍-放在篝火上烤可以召喚女僕兔為你打開傳送去其他篝火存取點的兔子洞(未實裝)</t>
  </si>
  <si>
    <t>にんじんの大剣を篝火の上で焼くと、メイドバニーが召喚され、他の篝火へのワープポイントへ移動するウサギの洞窟を開いてくれる</t>
  </si>
  <si>
    <t>Carrot Sword - Roasting this carrot on a campfire summons a Maid Rabbit that will let you teleport to other campfires you've already interacted with.</t>
  </si>
  <si>
    <t>Riesenkarotten-Schwert – Wenn man es am Lagerfeuer röstet, kann man die Hasenmädchen Magd beschwören, die für dich den Kaninchenbau öffnet, um zu anderen Lagerfeuer Speicherpunkten zu reisen.</t>
  </si>
  <si>
    <t>Kiếm Cà Rốt – Nướng củ cà rốt này trên đống lửa trại sẽ triệu hồi Thỏ Hầu Gái, cho phép bạn dịch chuyển đến những đống lửa trại mà bạn đã tương tác trước đó.</t>
  </si>
  <si>
    <t>ASABA的草莓/胡蘿蔔，目前對於妹妹與哥哥的飲食方面無特殊影響效果</t>
  </si>
  <si>
    <t>ASABAのいちご/にんじんは、現在のところ妹とお兄ちゃんの食事に対して特別な効果はありません</t>
  </si>
  <si>
    <t>ASABA'S strawberries and carrots currently have no bonus effects on imouto and the player when consuming them</t>
  </si>
  <si>
    <t>ASABA-Erdbeere/Karotte – Derzeit haben sie keine speziellen Effekte auf die Ernährung von Schwesterlein und Brüderchen.</t>
  </si>
  <si>
    <t>Dâu tây và cà rốt của ASABA hiện tại không có hiệu ứng bổ sung nào cho em gái hoặc người chơi khi ăn.</t>
  </si>
  <si>
    <t>"ASABA的草莓"比普通草莓更好吃，如果拿這個食材喂ASABA，會激怒牠，並觸發BOSS戰鬥</t>
  </si>
  <si>
    <t>ASABAのいちごは普通のいちごよりも美味しく、この食材をASABAに与えると怒り、その結果BOSS戦闘が発生する…</t>
  </si>
  <si>
    <t>ASABA's strawberries are far more delicious than normal strawberries. However, if you feed this to ASABA, a boss battle will trigger.</t>
  </si>
  <si>
    <t>Die ASABA Erdbeere schmeckt besser als normale Erdbeeren. Wenn man diese Erdbeere ASABA füttert, wird es wütend und löst einen Bosskampf aus.</t>
  </si>
  <si>
    <t>Dâu tây của ASABA ngon hơn hẳn dâu thường. Tuy nhiên, nếu bạn cho ASABA ăn, một trận đấu boss sẽ được kích hoạt.</t>
  </si>
  <si>
    <t>關於"狂暴ASABA"
左右橫跳狀態會閃避所有的攻擊
旋轉狀態會反彈絕大部分飛行彈幕
會找機會衝刺釋放瞬獄殺秒殺玩家
被ASABA啃咬時，ASABA會趁機吃掉你的食材儲備並恢復體力，如果吃到有毒食材，則會中毒</t>
  </si>
  <si>
    <t>「狂暴ASABA」について
左右に跳ねる状態ではすべての攻撃を回避します。
回転状態ではほとんどの弾幕を反射します。
チャンスを見て突進し、瞬獄殺でプレイヤーを即死させます。
ASABAに噛まれた場合、ASABAはあなたの食材の備蓄を食べて体力を回復しますが、有毒な食材を食べると中毒になります</t>
  </si>
  <si>
    <t xml:space="preserve">Regarding the moves of boss "Raging ASABA":
- Moving and dancing sideways will guarantee evasion on all attacks
- Spinning deflects most projectiles
- Will have an instant "teleportation" move that will almost instantly kill you (a reference to Street Fighter's Shun Goku Satsu)
- When bitten by ASABA, it will consume any food you have with you and restore its health. If it happens to consume bad food, it will become poisoned.
</t>
  </si>
  <si>
    <t>Rasender ASABA
Im Zustand des seitlichen Springens weicht es allen Angriffen aus.
Im Rotationszustand prallt die Mehrheit der fliegenden Projektile ab.
Sucht Gelegenheiten für einen Sprint, um den Instantkill Angriff auf den Feind auszuführen.
Wenn ASABA beim Beißen trifft, nutzt es die Gelegenheit, deine Vorräte an Zutaten zu fressen und seine Lebenspunkte wiederherzustellen. Wird eine giftige Zutat gefressen, erleidet es Vergiftung.</t>
  </si>
  <si>
    <t>Về các chiêu thức của boss “ASABA Cuồng Nộ”:
- Di chuyển và lắc lư sang ngang sẽ đảm bảo né tránh toàn bộ đòn tấn công
- Xoay đỡ đòn sẽ đỡ được hầu hết các đòn đánh tầm xa
- Có một chiêu “dịch chuyển tức thời” gần như giết bạn ngay lập tức (ám chỉ chiêu Shun Goku Satsu trong Street Fighter)
- Khi cắn bạn, ASABA sẽ ăn toàn bộ thức ăn bạn mang theo và hồi máu. Nếu nó ăn phải thức ăn hỏng, nó sẽ bị trúng độc.</t>
  </si>
  <si>
    <t>關於"鐵砧"的說明
1.閃步會被替換，使用閃步會視為拿出鐵砧開始打鐵，同時主武器會自動卸除改為"鍛造錘"
2."鍛造錘"無限耐久，但轉移地圖、收起鐵砧時都會回收該武器
3.對鐵砧進行攻擊會視為打鐵，每次敲打會提升武器的溫度，武器溫度越高，每次敲擊獲得耐久度獎勵的機率和數值都會提升
4.當鐵砧附近有敵人時，會獲得額外獎勵
5.武器過熱時會冒煙，此時打鐵無任何收益，只能等待自然冷卻
6.鍛造的耐久不會超過武器原本的初始耐久上限
7.只有在陸地上才能使用鍛造
8.鍛造中，主角死亡時會回收；轉移地圖需再次回到地圖；復活時不會立即回收
9.目前無多個鐵覘的設計
10.武器敲高溫後，此時收回並且馬上再次鍛造，可以無視紅色溫度的冷卻時間
11.鍛造錘可以配合貓爪、武器放大等等的武器加成，來提升鍛造效果
12.角色攻擊力越高，鍛造的效果越高
13.無武器的空手狀態，無法召喚出鐵覘
14.未來，可以進行打磨來提升武器效果、或者放上其他非武器的東西，敬請期待</t>
  </si>
  <si>
    <t xml:space="preserve">「金床」に関する説明  
1. 瞬歩が置き換えられ、瞬歩を使用すると金床を取り出して打鉄を開始したことになります。同時に武器は自動的に解除され、「鍛造ハンマー」に変更されます。  
2. 「鍛造ハンマー」は無限耐久ですが、地図を移動したり金床をしまったりするとその武器は回収されます。  
3. 金床に攻撃すると打鉄と見なされ、毎回叩くことで武器の温度が上昇します。武器の温度が高いほど、耐久度獲得の確率と数値が上がります。  
4. 金床の近くに敵がいると、追加の報酬を得られます。  
5. 武器が過熱すると煙が出ます。この時は打鉄に何の利益もなく、自然に冷却されるのを待つしかありません。  
6. 鍛造による耐久度は武器の元々の初期耐久上限を超えることはありません。  
7. 鍛造は陸上でのみ使用できます。  
8. 鍛造中に主人公が死亡すると回収されます；地図を移動する場合は再度その地図に戻る必要があります；復活時にはすぐに回収されません。  
9. 現在、複数の金床の設計はありません。  
10. 武器の温度が高いときに収回し、すぐに再度鍛造すると、赤い温度の冷却時間を無視できます。  
11. 鍛造ハンマーは猫爪や武器拡張などの武器強化と組み合わせて、鍛造効果を向上させることができます。  
12. お兄ちゃんの攻撃力が高いほど、鍛造の効果も高まります。  
13. 武器を持たない素手の状態では、鉄の砧を召喚することはできません。  
14. 将来的には、武器の効果を向上させるために磨きや、他の非武器アイテムを置くことができるようになる予定です。ご期待ください。 </t>
  </si>
  <si>
    <t>Regarding the "Anvil"
1. This will replace "Senpuu"(Dash). Using Senpuu will instead pull out an anvil so you can start forging. Your main weapon will automatically be unequipped and replaced with "Forging Hammer".
2. "Forging Hammer" has infinite durability and will be unequipped if you pick up the anvil or change maps.
3. Attacking the anvil with the hammer counts as "forging". Each strike you do increases the weapon's temperature, with higher temperatures leading to higher chance and higher value in restoring the weapon's durability
4. When there are enemies near the anvil, you will get additional rewards.
5. When the weapon starts to overheat, you need to wait for it to cooldown because striking it won't yield anything.
6. The repaired durability of the equipment can't exceed its original maximum cap
7. Forging can only be used on the ground
8. During forging, the anvil gets automatically picked up if the player dies. When you change maps, you always have to go back to the map where you placed the anvil to see it again. Reviving doesn't automatically pick up the anvil.
9. Currently, there are no designs for multiple types of anvils.
10. When a weapon reaches its max temperature and overheats, you can simple put it away and place it again to bypass the cooldown time
11. The Forging Hammer weapon itself also benefits from bonuses such as Neko Punch or  "Weapon Enlargement" from tarot cards to improve forging effectiveness.
12. The higher your attack power, the greater the effects of forging is.
13. If you are unarmed (barehanded with no weapon equipped), the anvil can't be summoned
14. In the future, there will be features such as polishing to further enhance the weapons' effects or even put non-weapon items on the anvil. Stay tuned!</t>
  </si>
  <si>
    <t>Về “Đe Rèn”
1. Tính năng này sẽ thay thế “Senpuu” (Lướt). Khi dùng Senpuu, bạn sẽ rút ra một cái đe để bắt đầu rèn. Vũ khí chính của bạn sẽ tự động được cất đi và thay bằng “Búa Rèn”.
2. "Búa Rèn” có độ bền vô hạn và sẽ được cất đi nếu bạn nhặt lại đe hoặc đổi khu vực
3. Đánh vào đe bằng búa được tính là “rèn”. Mỗi cú đánh sẽ tăng nhiệt độ của vũ khí, nhiệt độ càng cao thì xác suất và giá trị hồi phục độ bền của vũ khí càng lớn.
4. Khi có kẻ địch gần cái đe, bạn sẽ nhận được phần thưởng bổ sung.
5. Khi vũ khí bắt đầu quá nhiệt, bạn phải chờ nó nguội đi, vì đánh tiếp sẽ không có tác dụng.
6. Độ bền được phục hồi của trang bị không thể vượt quá giới hạn gốc ban đầu.
7. Rèn chỉ có thể được thực hiện khi đứng trên mặt đất.
8. Khi đang rèn, nếu người chơi chết, cái đe sẽ tự động được nhặt lại. Khi đổi khu vực, bạn phải quay lại bản đồ đã đặt cái đe thì mới thấy lại nó. Hồi sinh không tự động nhặt lại đe
9. Hiện tại, chưa có thiết kế cho nhiều loại đe khác nhau.
10. Khi vũ khí đạt mức nhiệt tối đa và quá nhiệt, bạn có thể đơn giản cất nó đi và đặt lại để bỏ qua thời gian hồi chiêu.
11. Chính vũ khí Búa Rèn cũng được hưởng lợi từ các hiệu ứng bổ sung như “Cú Đấm Neko” hoặc “Phóng To Vũ Khí” từ thẻ Tarot để tăng hiệu quả rèn.
12. Sức tấn công của bạn càng cao thì hiệu quả rèn càng lớn.
13. Nếu bạn tay không (không trang bị vũ khí), thì không thể triệu hồi cái đe.
14. Trong tương lai, sẽ có thêm các tính năng như đánh bóng để tăng cường hiệu ứng vũ khí, hoặc thậm chí đặt các vật phẩm không phải vũ khí lên đe. Hãy chờ đón!</t>
  </si>
  <si>
    <t>怪鳥的羽毛、法杖的懸空等等，都屬於漂浮狀態，可以抵達特殊地區
羽毛不能接觸水面或冰面</t>
  </si>
  <si>
    <t>Weird Feather, levitation from staff, etc. all count as "Floating" state which allows you to reach otherwise inaccessible areas.
The feather can't be used to touch water or ice.</t>
  </si>
  <si>
    <t>Lông Vũ Kỳ Lạ, hiệu ứng bay lơ lửng từ gậy phép, v.v. đều được tính là trạng thái “Nổi”, cho phép bạn đến được những khu vực bình thường không thể tiếp cận
Lông vũ không thể dùng để chạm vào nước hoặc băng.</t>
  </si>
  <si>
    <t>兔子洞只能使用爆炸屬性的傷害進行攻擊，其他攻擊或者從者攻擊，皆無效果。</t>
  </si>
  <si>
    <t>ウサギの穴には爆発属性のダメージしか通用せず、その他の攻撃や従者の攻撃は一切効果がないみたいだ…</t>
  </si>
  <si>
    <t>The Rabbit Holes can only be damaged with explosives. Other attacks or servant attacks won't affect it</t>
  </si>
  <si>
    <t>Das Kaninchenloch kann nur mit Explosionsschaden angegriffen werden, alle anderen Angriffe oder Dienerangriffe zeigen keinerlei Wirkung.</t>
  </si>
  <si>
    <t>Hố Thỏ chỉ có thể bị phá hủy bằng chất nổ. Các đòn tấn công khác hoặc đòn tấn công từ lính triệu hồi sẽ không có tác dụng.</t>
  </si>
  <si>
    <t>可以同時進行多重BOSS戰鬥，例如河之主與狂暴ASABA，或者淺羽與紅獸等等。
超過更多的BOSS部分尚未優化，不建議嘗試</t>
  </si>
  <si>
    <t xml:space="preserve">
複数のBOSS戦を同時に行うことが可能で、たとえば河の主と狂暴なASABA、あるいは浅羽と紅獣などが挙げられる。
ただし、さらに多くのBOSSを相手にする部分はまだ最適化されておらず、挑戦は推奨されない
</t>
  </si>
  <si>
    <t>Fighting multiples bosses at once is actually possible. You can fight Raging ASABA and The River Lord at the same time along with White Rabbit Beyond Wonderland however this is not recommended and unoptimized</t>
  </si>
  <si>
    <t>Es können gleichzeitig mehrere Bosskämpfe stattfinden, zum Beispiel der Herr des Flusses mit dem Rasenden ASABA oder Asaba mit der Roten Bestie usw.</t>
  </si>
  <si>
    <t>Hoàn toàn có thể chiến đấu với nhiều trùm cùng lúc. Bạn có thể chiến đấu với ASABA Cuồng Nộ và Chúa Tể Dòng Sông cùng lúc, đồng thời với Thỏ Trắng Bên Kia Xứ Sở Thần Tiên. Tuy nhiên, điều này không được khuyến khích và không được tối ưu.</t>
  </si>
  <si>
    <t>初號核心可以使用二號機至七號機進行消耗，每一種皆可提升初號核心一個等級，最高可以升級至LV7
(於技能欄位進行強化)
二號機：偵查附近的敵人和遺物數量 (可於商店車購買)
三號機：-
四號機：-
五號機：-
六號機：-
七號機：-</t>
  </si>
  <si>
    <t xml:space="preserve">
初号コアは2号機から7号機を消費して強化できる。
それぞれを使用すると初号コアのレベルが1段階上がり、最大でLV7まで強化可能。
（スキル欄で強化を行う）
2号機：周囲の敵や遺物の数を偵察（商店車で購入可能）
3号機：―
4号機：―
5号機：―
6号機：―
7号機：―
</t>
  </si>
  <si>
    <t xml:space="preserve">Unit 1 Nexus can consume other parts of the Unit series to upgrade itself by 1 level up to a maximum of Level 7
When fed by:
Unit 2: Allows detection of nearby enemies and relics (can be purchased from the shopping van)
Unit 3: -
Unit 4: -
Unit 5: -
Unit 6: -
Unit 7:-
</t>
  </si>
  <si>
    <t>Der Erste-Kern kann durch Verbrauch der Einheiten Zwei bis Sieben aufgewertet werden. Jede Einheit erhöht den Ersten-Kern um eine Stufe, maximal bis LV7.
Zweite Einheit: Spürt nahe Feinde und Relikte auf (im Shopwagen erhältlich)
Dritte Einheit: -
Vierte Einheit: -
Fünfte Einheit: -
Sechste Einheit: -
Siebte Einheit: -</t>
  </si>
  <si>
    <t>Unit 1 Nexus Có thể hấp thụ các phần khác trong chuỗi Unit để nâng cấp bản thân thêm 1 cấp, tối đa đến Cấp 7.
Khi hấp thụ:
Unit 2: Cho phép phát hiện kẻ địch và di vật gần đó (có thể mua từ xe bán hàng).
Unit 3: -
Unit 4: -
Unit 5: -
Unit 6: -
Unit 7: -</t>
  </si>
  <si>
    <t>關於水面炸魚的詳細說明(所有的項目，下雨皆會重置)：
炸彈丟進水中，炸出任何物體的只有5%，下雨天氣會提升30~50%隨機值
1.
河域掉落物数量有限制，河域越大數量越多，最高上限為50
2.
當扭蛋機或敵人掉進河裡時，在墜落點形成小範圍"誘餌"效果，會觸發提升50%掉落率(壞掉的扭蛋機不會增加機率)；並且增加該河域的掉落物數量；並且增加邪惡值。
3.
哥哥的幸運值會加成機率，最高額外加成75%
4.
河裡的魚影，直接碰觸魚影或攻擊魚影都會產生魚類掉落物，不會有魚以外的掉落
5.
氣泡，提示你這裡有東西，炸彈或水法杖的攻擊都可以觸發它並生成掉落物，會以更高的概率生成水中的敵人或裝備，小概率才是魚類掉落
6.
直接攻擊河面，有誘餌加成時才有較高機率出現掉落，物品池較為均衡
7.
往河裡丟活物都會成為養分來增加新的掉落，包含放生的薩卡班甲魚
8.
電視預報的加成僅僅改變掉落池，不一定會影響掉落率和次數
9.
以上誘餌加成皆可疊加，誘餌重疊範圍也可疊加，若將觸發率提升至100%以上，會額外出現新的​​掉落判定，例如河之主或特殊物品
10.
水域太小時，不會出現某些種類(例如BOSS)；陸地站立點太小，則BOSS會立即逃跑
----------------------
簡單來說：
下雨天+幸運值+多個扭蛋機落水疊加範圍+大型河水+橋面附近陸地足夠地區，是最佳的特殊釣魚理想條件</t>
  </si>
  <si>
    <t xml:space="preserve">
水面爆破漁の詳細説明（以下の項目はすべて、雨天時にリセットされる）：
爆弾を水中に投げ入れた場合、何かを得られる確率はわずか5%。
ただし雨天時には+30～50%のランダム補正が加わる。
1.河川エリアのドロップ数には制限がある。エリアが大きいほど数が増えるが、上限は50。
2.ガチャ機や敵が川に落ちた場合、落下地点に小範囲の「誘餌」効果が発生。
　ドロップ率が+50%される（壊れたガチャ機は無効）。
　同時にその河域のドロップ数が増加し、さらに邪悪値も上昇する。
3.兄の幸運値が確率に加算され、最大+75%の追加補正がかかる。
4.川の中に見える魚影に直接触れるか攻撃すると、魚系のドロップのみが発生する（魚以外は出ない）。
5.水面の気泡は「ここに何かがある」サイン。爆弾や水属性の攻撃で起爆でき、ドロップが生成される。
　高確率で水中の敵や装備が出現し、魚が出る確率は低い。
6.水面を直接攻撃した場合、誘餌効果があると高確率でドロップが発生する。アイテムプールは比較的バランス型。
7.生物を川に投げ入れると養分となり、新たなドロップが追加される。サカバン甲魚を放流した場合も含む。
8.テレビ予報の補正はドロッププールを変化させるだけで、必ずしもドロップ率や回数に影響するとは限らない。
9.上記の誘餌効果はすべて重複可能。誘餌範囲の重なりも有効。
　発動率が100%以上に達すると、河の主や特殊アイテムなど、新たなドロップ判定が追加される。
10.水域が小さすぎる場合、特定の種類（例：BOSS）は出現しない。
　陸地の足場が小さすぎる場合、BOSSは即座に逃走する。
※雨天 + 幸運値 + 複数のガチャ機落水による範囲重複 + 大規模な河川 + 橋付近に十分な陸地がある場所
＝ 特殊釣りの理想条件
</t>
  </si>
  <si>
    <t>Detailed instructions for fishing:
NOTE: Everything resets when it rains
When a bomb is thrown in the water, the chance of a fish or item coming out is 5%. Rain significantly boosts the chance of this by 30%-50%
1. The number of fish or items that a surface of water is limited. The larger the body of water is, the more it can give up to a maximum of 50 drops.
2. When a Gachapon machine is directly spawned in the body of water or an enemy falls into the water, it will act as some sort of "fertilizer". This increases the drop rate on that body of water by 50% (broken Gachapon machine doesn't count). The amount of items/fish dropped is also increased along with your sin value.
3. Onii-chan's luck stat affects fishing, up to a maximum of 75% bonus chance.
4. If there are shadows of a fish in the body of water, directly attacking them or swimming to them will yield a fish drop. One time only per fish shadow.
5. Bubbles on the surface of water indicates the presence of an item. Throwing bombs to it or using the water staff can trigger them to get some drops. They have a higher chance of either spawning an enemy or drop an equipment. Fishes have a lower chance of dropping items.
6. Throwing a fertilizer on the surface of water will significantly boost the chances of an item/fish being obtained.
7. Living creatures that fall into the body of water will become "fertilizers", adding new drops, etc. including the Sacambaspis' that escapes to the water when thrown.
8. The TV show occassionally forecasts something related to fishing. This only changes the drop pool and not necessarily changes the drop rate or amount of drops.
9. Fertilizers thrown stack with each other as long as they're in range, cumulatively boosting the chances up to 100%, resulting into dropping special items or reeling in The River Lord boss.
10. If the body of water is very small, certain creatures won't spawn at all (such as bosses). If the land where the Sacambaspis' spawns is very small, it will immediately escape.
TLDR
Rainy weather, luck, gachapon machines in the water all make the ideal conditions for fishing. Both applicable on the large river in Forest of Ruins - 1 and the river in Forest of Ruins just above the starting area</t>
  </si>
  <si>
    <t xml:space="preserve">Detaillierte Erklärung zum Fische-Sprengen auf der Wasseroberfläche (alle Punkte werden bei Regen zurückgesetzt):
Eine Bombe ins Wasser zu werfen, hat nur eine 5 % Chance, irgendetwas hervorzubringen. Bei Regenwetter steigt dieser Wert um 30–50 % (zufälliger Wert).
1. Die Anzahl der Drops in einem Flussgebiet ist begrenzt. Je größer das Flussgebiet, desto mehr Drops; das Maximum liegt bei 50.
2. Wenn ein Gacha-Automat oder ein Gegner in den Fluss fällt, entsteht an der Einschlagstelle ein kleiner „Köder“-Effekt, der die Droprate um 50 % erhöht (kaputte Gacha-Automaten erhöhen die Chance nicht); außerdem steigt die Drop-Anzahl in diesem Flussgebiet; zusätzlich steigt der Bösewert.
3. Der Glückswert des Bruders erhöht die Chancen, maximal um zusätzliche 75 %.
4. Fischschatten im Fluss: Direkter Kontakt oder ein Angriff auf den Schatten erzeugt Fisch-Drops – es erscheinen ausschließlich Fische und keine anderen Drops.
5. Blasen zeigen dir an, dass hier etwas ist. Angriffe mit Bomben oder dem Wasserstab können sie auslösen und Drops generieren. Dabei erscheinen mit höherer Wahrscheinlichkeit Gegner im Wasser oder Ausrüstung; Fische haben hier nur eine geringe Dropchance.
6. Direkte Angriffe auf die Wasseroberfläche: Nur mit Köder-Bonus besteht eine höhere Chance auf Drops; der Item-Pool ist hier ausgewogener.
7. Lebewesen, die in den Fluss geworfen werden, dienen als Nährstoff und erhöhen die Zahl neuer Drops – dazu gehört auch das Freilassen von Saccabania-Schildkröten.
8. Der Bonus aus der TV-Vorhersage verändert lediglich den Drop-Pool; er beeinflusst nicht unbedingt Droprate oder Häufigkeit.
9. Alle Köder-Boni können sich stapeln; auch die Köder-Effekte selbst können sich überlagern. Wenn die Auslöse-Rate über 100 % steigt, erscheinen zusätzliche Drop-Prüfungen, etwa für den Herrn des Flusses oder besondere Items.
10. Ist das Gewässer zu klein, erscheinen bestimmte Arten (z. B. Bosse) nicht; ist die Landfläche zum Stehen zu klein, flieht ein Boss sofort.
</t>
  </si>
  <si>
    <t>Hướng dẫn chi tiết về câu cá:
Lưu ý: Mọi thứ sẽ được đặt lại khi trời mưa.
Khi ném bom xuống nước, tỉ lệ ra cá hoặc vật phẩm là 5%. Mưa sẽ tăng mạnh tỉ lệ này thêm 30%–50%.
1. Số lượng cá hoặc vật phẩm một khối nước có thể cho là có giới hạn. Khối nước càng lớn, nó càng có thể cho nhiều, tối đa 50 lần.
2. Nếu máy gachapon được triệu hồi trực tiếp trong khối nước hay khi một kẻ địch rơi vào trong nước, nó sẽ hoạt động như một lại "phân bón".  Nó tăng tỉ lệ rơi của nguồn nước đó lên 50% (máy hỏng không tính). Số lượng vật phẩm/cá rơi ra tăng và giá trị tội lỗi của bạn cũng tăng. 
3. Chỉ số may mắn (luck) của Onii-chan ảnh hưởng đến câu cá, tối đa +75% khả năng.
4. Nếu có bóng cá trong nước, tấn công trực tiếp hoặc bơi đến sẽ cho rơi cá. Mỗi bóng chỉ rơi một cá một lần.
5. Bong bóng trên mặt nước cho thấy có vật phẩm. Ném bom hoặc dùng Trượng Nước vào đó sẽ khiến chúng rơi ra. Tỉ lệ cao hơn để sinh ra kẻ địch hoặc rơi ra trang bị. Cá có tỉ lệ rơi vật phẩm thấp hơn.
6. Ném phân bón lên mặt nước sẽ tăng mạnh khả năng rơi cá hoặc vật phẩm.
7. Sinh vật rơi xuống nước sẽ biến thành “phân bón”, thêm vật phẩm rơi, bao gồm cả Sacambaspis khi nó trốn thoát xuống nước.
8. Chương trình TV đôi khi dự báo liên quan đến câu cá. Điều này chỉ thay đổi loại vật phẩm có thể rơi, không thay đổi tỉ lệ hoặc số lượng rơi.
9. Phân bón ném chồng lên nhau được, miễn là trong phạm vi, có thể tăng dần đến 100%, dẫn đến rơi vật phẩm đặc biệt hoặc thậm chí câu được boss Chúa Tể Dòng Sông.
10. Nếu vũng nước quá nhỏ, một số sinh vật sẽ không xuất hiện (ví dụ: boss). Nếu khu đất nơi Sacambaspis sinh ra quá nhỏ, nó sẽ lập tức bỏ trốn.
-------
Rút ngắn
Trời mưa, may mắn, máy gachapon trong dòng nước đều tạo điều kiện lí tưởng cho việc câu cá. Đều có thể áp dụng cho con sông lớn trong Khu Rừng Của Tàn Tích - 1 và dòng sông ở Khu Rừng Của Tàn Tích ngay trên khu vực bắt đầu</t>
  </si>
  <si>
    <t>薩卡班甲魚王血量低於90%時，有機率睡眠回復血量，受到攻擊會醒來
被擊敗時，如果半徑8格範圍內有水域，它就會脫戰跳進水里逃跑，這個過程它的皇冠（王權徵令）有概率掉落，如果是在"睡眠情況下"且"受控制狀態"(麻痺、凍結、暈眩)的同時被擊敗，王權徵令的掉落率會增加
如果它附近沒有水域，它就會因為力竭且無法逃跑而原地退化成普通的薩卡班甲魚同時變成從者掉落物(◉▽◉(粉色))，這個過程仍有概率掉落王權徵令。</t>
  </si>
  <si>
    <t xml:space="preserve">
サカバン甲魚王
HPが90％未満になると、一定確率で眠りにつき体力を回復する。攻撃を受けると目を覚ます。
撃破された際、半径8マス以内に水域がある場合、戦闘を離脱して水中へ逃走する。
　この過程で王冠（王権の令）が一定確率でドロップする。
　もし麻痺・凍結・気絶などの状態異常下で撃破されて逃げ込んだ場合、王権の令のドロップ率が上昇する。
周囲に水域が存在しない場合、力尽きて逃走できず、その場で通常のサカバン甲魚へと退化する。
　同時に従者ドロップ（◉▽◉（ピンク））へ変化し、この過程でも王権の令がドロップする可能性がある。
</t>
  </si>
  <si>
    <t>When The River King's health drops below 90%, there's a chance where it will sleep to restore its health. Attacking it will wake it up.
Upon defeat, if there's a body of water in an 8-block radius, it will stop fighting and jump right back to the water. When this happens, it has a chance of dropping its crown (Royal Decree). If it was defeated under movement impairing debuffs (Paralyzed, Frozen or Stunned), it will still jump to the water but the chance of dropping the crown is significantly boosted.
If there's no water nearby, it will wither into a normal-sized Sacambaspis due to exhaustion, unable to escape, and will become a servant drop (◉▽◉(Pink)). Despite this, it still has a chance to drop Royal Decree.</t>
  </si>
  <si>
    <t xml:space="preserve">Wenn der Saccabania-Schildkrötenkönig besiegt wird und sich im Umkreis von 8 Feldern Wasser befindet, springt er aus dem Kampf ins Wasser, um zu fliehen. Dabei besteht eine Chance, dass seine Krone (Herrschaftsdekret) fällt. Wird er im Kontrollzustand besiegt und springt ins Wasser, erhöht sich die Drop-Chance des Herrschaftsdekrets.
Befindet sich in seiner Nähe kein Wasser, erschöpft er sich und kann nicht fliehen, wodurch er an Ort und Stelle zu einer gewöhnlichen Saccabania-Schildkröte degeneriert und gleichzeitig als Diener-Drop erscheint (◉▽◉(pink)). Auch in diesem Fall besteht weiterhin eine Chance, dass das Herrschaftsdekret fällt.
</t>
  </si>
  <si>
    <t>Khi máu của Chúa Tể Dòng Sông giảm xuống dưới 90%, sẽ có khả năng nó ngủ nhằm phục hồi. Tấn công nó sẽ đánh thức nó dậy.
Khi bị đánh bại, nếu có một khu vực nước trong phạm vi bán kính 8 khối, nó sẽ dừng chiến đấu và nhảy ngay trở lại nước. Khi điều này xảy ra, nó có khả năng rơi vương miện (Sắc Lệnh Hoàng Gia). Nếu nó bị đánh bại trong tình trạng bị giảm khả năng di chuyển (Bị tê liệt, đóng băng hoặc choáng), nó vẫn có thể nhảy vào nước, nhưng khả năng rơi vương miện sẽ tăng đáng kể.
Nếu không có nước gần đó, nó sẽ héo đi thành một Sacambaspis có kích thước bình thường do kiệt sức, không thể thoát ra và sẽ trở thành một vật phẩm theo chân (◉▽◉(Hồng)). Mặc dù vậy, nó vẫn có một cơ hội để rơi Royal Decree.</t>
  </si>
  <si>
    <t>毒霧遇上火屬性攻擊時，可以產生粉塵爆炸</t>
  </si>
  <si>
    <t>毒霧が火属性攻撃を受けると、粉塵爆発が発生する</t>
  </si>
  <si>
    <t>When poison comes in contact with fire attribute, it will trigger explosions. Poison fogs included.</t>
  </si>
  <si>
    <t>Wenn Gift mit dem Feuerattribut in Berührung kommt, wird eine Explosion ausgelöst.
Gifthauche sind davon ebenfalls betroffen.</t>
  </si>
  <si>
    <t>Khi chất độc tiếp xúc với thuộc tính lửa, nó sẽ kích hoạt các vụ nổ. Bao gồm cả sương mù độc.</t>
  </si>
  <si>
    <t>一些貪吃屬性的怪物，容易受到美食武器的誘惑，例如：ASABA、獸人等等。更容易被強制擊殺。</t>
  </si>
  <si>
    <t xml:space="preserve">
食いしん坊属性を持つ一部のモンスターは、「美食系の武器」に誘惑されやすく、たとえばASABAやオークなどがそれに該当します。
これらのモンスターは、より簡単に強制撃破されます
</t>
  </si>
  <si>
    <t>Gluttonous monsters such as Orcs, ASABA, etc. are more likely to be tempted by "Food" type of weapons. They are likely to be killed easily upon bloating from overeating.</t>
  </si>
  <si>
    <t>Gefräßige Monster wie Orks, ASABA usw. lassen sich leichter von Waffen des Typs "Nahrung" verführen.
Nach einer Überfressung neigen sie dazu, leicht zu platzen und zu sterben.</t>
  </si>
  <si>
    <t>Những quái vật tham ăn như Orcs, ASABA, vv... dễ bị thu hút bởi những vũ khí thuộc loại "Đồ ăn". Chúng cũng dễ bị đánh bại dễ dàng vì đầy bụng khi ăn quá nhiều</t>
  </si>
  <si>
    <t>下雨的天氣提供30~50%釣魚機率的加成，但僅限畫面有雨水顯示的時候(例如室內/地城等就無加成)；陰天提供15~25%的加成，但是可以全地圖生效。</t>
  </si>
  <si>
    <t xml:space="preserve">
雨天のときは、釣りの成功率に30〜50％のボーナスが付きます。ただし、画面上で雨が表示されている場合に限られます（室内やダンジョンなどでは効果がありません）。
曇りのときは15〜25％のボーナスが得られますが、こちらはマップ全域で有効です
</t>
  </si>
  <si>
    <t>Rainy weather provides a 30% to 50% bonus chance in fishing but only when you actually see rain on the screen. (For example, indoors have no rain visible so there's no boost).
Cloudy weather gives 15% to 25% bonus and should affect the entire world, including indoors.</t>
  </si>
  <si>
    <t>Regnerisches Wetter bietet einen Bonus von 30% bis 50% auf die Fangchance beim Angeln, aber nur, wenn der Regen tatsächlich auf dem Bildschirm sichtbar ist. (z.B. gibt es Innen keinen sichtbaren Regen, und daher auch keinen Bonus.)
Bewölktes Wetter gewährt einen Bonus von 15% bis 25% und wirkt auf die gesamte Welt, einschließlich Innenräumen.</t>
  </si>
  <si>
    <t>Trời mưa thực ra mang 30% đến 50% khả năng thưởng thêm khi câu cá nhưng chỉ khi bạn nhìn thấy mưa trên màn hình. (Ví dụ, không ở ngoài trời sẽ không thấy mưa nên sẽ không có).
Trời âm u sẽ cho 15% đến 25% thưởng và sẽ ảnh hưởng đến cả thế giới, kể cả trong nhà</t>
  </si>
  <si>
    <t>地圖上每株草莓樹有10%機率刷新出ASABA
哥哥持有的草莓越多，刷新ASABA的概率越高，每一顆草莓可以增加0.5%，最多能生效100顆草莓(增加50%機率)。</t>
  </si>
  <si>
    <t>Mỗi cây dâu tây trên bản đồ có 10% khả năng xuất hiện ASABA. Onii-chan càng có nhiều dâu tây, khả năng xuất hiện ASABA càng cao. Mỗi quả dâu tây tăng khả năng xuất hiện ASABA thêm 0,5%, và có thể sử dụng tối đa 100 quả dâu tây (tăng khả năng xuất hiện ASABA thêm 50%).</t>
  </si>
  <si>
    <t>本頁面"暫時"無其他語系的翻譯，只依據官方的設定，並且不會隨時更新，請見諒
地圖製作者：Mio</t>
  </si>
  <si>
    <t>本頁面"暫時"無其他語系的翻譯，仅依據官方设定，并不会随时更新，请见谅
地图制作者：mio</t>
  </si>
  <si>
    <t>インタラクティブマップリンク（地図の表示/操作が可能） 
地図ウェブサイト作成者：Ruika</t>
  </si>
  <si>
    <t>Interactive map link (map viewing/interaction available) 
Map website created by: Ruika</t>
  </si>
  <si>
    <t>互动式地图连结网址(可以进行地图查看/互动) 
地图网站制作者：Ruika</t>
  </si>
  <si>
    <t>野外區域</t>
  </si>
  <si>
    <t>Outdoors Area</t>
  </si>
  <si>
    <t>野外区域</t>
  </si>
  <si>
    <r>
      <rPr>
        <rFont val="Microsoft JhengHei"/>
        <color rgb="FF1155CC"/>
        <u/>
      </rPr>
      <t>迷失之森(終點)</t>
    </r>
    <r>
      <rPr>
        <rFont val="Microsoft JhengHei"/>
      </rPr>
      <t xml:space="preserve">
R16
▼</t>
    </r>
  </si>
  <si>
    <r>
      <rPr>
        <rFont val="Microsoft JhengHei"/>
        <color rgb="FF1155CC"/>
        <u/>
      </rPr>
      <t>捨てられた森(ターミナル)</t>
    </r>
    <r>
      <rPr>
        <rFont val="Microsoft JhengHei"/>
      </rPr>
      <t xml:space="preserve"> 
R16 
▼</t>
    </r>
  </si>
  <si>
    <r>
      <rPr>
        <rFont val="Microsoft JhengHei"/>
        <color rgb="FF1155CC"/>
        <sz val="10.0"/>
        <u/>
      </rPr>
      <t>Abandoned Forest(End)</t>
    </r>
    <r>
      <rPr>
        <rFont val="Microsoft JhengHei"/>
        <sz val="10.0"/>
      </rPr>
      <t xml:space="preserve"> 
R16 
▼</t>
    </r>
  </si>
  <si>
    <r>
      <rPr>
        <rFont val="Microsoft JhengHei"/>
        <color rgb="FF1155CC"/>
        <sz val="10.0"/>
        <u/>
      </rPr>
      <t>迷失之森（终点）</t>
    </r>
    <r>
      <rPr>
        <rFont val="Microsoft JhengHei"/>
        <sz val="10.0"/>
      </rPr>
      <t xml:space="preserve">
 R16
▼</t>
    </r>
  </si>
  <si>
    <t>遺跡區域</t>
  </si>
  <si>
    <t>發中區域(礦坑)-2</t>
  </si>
  <si>
    <r>
      <rPr>
        <rFont val="Microsoft JhengHei"/>
      </rPr>
      <t xml:space="preserve">▲
</t>
    </r>
    <r>
      <rPr>
        <rFont val="Microsoft JhengHei"/>
        <color rgb="FF1155CC"/>
        <u/>
      </rPr>
      <t>迷失之森(終點入口)</t>
    </r>
    <r>
      <rPr>
        <rFont val="Microsoft JhengHei"/>
      </rPr>
      <t xml:space="preserve">
▼</t>
    </r>
  </si>
  <si>
    <t>遺跡地域</t>
  </si>
  <si>
    <r>
      <rPr>
        <rFont val="Microsoft JhengHei"/>
      </rPr>
      <t xml:space="preserve">▲ 
</t>
    </r>
    <r>
      <rPr>
        <rFont val="Microsoft JhengHei"/>
        <color rgb="FF1155CC"/>
        <u/>
      </rPr>
      <t>捨てられた森
 (ゴールラインの入り口で)</t>
    </r>
    <r>
      <rPr>
        <rFont val="Microsoft JhengHei"/>
      </rPr>
      <t xml:space="preserve">
▼</t>
    </r>
  </si>
  <si>
    <t>Ruins</t>
  </si>
  <si>
    <r>
      <rPr>
        <rFont val="Microsoft JhengHei"/>
        <sz val="10.0"/>
      </rPr>
      <t xml:space="preserve">▲
</t>
    </r>
    <r>
      <rPr>
        <rFont val="Microsoft JhengHei"/>
        <color rgb="FF1155CC"/>
        <sz val="10.0"/>
        <u/>
      </rPr>
      <t>Abandoned Forest
(Pathway)</t>
    </r>
    <r>
      <rPr>
        <rFont val="Microsoft JhengHei"/>
        <sz val="10.0"/>
      </rPr>
      <t xml:space="preserve">
▼</t>
    </r>
  </si>
  <si>
    <t>遗迹区域</t>
  </si>
  <si>
    <r>
      <rPr>
        <rFont val="Microsoft JhengHei"/>
        <sz val="10.0"/>
      </rPr>
      <t xml:space="preserve">▲
 </t>
    </r>
    <r>
      <rPr>
        <rFont val="Microsoft JhengHei"/>
        <color rgb="FF1155CC"/>
        <sz val="10.0"/>
        <u/>
      </rPr>
      <t>迷失之森(终点入口)</t>
    </r>
    <r>
      <rPr>
        <rFont val="Microsoft JhengHei"/>
        <sz val="10.0"/>
      </rPr>
      <t xml:space="preserve">
▼</t>
    </r>
  </si>
  <si>
    <r>
      <rPr>
        <rFont val="Microsoft JhengHei"/>
        <color rgb="FF1155CC"/>
        <u/>
      </rPr>
      <t>遺跡之森-4</t>
    </r>
    <r>
      <rPr>
        <rFont val="Microsoft JhengHei"/>
      </rPr>
      <t xml:space="preserve"> ▶
R10.R15
▼</t>
    </r>
  </si>
  <si>
    <r>
      <rPr>
        <rFont val="Microsoft JhengHei"/>
      </rPr>
      <t xml:space="preserve">▲
◀ </t>
    </r>
    <r>
      <rPr>
        <rFont val="Microsoft JhengHei"/>
        <color rgb="FF1155CC"/>
        <u/>
      </rPr>
      <t>冒險者小道:深淵之門</t>
    </r>
    <r>
      <rPr>
        <rFont val="Microsoft JhengHei"/>
      </rPr>
      <t xml:space="preserve"> ▶
R11
▼</t>
    </r>
  </si>
  <si>
    <r>
      <rPr>
        <rFont val="Microsoft JhengHei"/>
      </rPr>
      <t xml:space="preserve">▲
◀ </t>
    </r>
    <r>
      <rPr>
        <rFont val="Microsoft JhengHei"/>
        <color rgb="FF1155CC"/>
        <u/>
      </rPr>
      <t>山之洞窟</t>
    </r>
    <r>
      <rPr>
        <rFont val="Microsoft JhengHei"/>
      </rPr>
      <t xml:space="preserve">
R11</t>
    </r>
  </si>
  <si>
    <t>▲
迷失之森
▼</t>
  </si>
  <si>
    <r>
      <rPr>
        <rFont val="Microsoft JhengHei"/>
        <color rgb="FF1155CC"/>
        <u/>
      </rPr>
      <t>遺跡の森-4</t>
    </r>
    <r>
      <rPr>
        <rFont val="Microsoft JhengHei"/>
      </rPr>
      <t xml:space="preserve"> ▶ 
R10.R15
▼</t>
    </r>
  </si>
  <si>
    <r>
      <rPr>
        <rFont val="Microsoft JhengHei"/>
      </rPr>
      <t xml:space="preserve">▲ 
◀ </t>
    </r>
    <r>
      <rPr>
        <rFont val="Microsoft JhengHei"/>
        <color rgb="FF1155CC"/>
        <u/>
      </rPr>
      <t>遺跡門前</t>
    </r>
    <r>
      <rPr>
        <rFont val="Microsoft JhengHei"/>
      </rPr>
      <t xml:space="preserve"> 
R11
▼</t>
    </r>
  </si>
  <si>
    <t>▲ 
捨てられた森 
▼</t>
  </si>
  <si>
    <r>
      <rPr>
        <rFont val="Microsoft JhengHei"/>
        <color rgb="FF1155CC"/>
        <sz val="10.0"/>
        <u/>
      </rPr>
      <t>Forest of Ruins-4</t>
    </r>
    <r>
      <rPr>
        <rFont val="Microsoft JhengHei"/>
        <sz val="10.0"/>
      </rPr>
      <t xml:space="preserve"> ▶ 
R10.R15
▼</t>
    </r>
  </si>
  <si>
    <r>
      <rPr>
        <rFont val="Microsoft JhengHei"/>
        <sz val="10.0"/>
      </rPr>
      <t>▲ 
◀</t>
    </r>
    <r>
      <rPr>
        <rFont val="Microsoft JhengHei"/>
        <color rgb="FF1155CC"/>
        <sz val="10.0"/>
        <u/>
      </rPr>
      <t xml:space="preserve"> In front of the ruins gate</t>
    </r>
    <r>
      <rPr>
        <rFont val="Microsoft JhengHei"/>
        <sz val="10.0"/>
      </rPr>
      <t xml:space="preserve">
R11 
▼</t>
    </r>
  </si>
  <si>
    <t>▲
 Abandoned Forest
▼</t>
  </si>
  <si>
    <r>
      <rPr>
        <rFont val="Microsoft JhengHei"/>
        <color rgb="FF1155CC"/>
        <sz val="10.0"/>
        <u/>
      </rPr>
      <t xml:space="preserve">遗迹之森-4 </t>
    </r>
    <r>
      <rPr>
        <rFont val="Microsoft JhengHei"/>
        <sz val="10.0"/>
      </rPr>
      <t>▶ 
R10.R15 
▼</t>
    </r>
  </si>
  <si>
    <r>
      <rPr>
        <rFont val="Microsoft JhengHei"/>
        <sz val="10.0"/>
      </rPr>
      <t xml:space="preserve">▲
◀ </t>
    </r>
    <r>
      <rPr>
        <rFont val="Microsoft JhengHei"/>
        <color rgb="FF1155CC"/>
        <sz val="10.0"/>
        <u/>
      </rPr>
      <t>冒险者小道:深渊之门</t>
    </r>
    <r>
      <rPr>
        <rFont val="Microsoft JhengHei"/>
        <sz val="10.0"/>
      </rPr>
      <t xml:space="preserve">
 R11 
▼</t>
    </r>
  </si>
  <si>
    <r>
      <rPr>
        <rFont val="Microsoft JhengHei"/>
        <sz val="10.0"/>
      </rPr>
      <t xml:space="preserve">▲
◀ </t>
    </r>
    <r>
      <rPr>
        <rFont val="Microsoft JhengHei"/>
        <color rgb="FF1155CC"/>
        <sz val="10.0"/>
        <u/>
      </rPr>
      <t>山之洞窟</t>
    </r>
    <r>
      <rPr>
        <rFont val="Microsoft JhengHei"/>
        <sz val="10.0"/>
      </rPr>
      <t xml:space="preserve">
R11</t>
    </r>
  </si>
  <si>
    <t>▲
 迷失之森
▼</t>
  </si>
  <si>
    <r>
      <rPr>
        <rFont val="Microsoft JhengHei"/>
      </rPr>
      <t xml:space="preserve">▲
</t>
    </r>
    <r>
      <rPr>
        <rFont val="Microsoft JhengHei"/>
        <color rgb="FF1155CC"/>
        <u/>
      </rPr>
      <t>遺跡之森-2</t>
    </r>
    <r>
      <rPr>
        <rFont val="Microsoft JhengHei"/>
      </rPr>
      <t xml:space="preserve"> ▶
▼</t>
    </r>
  </si>
  <si>
    <r>
      <rPr>
        <rFont val="Microsoft JhengHei"/>
      </rPr>
      <t xml:space="preserve">▲
◀ </t>
    </r>
    <r>
      <rPr>
        <rFont val="Microsoft JhengHei"/>
        <color rgb="FF1155CC"/>
        <u/>
      </rPr>
      <t xml:space="preserve">遺跡之森 </t>
    </r>
    <r>
      <rPr>
        <rFont val="Microsoft JhengHei"/>
      </rPr>
      <t>▶
▼</t>
    </r>
  </si>
  <si>
    <r>
      <rPr>
        <rFont val="Microsoft JhengHei"/>
      </rPr>
      <t xml:space="preserve">▲
◀ </t>
    </r>
    <r>
      <rPr>
        <rFont val="Microsoft JhengHei"/>
        <color rgb="FF1155CC"/>
        <u/>
      </rPr>
      <t>遺跡之森-1</t>
    </r>
  </si>
  <si>
    <r>
      <rPr>
        <rFont val="Microsoft JhengHei"/>
      </rPr>
      <t xml:space="preserve">▲ 
</t>
    </r>
    <r>
      <rPr>
        <rFont val="Microsoft JhengHei"/>
        <color rgb="FF1155CC"/>
        <u/>
      </rPr>
      <t>遺跡の森-2</t>
    </r>
    <r>
      <rPr>
        <rFont val="Microsoft JhengHei"/>
      </rPr>
      <t xml:space="preserve"> ▶
▼</t>
    </r>
  </si>
  <si>
    <r>
      <rPr>
        <rFont val="Microsoft JhengHei"/>
      </rPr>
      <t xml:space="preserve">▲ 
◀ </t>
    </r>
    <r>
      <rPr>
        <rFont val="Microsoft JhengHei"/>
        <color rgb="FF1155CC"/>
        <u/>
      </rPr>
      <t>遺跡の森</t>
    </r>
    <r>
      <rPr>
        <rFont val="Microsoft JhengHei"/>
      </rPr>
      <t xml:space="preserve"> ▶ 
▼</t>
    </r>
  </si>
  <si>
    <r>
      <rPr>
        <rFont val="Microsoft JhengHei"/>
      </rPr>
      <t xml:space="preserve">▲ 
</t>
    </r>
    <r>
      <rPr>
        <rFont val="Microsoft JhengHei"/>
        <color rgb="FF1155CC"/>
        <u/>
      </rPr>
      <t>遺跡の森-1</t>
    </r>
    <r>
      <rPr>
        <rFont val="Microsoft JhengHei"/>
      </rPr>
      <t xml:space="preserve">
</t>
    </r>
  </si>
  <si>
    <r>
      <rPr>
        <rFont val="Microsoft JhengHei"/>
        <sz val="10.0"/>
      </rPr>
      <t xml:space="preserve">▲ 
</t>
    </r>
    <r>
      <rPr>
        <rFont val="Microsoft JhengHei"/>
        <color rgb="FF1155CC"/>
        <sz val="10.0"/>
        <u/>
      </rPr>
      <t>Forest of Ruins-2</t>
    </r>
    <r>
      <rPr>
        <rFont val="Microsoft JhengHei"/>
        <sz val="10.0"/>
      </rPr>
      <t xml:space="preserve"> ▶
▼</t>
    </r>
  </si>
  <si>
    <r>
      <rPr>
        <rFont val="Microsoft JhengHei"/>
        <sz val="10.0"/>
      </rPr>
      <t xml:space="preserve">▲ 
◀ </t>
    </r>
    <r>
      <rPr>
        <rFont val="Microsoft JhengHei"/>
        <color rgb="FF1155CC"/>
        <sz val="10.0"/>
        <u/>
      </rPr>
      <t xml:space="preserve">Forest of Ruins </t>
    </r>
    <r>
      <rPr>
        <rFont val="Microsoft JhengHei"/>
        <sz val="10.0"/>
      </rPr>
      <t>▶ 
▼</t>
    </r>
  </si>
  <si>
    <r>
      <rPr>
        <rFont val="Microsoft JhengHei"/>
        <sz val="10.0"/>
      </rPr>
      <t xml:space="preserve">▲ 
</t>
    </r>
    <r>
      <rPr>
        <rFont val="Microsoft JhengHei"/>
        <color rgb="FF1155CC"/>
        <sz val="10.0"/>
        <u/>
      </rPr>
      <t>Forest of Ruins-1</t>
    </r>
  </si>
  <si>
    <r>
      <rPr>
        <rFont val="Microsoft JhengHei"/>
        <sz val="10.0"/>
      </rPr>
      <t xml:space="preserve">▲
</t>
    </r>
    <r>
      <rPr>
        <rFont val="Microsoft JhengHei"/>
        <color rgb="FF1155CC"/>
        <sz val="10.0"/>
        <u/>
      </rPr>
      <t>遗迹之森-2</t>
    </r>
    <r>
      <rPr>
        <rFont val="Microsoft JhengHei"/>
        <sz val="10.0"/>
      </rPr>
      <t xml:space="preserve"> ▶
▼</t>
    </r>
  </si>
  <si>
    <r>
      <rPr>
        <rFont val="Microsoft JhengHei"/>
        <sz val="10.0"/>
      </rPr>
      <t xml:space="preserve">▲ 
◀ </t>
    </r>
    <r>
      <rPr>
        <rFont val="Microsoft JhengHei"/>
        <color rgb="FF1155CC"/>
        <sz val="10.0"/>
        <u/>
      </rPr>
      <t>遗迹之森</t>
    </r>
    <r>
      <rPr>
        <rFont val="Microsoft JhengHei"/>
        <sz val="10.0"/>
      </rPr>
      <t xml:space="preserve"> ▶
▼</t>
    </r>
  </si>
  <si>
    <r>
      <rPr>
        <rFont val="Microsoft JhengHei"/>
        <sz val="10.0"/>
      </rPr>
      <t xml:space="preserve">▲ 
◀ </t>
    </r>
    <r>
      <rPr>
        <rFont val="Microsoft JhengHei"/>
        <color rgb="FF1155CC"/>
        <sz val="10.0"/>
        <u/>
      </rPr>
      <t>遗迹之森-1</t>
    </r>
  </si>
  <si>
    <r>
      <rPr>
        <rFont val="Microsoft JhengHei"/>
      </rPr>
      <t xml:space="preserve">▲
</t>
    </r>
    <r>
      <rPr>
        <rFont val="Microsoft JhengHei"/>
        <color rgb="FF1155CC"/>
        <u/>
      </rPr>
      <t xml:space="preserve">遺跡之森-3 
</t>
    </r>
    <r>
      <rPr>
        <rFont val="Microsoft JhengHei"/>
      </rPr>
      <t>▼</t>
    </r>
  </si>
  <si>
    <r>
      <rPr>
        <rFont val="Microsoft JhengHei"/>
        <color rgb="FF000000"/>
      </rPr>
      <t xml:space="preserve">▲
</t>
    </r>
    <r>
      <rPr>
        <rFont val="Microsoft JhengHei"/>
        <color rgb="FF1155CC"/>
        <u/>
      </rPr>
      <t>冒險者小道:集結地</t>
    </r>
    <r>
      <rPr>
        <rFont val="Microsoft JhengHei"/>
        <color rgb="FF000000"/>
      </rPr>
      <t>▶
R2.R5.R6.R8.R13.R27.R29.R50
▼</t>
    </r>
  </si>
  <si>
    <r>
      <rPr>
        <rFont val="Microsoft JhengHei"/>
      </rPr>
      <t xml:space="preserve">◀ </t>
    </r>
    <r>
      <rPr>
        <rFont val="Microsoft JhengHei"/>
        <color rgb="FF1155CC"/>
        <u/>
      </rPr>
      <t>沉眠之所...(尼伯龍根</t>
    </r>
    <r>
      <rPr>
        <rFont val="Microsoft JhengHei"/>
      </rPr>
      <t>)
R21</t>
    </r>
  </si>
  <si>
    <r>
      <rPr>
        <rFont val="Microsoft JhengHei"/>
        <color rgb="FF1155CC"/>
        <u/>
      </rPr>
      <t>廢墟森林</t>
    </r>
    <r>
      <rPr>
        <rFont val="Microsoft JhengHei"/>
      </rPr>
      <t xml:space="preserve">
(箱庭的白兔)
R65、R66、R67
▼</t>
    </r>
  </si>
  <si>
    <r>
      <rPr>
        <rFont val="Microsoft JhengHei"/>
      </rPr>
      <t xml:space="preserve">▲ 
</t>
    </r>
    <r>
      <rPr>
        <rFont val="Microsoft JhengHei"/>
        <color rgb="FF1155CC"/>
        <u/>
      </rPr>
      <t>遺跡の森-3</t>
    </r>
    <r>
      <rPr>
        <rFont val="Microsoft JhengHei"/>
      </rPr>
      <t xml:space="preserve"> 
▼</t>
    </r>
  </si>
  <si>
    <r>
      <rPr>
        <rFont val="Microsoft JhengHei"/>
      </rPr>
      <t xml:space="preserve">▲ 
</t>
    </r>
    <r>
      <rPr>
        <rFont val="Microsoft JhengHei"/>
        <color rgb="FF1155CC"/>
        <u/>
      </rPr>
      <t>冒険の遊歩道:集結地</t>
    </r>
    <r>
      <rPr>
        <rFont val="Microsoft JhengHei"/>
      </rPr>
      <t xml:space="preserve"> ▶ 
R2.R5.R6.R8.R13.R27.R29.R50
▼</t>
    </r>
  </si>
  <si>
    <r>
      <rPr>
        <rFont val="Microsoft JhengHei"/>
      </rPr>
      <t xml:space="preserve">◀ </t>
    </r>
    <r>
      <rPr>
        <rFont val="Microsoft JhengHei"/>
        <color rgb="FF1155CC"/>
        <u/>
      </rPr>
      <t>眠りの地...（ニーベルンゲ）</t>
    </r>
    <r>
      <rPr>
        <rFont val="Microsoft JhengHei"/>
      </rPr>
      <t xml:space="preserve">
R21 </t>
    </r>
  </si>
  <si>
    <r>
      <rPr>
        <rFont val="Microsoft JhengHei"/>
        <sz val="10.0"/>
      </rPr>
      <t xml:space="preserve">▲ 
</t>
    </r>
    <r>
      <rPr>
        <rFont val="Microsoft JhengHei"/>
        <color rgb="FF1155CC"/>
        <sz val="10.0"/>
        <u/>
      </rPr>
      <t xml:space="preserve">Forest of Ruins-3 </t>
    </r>
    <r>
      <rPr>
        <rFont val="Microsoft JhengHei"/>
        <sz val="10.0"/>
      </rPr>
      <t xml:space="preserve">
▼</t>
    </r>
  </si>
  <si>
    <r>
      <rPr>
        <rFont val="Microsoft JhengHei"/>
        <sz val="10.0"/>
      </rPr>
      <t xml:space="preserve">▲ 
</t>
    </r>
    <r>
      <rPr>
        <rFont val="Microsoft JhengHei"/>
        <color rgb="FF1155CC"/>
        <sz val="10.0"/>
        <u/>
      </rPr>
      <t>Adventurer's Path:
Gathering Point</t>
    </r>
    <r>
      <rPr>
        <rFont val="Microsoft JhengHei"/>
        <sz val="10.0"/>
      </rPr>
      <t xml:space="preserve"> ▶
R2.R5.R6.R8.R13.R27.R29.R50
▼</t>
    </r>
  </si>
  <si>
    <r>
      <rPr>
        <rFont val="Microsoft JhengHei"/>
        <sz val="10.0"/>
      </rPr>
      <t xml:space="preserve">◀ </t>
    </r>
    <r>
      <rPr>
        <rFont val="Microsoft JhengHei"/>
        <color rgb="FF1155CC"/>
        <sz val="10.0"/>
        <u/>
      </rPr>
      <t>Land of Slumber… (Nibelungen)</t>
    </r>
    <r>
      <rPr>
        <rFont val="Microsoft JhengHei"/>
        <sz val="10.0"/>
      </rPr>
      <t xml:space="preserve">
R21 </t>
    </r>
  </si>
  <si>
    <r>
      <rPr>
        <rFont val="Microsoft JhengHei"/>
        <color rgb="FF1155CC"/>
        <sz val="10.0"/>
        <u/>
      </rPr>
      <t>Ruined Forest</t>
    </r>
    <r>
      <rPr>
        <rFont val="Microsoft JhengHei"/>
        <sz val="10.0"/>
      </rPr>
      <t xml:space="preserve">
(White Rabbit 
Beyond Wonderland)
R65.R66.R67
▼</t>
    </r>
  </si>
  <si>
    <r>
      <rPr>
        <rFont val="Microsoft JhengHei"/>
        <sz val="10.0"/>
      </rPr>
      <t xml:space="preserve">▲ 
</t>
    </r>
    <r>
      <rPr>
        <rFont val="Microsoft JhengHei"/>
        <color rgb="FF1155CC"/>
        <sz val="10.0"/>
        <u/>
      </rPr>
      <t>遗迹之森-3</t>
    </r>
    <r>
      <rPr>
        <rFont val="Microsoft JhengHei"/>
        <sz val="10.0"/>
      </rPr>
      <t xml:space="preserve">
▼</t>
    </r>
  </si>
  <si>
    <r>
      <rPr>
        <rFont val="Microsoft JhengHei"/>
        <sz val="10.0"/>
      </rPr>
      <t xml:space="preserve">▲
</t>
    </r>
    <r>
      <rPr>
        <rFont val="Microsoft JhengHei"/>
        <color rgb="FF1155CC"/>
        <sz val="10.0"/>
        <u/>
      </rPr>
      <t>冒险者小道:集結地</t>
    </r>
    <r>
      <rPr>
        <rFont val="Microsoft JhengHei"/>
        <sz val="10.0"/>
      </rPr>
      <t xml:space="preserve"> ▶ 
R2.R5.R6.R8.R13.R27.R29.R50
▼</t>
    </r>
  </si>
  <si>
    <r>
      <rPr>
        <rFont val="Microsoft JhengHei"/>
        <sz val="10.0"/>
      </rPr>
      <t xml:space="preserve">◀ </t>
    </r>
    <r>
      <rPr>
        <rFont val="Microsoft JhengHei"/>
        <color rgb="FF1155CC"/>
        <sz val="10.0"/>
        <u/>
      </rPr>
      <t>沉眠之所…(尼伯龙根)</t>
    </r>
    <r>
      <rPr>
        <rFont val="Microsoft JhengHei"/>
        <sz val="10.0"/>
      </rPr>
      <t xml:space="preserve">
R21</t>
    </r>
  </si>
  <si>
    <r>
      <rPr>
        <rFont val="Microsoft JhengHei"/>
        <color rgb="FF1155CC"/>
        <sz val="10.0"/>
        <u/>
      </rPr>
      <t>废墟森林</t>
    </r>
    <r>
      <rPr>
        <rFont val="Microsoft JhengHei"/>
        <color rgb="FF000000"/>
        <sz val="10.0"/>
      </rPr>
      <t xml:space="preserve">
(箱庭的白兔)
R65.R66.R67
▼</t>
    </r>
  </si>
  <si>
    <r>
      <rPr>
        <rFont val="Microsoft JhengHei"/>
      </rPr>
      <t xml:space="preserve">▲
</t>
    </r>
    <r>
      <rPr>
        <rFont val="Microsoft JhengHei"/>
        <color rgb="FF1155CC"/>
        <u/>
      </rPr>
      <t>開發中區域(礦坑)</t>
    </r>
    <r>
      <rPr>
        <rFont val="Microsoft JhengHei"/>
      </rPr>
      <t xml:space="preserve">
R22
▼</t>
    </r>
  </si>
  <si>
    <r>
      <rPr>
        <rFont val="Microsoft JhengHei"/>
      </rPr>
      <t xml:space="preserve">◀ </t>
    </r>
    <r>
      <rPr>
        <rFont val="Microsoft JhengHei"/>
        <color rgb="FF1155CC"/>
        <u/>
      </rPr>
      <t>冒險者小道:林間</t>
    </r>
    <r>
      <rPr>
        <rFont val="Microsoft JhengHei"/>
      </rPr>
      <t>-1 ▶
R7.R12
▼</t>
    </r>
  </si>
  <si>
    <r>
      <rPr>
        <rFont val="Microsoft JhengHei"/>
      </rPr>
      <t xml:space="preserve">▲
◀ </t>
    </r>
    <r>
      <rPr>
        <rFont val="Microsoft JhengHei"/>
        <color rgb="FF1155CC"/>
        <u/>
      </rPr>
      <t>冒險者小道:林間-2</t>
    </r>
    <r>
      <rPr>
        <rFont val="Microsoft JhengHei"/>
      </rPr>
      <t xml:space="preserve">
▼
R64</t>
    </r>
  </si>
  <si>
    <r>
      <rPr>
        <rFont val="Microsoft JhengHei"/>
      </rPr>
      <t xml:space="preserve">▲ 
</t>
    </r>
    <r>
      <rPr>
        <rFont val="Microsoft JhengHei"/>
        <color rgb="FF1155CC"/>
        <u/>
      </rPr>
      <t>開発中のエリア（鉱山トンネル）</t>
    </r>
    <r>
      <rPr>
        <rFont val="Microsoft JhengHei"/>
      </rPr>
      <t xml:space="preserve">
 R22 
▼</t>
    </r>
  </si>
  <si>
    <r>
      <rPr>
        <rFont val="Microsoft JhengHei"/>
      </rPr>
      <t xml:space="preserve">◀ </t>
    </r>
    <r>
      <rPr>
        <rFont val="Microsoft JhengHei"/>
        <color rgb="FF1155CC"/>
        <u/>
      </rPr>
      <t>冒険の遊歩道:林間</t>
    </r>
    <r>
      <rPr>
        <rFont val="Microsoft JhengHei"/>
      </rPr>
      <t xml:space="preserve"> ▶ 
R7.R12</t>
    </r>
  </si>
  <si>
    <r>
      <rPr>
        <rFont val="Microsoft JhengHei"/>
      </rPr>
      <t xml:space="preserve">◀ </t>
    </r>
    <r>
      <rPr>
        <rFont val="Microsoft JhengHei"/>
        <color rgb="FF1155CC"/>
        <u/>
      </rPr>
      <t>冒険の遊歩道:記念碑</t>
    </r>
    <r>
      <rPr>
        <rFont val="Microsoft JhengHei"/>
      </rPr>
      <t xml:space="preserve"> 
R9.R14</t>
    </r>
  </si>
  <si>
    <r>
      <rPr>
        <rFont val="Microsoft JhengHei"/>
        <sz val="10.0"/>
      </rPr>
      <t xml:space="preserve">▲
</t>
    </r>
    <r>
      <rPr>
        <rFont val="Microsoft JhengHei"/>
        <color rgb="FF1155CC"/>
        <sz val="10.0"/>
        <u/>
      </rPr>
      <t>Excavation Site (Mine Tunnels)</t>
    </r>
    <r>
      <rPr>
        <rFont val="Microsoft JhengHei"/>
        <sz val="10.0"/>
      </rPr>
      <t xml:space="preserve">
R22 
▼</t>
    </r>
  </si>
  <si>
    <r>
      <rPr>
        <rFont val="Microsoft JhengHei"/>
        <sz val="10.0"/>
      </rPr>
      <t xml:space="preserve">◀ </t>
    </r>
    <r>
      <rPr>
        <rFont val="Microsoft JhengHei"/>
        <color rgb="FF1155CC"/>
        <sz val="10.0"/>
        <u/>
      </rPr>
      <t>Adventurer's Path:Grove - 1</t>
    </r>
    <r>
      <rPr>
        <rFont val="Microsoft JhengHei"/>
        <sz val="10.0"/>
      </rPr>
      <t xml:space="preserve"> ▶ 
R7.R12</t>
    </r>
  </si>
  <si>
    <r>
      <rPr>
        <rFont val="Microsoft JhengHei"/>
        <sz val="10.0"/>
      </rPr>
      <t xml:space="preserve">▲ 
◀ </t>
    </r>
    <r>
      <rPr>
        <rFont val="Microsoft JhengHei"/>
        <color rgb="FF1155CC"/>
        <sz val="10.0"/>
        <u/>
      </rPr>
      <t>Adventurer's Path:Grove - 2</t>
    </r>
    <r>
      <rPr>
        <rFont val="Microsoft JhengHei"/>
        <sz val="10.0"/>
      </rPr>
      <t xml:space="preserve">▶ 
R.64
</t>
    </r>
  </si>
  <si>
    <r>
      <rPr>
        <rFont val="Microsoft JhengHei"/>
        <sz val="10.0"/>
      </rPr>
      <t xml:space="preserve">▲ 
</t>
    </r>
    <r>
      <rPr>
        <rFont val="Microsoft JhengHei"/>
        <color rgb="FF1155CC"/>
        <sz val="10.0"/>
        <u/>
      </rPr>
      <t xml:space="preserve">开发中区域(矿坑) 
</t>
    </r>
    <r>
      <rPr>
        <rFont val="Microsoft JhengHei"/>
        <sz val="10.0"/>
      </rPr>
      <t>R22
▼</t>
    </r>
  </si>
  <si>
    <r>
      <rPr>
        <rFont val="Microsoft JhengHei"/>
        <sz val="10.0"/>
      </rPr>
      <t xml:space="preserve">◀ </t>
    </r>
    <r>
      <rPr>
        <rFont val="Microsoft JhengHei"/>
        <color rgb="FF1155CC"/>
        <sz val="10.0"/>
        <u/>
      </rPr>
      <t xml:space="preserve">冒险者小道 :林间-1 </t>
    </r>
    <r>
      <rPr>
        <rFont val="Microsoft JhengHei"/>
        <sz val="10.0"/>
      </rPr>
      <t>▶
 R7.R12</t>
    </r>
  </si>
  <si>
    <r>
      <rPr>
        <rFont val="Microsoft JhengHei"/>
        <sz val="10.0"/>
      </rPr>
      <t xml:space="preserve">▲
◀ </t>
    </r>
    <r>
      <rPr>
        <rFont val="Microsoft JhengHei"/>
        <color rgb="FF1155CC"/>
        <sz val="10.0"/>
        <u/>
      </rPr>
      <t>冒险者小道:林间-2</t>
    </r>
    <r>
      <rPr>
        <rFont val="Microsoft JhengHei"/>
        <sz val="10.0"/>
      </rPr>
      <t xml:space="preserve">
R64
▼</t>
    </r>
  </si>
  <si>
    <r>
      <rPr>
        <rFont val="Microsoft JhengHei"/>
      </rPr>
      <t xml:space="preserve">▲
</t>
    </r>
    <r>
      <rPr>
        <rFont val="Microsoft JhengHei"/>
        <color rgb="FF1155CC"/>
        <u/>
      </rPr>
      <t>開發中區域(礦坑)-1</t>
    </r>
    <r>
      <rPr>
        <rFont val="Microsoft JhengHei"/>
      </rPr>
      <t xml:space="preserve">
R17.R23.R24
R59</t>
    </r>
  </si>
  <si>
    <t>提前回家
R1</t>
  </si>
  <si>
    <r>
      <rPr>
        <rFont val="Microsoft JhengHei"/>
      </rPr>
      <t xml:space="preserve">▲
</t>
    </r>
    <r>
      <rPr>
        <rFont val="Microsoft JhengHei"/>
        <color rgb="FF1155CC"/>
        <u/>
      </rPr>
      <t>獵人小屋</t>
    </r>
    <r>
      <rPr>
        <rFont val="Microsoft JhengHei"/>
      </rPr>
      <t xml:space="preserve">
R69
▼</t>
    </r>
  </si>
  <si>
    <r>
      <rPr>
        <rFont val="Microsoft JhengHei"/>
      </rPr>
      <t xml:space="preserve">▲
</t>
    </r>
    <r>
      <rPr>
        <rFont val="Microsoft JhengHei"/>
        <color rgb="FF1155CC"/>
        <u/>
      </rPr>
      <t>冒險者小道:紀念碑</t>
    </r>
    <r>
      <rPr>
        <rFont val="Microsoft JhengHei"/>
      </rPr>
      <t xml:space="preserve">
R9.R14</t>
    </r>
  </si>
  <si>
    <r>
      <rPr>
        <rFont val="Microsoft JhengHei"/>
      </rPr>
      <t xml:space="preserve">▲ 
</t>
    </r>
    <r>
      <rPr>
        <rFont val="Microsoft JhengHei"/>
        <color rgb="FF1155CC"/>
        <u/>
      </rPr>
      <t>開発中エリア（鉱山トンネル）-1</t>
    </r>
    <r>
      <rPr>
        <rFont val="Microsoft JhengHei"/>
      </rPr>
      <t xml:space="preserve">
 R17.R22.R23</t>
    </r>
  </si>
  <si>
    <t>早く帰る
R1</t>
  </si>
  <si>
    <r>
      <rPr>
        <rFont val="Microsoft JhengHei"/>
        <sz val="10.0"/>
      </rPr>
      <t xml:space="preserve">▲ 
</t>
    </r>
    <r>
      <rPr>
        <rFont val="Microsoft JhengHei"/>
        <color rgb="FF1155CC"/>
        <sz val="10.0"/>
        <u/>
      </rPr>
      <t xml:space="preserve">Excavation Site (Mine Tunnels)-1 </t>
    </r>
    <r>
      <rPr>
        <rFont val="Microsoft JhengHei"/>
        <sz val="10.0"/>
      </rPr>
      <t xml:space="preserve">
R17.R22.R23</t>
    </r>
  </si>
  <si>
    <t>Go home early
R1</t>
  </si>
  <si>
    <t>▲ 
Hunter's Lodge
R69
▼</t>
  </si>
  <si>
    <r>
      <rPr>
        <rFont val="Microsoft JhengHei"/>
        <sz val="10.0"/>
      </rPr>
      <t xml:space="preserve">◀ </t>
    </r>
    <r>
      <rPr>
        <rFont val="Microsoft JhengHei"/>
        <color rgb="FF1155CC"/>
        <sz val="10.0"/>
        <u/>
      </rPr>
      <t>Adventurer's Path:Monument</t>
    </r>
    <r>
      <rPr>
        <rFont val="Microsoft JhengHei"/>
        <sz val="10.0"/>
      </rPr>
      <t xml:space="preserve"> 
R9.R14</t>
    </r>
  </si>
  <si>
    <r>
      <rPr>
        <rFont val="Microsoft JhengHei"/>
        <sz val="10.0"/>
      </rPr>
      <t xml:space="preserve">▲ 
</t>
    </r>
    <r>
      <rPr>
        <rFont val="Microsoft JhengHei"/>
        <color rgb="FF1155CC"/>
        <sz val="10.0"/>
        <u/>
      </rPr>
      <t xml:space="preserve">开发中区域(矿坑)-1 </t>
    </r>
    <r>
      <rPr>
        <rFont val="Microsoft JhengHei"/>
        <sz val="10.0"/>
      </rPr>
      <t xml:space="preserve">
R17.R23.R24
R59
▼</t>
    </r>
  </si>
  <si>
    <r>
      <rPr>
        <rFont val="Microsoft JhengHei"/>
        <sz val="10.0"/>
      </rPr>
      <t xml:space="preserve">▲
</t>
    </r>
    <r>
      <rPr>
        <rFont val="Microsoft JhengHei"/>
        <color rgb="FF1155CC"/>
        <sz val="10.0"/>
        <u/>
      </rPr>
      <t>猎人小屋</t>
    </r>
    <r>
      <rPr>
        <rFont val="Microsoft JhengHei"/>
        <sz val="10.0"/>
      </rPr>
      <t xml:space="preserve">
R69
▼</t>
    </r>
  </si>
  <si>
    <r>
      <rPr>
        <rFont val="Microsoft JhengHei"/>
        <sz val="10.0"/>
      </rPr>
      <t xml:space="preserve">▲
</t>
    </r>
    <r>
      <rPr>
        <rFont val="Microsoft JhengHei"/>
        <color rgb="FF1155CC"/>
        <sz val="10.0"/>
        <u/>
      </rPr>
      <t>冒险者小道:纪念碑</t>
    </r>
    <r>
      <rPr>
        <rFont val="Microsoft JhengHei"/>
        <sz val="10.0"/>
      </rPr>
      <t xml:space="preserve">
R9.R14</t>
    </r>
  </si>
  <si>
    <r>
      <rPr>
        <rFont val="Microsoft JhengHei"/>
      </rPr>
      <t xml:space="preserve">▲
</t>
    </r>
    <r>
      <rPr>
        <rFont val="Microsoft JhengHei"/>
        <color rgb="FF1155CC"/>
        <u/>
      </rPr>
      <t>開發中區域(礦坑)-2</t>
    </r>
    <r>
      <rPr>
        <rFont val="Microsoft JhengHei"/>
      </rPr>
      <t xml:space="preserve"> ▶
▼
R11.R60.R61</t>
    </r>
  </si>
  <si>
    <t>山的洞窟</t>
  </si>
  <si>
    <r>
      <rPr>
        <rFont val="Microsoft JhengHei"/>
      </rPr>
      <t xml:space="preserve">▲
</t>
    </r>
    <r>
      <rPr>
        <rFont val="Microsoft JhengHei"/>
        <color rgb="FF1155CC"/>
        <u/>
      </rPr>
      <t>獵人小屋:地下室</t>
    </r>
    <r>
      <rPr>
        <rFont val="Microsoft JhengHei"/>
      </rPr>
      <t xml:space="preserve">
R70</t>
    </r>
  </si>
  <si>
    <r>
      <rPr>
        <rFont val="Microsoft JhengHei"/>
        <sz val="10.0"/>
      </rPr>
      <t xml:space="preserve">▲ 
</t>
    </r>
    <r>
      <rPr>
        <rFont val="Microsoft JhengHei"/>
        <color rgb="FF1155CC"/>
        <sz val="10.0"/>
        <u/>
      </rPr>
      <t>Excavation Site (Mine Tunnels)-2</t>
    </r>
    <r>
      <rPr>
        <rFont val="Microsoft JhengHei"/>
        <sz val="10.0"/>
      </rPr>
      <t xml:space="preserve"> ▶
R11.R60.R61
▼
</t>
    </r>
  </si>
  <si>
    <t>Mountain Cave</t>
  </si>
  <si>
    <t>▲
Hunter's Lodge - Basement</t>
  </si>
  <si>
    <r>
      <rPr>
        <rFont val="Microsoft JhengHei"/>
        <sz val="10.0"/>
      </rPr>
      <t xml:space="preserve">▲
</t>
    </r>
    <r>
      <rPr>
        <rFont val="Microsoft JhengHei"/>
        <color rgb="FF1155CC"/>
        <sz val="10.0"/>
        <u/>
      </rPr>
      <t>中发中区域(矿坑)-2</t>
    </r>
    <r>
      <rPr>
        <rFont val="Microsoft JhengHei"/>
        <sz val="10.0"/>
      </rPr>
      <t xml:space="preserve"> ▶
R11.R60.R61</t>
    </r>
  </si>
  <si>
    <t>山之洞窟</t>
  </si>
  <si>
    <r>
      <rPr>
        <rFont val="Microsoft JhengHei"/>
        <sz val="10.0"/>
      </rPr>
      <t xml:space="preserve">▲
</t>
    </r>
    <r>
      <rPr>
        <rFont val="Microsoft JhengHei"/>
        <color rgb="FF1155CC"/>
        <sz val="10.0"/>
        <u/>
      </rPr>
      <t>猎人小屋:地下室</t>
    </r>
    <r>
      <rPr>
        <rFont val="Microsoft JhengHei"/>
        <sz val="10.0"/>
      </rPr>
      <t xml:space="preserve">
R70</t>
    </r>
  </si>
  <si>
    <r>
      <rPr>
        <rFont val="Microsoft JhengHei"/>
      </rPr>
      <t xml:space="preserve">▲
</t>
    </r>
    <r>
      <rPr>
        <rFont val="Microsoft JhengHei"/>
        <color rgb="FF1155CC"/>
        <u/>
      </rPr>
      <t xml:space="preserve">開發中區域(礦坑)-3 </t>
    </r>
    <r>
      <rPr>
        <rFont val="Microsoft JhengHei"/>
      </rPr>
      <t>▶
▼
R62</t>
    </r>
  </si>
  <si>
    <r>
      <rPr>
        <rFont val="Microsoft JhengHei"/>
        <sz val="10.0"/>
      </rPr>
      <t xml:space="preserve">▲ 
</t>
    </r>
    <r>
      <rPr>
        <rFont val="Microsoft JhengHei"/>
        <color rgb="FF1155CC"/>
        <sz val="10.0"/>
        <u/>
      </rPr>
      <t xml:space="preserve">Excavation Site (Mine Tunnels)-3 </t>
    </r>
    <r>
      <rPr>
        <rFont val="Microsoft JhengHei"/>
        <sz val="10.0"/>
      </rPr>
      <t xml:space="preserve">▶
R62
▼
</t>
    </r>
  </si>
  <si>
    <r>
      <rPr>
        <rFont val="Microsoft JhengHei"/>
        <sz val="10.0"/>
      </rPr>
      <t xml:space="preserve">▲
</t>
    </r>
    <r>
      <rPr>
        <rFont val="Microsoft JhengHei"/>
        <color rgb="FF1155CC"/>
        <sz val="10.0"/>
        <u/>
      </rPr>
      <t xml:space="preserve">开发中区域(矿坑)-3 </t>
    </r>
    <r>
      <rPr>
        <rFont val="Microsoft JhengHei"/>
        <sz val="10.0"/>
      </rPr>
      <t>▶
R62</t>
    </r>
  </si>
  <si>
    <t>大焦热熔岩带</t>
  </si>
  <si>
    <t xml:space="preserve">被遺忘的墓穴-1 </t>
  </si>
  <si>
    <r>
      <rPr>
        <rFont val="Microsoft JhengHei"/>
      </rPr>
      <t>▲
◀</t>
    </r>
    <r>
      <rPr>
        <rFont val="Microsoft JhengHei"/>
        <color rgb="FF1155CC"/>
        <u/>
      </rPr>
      <t xml:space="preserve">開發中區域(礦坑)-4 </t>
    </r>
    <r>
      <rPr>
        <rFont val="Microsoft JhengHei"/>
      </rPr>
      <t>▶
R63</t>
    </r>
  </si>
  <si>
    <t>被遺忘的墓穴-1</t>
  </si>
  <si>
    <r>
      <rPr>
        <rFont val="Microsoft JhengHei"/>
        <sz val="10.0"/>
      </rPr>
      <t xml:space="preserve">▲ 
</t>
    </r>
    <r>
      <rPr>
        <rFont val="Microsoft JhengHei"/>
        <color rgb="FF1155CC"/>
        <sz val="10.0"/>
        <u/>
      </rPr>
      <t>Excavation Site (Mine Tunnels)-4</t>
    </r>
    <r>
      <rPr>
        <rFont val="Microsoft JhengHei"/>
        <sz val="10.0"/>
      </rPr>
      <t xml:space="preserve"> ▶
R63</t>
    </r>
  </si>
  <si>
    <t>Forgotten Catacombs -1 Upper Level</t>
  </si>
  <si>
    <t>被遗忘的墓穴-1</t>
  </si>
  <si>
    <r>
      <rPr>
        <rFont val="Microsoft JhengHei"/>
        <sz val="10.0"/>
      </rPr>
      <t xml:space="preserve">▲
◀ </t>
    </r>
    <r>
      <rPr>
        <rFont val="Microsoft JhengHei"/>
        <color rgb="FF1155CC"/>
        <sz val="10.0"/>
        <u/>
      </rPr>
      <t>开发中区域(矿坑)-4</t>
    </r>
    <r>
      <rPr>
        <rFont val="Microsoft JhengHei"/>
        <sz val="10.0"/>
      </rPr>
      <t xml:space="preserve"> ▶
R63</t>
    </r>
  </si>
  <si>
    <t>Abyss Ruins Area</t>
  </si>
  <si>
    <r>
      <rPr>
        <rFont val="Microsoft JhengHei"/>
        <color rgb="FF1155CC"/>
        <u/>
      </rPr>
      <t xml:space="preserve">淺層遺跡迷宮  </t>
    </r>
    <r>
      <rPr>
        <rFont val="Microsoft JhengHei"/>
      </rPr>
      <t>R24
▼</t>
    </r>
  </si>
  <si>
    <r>
      <rPr>
        <rFont val="&quot;Microsoft JhengHei&quot;"/>
        <color rgb="FF1155CC"/>
        <u/>
      </rPr>
      <t xml:space="preserve">淺層遺跡迷宮 </t>
    </r>
    <r>
      <rPr>
        <rFont val="&quot;Microsoft JhengHei&quot;"/>
        <color rgb="FF000000"/>
      </rPr>
      <t xml:space="preserve"> 
R24
▼</t>
    </r>
  </si>
  <si>
    <r>
      <rPr>
        <rFont val="&quot;Microsoft JhengHei&quot;"/>
        <color rgb="FF1155CC"/>
        <sz val="10.0"/>
        <u/>
      </rPr>
      <t xml:space="preserve">Shallow Ruins Labyrinth 
</t>
    </r>
    <r>
      <rPr>
        <rFont val="&quot;Microsoft JhengHei&quot;"/>
        <color rgb="FF000000"/>
        <sz val="10.0"/>
      </rPr>
      <t>R24 
▼</t>
    </r>
  </si>
  <si>
    <r>
      <rPr>
        <rFont val="&quot;Microsoft JhengHei&quot;"/>
        <color rgb="FF1155CC"/>
        <sz val="10.0"/>
        <u/>
      </rPr>
      <t xml:space="preserve">浅层遗迹迷宫 
</t>
    </r>
    <r>
      <rPr>
        <rFont val="&quot;Microsoft JhengHei&quot;"/>
        <color rgb="FF000000"/>
        <sz val="10.0"/>
      </rPr>
      <t>R24 
▼</t>
    </r>
  </si>
  <si>
    <r>
      <rPr>
        <rFont val="Microsoft JhengHei"/>
        <color rgb="FF1155CC"/>
        <u/>
      </rPr>
      <t>被遺忘的墓穴:藏身處</t>
    </r>
    <r>
      <rPr>
        <rFont val="Microsoft JhengHei"/>
        <color rgb="FF777777"/>
      </rPr>
      <t xml:space="preserve">  ▶
</t>
    </r>
    <r>
      <rPr>
        <rFont val="Microsoft JhengHei"/>
      </rPr>
      <t>R18</t>
    </r>
  </si>
  <si>
    <r>
      <rPr>
        <rFont val="Microsoft JhengHei"/>
      </rPr>
      <t xml:space="preserve">▲
◀ </t>
    </r>
    <r>
      <rPr>
        <rFont val="Microsoft JhengHei"/>
        <color rgb="FF1155CC"/>
        <u/>
      </rPr>
      <t>遺忘的墓穴</t>
    </r>
    <r>
      <rPr>
        <rFont val="Microsoft JhengHei"/>
      </rPr>
      <t xml:space="preserve">
R18.R19.R25
▼</t>
    </r>
  </si>
  <si>
    <r>
      <rPr>
        <rFont val="Microsoft JhengHei"/>
        <color rgb="FF1155CC"/>
        <u/>
      </rPr>
      <t>忘却のカタコンベ:隠れ家</t>
    </r>
    <r>
      <rPr>
        <rFont val="Microsoft JhengHei"/>
        <color rgb="FF777777"/>
      </rPr>
      <t xml:space="preserve">  ▶
</t>
    </r>
    <r>
      <rPr>
        <rFont val="Microsoft JhengHei"/>
      </rPr>
      <t>R18</t>
    </r>
  </si>
  <si>
    <r>
      <rPr>
        <rFont val="Microsoft JhengHei"/>
      </rPr>
      <t xml:space="preserve">▲
◀ </t>
    </r>
    <r>
      <rPr>
        <rFont val="Microsoft JhengHei"/>
        <color rgb="FF1155CC"/>
        <u/>
      </rPr>
      <t xml:space="preserve">忘却のカタコンベ  </t>
    </r>
    <r>
      <rPr>
        <rFont val="Microsoft JhengHei"/>
      </rPr>
      <t>R18.R19.R25
▼</t>
    </r>
  </si>
  <si>
    <r>
      <rPr>
        <rFont val="Microsoft JhengHei"/>
        <color rgb="FF1155CC"/>
        <sz val="8.0"/>
        <u/>
      </rPr>
      <t>Forgotten Catacombe:Hideout</t>
    </r>
    <r>
      <rPr>
        <rFont val="Microsoft JhengHei"/>
        <color rgb="FF777777"/>
        <sz val="8.0"/>
      </rPr>
      <t xml:space="preserve">  ▶
</t>
    </r>
    <r>
      <rPr>
        <rFont val="Microsoft JhengHei"/>
        <sz val="8.0"/>
      </rPr>
      <t>R18</t>
    </r>
  </si>
  <si>
    <r>
      <rPr>
        <rFont val="Microsoft JhengHei"/>
      </rPr>
      <t xml:space="preserve">▲
◀ </t>
    </r>
    <r>
      <rPr>
        <rFont val="Microsoft JhengHei"/>
        <color rgb="FF1155CC"/>
        <u/>
      </rPr>
      <t>Forgotten Catacombs</t>
    </r>
    <r>
      <rPr>
        <rFont val="Microsoft JhengHei"/>
      </rPr>
      <t xml:space="preserve">
R18.R19.R25
▼</t>
    </r>
  </si>
  <si>
    <r>
      <rPr>
        <rFont val="Microsoft JhengHei"/>
        <color rgb="FF1155CC"/>
        <u/>
      </rPr>
      <t>忘卻的墓穴:藏身处</t>
    </r>
    <r>
      <rPr>
        <rFont val="Microsoft JhengHei"/>
        <color rgb="FF777777"/>
      </rPr>
      <t xml:space="preserve">  ▶
</t>
    </r>
    <r>
      <rPr>
        <rFont val="Microsoft JhengHei"/>
      </rPr>
      <t>R18</t>
    </r>
  </si>
  <si>
    <r>
      <rPr>
        <rFont val="Microsoft JhengHei"/>
      </rPr>
      <t xml:space="preserve">▲
◀ </t>
    </r>
    <r>
      <rPr>
        <rFont val="Microsoft JhengHei"/>
        <color rgb="FF1155CC"/>
        <u/>
      </rPr>
      <t>被遗忘的墓穴</t>
    </r>
    <r>
      <rPr>
        <rFont val="Microsoft JhengHei"/>
      </rPr>
      <t xml:space="preserve">
R18.R19.R25
▼</t>
    </r>
  </si>
  <si>
    <r>
      <rPr>
        <rFont val="Microsoft JhengHei"/>
      </rPr>
      <t xml:space="preserve">▲
</t>
    </r>
    <r>
      <rPr>
        <rFont val="Microsoft JhengHei"/>
        <color rgb="FF1155CC"/>
        <u/>
      </rPr>
      <t>被遺忘的墓穴-1</t>
    </r>
    <r>
      <rPr>
        <rFont val="Microsoft JhengHei"/>
      </rPr>
      <t xml:space="preserve"> ▶
R26.R63
▼</t>
    </r>
  </si>
  <si>
    <t xml:space="preserve">發中區域(礦坑)-4 </t>
  </si>
  <si>
    <r>
      <rPr>
        <rFont val="Microsoft JhengHei"/>
      </rPr>
      <t xml:space="preserve">▲
</t>
    </r>
    <r>
      <rPr>
        <rFont val="Microsoft JhengHei"/>
        <color rgb="FF1155CC"/>
        <u/>
      </rPr>
      <t>忘却のカタコンベ-1</t>
    </r>
    <r>
      <rPr>
        <rFont val="Microsoft JhengHei"/>
      </rPr>
      <t xml:space="preserve">
R26
▼</t>
    </r>
  </si>
  <si>
    <r>
      <rPr>
        <rFont val="&quot;Microsoft JhengHei&quot;"/>
        <color rgb="FF000000"/>
      </rPr>
      <t xml:space="preserve">▲
</t>
    </r>
    <r>
      <rPr>
        <rFont val="&quot;Microsoft JhengHei&quot;"/>
        <color rgb="FF1155CC"/>
        <u/>
      </rPr>
      <t>Forgotten Catacombs- 1
Upper Level</t>
    </r>
    <r>
      <rPr>
        <rFont val="&quot;Microsoft JhengHei&quot;"/>
        <color rgb="FF000000"/>
      </rPr>
      <t xml:space="preserve"> 
R26
▼</t>
    </r>
  </si>
  <si>
    <r>
      <rPr>
        <rFont val="&quot;Microsoft JhengHei&quot;"/>
        <color rgb="FF000000"/>
      </rPr>
      <t xml:space="preserve">▲
</t>
    </r>
    <r>
      <rPr>
        <rFont val="&quot;Microsoft JhengHei&quot;"/>
        <color rgb="FF1155CC"/>
        <u/>
      </rPr>
      <t xml:space="preserve">被遗忘的墓穴-1 </t>
    </r>
    <r>
      <rPr>
        <rFont val="&quot;Microsoft JhengHei&quot;"/>
        <color rgb="FF000000"/>
      </rPr>
      <t>▶
R26.R63
▼</t>
    </r>
  </si>
  <si>
    <t>开发中区域(矿坑)-4</t>
  </si>
  <si>
    <r>
      <rPr>
        <rFont val="Microsoft JhengHei"/>
      </rPr>
      <t xml:space="preserve">▲
</t>
    </r>
    <r>
      <rPr>
        <rFont val="Microsoft JhengHei"/>
        <color rgb="FF1155CC"/>
        <u/>
      </rPr>
      <t xml:space="preserve">被遺忘的墓穴-2 
</t>
    </r>
    <r>
      <rPr>
        <rFont val="Microsoft JhengHei"/>
      </rPr>
      <t>（狂亂的紅獸）▶
R20.R40.R43
▼</t>
    </r>
  </si>
  <si>
    <r>
      <rPr>
        <rFont val="Microsoft JhengHei"/>
        <color rgb="FF1155CC"/>
        <u/>
      </rPr>
      <t>墮落的聖堂</t>
    </r>
    <r>
      <rPr>
        <rFont val="Microsoft JhengHei"/>
      </rPr>
      <t xml:space="preserve">
（限定時間擊殺狂亂的紅獸）
R45</t>
    </r>
  </si>
  <si>
    <r>
      <rPr>
        <rFont val="Microsoft JhengHei"/>
      </rPr>
      <t xml:space="preserve">▲
</t>
    </r>
    <r>
      <rPr>
        <rFont val="Microsoft JhengHei"/>
        <color rgb="FF1155CC"/>
        <u/>
      </rPr>
      <t xml:space="preserve">忘却のカタコンベ-2 
</t>
    </r>
    <r>
      <rPr>
        <rFont val="Microsoft JhengHei"/>
      </rPr>
      <t>（狂乱の紅獣）▶
R20.R40.R43
 ▼</t>
    </r>
  </si>
  <si>
    <r>
      <rPr>
        <rFont val="Microsoft JhengHei"/>
        <color rgb="FF1155CC"/>
        <u/>
      </rPr>
      <t>堕落の聖堂</t>
    </r>
    <r>
      <rPr>
        <rFont val="Microsoft JhengHei"/>
      </rPr>
      <t xml:space="preserve">
（狂乱の紅獣を倒すための制限時間）
R45</t>
    </r>
  </si>
  <si>
    <r>
      <rPr>
        <rFont val="Microsoft JhengHei"/>
      </rPr>
      <t xml:space="preserve">▲
</t>
    </r>
    <r>
      <rPr>
        <rFont val="Microsoft JhengHei"/>
        <color rgb="FF1155CC"/>
        <u/>
      </rPr>
      <t xml:space="preserve">Forgotten Catacombs- 2 Lower Level 
</t>
    </r>
    <r>
      <rPr>
        <rFont val="Microsoft JhengHei"/>
      </rPr>
      <t>（Frenzied Crimson Beast）▶
R20.R40.R43
 ▼</t>
    </r>
  </si>
  <si>
    <r>
      <rPr>
        <rFont val="Microsoft JhengHei"/>
        <color rgb="FF1155CC"/>
        <sz val="10.0"/>
        <u/>
      </rPr>
      <t xml:space="preserve">The Fallen Sanctuary 
</t>
    </r>
    <r>
      <rPr>
        <rFont val="Microsoft JhengHei"/>
        <sz val="10.0"/>
      </rPr>
      <t>(Kill Frenzied Crimson Beast in a limited time)
R45</t>
    </r>
  </si>
  <si>
    <r>
      <rPr>
        <rFont val="Microsoft JhengHei"/>
      </rPr>
      <t xml:space="preserve">▲
</t>
    </r>
    <r>
      <rPr>
        <rFont val="Microsoft JhengHei"/>
        <color rgb="FF1155CC"/>
        <u/>
      </rPr>
      <t xml:space="preserve">被遗忘的墓穴-2 </t>
    </r>
    <r>
      <rPr>
        <rFont val="Microsoft JhengHei"/>
      </rPr>
      <t xml:space="preserve">
（狂乱的红兽）▶
R20.R42.R45
 ▼</t>
    </r>
  </si>
  <si>
    <r>
      <rPr>
        <rFont val="Microsoft JhengHei"/>
        <color rgb="FF1155CC"/>
        <u/>
      </rPr>
      <t>堕落的圣堂</t>
    </r>
    <r>
      <rPr>
        <rFont val="Microsoft JhengHei"/>
      </rPr>
      <t xml:space="preserve">
（限定时间击杀狂乱的红兽）
R46</t>
    </r>
  </si>
  <si>
    <r>
      <rPr>
        <rFont val="Microsoft JhengHei"/>
        <color rgb="FF1155CC"/>
        <u/>
      </rPr>
      <t xml:space="preserve">大焦熱溶岩帶 
</t>
    </r>
    <r>
      <rPr>
        <rFont val="Microsoft JhengHei"/>
      </rPr>
      <t>R22</t>
    </r>
  </si>
  <si>
    <r>
      <rPr>
        <rFont val="Microsoft JhengHei"/>
        <color rgb="FF1155CC"/>
        <u/>
      </rPr>
      <t>大焦熱溶岩帯</t>
    </r>
    <r>
      <rPr>
        <rFont val="Microsoft JhengHei"/>
      </rPr>
      <t xml:space="preserve">
R22</t>
    </r>
  </si>
  <si>
    <r>
      <rPr>
        <rFont val="Microsoft JhengHei"/>
        <color rgb="FF1155CC"/>
        <u/>
      </rPr>
      <t>Scorching Lava Zone</t>
    </r>
    <r>
      <rPr>
        <rFont val="Microsoft JhengHei"/>
      </rPr>
      <t xml:space="preserve">
R22</t>
    </r>
  </si>
  <si>
    <r>
      <rPr>
        <rFont val="Microsoft JhengHei"/>
        <color rgb="FF1155CC"/>
        <u/>
      </rPr>
      <t>大焦热熔岩带</t>
    </r>
    <r>
      <rPr>
        <rFont val="Microsoft JhengHei"/>
      </rPr>
      <t xml:space="preserve">
R22</t>
    </r>
  </si>
  <si>
    <t>Hãy ủng hộ game chính thức bởi 逆流茶会(NLCH) - Cuộc Sống Giản Dị Bên Em Gái Hiền Dịu Của Tôi
Bản hướng dẫn: Discord chính thức-RORO, Người hướng dẫn-MIO, 落染, Dịch giả-눈_눈、Ruika、zNagato、Libeti、Gabriel B、maltesey、AndyJango
Xin không sao chép mà không có sự đồng ý</t>
  </si>
  <si>
    <t>項目</t>
  </si>
  <si>
    <t>特殊掉落
P.S.通用掉落物不列入
(泛用型白.藍品質裝備和消耗道具)</t>
  </si>
  <si>
    <t>備註</t>
  </si>
  <si>
    <t>Source</t>
  </si>
  <si>
    <r>
      <rPr>
        <rFont val="Microsoft JhengHei"/>
        <b/>
        <color theme="1"/>
        <sz val="14.0"/>
      </rPr>
      <t>Unique Drops</t>
    </r>
    <r>
      <rPr>
        <rFont val="Microsoft JhengHei"/>
        <b/>
        <color theme="1"/>
        <sz val="10.0"/>
      </rPr>
      <t xml:space="preserve">
PS: General drops are not included
(White and Blue quality drops)</t>
    </r>
  </si>
  <si>
    <t>Spielinhalte die Loot geben</t>
  </si>
  <si>
    <t>Einzigartige Beute
PS: Allgemeine Beute ist nicht enthalten
(Beute in Weißer und Blauer Qualität)</t>
  </si>
  <si>
    <t>Bemerkung</t>
  </si>
  <si>
    <t>Nguồn</t>
  </si>
  <si>
    <r>
      <rPr>
        <rFont val="Arial"/>
        <b/>
        <color theme="1"/>
        <sz val="11.0"/>
      </rPr>
      <t>Vật phẩm rơi đặc biệt</t>
    </r>
    <r>
      <rPr>
        <rFont val="Arial"/>
        <b/>
        <color theme="1"/>
        <sz val="11.0"/>
      </rPr>
      <t xml:space="preserve">
</t>
    </r>
    <r>
      <rPr>
        <rFont val="Arial"/>
        <b/>
        <color theme="1"/>
        <sz val="11.0"/>
      </rPr>
      <t>Ghi chú: Vật phẩm rơi bình thường không được bao gồm
(Vật phẩm rơi chất lượng Trắng và Xanh)</t>
    </r>
  </si>
  <si>
    <t>Lưu Ý</t>
  </si>
  <si>
    <t>香蕉妖精</t>
  </si>
  <si>
    <t>香蕉妖精/香蕉?</t>
  </si>
  <si>
    <t>Banana Fairy</t>
  </si>
  <si>
    <t>Banana Fairy/Banana?</t>
  </si>
  <si>
    <t>Bananenfee</t>
  </si>
  <si>
    <t>Bananenfee/Banane?</t>
  </si>
  <si>
    <t>Loot beim Töten</t>
  </si>
  <si>
    <t>Tiên Chuối</t>
  </si>
  <si>
    <t>Tiên Chuối/Chuối?</t>
  </si>
  <si>
    <t>蘋果妖精</t>
  </si>
  <si>
    <t>蘋果妖精/蘋果頭套</t>
  </si>
  <si>
    <t>Apple Fairy</t>
  </si>
  <si>
    <t>Apple Fairy/Apple Headband</t>
  </si>
  <si>
    <t>사과 요정</t>
  </si>
  <si>
    <t>사과 요정/사과 머리띠</t>
  </si>
  <si>
    <t>Apfelfee</t>
  </si>
  <si>
    <t>Apfelfee/Apfelkopfbedeckung</t>
  </si>
  <si>
    <t>Tiên Táo</t>
  </si>
  <si>
    <t>Tiên Chuối/Mũ Quả Táo</t>
  </si>
  <si>
    <t>貓咪史萊姆</t>
  </si>
  <si>
    <t>史萊姆的黏液/借來的貓爪/招財貓</t>
  </si>
  <si>
    <t>スライムの粘液/借りネコの手/招き猫</t>
  </si>
  <si>
    <t>Cat Slime</t>
  </si>
  <si>
    <t>Slime Mucus/Borrowed Neko Claws/Maneki Neko</t>
  </si>
  <si>
    <t>슬라임의 점액/고양이 손/복고양이</t>
  </si>
  <si>
    <t>Katzenschleim</t>
  </si>
  <si>
    <t>Schleimsekret/Geliehene Katzenkrallen/Glückskatze</t>
  </si>
  <si>
    <t>Slime Mèo</t>
  </si>
  <si>
    <t>Chất Nhầy Slime/Vuốt Mèo Vay Mượn/Mèo Thần Tài</t>
  </si>
  <si>
    <t>草食史萊姆</t>
  </si>
  <si>
    <t>斬裂劍提爾鋒/史萊姆的黏液/硬木棒/硬木劍</t>
  </si>
  <si>
    <t>斬裂剣ティルファング/スライムの粘液/硬木の棒/堅木の剣</t>
  </si>
  <si>
    <t>Herbivorous Slime</t>
  </si>
  <si>
    <t>Tyrfing/Hardwood Sword/Hardwood Stick/Slime Mucus</t>
  </si>
  <si>
    <t>풀 슬라임</t>
  </si>
  <si>
    <t>참열검 티르빙/슬라임의 점액/단단한 나무 막대기/목검</t>
  </si>
  <si>
    <t>Pflanzenfressender Schleim</t>
  </si>
  <si>
    <t>Tyrs-Schwert/Schleimsekret/Hartholzstock/Hartholzschwert</t>
  </si>
  <si>
    <t>Slime Ăn Cỏ</t>
  </si>
  <si>
    <t>Tyrfing/Gậy Gỗ/Kiếm Gỗ/Chất Nhầy Slime</t>
  </si>
  <si>
    <t>急凍史萊姆</t>
  </si>
  <si>
    <t>雪見/寒冰杖/魔力晶簇/史萊姆的黏液/塔羅牌</t>
  </si>
  <si>
    <t>急凍スライム</t>
  </si>
  <si>
    <t>雪見/魔晶石クラスター/スライムの粘液/タロットカード/寒冰の杖</t>
  </si>
  <si>
    <t>Frost Slime</t>
  </si>
  <si>
    <t>Snow Watch/Mana Crystal Cluster/Slime Mucus/Tarot Cards/Ice Staff</t>
  </si>
  <si>
    <t>얼음 슬라임</t>
  </si>
  <si>
    <t>설경/마나 수정체/얼음 지팡이/슬라임의 점액/타로 카드</t>
  </si>
  <si>
    <t>Frostschleim</t>
  </si>
  <si>
    <t>Schneewacht/Manakristallbündel/Schleimsekret/Tarot Cards/Eisstab</t>
  </si>
  <si>
    <t>Slime Đông Đá</t>
  </si>
  <si>
    <t>Tuyết Giám/Cụm Tinh Thạch Mana/Chất Nhầy Slime/Thẻ Tarot/Trượng Băng</t>
  </si>
  <si>
    <t>杰克史萊姆</t>
  </si>
  <si>
    <t>杰克爆彈/史萊姆的黏液/炸彈魔之魂</t>
  </si>
  <si>
    <t>ジャックボム/スライムの粘液/爆弾魔の魂</t>
  </si>
  <si>
    <t>Jack Slime</t>
  </si>
  <si>
    <t>Jack Bomb/Slime Mucus/Bomb Fiend's Soul/Volumen Salamandrae</t>
  </si>
  <si>
    <t>잭 폭탄/슬라임의 점액/폭탄마의 영혼</t>
  </si>
  <si>
    <t>Jackschleim</t>
  </si>
  <si>
    <t>Jack Bombe/Schleimsekret/Seele des Bombenteufels</t>
  </si>
  <si>
    <t>Slime Jack</t>
  </si>
  <si>
    <t>Jack Bomb/Chất Nhầy Slime/</t>
  </si>
  <si>
    <t>惡靈史萊姆</t>
  </si>
  <si>
    <t>來自地獄/史萊姆的黏液/墮落法師的手套/魔力晶簇/史萊姆的黏液</t>
  </si>
  <si>
    <t>悪霊スライム</t>
  </si>
  <si>
    <t>地獄より/スライムの粘液/堕魔法師の手袋/魔晶石クラスター</t>
  </si>
  <si>
    <t>Spectral Slime</t>
  </si>
  <si>
    <t>From Hell/Slime Mucus/Fallen Mage's Gloves/Mana Crystal Cluster</t>
  </si>
  <si>
    <t>악령 슬라임</t>
  </si>
  <si>
    <t>지옥에서 온/슬라임의 점액/타락한 마법사의 장갑/마나 수정체</t>
  </si>
  <si>
    <t>Spektralschleim</t>
  </si>
  <si>
    <t>Aus der Hölle/Schleimsekret/Handschuhe des Gefallenen Magiers/Manakristallbündel</t>
  </si>
  <si>
    <t>Slime Quang Phổ</t>
  </si>
  <si>
    <t>Địa Ngục Khởi Nguyên/Chất Nhầy Slime/Găng Tay Của Phù Thủy Sa Ngã/Cụm Tinh Thạch Mana</t>
  </si>
  <si>
    <t>嗶哩嗶哩史萊姆</t>
  </si>
  <si>
    <t>千鳥/史萊姆的黏液/塔羅牌</t>
  </si>
  <si>
    <t>千鳥/スライムの粘液/タロットカード</t>
  </si>
  <si>
    <t>Crackling Slime</t>
  </si>
  <si>
    <t>Chidori/Slime Mucus/Tarot Cards</t>
  </si>
  <si>
    <t>비리비리 슬라임</t>
  </si>
  <si>
    <t>치도리/슬라임의 점액/타로 카드</t>
  </si>
  <si>
    <t>Knisternder Schleim</t>
  </si>
  <si>
    <t>Tausend Vögel/Schleimsekret/Tarotkarten</t>
  </si>
  <si>
    <t>Slime Lách Tách</t>
  </si>
  <si>
    <t>Chidori/Chất Nhầy Slime/Thẻ Tarot</t>
  </si>
  <si>
    <t>初級獸人</t>
  </si>
  <si>
    <t>小獸肉/大獸肉/獸人的骨釜</t>
  </si>
  <si>
    <t>初級オーク</t>
  </si>
  <si>
    <t>小さい獣肉/大きい獣肉/オークの背斧</t>
  </si>
  <si>
    <t>Low Orc</t>
  </si>
  <si>
    <t>Small Beast Meat/Large Beast Meat/Orc's Boneaxe</t>
  </si>
  <si>
    <t>小兽肉/大兽肉/兽人的骨斧</t>
  </si>
  <si>
    <t>미성숙한 오크</t>
  </si>
  <si>
    <t>작은 짐승고기/큰 짐승고기/오크의 뼈 도끼</t>
  </si>
  <si>
    <t>Niedriger Ork</t>
  </si>
  <si>
    <t>Kleines Tierfleisch/Großes Tierfleisch/Orkknochenaxt</t>
  </si>
  <si>
    <t xml:space="preserve">Orc Thấp </t>
  </si>
  <si>
    <t>Thịt Quái Vậy Nhỏ/Thịt Quái Vật Lớn/Rìu Xương Orc</t>
  </si>
  <si>
    <t>怪鳥</t>
  </si>
  <si>
    <t>雞腿/怪鳥的羽毛</t>
  </si>
  <si>
    <t>鳥足肉/怪鳥の羽</t>
  </si>
  <si>
    <t>Weird Bird</t>
  </si>
  <si>
    <t>Bird Leg Meat/Strange Bird Feather</t>
  </si>
  <si>
    <t>괴조</t>
  </si>
  <si>
    <t>닭다리/괴조의 깃털</t>
  </si>
  <si>
    <t>Seltsamer Vogel</t>
  </si>
  <si>
    <t>Vogelschenkelfleisch/Feder des seltsamen Vogels</t>
  </si>
  <si>
    <t>Chim Kỳ Lạ</t>
  </si>
  <si>
    <t>Thịt Đùi Chim/Lông Vũ Kì Lạ</t>
  </si>
  <si>
    <t>走路菇</t>
  </si>
  <si>
    <t>走路菇/毒孢針</t>
  </si>
  <si>
    <t>歩き茸</t>
  </si>
  <si>
    <t>歩きキノコ/毒胞の針</t>
  </si>
  <si>
    <t>Walking Mushroom</t>
  </si>
  <si>
    <t>Walking Mushroom/Toxic Spore Blade</t>
  </si>
  <si>
    <t>Wandernder Pilz</t>
  </si>
  <si>
    <t>Laufender Pilz/Giftsporenklinge</t>
  </si>
  <si>
    <t>Nấm Di Động</t>
  </si>
  <si>
    <t>Nấm Di Động/Kiếm Bào Tử Độc</t>
  </si>
  <si>
    <t>水怪</t>
  </si>
  <si>
    <t>水怪黏液/魔力晶簇/精神凝聚頭環/潮汐之詩</t>
  </si>
  <si>
    <t>水怪の粘液/魔晶クラスター/精神凝縮のカチューシャ</t>
  </si>
  <si>
    <t>WaterWeird</t>
  </si>
  <si>
    <t>WaterWeird Mucus/Mana Crystal Cluster/Focus Circlet/Poem of the Tides</t>
  </si>
  <si>
    <t>수괴</t>
  </si>
  <si>
    <t>수괴의 점액/마력 수정체/정신 집중 머리띠</t>
  </si>
  <si>
    <t>Wassergeist</t>
  </si>
  <si>
    <t>Wässriges Schleimsekret/Manakristallbündel/Fokusreif</t>
  </si>
  <si>
    <t>Thủy Linh</t>
  </si>
  <si>
    <t>Chất Nhầy Thủy Linh/Cụm Tinh Thạch Mana/Vòng Tập Trung/Khúc Ca Của Tydewyrm</t>
  </si>
  <si>
    <t>小紅怪</t>
  </si>
  <si>
    <t>來自地獄/受詛胎體/塔羅牌</t>
  </si>
  <si>
    <t>赤き幼獣</t>
  </si>
  <si>
    <t>地獄より/呪われた胎児/タロットカード</t>
  </si>
  <si>
    <t>Red Cub</t>
  </si>
  <si>
    <t>From Hell/Cursed Fetus/Tarot Cards</t>
  </si>
  <si>
    <t>새빨간 어린 짐승</t>
  </si>
  <si>
    <t>지옥으로부터/저주받은 태아/타로 카드</t>
  </si>
  <si>
    <t>Rotes junges Biest</t>
  </si>
  <si>
    <t>Aus der Hölle/ Verfluchter Fötus/Tarotkarten</t>
  </si>
  <si>
    <t>Gấu Đỏ</t>
  </si>
  <si>
    <t>Địa Ngục Khởi Nguyên/Bào Thai Bị Nguyền Rủa/Thẻ Tarot</t>
  </si>
  <si>
    <t>石中劍</t>
  </si>
  <si>
    <t>騎士劍</t>
  </si>
  <si>
    <t>突き立てられた剣</t>
  </si>
  <si>
    <t>Sword in the Stone</t>
  </si>
  <si>
    <t>Knight's Sword</t>
  </si>
  <si>
    <t>땅속에 박힌 검</t>
  </si>
  <si>
    <t>기사의 검</t>
  </si>
  <si>
    <t>Schwert im Stein</t>
  </si>
  <si>
    <t>Ritterschwert</t>
  </si>
  <si>
    <t>Loot beim zerstören</t>
  </si>
  <si>
    <t>Kiếm Trong Đá</t>
  </si>
  <si>
    <t>Kiếm Hiệp Sĩ</t>
  </si>
  <si>
    <t>很大的蛋</t>
  </si>
  <si>
    <t>於遺跡底層撿取(不可以打破)</t>
  </si>
  <si>
    <t>遺跡の深層から拾うことが出来る</t>
  </si>
  <si>
    <t>A Large Egg</t>
  </si>
  <si>
    <t>Must be picked up in the third level of the ruins (Not destroyed)</t>
  </si>
  <si>
    <t>커다란 알</t>
  </si>
  <si>
    <t>유적의 3층에서 주울 수 있습니다.</t>
  </si>
  <si>
    <t>Sehr großes Ei</t>
  </si>
  <si>
    <t>Ein großes Ei</t>
  </si>
  <si>
    <t>Kann im untergrund aufgesammelt werden, indem man in die Eier reinläuft</t>
  </si>
  <si>
    <t>Quả Trứng Lớn</t>
  </si>
  <si>
    <t>Phải được nhặt lên ở tầng thứ ba của tàn tích 
(Không bị phá hủy)</t>
  </si>
  <si>
    <t>迷霧森林菇類</t>
  </si>
  <si>
    <t>香菇</t>
  </si>
  <si>
    <t>於前往迷霧森林的通道中撿取</t>
  </si>
  <si>
    <t>森に生えたキノコ</t>
  </si>
  <si>
    <t>捨てられた森から拾うことが出来る</t>
  </si>
  <si>
    <t>Abandoned Forest Mushrooms</t>
  </si>
  <si>
    <t>Mushroom</t>
  </si>
  <si>
    <t>Can be picked up in the trails of the Abandoned Forest</t>
  </si>
  <si>
    <t>숲에 자라난 버섯</t>
  </si>
  <si>
    <t>버려진 숲에서 주울 수 있습니다.</t>
  </si>
  <si>
    <t>Pilze des Verlassenen Waldes</t>
  </si>
  <si>
    <t>Pils</t>
  </si>
  <si>
    <t>Im Verlassen Wald</t>
  </si>
  <si>
    <t>Nấm Khu Rừng Bỏ Hoang</t>
  </si>
  <si>
    <t>Nấm</t>
  </si>
  <si>
    <t>Có thể được nhặt ở con đường mòn trong Khu Rừng Bỏ Hoang</t>
  </si>
  <si>
    <t>遺跡菇類</t>
  </si>
  <si>
    <t>香菇/平菇/蟹味菇/月夜茸</t>
  </si>
  <si>
    <t>於遺跡打地面上的蘑菇</t>
  </si>
  <si>
    <t>遺跡に生えたキノコ</t>
  </si>
  <si>
    <t>遺跡の地面にあるキノコを攻撃する</t>
  </si>
  <si>
    <t>Abyss Mushrooms</t>
  </si>
  <si>
    <t>Shiitake/Beech Mushroom/Lilac Mushroom/Oyster Mushroom/Moonlight Mushroom</t>
  </si>
  <si>
    <t>Hit the mushrooms on the ground in the ruins</t>
  </si>
  <si>
    <t>유적에 자라난 버섯</t>
  </si>
  <si>
    <t>표고버섯/느타리버섯/시메지버섯/달빛버섯</t>
  </si>
  <si>
    <t>유적의 지면에 있는 버섯을 공격하면 얻을 수 있습니다.</t>
  </si>
  <si>
    <t>Pilz des Abgrunds</t>
  </si>
  <si>
    <t>Shiitake/Buchenpilz/Fliederpilz/Austernpilz/Mondlichtpilz</t>
  </si>
  <si>
    <t>Im Abgrund - draufschlagen</t>
  </si>
  <si>
    <t>Nấm Vực Sâu</t>
  </si>
  <si>
    <t>Nấm Hương/Nấm Ngọc Châm/Nấm Lilac/Nấm Bào Ngư/Nấm Ánh Trăng</t>
  </si>
  <si>
    <t>Tấn công những ngọn nấm trên mặt đất trong tàn tích</t>
  </si>
  <si>
    <t>紅花</t>
  </si>
  <si>
    <t>火鳥的羽毛</t>
  </si>
  <si>
    <t>於遺跡打地面上的紅花</t>
  </si>
  <si>
    <t>赤い花</t>
  </si>
  <si>
    <t>遺跡の地面に咲いてる赤い花からドロップする</t>
  </si>
  <si>
    <t>Safflower</t>
  </si>
  <si>
    <t>Feather of Firebird</t>
  </si>
  <si>
    <t>Hit the red flowers on the ground in the ruins</t>
  </si>
  <si>
    <t>붉은 꽃</t>
  </si>
  <si>
    <t>불새의 깃털</t>
  </si>
  <si>
    <t>유적의 지면에 피어있는 붉은 꽃에서 얻을 수 있습니다.</t>
  </si>
  <si>
    <t>Färberdistel</t>
  </si>
  <si>
    <t>Feder des Feuervogels</t>
  </si>
  <si>
    <t>Rote Blumen im Abgrund - draufschlagen</t>
  </si>
  <si>
    <t>Hoa Rum</t>
  </si>
  <si>
    <t>Lông Vũ Hỏa Điểu</t>
  </si>
  <si>
    <t>Tấn công những bông hoa đỏ trên mặt đất trong tàn tích</t>
  </si>
  <si>
    <t>場景物件</t>
  </si>
  <si>
    <t>白色品質裝備/藍色品質裝備/塔羅牌/通用型道具</t>
  </si>
  <si>
    <t>遺跡陶瓶、木桶、墓碑、石板</t>
  </si>
  <si>
    <t>壺.樽</t>
  </si>
  <si>
    <t>Objects</t>
  </si>
  <si>
    <t>White Grade Equipment/Blue Grade Equipment/Tarot Cards/Universal Items</t>
  </si>
  <si>
    <t>Abyss: Jars, Barrels, Tombstones, Stone Slabs, Cracked Eggs</t>
  </si>
  <si>
    <t>오브젝트</t>
  </si>
  <si>
    <t>흰색 등급 장비/파란색 등급 장비/타로 카드/범용 아이템</t>
  </si>
  <si>
    <t>파괴가능 : 점토 항아리, 나무 통, 묘비, 석판</t>
  </si>
  <si>
    <t>Umgebungsobjekt</t>
  </si>
  <si>
    <t>Weiße Karte/Blaue Karte/Tarotkarten/Universal Items</t>
  </si>
  <si>
    <t>Zerstöre: Tongefäße, Holzfässer, Grabsteine, Steinplatten</t>
  </si>
  <si>
    <t>Vật thể</t>
  </si>
  <si>
    <t>Nâng Cấp Trang Bị Hạng Trắng/Nâng Cấp Trang Bị Hạng Xanh/Thẻ Tarot/Vật phẩm phổ quát</t>
  </si>
  <si>
    <t>Vực Sâu: Lọ, Bình, Bia Mộ, Phiến Đá, Trứng Vỡ</t>
  </si>
  <si>
    <t>炸水面</t>
  </si>
  <si>
    <t>金槍魚/條石鯛/秋刀魚/鯛魚/章魚觸手/甜蝦/大龍蝦/毛蟹/鮭魚/帝王鮭/巨大蟹鉗/綠龜殼</t>
  </si>
  <si>
    <t>使用炸彈炸水面
透過餵食扭蛋機不良食品一次炸大量</t>
  </si>
  <si>
    <t>水面</t>
  </si>
  <si>
    <t>爆弾を使って水面を爆破する
ガシャポンマシンにゴミを与えて、一度に大量の爆弾をばら撒いて乱獲できる</t>
  </si>
  <si>
    <t>Dynamite Fishing</t>
  </si>
  <si>
    <t xml:space="preserve">
Tuna/Striped Beakfish/Sea Bream/Spiny Lobster/Sweet Shrimp/Grouper/Hairy Crab/Pacific Saury/Salmon/King Salmon</t>
  </si>
  <si>
    <t>Throw bombs to water.
Feed the Gacha machine some bad food so it will dispose bombs</t>
  </si>
  <si>
    <t>폭탄 낚시</t>
  </si>
  <si>
    <t>참치/줄무늬도미/꽁치/도미/문어 다리/단새우/랍스터/털게/연어/왕연어/게다리</t>
  </si>
  <si>
    <t>폭탄을 강에 던져 물고기 획득이 가능합니다. 가챠 머신에 쓰레기를 주면 더 많은 폭탄을 획득할 수 있고 그 폭탄들로 더 많은 물고기를 포획할 수 있습니다.</t>
  </si>
  <si>
    <t>Bombardiertes Wasser</t>
  </si>
  <si>
    <t>Thunfisch/Gestreifter Schnabelbarsch/Meerbrasse/Languste/Süßgarnele/Zackenbarsch/Haarige Krabbe/Pazifischer Makrelenhecht/Lachs/Königslachs</t>
  </si>
  <si>
    <t>Benutze Bomben auf die Wasseroberfläche - um so verschiedene Fische zu fangen</t>
  </si>
  <si>
    <t>Bắt cá bằng bom</t>
  </si>
  <si>
    <t>Cá ngừ/Cá Mỏ Sọc/Cá Tráp/Tôm Hùm Gai/Tôm Ngọt/Cá Mú/Cua Lông/Cá thu Đao/Cá Hồi/Cá Hồi Vua</t>
  </si>
  <si>
    <t>Ném bom vào trong nước
Cho máy gacha vài đồ ăn dở để nó nhả ra bom</t>
  </si>
  <si>
    <t>惡魔貓</t>
  </si>
  <si>
    <t>星月夜/招財貓/塔羅牌</t>
  </si>
  <si>
    <t>デビルネコ</t>
  </si>
  <si>
    <t>Demon Cat</t>
  </si>
  <si>
    <t>Starlit Night/Tarot Cards/Maneki Neko</t>
  </si>
  <si>
    <t>별이 빛나는 밤/복고양이/타로 카드</t>
  </si>
  <si>
    <t>Dämonenkatze</t>
  </si>
  <si>
    <t>Sternenklare Nacht/Glückskatze/Tarotkarten</t>
  </si>
  <si>
    <t>Mèo Quỷ</t>
  </si>
  <si>
    <t>Đại Kiếm Ánh Ngân/Thẻ Tarot/Mèo Thần Tài</t>
  </si>
  <si>
    <t>怨靈</t>
  </si>
  <si>
    <t>墮落法師的手套/塔羅牌</t>
  </si>
  <si>
    <t>Spirit of Resentment</t>
  </si>
  <si>
    <t>Fallen Mage's Gloves/Tarot Cards</t>
  </si>
  <si>
    <t>원령</t>
  </si>
  <si>
    <t>Geist des Grolls</t>
  </si>
  <si>
    <t>Handschuhe des gefallenen Magiers/Tarotkarten</t>
  </si>
  <si>
    <t>Linh Hồn Của Oán Giận</t>
  </si>
  <si>
    <t>Găng Tay Của Phù Thủy Sa Ngã/Thẻ Tarot</t>
  </si>
  <si>
    <t>喪屍</t>
  </si>
  <si>
    <t>垃圾/臭魚骨/毒蛇之擁</t>
  </si>
  <si>
    <t>Zombie</t>
  </si>
  <si>
    <t>Junk/Rotten Fishbone/Venomous Embrace</t>
  </si>
  <si>
    <t>쓰레기/냄새나는 생선 뼈/독사의 포옹</t>
  </si>
  <si>
    <t>Zombies</t>
  </si>
  <si>
    <t>Abfall/Verfaulter Fischknochen/Giftige Umarmung</t>
  </si>
  <si>
    <t>Rác/Xương Cá Thối/Vòng Quay Độc Tử</t>
  </si>
  <si>
    <t>女僕兔</t>
  </si>
  <si>
    <t>萌萌兔耳/女僕制服/高額金幣</t>
  </si>
  <si>
    <t>メイドバニー</t>
  </si>
  <si>
    <t>モエモエバニーイヤー/メイド服/高額なお金</t>
  </si>
  <si>
    <t>Moe Bunny Ears/Maid Uniform/Money</t>
  </si>
  <si>
    <t>귀여운 토끼 귀/메이드복/고액의 돈</t>
  </si>
  <si>
    <t>Dienstmädchen Kaninchen</t>
  </si>
  <si>
    <t>Süße Hasenohren/Dienstmädchen Uniform/Geld</t>
  </si>
  <si>
    <t>Besiege sie für Loot</t>
  </si>
  <si>
    <t>Thỏ Hầu Gái</t>
  </si>
  <si>
    <t>Tai Thỏ Moe/Đồng Phục Hầu Gái/Tiền</t>
  </si>
  <si>
    <t>果樹</t>
  </si>
  <si>
    <t>蘋果/硬木棒/硬木劍/柳葉刀/古樹殘骸</t>
  </si>
  <si>
    <t>Apple Trees</t>
  </si>
  <si>
    <t>Apple/Hardwood Stick/Hardwood Sword/Willow Leaf/Old Tree Remnants</t>
  </si>
  <si>
    <t>사과나무</t>
  </si>
  <si>
    <t>사과/단단한 나무 막대기/목검/버드나무 잎/고목의 잔해</t>
  </si>
  <si>
    <t>Apfelbaum</t>
  </si>
  <si>
    <t>Apfel/Hartholzstab/Hartholzschwert/Weidenblatt/Uralter Baumrest</t>
  </si>
  <si>
    <t>Zerstöre den Baum oder triff die Apfel im richtigen Winkel</t>
  </si>
  <si>
    <t>Cây Táo</t>
  </si>
  <si>
    <t>Táo/Gậy Gỗ/Kiếm Gỗ/Đại Kiếm Lá Liễu/Nhánh Cây Cổ Đại</t>
  </si>
  <si>
    <t>礦石</t>
  </si>
  <si>
    <t>蘋果頭套/藍輝石/魔力小凝膠/深邃魔力晶簇</t>
  </si>
  <si>
    <t>Ores</t>
  </si>
  <si>
    <t>Apple Headgear/Blue Radiant Stone/Small Mana Gel/Abyssal Mana Cluster</t>
  </si>
  <si>
    <t>심연의 마력 수정체/사과 머리띠/푸른 휘석/작은 마나 젤</t>
  </si>
  <si>
    <t>Erze</t>
  </si>
  <si>
    <t>Apfelkopfbedeckung/Blau strahlender Stein/Kleines Managel/Abgründiges Manabündel</t>
  </si>
  <si>
    <t>Draufhauen  Draufhauen Draufhauen</t>
  </si>
  <si>
    <t>Mỏ</t>
  </si>
  <si>
    <t>Mũ Táo/Tinh Thạch Phát Sáng/Gel Năng Lượng Nhỏ/Cụm Mana Vực Thẳm</t>
  </si>
  <si>
    <t>礦石史萊姆</t>
  </si>
  <si>
    <t>深邃魔力晶簇/史萊姆的黏液/通用型道具</t>
  </si>
  <si>
    <t>Ore Slime</t>
  </si>
  <si>
    <t>Abyssal Mana Cluster/Slime Mucus/Universal Items</t>
  </si>
  <si>
    <t>심연의 마력 수정체/슬라임의 점액/범용 아이템</t>
  </si>
  <si>
    <t>Erzschleim</t>
  </si>
  <si>
    <t>Abgründiges Manabündel/Schleimsekret/Universal Items</t>
  </si>
  <si>
    <t>Slime Mỏ</t>
  </si>
  <si>
    <t>Cụm Mana Vực Thẳm/Chất Nhầy Slime/Vật phẩm phổ quát</t>
  </si>
  <si>
    <t>狂亂的紅獸</t>
  </si>
  <si>
    <t>寄壞劍/不幸的誕生/天上之石碎片</t>
  </si>
  <si>
    <t>遺跡BOSS 
弱點：毒</t>
  </si>
  <si>
    <t>寄懐剣/不幸な誕生/天上の石の欠片</t>
  </si>
  <si>
    <t>遺跡深層BOSS
弱点：中毒</t>
  </si>
  <si>
    <t>Frenzied Crimson Beast</t>
  </si>
  <si>
    <t>Infested Blade/Blood Hunt/Birth of Misfortune/Philosopher's Stone Fragment</t>
  </si>
  <si>
    <t>Abyss BOSS
Weak to Poison</t>
  </si>
  <si>
    <t>기괴한 검/불행한 탄생/천상의 돌 조각</t>
  </si>
  <si>
    <t xml:space="preserve">
유적 BOSS
약점 : 독
</t>
  </si>
  <si>
    <t>Rasendes purpurrotes Biest</t>
  </si>
  <si>
    <t>Geburt des Unheils/Fragment des Steins der Weisen/Aus der Hölle</t>
  </si>
  <si>
    <t>Abgrund-BOSS
Schwach gegen Gift</t>
  </si>
  <si>
    <t>Cuồng Huyết Xích Liệt</t>
  </si>
  <si>
    <t>Kiếm Ô Uế/Huyết Liệt/Khởi Nguyên Của Tai Ương/Mảnh Đá Hiền Triết</t>
  </si>
  <si>
    <t>BOSS Vực Sâu
Yếu với Độc</t>
  </si>
  <si>
    <t>草莓苗</t>
  </si>
  <si>
    <t>草莓</t>
  </si>
  <si>
    <t>Strawberry Seeds</t>
  </si>
  <si>
    <t>Strawberry</t>
  </si>
  <si>
    <t>딸기 모종</t>
  </si>
  <si>
    <t>Erdbeerpflanze</t>
  </si>
  <si>
    <t>Erdbeeren</t>
  </si>
  <si>
    <t>Loot beim hinübergehen</t>
  </si>
  <si>
    <t>Hạt Dâu Tây</t>
  </si>
  <si>
    <t>Dâu Tây</t>
  </si>
  <si>
    <t>土豆苗</t>
  </si>
  <si>
    <t>土豆</t>
  </si>
  <si>
    <t>Potato Seeds</t>
  </si>
  <si>
    <t>Potato</t>
  </si>
  <si>
    <t>감자 모종</t>
  </si>
  <si>
    <t>Katoffelpflanze</t>
  </si>
  <si>
    <t>Kartoffel</t>
  </si>
  <si>
    <t>Hạt Khoai Tây</t>
  </si>
  <si>
    <t>Khoai Tây</t>
  </si>
  <si>
    <t>番茄苗</t>
  </si>
  <si>
    <t>番茄</t>
  </si>
  <si>
    <t>Tomato Seeds</t>
  </si>
  <si>
    <t>Tomato</t>
  </si>
  <si>
    <t>Tomatenpflanze</t>
  </si>
  <si>
    <t>Tomaten</t>
  </si>
  <si>
    <t>Hạt Cà Chua</t>
  </si>
  <si>
    <t>Cà Chua</t>
  </si>
  <si>
    <t>辣椒苗</t>
  </si>
  <si>
    <t>辣椒</t>
  </si>
  <si>
    <t>Chili Seeds</t>
  </si>
  <si>
    <t>Chili</t>
  </si>
  <si>
    <t>Chilischotenpflanze</t>
  </si>
  <si>
    <t>Chilischoten</t>
  </si>
  <si>
    <t>Hạt Ớt</t>
  </si>
  <si>
    <t>Ớt</t>
  </si>
  <si>
    <t>角兔</t>
  </si>
  <si>
    <t>獸肉</t>
  </si>
  <si>
    <t>小さいお肉</t>
  </si>
  <si>
    <t>Horned Rabbit</t>
  </si>
  <si>
    <t>Small Beast Meat</t>
  </si>
  <si>
    <t>재카로프</t>
  </si>
  <si>
    <t>작은 짐승고기</t>
  </si>
  <si>
    <t>Gehörnter Hase</t>
  </si>
  <si>
    <t>Kleines stück Wildfleisch</t>
  </si>
  <si>
    <t>Thỏ Sừng</t>
  </si>
  <si>
    <t>Thịt Quái Vật Nhỏ</t>
  </si>
  <si>
    <t>稻草人的心</t>
  </si>
  <si>
    <t>傷害測試</t>
  </si>
  <si>
    <t>カカシの心</t>
  </si>
  <si>
    <t>DPSチェックできる</t>
  </si>
  <si>
    <t>Scarecrow's Heart</t>
  </si>
  <si>
    <t>Test Dummy</t>
  </si>
  <si>
    <t>허수아비의 마음</t>
  </si>
  <si>
    <t>데미지 체크 가능</t>
  </si>
  <si>
    <t>Vogelscheuchenherz</t>
  </si>
  <si>
    <t>Testpuppe</t>
  </si>
  <si>
    <t>Trái Tim Bù Nhìn</t>
  </si>
  <si>
    <t>Hình nộm thử nghiệm</t>
  </si>
  <si>
    <t>淺羽</t>
  </si>
  <si>
    <t>貓爪</t>
  </si>
  <si>
    <t>貓娘商店車
弱點：雷</t>
  </si>
  <si>
    <t>ネコグローブ</t>
  </si>
  <si>
    <t>猫娘の宅配車
弱点：雷属性</t>
  </si>
  <si>
    <t>Asaba</t>
  </si>
  <si>
    <t>Neko Punch</t>
  </si>
  <si>
    <t>Cat girl shop owner summoned by Chariot
Weak to Lightning</t>
  </si>
  <si>
    <t>고양이 장갑</t>
  </si>
  <si>
    <t>고양이 소녀의 노점
 약점 : 뇌속성</t>
  </si>
  <si>
    <t>Katzenhandschuhe</t>
  </si>
  <si>
    <t>Katzenmädchen im Wagen
Schwach gegen Blitz</t>
  </si>
  <si>
    <t>Nấm Đấm Neko</t>
  </si>
  <si>
    <t>Chủ cửa hàng cô gái mèo 
Xuất hiện bởi Chariot
Yếu với Sét</t>
  </si>
  <si>
    <t>火焰妖精</t>
  </si>
  <si>
    <t>熔岩杖</t>
  </si>
  <si>
    <t>フレイムピクシー</t>
  </si>
  <si>
    <t>溶岩の杖</t>
  </si>
  <si>
    <t>Flame Fairy</t>
  </si>
  <si>
    <t>Lava Staff</t>
  </si>
  <si>
    <t>용암 지팡이</t>
  </si>
  <si>
    <t>Flammenfee</t>
  </si>
  <si>
    <t>Lavastab</t>
  </si>
  <si>
    <t>Tiên Lửa</t>
  </si>
  <si>
    <t xml:space="preserve">Trượng Dung Nham </t>
  </si>
  <si>
    <t>燃燒史萊姆</t>
  </si>
  <si>
    <t>熔岩戒指</t>
  </si>
  <si>
    <t>バーニングスライム</t>
  </si>
  <si>
    <t>溶岩の指輪</t>
  </si>
  <si>
    <t>Burning Slime</t>
  </si>
  <si>
    <t>Lava Ring</t>
  </si>
  <si>
    <t>용암 반지</t>
  </si>
  <si>
    <t>Brennender Schleim</t>
  </si>
  <si>
    <t>Lavaring</t>
  </si>
  <si>
    <t>Slime Cháy</t>
  </si>
  <si>
    <t>Nhẫn Dung Nham</t>
  </si>
  <si>
    <t>炎魔</t>
  </si>
  <si>
    <t>熔岩杖/陽炎</t>
  </si>
  <si>
    <t xml:space="preserve">
溶岩の杖
陽炎</t>
  </si>
  <si>
    <t>Balrog</t>
  </si>
  <si>
    <t>Lava Staff / Sunflare</t>
  </si>
  <si>
    <t>Lavastab/Sonnenflamme</t>
  </si>
  <si>
    <t>Trượng Dung Nham/Nhật Luân</t>
  </si>
  <si>
    <t>墮落法師的斷手</t>
  </si>
  <si>
    <t>謝里斯的詛咒之手/紅髓玉吊墜</t>
  </si>
  <si>
    <t>紅髓玉吊墜是特殊掉落，需要擊殺10隻以上才有可能掉落。</t>
  </si>
  <si>
    <t>堕落した法師の切断された手</t>
  </si>
  <si>
    <t>ゼリスの呪われた手</t>
  </si>
  <si>
    <t>Severed Hand of the Fallen Mage</t>
  </si>
  <si>
    <t>Xerise's Cursed Hand/Rubrum Pendant</t>
  </si>
  <si>
    <t>*Rubrum Pendant is a special drop and will only start dropping after you've killed more than 10 Severed Hands</t>
  </si>
  <si>
    <t>Abgetrennte Hand des Gefallenen Magiers</t>
  </si>
  <si>
    <t>Lässt "Xerises verfluchte Hand" fallen.</t>
  </si>
  <si>
    <t>Bàn Tay Bị Cắt Đứt Của Phù Thủy Sa Ngã</t>
  </si>
  <si>
    <t>Bàn Tay Bị Nguyền Của Xerise/Mặt Dây Chuyển Rubrum</t>
  </si>
  <si>
    <t>*Mặt Dây Chuyển Rubrum là một vật phẩm rơi đặc biệt và chỉ rơi sau khi bạn đã giết nhiều hơn 10 Cánh Tay Bị Cắt Đứt</t>
  </si>
  <si>
    <t>ASABA</t>
  </si>
  <si>
    <t>ASAB的草莓</t>
  </si>
  <si>
    <t>淺羽Doro，會吃掉路邊的草莓</t>
  </si>
  <si>
    <t>ASABのいちご</t>
  </si>
  <si>
    <t>浅羽ドロは道端のイチゴを食べる</t>
  </si>
  <si>
    <t>Asaba's Strawberry</t>
  </si>
  <si>
    <t>Asaba Doro will occassionally eat strawberries around the sidewalks.</t>
  </si>
  <si>
    <t>ASABA Erdbeere</t>
  </si>
  <si>
    <t>Asaba Doro frisst gelegentlich Erdbeeren am Straßenrand.</t>
  </si>
  <si>
    <t>ASABA Cuồng Nộ</t>
  </si>
  <si>
    <t>Dâu Tây Của ASABA</t>
  </si>
  <si>
    <t>Asaba Doro sẽ thỉnh thoảng ăn dâu tây ở ven đường</t>
  </si>
  <si>
    <t>狂暴的ASABA</t>
  </si>
  <si>
    <t>ASAB的草莓.把草莓奪回來！!</t>
  </si>
  <si>
    <t>BOSS</t>
  </si>
  <si>
    <t>マニックASABA</t>
  </si>
  <si>
    <t>ASABのいちご.把草莓奪回來！!</t>
  </si>
  <si>
    <t>Raging ASABA</t>
  </si>
  <si>
    <t>Asaba's Strawberry, Ichigo Wo Torimodose!!</t>
  </si>
  <si>
    <t>ASABA Erdbeere.把草莓奪回來！!</t>
  </si>
  <si>
    <t>Dâu Tây Của ASABA/Giành Lại TÌnh Yêu!!</t>
  </si>
  <si>
    <t>箱庭的白兔</t>
  </si>
  <si>
    <t>胡蘿蔔大劍/胡蘿蔔</t>
  </si>
  <si>
    <t>箱庭の白うさぎ</t>
  </si>
  <si>
    <t>にんじんの大剣
にんじん</t>
  </si>
  <si>
    <t>White Rabbit Beyond Wonderland</t>
  </si>
  <si>
    <t>Carrot Greatsword
Carrot
Frozen Carrot Greatsword</t>
  </si>
  <si>
    <t xml:space="preserve">BOSS </t>
  </si>
  <si>
    <t>Weiße Kaninchen des Miniaturgartens</t>
  </si>
  <si>
    <t>Riesenkarottenschwert/Karotte</t>
  </si>
  <si>
    <t>Thỏ Trắng Ngoài Xứ Sở Thần Tiên</t>
  </si>
  <si>
    <t>Đại Kiếm Cà Rốt
Cà Rốt</t>
  </si>
  <si>
    <t>邪惡斗篷</t>
  </si>
  <si>
    <t>來自地獄/夜霧幻影/調皮的杰克</t>
  </si>
  <si>
    <t>邪悪なマント</t>
  </si>
  <si>
    <t>地獄より/夜霧の幻影/生意気なジャッキー</t>
  </si>
  <si>
    <t>Evil Cloak</t>
  </si>
  <si>
    <t>From Hell/Misty Night Phantom/Saucy Jacky</t>
  </si>
  <si>
    <t>Böser Umhang</t>
  </si>
  <si>
    <t>Aus der Hölle / Nachtnebelphantom / Frecher Jack</t>
  </si>
  <si>
    <t>Áo Choàng Ác</t>
  </si>
  <si>
    <t>Địa Ngục Khởi Nguyên/Vũ Dạ Huyễn Ảnh/Jacky Láu Cá</t>
  </si>
  <si>
    <t>薩卡班甲魚(小)</t>
  </si>
  <si>
    <t>◉▽◉(藍色)</t>
  </si>
  <si>
    <t>使用炸彈炸水面</t>
  </si>
  <si>
    <t>サカバンバスピス(小)</t>
  </si>
  <si>
    <t>◉▽◉(青)</t>
  </si>
  <si>
    <t>爆弾を使って水面を爆破する</t>
  </si>
  <si>
    <t>Sacambaspis (Small)</t>
  </si>
  <si>
    <t>◉▽◉ (Blue)</t>
  </si>
  <si>
    <t>Throw bombs in water</t>
  </si>
  <si>
    <t>Saccabania Schildkröte (klein)</t>
  </si>
  <si>
    <t>◉▽◉(blau)</t>
  </si>
  <si>
    <t>Mit Bomben die Wasseroberfläche sprengen.</t>
  </si>
  <si>
    <t>Sacambaspis (Nhỏ)</t>
  </si>
  <si>
    <t>◉▽◉ (Xanh)</t>
  </si>
  <si>
    <t>Ném bom vào nước</t>
  </si>
  <si>
    <t>薩卡班甲魚(大)</t>
  </si>
  <si>
    <t>◉▽◉(紫色)</t>
  </si>
  <si>
    <t>サカバンバスピス(大)</t>
  </si>
  <si>
    <t>◉▽◉(紫)</t>
  </si>
  <si>
    <t>Sacambaspis (Large)</t>
  </si>
  <si>
    <t>◉▽◉ (Purple)</t>
  </si>
  <si>
    <t>Saccabania Schildkröte (groß)</t>
  </si>
  <si>
    <t>◉▽◉(lila)</t>
  </si>
  <si>
    <t>Sacambaspis (Lớn)</t>
  </si>
  <si>
    <t>◉▽◉ (Tím)</t>
  </si>
  <si>
    <t>應該已經滅絕的河之主!?</t>
  </si>
  <si>
    <t>◉▽◉(粉色)/王權之令</t>
  </si>
  <si>
    <t>BOSS
弱點：雷</t>
  </si>
  <si>
    <t>川の領主 - 絶滅してなかったか！？</t>
  </si>
  <si>
    <t>◉▽◉(ピンク)/王権征令</t>
  </si>
  <si>
    <t xml:space="preserve">
BOSS
弱点：雷
</t>
  </si>
  <si>
    <t>The River Lord - Wasn't it extinct!?</t>
  </si>
  <si>
    <t>Royal Decree, ◉▽◉ (Pink)</t>
  </si>
  <si>
    <t>BOSS
Weak to Lightning</t>
  </si>
  <si>
    <t>Der eig. längst ausgestorbene Herr des Flusses!?</t>
  </si>
  <si>
    <t>◉▽◉(pink) / Herrschaftsdekret</t>
  </si>
  <si>
    <t>BOSS
Schwäche: Blitz</t>
  </si>
  <si>
    <t>Chúa tể Sông - Không phải nó đã tuyệt chủng rồi sao!?</t>
  </si>
  <si>
    <t>Sắc Lệnh Hoàng Gia, ◉▽◉ (Hồng)</t>
  </si>
  <si>
    <t>BOSS
Yếu với Sét</t>
  </si>
  <si>
    <t>武器項目</t>
  </si>
  <si>
    <t>武器屬性</t>
  </si>
  <si>
    <t>Weapon</t>
  </si>
  <si>
    <t>Effects</t>
  </si>
  <si>
    <t>Waffen</t>
  </si>
  <si>
    <t>Effekte</t>
  </si>
  <si>
    <t>Vũ khí</t>
  </si>
  <si>
    <t>Hiệu ứng</t>
  </si>
  <si>
    <t>握緊的拳頭</t>
  </si>
  <si>
    <t>物攻：2消
攻擊依照最大體力增加</t>
  </si>
  <si>
    <t>Clenched Fist</t>
  </si>
  <si>
    <t>Physical Attack: 2
Attack increases based on your max HP</t>
  </si>
  <si>
    <t>단단히 쥔 주먹</t>
  </si>
  <si>
    <t>물리 공격력 : 2
최대 체력이 높을수록 공격력 증가</t>
  </si>
  <si>
    <t>Geballte Faust</t>
  </si>
  <si>
    <t>Physischer Angriff: 2
Angriff steigt basierend auf deinem maximalen HP</t>
  </si>
  <si>
    <t>Nắm đấm</t>
  </si>
  <si>
    <t>Sát thương vật lý: 2
Sát thương đấm tỷ lệ với HP tối đa!</t>
  </si>
  <si>
    <t>硬木劍</t>
  </si>
  <si>
    <t>物攻：15</t>
  </si>
  <si>
    <t>堅木の剣</t>
  </si>
  <si>
    <t>Hardwood Sword</t>
  </si>
  <si>
    <t>Physical attack 15</t>
  </si>
  <si>
    <t>목검</t>
  </si>
  <si>
    <t>물리 공격력 : 15</t>
  </si>
  <si>
    <t>Hartholzschwert</t>
  </si>
  <si>
    <t>Physischer Angriff: 15</t>
  </si>
  <si>
    <t>Kiếm gỗ</t>
  </si>
  <si>
    <t>Sát thương vật lý: 15</t>
  </si>
  <si>
    <t>硬木棒</t>
  </si>
  <si>
    <t>物攻：14</t>
  </si>
  <si>
    <t>硬木の棒</t>
  </si>
  <si>
    <t>Hardwood Stick</t>
  </si>
  <si>
    <t>Physical attack 14</t>
  </si>
  <si>
    <t>물리 공격력 : 14</t>
  </si>
  <si>
    <t>Hartholzstab</t>
  </si>
  <si>
    <t>Physischer Angriff: 14</t>
  </si>
  <si>
    <t>Gậy gỗ</t>
  </si>
  <si>
    <t>Sát thương vật lý: 14</t>
  </si>
  <si>
    <t>伐木斧</t>
  </si>
  <si>
    <t>物攻：24</t>
  </si>
  <si>
    <t>Axe</t>
  </si>
  <si>
    <t>Physical attack 24</t>
  </si>
  <si>
    <t>벌목용 도끼</t>
  </si>
  <si>
    <t>물리 공격력 : 24</t>
  </si>
  <si>
    <t>Axt</t>
  </si>
  <si>
    <t>Physischer Angriff: 24</t>
  </si>
  <si>
    <t>Rìu đốn gỗ</t>
  </si>
  <si>
    <t>Sát thương vật lý: 24</t>
  </si>
  <si>
    <t>騎士之劍</t>
  </si>
  <si>
    <t>物攻：30
滿足條件後翻倍</t>
  </si>
  <si>
    <t>Physical attack: 30
Attack is doubled when conditions are met</t>
  </si>
  <si>
    <t>물리 공격력 : 30
조건 충족 시 공격력 2배 증가</t>
  </si>
  <si>
    <t>Physischer Angriff: 30
Angriff wird bei erfüllten Bedingungen verdoppelt</t>
  </si>
  <si>
    <t>Kiếm hiệp sĩ</t>
  </si>
  <si>
    <t>Sát thương vật lý: 30
Tấn công tăng gấp đôi khi điều kiện
 được đáp ứng</t>
  </si>
  <si>
    <t>獸人的骨釜</t>
  </si>
  <si>
    <t>物攻：42</t>
  </si>
  <si>
    <t>オークの背斧</t>
  </si>
  <si>
    <t>Orc Bone Axe</t>
  </si>
  <si>
    <t>Physical attack: 42</t>
  </si>
  <si>
    <t>오크의 도끼</t>
  </si>
  <si>
    <t>물리 공격력 : 42</t>
  </si>
  <si>
    <t>Orkknochenaxt</t>
  </si>
  <si>
    <t>Physischer Angriff: 42</t>
  </si>
  <si>
    <t>Rìu xương Orc</t>
  </si>
  <si>
    <t>Sát thương vật lý: 42</t>
  </si>
  <si>
    <t>怪鳥的羽毛</t>
  </si>
  <si>
    <t>物攻：18
旋風斬提升移速
旋風斬進入漂浮狀態</t>
  </si>
  <si>
    <t>怪鳥の羽根</t>
  </si>
  <si>
    <t>物理攻撃力：18
旋風斬で移動速度が上昇
旋風斬が浮遊状態になる</t>
  </si>
  <si>
    <t>Weird Feather</t>
  </si>
  <si>
    <t>Physical attack: 18
Increase speed for Senpuu Giri based on attack speed
Levitates off the ground during Senpuu Giri</t>
  </si>
  <si>
    <t>Feder des Monstervogels</t>
  </si>
  <si>
    <t>Phys. Angriff: 18
Wirbelhieb erhöht die Bewegungsgeschwindigkeit
Wirbelhieb versetzt in Schwebezustand</t>
  </si>
  <si>
    <t>Lông vũ kỳ lạ</t>
  </si>
  <si>
    <t>Sát thương vật lý: 18
Tăng tốc độ di chuyển khi dùng
 Whirlwind Slash
Khi xoay với tốc độ cao,
 bước vào trạng thái lơ lửng</t>
  </si>
  <si>
    <t>棒球棍</t>
  </si>
  <si>
    <t>物攻：20
反彈拋射物</t>
  </si>
  <si>
    <t>野球バット</t>
  </si>
  <si>
    <t>Baseball Bat</t>
  </si>
  <si>
    <t>Physical attack 20
Deflect Projectile
*Gachapon Item</t>
  </si>
  <si>
    <t>야구 방망이</t>
  </si>
  <si>
    <t>물리 공격력 : 20
투사체 굴절</t>
  </si>
  <si>
    <t>Baseballschläger</t>
  </si>
  <si>
    <t>Physischer Angriff: 20
Lenkt Projektile ab</t>
  </si>
  <si>
    <t>Gậy Bóng Chày</t>
  </si>
  <si>
    <t>Sát thương vật lý: 20
Sát thương nhân lên khi
 đánh bật vật thể bay</t>
  </si>
  <si>
    <t>臭魚骨</t>
  </si>
  <si>
    <t>物攻：14
散發惡臭</t>
  </si>
  <si>
    <t>くさい魚の骨</t>
  </si>
  <si>
    <t>Rotten Fishbone</t>
  </si>
  <si>
    <t>Physical attack 14
"Smelly"</t>
  </si>
  <si>
    <t>물리 공격력 : 14
악취를 내뿜음</t>
  </si>
  <si>
    <t>Verfaulter Fischknochen</t>
  </si>
  <si>
    <t>Physischer Angriff: 14
„Stinkt"</t>
  </si>
  <si>
    <t>Xương Cá Thối</t>
  </si>
  <si>
    <t>Sát thương vật lý: 14
Hôi thối</t>
  </si>
  <si>
    <t>陽炎</t>
  </si>
  <si>
    <t>物攻：32
魔攻：16
炎屬性</t>
  </si>
  <si>
    <t>Sunflare</t>
  </si>
  <si>
    <t>Physical attack: 32
Magic attack: 16
Fire Attribute</t>
  </si>
  <si>
    <t>카게로우</t>
  </si>
  <si>
    <t>물리 공격력 : 32
마법 공격력 : 16
화염 속성</t>
  </si>
  <si>
    <t>Sonnenflamme</t>
  </si>
  <si>
    <t>Physischer Angriff: 32
Magischer Angriff: 16
Feuer-Attribut</t>
  </si>
  <si>
    <t>Ngọn Lửa Thái Dương</t>
  </si>
  <si>
    <t>Sát thương vật lý: 32
Sát thương ma thuật : 16
Thuộc tính Lửa</t>
  </si>
  <si>
    <t>霜月</t>
  </si>
  <si>
    <t>物攻：20
魔攻：14
冰屬性</t>
  </si>
  <si>
    <t>Frostmoon</t>
  </si>
  <si>
    <t>Physical attack: 20
Magic attack: 14
Ice Attribute</t>
  </si>
  <si>
    <t>서리한</t>
  </si>
  <si>
    <t>물리 공격력 : 20
마법 공격력 : 14
얼음 속성</t>
  </si>
  <si>
    <t>Frostmond</t>
  </si>
  <si>
    <t>Physischer Angriff: 20
Magischer Angriff: 14
Eis-Attribut</t>
  </si>
  <si>
    <t>Hàn nguyệt</t>
  </si>
  <si>
    <t>Sát thương vật lý: 20
Sát thương ma thuật : 14
Thuộc tính Băng</t>
  </si>
  <si>
    <t>會漏電的不良品</t>
  </si>
  <si>
    <t>物攻：32
魔攻：12
電屬性</t>
  </si>
  <si>
    <t>Leaky Electric Sword</t>
  </si>
  <si>
    <t>Physical attack: 32
Magic attack: 12
Electric Attribute</t>
  </si>
  <si>
    <t>누전되는 불량품</t>
  </si>
  <si>
    <t>Undichtes Elektroschwert</t>
  </si>
  <si>
    <t>Physischer Angriff: 32
Magischer Angriff: 12
Elektro-Attribut</t>
  </si>
  <si>
    <t>Kiếm Sét Rò Rỉ</t>
  </si>
  <si>
    <t>Sát thương vật lý: 32
Sát thương ma thuật: 12
Thuộc tính Lôi</t>
  </si>
  <si>
    <t>毒孢針</t>
  </si>
  <si>
    <t>物攻：14
毒屬性</t>
  </si>
  <si>
    <t>毒胞の針</t>
  </si>
  <si>
    <t>Toxic Spore Blade</t>
  </si>
  <si>
    <t>Physical attack: 32
Poison Attribute</t>
  </si>
  <si>
    <t>독성 포자 바늘</t>
  </si>
  <si>
    <t>Toxische Sporenklinge</t>
  </si>
  <si>
    <t>Physischer Angriff: 32
Gift-Attribut</t>
  </si>
  <si>
    <t>Kiếm Bào Tử Độc</t>
  </si>
  <si>
    <t>Sát thương vật lý: 32
Thuộc tính Độc</t>
  </si>
  <si>
    <t>柳葉刀</t>
  </si>
  <si>
    <t>物攻：42
分裂攻擊</t>
  </si>
  <si>
    <t>柳葉の剣</t>
  </si>
  <si>
    <t>Willow Leaf</t>
  </si>
  <si>
    <t>Physical attack: 42
Chance to generate leaf shuriken when attacking</t>
  </si>
  <si>
    <t>Weidenblatt</t>
  </si>
  <si>
    <t>Physischer Angriff: 42
Chance, bei Angriff Wurfsterne aus Blättern zu erzeugen</t>
  </si>
  <si>
    <t>Đại Kiếm Lá Liễu</t>
  </si>
  <si>
    <t>Sát thương vật lý: 42
Có cơ hội bắn phi tiêu
 lá liễu khi tấn công</t>
  </si>
  <si>
    <t>銀輝大劍</t>
  </si>
  <si>
    <t>物攻：48
魔抗：20
滿足條件類型武器</t>
  </si>
  <si>
    <t>銀輝の大剣</t>
  </si>
  <si>
    <t>Silver Greatsword</t>
  </si>
  <si>
    <t>Physical attack: 48
Magic resistance: 20
Weapon stats are conditional</t>
  </si>
  <si>
    <t>은빛 대검</t>
  </si>
  <si>
    <t>Silbergroßschwert</t>
  </si>
  <si>
    <t>Physischer Angriff: 48
Magieresistenz: 20
Waffenwerte sind bedingt</t>
  </si>
  <si>
    <t>Đại Kiếm Ánh Ngân</t>
  </si>
  <si>
    <t>Sát thương vật lý: 48
Sát thương ma thuật: 20
Chỉ số vũ khí có điều kiện</t>
  </si>
  <si>
    <t>甜筒大劍</t>
  </si>
  <si>
    <t>物攻：1
累計傷害型武器</t>
  </si>
  <si>
    <t>シュガーコーン大剣</t>
  </si>
  <si>
    <t>Cone Greatsword</t>
  </si>
  <si>
    <t>Physical attack: 1
Common Grade Stack Weapon
*Gachapon Item</t>
  </si>
  <si>
    <t>Kegelgroßschwert</t>
  </si>
  <si>
    <t>Physischer Angriff: 1
Waffe mit Stapel-Effekt – gewöhnliche Qualität</t>
  </si>
  <si>
    <t>Đại kiếm Ốc Quế</t>
  </si>
  <si>
    <t>Sát thương vật lý: 1
Vũ khí thường (có thể cộng dồn)
*Vật phẩm Gacha</t>
  </si>
  <si>
    <t>古樹殘骸</t>
  </si>
  <si>
    <t>物攻：20
物抗：2
累計素質型武器</t>
  </si>
  <si>
    <t>古木の残骸</t>
  </si>
  <si>
    <t>Ancient Tree Remnant</t>
  </si>
  <si>
    <t>Physical attack: 20
Physical resistance: 2
Epic Grade Stack Weapon</t>
  </si>
  <si>
    <t>Uralter Baumrest</t>
  </si>
  <si>
    <t>Physischer Angriff: 20
Physische Resistenz: 2
Waffe mit Stapel-Effekt – epische Qualität</t>
  </si>
  <si>
    <t>Nhánh Cây Cổ Đại</t>
  </si>
  <si>
    <t>Sát thương vật lý: 20
Kháng vật lý: 2
Vũ khí sử thi ( có thể cộng dồn)</t>
  </si>
  <si>
    <t>斬裂劍提爾鋒</t>
  </si>
  <si>
    <t>物攻：40
發射劍波</t>
  </si>
  <si>
    <t>斬裂剣ティルフィング</t>
  </si>
  <si>
    <t>Tyrfing</t>
  </si>
  <si>
    <t>Physical attack: 40
Can Generate Sword Waves</t>
  </si>
  <si>
    <t>Tyrs Schwert 
(Nordischer Kriegsgott)</t>
  </si>
  <si>
    <t>Physischer Angriff: 40
Kann Schwertwellen erzeugen</t>
  </si>
  <si>
    <t>Kiếm Tyrfing</t>
  </si>
  <si>
    <t>Sát thương vật lý: 40
Có thể thi triển kiếm khí</t>
  </si>
  <si>
    <t>來自地獄</t>
  </si>
  <si>
    <t>物攻：30
出血</t>
  </si>
  <si>
    <t>地獄より</t>
  </si>
  <si>
    <t>From Hell</t>
  </si>
  <si>
    <t>Physical attack 30
Applies Bleed</t>
  </si>
  <si>
    <t>지옥으로부터</t>
  </si>
  <si>
    <t>Aus der Hölle</t>
  </si>
  <si>
    <t>Physischer Angriff: 30
Verursacht Blutung</t>
  </si>
  <si>
    <t>Địa Ngục Khởi Nguyên</t>
  </si>
  <si>
    <t>Sát thương vật lý: 30
Gây trạng thái Chảy Máu</t>
  </si>
  <si>
    <t>寄生刃</t>
  </si>
  <si>
    <t>物攻：32
擊倒回復</t>
  </si>
  <si>
    <t>寄生剣</t>
  </si>
  <si>
    <t>Parasitic Blade</t>
  </si>
  <si>
    <t>Physical attack: 32
Recover HP on kill</t>
  </si>
  <si>
    <t>기생 칼날</t>
  </si>
  <si>
    <t>물리 공격력 : 32
적 처치시 HP 회복</t>
  </si>
  <si>
    <t>Parasitäre Klinge</t>
  </si>
  <si>
    <t>Physischer Angriff: 32
Stellt HP bei Kills wieder her</t>
  </si>
  <si>
    <t>Kiếm Ký Sinh</t>
  </si>
  <si>
    <t>Sát thương vật lý: 32
Hồi phục HP khi giết mục tiêu</t>
  </si>
  <si>
    <t>寄壞劍</t>
  </si>
  <si>
    <t>物攻：36
1.對出血目標增加額外傷害
2.擊殺出血狀態的目標後，回復血量
(血量允許超量回復，突破生命值上限並且獲得霸體)</t>
  </si>
  <si>
    <t>寄壊剣</t>
  </si>
  <si>
    <t>物攻：36
1.出血状態の対象に対して追加ダメージを与える
2.出血状態の対象を撃破した後、HPを回復する
（HPは上限を超えて回復可能で、生命値上限を突破し、霸体を獲得する）</t>
  </si>
  <si>
    <t>Infested Blade</t>
  </si>
  <si>
    <t>Physical attack: 36
Applies bleed
When a target with bleed dies, restores health to the wearer
(Health restored this way can exceed your maximum health)</t>
  </si>
  <si>
    <t>기괴한 검</t>
  </si>
  <si>
    <t>Infizierte Klinge</t>
  </si>
  <si>
    <t>Physischer Angriff: 36
Verursacht Blutung
Wenn ein Ziel mit Blutung stirbt, stellt es Gesundheit für den Träger wieder her
(Nicht mehr als die maximale Lebenspunkte Anzahl)</t>
  </si>
  <si>
    <t>Kiếm Ô Uế</t>
  </si>
  <si>
    <t>Sát thương vật lý: 36
Gây trạng thái Chảy Máu
Khi mục tiêu  bị chảy máu chết, hồi phục
HP cho người sử dụng
(Lượng HP hồi phục có thể
 vượt mức tối đa)</t>
  </si>
  <si>
    <t>血狩</t>
  </si>
  <si>
    <t>物攻：26
1.續力可使用穿血箭
2.消耗自身血量提升攻擊，擊殺目標後回復血量
(血量允許超量回復，突破生命值上限並且獲得霸體)</t>
  </si>
  <si>
    <t>ブラッドハント</t>
  </si>
  <si>
    <t>物理攻撃力：26
1.「血染めの矢」を使用可能
2.自身の体力を消費して攻撃力を上昇させ、敵を倒した際に体力を回復
（回復量は上限を超えて可能で、体力値の上限を突破し「覇体」を獲得できる）</t>
  </si>
  <si>
    <t>Blood Hunt</t>
  </si>
  <si>
    <t>Physical attack: 26
1. Uses blood-piercing arrows when attacking
2. Consumes own health per shot and killing enemies restores health
(Health restored this way can exceed your maximum health)</t>
  </si>
  <si>
    <t>Blutjagd</t>
  </si>
  <si>
    <t>Physischer Angriff: 26
Verwendet blutdurchdringende Pfeile beim Angriff
Verbraucht eigene Gesundheit pro Schuss, und das Töten von Feinden stellt Gesundheit wieder her
(Nicht mehr als die maximale Lebenspunkte Anzahl)</t>
  </si>
  <si>
    <t>Huyết Liệt</t>
  </si>
  <si>
    <t>Sát thương vật lý: 36
1. Khi tấn công sẽ bắn ra mũi tên
xuyên thấu
2. Tiêu hao HP của bản thân mỗi lần bắn
và tiêu diệt kẻ địch sẽ hồi HP
(Lượng HP hồi phục có thể
 vượt mức tối đa)</t>
  </si>
  <si>
    <t>荒古榮光</t>
  </si>
  <si>
    <t>物攻：36
特殊指令強化
*稀有品扭蛋品</t>
  </si>
  <si>
    <t>荒古の栄光</t>
  </si>
  <si>
    <t>物理攻撃力：36
特殊コマンド強化
※レアガシャポンアイテム</t>
  </si>
  <si>
    <t>Ancient Glory</t>
  </si>
  <si>
    <t>Physical attack: 36
Gain enhancement on
command input
*Rare Gachapon Item</t>
  </si>
  <si>
    <t>Uralter Ruhm</t>
  </si>
  <si>
    <t>Physischer Angriff: 36
Erhält Verstärkung durch Eingabebefehl
Seltenes Gachapon-Item</t>
  </si>
  <si>
    <t>Vinh Quang Cổ Đại</t>
  </si>
  <si>
    <t>Sát thương vật lý: 36
Tăng cường hiệu ứng khi nhập lệnh
*Vật phẩm Gacha hiếm</t>
  </si>
  <si>
    <t>克里烏之光</t>
  </si>
  <si>
    <t>物攻：32
魔攻：36
無視防禦、隱形刀刃
*稀有品扭蛋品</t>
  </si>
  <si>
    <t>クラウ・ソラス</t>
  </si>
  <si>
    <t>Claiohm Solais</t>
  </si>
  <si>
    <t>Physical attack: 32
Magic attack: 36
Ignores defense, Transparent
*Rare Gachapon Item</t>
  </si>
  <si>
    <r>
      <rPr>
        <rFont val="Microsoft JhengHei"/>
        <color theme="1"/>
        <sz val="10.0"/>
      </rPr>
      <t>物攻：32 
魔攻：36 
无视防御、隐形刀刃 
*稀有扭蛋物品、</t>
    </r>
    <r>
      <rPr>
        <rFont val="Microsoft JhengHei"/>
        <strike/>
        <color theme="1"/>
        <sz val="10.0"/>
      </rPr>
      <t>阿瓦隆</t>
    </r>
  </si>
  <si>
    <t>Schwert des Lichts</t>
  </si>
  <si>
    <t xml:space="preserve">Physischer Angriff: 32
Magischer Angriff: 36
Ignoriert Verteidigung, durchsichtig
Seltenes Gachapon-Item
</t>
  </si>
  <si>
    <t>Quang vũ</t>
  </si>
  <si>
    <t>Sát thương vật lý: 32
Sát thương ma thuật: 36
Bỏ qua phòng thủ, trong suốt
*Vật phẩm Gacha hiếm</t>
  </si>
  <si>
    <t>木弓</t>
  </si>
  <si>
    <t>物攻：20</t>
  </si>
  <si>
    <t>Bow</t>
  </si>
  <si>
    <t>Physical attack: 20</t>
  </si>
  <si>
    <t>Bogen</t>
  </si>
  <si>
    <t>Physischer Angriff: 20</t>
  </si>
  <si>
    <t>Cung gỗ</t>
  </si>
  <si>
    <t>Sát thương vật lý: 20</t>
  </si>
  <si>
    <t>獵人之弓</t>
  </si>
  <si>
    <t>物攻：24
穿透</t>
  </si>
  <si>
    <t>狩人の弓</t>
  </si>
  <si>
    <t>Hunter's Bow</t>
  </si>
  <si>
    <t>Physical attack: 24
Passes through targets</t>
  </si>
  <si>
    <t>Jägerbogen</t>
  </si>
  <si>
    <t>Physischer Angriff: 24
Durchschlägt Ziele</t>
  </si>
  <si>
    <t>Cung Thợ Săn</t>
  </si>
  <si>
    <t>Sát thương vật lý: 24
Đi xuyên qua mục tiêu</t>
  </si>
  <si>
    <t>火燒雲</t>
  </si>
  <si>
    <t>物攻：18
魔攻：18
炎屬性</t>
  </si>
  <si>
    <t>夕焼雲</t>
  </si>
  <si>
    <t>Sunset Cloud</t>
  </si>
  <si>
    <t>Physical attack: 18
Magic attack: 18
Fire Attribute</t>
  </si>
  <si>
    <t>Feuerwolke(Feuerbogen)</t>
  </si>
  <si>
    <t>Physischer Angriff: 18
Magischer Angriff: 18
Feuer-Attribut</t>
  </si>
  <si>
    <t>Mây Hoàng Hôn</t>
  </si>
  <si>
    <t>Sát thương vật lý: 18
Sát thương ma thật: 18
Thuộc tính lửa</t>
  </si>
  <si>
    <t>雪見</t>
  </si>
  <si>
    <t>物攻：16
魔攻：16
冰屬性</t>
  </si>
  <si>
    <t>Snow Watch</t>
  </si>
  <si>
    <t>Physical attack: 16
Magic attack: 16
Ice Attribute</t>
  </si>
  <si>
    <t>Schneewacht</t>
  </si>
  <si>
    <t>Physischer Angriff: 16
Magischer Angriff: 16
Eis-Attribut</t>
  </si>
  <si>
    <t>Tuyết Giám</t>
  </si>
  <si>
    <t>Sát thương vật lý: 16
Sát thương ma thuật: 16
Thuộc tính Băng</t>
  </si>
  <si>
    <t>千鳥</t>
  </si>
  <si>
    <t>物攻：16
魔攻：16
雷屬性</t>
  </si>
  <si>
    <t>Chidori</t>
  </si>
  <si>
    <t>Physical attack: 16
Magic attack: 16
Electric Attribute</t>
  </si>
  <si>
    <t>Tausend Vögel</t>
  </si>
  <si>
    <t>Physischer Angriff: 16
Magischer Angriff: 16
Elektro-Attribut</t>
  </si>
  <si>
    <t>Thiên Điểu</t>
  </si>
  <si>
    <t>Sát thương vật lý: 16
Sát thương ma thuật: 16
Thuộc tính Lôi</t>
  </si>
  <si>
    <t>三頭連弓地獄犬</t>
  </si>
  <si>
    <t>物攻：32
連發</t>
  </si>
  <si>
    <t>三頭連弓ケルベロス</t>
  </si>
  <si>
    <t>Hellhound Cursed Bow</t>
  </si>
  <si>
    <t>Physical attack: 32
Splits into multiple projectiles</t>
  </si>
  <si>
    <t>Verfluchter Höllenhundbogen</t>
  </si>
  <si>
    <t>Physischer Angriff: 32
Schießt eine Kette aus Projektilen</t>
  </si>
  <si>
    <t>Huyết Khuyển Cung</t>
  </si>
  <si>
    <t>Sát thương vật lý: 32
Bắn liên hoàn</t>
  </si>
  <si>
    <t>物攻：1
魔攻：86
炎屬性</t>
  </si>
  <si>
    <t>Physical attack: 1
Magic attack: 86
Fire Attribute</t>
  </si>
  <si>
    <t>Physischer Angriff: 1
Magischer Angriff: 86
Feuer-Attribut</t>
  </si>
  <si>
    <t>Hỏa Linh Trượng</t>
  </si>
  <si>
    <t>Sát hương vật lý: 1
Sát thương ma thuật: 86
Thuộc tính Lửa</t>
  </si>
  <si>
    <t>寒冰杖</t>
  </si>
  <si>
    <t>物攻：1
魔攻：55
冰屬性</t>
  </si>
  <si>
    <t>寒氷の杖</t>
  </si>
  <si>
    <t>Ice Staff</t>
  </si>
  <si>
    <t>Physical attack: 1
Magic attack: 55
Ice Attribute</t>
  </si>
  <si>
    <t>Eisstab</t>
  </si>
  <si>
    <t>Physischer Angriff: 1
Magischer Angriff: 55
Eis-Attribut</t>
  </si>
  <si>
    <t>Trượng Băng</t>
  </si>
  <si>
    <t>Sát thương vật lý: 1
Sát thương ma thuật: 55
Thuộc tính băng</t>
  </si>
  <si>
    <t>星月夜</t>
  </si>
  <si>
    <t>物攻：1
魔攻：68
黑洞</t>
  </si>
  <si>
    <t>Starlit Night</t>
  </si>
  <si>
    <t>Physical attack: 1
Magic attack: 68
Can conjure Black Holes</t>
  </si>
  <si>
    <t>Sternenklare Nacht</t>
  </si>
  <si>
    <t>Physischer Angriff: 1
Magischer Angriff: 68
Kann Schwarze Löcher beschwören</t>
  </si>
  <si>
    <t>Đêm Sao Lấp Lánh</t>
  </si>
  <si>
    <t>Sát thương vật lý: 1
Sát thương ma huật: 68
Có thể thi triển Hố Đen</t>
  </si>
  <si>
    <t>香蕉?</t>
  </si>
  <si>
    <t>物攻：10
爆炸</t>
  </si>
  <si>
    <t>Banana?</t>
  </si>
  <si>
    <t>Physical attack: 10
Explodes</t>
  </si>
  <si>
    <t>Banane?</t>
  </si>
  <si>
    <t>Physischer Angriff: 10
Explodiert</t>
  </si>
  <si>
    <t>Chuối??</t>
  </si>
  <si>
    <t>Sát thương vật lý: 10
Bùm!!!</t>
  </si>
  <si>
    <t>巨蝸吸塵器</t>
  </si>
  <si>
    <t>物攻：1
魔攻：1
吸取物品</t>
  </si>
  <si>
    <t>巨カタ掃除機</t>
  </si>
  <si>
    <t>Giant Snail Vacuum</t>
  </si>
  <si>
    <t>Physical attack: 1
Magic attack: 1
Pulls objects closer
*Gachapon Item</t>
  </si>
  <si>
    <t>Riesenschneckenstaubsauger</t>
  </si>
  <si>
    <t>Physischer Angriff: 1
Magischer Angriff: 1
Zieht Objekte an</t>
  </si>
  <si>
    <t>Máy Hút Ốc Sên
Khổng Lồ</t>
  </si>
  <si>
    <t>Sát thương vật lý: 1
Sát thương ma thuật: 1
Kéo các vật thể lại gần
*Vật phẩm Gacha</t>
  </si>
  <si>
    <t>巨大蟹鉗</t>
  </si>
  <si>
    <t>物攻：15
夾住目標</t>
  </si>
  <si>
    <t>巨大ガニのハサミ</t>
  </si>
  <si>
    <t>Crab Claw</t>
  </si>
  <si>
    <t>Physical attack: 15
Clamps to targets when thrown
*Gachapon Item</t>
  </si>
  <si>
    <t>Krabbenzange</t>
  </si>
  <si>
    <t>Physischer Angriff: 15
Klammern sich beim Werfen an Ziele</t>
  </si>
  <si>
    <t>Càng Cua Khổng Lồ</t>
  </si>
  <si>
    <t>Sát thương vật lý: 15
Kẹp chặt mục tiêu khi ném trúng
*Vật phẩm Gacha</t>
  </si>
  <si>
    <t>大木槌</t>
  </si>
  <si>
    <t>物攻：36
機率暈眩</t>
  </si>
  <si>
    <t>Heavy Mallet</t>
  </si>
  <si>
    <t>Physical attack: 36
Has a chance to stun targets
Weapon stats are conditional
*Gachapon Item</t>
  </si>
  <si>
    <t>Schwerer Holzhammer</t>
  </si>
  <si>
    <t>Physischer Angriff: 36
Chance, Gegner zu betäuben
Waffenwerte sind bedingt</t>
  </si>
  <si>
    <t>Trọng Búa</t>
  </si>
  <si>
    <t>Sát thương vật lý: 36
Có khả năng làm choáng mục tiêu
Chỉ số vũ khí có điều kiện
*Vật phẩm gacha</t>
  </si>
  <si>
    <t>日輪</t>
  </si>
  <si>
    <t>物攻：12
魔攻：30
魔防：30
召喚隕石</t>
  </si>
  <si>
    <t>物理攻撃：12
魔法攻撃：30
魔法防御：30
隕石召喚</t>
  </si>
  <si>
    <t>Nichirin</t>
  </si>
  <si>
    <t>Physical attack: 12
Magic attack: 30
Magic resist: 30
May summon a meteor when attacking</t>
  </si>
  <si>
    <t>Sonnenrad</t>
  </si>
  <si>
    <t>Phys. Angriff: 12
Mag. Angriff: 30
Mag. Abwehr: 30
Beschwört Meteoriten</t>
  </si>
  <si>
    <t>Nhật Luân</t>
  </si>
  <si>
    <t>Sát thương vật lý: 12
Sát thương ma thuật: 30
Kháng ma thuật: 30
Có thể triệu hồi thiên thạch</t>
  </si>
  <si>
    <t>登的陰鬱手鐮</t>
  </si>
  <si>
    <t xml:space="preserve">
物攻：18
魔攻：9
迴力鏢類型武器</t>
  </si>
  <si>
    <t>デンの陰気な鎌</t>
  </si>
  <si>
    <t>物理攻撃力：18
魔法攻撃力：9
ブーメランタイプの武器</t>
  </si>
  <si>
    <t>Den's Hand Scythe</t>
  </si>
  <si>
    <t xml:space="preserve">Physical attack: 18
Magic attack: 9
Boomerang-like weapon. Can be thrown again when caught.
</t>
  </si>
  <si>
    <t>Dengs düstere Sense</t>
  </si>
  <si>
    <t>Phys. Angriff: 18
Mag. Angriff: 9
Bumerangartige Waffe</t>
  </si>
  <si>
    <t>Đoạt Hồn Liềm Den</t>
  </si>
  <si>
    <t>Sát thương vật lý: 18
Sát thương ma thuật: 9
Vũ khí giống như boomerang.
Có thể ném lại khi bị bắt.</t>
  </si>
  <si>
    <t>生鏽的鐵劍</t>
  </si>
  <si>
    <t>物攻：15
機率附加中毒、出血必定中毒</t>
  </si>
  <si>
    <t>Rusty Iron Sword</t>
  </si>
  <si>
    <t>Physical attack: 15
15% chance to inflict poison with each attack
Becomes guaranteed when attacking bleeding enemies</t>
  </si>
  <si>
    <t>Rostiges Eisenschwert</t>
  </si>
  <si>
    <t>Physischer Angriff: 15
15 % Chance, bei jedem Angriff Gift zuzufügen
Wird garantiert, wenn das Ziel blutet</t>
  </si>
  <si>
    <t>Kiếm Rỉ Sét</t>
  </si>
  <si>
    <t>Sát thương vật lý: 15
15% khả năng gây độc khi tấn công
Luôn gây độc với mục tiêu đang Chảy Máu</t>
  </si>
  <si>
    <t>鍛造錘</t>
  </si>
  <si>
    <t>物攻：6
鍛造用途，詳情於TIPS</t>
  </si>
  <si>
    <t>Forging Hammer</t>
  </si>
  <si>
    <t>Physical attack: 6
Mainly used for Forging, see TIPS for more info</t>
  </si>
  <si>
    <t>Schmiedehammer</t>
  </si>
  <si>
    <t>Physischer Angriff: 6
Wird hauptsächlich zum Schmieden verwendet, siehe TIPPS für weitere Infos</t>
  </si>
  <si>
    <t>Búa Rèn</t>
  </si>
  <si>
    <t>Sát thương vật lý: 6
Chủ yếu dùng để rèn, xem TIPS để
biết thêm thông tin</t>
  </si>
  <si>
    <t>2號機</t>
  </si>
  <si>
    <t>消耗金幣進行攻擊
物攻：2
魔防：20
幸運：20
*可消耗此物品使初號核心升級
(可於商店車購買)</t>
  </si>
  <si>
    <t>2号機</t>
  </si>
  <si>
    <t>Unit 2</t>
  </si>
  <si>
    <t>Physical attack: 2
Spend money to snipe enemies
*Gachapon Item
*This item can be used to upgrade Unit 1</t>
  </si>
  <si>
    <t>Einheit Zwei</t>
  </si>
  <si>
    <t>Physischer Angriff: 2
Gibt Geld aus, um Feinde zu treffen</t>
  </si>
  <si>
    <t>Đơn vị số 2</t>
  </si>
  <si>
    <t>Sát thương vật lý: 2
Dùng tiền dể gọi hỗ trợ bắn tỉa
*Vật phẩm Gacha</t>
  </si>
  <si>
    <t>潮汐之詩</t>
  </si>
  <si>
    <t>物攻：1
魔攻：45
魔防：20
於水中作戰時可以提升攻擊力
(波紋穿刺：可以用於炸水面；無法配合貓爪增加炸魚次數)</t>
  </si>
  <si>
    <t>潮汐の詩</t>
  </si>
  <si>
    <t xml:space="preserve">
物攻：1
魔攻：45
魔防：20
水中で戦闘すると攻撃力が上昇する
（波紋穿刺：水面の爆破に使用可能／猫の爪と併用して爆破漁の回数を増やすことはできない）
</t>
  </si>
  <si>
    <t>Poem of the Tides</t>
  </si>
  <si>
    <t xml:space="preserve">Physical attack: 1
Magic attack: 45
Magic resist: 20
Provides attack power boost when underwater
(???: Can be used to blast water surfaces)
</t>
  </si>
  <si>
    <t>Gesang der Gezeiten</t>
  </si>
  <si>
    <t>Physischer Angriff: 1
Magischer Angriff: 45
Magische Verteidigung: 20
Im Wasserkampf kann der Angriff erhöht werden
(Wellenstich: Kann zum Sprengen der Wasseroberfläche verwendet werden)</t>
  </si>
  <si>
    <t>Khúc Ca Của Tydewyrm</t>
  </si>
  <si>
    <t>Sát thương vật lí: 1
Sát thương ma thuật: 45
Kháng ma thuật: 20
Nhận tăng sức tấn công khi ở dưới nước
(???: Có thể dùng để phun nước lên bề mặt)</t>
  </si>
  <si>
    <t>胡蘿蔔大劍</t>
  </si>
  <si>
    <t>物攻：1
累計傷害型武器
投擲穿刺效果
*特殊傳送效果(請參考TIPS)</t>
  </si>
  <si>
    <t xml:space="preserve">
物理攻撃：1
累積ダメージ型の武器
投擲時に貫通する
※特殊な転送効果あり（詳細はTIPS参照）
</t>
  </si>
  <si>
    <t xml:space="preserve">Physical attack: 1
Stacking weapon
Pierces through when thrown
Allows usage of teleport on campfires
(See TIPS)
</t>
  </si>
  <si>
    <t>Sát thương vật lý: 1
Vũ khí (có thể cộng dồn)
Cho phép dịch chuyển bằng lửa trại
(Xem TIPS)</t>
  </si>
  <si>
    <t>凍蘿蔔大劍</t>
  </si>
  <si>
    <t>物攻：26
物防：2
凍結效果
投擲穿刺效果</t>
  </si>
  <si>
    <t>凍ったにんじん大剣</t>
  </si>
  <si>
    <t xml:space="preserve">
物理攻撃力：26
物理防御力：2
凍結効果
投擲時に貫通する
</t>
  </si>
  <si>
    <t>Physical attack: 26
Physical defense: 2
Chance to apply freeze
Pierces through when thrown</t>
  </si>
  <si>
    <t>Đại Kiếm Củ Cải Đóng Băng</t>
  </si>
  <si>
    <t>Sát thương vật lý: 26
Kháng vật lý: 2
Có khả năng gây đông cứng
Xuyên mục tiêu khi ném</t>
  </si>
  <si>
    <t>霉蘿蔔大劍</t>
  </si>
  <si>
    <t>物攻：10
魔攻：10
中毒效果
投擲穿刺效果</t>
  </si>
  <si>
    <t>カビたニンジンの大剣</t>
  </si>
  <si>
    <t xml:space="preserve">
物理攻撃力：10
魔法攻撃力：10
毒攻撃
投擲時に貫通する
</t>
  </si>
  <si>
    <t>Moldy Carrot Greatsword</t>
  </si>
  <si>
    <t>Physical attack: 10
Magic attack: 10
Chance to apply poison
Pierces through when thrown</t>
  </si>
  <si>
    <t>Đại Kiếm Củ Cải Mốc</t>
  </si>
  <si>
    <t>Sát thương vật lý: 10
Sát thương ma thuật: 10
Có khả năng gây độc
Xuyên mục tiêu khi ném</t>
  </si>
  <si>
    <t>裝備項目</t>
  </si>
  <si>
    <t>裝備屬性</t>
  </si>
  <si>
    <t>Equipment</t>
  </si>
  <si>
    <t>Ausrüstung</t>
  </si>
  <si>
    <t>Ausrüstungseffekte</t>
  </si>
  <si>
    <t>Trang bị</t>
  </si>
  <si>
    <t>妹妹脫下的內褲</t>
  </si>
  <si>
    <t>低體力回復</t>
  </si>
  <si>
    <t>妹の脱いだパンツ</t>
  </si>
  <si>
    <t>HPが50％以下になると自動回復します</t>
  </si>
  <si>
    <t>Imouto's removed panties</t>
  </si>
  <si>
    <t>Recover HP when HP is below half</t>
  </si>
  <si>
    <t>Las bragas removidas de la hermanita</t>
  </si>
  <si>
    <t>Recupera HP cuando este por debajo de la mitad</t>
  </si>
  <si>
    <t>여동생이 입었던 팬티</t>
  </si>
  <si>
    <t>HP가 50퍼 이하로 떨어지면 자동 회복</t>
  </si>
  <si>
    <t>Imoutos entfernte Unterwäsche</t>
  </si>
  <si>
    <t>Stellt HP wieder her, wenn sie unter der Hälfte sind</t>
  </si>
  <si>
    <t>Quần lót cởi ra của
em gái</t>
  </si>
  <si>
    <t>Phục hồi HP khi HP còn dưới một nửa</t>
  </si>
  <si>
    <t>少女的笑容</t>
  </si>
  <si>
    <t>性欲上升，全属性上升10%</t>
  </si>
  <si>
    <t>少女の笑顔</t>
  </si>
  <si>
    <t>Girl's smile</t>
  </si>
  <si>
    <t>All attributes are increased by 10%
Sexual desire is increased</t>
  </si>
  <si>
    <t>Sonrisa de chica</t>
  </si>
  <si>
    <t>성적 욕구가 증가하고 모든 속성 10% 상승</t>
  </si>
  <si>
    <t>Lächeln des Mädchens</t>
  </si>
  <si>
    <t>Alle Attribute werden um 10 % gesteigert und das sexuelle Verlangen wird erhöht.</t>
  </si>
  <si>
    <t>Nụ cười thuần khiết của em gái</t>
  </si>
  <si>
    <t>Tất cả các thuộc tính đều tăng 10%
Ham muốn tình dục tăng lên</t>
  </si>
  <si>
    <t>炸薯條</t>
  </si>
  <si>
    <t>Potato Chips</t>
  </si>
  <si>
    <t>Pommes Frites</t>
  </si>
  <si>
    <t>Hunger im reallife</t>
  </si>
  <si>
    <t>Khoai Tây Chiên</t>
  </si>
  <si>
    <t>廁紙</t>
  </si>
  <si>
    <t>物防：1
出血防禦</t>
  </si>
  <si>
    <t>Toilet Paper</t>
  </si>
  <si>
    <t>Physical defense: 1
Protects from bleeding effects</t>
  </si>
  <si>
    <t>물리 방어력 : 1
출혈 방어</t>
  </si>
  <si>
    <t>Toilettenpapier</t>
  </si>
  <si>
    <t>Physische Verteidigung: 1
Schützt vor Blutungseffekten</t>
  </si>
  <si>
    <t>Giấy Vệ Sinh</t>
  </si>
  <si>
    <t>Phòng thủ vật lý: 1
Kháng hiệu ứng Chảy Máu</t>
  </si>
  <si>
    <t>蘋果頭套</t>
  </si>
  <si>
    <t>幸運：10
概率回復</t>
  </si>
  <si>
    <t>リンゴヘルメット</t>
  </si>
  <si>
    <t>Apple Headgear</t>
  </si>
  <si>
    <t>Luck: 10
Chance to recover HP when hit</t>
  </si>
  <si>
    <t>Diadema de manzana</t>
  </si>
  <si>
    <t>Suerte: 10 
Posibilidad de recuperar HP al recibir daño</t>
  </si>
  <si>
    <t>사과 머리띠</t>
  </si>
  <si>
    <t>행운 : 10
피격 시 일정 확률로 HP 회복</t>
  </si>
  <si>
    <t>Apfelkopfbedeckung</t>
  </si>
  <si>
    <t>Glück: 10
Chance, HP wiederherzustellen, wenn du getroffen wirst</t>
  </si>
  <si>
    <t>Mũ Táo</t>
  </si>
  <si>
    <t>May mắn: 10
Có tỷ lệ hồi phục HP khi bị tấn công</t>
  </si>
  <si>
    <t>借來的貓爪</t>
  </si>
  <si>
    <t>物攻：5
攻速、移速上升</t>
  </si>
  <si>
    <t>借りネコの手</t>
  </si>
  <si>
    <t>Borrowed Neko Claws</t>
  </si>
  <si>
    <t>Physical attack: 5
Increases attack speed.
Increases movement speed.</t>
  </si>
  <si>
    <t>Garras de gato prestadas</t>
  </si>
  <si>
    <t>고양이 손</t>
  </si>
  <si>
    <t>물리 공격력 : 5
공격속도와 이동속도 증가</t>
  </si>
  <si>
    <t>Geliehene Katzenkrallen</t>
  </si>
  <si>
    <t>Physische Angriffskraft: 5
Erhöht die Angriffsgeschwindigkeit und Bewegungsgeschwindigkeit</t>
  </si>
  <si>
    <t>Vuốt Mèo Vay Mượn</t>
  </si>
  <si>
    <t>Sát thương vật lý: 5
Tăng tốc độ đánh.
Tăng tốc độ di chuyển.</t>
  </si>
  <si>
    <t>借來的貓足</t>
  </si>
  <si>
    <t>攻速、移速上升
閃步冷卻時間縮短</t>
  </si>
  <si>
    <t>借りネコの足</t>
  </si>
  <si>
    <t>Borrowed Neko Paws</t>
  </si>
  <si>
    <t>Increases attack speed.
Increases movement speed.
Reduces cooldown of Senpo</t>
  </si>
  <si>
    <t>고양이 발</t>
  </si>
  <si>
    <t xml:space="preserve">공격속도와 이동속도 증가
플래시 스텝 쿨다운 감소
</t>
  </si>
  <si>
    <t>Geliehene Katzenpfote</t>
  </si>
  <si>
    <t>Erhöht die Angriffsgeschwindigkeit.
Erhöht die Bewegungsgeschwindigkeit und Reduziert die Abklingzeit von Senpo.</t>
  </si>
  <si>
    <t>Chân Mèo Vay Mượn</t>
  </si>
  <si>
    <t>Tăng tốc độ đánh.
Tăng tốc độ di chuyển.
Giảm thời gian hồi chiêu của Senpo</t>
  </si>
  <si>
    <t>貓爪手套</t>
  </si>
  <si>
    <t>增加攻擊速度、攻擊數目+1</t>
  </si>
  <si>
    <t>Increases attack speed.
Number of projectiles +1</t>
  </si>
  <si>
    <t>공격속도 증가, 공격 횟수 + 1</t>
  </si>
  <si>
    <t>Erhöht die Angriffsgeschwindigkeit.
Anzahl der Projektile +1.</t>
  </si>
  <si>
    <t>Mèo Quyền</t>
  </si>
  <si>
    <t>Tăng tốc độ tấn công.
Đòn tấn công thêm +1</t>
  </si>
  <si>
    <t>毅力頭巾</t>
  </si>
  <si>
    <t>物防：2
體力上升5%、增加了15%全異常抗性、15%機率免死</t>
  </si>
  <si>
    <t>気合のハチマキ</t>
  </si>
  <si>
    <t>Determination Headband</t>
  </si>
  <si>
    <t>Physical Defense 2:
Physical damage increased by 5%
15% chance to resist status ailments
15% chance to resist death</t>
  </si>
  <si>
    <t>기합의 머리띠</t>
  </si>
  <si>
    <t>물리 방어력 : 2
체력 5% 증가 
모든 상태 이상 내성 15% 증가
즉사 내성 15% 증가</t>
  </si>
  <si>
    <t>Stirnband der Entschlossenheit</t>
  </si>
  <si>
    <t>Physische Verteidigung: 2:
Erhöht den physischen Schaden um 5%.
15% Chance, Statusveränderungen zu widerstehen und 15% Chance, dem Tod zu widerstehen.</t>
  </si>
  <si>
    <t>Băng Đô Kiên Định</t>
  </si>
  <si>
    <t>Phòng thủ vật lý 2:
Sát thương vật lý tăng 5%
15% khả năng kháng trạng thái bất lợi
15% khả năng kháng tử</t>
  </si>
  <si>
    <t>招財貓</t>
  </si>
  <si>
    <t>魔抗：10
幸運：50
吸取物品</t>
  </si>
  <si>
    <t>魔法耐性：10
運：50
アイテムを自身に吸い寄せる</t>
  </si>
  <si>
    <t>Maneki Neko</t>
  </si>
  <si>
    <t>Magic resistnace: 10
Luck: 50
Absorbs dropped items</t>
  </si>
  <si>
    <t>복고양이</t>
  </si>
  <si>
    <t>마법 방어력 : 10
행운 : 50
아이템을 끌어당김</t>
  </si>
  <si>
    <t>Glückskatze</t>
  </si>
  <si>
    <t>Magieabwehr: 10
Glück: 50
Absorbiert fallengelassene Items</t>
  </si>
  <si>
    <t>Mèo Thần Tài</t>
  </si>
  <si>
    <t>Kháng ma thuật: 10
May mắn: 50
Hấp thụ vật phẩm rơi ra</t>
  </si>
  <si>
    <t>憤怒的拳頭</t>
  </si>
  <si>
    <t>自動環繞攻擊</t>
  </si>
  <si>
    <t>Fists of Fury</t>
  </si>
  <si>
    <t>A flying fist automatically pushes nearby enemies away
*Gachapon Item</t>
  </si>
  <si>
    <t>자동공격 기능</t>
  </si>
  <si>
    <t>Fäuste der Wut</t>
  </si>
  <si>
    <t>Ein fliegender Faustschlag schiebt nahe Feinde automatisch weg</t>
  </si>
  <si>
    <t>Nắm Đấm Cuồng Nộ</t>
  </si>
  <si>
    <t>Nắm đấm bay tự động đẩy lùi kẻ địch gần đó
*Vật phẩm Gacha</t>
  </si>
  <si>
    <t>毒蛇之擁</t>
  </si>
  <si>
    <t>物攻：1
魔攻：1
自動環繞攻擊</t>
  </si>
  <si>
    <t>毒蛇の抱擁</t>
  </si>
  <si>
    <t>物理攻撃力：1
魔法攻撃力：1
自分の周りで回り攻撃する</t>
  </si>
  <si>
    <t>Venomous Embrace</t>
  </si>
  <si>
    <t>Physical attack: 1
Magic attack: 1
Floating knife will hit nearby enemies</t>
  </si>
  <si>
    <t>독사의 포옹</t>
  </si>
  <si>
    <t>물리 공격력 : 1
마법 공격력 : 1
자동공격 기능</t>
  </si>
  <si>
    <t>Giftige Umarmung</t>
  </si>
  <si>
    <t>Physischer Angriff: 1
Magieangriff: 1
Das schwebende Messer wird nahe Feinde angreifen</t>
  </si>
  <si>
    <t>Vòng Tay Độc Tử</t>
  </si>
  <si>
    <t>Sát thương vật lý: 1
Sát thương ma thuật: 1
Dao bay sẽ tấn công kẻ địch gần đó</t>
  </si>
  <si>
    <t>復活一次</t>
  </si>
  <si>
    <t>Revives self upon death once.</t>
  </si>
  <si>
    <t>죽었을 때 한 번 부활 가능</t>
  </si>
  <si>
    <t>Auferstehung, Item geht kaputt</t>
  </si>
  <si>
    <t>Tự hồi sinh một lần sau khi chết.</t>
  </si>
  <si>
    <t>倒吊人的骨戒</t>
  </si>
  <si>
    <t>物防：2
魔抗：15
掉落傷害減免</t>
  </si>
  <si>
    <t>ハングドマンの骨戒</t>
  </si>
  <si>
    <t>Hanged Man's Bone Ring</t>
  </si>
  <si>
    <t>Physical defense: 2
Magic defense: 15
Reduce damage from falling</t>
  </si>
  <si>
    <t>매달린 남자의 뼈 반지</t>
  </si>
  <si>
    <t>물리 방어력 : 2
마법 방어력 : 15
낙하 피해 감소</t>
  </si>
  <si>
    <t>Knochenring des Gehängten</t>
  </si>
  <si>
    <t>Physische Verteidigung: 2
Magieabwehr: 15
Reduziert den Fallschaden</t>
  </si>
  <si>
    <t>Nhẫn Xương Tử Tội</t>
  </si>
  <si>
    <t>Phòng thủ vật lý: 2
Kháng ma thuật: 15
Giảm sát thương khi ngã</t>
  </si>
  <si>
    <t>武術家護腕</t>
  </si>
  <si>
    <t>物攻：3
減少武器耐久消耗、提升攻速和拳擊的傷害</t>
  </si>
  <si>
    <t>武闘家のリスト</t>
  </si>
  <si>
    <t>Handschutz des Kampfkünstlers</t>
  </si>
  <si>
    <t>Physischer Angriff: 3
Reduziert den Verbrauch von Waffenhaltbarkeit, erhöht die Angriffsgeschwindigkeit und den Boxschaden</t>
  </si>
  <si>
    <t>Hộ Thủ Võ Giả</t>
  </si>
  <si>
    <t>Sát thương vật lý: 3
Giảm độ bền vũ khí, tăng tốc độ đánh và
sát thương cú đấm</t>
  </si>
  <si>
    <t>武術家之鞋</t>
  </si>
  <si>
    <t>移速:5
閃步效果强化</t>
  </si>
  <si>
    <t>武闘家の靴</t>
  </si>
  <si>
    <t>Martial Arists Shoes</t>
  </si>
  <si>
    <t>Movement speed: 5
Enhances "Senpo"
*Gachapon Item</t>
  </si>
  <si>
    <t>Schuhe des Kampfkünstlers</t>
  </si>
  <si>
    <t>Bewegungsgeschwindigkeit: 5
Verbessert "Senpo".</t>
  </si>
  <si>
    <t>Giày Võ Sĩ</t>
  </si>
  <si>
    <t>Tốc độ di chuyển: 5
Cường hóa "Senpo"
*Vật phẩm Gacha</t>
  </si>
  <si>
    <t>萌萌兔耳</t>
  </si>
  <si>
    <t>物防：1
幸運：60</t>
  </si>
  <si>
    <t>モエモエバニーイヤー</t>
  </si>
  <si>
    <t>Moe Bunny Ears</t>
  </si>
  <si>
    <t>Physical defense: 1
Luck: 60</t>
  </si>
  <si>
    <t>Süße Hasenohren</t>
  </si>
  <si>
    <t>Physische Verteidigung: 1
Glück: 60</t>
  </si>
  <si>
    <t>Tai Thỏ Moe</t>
  </si>
  <si>
    <t>Phòng thủ vật lý: 1
May mắn: 60</t>
  </si>
  <si>
    <t>女僕制服</t>
  </si>
  <si>
    <t>物防：4
魔抗：4
幸運：30
無法攻擊、特殊效果</t>
  </si>
  <si>
    <t>Maid Uniform</t>
  </si>
  <si>
    <t>Physical defense: 4
Magic defense: 4
Luck: 30
Unable to attack, receive special effects</t>
  </si>
  <si>
    <t>메이드복</t>
  </si>
  <si>
    <t>물리 방어력 : 4
마법 방어력 : 4
행운 : 30
공격 불가, 특수효과</t>
  </si>
  <si>
    <t>Dienstmädchen Uniform</t>
  </si>
  <si>
    <t>Physische Verteidigung und Magieabwehr: 4
Glück: 30 
Kann nicht angreifen, erhält besondere Effekte.</t>
  </si>
  <si>
    <t>Đồng Phục Hầu Gái</t>
  </si>
  <si>
    <t>Phòng thủ vật lý: 4
Kháng ma thuật: 4
May mắn: 30
Không thể tấn công, nhận hiệu ứng đặc biệt</t>
  </si>
  <si>
    <t>魔力晶簇</t>
  </si>
  <si>
    <t>魔攻：20
魔抗：10
加快吟唱、魔法穿透</t>
  </si>
  <si>
    <t>魔晶クラスター</t>
  </si>
  <si>
    <t>Mana Crystal Cluster</t>
  </si>
  <si>
    <t>Magic attack: 20
Magic defense: 10
Boosts casting speed and magic power</t>
  </si>
  <si>
    <t>마력 수정체</t>
  </si>
  <si>
    <t>마법 공격력 : 20
마법 방어력 : 10
시전속도와 마법 관통력 상승</t>
  </si>
  <si>
    <t>Manakristallbündel</t>
  </si>
  <si>
    <t>Magieangriff: 20
Magieabwehr: 10
Erhöht die Zaubergeschwindigkeit und Magiekraft</t>
  </si>
  <si>
    <t>Cụm Tinh Thạch Mana</t>
  </si>
  <si>
    <t>Sát thương ma thuật: 20
Kháng ma thuật: 10
Tăng tốc độ niệm phép và sức mạnh phép thuật</t>
  </si>
  <si>
    <t>深邃魔力晶簇</t>
  </si>
  <si>
    <t>魔攻：35
魔抗：20
加快吟唱、魔法穿透</t>
  </si>
  <si>
    <t>深層魔晶クラスター</t>
  </si>
  <si>
    <t>Abyssal Mana Cluster</t>
  </si>
  <si>
    <t>Magic attack: 35
Magic defense: 20
Boosts casting speed and magic power</t>
  </si>
  <si>
    <t>심연의 마력 수정체</t>
  </si>
  <si>
    <t>마법 공격력 : 35
마법 방어력 : 20
시전속도와 마법 관통력 상승</t>
  </si>
  <si>
    <t>Abgründiges Manabündel</t>
  </si>
  <si>
    <t>Magieangriff: 35
Magieabwehr: 20
Erhöht die Zaubergeschwindigkeit und Magiekraft</t>
  </si>
  <si>
    <t>Cụm Mana Vực Thẳm</t>
  </si>
  <si>
    <t>Sát thương ma thuật: 35
Kháng ma thuật: 20
Tăng tốc độ niệm phép và sức mạnh phép thuật</t>
  </si>
  <si>
    <t>受詛胎體</t>
  </si>
  <si>
    <t>體力上升，基礎25，額外加成2%
體力恢复效果提升20%</t>
  </si>
  <si>
    <t>呪われた胎児</t>
  </si>
  <si>
    <t>Cursed Fetus</t>
  </si>
  <si>
    <t>체력 25 증가, 추가 보너스 2%
체력 회복 효과 20% 증가</t>
  </si>
  <si>
    <t>Verfluchter Fötus</t>
  </si>
  <si>
    <t>Physische Stärke erhöht, Basis 25, zusätzlicher Bonus 2%.
Effekt der physischen Stärke-Wiederherstellung um 20% erhöht</t>
  </si>
  <si>
    <t>Bào Thai Bị Nguyền Rủa</t>
  </si>
  <si>
    <t>HP tăng từ mức cơ bản là 25, cộng thêm 2%.
HP hồi phục tăng 20%.</t>
  </si>
  <si>
    <t>不幸的誕生</t>
  </si>
  <si>
    <t>體力上升，基礎30，額外加成10%
獲得自動回復效果，體力恢复效果提升25%</t>
  </si>
  <si>
    <t>不幸の誕生</t>
  </si>
  <si>
    <t>Birth of Misfortune</t>
  </si>
  <si>
    <t xml:space="preserve">체력 30 증가, 추가 보너스 10%
자동 회복 효과
체력 회복 효과 25% 증가
</t>
  </si>
  <si>
    <t>Geburt des Unheils</t>
  </si>
  <si>
    <t>Physische Stärke erhöht, Basis 30, zusätzlicher Bonus 10%.
Erhält automatischen Heilungseffekt, und erhöht den Effekt der physischen Stärke-Wiederherstellung um 25%</t>
  </si>
  <si>
    <t>Khởi Nguyên Của Tai Ương</t>
  </si>
  <si>
    <t>Tăng HP từ mức cơ bản 30 lên thêm 10%. 
Có khả năng tự động phục hồi, 
tăng tốc độ phục hồi HP thêm 25%.</t>
  </si>
  <si>
    <t>調皮的杰克</t>
  </si>
  <si>
    <t>魔攻：8
魔防：8
增強殘血傷害</t>
  </si>
  <si>
    <t>生意気なジャッキー</t>
  </si>
  <si>
    <t>体力の少ない敵に特攻</t>
  </si>
  <si>
    <t>Saucy Jacky</t>
  </si>
  <si>
    <t>Magic attack: 8
Magic resistance: 8
Extra damage to enemies with low hp
*Gachapon Item</t>
  </si>
  <si>
    <t>마법 공격력 : 8
마법 방어력 : 8
체력이 낮은 적에게 추가 피해</t>
  </si>
  <si>
    <t>Ungezogener Jacky</t>
  </si>
  <si>
    <t>Magieangriff und Magieabwehr: 8
Zusätzlicher Schaden gegen Feinde mit niedrigem HP</t>
  </si>
  <si>
    <t>Jacky Láu Cá</t>
  </si>
  <si>
    <t>Sát thương ma thuật: 8
Kháng ma thuật: 8
Gây thêm sát thương lên kẻ địch có lượng HP thấp
*Vật phẩm Gacha</t>
  </si>
  <si>
    <t>未滿的黃金聖杯</t>
  </si>
  <si>
    <t>幸運:100
掉落拾取的金錢數量翻倍
(不可以和存錢罐連動)</t>
  </si>
  <si>
    <t>未満の黄金聖杯</t>
  </si>
  <si>
    <t>Incomplete Holy Grail</t>
  </si>
  <si>
    <t>Luck: 100
Doubles the amount of money gained
(Doesn't work with the Piggy Bank)
*Gachapon Item</t>
  </si>
  <si>
    <t>Santo Grial incompleto</t>
  </si>
  <si>
    <t>불완전한 성배</t>
  </si>
  <si>
    <t xml:space="preserve">
행운 : 100
획득하는 돈의 양이 2배로 증가
(돼지 저금통과 같이 사용 불가)
</t>
  </si>
  <si>
    <t>Unvollständiger Heiliger Gral</t>
  </si>
  <si>
    <t>Glück: 100
Verdoppelt die Menge an Geld, das du erhältst
(Funktioniert nicht mit dem Sparschwein.)</t>
  </si>
  <si>
    <t>Chén Thánh Vàng
 Khiếm Khuyết</t>
  </si>
  <si>
    <t>May mắn: 100
Nhân đôi số tiền nhận được
(Không dùng được với Heo Đất)
*Vật phẩm Gacha</t>
  </si>
  <si>
    <t>炸彈魔之魂</t>
  </si>
  <si>
    <t>附帶爆炸效果、爆炸減免</t>
  </si>
  <si>
    <t>爆弾魔の魂</t>
  </si>
  <si>
    <t>Bomb Fiend's Soul</t>
  </si>
  <si>
    <t>Reduces damage from explosions
Has a chance to trigger explosions when attacking</t>
  </si>
  <si>
    <t>폭탄마의 영혼</t>
  </si>
  <si>
    <t>공격 시 일정 확률로 폭발을 일으키고 폭발로 인한 피해 감소</t>
  </si>
  <si>
    <t>Seele des Bombenteufels</t>
  </si>
  <si>
    <t>Reduziert Schaden durch Explosionen.
Hat eine Chance, Explosionen beim Angreifen auszulösen</t>
  </si>
  <si>
    <t>Linh Hồn Ma Hoả</t>
  </si>
  <si>
    <t>Giảm sát thương từ vụ nổ
Có cơ hội kích hoạt vụ nổ khi tấn công</t>
  </si>
  <si>
    <t>縱火狂的防燙手套</t>
  </si>
  <si>
    <t>物攻:4
增強炸彈效果</t>
  </si>
  <si>
    <t>放火狂のグローブ</t>
  </si>
  <si>
    <t>Arsonist's Gloves</t>
  </si>
  <si>
    <t>Physical attack 4:
Bombs detonated by self is enhanced</t>
  </si>
  <si>
    <t>방화범의 장갑</t>
  </si>
  <si>
    <t>물리 공격력 : 4
폭탄 피해 강화</t>
  </si>
  <si>
    <t>Handschuhe des Brandstifters</t>
  </si>
  <si>
    <t>Physischer Angriff 4:
Bomben, die durch dich detoniert werden, werden verstärkt</t>
  </si>
  <si>
    <t>Găng Tay Hoả Ngục</t>
  </si>
  <si>
    <t>Sát thương vật lý: 4
Bom tự kích nổ được tăng cường</t>
  </si>
  <si>
    <t>魔力汲取手套</t>
  </si>
  <si>
    <t>魔攻：10
物防：1
魔抗：20
武器附帶魔法傷害</t>
  </si>
  <si>
    <t>魔力吸収の手袋</t>
  </si>
  <si>
    <t>Mana Draining Gloves</t>
  </si>
  <si>
    <t>Physical attack: 2
Magic attack: 20
Physical defense: 1
Magic resistance: 20
Weapon attack type turns into Magic
Magical weapons deal 30% extra magic damage</t>
  </si>
  <si>
    <t>마력 흡수 장갑</t>
  </si>
  <si>
    <t>마법 공격력 : 10
물리 방어력 : 1
마법 방어력 : 20
무기에 마법 피해가 추가 됨</t>
  </si>
  <si>
    <t>Manazehrende Handschuhe</t>
  </si>
  <si>
    <t>Magieangriff: 10
Physische Verteidigung: 1
Magieabwehr: 20
Waffen verursachen zusätzlichen magischen Schaden</t>
  </si>
  <si>
    <t>Găng Tay Hấp Thụ Mana</t>
  </si>
  <si>
    <t>Sát thương vật lý: 2
Sát thương ma thuật thuật: 20
Phòng thủ vật lý: 1
Kháng ma thuật: 20
Loại tấn công vũ khí chuyển thành ma thuật
Vũ khí ma thuật gây thêm 30% sát thương
ma thuật</t>
  </si>
  <si>
    <t>穿刺釘甲</t>
  </si>
  <si>
    <t>物攻：2
物防：6
傷害型防具</t>
  </si>
  <si>
    <t>鋼刺の鎧</t>
  </si>
  <si>
    <t>Piercing Spike Armour</t>
  </si>
  <si>
    <t>Physical attack: 2
Physical defense: 6
Damages nearby enemies</t>
  </si>
  <si>
    <t>관통 가시 갑옷</t>
  </si>
  <si>
    <t>물리 공격력 : 2
물리 방어력 : 6
주변 적들에게 피해를 줌</t>
  </si>
  <si>
    <t>Durchbohrende Stachelrüstung</t>
  </si>
  <si>
    <t>Physischer Angriff: 2
Physische Verteidigung: 6
Verursacht Schaden an nahe Feinde.</t>
  </si>
  <si>
    <t>Giáp Gai Xuyên Phá</t>
  </si>
  <si>
    <t>Sát thương vật lý: 2
Phòng thủ vật lý: 6
Gây sát thương lên kẻ địch xung quanh</t>
  </si>
  <si>
    <t>穿刺釘盔</t>
  </si>
  <si>
    <t>物攻：4
物防：2
傷害型防具</t>
  </si>
  <si>
    <t>鋼刺の兜</t>
  </si>
  <si>
    <t>Piercing Spike Helmet</t>
  </si>
  <si>
    <t>Physical attack: 4
Physical defense: 2
Damages nearby enemies</t>
  </si>
  <si>
    <t>관통 가시 투구</t>
  </si>
  <si>
    <t>물리 공격력 : 4
물리 방어력 : 2
주변 적들에게 피해를 줌</t>
  </si>
  <si>
    <t>Durchbohrender Stachelhelm</t>
  </si>
  <si>
    <t>Physischer Angriff: 4
Physische Verteidigung: 2
Verursacht Schaden an nahe Feinde.</t>
  </si>
  <si>
    <t>Mũ Gai Xuyên Phá</t>
  </si>
  <si>
    <t>Sát thương vật lý: 4
Phòng thủ vật lý: 2
Gây sát thương lên kẻ địch xung quanh</t>
  </si>
  <si>
    <t>穿刺釘鞋</t>
  </si>
  <si>
    <t>物攻：2
物防：2
傷害型防具</t>
  </si>
  <si>
    <t>鋼刺の靴</t>
  </si>
  <si>
    <t>Piercing Spike Boots</t>
  </si>
  <si>
    <t>Physical attack: 2
Physical defense2
Damages nearby enemies</t>
  </si>
  <si>
    <t>Botas con pinchos perforadores</t>
  </si>
  <si>
    <t>관통 가시 부츠</t>
  </si>
  <si>
    <t>물리 공격력 : 2
물리 방어력 : 2
주변 적들에게 피해를 줌</t>
  </si>
  <si>
    <t>Durchbohrende Stiefel</t>
  </si>
  <si>
    <t>Physischer Angriff: 2
Physische Verteidigung 2
Verursacht Schaden an nahe Feinde.</t>
  </si>
  <si>
    <t>Giày Gai Xuyên Phá</t>
  </si>
  <si>
    <t>Sát thương vật lý: 2
Phòng thủ vật lý: 2
Gây sát thương lên kẻ địch xung quanh</t>
  </si>
  <si>
    <t>穿刺臂鎧</t>
  </si>
  <si>
    <t>物攻：5
物防：1
傷害型防具</t>
  </si>
  <si>
    <t>鋼刺の篭手</t>
  </si>
  <si>
    <t>Piercing Spike Gauntlets</t>
  </si>
  <si>
    <t>Physical attack: 5
Physical defense: 1
Damages nearby enemies</t>
  </si>
  <si>
    <t>관통 가시 장갑</t>
  </si>
  <si>
    <t>물리 공격력 : 5
물리 방어력 : 1
주변 적들에게 피해를 줌</t>
  </si>
  <si>
    <t>Durchbohrende Stachelarmschienen</t>
  </si>
  <si>
    <t>Physischer Angriff: 5
Physische Verteidigung: 1
Verursacht Schaden an nahe Feinde</t>
  </si>
  <si>
    <t>Găng Gai Xuyên Phá</t>
  </si>
  <si>
    <t>Sát thương vật lý: 5
Phòng thủ vật lý: 1
Gây sát thương lên kẻ địch xung quanh</t>
  </si>
  <si>
    <t>騎士頭盔</t>
  </si>
  <si>
    <t>物防：5
魔抗：2
低體力增屬性</t>
  </si>
  <si>
    <t>Knight's Helmet</t>
  </si>
  <si>
    <t>Physical defense: 5
Magic resistance: 2
Gain bonus effects when HP is low</t>
  </si>
  <si>
    <t>기사의 투구</t>
  </si>
  <si>
    <t>물리 방어력 : 5
마법 방어력 : 2
체력이 적을 때 추가 효과를 얻음</t>
  </si>
  <si>
    <t>Helm des Ritters</t>
  </si>
  <si>
    <t>Physische Verteidigung: 5
Magieabwehr: 2
Erhält Boni, wenn HP niedrig sind</t>
  </si>
  <si>
    <t>Mũ Hiệp Sĩ</t>
  </si>
  <si>
    <t>Phòng thủ vật lý: 5
Kháng ma thuật: 2
Nhận hiệu ứng cộng thêm khi HP thấp</t>
  </si>
  <si>
    <t>騎士護臂</t>
  </si>
  <si>
    <t>物攻：2
物防：3
低體力增屬性</t>
  </si>
  <si>
    <t>騎士の篭手</t>
  </si>
  <si>
    <t>Knight's Gauntlets</t>
  </si>
  <si>
    <t>Physical defense: 2
Magic resistance: 3
Gain bonus effects when HP is low</t>
  </si>
  <si>
    <t>Guanteletes de Caballero</t>
  </si>
  <si>
    <t>기사의 장갑</t>
  </si>
  <si>
    <t>물리 방어력 : 2
마법 방어력 : 3
체력이 적을 때 추가 효과를 얻음</t>
  </si>
  <si>
    <t>Armschienen des Ritters</t>
  </si>
  <si>
    <t>Physische Verteidigung: 2
Magieabwehr: 3
Erhält Boni, wenn HP niedrig sind</t>
  </si>
  <si>
    <t>Găng Tay Hiệp Sĩ</t>
  </si>
  <si>
    <t>Phòng thủ vật lý: 2
Kháng ma thuật: 3
Nhận hiệu ứng cộng thêm khi HP thấp</t>
  </si>
  <si>
    <t>騎士脛甲</t>
  </si>
  <si>
    <t>物防：2
魔抗：2
低體力增屬性</t>
  </si>
  <si>
    <t>騎士の靴</t>
  </si>
  <si>
    <t>Knight's Greaves</t>
  </si>
  <si>
    <t>Physical defense: 2
Magic resistance: 2
Gain bonus effects when HP is low</t>
  </si>
  <si>
    <t>기사의 경갑</t>
  </si>
  <si>
    <t>물리 방어력 : 2
마법 방어력 : 2
체력이 적을 때 추가 효과를 얻음</t>
  </si>
  <si>
    <t>Beinschienen des Ritters</t>
  </si>
  <si>
    <t>Physische Verteidigung: 2
Magieabwehr: 2
Erhält Boni, wenn HP niedrig sind</t>
  </si>
  <si>
    <t>Giày Hiệp Sĩ</t>
  </si>
  <si>
    <t>Phòng thủ vật lý: 2
Kháng ma thuật: 2
Nhận hiệu ứng cộng thêm khi HP thấp</t>
  </si>
  <si>
    <t>騎士鎧甲</t>
  </si>
  <si>
    <t>物防：10
魔抗：4
低體力增屬性</t>
  </si>
  <si>
    <t>Knight's Armor</t>
  </si>
  <si>
    <t>Physical defense: 10
Magic resistance: 4
Gain bonus effects when HP is low</t>
  </si>
  <si>
    <t>기사의 갑옷</t>
  </si>
  <si>
    <t>물리 방어력 : 10
마법 방어력 : 4
체력이 적을 때 추가 효과를 얻음</t>
  </si>
  <si>
    <t>Rüstung des Ritters</t>
  </si>
  <si>
    <t>Physische Verteidigung: 10
Magieabwehr: 4
Erhält Boni, wenn HP niedrig sind</t>
  </si>
  <si>
    <t>Giáp Hiệp sĩ</t>
  </si>
  <si>
    <t>Phòng thủ vật lý: 10
Kháng ma thuật: 4
Nhận hiệu ứng cộng thêm khi HP thấp</t>
  </si>
  <si>
    <t>墮落法師的手套</t>
  </si>
  <si>
    <t>魔攻：10
自動瞄準</t>
  </si>
  <si>
    <t>堕落法師の手袋</t>
  </si>
  <si>
    <t>Fallen Mage's Gloves</t>
  </si>
  <si>
    <t>Magic attack: 10
Projectiles track enemies</t>
  </si>
  <si>
    <t>마법 공격력 : 10
자동 조준</t>
  </si>
  <si>
    <t>Handschuhe des gefallenen Magiers</t>
  </si>
  <si>
    <t>Magieangriff: 10
Projektile verfolgen Feinde</t>
  </si>
  <si>
    <t>Găng Tay Của Phù Thủy
Sa Ngã</t>
  </si>
  <si>
    <t>Sát thương ma thuật: 10
Đạn bay theo kẻ địch</t>
  </si>
  <si>
    <t>墮落法師的頭環</t>
  </si>
  <si>
    <t>魔攻：10
魔抗：25
提升魔攻並降低自身體力上限</t>
  </si>
  <si>
    <t>Fallen Mage's Circlet
(Not implemented yet)</t>
  </si>
  <si>
    <t>Magic attack: 30
Magic resistance: 35
Projectiles track enemies</t>
  </si>
  <si>
    <t>타락한 마법사의 머리띠 (미구현)</t>
  </si>
  <si>
    <t>마법 공격력 : 30
마법 방어력 : 35
자동 조준</t>
  </si>
  <si>
    <t>Reif des gefallenen Magiers (Noch nicht implementiert</t>
  </si>
  <si>
    <t>Magieangriff: 30
Magieabwehr: 35
Projektile verfolgen Feinde</t>
  </si>
  <si>
    <t>Vòng Nguyền Rủa Của 
Phù Thủy Sa Ngã
(Chưa được triển khai)</t>
  </si>
  <si>
    <t>Sát thương phép thuật: 30
Kháng ma thuật: 35
Đạn bay theo kẻ địch</t>
  </si>
  <si>
    <t>墮落法師的披風</t>
  </si>
  <si>
    <t>魔攻：10
物防:1
魔抗：35
閃步使物體陷入凝滯狀態</t>
  </si>
  <si>
    <t>Fallen Mage's Cloak</t>
  </si>
  <si>
    <t>Magic attack: 10
Physical resistance: 1
Magic resistance: 35
Afterimages generated by Senpo lasts longer
Objects touching the afterimages become frozen</t>
  </si>
  <si>
    <t>타락한 마법사의 로브 (미구현)</t>
  </si>
  <si>
    <t>마법 공격력 : 10
물리 방어력 : 1
마법 방어력 : 35
자동 조준</t>
  </si>
  <si>
    <t>Robe des gefallenen Magiers (Noch nicht implementiert)</t>
  </si>
  <si>
    <t>Magieangriff: 10
Physische Verteidigung: 1
Magieabwehr: 35
Projektile verfolgen Feinde</t>
  </si>
  <si>
    <t>Áo Choàng của Phù Thủy
Sa Ngã</t>
  </si>
  <si>
    <t>Sát thương ma thuật: 10
Phòng thủ vật lý: 1
Kháng ma thuật: 35
Dư ảnh do Senpo tạo ra tồn tại lâu hơn
Các vật thể chạm vào dư ảnh sẽ bị đóng băng</t>
  </si>
  <si>
    <t>墮落法師的輕履</t>
  </si>
  <si>
    <t>魔攻：10
魔抗：20
虛無：無視一切阻礙、包括敵人子彈</t>
  </si>
  <si>
    <t>Fallen Mage's Shoes</t>
  </si>
  <si>
    <t>Magic attack: 10
Magic resistance: 20
Void: Ignores all terrain and enemy projectiles when using Senpo
*Gachapon Item</t>
  </si>
  <si>
    <t>타락한 마법사의 신발</t>
  </si>
  <si>
    <t>마법 공격력 : 10
마법 방어력 : 20
공허 : 모든 장애물을 무시가능 적의 투사체 포함</t>
  </si>
  <si>
    <t>Schuhe des gefallenen Magiers</t>
  </si>
  <si>
    <t>Magieangriff: 10
Magieabwehr: 20
Ignoriert alle Gelände- und Gegnerprojektile bei Verwendung von Senpo</t>
  </si>
  <si>
    <t>Giày Của Phù Thủy Sa Ngã</t>
  </si>
  <si>
    <t>Sát thương ma thuật: 10
Kháng ma thuật: 20
Hư vô: Vượt mọi địa hình và đạn của
kẻ địch khi sử dụng Senpo
*Vật phẩm Gacha</t>
  </si>
  <si>
    <t>精神凝聚頭環</t>
  </si>
  <si>
    <t>魔攻：1
免疫暈眩、增強魔法穿透和魔法範圍</t>
  </si>
  <si>
    <t>精神凝縮の髪飾り</t>
  </si>
  <si>
    <t>Focus Circlet</t>
  </si>
  <si>
    <t xml:space="preserve">Magic attack: 1
Grants immunity to stun
Enhances magic power and casting </t>
  </si>
  <si>
    <t>정신 집중 머리띠</t>
  </si>
  <si>
    <t>마법 공격력 : 1
기절 면역, 마법 관통력 상승, 시전 범위 증가</t>
  </si>
  <si>
    <t>Fokusreif</t>
  </si>
  <si>
    <t>Magieangriff: 1
Gewährt Immunität gegen Betäubung.
Verstärkt Magiekraft und Zaubern</t>
  </si>
  <si>
    <t>Vòng Định Tâm</t>
  </si>
  <si>
    <t>Sát thương ma thuật: 1
Miễn nhiễm với choáng
Tăng cường sức mạnh phép thuật và
khả năng niệm phép</t>
  </si>
  <si>
    <t>夜霧幻影</t>
  </si>
  <si>
    <t>物防:2
魔防:2
每隔一段時間會透明化、透明時進行背刺傷害加倍</t>
  </si>
  <si>
    <t>Misty Night Phantom</t>
  </si>
  <si>
    <t>Physical defense: 2
Magic resistance: 2
Periodically enters an invisible state.
Assassinations while invisible deals double damage</t>
  </si>
  <si>
    <t>밤안개의 환영 (미구현)</t>
  </si>
  <si>
    <t>물리 방어력 : 2
마법 방어력 : 2
공허 : 모든 장애물을 무시가능 적의 투사체 포함</t>
  </si>
  <si>
    <t>Nebelgeist der Nacht</t>
  </si>
  <si>
    <t>Physische Verteidigung: 2
Magieabwehr: 2
Ignoriert alle Gelände- und Gegnerprojektile bei Verwendung von Senpo</t>
  </si>
  <si>
    <t>Vũ Dạ Huyễn Ảnh</t>
  </si>
  <si>
    <t>Phòng thủ vật lý: 2
Kháng ma thuật: 2
Thỉnh thoảng vào trạng thái tàng hình.
Ám sát khi tàng hình gây gấp đôi sát thương</t>
  </si>
  <si>
    <t>聖少女的憐憫</t>
  </si>
  <si>
    <t>魔攻：20
物防:2
魔抗：40
賢者、特殊好感</t>
  </si>
  <si>
    <t>聖少女の慈愛</t>
  </si>
  <si>
    <t>魔法攻撃力：20
物理防御力：2
魔法耐性：40
賢者モードになる、頭を撫でるにボーナス付与</t>
  </si>
  <si>
    <t>Saint Maiden's Mercy</t>
  </si>
  <si>
    <t>Magic attack: 20
Physical defense: 2
Magic resistance: 40
Enters "Sage Mode"
Favorability increased on headpats</t>
  </si>
  <si>
    <t>성녀의 자비</t>
  </si>
  <si>
    <t xml:space="preserve">마법 공격력 : 20
물리 방어력 : 2
마법 방어력 : 40
현자 모드 진입
머리 쓰다듬기에 보너스 부여
</t>
  </si>
  <si>
    <t>Barmherzigkeit der Heiligen Jungfrau</t>
  </si>
  <si>
    <t>Magischer Angriff: 20
Physische Verteidigung: 2
Magieresistenz: 40
Wechselt in den ‚Weisenmodus‘
Zuneigung steigt bei Kopfstreicheln</t>
  </si>
  <si>
    <t>Lòng Thương Xót Của
Thánh Nữ</t>
  </si>
  <si>
    <t>Sát thương ma thuật: 20
Phòng thủ vật lý: 2
Kháng ma thuật: 40
Vào "Chế độ Hiền nhân"
Tăng độ thiện cảm khi vỗ đầu</t>
  </si>
  <si>
    <t>晴天娃娃</t>
  </si>
  <si>
    <t>魔抗：10
幸運：10
第二天晴天</t>
  </si>
  <si>
    <t>てるてる坊主</t>
  </si>
  <si>
    <t>Teru Bozu</t>
  </si>
  <si>
    <t>Magic resistance: 10
Luck: 10
Next day will be Sunny.</t>
  </si>
  <si>
    <t>테루테루보즈</t>
  </si>
  <si>
    <t>마법 방어력 : 10
행운 : 10
다음 날 맑음</t>
  </si>
  <si>
    <t>Puppe des Sonnenscheins</t>
  </si>
  <si>
    <t>Magieabwehr: 10
Glück: 10
Der nächste Tag wird sonnig</t>
  </si>
  <si>
    <t xml:space="preserve">Búp Bê Cầu Nắng </t>
  </si>
  <si>
    <t>Kháng ma thuật: 10
May mắn: 10
Trời nắng vào ngày mai.</t>
  </si>
  <si>
    <t>陰天娃娃</t>
  </si>
  <si>
    <t>魔抗：10
幸運：10
第二天陰天</t>
  </si>
  <si>
    <t>くもくも坊主</t>
  </si>
  <si>
    <t>Kumo Bozu</t>
  </si>
  <si>
    <t>Magic resistance: 10
Luck: 10
Next day will be Cloudy.</t>
  </si>
  <si>
    <t>쿠모쿠모보즈</t>
  </si>
  <si>
    <t>마법 방어력 : 10
행운 : 10
다음 날 흐림</t>
  </si>
  <si>
    <t>Puppe des Bewölkten</t>
  </si>
  <si>
    <t>Magieabwehr: 10
Glück: 10
Der nächste Tag wird bewölkt</t>
  </si>
  <si>
    <t>Búp Bê Cầu Mây</t>
  </si>
  <si>
    <t>Kháng ma thuật: 10
May mắn: 10
Trời nhiều mây vào ngày mai.</t>
  </si>
  <si>
    <t>雨天娃娃</t>
  </si>
  <si>
    <t>魔抗：10
幸運：10
第二天雨天</t>
  </si>
  <si>
    <t>あめあめ坊主</t>
  </si>
  <si>
    <t>Ame Bozu</t>
  </si>
  <si>
    <t>Magic resistance: 10
Luck: 10
Next day will be Rainy.</t>
  </si>
  <si>
    <t>아메아메보즈</t>
  </si>
  <si>
    <t>마법 방어력 : 10
행운 : 10
다음 날 비</t>
  </si>
  <si>
    <t>Puppe des Regens</t>
  </si>
  <si>
    <t>Magieabwehr: 10
Glück: 10
Der nächste Tag wird regnerisch</t>
  </si>
  <si>
    <t>Búp Bê Cầu Mưa</t>
  </si>
  <si>
    <t>Kháng ma thuật: 10
May mắn: 10
Trời mưa vào ngày mai.</t>
  </si>
  <si>
    <t>芳草心</t>
  </si>
  <si>
    <t>物防：1
魔抗：10
幸運：5
提升最大體力</t>
  </si>
  <si>
    <t>Fragrant Grass Ring</t>
  </si>
  <si>
    <t>Physical defense: 1
Magic resistance: 10
Luck: 5
Increases maximum HP</t>
  </si>
  <si>
    <t>향기로운 풀의 마음</t>
  </si>
  <si>
    <t>물리 방어력 : 1
마법 방어력 : 10
행운 : 5
최대 체력 증가</t>
  </si>
  <si>
    <t>Duftgrasring</t>
  </si>
  <si>
    <t>Physische Verteidigung: 1
Magieabwehr: 10
Glück: 5
Erhöht das maximale HP</t>
  </si>
  <si>
    <t>Nhẫn Cỏ Thảo Hương</t>
  </si>
  <si>
    <t>Phòng thủ vật lý: 1
Kháng ma thuật: 10
May mắn: 5
Tăng HP tối đa</t>
  </si>
  <si>
    <t>魔抗：30
無法回復、免死7秒</t>
  </si>
  <si>
    <t>Magic Resistance: 30
Unable to recover HP
Immune to death for 7 seconds when HP reaches 0</t>
  </si>
  <si>
    <t>마법 방어력 : 30
회복 불가, 7초간 사망 면역</t>
  </si>
  <si>
    <t>Magieabwehr: 30
Kann keine HP wiederherstellen.
Immun gegen den Tod für 7 Sekunden, wenn HP auf 0 sind</t>
  </si>
  <si>
    <t>Kháng ma thuật: 30
Không thể hồi phục HP
Miễn nhiễm tử vong trong 7 giây khi HP xuống 0</t>
  </si>
  <si>
    <t>豬豬存錢罐</t>
  </si>
  <si>
    <t>幸運：40
撿錢(100萬進化)、易碎</t>
  </si>
  <si>
    <t>Piggy Bank</t>
  </si>
  <si>
    <t>Luck: 40
Collects money (up to 1 million)
Fragile</t>
  </si>
  <si>
    <t>행운 : 40
돈을 자동으로 주움(최대 100만까지) 내구성이 약함(잘 부서짐)</t>
  </si>
  <si>
    <t>Sparschwein</t>
  </si>
  <si>
    <t>Glück: 40
Sammelt Geld (bis zu 1 Million).
Zerbrechlich</t>
  </si>
  <si>
    <t>Heo Đất</t>
  </si>
  <si>
    <t>May mắn: 40
Thu thập tiền (tối đa 1 triệu)
Dễ vỡ</t>
  </si>
  <si>
    <t>貪欲存錢罐</t>
  </si>
  <si>
    <t>幸運：100
撿錢、瑪門光環、堅不可摧、移動加快
(可以與黃金聖杯連動)</t>
  </si>
  <si>
    <t>Greedy Piggy Bank</t>
  </si>
  <si>
    <t>행운 : 100
돈 자동 습득, 마몬 아우라, 파괴 불가(부서지지 않음), 이동속도 증가
(황금 성배랑 연동 가능)</t>
  </si>
  <si>
    <t>Gieriges Sparschwein</t>
  </si>
  <si>
    <t>Glück: 100
Nimmt Geld auf, Mammon-Aura, Unzerstörbar, schnellere Bewegung.
(Kann mit dem Goldenen Heiligen Gral verbunden werden.)</t>
  </si>
  <si>
    <t>Heo Đất Tham Lam</t>
  </si>
  <si>
    <t>May mắn: 100
Nhặt Vàng, Hào quang Mammon,
Bất hoại, Di chuyển Nhanh hơn
(Có thể kết hợp với Chén Thánh Vàng)</t>
  </si>
  <si>
    <t>王權之令</t>
  </si>
  <si>
    <t>提升從者大小和能力、提升全屬性
憤怒的拳頭-強化傷害和擊退距離
毒刀-強化中毒概率
豬豬存錢罐-更不易碎
貪欲存錢罐-探測範圍變大，光環範圍變大
謝里斯的詛咒之手-強化Debuff效果，並讓手指變為馬賽克狀態(未實裝)
◉▽◉-提升體型與傷害、增加擊退效果(擊退效果不會疊加)
(海鷗目前未適配)</t>
  </si>
  <si>
    <t>王権征令</t>
  </si>
  <si>
    <t>Royal Decree</t>
  </si>
  <si>
    <t>Increases the size of all Servants as well as their attributes
Slightly increases all stats.
Fist of Fury - Increases damage and knockback distance
Poison Knife - Chance to inflict poison increases
Piggy Bank - Less fragile, more durable
Greedy Piggy Bank - Larger detection range. Mammon Aura range increase.
Xerise's Cursed Hand: Enhances the Cursed effect and gives the middle finger a mosaic effect.
*Gachapon Item</t>
  </si>
  <si>
    <t xml:space="preserve">
서번트의 크기와 능력을 크게 증가 시키고 모든 능력치를 향상
분노의 주먹 - 피해량과 넉백 거리가 증가
독 나이프 - 중독 확률 증가
돼지 저금통 - 잘 부서지지 않고 튼튼해짐
탐욕스러운 돼지 저금통 - 탐지 범위가 넓어지고, 마몬 아우라 범위 증가
</t>
  </si>
  <si>
    <t>Königliches Dekret</t>
  </si>
  <si>
    <t>Erhöht die Größe aller Diener sowie deren Attribute.
Erhöht leicht alle Werte.
Faust der Wut - Erhöht Schaden und Rückstoßweite.
Giftmesser - Chance, Gift zu verursachen, erhöht.
Sparschwein - Weniger zerbrechlich, haltbarer.
Gieriges Sparschwein - Größerer Erkennungsbereich. Erhöht den Bereich der Mammon-Aura.
Xerises verfluchte Hand: Verstärkt den verfluchten Effekt und verleiht dem Mittelfinger einen Pixelbildeffekt</t>
  </si>
  <si>
    <t>Sắc Lệnh Hoàng Gia</t>
  </si>
  <si>
    <t>Tăng kích thước của tất cả các Servant cũng như
thuộc tính của chúng. Tăng nhẹ tất cả các chỉ số.
Nắm Đấm Thịnh Nộ - Tăng sát thương và 
khoảng cách đẩy lùi
Dao Độc - Tăng cơ hội gây độc
Heo Đất - Ít mỏng manh hơn, bền hơn
Heo Đất Tham Lam - Tầm phát hiện rộng hơn. 
Tầm phát hiện Mammon Aura tăng.
Bàn Tay Nguyền Rủa của Xerise: 
Tăng hiệu ứng Nguyền Rủa
 và tạo hiệu ứng khảm cho ngón giữa.
*Vật phẩm Gacha</t>
  </si>
  <si>
    <t>貓貓玩偶服</t>
  </si>
  <si>
    <t>物防：3
魔抗：25
武器數量+10
裝備數量+20</t>
  </si>
  <si>
    <t>ネコぬいぐるみ服</t>
  </si>
  <si>
    <t>物防：3
魔抗：25
武器の所持数+10
裝備の所持数+20</t>
  </si>
  <si>
    <t>Neko Plush Suit</t>
  </si>
  <si>
    <t>Physical defense: 3
Magic resist: 25
Weapon slots +10
Gear slots +20
*Gachapon Item</t>
  </si>
  <si>
    <t>Traje de gato de peluche</t>
  </si>
  <si>
    <t xml:space="preserve">물리 방어력 : 3
마법 방어력 : 25
무기 소지 수 + 10
장비 소지 수 + 20
</t>
  </si>
  <si>
    <t xml:space="preserve">Neko Plüschanzug </t>
  </si>
  <si>
    <t>Physische Verteidigung: 3
Magieabwehr: 25
Waffenplätze +10
Ausrüstungsplätze +20</t>
  </si>
  <si>
    <t>Trang Phục Mèo Bông</t>
  </si>
  <si>
    <t>Phòng thủ vật lý: 3
Kháng ma thuật: 25
Ô vũ khí +10
Ô trang bị +20
*Vật phẩm Gacha</t>
  </si>
  <si>
    <t>物防：2
魔功：15
魔抗：60
降低結冰、炎上的機率</t>
  </si>
  <si>
    <t>Physical defense: 2
Magic attack: 15
Magic resistance: 60
Reduces chances of being Frozen or Burned</t>
  </si>
  <si>
    <t>물리 방어력 : 2
마법 공격력 : 15
마법 방어력 : 60
빙결이나 화상에 걸릴 확률 감소</t>
  </si>
  <si>
    <t>Physische Verteidigung: 2
Magieangriff: 15
Magieabwehr: 60
Reduziert die Chance, eingefroren oder verbrannt zu werden</t>
  </si>
  <si>
    <t>Nhẫn Hoả Ngục</t>
  </si>
  <si>
    <t>Phòng thủ vật lý: 2
Sát thương ma thuật: 15
Kháng ma thuật: 60
Giảm khả năng bị đóng băng hoặc thiêu đốt</t>
  </si>
  <si>
    <t>炎天娃娃</t>
  </si>
  <si>
    <t>魔抗：10
幸運：10
第二天炎熱</t>
  </si>
  <si>
    <t>あつあつ坊主</t>
  </si>
  <si>
    <t>魔法耐性：10
幸運：10
これを持って寝ると翌日は猛暑になる…</t>
  </si>
  <si>
    <t>Atsu Bozu</t>
  </si>
  <si>
    <t>Magic resistance: 10
Luck: 10
Next day will be Extremely Hot</t>
  </si>
  <si>
    <t>Puppe des heißen Wetters</t>
  </si>
  <si>
    <t>Magieabwehr: 10
Glück: 10
Der nächste Tag wird extrem heiß sein</t>
  </si>
  <si>
    <t>Búp Bê Cầu Nắng Gắt</t>
  </si>
  <si>
    <t>Kháng ma thuật: 10
May mắn: 10
Trời cực nóng vào ngày mai</t>
  </si>
  <si>
    <t>破顏拳套</t>
  </si>
  <si>
    <t>物攻：6
物防：1
裝備時無法穿戴武器。
機率性根據對方最大生命值，造成額外傷害。
額外傷害的數值為3倍暴擊傷害，但若敵人血量大於此數值的1%，則改為敵人血量的1%。
穿戴多個可以提升觸發機率。</t>
  </si>
  <si>
    <t>破顔グローブ</t>
  </si>
  <si>
    <t>Face Breaker</t>
  </si>
  <si>
    <t>Physical attack: 6
Physical defense: 1
Unable to wear weapons while equipped
Punching may deal bonus damage based on HP
*Gachapon Item</t>
  </si>
  <si>
    <t>Rompe caras</t>
  </si>
  <si>
    <t>Ataque Físico: 6
Defensa Física: 1
Incapaz de equipar armas mientras lo lleves puesto
golpear a puño podria hacer daño bonus basado en el HP</t>
  </si>
  <si>
    <t>Schädelbrecher</t>
  </si>
  <si>
    <t>Physischer Angriff: 6
Physische Verteidigung: 1
Kann keine Waffen tragen, während dieses Item ausgerüstet ist
Faustangriffe verursachen möglicherweise Bonusschaden basierend auf der aktuellen HP</t>
  </si>
  <si>
    <t>Huỷ Dung</t>
  </si>
  <si>
    <t>Sát thương vật lý: 6
Phòng thủ vật lý: 1
Không thể đeo vũ khí khi đang trang bị
Đấm có thể gây thêm sát thương dựa trên HP
*Vật phẩm Gacha</t>
  </si>
  <si>
    <t>紅髓玉吊墜</t>
  </si>
  <si>
    <t>魔攻：20
魔防：45
1.降低魔法武器的耐久消耗
2.依照"天上石碎片"的數量，提升魔法攻擊數值(每個碎片提升10)
3.此裝備能力屬於"唯一"效果，多件裝備無法疊加效果</t>
  </si>
  <si>
    <t>紅髄玉のペンダント</t>
  </si>
  <si>
    <t>魔法攻撃力：20
魔法防御力：45
1. 魔法武器の耐久消費を軽減
2. 『天上の石片』の数に応じて魔法攻撃力を上昇させる（1片につき10上昇）
3. この装備の能力は『ユニーク』効果に属し、複数装備しても効果が重複しない</t>
  </si>
  <si>
    <t>Rubrum Pendant</t>
  </si>
  <si>
    <t>Magic attack: 30
Magic defense: 45
1. Reduces the durability consumption of magic weapons by 24%
2. Increases magic attack based on how much Philosopher's Fragment you have (each fragment gives 10 magic attack)
3. This weapon's ability is "Unique" and will not stack with effects of the same type</t>
  </si>
  <si>
    <t>Magischer Angriff: 30
Magische Verteidigung: 45
Reduziert den Haltbarkeitsverbrauch von Magiewaffen um 24%
Erhöht den m. Angriff basierend auf der Anzahl der Philosophenfragmente (jedes Fragment gibt 10+ M-Angriff)
Die Fähigkeit dieser Waffe ist "Einzigartig" und kann nicht mit gleichen Effekt gestapelt werden</t>
  </si>
  <si>
    <t>Mặt Dây Chuyền Rubrum</t>
  </si>
  <si>
    <t>Sát thương ma thuật: 30
Phòng thủ ma thuật: 45
1. Giảm 24% độ bền tiêu hao của vũ khí ma thuật
2. Tăng công ma thuật dựa trên số Mảnh Hiền Triết
bạn có (mỗi mảnh cho 10 sát thương ma thuật)
3. Khả năng của vũ khí này là "Độc nhất" và 
không cộng dồn với các hiệu ứng cùng loại</t>
  </si>
  <si>
    <t>謝里斯的詛咒之手</t>
  </si>
  <si>
    <t>魔防：18
自動環繞從者
對目標施加傷害
附上Debuff：嘲諷、激怒
(減少對方防禦、增加對方攻擊)
(Debuff未實裝)</t>
  </si>
  <si>
    <t>魔法防御：18
自動ターゲット追従
ターゲットにダメージを与える
デバフを付与：嘲笑、激怒
（相手の防御を低下させ、攻撃を上昇させる）
（デバフは実装されていません）</t>
  </si>
  <si>
    <t>Xerise's Cursed Hand</t>
  </si>
  <si>
    <t>Magic resist: 18
Runs around as a servant
Deals damage to enemies in range
% chance to curse enemies.
When cursed: Taunt, Enrage
Taunt - Reduces the enemy's defense, increases their attack
Enrage - (Debuff not yet implemented)</t>
  </si>
  <si>
    <t>Xerises verfluchte Hand</t>
  </si>
  <si>
    <t>Magischer Widerstand: 18
Läuft als Diener umher
Verursacht Schaden an Feinden im Umkreis
% Chance, Feinde zu verfluchen.
Beim Verfluchen: Provokation, Wut
Provokation - Reduziert die Verteidigung des Feindes und erhöht deren Angriff
Wut - (Debuff noch nicht implementiert)</t>
  </si>
  <si>
    <t>Bàn Tay Bị Nguyền Rủa Của Xerise</t>
  </si>
  <si>
    <t>Kháng ma thuật: 18
Chạy loanh quanh như một người hầu
Gây sát thương lên kẻ địch trong phạm vi
% cơ hội nguyền rủa kẻ địch.
Khi bị nguyền rủa: Khiêu khích, Cuồng nộ
Khiêu khích - Giảm phòng thủ của kẻ địch,
 tăng tấn công
Cuồng nộ - (Debuff chưa được thêm vào)</t>
  </si>
  <si>
    <t>愛神蕩漾</t>
  </si>
  <si>
    <t>大幅增加觸摸時提升的好感度
(摸一次增加一顆好感)
※此為作弊神器，請參考TIPS</t>
  </si>
  <si>
    <t>カタリスト・アマトリア</t>
  </si>
  <si>
    <t>触れることで好感度が大幅に増加します(1回触れるごとに好感度が1つ増えます）
※これはチートアイテムですので、TIPSを参照してください</t>
  </si>
  <si>
    <t>Catalyst Amatoria</t>
  </si>
  <si>
    <t>Adds 1 red heart when giving headpats to Imouto when worn
*This item is a cheat item. Please refer to TIPS on how to obtain it.</t>
  </si>
  <si>
    <t>Katalysator der Liebe</t>
  </si>
  <si>
    <t>Cheat Ausrüstung
Erhöht beim Tragen die max Herzanzahl um 1 (rotes Herz), wenn der Imouto (kleinen Schwester) Kopfstreicheln gegeben wird</t>
  </si>
  <si>
    <t>Chất Xúc Tác Ái Tình</t>
  </si>
  <si>
    <t>Thêm 1 trái tim đỏ khi xoa đầu em gái khi trang bị.
*Vật phẩm này là vật phẩm gian lận. 
Vui lòng tham khảo TIPS để biết cách nhận được.</t>
  </si>
  <si>
    <t>絕對領域</t>
  </si>
  <si>
    <t>魔防：169
幸運：69
增加攜帶武器/防具數量+99
※此為作弊神器，請參考TIPS</t>
  </si>
  <si>
    <t>絶対領域</t>
  </si>
  <si>
    <t>魔防：169
幸運：69
所持できる武器/防具の数を+99増加
※これはチートアイテムですので、TIPSを参考にしてください</t>
  </si>
  <si>
    <t>Absolute Territory</t>
  </si>
  <si>
    <t>Magic resist: 169
Luck: 69
Weapon/Equipment slots + 99
*This item is a cheat item. Please refer to TIPS on how to obtain it.</t>
  </si>
  <si>
    <t>Absolute Zone</t>
  </si>
  <si>
    <t>Mag. Abwehr: 169
Glück: 69
Erhöht die Anzahl tragbarer Waffen/Rüstungen um +99
※ Dies ist ein Cheat-Artefakt, siehe TIPS</t>
  </si>
  <si>
    <t>Lãnh Địa Tuyệt Đối</t>
  </si>
  <si>
    <t>Kháng ma thuật: 169
May mắn: 69
Ô Vũ khí/Trang bị + 99
*Vật phẩm này là vật phẩm gian lận. 
Vui lòng tham khảo TIPS để biết cách nhận được.</t>
  </si>
  <si>
    <t>火蠑螈之卷</t>
  </si>
  <si>
    <t>魔攻：50
魔防：15
強化火焰元素</t>
  </si>
  <si>
    <t>火サンショウウオの書</t>
  </si>
  <si>
    <t>魔法攻撃力：50
魔法防御力：15
火属性を強化</t>
  </si>
  <si>
    <t>Volumen Salamandrae</t>
  </si>
  <si>
    <t>Magic attack: 50
Magic resist: 15
Strengthens fire element attribute</t>
  </si>
  <si>
    <t>Rolle des Feuersalamanders</t>
  </si>
  <si>
    <t>Mag. Angriff: 50
Mag. Abwehr: 15
Verstärkt Feuerelement</t>
  </si>
  <si>
    <t>Cổ Thư Hỏa Linh
Salamander</t>
  </si>
  <si>
    <t>Sát thương ma thuật: 50
Kháng ma thuật: 15
Cường hóa thuộc tính hỏa</t>
  </si>
  <si>
    <t>逆咒縛契約</t>
  </si>
  <si>
    <t>代替從者受到傷害
依從者數量提升主角生命回復力</t>
  </si>
  <si>
    <t>鎖の呪縛契約</t>
  </si>
  <si>
    <t>代替従者がダメージを受けると、従者の数に応じて主人公の生命回復力が上昇する</t>
  </si>
  <si>
    <t>Chain Spellbinding Contract</t>
  </si>
  <si>
    <t>Any damage your servants take will be passed to yours.
Each linked servant grants a recovery effect</t>
  </si>
  <si>
    <t>Umgekehrter Fluchbannpakt</t>
  </si>
  <si>
    <t>Erleidet Schaden anstelle der Gefährten
Erhöht die Lebensregeneration des Helden je nach Anzahl der Gefährten</t>
  </si>
  <si>
    <t>Khế Ước Xiềng Xích
Chú Phược</t>
  </si>
  <si>
    <t>Mọi sát thương mà Servant của bạn phải chịu
sẽ được chuyển sang cho bạn.
Mỗi Servant được liên kết sẽ có hiệu ứng hồi phục</t>
  </si>
  <si>
    <t>獵人服</t>
  </si>
  <si>
    <t>物防：3
魔抗：10
站在草地上回復體力</t>
  </si>
  <si>
    <t>Hunter's Garb</t>
  </si>
  <si>
    <t>Physical defense: 3
Luck: 10
Standing still on grass regenerates health over time</t>
  </si>
  <si>
    <t>Trang Phục Thợ Săn</t>
  </si>
  <si>
    <t>Phòng thủ vật lý: 3
May mắn: 10
Đứng yên trên cỏ sẽ hồi phục máu theo thời gian</t>
  </si>
  <si>
    <t>獵人腰帶</t>
  </si>
  <si>
    <t>物防：1
小幅提升：體力上限、移動速度、裝備攜帶數量</t>
  </si>
  <si>
    <t>Hunter's Belt</t>
  </si>
  <si>
    <t>Physical Defense: 1
Max HP +20, movement speed increased
Extra weapon and gear slot +5</t>
  </si>
  <si>
    <t>Đai Thợ Săn</t>
  </si>
  <si>
    <t>Phòng thủ vật lý: 1
Máu tối đa +20, tốc độ di chuyển tăng
Thêm ô vũ khí và trang bị +5</t>
  </si>
  <si>
    <t>獵人短刀</t>
  </si>
  <si>
    <t>物攻：6
幸運：20
肉類掉落機率翻倍(包含炸魚)</t>
  </si>
  <si>
    <t>Hunter's Dagger</t>
  </si>
  <si>
    <t xml:space="preserve">Physical Attack 6:
Luck: 20
Doubles the chance of dropping meat (including fish)
</t>
  </si>
  <si>
    <t>Dao Găm Thợ Săn</t>
  </si>
  <si>
    <t>Sát thương vật lý 6:
May mắn: 20
Tăng gấp đôi cơ hội rơi ra thịt (bao gồm cả cá)</t>
  </si>
  <si>
    <t>綠龜殼</t>
  </si>
  <si>
    <t>物防：20
魔抗：60
增加游泳移速、降低陸地移速</t>
  </si>
  <si>
    <t>Green Turtle Shell</t>
  </si>
  <si>
    <t>Physical defense: 20
Magic resist: 60
Increases swim speed, decreases land movement speed</t>
  </si>
  <si>
    <t>Mai Rùa Xanh</t>
  </si>
  <si>
    <t>Phòng thủ vật lý: 20
Kháng ma thuật: 60
Tăng tốc độ bơi, giảm tốc độ di chuyển trên cạn</t>
  </si>
  <si>
    <t>寶石劍</t>
  </si>
  <si>
    <t>魔攻：15
魔抗：20
幸運：20
消耗寶石強化攻擊</t>
  </si>
  <si>
    <t>Jeweled Armament</t>
  </si>
  <si>
    <t>Magic attack: 15
Magic resist: 20
Luck: 20
Randomly consumes a gem to boost damage
The higher the quality of the game is, the more damage it deals</t>
  </si>
  <si>
    <t>Vũ Khí Khảm Ngọc</t>
  </si>
  <si>
    <t>Sát thương ma thuật: 15
Kháng ma thuật: 20
May mắn: 20
Ngẫu nhiên tiêu thụ một viên ngọc
để tăng sát thương
Chất lượng trò chơi càng cao, 
sát thương gây ra càng nhiều</t>
  </si>
  <si>
    <t>安全手套</t>
  </si>
  <si>
    <t>物防：2
魔抗：45
防禦雷電</t>
  </si>
  <si>
    <t>Safety Gloves</t>
  </si>
  <si>
    <t>Physical defense: 2
Magic resist: 45
Greatly reduces damage taken from lightning</t>
  </si>
  <si>
    <t>Găng Tay Bảo Hộ</t>
  </si>
  <si>
    <t>Phòng thủ vật lý: 2
Kháng m thuật: 45
Giảm đáng kể sát thương nhận phải từ sét</t>
  </si>
  <si>
    <t>銳刃指環</t>
  </si>
  <si>
    <t>物攻+15%</t>
  </si>
  <si>
    <t>Sharpblade Ring</t>
  </si>
  <si>
    <t xml:space="preserve">Physical attack: 4
Physical defense: 3
Physical attack power +15%
</t>
  </si>
  <si>
    <t>Nhẫn Lưỡi Sắc</t>
  </si>
  <si>
    <t>Sát thương vật lý: 4
Phòng thủ vật lý: 3
Sức mạnh tấn công vật lý +15%</t>
  </si>
  <si>
    <t>脇差</t>
  </si>
  <si>
    <t>近距離普通攻擊次數+1
機率出血
判定較小，且不會隨著武器大小變動
固定傷害，但可以配合劍術修行的傷害加成</t>
  </si>
  <si>
    <t>Wakizashi</t>
  </si>
  <si>
    <t xml:space="preserve">Adds an additional attack when using melee weapons
Additional attack has a chance to cause bleeding
The additional attack has a small hitbox and does not change with the weapon's size
The damage is fixed, but can be strengthed further with swordsmanship training
</t>
  </si>
  <si>
    <t>Thêm một đòn tấn công bổ sung khi 
sử dụng vũ khí cận chiến
Đòn tấn công bổ sung có khả năng gây chảy máu
Đòn tấn công bổ sung có vùng tác động nhỏ và 
không thay đổi theo kích thước vũ khí
Sát thương cố định, nhưng có thể được 
tăng cường thêm thông qua luyện tập kiếm thuật</t>
  </si>
  <si>
    <t>鐵覘</t>
  </si>
  <si>
    <t>物防：15
魔抗：10
詳細說明於Tips</t>
  </si>
  <si>
    <t>Anvil</t>
  </si>
  <si>
    <t>Physical defense: 15
Magic resist: 10
Forging system. Refer to TIPS for more info.</t>
  </si>
  <si>
    <t>Đe Rèn</t>
  </si>
  <si>
    <t>Phòng thủ vật lý: 15
Kháng ma thuật: 10
Hệ thống rèn. 
Tham khảo TIPS để biết thêm thông tin.</t>
  </si>
  <si>
    <t>護刃眾的徽章</t>
  </si>
  <si>
    <t>減少攻擊力以及攻擊上限加成
降低武器耐久度消耗</t>
  </si>
  <si>
    <t>Bladekeeper's Badge</t>
  </si>
  <si>
    <t>Reduces attack power and imposes an attack limit cap
Weapons now consume 20% less durability</t>
  </si>
  <si>
    <t>Huy Hiệu Thủ Hộ Kiếm</t>
  </si>
  <si>
    <t>Giảm sức mạnh tấn công và
áp đặt giới hạn tấn công
Vũ khí giờ đây tiêu thụ ít hơn 20% độ bền</t>
  </si>
  <si>
    <t>把草莓奪回來！!</t>
  </si>
  <si>
    <t>指令類型裝備
(請見技能欄位)</t>
  </si>
  <si>
    <t>Ichigo Wo Torimodose!!</t>
  </si>
  <si>
    <t>Command Skill Equipment. Refer to the skills tab when worn to see the command</t>
  </si>
  <si>
    <t>Giành Lại Tình Yêu!!</t>
  </si>
  <si>
    <t>Trang bị kỹ năng lệnh. 
Tham khảo tab kỹ năng khi đeo để xem lệnh</t>
  </si>
  <si>
    <t>投擲攻擊
遇水消失、會被擊殺
幸運：10</t>
  </si>
  <si>
    <t>◉▽◉（青）</t>
  </si>
  <si>
    <t xml:space="preserve">
投擲攻撃
水に当たると消滅し、撃破される
幸運：10</t>
  </si>
  <si>
    <t>Throwable weapon
Disappears upon contact with water
Luck: 10</t>
  </si>
  <si>
    <t>Wurfangriff
Verschwindet im Wasser, kann getötet werden
Glück: 10</t>
  </si>
  <si>
    <t>Vũ khí ném được
Biến mất khi tiếp xúc với nước
Vận may: 10</t>
  </si>
  <si>
    <t>投擲攻擊
遇水消失、會被擊殺
幸運：20</t>
  </si>
  <si>
    <t xml:space="preserve">
投擲攻撃
水に当たると消滅し、撃破される
幸運：20</t>
  </si>
  <si>
    <t>Throwable weapon
Disappears upon contact with water
Luck: 20</t>
  </si>
  <si>
    <t>Wurfangriff
Verschwindet im Wasser, kann getötet werden
Glück: 20</t>
  </si>
  <si>
    <t>Vũ khí ném được
Biến mất khi tiếp xúc với nước
Vận may: 20</t>
  </si>
  <si>
    <t>◉▽◉(粉色)</t>
  </si>
  <si>
    <t>投擲攻擊
遇水消失、會被擊殺
幸運：40</t>
  </si>
  <si>
    <t>◉▽◉(ピンク)</t>
  </si>
  <si>
    <t xml:space="preserve">
投擲攻撃
水に当たると消滅し、撃破される
幸運：40</t>
  </si>
  <si>
    <t>◉▽◉ (Pink)</t>
  </si>
  <si>
    <t>Throwable weapon
Disappears upon contact with water
Luck: 40</t>
  </si>
  <si>
    <t>◉▽◉(pink)</t>
  </si>
  <si>
    <t>Wurfangriff
Verschwindet im Wasser, kann getötet werden
Glück: 40</t>
  </si>
  <si>
    <t>◉▽◉ (Hồng)</t>
  </si>
  <si>
    <t>Vũ khí ném được
Biến mất khi tiếp xúc với nước
Vận may: 45</t>
  </si>
  <si>
    <t>初號核心I~VII</t>
  </si>
  <si>
    <t>可以於技能欄位中，消耗特定物品進行提升機甲的型態，由此獲得新能力
魔抗：15~??
*無法丟棄或破壞
(請見TIPS說明)</t>
  </si>
  <si>
    <t>初号機コア</t>
  </si>
  <si>
    <t xml:space="preserve">
機甲の形態を強化し、能力を獲得する
魔法耐性：15
※捨てたり破壊したりはできない
（詳細はTIPSを参照）
</t>
  </si>
  <si>
    <t>Unit 1 Nexus I~VII</t>
  </si>
  <si>
    <t xml:space="preserve">Part of the "Unit" series. Upgradeable.
Magic resist: 15
*Cannot be dropped or destroyed
(See TIPS)
</t>
  </si>
  <si>
    <t>Erster Kern</t>
  </si>
  <si>
    <t>Verbessert die Form des Mechas und verleiht Fähigkeiten
Magische Abwehr: 15
*Kann nicht weggeworfen oder zerstört werden
(Siehe TIPPS für weitere Informationen)</t>
  </si>
  <si>
    <t>Một phần của xê-ri "Unit". Có thể nâng cấp
Kháng ma thuật: 15
*Không thể thả rơi hay phá hủy
(Xem TIPS)</t>
  </si>
  <si>
    <t>Ruika的萬寶槌</t>
  </si>
  <si>
    <t>幸運：777
增加掉落率(作弊道具)</t>
  </si>
  <si>
    <t>Ruika'sのラッキーハンマー</t>
  </si>
  <si>
    <t xml:space="preserve">
幸運：777
ドロップ率上昇（チートアイテム）</t>
  </si>
  <si>
    <t>Ruika's Lucky Hammer</t>
  </si>
  <si>
    <t>Attack: 777
Increases drop rate (Cheat item)</t>
  </si>
  <si>
    <t>Búa Phép Thuật Của Ruika</t>
  </si>
  <si>
    <t>May mắn: 777
Tăng tỉ lệ rơi đồ (vật phẩm gian lận)</t>
  </si>
  <si>
    <t>Mio的急救箱</t>
  </si>
  <si>
    <t>每秒回復血(作弊道具)</t>
  </si>
  <si>
    <t>Mioの救急箱</t>
  </si>
  <si>
    <t>毎秒HP回復（チートアイテム）</t>
  </si>
  <si>
    <t>Mio's First Aid Kit</t>
  </si>
  <si>
    <t>Massively restores health per second (Cheat item)</t>
  </si>
  <si>
    <t>Bộ Sơ Cứu Của Mio</t>
  </si>
  <si>
    <t>Hồi máu mỗi giây (vật phẩm gian lận)</t>
  </si>
  <si>
    <t>白湮的金手指</t>
  </si>
  <si>
    <t>武器無消耗(作弊道具)</t>
  </si>
  <si>
    <t>白煙のチートコード</t>
  </si>
  <si>
    <t>武器の耐久消耗なし(チートアイテム)</t>
  </si>
  <si>
    <t>Shiroin's Golden Finger</t>
  </si>
  <si>
    <t>Weapons no longer break (Cheat item)</t>
  </si>
  <si>
    <t>Kim Thủ Chỉ của Shiroin</t>
  </si>
  <si>
    <t>Vũ khí không thể bị phá hủy (vũ khí gian lận)</t>
  </si>
  <si>
    <t>Please support the official game by 逆流茶会(NLCH) - A Simple Life with My Unobtrusive Sister
Guide: Official Discord-RORO, Facilitator-MIO, 落染, Translator-눈_눈、Ruika、zNagato、Libeti、Gabriel B.、maltesey、AndyJango、IntenseLag、Nian Sprout
Please do not copy without permission</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</si>
  <si>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
Xin không sao chép mà không có sự đồng ý</t>
  </si>
  <si>
    <t>道具名稱</t>
  </si>
  <si>
    <t>效果</t>
  </si>
  <si>
    <t>Itemname</t>
  </si>
  <si>
    <t>Auswirkungen</t>
  </si>
  <si>
    <t>Vật phẩm</t>
  </si>
  <si>
    <t>Tác dụng</t>
  </si>
  <si>
    <t>好喝的牛奶</t>
  </si>
  <si>
    <t>回復體力120，自動回復效果</t>
  </si>
  <si>
    <t>オイシイミルク</t>
  </si>
  <si>
    <t>体力120回復、毎秒リジェネ</t>
  </si>
  <si>
    <t>Delicious Milk</t>
  </si>
  <si>
    <t>Recovers 120 HP
Continuous HP regeneration</t>
  </si>
  <si>
    <t>체력을 120 회복하고 지속적인 회복 효과를 받습니다.</t>
  </si>
  <si>
    <t>Köstliche Milch</t>
  </si>
  <si>
    <t>Stellt 120 HP wieder her
Kontinuierliche HP-Regeneration</t>
  </si>
  <si>
    <t>Sữa Ngon Cực Kì</t>
  </si>
  <si>
    <t>Hồi phục 120 HP
Hồi phục HP liên tục</t>
  </si>
  <si>
    <t>胡蘿蔔牛奶</t>
  </si>
  <si>
    <t>回復體力75，消除異常</t>
  </si>
  <si>
    <t>キャロットミルク</t>
  </si>
  <si>
    <t>体力を75回復し、ランダムで一つ状態異常を治す</t>
  </si>
  <si>
    <t>Carrot Milk</t>
  </si>
  <si>
    <t>Recovers 75 HP
Randomly cures 1 status ailment</t>
  </si>
  <si>
    <t>체력을 75 회복하고 랜덤으로 상태이상 하나를 치유합니다.</t>
  </si>
  <si>
    <t>Karottenmilch</t>
  </si>
  <si>
    <t>Stellt 75 HP wieder her
Heilt zufällig einen negativen Statuseffekt</t>
  </si>
  <si>
    <t>Sữa Cà rốt</t>
  </si>
  <si>
    <t>Hồi phục 75 HP
Xóa bỏ ngẫu nhiên 1 trạng thái bất lợi</t>
  </si>
  <si>
    <t>草莓味牛奶</t>
  </si>
  <si>
    <t>回復體力75，提高50%攻擊</t>
  </si>
  <si>
    <t>イチゴミルク</t>
  </si>
  <si>
    <t>体力75回復、一定時間攻撃力50％UP</t>
  </si>
  <si>
    <t>Strawberry Milk</t>
  </si>
  <si>
    <t>Recovers 75 HP
Physical attack increased by 50%</t>
  </si>
  <si>
    <t>딸기 우유</t>
  </si>
  <si>
    <t>Erdbeermilch</t>
  </si>
  <si>
    <t>Stellt 75 HP wieder her
Physischer Angriff um 50 % erhöht</t>
  </si>
  <si>
    <t>Sữa Dâu</t>
  </si>
  <si>
    <t>Hồi phục 75 HP
Sát thương vật lý tăng 50%</t>
  </si>
  <si>
    <t>蜜瓜味牛奶</t>
  </si>
  <si>
    <t>回復體力75，提高50%魔力</t>
  </si>
  <si>
    <t>メロンミルク</t>
  </si>
  <si>
    <t>体力75回復、一定時間魔攻力50％UP</t>
  </si>
  <si>
    <t>Melon Milk</t>
  </si>
  <si>
    <t>Recovers 75 HP
Magic attack increased by 50%</t>
  </si>
  <si>
    <t>멜론 우유</t>
  </si>
  <si>
    <t>Melonenmilch</t>
  </si>
  <si>
    <t>Stellt 75 HP wieder her
Magischer Angriff um 50 % erhöht</t>
  </si>
  <si>
    <t>Sữa Dưa Lưới</t>
  </si>
  <si>
    <t>Hồi phục 75 HP
Sát thương ma thuật tăng 50%</t>
  </si>
  <si>
    <t>香蕉味牛奶</t>
  </si>
  <si>
    <t>回復體力75，移速增強</t>
  </si>
  <si>
    <t>バナナミルク</t>
  </si>
  <si>
    <t>体力75回復、一定時間移動速度UP</t>
  </si>
  <si>
    <t>Banana Milk</t>
  </si>
  <si>
    <t>Recovers 75 HP
Increases movement speed</t>
  </si>
  <si>
    <t>체력을 75 회복하고 이동속도가 증가합니다.</t>
  </si>
  <si>
    <t>Bananenmilch</t>
  </si>
  <si>
    <t>Stellt 75 HP wieder her
Erhöht Bewegungsgeschwindigkeit</t>
  </si>
  <si>
    <t>Sữa Chuối</t>
  </si>
  <si>
    <t>Hồi phục 75 HP
Tăng tốc độ di chuyển</t>
  </si>
  <si>
    <t>巧克力牛奶</t>
  </si>
  <si>
    <t>回復體力78，霸體效果
(未實裝)</t>
  </si>
  <si>
    <t>チョコレートミルク</t>
  </si>
  <si>
    <t>体力78回復、一定時間霜体を得る
(未実装)</t>
  </si>
  <si>
    <t>Chocolate Milk</t>
  </si>
  <si>
    <t>Recovers 78 HP
Grants Super Armor
(not yet implemented)</t>
  </si>
  <si>
    <t>초코 우유</t>
  </si>
  <si>
    <t>Schokoladenmilch</t>
  </si>
  <si>
    <t>Stellt 78 HP wieder her
Gewährt Superrüstung
(noch nicht implementiert)</t>
  </si>
  <si>
    <t>Sữa Socola</t>
  </si>
  <si>
    <t>Phục hồi 78 HP
Giáp Siêu Cấp của Grant
(chưa được triển khai)</t>
  </si>
  <si>
    <t>逆流可樂</t>
  </si>
  <si>
    <t>(戰鬥效果未實裝)</t>
  </si>
  <si>
    <t>逆流コーラ</t>
  </si>
  <si>
    <t>(効果は未実装です)</t>
  </si>
  <si>
    <t>NLCH Cola</t>
  </si>
  <si>
    <t>(Combat effects not yet implemented)</t>
  </si>
  <si>
    <t>NLCH 콜라</t>
  </si>
  <si>
    <t>(Kampfeffekte noch nicht implementiert)</t>
  </si>
  <si>
    <t>(Hiệu ứng chiến đấu chưa được triển khai)</t>
  </si>
  <si>
    <t>粉色金平糖</t>
  </si>
  <si>
    <t>使妹妹處於發情狀態
哥哥會處於興奮狀態
(哥哥未實裝)</t>
  </si>
  <si>
    <t>ピンクの金平糖</t>
  </si>
  <si>
    <t>妹が発情しちゃう
お兄ちゃんは興奮状態になる
(お兄ちゃんには効果がありません)</t>
  </si>
  <si>
    <t>Pink Konpeito</t>
  </si>
  <si>
    <t>Puts the sister in heat
Onii-chan will be aroused.
(Not yet implemented for Onii-chan)</t>
  </si>
  <si>
    <t>핑크색 별사탕</t>
  </si>
  <si>
    <t>여동생이 발정 상태에 놓이게 되고 
오빠는 흥분상태가 됩니다.
(오빠한테는 효과가 없어요)</t>
  </si>
  <si>
    <t>Rosa Konpeitō</t>
  </si>
  <si>
    <t>Versetzt die Schwester in Paarungsbereitschaft
Onii-chan wird erregt.
(Noch nicht für Onii-chan implementiert)</t>
  </si>
  <si>
    <t>Kẹo Konpeito hồng</t>
  </si>
  <si>
    <t>Khiến em gái động dục
Onii-chan muốn được kích thích.
(Chưa được thêm vào cho Onii-chan)</t>
  </si>
  <si>
    <t>藍色金平糖</t>
  </si>
  <si>
    <t xml:space="preserve">使妹妹嗜睡(和肉料理可疊加)
哥哥會降低興奮度
餵食兩顆妹妹立即犯睏，當晚睡眠品質會非常好。  </t>
  </si>
  <si>
    <t>ブルーの金平糖</t>
  </si>
  <si>
    <t>妹を眠らせます
お兄ちゃんは興奮を抑えます
(効果はまだ実装されていません)</t>
  </si>
  <si>
    <t>Blue Konpeito</t>
  </si>
  <si>
    <t xml:space="preserve">Puts the sister in a drowsy state (Mix it with meat dishes)
Onii-chan's excitement level goes down
Feeding this to your sister twice will immediately make her go to sleep.
22:00 will forcibly trigger a sleep event, and her quality of sleep will be excellent. </t>
  </si>
  <si>
    <t>파란색 별사탕</t>
  </si>
  <si>
    <t>여동생을 졸린 상태로 만들어줍니다.(고기 요리에 섞음)
또한 오빠의 흥분을 억제합니다.(효과는 아직 구현되지 않았습니다.)</t>
  </si>
  <si>
    <t>Blauer Konpeitō</t>
  </si>
  <si>
    <t>Versetzt die Schwester in einen schläfrigen Zustand (mit Fleischgerichten kombinieren)
Onii-chans Erregungsgrad sinkt.
Wird dies der Schwester zweimal gegeben, schläft sie sofort ein.
Um 22:00 wird ein Schlafevent ausgelöst, mit exzellenter Schlafqualität</t>
  </si>
  <si>
    <t>Kẹo Konpeito Xanh</t>
  </si>
  <si>
    <t>Khiến em gái rơi vào trạng thái buồn ngủ
(Trộn với các món thịt)
Mức độ phấn khích của Onii-chan giảm xuống
Cho em gái ăn thứ này hai lần sẽ khiến
 em ấy ngủ ngay lập tức.
22:00 sẽ kích hoạt sự kiện ngủ, và chất lượng
 giấc ngủ của em ấy sẽ rất tuyệt vời.</t>
  </si>
  <si>
    <t>綠色金平糖</t>
  </si>
  <si>
    <t>效果未實裝</t>
  </si>
  <si>
    <t>グリーンの金平糖</t>
  </si>
  <si>
    <t>Green Konpeito</t>
  </si>
  <si>
    <t>Unimplemented</t>
  </si>
  <si>
    <t>녹색 별사탕</t>
  </si>
  <si>
    <t>Grüner Konpeitō</t>
  </si>
  <si>
    <t>Kẹo Konpeito Xanh Lá</t>
  </si>
  <si>
    <t>(Chưa triển khai)</t>
  </si>
  <si>
    <t>天上之石碎片</t>
  </si>
  <si>
    <t>治癒妹妹或者增加哥哥的狀態</t>
  </si>
  <si>
    <t>天上の石の欠片</t>
  </si>
  <si>
    <t>妹の治療、またはお兄ちゃんの能力向上</t>
  </si>
  <si>
    <t>Philosopher's Stone Fragment</t>
  </si>
  <si>
    <t>Cures the sister's illness
Heals and permanently increases your attack and max HP when used by self</t>
  </si>
  <si>
    <t>여동생을 치료 또는 오빠의 능력이 향상됩니다.</t>
  </si>
  <si>
    <t>Fragment des Steins der Weisen</t>
  </si>
  <si>
    <t>Heilt die Krankheit der Schwester
Heilt und erhöht dauerhaft eigenen Angriff und max. HP bei Eigengebrauch</t>
  </si>
  <si>
    <t>Mảnh Hiền Triết</t>
  </si>
  <si>
    <t>Chữa lành bệnh cho em gái
Chữa lành và tăng vĩnh viễn sức tấn công
và HP tối đa của bạn khi tự sử dụng</t>
  </si>
  <si>
    <t>盧恩符文A</t>
  </si>
  <si>
    <t>留下文字紀錄</t>
  </si>
  <si>
    <t>アンスズ</t>
  </si>
  <si>
    <t>MAPに文字を残せる</t>
  </si>
  <si>
    <t>Ansuz</t>
  </si>
  <si>
    <t>Can leave messages on the floor for other players to read</t>
  </si>
  <si>
    <t>地图留言
（你在这上面所说的每一句话，都会有几率被各大网友看到的哦）</t>
  </si>
  <si>
    <t>안수즈</t>
  </si>
  <si>
    <t>다른 플레이어가 읽을 수 있도록 바닥에 메시지를 남길 수 있습니다.</t>
  </si>
  <si>
    <t>Ansuz, die Rune der Inspiration</t>
  </si>
  <si>
    <t xml:space="preserve">Erlaubt es, Nachrichten auf dem Boden zu hinterlassen, die andere Spieler lesen können
</t>
  </si>
  <si>
    <t>Có thể để lại tin nhắn trên sàn
để người chơi khác đọc</t>
  </si>
  <si>
    <t>盧恩符文R</t>
  </si>
  <si>
    <t>投擲後，滑鼠點選R的位置進行交換</t>
  </si>
  <si>
    <t>ライドー</t>
  </si>
  <si>
    <t>投げた後、Rのマークをクリックすると場所が入れ替わる</t>
  </si>
  <si>
    <t>Raido</t>
  </si>
  <si>
    <t>Throwable rune
Can swap positions with the rune by clicking it on the ground</t>
  </si>
  <si>
    <t>라이도</t>
  </si>
  <si>
    <t>던질 수 있는 룬
던진 후 R의 마크를 클릭하면 위치가 바뀝니다.</t>
  </si>
  <si>
    <t>Raido, die Rune der Reise</t>
  </si>
  <si>
    <t>Wurfbare Rune
Kann mit Klick auf den Boden Position mit der Rune tauschen</t>
  </si>
  <si>
    <t>Ném ra một kí hiệu cho phép hoán đổi vị trí</t>
  </si>
  <si>
    <t>盧恩符文E</t>
  </si>
  <si>
    <t>投擲後與目標進行位置交換</t>
  </si>
  <si>
    <t>エワズ</t>
  </si>
  <si>
    <t>投げたエワズが当たったものと入れ替わる(敵.NPC.物)</t>
  </si>
  <si>
    <t>Ehwaz</t>
  </si>
  <si>
    <t>Throwable rune
Swaps positions with target hit</t>
  </si>
  <si>
    <t>에와즈</t>
  </si>
  <si>
    <t>상대한테 던지면 위치가 뒤바뀝니다.(적,NPC,물건등)</t>
  </si>
  <si>
    <t>Ehwaz, die Rune des Vertrauens</t>
  </si>
  <si>
    <t>Wurfbare Rune
Tauscht Position mit getroffener Zielperson</t>
  </si>
  <si>
    <t>Ném và hoán đổi vị trí với
mục tiêu mà nó chạm phải</t>
  </si>
  <si>
    <t>節制</t>
  </si>
  <si>
    <t>召喚扭蛋機</t>
  </si>
  <si>
    <t>テンパランス</t>
  </si>
  <si>
    <t>ガチャポンを召喚する</t>
  </si>
  <si>
    <t>Temperance</t>
  </si>
  <si>
    <t>Summons a Gacha Machine</t>
  </si>
  <si>
    <t>절제</t>
  </si>
  <si>
    <t>Mäßigkeit</t>
  </si>
  <si>
    <t>Beschwört einen Gacha-Automaten</t>
  </si>
  <si>
    <t>Triệu hồi máy Gacha</t>
  </si>
  <si>
    <t>正義</t>
  </si>
  <si>
    <t>消除狀態</t>
  </si>
  <si>
    <t>ジャスティス</t>
  </si>
  <si>
    <t>全てのバフ、デバフを取り除く</t>
  </si>
  <si>
    <t>Justice</t>
  </si>
  <si>
    <t>Removes status ailments</t>
  </si>
  <si>
    <t>정의</t>
  </si>
  <si>
    <t>상태이상 제거</t>
  </si>
  <si>
    <t>Gerechtigkeit</t>
  </si>
  <si>
    <t>Entfernt alle Statuseffekte</t>
  </si>
  <si>
    <t>力</t>
  </si>
  <si>
    <t>武器巨大化增強</t>
  </si>
  <si>
    <t>ザ・ストレングス</t>
  </si>
  <si>
    <t>武器を巨大化し攻撃力にバフを得る</t>
  </si>
  <si>
    <t>Strength</t>
  </si>
  <si>
    <t>Enlarges weapon and increase damage</t>
  </si>
  <si>
    <t>무기를 거대화하며 공격력 버프를 얻음</t>
  </si>
  <si>
    <t>Stärke</t>
  </si>
  <si>
    <t>Vergrößert die Waffe und erhöht den Schaden</t>
  </si>
  <si>
    <t>Phóng to vũ khí và tăng sát thương</t>
  </si>
  <si>
    <t>皇帝</t>
  </si>
  <si>
    <t>巨龍咆嘯</t>
  </si>
  <si>
    <t>ザ・エンペラー</t>
  </si>
  <si>
    <t>龍の咆哮で敵にめまいを与える</t>
  </si>
  <si>
    <t>The Emperor</t>
  </si>
  <si>
    <t>Uses "Dragon's Roar"
Stuns all enemies in the screen</t>
  </si>
  <si>
    <t>용이 포효하며 화면의 모든 적을 기절시킵니다.</t>
  </si>
  <si>
    <t>Der Kaiser</t>
  </si>
  <si>
    <t>Verwendet „Drachenschrei“
Betäubt alle Feinde auf dem Bildschirm</t>
  </si>
  <si>
    <t>Sử dụng Tiếng Gầm của Rồng để làm
choáng tất cả kẻ địch trên một khu vực</t>
  </si>
  <si>
    <t>星</t>
  </si>
  <si>
    <t>星之門</t>
  </si>
  <si>
    <t>星の門を召喚する</t>
  </si>
  <si>
    <t>The Star</t>
  </si>
  <si>
    <t>Summons a red door that teleports you back to the campfire in the starting area</t>
  </si>
  <si>
    <t>별의 문을 소환합니다.</t>
  </si>
  <si>
    <t>Der Stern</t>
  </si>
  <si>
    <t>Beschwört eine rote Tür, die zurück zum Lagerfeuer im Startgebiet teleportiert</t>
  </si>
  <si>
    <t>Triệu hồi một cánh cửa màu đỏ dịch chuyển bạn
 trở lại đống lửa trại ở khu vực bắt đầu</t>
  </si>
  <si>
    <t>戰車</t>
  </si>
  <si>
    <t>召喚貓娘商店車</t>
  </si>
  <si>
    <t>ザ・チャリオット</t>
  </si>
  <si>
    <t>茶会の宅配車を手配する</t>
  </si>
  <si>
    <t>The Chariot</t>
  </si>
  <si>
    <t>Summons the cat girl shopping van</t>
  </si>
  <si>
    <t>전차</t>
  </si>
  <si>
    <t>Der Wagen</t>
  </si>
  <si>
    <t>Beschwört den Einkaufswagen der Katzenmädchen</t>
  </si>
  <si>
    <t>Triệu hồi xe chở hàng của cô gái mèo</t>
  </si>
  <si>
    <t>女祭司</t>
  </si>
  <si>
    <t>召喚教堂</t>
  </si>
  <si>
    <t>ザ・ハイプリエステス</t>
  </si>
  <si>
    <t>教会を召喚することが出来る</t>
  </si>
  <si>
    <t>The High Priestess</t>
  </si>
  <si>
    <t>Summons a gate to "The Fallen Church"</t>
  </si>
  <si>
    <t>여법황</t>
  </si>
  <si>
    <t>교회로 가는 문을 소환합니다.</t>
  </si>
  <si>
    <t>Die Hohepriesterin</t>
  </si>
  <si>
    <t>Beschwört ein Tor zur „Gefallenen Kathedrale“</t>
  </si>
  <si>
    <t>Triệu hồi một cánh cổng đến "Nhà Thờ Sa Ngã"</t>
  </si>
  <si>
    <t>命運之輪</t>
  </si>
  <si>
    <t>隨機BUFF效果</t>
  </si>
  <si>
    <t>ホイール・オブ・フォーチュン</t>
  </si>
  <si>
    <t>勝つか負けるか…</t>
  </si>
  <si>
    <t>Wheel of Fortune</t>
  </si>
  <si>
    <t>Gains a random buff effect</t>
  </si>
  <si>
    <t>운명의 수레바퀴</t>
  </si>
  <si>
    <t>무작위 버프를 획득합니다.</t>
  </si>
  <si>
    <t>Das Rad des Schicksals</t>
  </si>
  <si>
    <t>Verleiht einen zufälligen Buff Effekt</t>
  </si>
  <si>
    <t>Nhận được hiệu ứng tăng sức mạnh ngẫu nhiên</t>
  </si>
  <si>
    <t>世界</t>
  </si>
  <si>
    <t>重製場地</t>
  </si>
  <si>
    <t>ザ・ワールド</t>
  </si>
  <si>
    <t>ドロップカウントをリセットする(敵、boss、壺や樽)</t>
  </si>
  <si>
    <t>The World</t>
  </si>
  <si>
    <t>Resets everything
(E.g. loot, monsters, weather, shops)</t>
  </si>
  <si>
    <t>모든 것을 재설정합니다.
(항아리,몬스터(BOSS포함),날씨,상점)</t>
  </si>
  <si>
    <t>Die Welt</t>
  </si>
  <si>
    <t>Setzt alles zurück
(z. B. Beute, Monster, Wetter, Läden)</t>
  </si>
  <si>
    <t>Thiết lập lại mọi thứ
(Ví dụ: chiến lợi phẩm, quái vật,
thời tiết, cửa hàng)</t>
  </si>
  <si>
    <t>日</t>
  </si>
  <si>
    <t>一定時間內，可復活一次</t>
  </si>
  <si>
    <t>ザ・サン</t>
  </si>
  <si>
    <t>The Sun</t>
  </si>
  <si>
    <t>Allows one-time resurrection when dying over a duration after use</t>
  </si>
  <si>
    <t>태양</t>
  </si>
  <si>
    <t>사용 후 일정 기간 내에 한 번 부활 가능</t>
  </si>
  <si>
    <t>Die Sonne</t>
  </si>
  <si>
    <t>Erlaubt einmalige Wiederbelebung innerhalb eines Zeitfensters nach Gebrauch</t>
  </si>
  <si>
    <t>Cho phép hồi sinh một lần khi chết trong
một khoảng thời gian sau khi sử dụng</t>
  </si>
  <si>
    <t>塔羅牌-死神</t>
  </si>
  <si>
    <t>死之惡魔現身
擊殺所有生物
(對NPC、地圖物件、可破壞物體，無效)
(對稻草人、淺羽商店車兩段血，有效)
NPC目前暫時無互動效果</t>
  </si>
  <si>
    <t>ザ・デス</t>
  </si>
  <si>
    <t>死の悪魔が出現
すべての生物を攻撃
（NPC、マップオブジェクト、破壊可能なオブジェクトには無効）
（わら人形、浅羽商店の車の2段目の血には有効）
NPCには現在相互作用効果はありません</t>
  </si>
  <si>
    <t>Death</t>
  </si>
  <si>
    <t>Summons Death Demon to kill everything in the screen.
(Doesn't affect NPCs, map objects and destructible objects)
(Affects Scarecrow and Asaba's Shopping Van)
*Currently unable to interact with this NPC</t>
  </si>
  <si>
    <t>Tod</t>
  </si>
  <si>
    <t>Beschwört einen Todesdämon, der alles auf dem Bildschirm tötet.
(Es betrifft keine NPCs, Kartenobjekte oder zerstörbaren Objekte.
Es betrifft Vogelscheuchen und Asabas Einkaufswagen.)
Derzeit kann mit diesem NPC nicht interagiert werden.</t>
  </si>
  <si>
    <t>Triệu hồi Tử Thàn để tiêu diệt mọi thứ trên màn hình.
(Không ảnh hưởng đến NPC, vật thể bản đồ và
vật thể có thể phá hủy)
(Ảnh hưởng đến Scarecrow và
Xe tải mua sắm của Asaba)
*Hiện tại không thể tương tác với NPC này</t>
  </si>
  <si>
    <t>杰克爆彈</t>
  </si>
  <si>
    <t>炸彈(無視防禦)</t>
  </si>
  <si>
    <t>爆発する</t>
  </si>
  <si>
    <t>Jack Bomb</t>
  </si>
  <si>
    <t>Explosive Bomb (Ignores defense)</t>
  </si>
  <si>
    <t>잭 폭탄</t>
  </si>
  <si>
    <t>Jacks Bombe</t>
  </si>
  <si>
    <t>Explosionsbombe (Ignoriert Verteidigung)</t>
  </si>
  <si>
    <t>Bom nổ (Bỏ qua phòng thủ)</t>
  </si>
  <si>
    <t>冰霜杰克爆彈</t>
  </si>
  <si>
    <t>冰屬性炸彈</t>
  </si>
  <si>
    <t>アイスジャックボム</t>
  </si>
  <si>
    <t>凍結効果を持った爆発</t>
  </si>
  <si>
    <t>Frost Jack Bomb</t>
  </si>
  <si>
    <t>Ice Bomb
Freezes enemies</t>
  </si>
  <si>
    <t>빙결 효과를 가지고 있는 얼음 폭탄</t>
  </si>
  <si>
    <t>Jacks Frostbombe</t>
  </si>
  <si>
    <t>Eisbombe (Friert Gegner ein)</t>
  </si>
  <si>
    <t>Bom Băng
Đóng băng kẻ địch</t>
  </si>
  <si>
    <t>猛毒杰克爆彈</t>
  </si>
  <si>
    <t>毒屬性炸彈</t>
  </si>
  <si>
    <t>ヴェノムジャックボム</t>
  </si>
  <si>
    <t>中毒効果を持った爆発</t>
  </si>
  <si>
    <t>Venom Jack Bomb</t>
  </si>
  <si>
    <t>Poison Bomb
Poisons enemies</t>
  </si>
  <si>
    <t>베놈 잭 폭탄</t>
  </si>
  <si>
    <t>중독 효과를 가지고 있는 독 폭탄</t>
  </si>
  <si>
    <t>Jacks Giftbombe</t>
  </si>
  <si>
    <t>Giftbombe (Vergiftet Gegner)</t>
  </si>
  <si>
    <t>Bom độc
Đầu độc mục tiêu</t>
  </si>
  <si>
    <t>封存的時計</t>
  </si>
  <si>
    <t>範圍暫停</t>
  </si>
  <si>
    <t>円範囲内の時間を数秒間停止する</t>
  </si>
  <si>
    <t>Sealed Timepiece</t>
  </si>
  <si>
    <t>Throw to freeze time on an area</t>
  </si>
  <si>
    <t>봉인된 시계</t>
  </si>
  <si>
    <t>범위 내의 시간을 몇 초간 정지시킬 수 있습니다.</t>
  </si>
  <si>
    <t>Versiegelte Uhr</t>
  </si>
  <si>
    <t>Wurfobjekt, das Zeit im Gebiet einfriert</t>
  </si>
  <si>
    <t>Đồng Hồ Phong Ấn</t>
  </si>
  <si>
    <t>Ném để đóng băng thời gian trên một khu vực</t>
  </si>
  <si>
    <t>壽司布丁</t>
  </si>
  <si>
    <t>飛向惡魔商店的位置</t>
  </si>
  <si>
    <t>アキの菓子店に向かって飛んでく</t>
  </si>
  <si>
    <t>Sushi Pudding</t>
  </si>
  <si>
    <t>Flies to mysterious shop's location</t>
  </si>
  <si>
    <t>Fliegt zum Ort des geheimnisvollen Ladens</t>
  </si>
  <si>
    <t>Bay đến địa điểm cửa hàng bí ẩn</t>
  </si>
  <si>
    <t>拍立得1~35</t>
  </si>
  <si>
    <t>查看優質照片</t>
  </si>
  <si>
    <t>エッチな写真を見る事が出来る</t>
  </si>
  <si>
    <t>Polaroid 1~35</t>
  </si>
  <si>
    <t>Lets you view quality illustrations</t>
  </si>
  <si>
    <t>Polaroid-Fotos 1–35</t>
  </si>
  <si>
    <t>Erlaubt das Anschauen hochwertiger Illustrationen</t>
  </si>
  <si>
    <t>Cho phép bạn xem hình ảnh minh họa chất lượng</t>
  </si>
  <si>
    <t>魔力小凝膠</t>
  </si>
  <si>
    <t>擴充格子</t>
  </si>
  <si>
    <t>魔力の小凝縮ジェル</t>
  </si>
  <si>
    <t>武器枠と装備枠を拡張する</t>
  </si>
  <si>
    <t>Small Magic Gel</t>
  </si>
  <si>
    <t>Expands weapon and gear slots
(The amount required increases each use respectively)</t>
  </si>
  <si>
    <t>작은 마나 젤</t>
  </si>
  <si>
    <t>Kleine Magiegel</t>
  </si>
  <si>
    <t>Erweitert Waffen- und Ausrüstungsplätze
(Erforderliche Menge steigt bei jeder Benutzung)</t>
  </si>
  <si>
    <t>Tinh Thạch Mana Nhỏ</t>
  </si>
  <si>
    <t>Mở rộng ô vũ khí và trang bị
(Lượng cần thiết tăng lên sau mỗi lần sử dụng)</t>
  </si>
  <si>
    <t>百合同人本</t>
  </si>
  <si>
    <t>提升性慾
(戰車商店販售)</t>
  </si>
  <si>
    <t>百合同人誌</t>
  </si>
  <si>
    <t>性欲が高まる！(宅配車で購入できる)
「お姉ちゃん…私、もうあなた無しじゃ生きられない…」</t>
  </si>
  <si>
    <t>Yuri Doujinshi</t>
  </si>
  <si>
    <t>Increases desire after reading
(Can be bought from the shopping van )</t>
  </si>
  <si>
    <t>현재 사용하지 않음</t>
  </si>
  <si>
    <t>Blauer Strahlender Stein</t>
  </si>
  <si>
    <t>Aktuell ohne Funktion</t>
  </si>
  <si>
    <t>Doujinshi Yuri</t>
  </si>
  <si>
    <t>Tăng ham muốn sau khi đọc
(Có thể mua tại xe tải mua sắm)</t>
  </si>
  <si>
    <t>萌萌同人本</t>
  </si>
  <si>
    <t>萌え萌え同人誌</t>
  </si>
  <si>
    <t>性欲が高まる！(宅配車で購入できる)
「萌え萌えキュン～♡」</t>
  </si>
  <si>
    <t>Moe Doujinshi</t>
  </si>
  <si>
    <t>Doujinshi Moe</t>
  </si>
  <si>
    <t>電風扇</t>
  </si>
  <si>
    <t>炎熱劇情道具
(戰車商店販售)</t>
  </si>
  <si>
    <t>猫娘同人誌</t>
  </si>
  <si>
    <t>性欲が高まる！(宅配車で購入できる)
「ご主人さまにゃ…なでなでしてもいいですか？」</t>
  </si>
  <si>
    <t>Electric Fan</t>
  </si>
  <si>
    <t>An item required by the Hot Weather event
(Can be bought from the shopping van )</t>
  </si>
  <si>
    <t>Quạt điện</t>
  </si>
  <si>
    <t>Một vật phẩm được yêu cầu cho sự kiện Trời Nóng
(Có thể được mua từ xe van bán đồ)</t>
  </si>
  <si>
    <t>茶點心券</t>
  </si>
  <si>
    <t>於扭蛋機取得
可於下次使用時必定獲得金色扭蛋
(當使用扭蛋機爆炸時，額外的數值越多，越容易獲得"茶點心券")</t>
  </si>
  <si>
    <t>ティータイムクーポン</t>
  </si>
  <si>
    <t>ガチャで入手
次回使用時には必ず金色のガチャが獲得できます
（ガチャが爆発した時に追加値が多いほど、『お茶菓子クーポン』を獲得しやすくなります）</t>
  </si>
  <si>
    <t>Tea Gift Voucher</t>
  </si>
  <si>
    <t>Drops from the Gachapon Machine
Gives an 11-pull when used, with a guarantee of at least one gold ball as a reward.
(When using the Gachapon Machine, the more you put into it, the more likely you'll get the coupon as a drop)</t>
  </si>
  <si>
    <t>Tee Geschenkgutschein</t>
  </si>
  <si>
    <t>Erhältlich aus dem Gachapon Automaten
Gewährt bei Verwendung einen 11er-Zug mit garantiert mindestens einer goldenen Kugel als Belohnung.
(Je mehr du in den Gachapon Automaten investierst, desto höher ist die Chance, dass du diesen Coupon als Drop erhältst)</t>
  </si>
  <si>
    <t>Phiếu Quà Trà</t>
  </si>
  <si>
    <t>Vật phẩm rơi từ Máy Gachapon: Khi sử dụng, bạn sẽ được 11 lần rút, đảm bảo nhận được ít nhất một quả bóng vàng làm phần thưởng. 
(Khi sử dụng Máy Gachapon, bạn càng bỏ nhiều tiền vào thì khả năng nhận được phiếu giảm giá càng cao)</t>
  </si>
  <si>
    <t>超敏軟Q水饅頭</t>
  </si>
  <si>
    <t>於AKI商店購買
提升敏感度</t>
  </si>
  <si>
    <t>超敏感ソフトQ水まんじゅう</t>
  </si>
  <si>
    <t>アキの商店で購入
敏感度をアップ</t>
  </si>
  <si>
    <t>Springy Mizumanju</t>
  </si>
  <si>
    <t>Can be purchased from Aki's Sweet Shop.
When thrown to monsters, they will become enraged.
When fed to imouto, the effects are similar to the pink konpeito.
*Effects not yet implemented</t>
  </si>
  <si>
    <t>Supersensitives weiches Mochi</t>
  </si>
  <si>
    <t>Im AKI-Laden erhältlich
Erhöht die Sensitivität</t>
  </si>
  <si>
    <t>Bánh Mizumanju Đàn Hồi</t>
  </si>
  <si>
    <t>Có thể mua tại Cửa hàng đồ ngọt của Aki.
Khi ném vào quái vật, chúng sẽ nổi giận.
Khi cho imouto ăn, hiệu ứng tương tự như
kẹo konpeito màu hồng.
*Hiệu ứng chưa được triển khai</t>
  </si>
  <si>
    <t>盧恩符文Kenaz</t>
  </si>
  <si>
    <t>將目標變為炸彈
依照對方體型，影響爆炸範圍</t>
  </si>
  <si>
    <t>ルーン符文Kenaz</t>
  </si>
  <si>
    <t>対象を爆弾に変える
相手のサイズに応じて爆発範囲に影響を与える…</t>
  </si>
  <si>
    <t>Kenaz</t>
  </si>
  <si>
    <t>Throw it to turn the target into a bomb. Explodes after 5s.
Explosion radius is based on the target's size</t>
  </si>
  <si>
    <t>Ném nó để biến mục tiêu thành bom. Phát nổ sau 5 giây.
Bán kính nổ dựa trên kích thước của mục tiêu.</t>
  </si>
  <si>
    <t>藍輝石</t>
  </si>
  <si>
    <t>目前沒有兌換方式
(寶石)</t>
  </si>
  <si>
    <t>Blue Pyroxene</t>
  </si>
  <si>
    <t>This item currently has no way of being exchanged (gem)</t>
  </si>
  <si>
    <t>Blauer Pyroxen</t>
  </si>
  <si>
    <t>Dieser Gegenstand kann derzeit nicht eingetauscht werden (Edelstein)</t>
  </si>
  <si>
    <t>Đá Pyroxene Xanh</t>
  </si>
  <si>
    <t>Hiện tại vật phẩm này không có cách nào
để trao đổi (đá quý)</t>
  </si>
  <si>
    <t>火菱石</t>
  </si>
  <si>
    <t>赤い菱形の石</t>
  </si>
  <si>
    <t xml:space="preserve">
現在のところ、交換方法はありません。
（宝石）
</t>
  </si>
  <si>
    <t>Red Rhomboid Stone</t>
  </si>
  <si>
    <t>Feuerdiamant</t>
  </si>
  <si>
    <t>Derzeit keine Einlöseoption
(Juwel)</t>
  </si>
  <si>
    <t>Đá Hình Thoi Đỏ</t>
  </si>
  <si>
    <t>茶會拍立得收藏集</t>
  </si>
  <si>
    <t>完成後提升幸運值</t>
  </si>
  <si>
    <t>ティーパーティー・ポラロイドコレクション</t>
  </si>
  <si>
    <t>完成すると、幸運値が上昇する！</t>
  </si>
  <si>
    <t>NLCH Polaroid Album</t>
  </si>
  <si>
    <t>Luck increases after completing it</t>
  </si>
  <si>
    <t>Teeparty-Polaroid-Sammlung</t>
  </si>
  <si>
    <t>Nach Abschluss wird der Glückswert erhöht</t>
  </si>
  <si>
    <t>Album Polaroid Của NLCH</t>
  </si>
  <si>
    <t>Tăng vận may sau khi sưu tập đủ</t>
  </si>
  <si>
    <t>銀坷拉</t>
  </si>
  <si>
    <t>誘餌/粉塵爆炸</t>
  </si>
  <si>
    <t>銀だら</t>
  </si>
  <si>
    <t>肥料/魔物をおびき寄せる</t>
  </si>
  <si>
    <t>Ginkela</t>
  </si>
  <si>
    <t>Fertilizer/Lures monsters</t>
  </si>
  <si>
    <t>Dünger / Lockt Monster an</t>
  </si>
  <si>
    <t>Phân bón/Dụ quái vật</t>
  </si>
  <si>
    <t>冒險者心得</t>
  </si>
  <si>
    <t>攻略心得(部分地區可能需要連國外網路)</t>
  </si>
  <si>
    <t>冒険者の心得</t>
  </si>
  <si>
    <t>攻略のコツ（一部地域では国外インターネット接続が必要な場合があります）</t>
  </si>
  <si>
    <t>Adventurer's Handbook</t>
  </si>
  <si>
    <t>Opens the guide in game (requires internet connection)</t>
  </si>
  <si>
    <t>Abenteurerhandbuch</t>
  </si>
  <si>
    <t>Öffnet den Leitfaden im Spiel (Online vb nötig)</t>
  </si>
  <si>
    <t>Sổ Tay Mạo Hiểm Giả</t>
  </si>
  <si>
    <t>Mở bản hướng dẫn trong game (cần kết nối mạng)</t>
  </si>
  <si>
    <t>兔子地圖</t>
  </si>
  <si>
    <t>遊戲地圖(部分地區可能需要連國外網路)</t>
  </si>
  <si>
    <t>ウサギの地図</t>
  </si>
  <si>
    <t>ゲームマップ（一部地域では国外インターネット接続が必要な場合があります）</t>
  </si>
  <si>
    <t>Bunny Map</t>
  </si>
  <si>
    <t xml:space="preserve">Opens the interactive map in game (requires internet connection)
</t>
  </si>
  <si>
    <t>Hasenkarte</t>
  </si>
  <si>
    <t>Öffnet die interaktive Karte im Spiel (Online vb nötig)</t>
  </si>
  <si>
    <t>Bản Đồ Thỏ</t>
  </si>
  <si>
    <t>Mở bản đồ tương tác được trong game (cần kết nối mạng)</t>
  </si>
  <si>
    <t>吃飽效果(夜襲時間延長)</t>
  </si>
  <si>
    <t>食材的材料舉例:
食材只是權重分配，有一定的機率性、共通性，因此不見得每次都能成功。
比如胡蘿蔔這個食材，它同時持有Carrot,Vegetable,Red三个標籤。
並且同一組食材也有可能產生出不同的料理。
每道料理都可以加辣椒，所以有機率多產生辣的效果。另外每多加一個辣椒都會增加被辣到的機率。</t>
  </si>
  <si>
    <t>満腹効果（夜襲時間を延長する）</t>
  </si>
  <si>
    <t>食材の材料についての例:
食材は単なる重み付けであり、一定の確率性や共通性があるため、毎回成功するとは限りません。
例えば、にんじんという食材は、Carrot、Vegetable、Redの3つのタグを持っています。
同じ食材の組み合わせでも、異なる料理が出来上がる可能性があります。</t>
  </si>
  <si>
    <t>Feeling full (extends time for pranks at night)</t>
  </si>
  <si>
    <r>
      <rPr>
        <rFont val="Microsoft JhengHei"/>
        <color theme="1"/>
        <sz val="9.0"/>
      </rPr>
      <t xml:space="preserve">Ingredients
</t>
    </r>
    <r>
      <rPr>
        <rFont val="Microsoft JhengHei"/>
        <color theme="1"/>
        <sz val="9.0"/>
      </rPr>
      <t>Note: Ingredients have different traits and weighted distributions, meaning success is never a guarantee. This is why the probability of making a dish with similar ingredients is random.
Using Carrot as an example, it's defined by three traits, namely "Vegetable", "Carrot" and "Red".
As such, if you use it as an ingredient, it can produce different dishes requiring one of its traits.</t>
    </r>
  </si>
  <si>
    <t>Sättigungseffekt (verlängert die Nachtüberfall Zeit)</t>
  </si>
  <si>
    <t>Beispielhafte Zutatenzuweisung:
Zutaten dienen nur der Gewichtung und sind mit Wahrscheinlichkeiten sowie gemeinsamen Eigenschaften verknüpft – daher gelingt ein Rezept nicht immer.
Zum Beispiel besitzt die Zutat Karotte gleichzeitig die Tags Karotte, Gemüse und Rot.
Außerdem kann dieselbe Kombination von Zutaten unterschiedliche Gerichte ergeben.
Jedes Gericht kann mit Chili ergänzt werden, was mit einer gewissen Wahrscheinlichkeit eine scharfe Variante hervorbringt.
Je mehr Chilis hinzugefügt werden, desto höher ist die Wahrscheinlichkeit, dass das Gericht tatsächlich scharf wird.</t>
  </si>
  <si>
    <t>Cảm thấy no (kéo dài thời gian chọc ghẹo vào ban đêm)</t>
  </si>
  <si>
    <t>Nguyên liệu
Ghi chú: nguyên liệu có nhiều đặc điểm và cân nặng được phân bổ khác nhau, nghĩa là thành công không bao giờ là đảm bảo. Đây là lí do khả năng tạo ra món ăn với cùng nguyên liệu là ngẫu nhiên. Ví dụ, như việc dùng Cà rốt, nó được định nghĩa bằng ba đặc điểm, là "Rau", "Cà rốt" và "Đỏ".
Như vậy, nếu bạn dùng nó như một nguyên liệu, nó có thể tạo ra nhiều món ăn dựa trên một trong những đặc điểm của nó</t>
  </si>
  <si>
    <t>妹妹辣到哭了(機率觸發)</t>
  </si>
  <si>
    <t>辛すぎて妹が泣いちゃった…(確率でイベント)</t>
  </si>
  <si>
    <t>The dish was too spicy, my sister immediately started crying...
(random chance, with each chili increasing it by 45%)</t>
  </si>
  <si>
    <t>Die Schwester weint vor Schärfe (wird mit einer gewissen Wahrscheinlichkeit ausgelöst)</t>
  </si>
  <si>
    <t>Món ăn quá cay, em gái bắt đầu khóc ngay lập tức...
(khả năng ngẫu nhiên, với mỗi quả ớt tăng thêm 45%)</t>
  </si>
  <si>
    <t>料理名</t>
  </si>
  <si>
    <t>Dish</t>
  </si>
  <si>
    <t>Effect</t>
  </si>
  <si>
    <t>Name der Gerichte</t>
  </si>
  <si>
    <t>Wertung</t>
  </si>
  <si>
    <t>Món ăn</t>
  </si>
  <si>
    <t>史萊姆果凍</t>
  </si>
  <si>
    <t>史萊姆黏液</t>
  </si>
  <si>
    <t>スライムゼリー</t>
  </si>
  <si>
    <t>スライムの粘液</t>
  </si>
  <si>
    <t>Slime Jelly</t>
  </si>
  <si>
    <t>Slime Mucus</t>
  </si>
  <si>
    <t>슬라임의 점액</t>
  </si>
  <si>
    <t>Schleimgelee</t>
  </si>
  <si>
    <t>Schleimsekret</t>
  </si>
  <si>
    <t>Thạch Slime</t>
  </si>
  <si>
    <t>Chất Nhầy Slime</t>
  </si>
  <si>
    <t>咖喱飯</t>
  </si>
  <si>
    <t>白米飯</t>
  </si>
  <si>
    <t>咖喱塊</t>
  </si>
  <si>
    <t>カレーライス</t>
  </si>
  <si>
    <t>白ご飯</t>
  </si>
  <si>
    <t>カレールー</t>
  </si>
  <si>
    <t>Curry White Rice</t>
  </si>
  <si>
    <t>White Rice</t>
  </si>
  <si>
    <t>Curry Block</t>
  </si>
  <si>
    <t>카레 블럭</t>
  </si>
  <si>
    <t>Curryreis</t>
  </si>
  <si>
    <t>Reis</t>
  </si>
  <si>
    <t>Currywürfel</t>
  </si>
  <si>
    <t>Cơm Trắng Cà Ri</t>
  </si>
  <si>
    <t>Cơm Trắng</t>
  </si>
  <si>
    <t>Khối Cà Ri</t>
  </si>
  <si>
    <t>蘋果派</t>
  </si>
  <si>
    <t>蘋果</t>
  </si>
  <si>
    <t>小麥粉</t>
  </si>
  <si>
    <t>アップルパイ</t>
  </si>
  <si>
    <t>リンゴ</t>
  </si>
  <si>
    <t>こむぎこ</t>
  </si>
  <si>
    <t>Apple Pie</t>
  </si>
  <si>
    <t>Apple</t>
  </si>
  <si>
    <t>Wheat Flour</t>
  </si>
  <si>
    <t>Apfelkuchen</t>
  </si>
  <si>
    <t>Apfel</t>
  </si>
  <si>
    <t>Weizenmehl</t>
  </si>
  <si>
    <t>Bánh Táo</t>
  </si>
  <si>
    <t>Táo</t>
  </si>
  <si>
    <t>Bột Mì</t>
  </si>
  <si>
    <t>烤蘋果</t>
  </si>
  <si>
    <t>焼きリンゴ</t>
  </si>
  <si>
    <t>Baked Apple</t>
  </si>
  <si>
    <t>Bratapfel</t>
  </si>
  <si>
    <t>Táo Nướng</t>
  </si>
  <si>
    <t>炒貝類</t>
  </si>
  <si>
    <t>未實裝(之後河邊炸鱼可以炸出貝殼)</t>
  </si>
  <si>
    <t>炒め貝類</t>
  </si>
  <si>
    <t>Sauteed Shellfish</t>
  </si>
  <si>
    <t>Not implemented</t>
  </si>
  <si>
    <t>조개볶음</t>
  </si>
  <si>
    <t>Gebratene Muscheln</t>
  </si>
  <si>
    <t>Noch nicht implementiert (Später kann man beim Fischen am Fluss Muscheln herausfrittieren)</t>
  </si>
  <si>
    <t>Sò Xào</t>
  </si>
  <si>
    <t>Chưa triển khai</t>
  </si>
  <si>
    <t>煎魚</t>
  </si>
  <si>
    <t>魚類</t>
  </si>
  <si>
    <t>焼き魚</t>
  </si>
  <si>
    <t>Grilled Fish</t>
  </si>
  <si>
    <t>Fish</t>
  </si>
  <si>
    <t>생선구이</t>
  </si>
  <si>
    <t>Gebratener Fisch</t>
  </si>
  <si>
    <t>Fisch</t>
  </si>
  <si>
    <t>Cá Nướng</t>
  </si>
  <si>
    <t>Cá</t>
  </si>
  <si>
    <t>炒蘑菇</t>
  </si>
  <si>
    <t>炒めシイタケ</t>
  </si>
  <si>
    <t>シイタケ</t>
  </si>
  <si>
    <t>Sauteed Mushrooms</t>
  </si>
  <si>
    <t>버섯볶음</t>
  </si>
  <si>
    <t>Gebratene Pilze</t>
  </si>
  <si>
    <t>Pilz</t>
  </si>
  <si>
    <t>Nấm Xào</t>
  </si>
  <si>
    <t>烤串</t>
  </si>
  <si>
    <t>大塊獸肉</t>
  </si>
  <si>
    <t>焼き串</t>
  </si>
  <si>
    <t>大きい獣肉</t>
  </si>
  <si>
    <t>ジャガイモ</t>
  </si>
  <si>
    <t>Kebab</t>
  </si>
  <si>
    <t>Large Beast Meat</t>
  </si>
  <si>
    <t>케밥</t>
  </si>
  <si>
    <t>큰 짐승고기</t>
  </si>
  <si>
    <t>Grillspieße</t>
  </si>
  <si>
    <t>Großes Stück Fleisch</t>
  </si>
  <si>
    <t>Thịt Quái Vật Lớn</t>
  </si>
  <si>
    <t>飯糰</t>
  </si>
  <si>
    <t>おにぎり</t>
  </si>
  <si>
    <t>Onigiri</t>
  </si>
  <si>
    <t>Reisbällchen</t>
  </si>
  <si>
    <t>Cơm Nắm</t>
  </si>
  <si>
    <t>肉排咖喱飯</t>
  </si>
  <si>
    <t>カツカレー</t>
  </si>
  <si>
    <t>Katsu Curry White Rice</t>
  </si>
  <si>
    <t>카츠카레</t>
  </si>
  <si>
    <t>Curryreis mit Fleisch</t>
  </si>
  <si>
    <t>Cơm Trắng Cà Ri Katsu</t>
  </si>
  <si>
    <t>肉湯</t>
  </si>
  <si>
    <t>小塊獸肉</t>
  </si>
  <si>
    <t>肉のスープ</t>
  </si>
  <si>
    <t>小さい獣肉</t>
  </si>
  <si>
    <t>Meat Broth Soup</t>
  </si>
  <si>
    <t>고기 수프</t>
  </si>
  <si>
    <t>Fleischsuppe</t>
  </si>
  <si>
    <t xml:space="preserve">Kleines Stück Fleisch
</t>
  </si>
  <si>
    <t>Súp Nước Dùng Thịt</t>
  </si>
  <si>
    <t>烤肉塊</t>
  </si>
  <si>
    <t>チーズinハンバーグ</t>
  </si>
  <si>
    <t>Grilled Meat</t>
  </si>
  <si>
    <t>Gebratene Fleischstücke</t>
  </si>
  <si>
    <t>Thịt Nướng</t>
  </si>
  <si>
    <t>牛排肉</t>
  </si>
  <si>
    <t>厚切りお肉のステーキ</t>
  </si>
  <si>
    <t>Steak</t>
  </si>
  <si>
    <t>스테이크</t>
  </si>
  <si>
    <t>Steakfleisch</t>
  </si>
  <si>
    <t>Bít Tết</t>
  </si>
  <si>
    <t>醬牛肉</t>
  </si>
  <si>
    <t>醤油の煮込み肉鍋</t>
  </si>
  <si>
    <t>Braised Beef in Soy Sauce</t>
  </si>
  <si>
    <t>소고기장조림</t>
  </si>
  <si>
    <t>Geschmorter Fleischtopf in Sojasauce</t>
  </si>
  <si>
    <t>Thịt Bò Hầm Trong Nước Tương</t>
  </si>
  <si>
    <t>牛肉飯糰</t>
  </si>
  <si>
    <t>肉巻きおにぎり</t>
  </si>
  <si>
    <t>Beef Onigiri</t>
  </si>
  <si>
    <t>White White Rice</t>
  </si>
  <si>
    <t>소고기주먹밥</t>
  </si>
  <si>
    <t>Rindfleisch mit Reisbällchen</t>
  </si>
  <si>
    <t>Cơm Nắm Thịt Bò</t>
  </si>
  <si>
    <t>奇怪的史萊姆果凍(藍色)</t>
  </si>
  <si>
    <t>水怪黏液</t>
  </si>
  <si>
    <t>可愛いスライムゼリー（青色）</t>
  </si>
  <si>
    <t>水怪の粘液</t>
  </si>
  <si>
    <t>WaterWeird Jelly (Blue)</t>
  </si>
  <si>
    <t>WaterWeird Mucus</t>
  </si>
  <si>
    <t>수괴의 점액</t>
  </si>
  <si>
    <t>Seltsames Schleimgelee (Blau)</t>
  </si>
  <si>
    <t>Wassergeistsekret</t>
  </si>
  <si>
    <t>Thạch Thủy Linh (Xanh)</t>
  </si>
  <si>
    <t>Chất Nhầy Thủy Linh</t>
  </si>
  <si>
    <t>奇怪的史萊姆果凍(粉色)</t>
  </si>
  <si>
    <t>可愛いスライムゼリー（赤色）</t>
  </si>
  <si>
    <t>アップル妖精</t>
  </si>
  <si>
    <t>Strange Slime Jelly (Pink)</t>
  </si>
  <si>
    <t>이상한 슬라임 젤리(핑크색)</t>
  </si>
  <si>
    <t>Seltsames Schleimgelee (Rosa)</t>
  </si>
  <si>
    <t>Thạch Thủy Linh (Hồng)</t>
  </si>
  <si>
    <t>Táo Tiên</t>
  </si>
  <si>
    <t>奇怪的史萊姆果凍(黑色)</t>
  </si>
  <si>
    <t>垃圾</t>
  </si>
  <si>
    <t>可愛いスライムゼリー（黒色）</t>
  </si>
  <si>
    <t>ゴミ</t>
  </si>
  <si>
    <t>Strange Slime Jelly (Black)</t>
  </si>
  <si>
    <t>Junk</t>
  </si>
  <si>
    <t>Seltsames Schleimgelee (Schwarz)</t>
  </si>
  <si>
    <t>Abfall</t>
  </si>
  <si>
    <t>Thạch Thủy Linh (Đen)</t>
  </si>
  <si>
    <t>Rác</t>
  </si>
  <si>
    <t>奇怪的史萊姆果凍(彩色)</t>
  </si>
  <si>
    <t>可愛いスライムゼリー（虹色）</t>
  </si>
  <si>
    <t>Strange Slime Jelly (Color)</t>
  </si>
  <si>
    <t>Sister's Ahoge</t>
  </si>
  <si>
    <t>Seltsames Schleimgelee (Bunt)</t>
  </si>
  <si>
    <t>Haar von deiner Schwester</t>
  </si>
  <si>
    <t>Thạch Thủy Linh (Màu)</t>
  </si>
  <si>
    <t>Ahoge Của Em Gái</t>
  </si>
  <si>
    <t>烤香蕉</t>
  </si>
  <si>
    <t>香蕉</t>
  </si>
  <si>
    <t>チョコバナナ</t>
  </si>
  <si>
    <t>バナナ</t>
  </si>
  <si>
    <t>Choco Bananas</t>
  </si>
  <si>
    <t>Banana</t>
  </si>
  <si>
    <t>Gebackene Banane</t>
  </si>
  <si>
    <t>Banane</t>
  </si>
  <si>
    <t>Chuối Sô-cô-la</t>
  </si>
  <si>
    <t>Chuối</t>
  </si>
  <si>
    <t>羅宋湯</t>
  </si>
  <si>
    <t>胡蘿蔔</t>
  </si>
  <si>
    <t>ボルシチ</t>
  </si>
  <si>
    <t>じゃがいも</t>
  </si>
  <si>
    <t>にんじん</t>
  </si>
  <si>
    <t>Borscht</t>
  </si>
  <si>
    <t>Carrot</t>
  </si>
  <si>
    <t>Borschtsch</t>
  </si>
  <si>
    <t>Súp Borsht</t>
  </si>
  <si>
    <t>Cà Rốt</t>
  </si>
  <si>
    <t>烤章魚腳</t>
  </si>
  <si>
    <t>章魚腳</t>
  </si>
  <si>
    <t>焼きタコ串</t>
  </si>
  <si>
    <t>タコの触手</t>
  </si>
  <si>
    <t>Grilled Octopus Legs</t>
  </si>
  <si>
    <t>Octopus Tentacles</t>
  </si>
  <si>
    <t>문어 다리 구이</t>
  </si>
  <si>
    <t>문어 다리</t>
  </si>
  <si>
    <t>Gegrillte Oktopus Tentakel</t>
  </si>
  <si>
    <t>Oktopus Tentakel</t>
  </si>
  <si>
    <t>Râu Bạch Tuộc Nướng</t>
  </si>
  <si>
    <t>Râu Bạch Tuộc</t>
  </si>
  <si>
    <t>蔬菜沙拉</t>
  </si>
  <si>
    <t>蔬菜</t>
  </si>
  <si>
    <t>にんじんチャンプル</t>
  </si>
  <si>
    <t>Mixed Diced Carrots</t>
  </si>
  <si>
    <t>채소 샐러드</t>
  </si>
  <si>
    <t>채소</t>
  </si>
  <si>
    <t>Gemüsesalat</t>
  </si>
  <si>
    <t>Gemüse</t>
  </si>
  <si>
    <t>Cà Rốt Xắt Nhỏ Trộn</t>
  </si>
  <si>
    <t>土豆泥</t>
  </si>
  <si>
    <t>マッシュポテト</t>
  </si>
  <si>
    <t>Mashed Potatoes</t>
  </si>
  <si>
    <t>매시드 포테이토</t>
  </si>
  <si>
    <t>Kartoffelpüree</t>
  </si>
  <si>
    <t>Khoai Tây Nghiền</t>
  </si>
  <si>
    <t>蘿蔔菇片湯</t>
  </si>
  <si>
    <t>菇類</t>
  </si>
  <si>
    <t>にんじんときのこのスープ</t>
  </si>
  <si>
    <t>きのこ類</t>
  </si>
  <si>
    <t>Radish and Mushroom Soup</t>
  </si>
  <si>
    <t>당근 버섯 수프</t>
  </si>
  <si>
    <t>Suppe mit Rettich und Pilzscheiben</t>
  </si>
  <si>
    <t>Karotte</t>
  </si>
  <si>
    <t>Súp Củ Cải Nấm</t>
  </si>
  <si>
    <t>意麵</t>
  </si>
  <si>
    <t>意大利面</t>
  </si>
  <si>
    <t>パスタ</t>
  </si>
  <si>
    <t>パスタ用麺</t>
  </si>
  <si>
    <t>Pasta</t>
  </si>
  <si>
    <t>Spaghetti</t>
  </si>
  <si>
    <t>Nudeln</t>
  </si>
  <si>
    <t>Mì Ý</t>
  </si>
  <si>
    <t>番茄意麵</t>
  </si>
  <si>
    <t>番茄醬</t>
  </si>
  <si>
    <t>スパゲッティ</t>
  </si>
  <si>
    <t>ケッチャプ</t>
  </si>
  <si>
    <t>Tomato Pasta</t>
  </si>
  <si>
    <t>Tomato Sauce</t>
  </si>
  <si>
    <t>Nudeln mit Tomatensauce</t>
  </si>
  <si>
    <t>Tomatensauce</t>
  </si>
  <si>
    <t>Pasta Cà Chua</t>
  </si>
  <si>
    <t>Sốt Cà Chua</t>
  </si>
  <si>
    <t>海鮮意麵</t>
  </si>
  <si>
    <t>甜蝦</t>
  </si>
  <si>
    <t>海鮮パスタ</t>
  </si>
  <si>
    <t>甘エビ</t>
  </si>
  <si>
    <t>Seafood Pasta</t>
  </si>
  <si>
    <t>Sweet Shrimp</t>
  </si>
  <si>
    <t>단새우</t>
  </si>
  <si>
    <t>Pasta mit Meeresfrüchten</t>
  </si>
  <si>
    <t>Süße Garnelen</t>
  </si>
  <si>
    <t>Pasta Hải Sản</t>
  </si>
  <si>
    <t>Tôm Ngọt</t>
  </si>
  <si>
    <t>雞蛋咖哩飯</t>
  </si>
  <si>
    <t>目玉焼きカレー</t>
  </si>
  <si>
    <t>大きい卵</t>
  </si>
  <si>
    <t>Egg Curry Rice</t>
  </si>
  <si>
    <t>Eier-Curryreis</t>
  </si>
  <si>
    <t>Sehr große Eier</t>
  </si>
  <si>
    <t>Cơm Cà Ri Trứng</t>
  </si>
  <si>
    <t>蛋包飯</t>
  </si>
  <si>
    <t>オムライス</t>
  </si>
  <si>
    <t>Omurice</t>
  </si>
  <si>
    <t>Large Egg</t>
  </si>
  <si>
    <t>오므라이스</t>
  </si>
  <si>
    <t>Omurice (Reis mit Omelett)</t>
  </si>
  <si>
    <t>番茄蛋包飯</t>
  </si>
  <si>
    <t>オムライスver2</t>
  </si>
  <si>
    <t>トマト</t>
  </si>
  <si>
    <t>Tomato Omurice</t>
  </si>
  <si>
    <t>토마토 소스 오므라이스</t>
  </si>
  <si>
    <t>Tomaten-Omurice</t>
  </si>
  <si>
    <t>Tomate</t>
  </si>
  <si>
    <t>Omurice Cà Chua</t>
  </si>
  <si>
    <t>海鮮燉飯</t>
  </si>
  <si>
    <t>大龍蝦</t>
  </si>
  <si>
    <t>シーフードリゾット</t>
  </si>
  <si>
    <t>伊勢エビ</t>
  </si>
  <si>
    <t>Seafood Risotto</t>
  </si>
  <si>
    <t>랍스터</t>
  </si>
  <si>
    <t>Meeresfrüchte-Risotto</t>
  </si>
  <si>
    <t>Hummer</t>
  </si>
  <si>
    <t>Risotto Hải Sản</t>
  </si>
  <si>
    <t>菠蘿飲</t>
  </si>
  <si>
    <t>菠蘿</t>
  </si>
  <si>
    <t>パイナップルジュース</t>
  </si>
  <si>
    <t>パイナップル</t>
  </si>
  <si>
    <t>Pineapple Juice</t>
  </si>
  <si>
    <t>Pineapple</t>
  </si>
  <si>
    <t>파인애플 주스</t>
  </si>
  <si>
    <t>Ananasgetränk</t>
  </si>
  <si>
    <t>Ananas</t>
  </si>
  <si>
    <t>Nước Ép Dứa</t>
  </si>
  <si>
    <t>Dứa</t>
  </si>
  <si>
    <t>沖繩雜炒</t>
  </si>
  <si>
    <t>沖縄風炒め</t>
  </si>
  <si>
    <t>野菜</t>
  </si>
  <si>
    <t>Okinawa Stir Fry</t>
  </si>
  <si>
    <t>Vegetables</t>
  </si>
  <si>
    <t>오키나와식 볶음 요리</t>
  </si>
  <si>
    <t>Okinawa-Gemüsepfanne</t>
  </si>
  <si>
    <t>Xào Okinawa</t>
  </si>
  <si>
    <t>Rau</t>
  </si>
  <si>
    <t>炸雞桶</t>
  </si>
  <si>
    <t>雞腿肉</t>
  </si>
  <si>
    <t>〇ンタッキーフライドチキンバケット</t>
  </si>
  <si>
    <t>鳥足肉</t>
  </si>
  <si>
    <t>Ken Taki's Fried Chicken Bucket</t>
  </si>
  <si>
    <t>Bird Leg Meat</t>
  </si>
  <si>
    <t>〇터키 프라이드 치킨 버켓</t>
  </si>
  <si>
    <t>닭다리</t>
  </si>
  <si>
    <t>Eimer frittierter Hähnchenstücke</t>
  </si>
  <si>
    <t>Hähnchenschenkel</t>
  </si>
  <si>
    <t>Xô Gà Chiên Ken Taki</t>
  </si>
  <si>
    <t>Đùi Chim</t>
  </si>
  <si>
    <t>炸雞腿</t>
  </si>
  <si>
    <t>フライドチキン(ｘ)</t>
  </si>
  <si>
    <t>Fried Chicken Legs</t>
  </si>
  <si>
    <t>Frittierte Hähnchenschenkel</t>
  </si>
  <si>
    <t>Chân Gà Rán</t>
  </si>
  <si>
    <t>天婦羅飯糰</t>
  </si>
  <si>
    <t>天ぷらのおにぎり</t>
  </si>
  <si>
    <t>Tenmusu</t>
  </si>
  <si>
    <t>덴푸라 주먹밥</t>
  </si>
  <si>
    <t>Hummer mit Reisbällchen</t>
  </si>
  <si>
    <t>焗龍蝦</t>
  </si>
  <si>
    <t>龍蝦</t>
  </si>
  <si>
    <t>エビグラタン</t>
  </si>
  <si>
    <t>Baked Lobster</t>
  </si>
  <si>
    <t>Spiny Lobster</t>
  </si>
  <si>
    <t>랍스터 구이</t>
  </si>
  <si>
    <t>Überbackener Hummer</t>
  </si>
  <si>
    <t>Tôm Hùm Nấu Chín</t>
  </si>
  <si>
    <t>Tôm Hùm Gai</t>
  </si>
  <si>
    <t>煮螃蟹</t>
  </si>
  <si>
    <t>毛蟹</t>
  </si>
  <si>
    <t>カニのスープ</t>
  </si>
  <si>
    <t>毛ガニ</t>
  </si>
  <si>
    <t>Boiled Crabs</t>
  </si>
  <si>
    <t>Hairy Crab</t>
  </si>
  <si>
    <t>게찜</t>
  </si>
  <si>
    <t>Gekochter Krebs</t>
  </si>
  <si>
    <t>haarige Krabbe</t>
  </si>
  <si>
    <t>Cua Luộc</t>
  </si>
  <si>
    <t>Cua Lông</t>
  </si>
  <si>
    <t>金槍魚頭</t>
  </si>
  <si>
    <t>金槍魚</t>
  </si>
  <si>
    <t>マグロヘッド(ｘ)</t>
  </si>
  <si>
    <t>マグロ</t>
  </si>
  <si>
    <t>Tuna Head</t>
  </si>
  <si>
    <t>Tuna</t>
  </si>
  <si>
    <t>Thunfischkopf</t>
  </si>
  <si>
    <t>Thunfisch</t>
  </si>
  <si>
    <t>Đầu Cá Ngừ</t>
  </si>
  <si>
    <t>Cá Ngừ</t>
  </si>
  <si>
    <t>章魚丸子</t>
  </si>
  <si>
    <t>たこ焼き</t>
  </si>
  <si>
    <t>Takoyaki</t>
  </si>
  <si>
    <t>타코야키</t>
  </si>
  <si>
    <t>Takoyaki (Oktopusbällchen)</t>
  </si>
  <si>
    <t>漢堡肉</t>
  </si>
  <si>
    <t>Hamburg Steak</t>
  </si>
  <si>
    <t>햄버그 스테이크</t>
  </si>
  <si>
    <t>Hamburgerfleisch</t>
  </si>
  <si>
    <t>Bít Tết Hamburg</t>
  </si>
  <si>
    <t>辣味土豆泥</t>
  </si>
  <si>
    <t>スパイシーマッシュポテト</t>
  </si>
  <si>
    <t>トウガラシ</t>
  </si>
  <si>
    <t>Spicy Mashed Potatoes</t>
  </si>
  <si>
    <t>매콤한 매시드 포테이토</t>
  </si>
  <si>
    <t>고추</t>
  </si>
  <si>
    <t>Scharfer Kartoffelbrei</t>
  </si>
  <si>
    <t>Chilischote</t>
  </si>
  <si>
    <t>Khoai Tây Nghiền Cay</t>
  </si>
  <si>
    <t>辣椒水</t>
  </si>
  <si>
    <t>激辛スープ</t>
  </si>
  <si>
    <t>Chili Sauce</t>
  </si>
  <si>
    <t>고추기름</t>
  </si>
  <si>
    <t>Chilisauce</t>
  </si>
  <si>
    <t>Sốt Cay</t>
  </si>
  <si>
    <t>水怪軟糖</t>
  </si>
  <si>
    <t>グミ(ｘ)</t>
  </si>
  <si>
    <t>WaterWeird Gooey Gummy</t>
  </si>
  <si>
    <t>수괴 젤리</t>
  </si>
  <si>
    <t>Wassermonster-Gummibonbon</t>
  </si>
  <si>
    <t>Thủy Linh Dính Dính</t>
  </si>
  <si>
    <t>水怪刨冰</t>
  </si>
  <si>
    <t>かき氷！</t>
  </si>
  <si>
    <t>WaterWeird Sticky Shaved Ice</t>
  </si>
  <si>
    <t>수괴 빙수</t>
  </si>
  <si>
    <t>Wassermonster Eis</t>
  </si>
  <si>
    <t>Chè Thủy Linh</t>
  </si>
  <si>
    <t>水怪軟糖(紅)</t>
  </si>
  <si>
    <t>(B)
辣椒</t>
  </si>
  <si>
    <t>番茄/辣椒</t>
  </si>
  <si>
    <t>グミ(赤色)</t>
  </si>
  <si>
    <t>(B)
トウガラシ</t>
  </si>
  <si>
    <t>トマト/トウガラシ</t>
  </si>
  <si>
    <t>WaterWeird  Gooey Gummy (Red)</t>
  </si>
  <si>
    <t>B
(With Chili)</t>
  </si>
  <si>
    <t>Tomato or Chili</t>
  </si>
  <si>
    <t>수괴 젤리 (레드)</t>
  </si>
  <si>
    <r>
      <rPr>
        <rFont val="Microsoft JhengHei"/>
        <color theme="1"/>
        <sz val="16.0"/>
      </rPr>
      <t>B
(</t>
    </r>
    <r>
      <rPr>
        <rFont val="Microsoft JhengHei"/>
        <color theme="1"/>
        <sz val="10.0"/>
      </rPr>
      <t>고추</t>
    </r>
    <r>
      <rPr>
        <rFont val="Microsoft JhengHei"/>
        <color theme="1"/>
        <sz val="16.0"/>
      </rPr>
      <t>)</t>
    </r>
  </si>
  <si>
    <t>Wassermonster-Gummibonbon (Rot)</t>
  </si>
  <si>
    <t>Thủy Linh Dính Dính (Đỏ)</t>
  </si>
  <si>
    <t>B
(với Ớt)</t>
  </si>
  <si>
    <t>Cà Chua hoặc Ớt</t>
  </si>
  <si>
    <t>煎薄餅</t>
  </si>
  <si>
    <t>パァンケーキ！</t>
  </si>
  <si>
    <t>Pancakes</t>
  </si>
  <si>
    <t>Pfannkuchen(ES HEIßT Pfannkuchen PUNKT!!!)</t>
  </si>
  <si>
    <t>Bánh Kếp</t>
  </si>
  <si>
    <t>草莓煎薄餅</t>
  </si>
  <si>
    <t>イチゴのパァンケーキ！</t>
  </si>
  <si>
    <t>イチゴ</t>
  </si>
  <si>
    <t>Strawberry Pancakes</t>
  </si>
  <si>
    <t>Erdbeerpfannkuchen</t>
  </si>
  <si>
    <t>Erdbeere</t>
  </si>
  <si>
    <t>Bánh Kếp Dâu Tây</t>
  </si>
  <si>
    <t>番茄湯</t>
  </si>
  <si>
    <t>トマトスープ</t>
  </si>
  <si>
    <t>Tomato Soup</t>
  </si>
  <si>
    <t>Tomatensuppe</t>
  </si>
  <si>
    <t>Súp Cà Chua</t>
  </si>
  <si>
    <t>いちご</t>
  </si>
  <si>
    <t>Please support the official game by 逆流茶会(NLCH) - A Simple Life with My Unobtrusive Sister
Guide: Official Discord-RORO, Facilitator-MIO, 落染, Translator-눈_눈、Ruika、zNagato、Libeti、Gabriel B、maltesey、AndyJango
Please do not copy without permission</t>
  </si>
  <si>
    <t>Hãy ủng hộ game chính thức bởi 逆流茶会(NLCH) - Cuộc Sống Giản Dị Bên Em Gái Hiền Dịu Của Tôi
Bản hướng dẫn: Discord chính thức-RORO, Người hướng dẫn-MIO, 落染, Dịch giả-눈_눈、Ruika、zNagato、Libeti、Gabriel B、maltesey、AndyJango、IntenseLag、Nian Sprout
Xin không sao chép mà không có sự đồng ý</t>
  </si>
  <si>
    <t>狀態圖示</t>
  </si>
  <si>
    <t>名稱</t>
  </si>
  <si>
    <t>敘述</t>
  </si>
  <si>
    <t>舉例</t>
  </si>
  <si>
    <t>Status</t>
  </si>
  <si>
    <t>Description</t>
  </si>
  <si>
    <t>Narrative</t>
  </si>
  <si>
    <t>Sources</t>
  </si>
  <si>
    <t>Trạng thái</t>
  </si>
  <si>
    <t>Miêu tả</t>
  </si>
  <si>
    <t>Thuyết minh</t>
  </si>
  <si>
    <t>興奮</t>
  </si>
  <si>
    <t>感覺有些躁動</t>
  </si>
  <si>
    <t>哥哥有些性慾</t>
  </si>
  <si>
    <t>興奮する…</t>
  </si>
  <si>
    <t>お兄ちゃんの性欲がある</t>
  </si>
  <si>
    <t>Excited</t>
  </si>
  <si>
    <t>Feeling restless...</t>
  </si>
  <si>
    <t>Onii-chan has some sexual desire</t>
  </si>
  <si>
    <t>Hứng thú</t>
  </si>
  <si>
    <t>Cảm thấy bồn chồn...</t>
  </si>
  <si>
    <t>Onii-chan có một số ham muốn tình dục</t>
  </si>
  <si>
    <t>全身都在渴望著某種刺激</t>
  </si>
  <si>
    <t>哥哥有許多性慾</t>
  </si>
  <si>
    <t>お兄ちゃんの性欲が高い</t>
  </si>
  <si>
    <t>The body craves for a thrill...</t>
  </si>
  <si>
    <t>Onii-chan has moderate sexual desire</t>
  </si>
  <si>
    <t>Cơ thể khao khát cảm giác mạnh...</t>
  </si>
  <si>
    <t>Onii-chan có ham muốn tình dục trung bình</t>
  </si>
  <si>
    <t>要控制不住自己了</t>
  </si>
  <si>
    <t>哥哥更多性慾</t>
  </si>
  <si>
    <t>お兄ちゃんの性欲がとても高い</t>
  </si>
  <si>
    <t>I can't hold it in anymore</t>
  </si>
  <si>
    <t>Onii-chan has high sexual desire</t>
  </si>
  <si>
    <t>Mất kiểm soát...</t>
  </si>
  <si>
    <t>Onii-chan có ham muốn tình dục cao</t>
  </si>
  <si>
    <t>獸人</t>
  </si>
  <si>
    <t>唔噢噢噢噢.......!</t>
  </si>
  <si>
    <t>扭曲為了滿腦子都是欲望的Beast！</t>
  </si>
  <si>
    <t>哥哥性慾極高</t>
  </si>
  <si>
    <t>ビーストモード</t>
  </si>
  <si>
    <t>性欲限界！お兄ちゃんはビーストモードに突入！</t>
  </si>
  <si>
    <t>お兄ちゃんの性欲が凄く高い</t>
  </si>
  <si>
    <t>Orc</t>
  </si>
  <si>
    <t>Uoooooohhhhh!!!</t>
  </si>
  <si>
    <t>Warped into a desire-crazed Beast!</t>
  </si>
  <si>
    <t>Onii-chan has very high sexual desire</t>
  </si>
  <si>
    <t>Biến thành một con quái vật điên cuồng bởi ham muốn!</t>
  </si>
  <si>
    <t>Onii-chan có ham muốn tình dục rất cao</t>
  </si>
  <si>
    <t>賢者</t>
  </si>
  <si>
    <t>现在我感覺自己無所不能。</t>
  </si>
  <si>
    <t>進入了賢者模式，全屬性上升</t>
  </si>
  <si>
    <t>哥哥毫無性慾</t>
  </si>
  <si>
    <t>賢者モード</t>
  </si>
  <si>
    <t>今なら何でもできる気がする！</t>
  </si>
  <si>
    <t>性欲を開放したお兄ちゃん</t>
  </si>
  <si>
    <t>Sage Mode</t>
  </si>
  <si>
    <t>I feel like I can do anything right now.</t>
  </si>
  <si>
    <t>Enters Sage Mode, all attributes increased</t>
  </si>
  <si>
    <t>Onii-chan has no sexual desire</t>
  </si>
  <si>
    <t>Trạng Thái Tĩnh Tâm</t>
  </si>
  <si>
    <t>Cảm giác như có thể làm bất cứ chuyện gì bây giờ</t>
  </si>
  <si>
    <t>Tiến vào Trạng Thái Tĩnh Tâm, mọi đặc tính tăng</t>
  </si>
  <si>
    <t>Onii-chan không có ham muốn tình dục</t>
  </si>
  <si>
    <t>專注</t>
  </si>
  <si>
    <t>集中精力為下一擊做准被，移動速度下降</t>
  </si>
  <si>
    <t>近戰武器滑鼠右鍵</t>
  </si>
  <si>
    <t>次の攻撃に備えて集中してるので、移動速度が低下します。</t>
  </si>
  <si>
    <t>近接武器を右クリック長押し</t>
  </si>
  <si>
    <t>Focus</t>
  </si>
  <si>
    <t>You're focused on the next strike, so your movement speed is decreased</t>
  </si>
  <si>
    <t>Right click on melee weapons</t>
  </si>
  <si>
    <t>Tập Trung</t>
  </si>
  <si>
    <t>Bạn tập trung vào đòn đánh tiếp theo, tốc độ bị giảm đi</t>
  </si>
  <si>
    <t>Nhấn chuột phải với vũ khí cầm tay</t>
  </si>
  <si>
    <t>閃步</t>
  </si>
  <si>
    <t>真紅的三倍速</t>
  </si>
  <si>
    <t>閃步過程中或過圖時永久BUG</t>
  </si>
  <si>
    <t>閃歩</t>
  </si>
  <si>
    <t>深紅の三倍速！</t>
  </si>
  <si>
    <t>閃歩によるバグ、爆速のお兄ちゃんになれる</t>
  </si>
  <si>
    <t>Senpo</t>
  </si>
  <si>
    <t>Triple speed of True Red</t>
  </si>
  <si>
    <t>Appears when using Senpo. Can easily be seen when transitioning to a new map due to a BUG</t>
  </si>
  <si>
    <t>Ba lần tốc độ của True Red</t>
  </si>
  <si>
    <t>Xuất hiện khi sử dụng Senpo
Có thể dễ dàng thấy khi di chuyển sang khu vực khác do một lỗi</t>
  </si>
  <si>
    <t>閃步禁止</t>
  </si>
  <si>
    <t>禁止發動閃步</t>
  </si>
  <si>
    <t>閃步cd期間</t>
  </si>
  <si>
    <t>閃歩禁止</t>
  </si>
  <si>
    <t>閃歩は禁止されています</t>
  </si>
  <si>
    <t>閃歩のCD中…</t>
  </si>
  <si>
    <t>Senpo Cooldown</t>
  </si>
  <si>
    <t>Senpo on cooldown</t>
  </si>
  <si>
    <t>Senpo Tachi's cooldown</t>
  </si>
  <si>
    <t>Hồi Chiêu Senpo</t>
  </si>
  <si>
    <t>Senpo đang hồi</t>
  </si>
  <si>
    <t>Hồi chiêu Senpo Tachi</t>
  </si>
  <si>
    <t>眩暈</t>
  </si>
  <si>
    <t>轉的頭暈了。</t>
  </si>
  <si>
    <t>近戰武器滑鼠右鍵結束後</t>
  </si>
  <si>
    <t>眩暈(めまい)</t>
  </si>
  <si>
    <t>眩暈で動けない…</t>
  </si>
  <si>
    <t>魔法の杖装備時に右クリック長押し</t>
  </si>
  <si>
    <t>Stun</t>
  </si>
  <si>
    <t>Feeling dizzy...</t>
  </si>
  <si>
    <t>After spinning from right-click on melee weapons</t>
  </si>
  <si>
    <t>Choáng</t>
  </si>
  <si>
    <t>Cảm thấy chóng mặt...</t>
  </si>
  <si>
    <t>Sau khi xoay tròn từ việc nhấn chuột phải với vũ khi cầm tay</t>
  </si>
  <si>
    <t>施法</t>
  </si>
  <si>
    <t>魔法吟唱中</t>
  </si>
  <si>
    <t>法杖武器滑鼠右鍵</t>
  </si>
  <si>
    <t>Chanting</t>
  </si>
  <si>
    <t>Chanting a spell</t>
  </si>
  <si>
    <t>Right click on staff weapons</t>
  </si>
  <si>
    <t>Tụng</t>
  </si>
  <si>
    <t>Đang tụng một phép</t>
  </si>
  <si>
    <t>Nhấn chuột phải với các vũ khí trượng</t>
  </si>
  <si>
    <t>中毒</t>
  </si>
  <si>
    <t>體內感染了毒素</t>
  </si>
  <si>
    <t>隨時間經過受到更多傷害</t>
  </si>
  <si>
    <t>被喪屍攻擊</t>
  </si>
  <si>
    <t>毒に犯されている</t>
  </si>
  <si>
    <t>時間経過でダメージを受ける！(重複する)</t>
  </si>
  <si>
    <t>ゾンビの攻撃を受けるか、くさい魚の骨を装備してると毒に犯される</t>
  </si>
  <si>
    <t>Poison</t>
  </si>
  <si>
    <t>Poison has infected your body</t>
  </si>
  <si>
    <t>Takes damage per second that increases over time</t>
  </si>
  <si>
    <t>Inflicted by Zombies</t>
  </si>
  <si>
    <t>Độc</t>
  </si>
  <si>
    <t>Độc đã đi vào người bạn</t>
  </si>
  <si>
    <t>Nhận sát thương mỗi giây và tăng dần theo thời gian</t>
  </si>
  <si>
    <t>Gây ra bởi Zombies</t>
  </si>
  <si>
    <t>出血</t>
  </si>
  <si>
    <t>血流不止。</t>
  </si>
  <si>
    <t>根據體力上限受到傷害</t>
  </si>
  <si>
    <t>被小紅獸攻擊</t>
  </si>
  <si>
    <t>出血している…</t>
  </si>
  <si>
    <t>赤き幼獣から被弾する</t>
  </si>
  <si>
    <t>The bleeding won't stop</t>
  </si>
  <si>
    <t>Takes damage per second based on your max HP</t>
  </si>
  <si>
    <t>Inflicted by Red Cub</t>
  </si>
  <si>
    <t>Chảy Máu</t>
  </si>
  <si>
    <t>Vết thương không ngừng chảy máu</t>
  </si>
  <si>
    <t>Nhận sát thương mỗi giây dựa trên HP tối đa</t>
  </si>
  <si>
    <t>Gây ra bởi Gấu Đỏ</t>
  </si>
  <si>
    <t>打雷</t>
  </si>
  <si>
    <t>看啊，這傢伙被雷劈了！</t>
  </si>
  <si>
    <t>全身麻痺無法動彈！</t>
  </si>
  <si>
    <t>會漏電的的不良品、嗶哩嗶哩史萊姆</t>
  </si>
  <si>
    <t>感電</t>
  </si>
  <si>
    <t>麻痺している間は動けない…</t>
  </si>
  <si>
    <t>漏電した不良品、ビリビリスライム</t>
  </si>
  <si>
    <t>Paralysis</t>
  </si>
  <si>
    <t>Look, he got struck by lightning!</t>
  </si>
  <si>
    <t>You're paralyzed and can't move!</t>
  </si>
  <si>
    <t>Inflicted by
Leaky Electric Sword, Crackling Slime</t>
  </si>
  <si>
    <t>Tê Liệt</t>
  </si>
  <si>
    <t>Nhìn kìa, anh ấy bị sét đánh trúng</t>
  </si>
  <si>
    <t>Bạn bị tê liệt và không thể di chuyển!</t>
  </si>
  <si>
    <t>Gây ra bởi Kiếm Rò Rỉ Điện, Slime Lách Tách</t>
  </si>
  <si>
    <t>炎上</t>
  </si>
  <si>
    <t>好燙好燙好燙——！</t>
  </si>
  <si>
    <t>對自身範圍内所有單位持續的灼燒</t>
  </si>
  <si>
    <t>被火焰屬性攻擊</t>
  </si>
  <si>
    <t>範囲内のものに対して継続的に燃焼ダメージを与える</t>
  </si>
  <si>
    <t>火属性の攻撃を受けるか与える</t>
  </si>
  <si>
    <t>Burning</t>
  </si>
  <si>
    <t>Hot! Hot! Hot!</t>
  </si>
  <si>
    <t>Everyone around is continously burned</t>
  </si>
  <si>
    <t>Hit by a Fire attribute</t>
  </si>
  <si>
    <t>Cháy</t>
  </si>
  <si>
    <t>Nóng! Nóng! Nóng!</t>
  </si>
  <si>
    <t>Mọi người ở gần liên tục bị đốt cháy</t>
  </si>
  <si>
    <t>Bị trúng bởi một đặc tính Lửa</t>
  </si>
  <si>
    <t>冰結</t>
  </si>
  <si>
    <t>變成冰棍吧！</t>
  </si>
  <si>
    <t>被凍住了！</t>
  </si>
  <si>
    <t>凍結</t>
  </si>
  <si>
    <t>ここは寒いなぁ…</t>
  </si>
  <si>
    <t>急凍スライムか氷属性によるダメージ</t>
  </si>
  <si>
    <t>Frozen</t>
  </si>
  <si>
    <t>I became a popsicle!</t>
  </si>
  <si>
    <t>Frozen!</t>
  </si>
  <si>
    <t>Đông đá</t>
  </si>
  <si>
    <t>Mình biến thành que kem!</t>
  </si>
  <si>
    <t>Đông cứng!</t>
  </si>
  <si>
    <t>惡魔詛咒</t>
  </si>
  <si>
    <t>呋呋，這就是反抗我的下場噢~♡</t>
  </si>
  <si>
    <t>被奇怪的小鬼店長詛咒了</t>
  </si>
  <si>
    <t>神秘商店不給魚</t>
  </si>
  <si>
    <t>エッチな呪い</t>
  </si>
  <si>
    <t>アキ店長によるご褒美</t>
  </si>
  <si>
    <t>Demon's Curse</t>
  </si>
  <si>
    <t xml:space="preserve">Fufu, this is what you get for defying me~♡ </t>
  </si>
  <si>
    <t>Cursed
(Refer to R39 in RPG - Combat)</t>
  </si>
  <si>
    <t>Obtained by not giving salmon to Aki</t>
  </si>
  <si>
    <t>Lời Nguyền Của Quỷ</t>
  </si>
  <si>
    <t>Fufu, đây là những gì bạn nhận được khi chống lại ta~ ♡</t>
  </si>
  <si>
    <t>Bị nguyền
(Nói đến R39 trong RPG - Combat)</t>
  </si>
  <si>
    <t>Nhận được bằng cách không đưa Aki cá hồi</t>
  </si>
  <si>
    <t>禁止攻擊</t>
  </si>
  <si>
    <t>這裡可是我的領域噢，可不能做壞事呢♡！</t>
  </si>
  <si>
    <t>攻擊行為禁止</t>
  </si>
  <si>
    <t>神秘商店附近</t>
  </si>
  <si>
    <t>争いはダメ❤</t>
  </si>
  <si>
    <t>No attacking!</t>
  </si>
  <si>
    <t>This is my domain, so no mischief allowed~♡</t>
  </si>
  <si>
    <t>Attacks are prohibited</t>
  </si>
  <si>
    <t>Be near Aki's shop</t>
  </si>
  <si>
    <t>Không Đánh Nhau!</t>
  </si>
  <si>
    <t>Đây là lãnh thổ của ta, nên không được gây rối~ ♡</t>
  </si>
  <si>
    <t>Các đòn tấn công bị cấm</t>
  </si>
  <si>
    <t>Ở gần cửa hàng của Aki</t>
  </si>
  <si>
    <t>不要受傷</t>
  </si>
  <si>
    <t>和妹妹重要的約定，必須要遵守呢</t>
  </si>
  <si>
    <t>不要重傷回家</t>
  </si>
  <si>
    <t>對妹妹惡作劇時生氣</t>
  </si>
  <si>
    <t>怪我しないで</t>
  </si>
  <si>
    <t>妹との約束は、必ず守らなければなりません</t>
  </si>
  <si>
    <t>30日死なずに生き残るべし</t>
  </si>
  <si>
    <t>Don't get hurt.</t>
  </si>
  <si>
    <t>I promised my dear sister, so I have to keep it.</t>
  </si>
  <si>
    <t>Don't get hurt</t>
  </si>
  <si>
    <t>Make the sister upset by playing a prank on her</t>
  </si>
  <si>
    <t>Đừng bị thương</t>
  </si>
  <si>
    <t>Mình đã hứa với em gái yêu quý, nên mình phải giữ lời.</t>
  </si>
  <si>
    <t>Khiến em gái tức giận vì một trò chọc ghẹo em ấy</t>
  </si>
  <si>
    <t>肉料理</t>
  </si>
  <si>
    <t>做肉料理</t>
  </si>
  <si>
    <t>肉料理が食べたいな</t>
  </si>
  <si>
    <t>Meat Dishes</t>
  </si>
  <si>
    <t>Món Ăn Thịt</t>
  </si>
  <si>
    <t>Nấu món thit</t>
  </si>
  <si>
    <t>到底忘記了什麼</t>
  </si>
  <si>
    <t>.....</t>
  </si>
  <si>
    <t>感覺忘記了什麼重要的事情，總有一天會想起来吧？</t>
  </si>
  <si>
    <t>何か大切なものを忘れてしまったような気がする。</t>
  </si>
  <si>
    <t>Did I forget something?</t>
  </si>
  <si>
    <t>I feel like I have forgotten something important. Maybe one day I will remember it, right?</t>
  </si>
  <si>
    <t>Tôi có quên gì không?</t>
  </si>
  <si>
    <t>...</t>
  </si>
  <si>
    <t>Mình cảm giác như mình đã quên gì đó. Chắc mình sẽ nhớ một ngày nào đó, phải không?</t>
  </si>
  <si>
    <t>渾身惡臭</t>
  </si>
  <si>
    <t>渾身惡臭。</t>
  </si>
  <si>
    <t>身上不斷散發着惡臭</t>
  </si>
  <si>
    <t>お兄ちゃんが臭い</t>
  </si>
  <si>
    <t>お兄ちゃんが臭すぎる</t>
  </si>
  <si>
    <t>Reek</t>
  </si>
  <si>
    <t>A pungent stench</t>
  </si>
  <si>
    <t>You constantly emit a foul odor...</t>
  </si>
  <si>
    <t>Hôi</t>
  </si>
  <si>
    <t>Mùi hôi thối nồng nặc</t>
  </si>
  <si>
    <t>Bạn liên tục tỏa ra một mùi khó chịu...</t>
  </si>
  <si>
    <t>美味い</t>
  </si>
  <si>
    <t>吃到了美味的東西，肚子裡暖暖的~</t>
  </si>
  <si>
    <t>每秒體力少量回復</t>
  </si>
  <si>
    <t>美味料理</t>
  </si>
  <si>
    <t>Delicious</t>
  </si>
  <si>
    <t>After a good meal, I feel warm and cozy</t>
  </si>
  <si>
    <t>Recovers a small amount of health every second</t>
  </si>
  <si>
    <t>Eat good food</t>
  </si>
  <si>
    <t>Ngon tuyệt</t>
  </si>
  <si>
    <t>Sau một bữa ăn ngon, mình thấy ấm cúng và thoải mái</t>
  </si>
  <si>
    <t>Hồi một lượng máu nhỏ mỗi giây</t>
  </si>
  <si>
    <t>Ăn đồ ăn ngon</t>
  </si>
  <si>
    <t>力量提升</t>
  </si>
  <si>
    <t>力量……涌上来了！</t>
  </si>
  <si>
    <t>攻擊力+50%</t>
  </si>
  <si>
    <t>食物</t>
  </si>
  <si>
    <t>筋力アップ！</t>
  </si>
  <si>
    <t>力が湧いてくる！</t>
  </si>
  <si>
    <t>Attack Boost</t>
  </si>
  <si>
    <t>I can feel... power surging within me!!</t>
  </si>
  <si>
    <t>Physical Attack + 50%</t>
  </si>
  <si>
    <t>Food</t>
  </si>
  <si>
    <t>Tăng tấn công</t>
  </si>
  <si>
    <t>Mình có thể cảm nhận... sức mạnh đamg trào dâng bên trong!!</t>
  </si>
  <si>
    <t>Tấn công vật lý + 50%</t>
  </si>
  <si>
    <t>Đồ ăn</t>
  </si>
  <si>
    <t>魔力提升</t>
  </si>
  <si>
    <t>我逐漸理解一切。</t>
  </si>
  <si>
    <t>魔功力+50%</t>
  </si>
  <si>
    <t>魔力アップ！</t>
  </si>
  <si>
    <t>ああ、なるほどね。完全に理解した</t>
  </si>
  <si>
    <t>Magic Boost</t>
  </si>
  <si>
    <t>I'm starting to understand everything</t>
  </si>
  <si>
    <t>Magic attack + 50%</t>
  </si>
  <si>
    <t>Tăng ma thuật</t>
  </si>
  <si>
    <t>Mình đang dần hiểu mọi thứ</t>
  </si>
  <si>
    <t>Tấn công ma thuật + 50%</t>
  </si>
  <si>
    <t>速度提升</t>
  </si>
  <si>
    <t>跟得上嗎……我的SPEED！</t>
  </si>
  <si>
    <t>移動速度上升</t>
  </si>
  <si>
    <t>Speed Increase</t>
  </si>
  <si>
    <t>Can you keep up... with my speed?</t>
  </si>
  <si>
    <t>Movement speed increases</t>
  </si>
  <si>
    <t>Tăng tốc độ</t>
  </si>
  <si>
    <t>Bạn có thể bắt kịp... tốc độ của tôi không?</t>
  </si>
  <si>
    <t>Tăng tốc độ di chuyển</t>
  </si>
  <si>
    <t>巨神兵</t>
  </si>
  <si>
    <t>神兵天將</t>
  </si>
  <si>
    <t>狀態持續期間武器巨大化，提升攻擊範圍和傷害</t>
  </si>
  <si>
    <t>塔羅牌</t>
  </si>
  <si>
    <t>デカさこそぱわー！</t>
  </si>
  <si>
    <t>少しの間武器がデカくなり攻撃範囲とダメージが上がる</t>
  </si>
  <si>
    <t>Divine Weapon Descends</t>
  </si>
  <si>
    <t>This is the divine weapon</t>
  </si>
  <si>
    <t>Enlarges the weapon, increasing its size and damage while the buff is active</t>
  </si>
  <si>
    <t>Tarot Card - Strength</t>
  </si>
  <si>
    <t>Vũ Khí Thần Thánh Giáng Trần</t>
  </si>
  <si>
    <t>Đây là vũ khí thần thánh</t>
  </si>
  <si>
    <t>Phóng to vũ khí, tăng kích thước và sát thương của nó khi buff đang hoạt động</t>
  </si>
  <si>
    <t>Thẻ bài Tarot - Strength (Sức Mạnh)</t>
  </si>
  <si>
    <t>命運之輪-正</t>
  </si>
  <si>
    <t>命運的流動……</t>
  </si>
  <si>
    <t>得到命運的加護，更容易遇到開心的事情了！</t>
  </si>
  <si>
    <t>Wheel of Fortune - Win!</t>
  </si>
  <si>
    <t>Wheel of Fortune - Fortune</t>
  </si>
  <si>
    <t>The flow of destiny...</t>
  </si>
  <si>
    <t>Tarot Card - Wheel of Fortune</t>
  </si>
  <si>
    <t>Vòng Quay Định Mệnh - May Mắn</t>
  </si>
  <si>
    <t>Dòng chảy của định mệnh.</t>
  </si>
  <si>
    <t>Với phước lành của định mệnh, sẽ dễ dàng hơn để gặp những điều hạnh phúc!</t>
  </si>
  <si>
    <t>Thẻ bài Tarot - Wheel of Fortune (Vòng Quay Định Mệnh)</t>
  </si>
  <si>
    <t>命運之輪-逆</t>
  </si>
  <si>
    <t>命運流動……</t>
  </si>
  <si>
    <t>得到命運的加護，更容易遇到難過的事情了！</t>
  </si>
  <si>
    <t>Wheel of Fortune - Lose...</t>
  </si>
  <si>
    <t>Wheel of Fortune - Misfortune</t>
  </si>
  <si>
    <t>Destiny flows...</t>
  </si>
  <si>
    <t>Vòng Quay Định Mệnh - Vận Rủi</t>
  </si>
  <si>
    <t>Định mệnh trôi qua...</t>
  </si>
  <si>
    <t>Với phước lành của định mệnh, sẽ dễ dàng hơn để gặp những điều buồn bã!</t>
  </si>
  <si>
    <t>生命力</t>
  </si>
  <si>
    <t>但是真的很難吃……</t>
  </si>
  <si>
    <t>體内充满了生命力，體力增加了</t>
  </si>
  <si>
    <t>体力</t>
  </si>
  <si>
    <t>こんなものを妹に飲ませてもいいのか…？</t>
  </si>
  <si>
    <t>力が溢れ体力の上限値が上がる！</t>
  </si>
  <si>
    <t>Vitality</t>
  </si>
  <si>
    <t>But it really tastes awful...</t>
  </si>
  <si>
    <t>My body is full of vitality and my stamina has increased</t>
  </si>
  <si>
    <t>Đầy sức sống</t>
  </si>
  <si>
    <t>Nhưng nó vị tệ lắm...</t>
  </si>
  <si>
    <t>Cơ thể mình đầy sức sống và năng lượng đã tăng lên</t>
  </si>
  <si>
    <t>力不從心</t>
  </si>
  <si>
    <t>拿、拿不動了……</t>
  </si>
  <si>
    <t>力量和體力不足，無法發揮武器性能！</t>
  </si>
  <si>
    <t>銀輝劍為達成條件</t>
  </si>
  <si>
    <t>非力なお兄ちゃん</t>
  </si>
  <si>
    <t>重くて振ることが出来ない…</t>
  </si>
  <si>
    <t>銀輝の大剣は条件を満たすことで真価を発揮できる</t>
  </si>
  <si>
    <t>Out of energy</t>
  </si>
  <si>
    <t>I-I can't lift it...</t>
  </si>
  <si>
    <t>Not enough strength to use the weapon fully!</t>
  </si>
  <si>
    <t>Silver Greatsword
Heavy Mallet</t>
  </si>
  <si>
    <t>Kiệt sức</t>
  </si>
  <si>
    <t>Mi-Mình không nhấc nổi...</t>
  </si>
  <si>
    <t>Không đủ khỏe để dùng vũ khí hoàn toàn!</t>
  </si>
  <si>
    <t>Đại Kiếm Bạc
Trọng Búa</t>
  </si>
  <si>
    <t>豐收的祝福</t>
  </si>
  <si>
    <t>與汝享賜福</t>
  </si>
  <si>
    <t>獲得了聖杯的祝福，獲取金錢翻倍</t>
  </si>
  <si>
    <t>聖杯の祝福</t>
  </si>
  <si>
    <t>聖杯の祝福によってお金を二倍獲得できる！</t>
  </si>
  <si>
    <t>Bountiful Blessings</t>
  </si>
  <si>
    <t>Share these blessing with thee</t>
  </si>
  <si>
    <t>Received the Holy Grail's blessing, doubling money earned</t>
  </si>
  <si>
    <t>Phước lành dồi dào</t>
  </si>
  <si>
    <t>Chia sẻ những phước lành này với bạn</t>
  </si>
  <si>
    <t>Nhận được phước lành của Chén Thánh, nhân đôi số tiền nhận được</t>
  </si>
  <si>
    <t>Chén Thánh Chưa Hoàn Thiện</t>
  </si>
  <si>
    <t>冰地板</t>
  </si>
  <si>
    <t>例如:舊版本的寒冰杖</t>
  </si>
  <si>
    <t>Ice floor</t>
  </si>
  <si>
    <t>Old version of Ice Staff</t>
  </si>
  <si>
    <t>Sàn băng</t>
  </si>
  <si>
    <t>Phiên bản cũ của Trượng Băng</t>
  </si>
  <si>
    <t>上古榮光</t>
  </si>
  <si>
    <t>你散發著榮光</t>
  </si>
  <si>
    <t>全屬性上升，暫時無敵</t>
  </si>
  <si>
    <t>コ〇ミコマンド発動！</t>
  </si>
  <si>
    <t>You radiate glory</t>
  </si>
  <si>
    <t>All attributes increased
Temporary invincibility</t>
  </si>
  <si>
    <t>Hào Quang Cổ Xưa</t>
  </si>
  <si>
    <t>Bạn tỏa hào quang</t>
  </si>
  <si>
    <t>Tăng tất cả đặc tính
Bất tử tạm thời</t>
  </si>
  <si>
    <t>不死的稻草人之心</t>
  </si>
  <si>
    <t>無法回復體力</t>
  </si>
  <si>
    <t>稻草人之心</t>
  </si>
  <si>
    <t>不死のカカシの心</t>
  </si>
  <si>
    <t>The immortal scarecrow's heart, yet decay is fate</t>
  </si>
  <si>
    <t>No HP recovery</t>
  </si>
  <si>
    <t>Trái tim bất tử của bù nhìn, vậy mà sự phân rã là vận mệnh</t>
  </si>
  <si>
    <t>Không hồi HP</t>
  </si>
  <si>
    <t>游泳中</t>
  </si>
  <si>
    <t>浮在水面上，移速下降，無法攻擊</t>
  </si>
  <si>
    <t>游泳</t>
  </si>
  <si>
    <t>Swimming</t>
  </si>
  <si>
    <t>Floating. 
Slower movement. 
Can't attack</t>
  </si>
  <si>
    <t>Swim in the water</t>
  </si>
  <si>
    <t>Bơi</t>
  </si>
  <si>
    <t>Nổi
Di chuyển chậm hơn
Không thể tấn công</t>
  </si>
  <si>
    <t>Bơi trong nước</t>
  </si>
  <si>
    <t>騎士精神</t>
  </si>
  <si>
    <t>我等乃是守護者</t>
  </si>
  <si>
    <t>攻擊力提升30</t>
  </si>
  <si>
    <t>Chivalry</t>
  </si>
  <si>
    <t>We are the guardians!</t>
  </si>
  <si>
    <t>Attack power 42</t>
  </si>
  <si>
    <t>Hiệp sĩ</t>
  </si>
  <si>
    <t>Chúng tôi là những người bảo hộ!</t>
  </si>
  <si>
    <t>Sức tấn công 42</t>
  </si>
  <si>
    <t>妹妹的胖次</t>
  </si>
  <si>
    <t>就感覺妹妹在身邊一樣……</t>
  </si>
  <si>
    <t>體力自動恢復中</t>
  </si>
  <si>
    <t>妹のぱんつ！</t>
  </si>
  <si>
    <t>妹が近くにいる気がする</t>
  </si>
  <si>
    <t>妹が下着をくれる</t>
  </si>
  <si>
    <t>Imouto's Thiccness</t>
  </si>
  <si>
    <t>It feels like my sister is right beside me...</t>
  </si>
  <si>
    <t>HP continuously regenerates when below half HP</t>
  </si>
  <si>
    <t>Imouto gives you her underwear</t>
  </si>
  <si>
    <t>Độ Dày Của Imouto</t>
  </si>
  <si>
    <t>Cảm giác như em gái đang ở ngay bên cạnh mình...</t>
  </si>
  <si>
    <t>HP hồi liên tục khi ở dưới nửa HP tối đa</t>
  </si>
  <si>
    <t>Imouto đưa cho đồ lót em ấy</t>
  </si>
  <si>
    <t>咕嚕咕嚕</t>
  </si>
  <si>
    <t>吃壞了肚子......</t>
  </si>
  <si>
    <t>腹痛不止！</t>
  </si>
  <si>
    <t>毒料理</t>
  </si>
  <si>
    <t>ぎゅるるる…</t>
  </si>
  <si>
    <t>お腹を壊してしまった…</t>
  </si>
  <si>
    <t>腹痛が止まらない！</t>
  </si>
  <si>
    <t>変な料理</t>
  </si>
  <si>
    <t>Gurgle gurgle</t>
  </si>
  <si>
    <t>Ate something bad...</t>
  </si>
  <si>
    <t>Stomachache won't stop</t>
  </si>
  <si>
    <t>Food poisoning</t>
  </si>
  <si>
    <t>Ặc Ặc</t>
  </si>
  <si>
    <t>Vừa ăn gì đó tệ...</t>
  </si>
  <si>
    <t>Cơn đau bụng không chịu dừng</t>
  </si>
  <si>
    <t>Ngộ độc thực phẩm</t>
  </si>
  <si>
    <t>咕嚕咕嚕咕嚕</t>
  </si>
  <si>
    <t>菊花殘、滿地傷...</t>
  </si>
  <si>
    <t>因屁股疼痛無法奔跑和衝刺！</t>
  </si>
  <si>
    <t>毒辣料理</t>
  </si>
  <si>
    <t>ぎゅるるるるるｒ</t>
  </si>
  <si>
    <t>もうだめだ、おしまいだ</t>
  </si>
  <si>
    <t>お尻の痛みで走ったり、ダッシュしたりできない！</t>
  </si>
  <si>
    <t>変な激辛料理</t>
  </si>
  <si>
    <t>Gurgle gurgle gurgle</t>
  </si>
  <si>
    <t>My ass is on fire...</t>
  </si>
  <si>
    <t>Can't run or dash due to butt pain!</t>
  </si>
  <si>
    <t>Chili and Food Poisoning</t>
  </si>
  <si>
    <t>Ặc Ặc Ặc</t>
  </si>
  <si>
    <t>Mông mình như đang cháy...</t>
  </si>
  <si>
    <t>Không thể chạy hay lao đi do đau mông!</t>
  </si>
  <si>
    <t>Ớt và Ngộ độc thực phẩm</t>
  </si>
  <si>
    <t>早點回家吧</t>
  </si>
  <si>
    <t>熱死了.....</t>
  </si>
  <si>
    <t>因為炎熱渾身無力...</t>
  </si>
  <si>
    <t>炎熱天氣</t>
  </si>
  <si>
    <t>早く帰ろう…</t>
  </si>
  <si>
    <t>暑くてたまらない…</t>
  </si>
  <si>
    <t>暑さで全身がだるい…</t>
  </si>
  <si>
    <t>猛暑</t>
  </si>
  <si>
    <t>Going home early</t>
  </si>
  <si>
    <t>It's so hot...</t>
  </si>
  <si>
    <t>Feeling weak from the heat...</t>
  </si>
  <si>
    <t>Nóng quá...</t>
  </si>
  <si>
    <t>Cảm thấy yếu ớt do sức nóng...</t>
  </si>
  <si>
    <t>雜魚哥哥</t>
  </si>
  <si>
    <t>這麼簡單的遊戲也不會玩，真是雜魚呢~</t>
  </si>
  <si>
    <t>因作弊而獲得了雜魚認證！</t>
  </si>
  <si>
    <t>使用作弊碼</t>
  </si>
  <si>
    <t>お兄ちゃんはざぁこ♡</t>
  </si>
  <si>
    <t>こんな簡単なゲームもできないなんて、ほんとにざぁこだね〜♡</t>
  </si>
  <si>
    <t>チートでざぁこ認証を獲得しました♡</t>
  </si>
  <si>
    <t>チートコードを使っちゃったね♡</t>
  </si>
  <si>
    <t>ZAKO Onii-chan</t>
  </si>
  <si>
    <t>You can't even play such a simple game? 
What a ZAKO~
(Note: Zako = Noob)</t>
  </si>
  <si>
    <t>Certified as a ZAKO for cheating!</t>
  </si>
  <si>
    <t>Onii-chan ZAKO</t>
  </si>
  <si>
    <t>Bạn không thể chơi trò đơn giản vậy sao?
Đúng là ZAKO~
(Ghi chú: ZAKO = Noob)</t>
  </si>
  <si>
    <t>Biến thành ZAKO do gian lận!</t>
  </si>
  <si>
    <t>世界的勇者</t>
  </si>
  <si>
    <t>如此可得世界榮耀，遠離黑暗蒙昧</t>
  </si>
  <si>
    <t>世界の勇者</t>
  </si>
  <si>
    <t>そうすることで、あなたは世界の栄光を得て、すべての暗闇は逃げ去るでしょう</t>
  </si>
  <si>
    <t>レッドジャスパーのペンダント</t>
  </si>
  <si>
    <t>Thus shall you gain the world's glory, and all darkness shall flee</t>
  </si>
  <si>
    <t>Mặt Dây Chuyển Rubrum</t>
  </si>
  <si>
    <t>Như vậy bạn sẽ đạt được vinh quang của thế giới và mọi bóng tối sẽ tan biến</t>
  </si>
  <si>
    <t>歡迎投稿與本遊戲相關的影音連結
目前"暫時"只接受youtube與billbill的投稿
若你只有影片檔案，也可以交由我替你上傳至youtube
(會附上作者資訊，但是不負任何後續的責任，或影音收益權益等問題)
有任何需求請連繫攻略作者：RORO(聯繫詳情請見公告頁面)
由於AI翻譯問題，網址無法嵌入，影音網址請直接點選繁體中文的鏈接
投稿規則：
1.若您只有單一影片，則投放標題。
2.若您有多個影片，則以公布頻道為主，避免清單過長。
3.禁止影片/資訊/留言等，有任何盜版相關資訊。
4.關於二創、背景附帶歌曲、AI創作等相關內容，請注意版權與平台相關規範。
5.請遵守平台規定，不可有任何黃標、裸露等內容。
6.製作時盡量附帶字幕。
7.影片中，請勿包含廣告、業配、宣傳等，非本遊戲的相關內容。</t>
  </si>
  <si>
    <r>
      <rPr>
        <rFont val="Microsoft JhengHei"/>
        <b/>
        <color rgb="FF1155CC"/>
        <sz val="12.0"/>
        <u/>
      </rPr>
      <t xml:space="preserve">官方discord群組：
</t>
    </r>
    <r>
      <rPr>
        <rFont val="Microsoft JhengHei"/>
        <b/>
        <color rgb="FF1155CC"/>
        <sz val="12.0"/>
        <u/>
      </rPr>
      <t>https://discord.gg/2Bt7RWknyH</t>
    </r>
  </si>
  <si>
    <t>Discord:RORO#3330</t>
  </si>
  <si>
    <t>官方youtube</t>
  </si>
  <si>
    <t>逆流茶會</t>
  </si>
  <si>
    <t>官方billbill</t>
  </si>
  <si>
    <t>片桐秋 youtube 頻道
(妹妹的配音聲優)</t>
  </si>
  <si>
    <t>片桐秋-AKI</t>
  </si>
  <si>
    <t>片桐秋 billbill 頻道
(妹妹的配音聲優)</t>
  </si>
  <si>
    <t>RORO youtube
(攻略作者頻道 籌備中 歡迎訂閱)</t>
  </si>
  <si>
    <t>RORO</t>
  </si>
  <si>
    <t>玩家投稿(籌備中，歡迎投稿)</t>
  </si>
  <si>
    <t>投稿者</t>
  </si>
  <si>
    <t>本教程為：
官方尚未完成手機版本雲端存檔系統前，而想將手機版存檔搬運的教學
※英文版教學影片由Gabriel B提供※</t>
  </si>
  <si>
    <t xml:space="preserve">Hướng dẫn này dành cho:
Cách chuyển file lưu trên điện thoại trước khi hệ thống lưu trữ đám mây chính thức hoàn thành.
※Video hướng dẫn tiếng Anh được cung cấp bởi Gabriel B※
</t>
  </si>
  <si>
    <t>1 - 在google play上搜尋 檔案管理員 安裝。</t>
  </si>
  <si>
    <t>1 - Suche die App Manager + auf Google Play und installiere diese</t>
  </si>
  <si>
    <t>1 - Tìm ứng dụng Quản lý tệp (File Manager) trên Google Play và cài đặt</t>
  </si>
  <si>
    <t>2 - 開啟 檔案管理員 應用程式，並且找到〔舊遊戲版本中〕的Documents/sister_save，將裡面的文件全部複製出來並保存。</t>
  </si>
  <si>
    <t>2 - Starte die App und suche das Save in Documents/sister_save und kopiere Sie in einen sicheren Ort</t>
  </si>
  <si>
    <t>2 - Mở ứng dụng Quản lý tệp và tìm đến thư mục Documents/sister_save (trong phiên bản game cũ), sao chép tất cả các tệp bên trong và lưu lại.</t>
  </si>
  <si>
    <t>3 - 必須安裝〔新版本遊戲〕，並且在遊戲內創建一個隨意的存檔。
(請注意，這個存檔在搬運後會被覆蓋並且消失)</t>
  </si>
  <si>
    <t>3 - Jetzt kannst du die neue Version installieren und einmal ein Save machen</t>
  </si>
  <si>
    <t>3 - Bạn phải cài đặt phiên bản mới của game và tạo một file lưu mới trong game.
(Lưu ý rằng file lưu này sẽ bị ghi đè và mất sau khi chuyển.)</t>
  </si>
  <si>
    <t>4 - 再次開啟 檔案管理員 應用程式，在〔新遊戲版本中〕並且找到Documents/sister_save，並將步驟2的存檔"覆蓋"於資料夾內。</t>
  </si>
  <si>
    <t>4 - überschreibe dann das Save bei "Documents/sister_save" und genieße das Game</t>
  </si>
  <si>
    <t>4 - Mở lại ứng dụng Quản lý tệp, tìm đến thư mục Documents/sister_save trong [phiên bản game mới] (new game version), và "ghi đè" file lưu từ bước 2 vào thư mục đó.</t>
  </si>
  <si>
    <t>參考英文版影片：youtube</t>
  </si>
  <si>
    <t>参考英文動画：YouTube</t>
  </si>
  <si>
    <t>Reference video: youtube</t>
  </si>
  <si>
    <t>参考英文影片：youtube</t>
  </si>
  <si>
    <t>Erklärungsvideo: Youtube</t>
  </si>
  <si>
    <t>Video youtube tham khảo</t>
  </si>
  <si>
    <t>※本篇教程由官方提供※
使用獨立顯卡啟動遊戲可以獲得更高的幀數和更流暢的遊戲體驗。
要設置遊戲使用獨立顯卡啟動，請按以下步驟操作：</t>
  </si>
  <si>
    <t>※本教程由玩家提供※
用於電腦沒有內建「NVIDIA程式」的解決方法
為了在 Windows 10/11 上獲得更好的 NVIDIA 顯示卡性能，推薦參考此設定。</t>
  </si>
  <si>
    <t>※このチュートリアルは公式によって提供されています※
専用のグラフィックカードでゲームを起動すれば、フレームレートが上がって、もっと滑らかなゲーム体験ができます。
ゲームをグラフィックカードで起動するための設定方法は次の通りです：</t>
  </si>
  <si>
    <t>※This tutorial is provided by the official※
Running the game with a dedicated graphics card will give you higher frame rates and a smoother gaming experience. 
To set your game to run using your dedicated graphics card, follow these steps:</t>
  </si>
  <si>
    <t>※本篇教程由官方提供※
使用独立显卡启动游戏可以获得更高的帧数和更流畅的游戏体验。
要设置游戏使用独立显卡启动，按以下步骤操作：</t>
  </si>
  <si>
    <t>※Dieses Tutorial wird offiziell bereitgestellt※
Das Ausführen des Spiels mit einer dedizierten Grafikkarte sorgt für höhere Bildraten und ein flüssigeres Spielerlebnis.
Um das Spiel mit deiner dedizierten Grafikkarte auszuführen, folge diesen Schritten:</t>
  </si>
  <si>
    <t xml:space="preserve">※Dieses Tutorial wird inoffiziell bereitgestellt※
Um eine bessere Leistung bei NVIDIA Grafikarten bei Win 10/11 zu bekommen wird dieser Guide hier empfohlen. </t>
  </si>
  <si>
    <t>※Hướng dẫn này được cung cấp bởi nhà phát triển chính thức.※
 Chạy trò chơi bằng card đồ họa chuyên dụng sẽ mang lại tốc độ khung hình cao hơn và trải nghiệm chơi game mượt mà hơn. 
Để thiết lập trò chơi chạy bằng card đồ họa chuyên dụng, hãy làm theo các bước sau:</t>
  </si>
  <si>
    <t>※Hướng dẫn này do người chơi cung cấp※ 
Giải pháp dành cho máy tính không có "chương trình NVIDIA" tích hợp 
Để có hiệu suất card đồ họa NVIDIA tốt hơn trên Windows 10/11, bạn nên tham khảo cài đặt này.</t>
  </si>
  <si>
    <t>1-右鍵點擊桌面，選擇「NVIDIA 控制面板」（如果你使用的是 AMD 顯卡，選擇 「AMD Radeon 設置」）。</t>
  </si>
  <si>
    <t>1 - 在google上搜尋 NVIDIA APP安裝，並啟動 NVIDIA 應用程式。</t>
  </si>
  <si>
    <t>1-デスクトップを右クリックして、「NVIDIAコントロールパネル」（またはAMDの場合は「AMD Radeon設定」）を選択します。</t>
  </si>
  <si>
    <t>1 - Right-click on your desktop and select "NVIDIA Control Panel" (or "AMD Radeon Settings" if you're using an AMD card).</t>
  </si>
  <si>
    <t>1-右键点击桌面，选择“NVIDIA控制面板”（如果你使用的是AMD显卡，选择“AMD Radeon设置”）。</t>
  </si>
  <si>
    <t>1 - Klicke mit der rechten Maustaste auf deinen Desktop und wähle „NVIDIA Systemsteuerung“ (oder „AMD Radeon Einstellungen“, wenn du eine AMD-Grafikkarte verwendest).</t>
  </si>
  <si>
    <t>1 - Suche nach „NVIDIA APP" auf Google und starte die Anwendung.</t>
  </si>
  <si>
    <t>1 - Nhấp chuột phải vào màn hình nền và chọn "NVIDIA Control Panel" (hoặc "AMD Radeon Settings" nếu bạn đang sử dụng card AMD).</t>
  </si>
  <si>
    <t>1 - Tìm kiếm NVIDIA APP trên Google và khởi chạy ứng dụng NVIDIA.</t>
  </si>
  <si>
    <t>2-在 NVIDIA 控制面板 中，點擊左側的 「管理 3D 設置」（對於 AMD，找到類似的選項，如 「圖形」 或 「性能」）。</t>
  </si>
  <si>
    <t>2 - 在更新至最新版本後重新啟動 NVIDIA 應用程式。</t>
  </si>
  <si>
    <t>2-NVIDIAコントロールパネルで、左側のメニューから「3D設定の管理」をクリックします（AMDの場合は「グラフィックス」や「パフォーマンス」に似た設定を探します）。</t>
  </si>
  <si>
    <t>2 - In the NVIDIA Control Panel, go to "Manage 3D Settings" (for AMD, look for similar settings under "Graphics" or "Performance").</t>
  </si>
  <si>
    <t>2-在NVIDIA控制面板中，点击左侧的“管理3D设置”（对于AMD，找到类似的选项，如“图形”或“性能”）。</t>
  </si>
  <si>
    <t>2 - Gehe in der NVIDIA Systemsteuerung zu „3D-Einstellungen verwalten" (bei AMD suche nach ähnlichen Einstellungen unter „Grafik“ oder „Leistung").</t>
  </si>
  <si>
    <t>2 - Starte die NVIDIA-Anwendung neu, nachdem du sie auf die neueste Version aktualisiert hast.</t>
  </si>
  <si>
    <t>2 - Trong Bảng điều khiển NVIDIA, hãy vào "Quản lý cài đặt 3D" (đối với AMD, hãy tìm các cài đặt tương tự trong mục "Đồ họa" hoặc "Hiệu suất").</t>
  </si>
  <si>
    <t>2 - Khởi động lại ứng dụng NVIDIA sau khi cập nhật lên phiên bản mới nhất.</t>
  </si>
  <si>
    <t>3-切換到 「程序設置」 選項卡。</t>
  </si>
  <si>
    <t>3 - 在NVIDIA應用程式中，進入圖形設置區域。</t>
  </si>
  <si>
    <t>3-「プログラム設定」タブに移動します。</t>
  </si>
  <si>
    <t>3 - Click on the "Program Settings" tab.</t>
  </si>
  <si>
    <t>3-切换到“程序设置”选项卡。</t>
  </si>
  <si>
    <t>3 - Klicke auf den Reiter „Programmeinstellungen“.</t>
  </si>
  <si>
    <t>3 - Gehe in der NVIDIA-App zum Bereich „Grafikeinstellungen".</t>
  </si>
  <si>
    <t>3 - Nhấp vào tab "Cài đặt chương trình".</t>
  </si>
  <si>
    <t>3 - Trong ứng dụng NVIDIA, hãy vào Cài đặt đồ họa.</t>
  </si>
  <si>
    <t>4-添加你的遊戲到列表中，或者點擊 「瀏覽」，找到遊戲的可執行文件。</t>
  </si>
  <si>
    <t>4 - 在「程式設定」中點擊三個點，選擇「新增程式」，然後尋找遊戲的執行檔。</t>
  </si>
  <si>
    <t>4-ゲームをリストから追加するか、「参照」をクリックしてゲームの実行ファイルを指定します。</t>
  </si>
  <si>
    <t>4-Add your game from the list of installed programs, or click "Browse" to locate the game's executable file.</t>
  </si>
  <si>
    <t>4-添加你的游戏到列表中，或者点击“浏览”，找到游戏的可执行文件。</t>
  </si>
  <si>
    <t>4 - Füge dein Spiel aus der Liste der installierten Programme hinzu oder klicke auf „Durchsuchen“, um die ausführbare Datei des Spiels zu finden.</t>
  </si>
  <si>
    <t>4- Unter „Programmeinstellungen“ klicke auf die drei Punkte, wähle „Programm hinzufügen“, und suche die ausführbare Datei (EXE) des Spiels.</t>
  </si>
  <si>
    <t>4 - Thêm trò chơi của bạn từ danh sách các chương trình đã cài đặt hoặc nhấp vào "Duyệt" để tìm tệp chạy của trò chơi.</t>
  </si>
  <si>
    <t>4 - Trong "Cài đặt chương trình", nhấp vào ba dấu chấm, chọn "Thêm chương trình", sau đó tìm tệp chạy của trò chơi.</t>
  </si>
  <si>
    <t>5-在 「選擇首選的圖形處理器」 下，選擇 「高性能 NVIDIA 處理器」（對於 AMD，選擇 「高性能」）。</t>
  </si>
  <si>
    <t>5 - 將「低延遲模式」設為「超高」，電源管理模式設為「最佳電源」。</t>
  </si>
  <si>
    <t>5-「優先するグラフィックスプロセッサ」で「高パフォーマンスNVIDIAプロセッサ」を選択します（AMDの場合は「高パフォーマンス」を選びます）。</t>
  </si>
  <si>
    <t>5 - Under "Select the preferred graphics processor", choose "High-performance NVIDIA processor" (for AMD, choose "High-performance" as well).</t>
  </si>
  <si>
    <t>5-在“选择首选的图形处理器”下，选择“高性能NVIDIA处理器”（对于AMD，选择“高性能”）。</t>
  </si>
  <si>
    <t>5 - Unter „Bevorzugten Grafikprozessor auswählen“ wähle „Hochleistungs-NVIDIA-Prozessor“ (bei AMD ebenfalls „Hochleistung“ wählen).</t>
  </si>
  <si>
    <t>5 - Gehe auf „Latenzmodus" und stelle es auf „Ultra" ein - den Energieverwaltungsmodus auf „Max Leistung".</t>
  </si>
  <si>
    <t>5 - Trong mục "Chọn bộ xử lý đồ họa ưa thích", hãy chọn "Bộ xử lý NVIDIA hiệu suất cao" (đối với AMD, hãy chọn "Hiệu suất cao").</t>
  </si>
  <si>
    <t>5 - Đặt "Chế độ độ trễ thấp" thành "Siêu cao" và chế độ quản lý nguồn thành "Công suất tối ưu".</t>
  </si>
  <si>
    <t>6-點擊 「應用」 保存更改。</t>
  </si>
  <si>
    <t>6- 將「垂直同步」設為「快速」。</t>
  </si>
  <si>
    <t>6-「適用」をクリックして設定を保存します。</t>
  </si>
  <si>
    <t>6 - Click "Apply" to save the changes.</t>
  </si>
  <si>
    <t>6-点击“应用”保存更改。</t>
  </si>
  <si>
    <t>6 - Klicke auf „Übernehmen“, um die Änderungen zu speichern.</t>
  </si>
  <si>
    <t>6 - Wenn du Probleme mit einer dieser Optionen hast, lass sie weg</t>
  </si>
  <si>
    <t>6 - Nhấp vào "Áp dụng" để lưu các thay đổi.</t>
  </si>
  <si>
    <t>6- Đặt "Vertical Sync" (VSync) thành "Nhanh".</t>
  </si>
  <si>
    <t>7-現在，遊戲將使用獨立顯卡啟動。</t>
  </si>
  <si>
    <t>7 - 如果你的電腦無法負荷這些選項，請依照最佳的選項即可。</t>
  </si>
  <si>
    <t>7-これで、ゲームは専用のグラフィックカードで起動されます。</t>
  </si>
  <si>
    <t>7 - Now your game should run using the dedicated graphics card!</t>
  </si>
  <si>
    <t>7-现在，游戏将使用独立显卡启动。</t>
  </si>
  <si>
    <t>7 - Jetzt sollte dein Spiel mit der dedizierten Grafikkarte ausgeführt werden!</t>
  </si>
  <si>
    <t>7 - Wenn dein Computer diese Optionen nicht bewältigen kann, wähle stattdessen die für dein System am besten geeigneten Einstellungen.</t>
  </si>
  <si>
    <t>7 - Bây giờ trò chơi của bạn có thể chạy bằng card đồ họa chuyên dụng!</t>
  </si>
  <si>
    <t>7 - Nếu máy tính của bạn không xử lý được các tùy chọn này, vui lòng chọn lựa chọn tốt nhất.</t>
  </si>
  <si>
    <t>8 - 更新顯示卡驅動程式，或如果你有一般問題，請查詢是否最新的驅動程式更新造成了問題。</t>
  </si>
  <si>
    <t>8- 現在，將遊戲啟動，你能體驗到良好的穩定性能。</t>
  </si>
  <si>
    <t>8 - グラフィックカードドライバを更新するか、一般的に問題が発生している場合は、最新のドライバアップデートが問題を引き起こしていないか確認してください。</t>
  </si>
  <si>
    <t>8 - Update your graphics driver, or if you are having general issues, check whether the latest driver update has caused problems.</t>
  </si>
  <si>
    <t>8 - 更新你的显卡驱动程序；如果遇到通用问题，请检查最新驱动更新是否引起了问题。</t>
  </si>
  <si>
    <t>8 - Aktualisiere deinen Grafiktreiber oder überprüfe bei allgemeinen Problemen, ob das neueste Treiber-Update Schwierigkeiten verursacht hat</t>
  </si>
  <si>
    <t>8 - Starte das Spiel, und du solltest eine gute und stabile Leistung erleben.</t>
  </si>
  <si>
    <t>8 - Cập nhật trình điều khiển đồ họa hoặc nếu bạn gặp sự cố chung, hãy kiểm tra xem bản cập nhật trình điều khiển mới nhất có gây ra sự cố không.</t>
  </si>
  <si>
    <t>8- Bây giờ, hãy khởi chạy trò chơi và bạn sẽ thấy hiệu suất tốt và ổn định.</t>
  </si>
  <si>
    <t>參考影片：youtube</t>
  </si>
  <si>
    <t>参考動画：YouTube</t>
  </si>
  <si>
    <t>参考影片：youtube</t>
  </si>
</sst>
</file>

<file path=xl/styles.xml><?xml version="1.0" encoding="utf-8"?>
<styleSheet xmlns="http://schemas.openxmlformats.org/spreadsheetml/2006/main" xmlns:x14ac="http://schemas.microsoft.com/office/spreadsheetml/2009/9/ac" xmlns:mc="http://schemas.openxmlformats.org/markup-compatibility/2006">
  <fonts count="85">
    <font>
      <sz val="10.0"/>
      <color rgb="FF000000"/>
      <name val="Arial"/>
      <scheme val="minor"/>
    </font>
    <font>
      <b/>
      <u/>
      <sz val="12.0"/>
      <color rgb="FF0000FF"/>
      <name val="Microsoft JhengHei"/>
    </font>
    <font>
      <b/>
      <sz val="12.0"/>
      <color theme="1"/>
      <name val="Microsoft JhengHei"/>
    </font>
    <font>
      <b/>
      <sz val="11.0"/>
      <color theme="1"/>
      <name val="Microsoft JhengHei"/>
    </font>
    <font>
      <b/>
      <u/>
      <sz val="11.0"/>
      <color rgb="FF0000FF"/>
      <name val="Microsoft JhengHei"/>
    </font>
    <font>
      <b/>
      <sz val="12.0"/>
      <color theme="1"/>
      <name val="Arial"/>
      <scheme val="minor"/>
    </font>
    <font>
      <b/>
      <sz val="10.0"/>
      <color theme="1"/>
      <name val="Microsoft JhengHei"/>
    </font>
    <font>
      <color theme="1"/>
      <name val="Arial"/>
      <scheme val="minor"/>
    </font>
    <font>
      <color theme="1"/>
      <name val="Microsoft JhengHei"/>
    </font>
    <font>
      <b/>
      <sz val="8.0"/>
      <color theme="1"/>
      <name val="Microsoft JhengHei"/>
    </font>
    <font>
      <b/>
      <u/>
      <sz val="11.0"/>
      <color rgb="FF0000FF"/>
    </font>
    <font>
      <b/>
      <sz val="10.0"/>
      <color rgb="FF0000FF"/>
      <name val="Microsoft JhengHei"/>
    </font>
    <font>
      <b/>
      <u/>
      <sz val="11.0"/>
      <color rgb="FF0000FF"/>
    </font>
    <font>
      <b/>
      <sz val="12.0"/>
      <color rgb="FF0000FF"/>
      <name val="Microsoft JhengHei"/>
    </font>
    <font>
      <b/>
      <sz val="12.0"/>
      <color rgb="FFCC0000"/>
      <name val="Microsoft JhengHei"/>
    </font>
    <font>
      <b/>
      <color theme="1"/>
      <name val="Arial"/>
      <scheme val="minor"/>
    </font>
    <font>
      <b/>
      <sz val="12.0"/>
      <color rgb="FFFF0000"/>
      <name val="Microsoft JhengHei"/>
    </font>
    <font>
      <b/>
      <sz val="14.0"/>
      <color theme="1"/>
      <name val="Microsoft JhengHei"/>
    </font>
    <font>
      <sz val="12.0"/>
      <color theme="1"/>
      <name val="Microsoft JhengHei"/>
    </font>
    <font>
      <sz val="10.0"/>
      <color theme="1"/>
      <name val="Microsoft JhengHei"/>
    </font>
    <font>
      <sz val="10.0"/>
      <color theme="1"/>
      <name val="Arial"/>
      <scheme val="minor"/>
    </font>
    <font>
      <sz val="12.0"/>
      <color rgb="FF000000"/>
      <name val="Microsoft JhengHei"/>
    </font>
    <font>
      <color theme="1"/>
      <name val="Arial"/>
    </font>
    <font>
      <sz val="12.0"/>
      <color theme="1"/>
      <name val="Arial"/>
    </font>
    <font>
      <b/>
      <color theme="1"/>
      <name val="Arial"/>
    </font>
    <font>
      <b/>
      <sz val="12.0"/>
      <color theme="1"/>
      <name val="Arial"/>
    </font>
    <font>
      <b/>
      <color theme="1"/>
      <name val="Microsoft JhengHei"/>
    </font>
    <font>
      <sz val="8.0"/>
      <color theme="1"/>
      <name val="Microsoft JhengHei"/>
    </font>
    <font>
      <color theme="1"/>
      <name val="Aptos"/>
    </font>
    <font>
      <b/>
      <sz val="10.0"/>
      <color theme="1"/>
      <name val="Arial"/>
    </font>
    <font>
      <sz val="10.0"/>
      <color theme="1"/>
      <name val="Arial"/>
    </font>
    <font>
      <b/>
      <sz val="9.0"/>
      <color theme="1"/>
      <name val="Microsoft JhengHei"/>
    </font>
    <font>
      <sz val="9.0"/>
      <color theme="1"/>
      <name val="Microsoft JhengHei"/>
    </font>
    <font>
      <color rgb="FF000000"/>
      <name val="Microsoft JhengHei"/>
    </font>
    <font/>
    <font>
      <b/>
      <sz val="11.0"/>
      <color theme="1"/>
      <name val="Arial"/>
    </font>
    <font>
      <b/>
      <u/>
      <sz val="14.0"/>
      <color rgb="FF0000FF"/>
      <name val="Microsoft JhengHei"/>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Arial"/>
    </font>
    <font>
      <u/>
      <color rgb="FF0000FF"/>
      <name val="Microsoft JhengHei"/>
    </font>
    <font>
      <u/>
      <color rgb="FF0000FF"/>
      <name val="Microsoft JhengHei"/>
    </font>
    <font>
      <u/>
      <sz val="10.0"/>
      <color rgb="FF0000FF"/>
      <name val="Microsoft JhengHei"/>
    </font>
    <font>
      <u/>
      <sz val="10.0"/>
      <color rgb="FF0000FF"/>
      <name val="Microsoft JhengHei"/>
    </font>
    <font>
      <u/>
      <color rgb="FF1155CC"/>
      <name val="Arial"/>
    </font>
    <font>
      <u/>
      <color rgb="FF0000FF"/>
      <name val="Microsoft JhengHei"/>
    </font>
    <font>
      <u/>
      <color rgb="FF0000FF"/>
      <name val="Microsoft JhengHei"/>
    </font>
    <font>
      <u/>
      <sz val="10.0"/>
      <color rgb="FF0000FF"/>
      <name val="Microsoft JhengHei"/>
    </font>
    <font>
      <sz val="10.0"/>
      <color rgb="FF0000FF"/>
      <name val="Microsoft JhengHei"/>
    </font>
    <font>
      <u/>
      <sz val="10.0"/>
      <color rgb="FF0000FF"/>
      <name val="Microsoft JhengHei"/>
    </font>
    <font>
      <sz val="10.0"/>
      <color rgb="FF000000"/>
      <name val="Microsoft JhengHei"/>
    </font>
    <font>
      <u/>
      <color rgb="FF000000"/>
      <name val="&quot;Microsoft JhengHei&quot;"/>
    </font>
    <font>
      <u/>
      <sz val="10.0"/>
      <color rgb="FF000000"/>
      <name val="&quot;Microsoft JhengHei&quot;"/>
    </font>
    <font>
      <u/>
      <sz val="10.0"/>
      <color rgb="FF000000"/>
      <name val="&quot;Microsoft JhengHei&quot;"/>
    </font>
    <font>
      <u/>
      <color rgb="FF1155CC"/>
      <name val="Arial"/>
    </font>
    <font>
      <u/>
      <sz val="8.0"/>
      <color rgb="FF0000FF"/>
      <name val="Microsoft JhengHei"/>
    </font>
    <font>
      <u/>
      <color rgb="FF0000FF"/>
      <name val="Microsoft JhengHei"/>
    </font>
    <font>
      <u/>
      <color rgb="FF0000FF"/>
      <name val="Microsoft JhengHei"/>
    </font>
    <font>
      <color rgb="FF0000FF"/>
      <name val="Microsoft JhengHei"/>
    </font>
    <font>
      <color rgb="FF000000"/>
      <name val="&quot;Microsoft JhengHei&quot;"/>
    </font>
    <font>
      <b/>
      <sz val="9.0"/>
      <color theme="1"/>
      <name val="Arial"/>
    </font>
    <font>
      <sz val="14.0"/>
      <color theme="1"/>
      <name val="Microsoft JhengHei"/>
    </font>
    <font>
      <b/>
      <sz val="14.0"/>
      <color theme="1"/>
      <name val="Arial"/>
    </font>
    <font>
      <b/>
      <sz val="14.0"/>
      <color theme="1"/>
      <name val="Arial"/>
      <scheme val="minor"/>
    </font>
    <font>
      <color theme="1"/>
      <name val="ZCOOL XiaoWei"/>
    </font>
    <font>
      <strike/>
      <color theme="1"/>
      <name val="Microsoft JhengHei"/>
    </font>
    <font>
      <sz val="9.0"/>
      <color theme="1"/>
      <name val="Arial"/>
    </font>
    <font>
      <sz val="9.0"/>
      <color theme="1"/>
      <name val="Google Sans Mono"/>
    </font>
    <font>
      <sz val="11.0"/>
      <color theme="1"/>
      <name val="Arial"/>
    </font>
    <font>
      <b/>
      <sz val="16.0"/>
      <color theme="1"/>
      <name val="Microsoft JhengHei"/>
    </font>
    <font>
      <sz val="16.0"/>
      <color theme="1"/>
      <name val="Microsoft JhengHei"/>
    </font>
    <font>
      <b/>
      <u/>
      <sz val="12.0"/>
      <color rgb="FF1155CC"/>
      <name val="Microsoft JhengHei"/>
    </font>
    <font>
      <u/>
      <color rgb="FF0000FF"/>
      <name val="Microsoft JhengHei"/>
    </font>
    <font>
      <u/>
      <color rgb="FF0000FF"/>
      <name val="Microsoft JhengHei"/>
    </font>
    <font>
      <u/>
      <color rgb="FF0000FF"/>
      <name val="Microsoft JhengHei"/>
    </font>
    <font>
      <u/>
      <color rgb="FF0000FF"/>
      <name val="Microsoft JhengHei"/>
    </font>
    <font>
      <u/>
      <color rgb="FF0000FF"/>
      <name val="Microsoft JhengHei"/>
    </font>
    <font>
      <u/>
      <color rgb="FF1155CC"/>
      <name val="Arial"/>
    </font>
    <font>
      <u/>
      <sz val="10.0"/>
      <color rgb="FF0000FF"/>
      <name val="Microsoft JhengHei"/>
    </font>
    <font>
      <u/>
      <sz val="10.0"/>
      <color rgb="FF0000FF"/>
      <name val="Microsoft JhengHei"/>
    </font>
    <font>
      <u/>
      <sz val="10.0"/>
      <color rgb="FF0000FF"/>
      <name val="Microsoft JhengHei"/>
    </font>
    <font>
      <u/>
      <sz val="10.0"/>
      <color rgb="FF0000FF"/>
      <name val="Microsoft JhengHei"/>
    </font>
    <font>
      <u/>
      <sz val="10.0"/>
      <color rgb="FF0000FF"/>
      <name val="Microsoft JhengHei"/>
    </font>
  </fonts>
  <fills count="20">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EAD1DC"/>
        <bgColor rgb="FFEAD1DC"/>
      </patternFill>
    </fill>
    <fill>
      <patternFill patternType="solid">
        <fgColor rgb="FFFFF2CC"/>
        <bgColor rgb="FFFFF2CC"/>
      </patternFill>
    </fill>
    <fill>
      <patternFill patternType="solid">
        <fgColor rgb="FFB6D7A8"/>
        <bgColor rgb="FFB6D7A8"/>
      </patternFill>
    </fill>
    <fill>
      <patternFill patternType="solid">
        <fgColor rgb="FFFCE5CD"/>
        <bgColor rgb="FFFCE5CD"/>
      </patternFill>
    </fill>
    <fill>
      <patternFill patternType="solid">
        <fgColor rgb="FFCFE2F3"/>
        <bgColor rgb="FFCFE2F3"/>
      </patternFill>
    </fill>
    <fill>
      <patternFill patternType="solid">
        <fgColor rgb="FFF6B26B"/>
        <bgColor rgb="FFF6B26B"/>
      </patternFill>
    </fill>
    <fill>
      <patternFill patternType="solid">
        <fgColor rgb="FFB4A7D6"/>
        <bgColor rgb="FFB4A7D6"/>
      </patternFill>
    </fill>
    <fill>
      <patternFill patternType="solid">
        <fgColor rgb="FFD5A6BD"/>
        <bgColor rgb="FFD5A6BD"/>
      </patternFill>
    </fill>
    <fill>
      <patternFill patternType="solid">
        <fgColor rgb="FFA4C2F4"/>
        <bgColor rgb="FFA4C2F4"/>
      </patternFill>
    </fill>
    <fill>
      <patternFill patternType="solid">
        <fgColor rgb="FFF9CB9C"/>
        <bgColor rgb="FFF9CB9C"/>
      </patternFill>
    </fill>
    <fill>
      <patternFill patternType="solid">
        <fgColor rgb="FFC9DAF8"/>
        <bgColor rgb="FFC9DAF8"/>
      </patternFill>
    </fill>
    <fill>
      <patternFill patternType="solid">
        <fgColor rgb="FFD9EAD3"/>
        <bgColor rgb="FFD9EAD3"/>
      </patternFill>
    </fill>
    <fill>
      <patternFill patternType="solid">
        <fgColor rgb="FFD0E0E3"/>
        <bgColor rgb="FFD0E0E3"/>
      </patternFill>
    </fill>
    <fill>
      <patternFill patternType="solid">
        <fgColor rgb="FFFCD9CD"/>
        <bgColor rgb="FFFCD9CD"/>
      </patternFill>
    </fill>
    <fill>
      <patternFill patternType="solid">
        <fgColor rgb="FF9FC5E8"/>
        <bgColor rgb="FF9FC5E8"/>
      </patternFill>
    </fill>
    <fill>
      <patternFill patternType="solid">
        <fgColor rgb="FFE6B8AF"/>
        <bgColor rgb="FFE6B8AF"/>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3" fontId="2" numFmtId="0" xfId="0" applyAlignment="1" applyFill="1" applyFont="1">
      <alignment horizontal="left" readingOrder="0" shrinkToFit="0" vertical="center" wrapText="1"/>
    </xf>
    <xf borderId="0" fillId="3" fontId="2" numFmtId="0" xfId="0" applyAlignment="1" applyFont="1">
      <alignment horizontal="left" readingOrder="0" shrinkToFit="0" vertical="center" wrapText="1"/>
    </xf>
    <xf borderId="0" fillId="3" fontId="3"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3" fontId="5" numFmtId="0" xfId="0" applyAlignment="1" applyFont="1">
      <alignment horizontal="center" shrinkToFit="0" vertical="center" wrapText="1"/>
    </xf>
    <xf borderId="0" fillId="0" fontId="2" numFmtId="0" xfId="0" applyAlignment="1" applyFont="1">
      <alignment horizontal="left" shrinkToFit="0" vertical="center" wrapText="1"/>
    </xf>
    <xf borderId="0" fillId="3" fontId="2" numFmtId="0" xfId="0" applyAlignment="1" applyFont="1">
      <alignment horizontal="left" shrinkToFit="0" vertical="center" wrapText="1"/>
    </xf>
    <xf borderId="0" fillId="4" fontId="2" numFmtId="0" xfId="0" applyAlignment="1" applyFill="1" applyFont="1">
      <alignment horizontal="left" readingOrder="0" shrinkToFit="0" vertical="center" wrapText="1"/>
    </xf>
    <xf borderId="0" fillId="4" fontId="2" numFmtId="0" xfId="0" applyAlignment="1" applyFont="1">
      <alignment horizontal="left" readingOrder="0" shrinkToFit="0" vertical="center" wrapText="1"/>
    </xf>
    <xf borderId="0" fillId="4" fontId="2" numFmtId="0" xfId="0" applyAlignment="1" applyFont="1">
      <alignment horizontal="left" shrinkToFit="0" vertical="center" wrapText="1"/>
    </xf>
    <xf borderId="0" fillId="4" fontId="5" numFmtId="0" xfId="0" applyAlignment="1" applyFont="1">
      <alignment horizontal="left" shrinkToFit="0" vertical="center" wrapText="1"/>
    </xf>
    <xf borderId="0" fillId="5" fontId="2" numFmtId="0" xfId="0" applyAlignment="1" applyFill="1" applyFont="1">
      <alignment horizontal="center" readingOrder="0" shrinkToFit="0" vertical="center" wrapText="1"/>
    </xf>
    <xf borderId="0" fillId="5" fontId="6" numFmtId="0" xfId="0" applyAlignment="1" applyFont="1">
      <alignment horizontal="left" readingOrder="0" shrinkToFit="0" vertical="center" wrapText="1"/>
    </xf>
    <xf borderId="0" fillId="5" fontId="7" numFmtId="0" xfId="0" applyAlignment="1" applyFont="1">
      <alignment vertical="center"/>
    </xf>
    <xf borderId="0" fillId="0" fontId="8" numFmtId="0" xfId="0" applyAlignment="1" applyFont="1">
      <alignment horizontal="center" shrinkToFit="0" vertical="center" wrapText="1"/>
    </xf>
    <xf borderId="0" fillId="2" fontId="2" numFmtId="0" xfId="0" applyAlignment="1" applyFont="1">
      <alignment horizontal="left" readingOrder="0" shrinkToFit="0" vertical="center" wrapText="1"/>
    </xf>
    <xf borderId="0" fillId="2" fontId="2" numFmtId="0" xfId="0" applyAlignment="1" applyFont="1">
      <alignment horizontal="left" shrinkToFit="0" vertical="center" wrapText="1"/>
    </xf>
    <xf borderId="0" fillId="2" fontId="9" numFmtId="0" xfId="0" applyAlignment="1" applyFont="1">
      <alignment horizontal="left" readingOrder="0" shrinkToFit="0" vertical="center" wrapText="1"/>
    </xf>
    <xf borderId="0" fillId="2" fontId="6" numFmtId="0" xfId="0" applyAlignment="1" applyFont="1">
      <alignment horizontal="left" readingOrder="0" shrinkToFit="0" vertical="center" wrapText="1"/>
    </xf>
    <xf borderId="0" fillId="2" fontId="10" numFmtId="0" xfId="0" applyAlignment="1" applyFont="1">
      <alignment shrinkToFit="0" vertical="center" wrapText="1"/>
    </xf>
    <xf borderId="0" fillId="2" fontId="11" numFmtId="0" xfId="0" applyAlignment="1" applyFont="1">
      <alignment horizontal="left" readingOrder="0" shrinkToFit="0" vertical="center" wrapText="1"/>
    </xf>
    <xf borderId="0" fillId="2" fontId="12" numFmtId="0" xfId="0" applyAlignment="1" applyFont="1">
      <alignment horizontal="left" shrinkToFit="0" vertical="center" wrapText="1"/>
    </xf>
    <xf borderId="0" fillId="2" fontId="13" numFmtId="0" xfId="0" applyAlignment="1" applyFont="1">
      <alignment horizontal="left" readingOrder="0" shrinkToFit="0" vertical="center" wrapText="1"/>
    </xf>
    <xf borderId="0" fillId="5" fontId="2" numFmtId="0" xfId="0" applyAlignment="1" applyFont="1">
      <alignment horizontal="left" readingOrder="0" shrinkToFit="0" vertical="center" wrapText="1"/>
    </xf>
    <xf borderId="0" fillId="5" fontId="2" numFmtId="0" xfId="0" applyAlignment="1" applyFont="1">
      <alignment horizontal="left" shrinkToFit="0" vertical="center" wrapText="1"/>
    </xf>
    <xf borderId="0" fillId="5" fontId="5" numFmtId="0" xfId="0" applyAlignment="1" applyFont="1">
      <alignment readingOrder="0" shrinkToFit="0" vertical="center" wrapText="1"/>
    </xf>
    <xf borderId="0" fillId="5" fontId="2" numFmtId="0" xfId="0" applyAlignment="1" applyFont="1">
      <alignment horizontal="left" readingOrder="0" shrinkToFit="0" vertical="center" wrapText="1"/>
    </xf>
    <xf borderId="0" fillId="5" fontId="2" numFmtId="0" xfId="0" applyAlignment="1" applyFont="1">
      <alignment horizontal="left" shrinkToFit="0" vertical="center" wrapText="1"/>
    </xf>
    <xf borderId="0" fillId="5" fontId="14" numFmtId="0" xfId="0" applyAlignment="1" applyFont="1">
      <alignment horizontal="left" readingOrder="0" shrinkToFit="0" vertical="center" wrapText="1"/>
    </xf>
    <xf borderId="0" fillId="5" fontId="15" numFmtId="0" xfId="0" applyAlignment="1" applyFont="1">
      <alignment horizontal="center" shrinkToFit="0" vertical="center" wrapText="1"/>
    </xf>
    <xf borderId="0" fillId="5" fontId="13" numFmtId="0" xfId="0" applyAlignment="1" applyFont="1">
      <alignment horizontal="center" readingOrder="0" shrinkToFit="0" vertical="center" wrapText="1"/>
    </xf>
    <xf borderId="0" fillId="5" fontId="2" numFmtId="0" xfId="0" applyAlignment="1" applyFont="1">
      <alignment horizontal="center" shrinkToFit="0" vertical="center" wrapText="1"/>
    </xf>
    <xf borderId="0" fillId="5" fontId="13" numFmtId="0" xfId="0" applyAlignment="1" applyFont="1">
      <alignment horizontal="left" readingOrder="0" shrinkToFit="0" vertical="center" wrapText="1"/>
    </xf>
    <xf borderId="0" fillId="5" fontId="7" numFmtId="0" xfId="0" applyAlignment="1" applyFont="1">
      <alignment vertical="center"/>
    </xf>
    <xf borderId="0" fillId="5" fontId="2" numFmtId="0" xfId="0" applyAlignment="1" applyFont="1">
      <alignment horizontal="left" readingOrder="0" shrinkToFit="0" vertical="center" wrapText="1"/>
    </xf>
    <xf borderId="0" fillId="5" fontId="16" numFmtId="0" xfId="0" applyAlignment="1" applyFont="1">
      <alignment horizontal="left" readingOrder="0" shrinkToFit="0" vertical="center" wrapText="1"/>
    </xf>
    <xf borderId="0" fillId="6" fontId="2" numFmtId="0" xfId="0" applyAlignment="1" applyFill="1" applyFont="1">
      <alignment horizontal="center" readingOrder="0" shrinkToFit="0" vertical="center" wrapText="1"/>
    </xf>
    <xf borderId="0" fillId="6" fontId="2" numFmtId="0" xfId="0" applyAlignment="1" applyFont="1">
      <alignment horizontal="center" shrinkToFit="0" vertical="center" wrapText="1"/>
    </xf>
    <xf borderId="0" fillId="6" fontId="17" numFmtId="0" xfId="0" applyAlignment="1" applyFont="1">
      <alignment horizontal="center" readingOrder="0" shrinkToFit="0" vertical="center" wrapText="1"/>
    </xf>
    <xf borderId="0" fillId="6" fontId="5" numFmtId="0" xfId="0" applyAlignment="1" applyFont="1">
      <alignment horizontal="center" shrinkToFit="0" vertical="center" wrapText="1"/>
    </xf>
    <xf borderId="0" fillId="5" fontId="18" numFmtId="0" xfId="0" applyAlignment="1" applyFont="1">
      <alignment horizontal="left" readingOrder="0" shrinkToFit="0" vertical="center" wrapText="1"/>
    </xf>
    <xf borderId="0" fillId="5" fontId="18" numFmtId="0" xfId="0" applyAlignment="1" applyFont="1">
      <alignment horizontal="left" shrinkToFit="0" vertical="center" wrapText="1"/>
    </xf>
    <xf borderId="0" fillId="5" fontId="19" numFmtId="0" xfId="0" applyAlignment="1" applyFont="1">
      <alignment horizontal="left" readingOrder="0" shrinkToFit="0" vertical="center" wrapText="1"/>
    </xf>
    <xf borderId="0" fillId="0" fontId="8" numFmtId="0" xfId="0" applyAlignment="1" applyFont="1">
      <alignment horizontal="left" shrinkToFit="0" vertical="center" wrapText="1"/>
    </xf>
    <xf borderId="0" fillId="5" fontId="20" numFmtId="0" xfId="0" applyAlignment="1" applyFont="1">
      <alignment horizontal="left" readingOrder="0" shrinkToFit="0" vertical="center" wrapText="1"/>
    </xf>
    <xf borderId="0" fillId="5" fontId="7" numFmtId="0" xfId="0" applyAlignment="1" applyFont="1">
      <alignment readingOrder="0" shrinkToFit="0" vertical="center" wrapText="1"/>
    </xf>
    <xf borderId="0" fillId="5" fontId="7" numFmtId="0" xfId="0" applyAlignment="1" applyFont="1">
      <alignment shrinkToFit="0" vertical="center" wrapText="1"/>
    </xf>
    <xf borderId="0" fillId="5" fontId="18" numFmtId="0" xfId="0" applyAlignment="1" applyFont="1">
      <alignment horizontal="left" readingOrder="0" shrinkToFit="0" vertical="center" wrapText="1"/>
    </xf>
    <xf borderId="0" fillId="5" fontId="21" numFmtId="0" xfId="0" applyAlignment="1" applyFont="1">
      <alignment horizontal="left" readingOrder="0" shrinkToFit="0" vertical="center" wrapText="1"/>
    </xf>
    <xf borderId="0" fillId="5" fontId="8" numFmtId="0" xfId="0" applyAlignment="1" applyFont="1">
      <alignment horizontal="left" readingOrder="0" shrinkToFit="0" vertical="center" wrapText="1"/>
    </xf>
    <xf borderId="0" fillId="5" fontId="8" numFmtId="0" xfId="0" applyAlignment="1" applyFont="1">
      <alignment vertical="center"/>
    </xf>
    <xf borderId="0" fillId="5" fontId="21" numFmtId="0" xfId="0" applyAlignment="1" applyFont="1">
      <alignment horizontal="left" readingOrder="0" shrinkToFit="0" vertical="center" wrapText="1"/>
    </xf>
    <xf borderId="0" fillId="5" fontId="8" numFmtId="0" xfId="0" applyAlignment="1" applyFont="1">
      <alignment horizontal="left" shrinkToFit="0" vertical="center" wrapText="1"/>
    </xf>
    <xf borderId="0" fillId="5" fontId="8" numFmtId="0" xfId="0" applyAlignment="1" applyFont="1">
      <alignment vertical="center"/>
    </xf>
    <xf borderId="0" fillId="7" fontId="9" numFmtId="0" xfId="0" applyAlignment="1" applyFill="1" applyFont="1">
      <alignment horizontal="center" readingOrder="0" shrinkToFit="0" vertical="center" wrapText="1"/>
    </xf>
    <xf borderId="0" fillId="7" fontId="9" numFmtId="0" xfId="0" applyAlignment="1" applyFont="1">
      <alignment horizontal="center" shrinkToFit="0" vertical="center" wrapText="1"/>
    </xf>
    <xf borderId="0" fillId="7" fontId="8" numFmtId="0" xfId="0" applyAlignment="1" applyFont="1">
      <alignment horizontal="center" shrinkToFit="0" vertical="center" wrapText="1"/>
    </xf>
    <xf borderId="0" fillId="7" fontId="8" numFmtId="0" xfId="0" applyAlignment="1" applyFont="1">
      <alignment horizontal="center" readingOrder="0" shrinkToFit="0" vertical="center" wrapText="1"/>
    </xf>
    <xf borderId="0" fillId="7" fontId="22" numFmtId="0" xfId="0" applyAlignment="1" applyFont="1">
      <alignment horizontal="center" readingOrder="0" shrinkToFit="0" vertical="center" wrapText="1"/>
    </xf>
    <xf borderId="0" fillId="4" fontId="17" numFmtId="0" xfId="0" applyAlignment="1" applyFont="1">
      <alignment horizontal="center" shrinkToFit="0" vertical="center" wrapText="1"/>
    </xf>
    <xf borderId="0" fillId="3" fontId="17" numFmtId="0" xfId="0" applyAlignment="1" applyFont="1">
      <alignment horizontal="center" shrinkToFit="0" vertical="center" wrapText="1"/>
    </xf>
    <xf borderId="0" fillId="8" fontId="17" numFmtId="0" xfId="0" applyAlignment="1" applyFill="1" applyFont="1">
      <alignment horizontal="center" shrinkToFit="0" vertical="center" wrapText="1"/>
    </xf>
    <xf borderId="0" fillId="5" fontId="17" numFmtId="0" xfId="0" applyAlignment="1" applyFont="1">
      <alignment horizontal="center" shrinkToFit="0" vertical="center" wrapText="1"/>
    </xf>
    <xf borderId="0" fillId="4" fontId="17" numFmtId="0" xfId="0" applyAlignment="1" applyFont="1">
      <alignment horizontal="center" shrinkToFit="0" vertical="center" wrapText="1"/>
    </xf>
    <xf borderId="0" fillId="3" fontId="17" numFmtId="0" xfId="0" applyAlignment="1" applyFont="1">
      <alignment horizontal="center" shrinkToFit="0" vertical="center" wrapText="1"/>
    </xf>
    <xf borderId="0" fillId="8" fontId="17" numFmtId="0" xfId="0" applyAlignment="1" applyFont="1">
      <alignment horizontal="center" shrinkToFit="0" vertical="center" wrapText="1"/>
    </xf>
    <xf borderId="0" fillId="5" fontId="17" numFmtId="0" xfId="0" applyAlignment="1" applyFont="1">
      <alignment horizontal="center" shrinkToFit="0" vertical="center" wrapText="1"/>
    </xf>
    <xf borderId="0" fillId="3" fontId="17" numFmtId="0" xfId="0" applyAlignment="1" applyFont="1">
      <alignment horizontal="center" readingOrder="0" shrinkToFit="0" vertical="center" wrapText="1"/>
    </xf>
    <xf borderId="0" fillId="8" fontId="17" numFmtId="0" xfId="0" applyAlignment="1" applyFont="1">
      <alignment horizontal="center" readingOrder="0" shrinkToFit="0" vertical="center" wrapText="1"/>
    </xf>
    <xf borderId="0" fillId="5" fontId="17" numFmtId="0" xfId="0" applyAlignment="1" applyFont="1">
      <alignment horizontal="center" readingOrder="0" shrinkToFit="0" vertical="center" wrapText="1"/>
    </xf>
    <xf borderId="0" fillId="4" fontId="23" numFmtId="0" xfId="0" applyAlignment="1" applyFont="1">
      <alignment horizontal="center" shrinkToFit="0" vertical="center" wrapText="1"/>
    </xf>
    <xf borderId="0" fillId="3" fontId="24" numFmtId="0" xfId="0" applyAlignment="1" applyFont="1">
      <alignment horizontal="center" shrinkToFit="0" vertical="center" wrapText="1"/>
    </xf>
    <xf borderId="0" fillId="8" fontId="24" numFmtId="0" xfId="0" applyAlignment="1" applyFont="1">
      <alignment horizontal="center" shrinkToFit="0" vertical="center" wrapText="1"/>
    </xf>
    <xf borderId="0" fillId="5" fontId="24" numFmtId="0" xfId="0" applyAlignment="1" applyFont="1">
      <alignment horizontal="center" shrinkToFit="0" vertical="center" wrapText="1"/>
    </xf>
    <xf borderId="0" fillId="0" fontId="8" numFmtId="0" xfId="0" applyAlignment="1" applyFont="1">
      <alignment horizontal="center" shrinkToFit="0" vertical="center" wrapText="1"/>
    </xf>
    <xf borderId="0" fillId="0" fontId="8" numFmtId="0" xfId="0" applyAlignment="1" applyFont="1">
      <alignment horizontal="left" shrinkToFit="0" vertical="center" wrapText="1"/>
    </xf>
    <xf borderId="0" fillId="0" fontId="22" numFmtId="0" xfId="0" applyAlignment="1" applyFont="1">
      <alignment horizontal="left" vertical="center"/>
    </xf>
    <xf borderId="0" fillId="9" fontId="2" numFmtId="0" xfId="0" applyAlignment="1" applyFill="1" applyFont="1">
      <alignment horizontal="center" readingOrder="0" shrinkToFit="0" vertical="center" wrapText="1"/>
    </xf>
    <xf borderId="0" fillId="9" fontId="2" numFmtId="0" xfId="0" applyAlignment="1" applyFont="1">
      <alignment horizontal="center" shrinkToFit="0" vertical="center" wrapText="1"/>
    </xf>
    <xf borderId="0" fillId="9" fontId="22" numFmtId="0" xfId="0" applyAlignment="1" applyFont="1">
      <alignment horizontal="center" shrinkToFit="0" vertical="center" wrapText="1"/>
    </xf>
    <xf borderId="0" fillId="9" fontId="25" numFmtId="0" xfId="0" applyAlignment="1" applyFont="1">
      <alignment horizontal="center" shrinkToFit="0" vertical="center" wrapText="1"/>
    </xf>
    <xf borderId="0" fillId="4" fontId="26" numFmtId="0" xfId="0" applyAlignment="1" applyFont="1">
      <alignment horizontal="center" shrinkToFit="0" vertical="center" wrapText="1"/>
    </xf>
    <xf borderId="0" fillId="3" fontId="8" numFmtId="0" xfId="0" applyAlignment="1" applyFont="1">
      <alignment horizontal="left" shrinkToFit="0" vertical="center" wrapText="1"/>
    </xf>
    <xf borderId="0" fillId="8" fontId="8" numFmtId="0" xfId="0" applyAlignment="1" applyFont="1">
      <alignment horizontal="left" shrinkToFit="0" vertical="center" wrapText="1"/>
    </xf>
    <xf borderId="0" fillId="5" fontId="8" numFmtId="0" xfId="0" applyAlignment="1" applyFont="1">
      <alignment horizontal="left" shrinkToFit="0" vertical="center" wrapText="1"/>
    </xf>
    <xf borderId="0" fillId="3" fontId="8" numFmtId="0" xfId="0" applyAlignment="1" applyFont="1">
      <alignment horizontal="left" shrinkToFit="0" vertical="center" wrapText="1"/>
    </xf>
    <xf borderId="0" fillId="8" fontId="8" numFmtId="0" xfId="0" applyAlignment="1" applyFont="1">
      <alignment horizontal="left" shrinkToFit="0" vertical="center" wrapText="1"/>
    </xf>
    <xf borderId="0" fillId="3" fontId="18" numFmtId="0" xfId="0" applyAlignment="1" applyFont="1">
      <alignment horizontal="left" shrinkToFit="0" vertical="center" wrapText="1"/>
    </xf>
    <xf borderId="0" fillId="8" fontId="18" numFmtId="0" xfId="0" applyAlignment="1" applyFont="1">
      <alignment horizontal="left" readingOrder="0" shrinkToFit="0" vertical="center" wrapText="1"/>
    </xf>
    <xf borderId="0" fillId="3" fontId="22" numFmtId="0" xfId="0" applyAlignment="1" applyFont="1">
      <alignment horizontal="left" shrinkToFit="0" vertical="center" wrapText="1"/>
    </xf>
    <xf borderId="0" fillId="8" fontId="22" numFmtId="0" xfId="0" applyAlignment="1" applyFont="1">
      <alignment horizontal="left" shrinkToFit="0" vertical="center" wrapText="1"/>
    </xf>
    <xf borderId="0" fillId="5" fontId="22" numFmtId="0" xfId="0" applyAlignment="1" applyFont="1">
      <alignment horizontal="left" shrinkToFit="0" vertical="center" wrapText="1"/>
    </xf>
    <xf borderId="0" fillId="8" fontId="8" numFmtId="0" xfId="0" applyAlignment="1" applyFont="1">
      <alignment horizontal="left" readingOrder="0" shrinkToFit="0" vertical="center" wrapText="1"/>
    </xf>
    <xf quotePrefix="1" borderId="0" fillId="5" fontId="8" numFmtId="0" xfId="0" applyAlignment="1" applyFont="1">
      <alignment horizontal="left" readingOrder="0" shrinkToFit="0" vertical="center" wrapText="1"/>
    </xf>
    <xf borderId="0" fillId="5" fontId="18" numFmtId="0" xfId="0" applyAlignment="1" applyFont="1">
      <alignment horizontal="left" shrinkToFit="0" vertical="center" wrapText="1"/>
    </xf>
    <xf borderId="0" fillId="3" fontId="8" numFmtId="0" xfId="0" applyAlignment="1" applyFont="1">
      <alignment horizontal="left" readingOrder="0" shrinkToFit="0" vertical="center" wrapText="1"/>
    </xf>
    <xf borderId="0" fillId="3" fontId="18" numFmtId="0" xfId="0" applyAlignment="1" applyFont="1">
      <alignment horizontal="left" readingOrder="0" shrinkToFit="0" vertical="center" wrapText="1"/>
    </xf>
    <xf borderId="0" fillId="8" fontId="22" numFmtId="0" xfId="0" applyAlignment="1" applyFont="1">
      <alignment horizontal="left" readingOrder="0" shrinkToFit="0" vertical="center" wrapText="1"/>
    </xf>
    <xf borderId="0" fillId="5" fontId="22" numFmtId="0" xfId="0" applyAlignment="1" applyFont="1">
      <alignment horizontal="left" readingOrder="0" shrinkToFit="0" vertical="center" wrapText="1"/>
    </xf>
    <xf borderId="0" fillId="8" fontId="18" numFmtId="0" xfId="0" applyAlignment="1" applyFont="1">
      <alignment horizontal="left" shrinkToFit="0" vertical="center" wrapText="1"/>
    </xf>
    <xf borderId="0" fillId="3" fontId="18" numFmtId="0" xfId="0" applyAlignment="1" applyFont="1">
      <alignment horizontal="left" shrinkToFit="0" vertical="center" wrapText="1"/>
    </xf>
    <xf borderId="0" fillId="8" fontId="18" numFmtId="0" xfId="0" applyAlignment="1" applyFont="1">
      <alignment horizontal="left" shrinkToFit="0" vertical="center" wrapText="1"/>
    </xf>
    <xf borderId="0" fillId="3" fontId="22" numFmtId="0" xfId="0" applyAlignment="1" applyFont="1">
      <alignment horizontal="left" readingOrder="0" shrinkToFit="0" vertical="center" wrapText="1"/>
    </xf>
    <xf borderId="0" fillId="5" fontId="19" numFmtId="0" xfId="0" applyAlignment="1" applyFont="1">
      <alignment horizontal="left" readingOrder="0" shrinkToFit="0" vertical="center" wrapText="1"/>
    </xf>
    <xf borderId="0" fillId="3" fontId="19" numFmtId="0" xfId="0" applyAlignment="1" applyFont="1">
      <alignment horizontal="left" readingOrder="0" shrinkToFit="0" vertical="center" wrapText="1"/>
    </xf>
    <xf borderId="0" fillId="4" fontId="26" numFmtId="0" xfId="0" applyAlignment="1" applyFont="1">
      <alignment horizontal="center" readingOrder="0" shrinkToFit="0" vertical="center" wrapText="1"/>
    </xf>
    <xf borderId="0" fillId="8" fontId="27" numFmtId="0" xfId="0" applyAlignment="1" applyFont="1">
      <alignment horizontal="left" readingOrder="0" shrinkToFit="0" vertical="center" wrapText="1"/>
    </xf>
    <xf borderId="0" fillId="8" fontId="28" numFmtId="0" xfId="0" applyAlignment="1" applyFont="1">
      <alignment horizontal="left" shrinkToFit="0" vertical="center" wrapText="1"/>
    </xf>
    <xf borderId="0" fillId="9" fontId="25" numFmtId="0" xfId="0" applyAlignment="1" applyFont="1">
      <alignment horizontal="center" readingOrder="0" shrinkToFit="0" vertical="center" wrapText="1"/>
    </xf>
    <xf borderId="0" fillId="3" fontId="8" numFmtId="0" xfId="0" applyAlignment="1" applyFont="1">
      <alignment horizontal="left" shrinkToFit="0" wrapText="1"/>
    </xf>
    <xf borderId="0" fillId="8" fontId="8" numFmtId="0" xfId="0" applyAlignment="1" applyFont="1">
      <alignment horizontal="left" shrinkToFit="0" wrapText="1"/>
    </xf>
    <xf borderId="0" fillId="8" fontId="8" numFmtId="0" xfId="0" applyAlignment="1" applyFont="1">
      <alignment horizontal="left" shrinkToFit="0" wrapText="1"/>
    </xf>
    <xf borderId="0" fillId="4" fontId="26" numFmtId="0" xfId="0" applyAlignment="1" applyFont="1">
      <alignment horizontal="center" shrinkToFit="0" vertical="center" wrapText="1"/>
    </xf>
    <xf borderId="0" fillId="4" fontId="26" numFmtId="0" xfId="0" applyAlignment="1" applyFont="1">
      <alignment horizontal="left" shrinkToFit="0" vertical="center" wrapText="1"/>
    </xf>
    <xf borderId="0" fillId="4" fontId="26" numFmtId="0" xfId="0" applyAlignment="1" applyFont="1">
      <alignment horizontal="left" shrinkToFit="0" vertical="center" wrapText="1"/>
    </xf>
    <xf borderId="0" fillId="4" fontId="22" numFmtId="0" xfId="0" applyAlignment="1" applyFont="1">
      <alignment horizontal="left" shrinkToFit="0" vertical="center" wrapText="1"/>
    </xf>
    <xf borderId="0" fillId="4" fontId="22" numFmtId="0" xfId="0" applyAlignment="1" applyFont="1">
      <alignment horizontal="left" shrinkToFit="0" vertical="center" wrapText="1"/>
    </xf>
    <xf borderId="0" fillId="3" fontId="22" numFmtId="0" xfId="0" applyAlignment="1" applyFont="1">
      <alignment horizontal="left" shrinkToFit="0" vertical="center" wrapText="1"/>
    </xf>
    <xf borderId="0" fillId="8" fontId="22" numFmtId="0" xfId="0" applyAlignment="1" applyFont="1">
      <alignment horizontal="left" shrinkToFit="0" vertical="center" wrapText="1"/>
    </xf>
    <xf borderId="0" fillId="5" fontId="22" numFmtId="0" xfId="0" applyAlignment="1" applyFont="1">
      <alignment horizontal="left" shrinkToFit="0" vertical="center" wrapText="1"/>
    </xf>
    <xf borderId="0" fillId="0" fontId="22" numFmtId="0" xfId="0" applyAlignment="1" applyFont="1">
      <alignment horizontal="left" vertical="center"/>
    </xf>
    <xf borderId="0" fillId="9" fontId="2" numFmtId="0" xfId="0" applyAlignment="1" applyFont="1">
      <alignment horizontal="center" shrinkToFit="0" vertical="center" wrapText="1"/>
    </xf>
    <xf borderId="0" fillId="9" fontId="25" numFmtId="0" xfId="0" applyAlignment="1" applyFont="1">
      <alignment horizontal="center" shrinkToFit="0" vertical="center" wrapText="1"/>
    </xf>
    <xf borderId="0" fillId="4" fontId="8" numFmtId="0" xfId="0" applyAlignment="1" applyFont="1">
      <alignment horizontal="left" shrinkToFit="0" vertical="center" wrapText="1"/>
    </xf>
    <xf borderId="0" fillId="9" fontId="2" numFmtId="0" xfId="0" applyAlignment="1" applyFont="1">
      <alignment horizontal="left" shrinkToFit="0" vertical="center" wrapText="1"/>
    </xf>
    <xf borderId="0" fillId="9" fontId="2" numFmtId="0" xfId="0" applyAlignment="1" applyFont="1">
      <alignment horizontal="left" readingOrder="0" shrinkToFit="0" vertical="center" wrapText="1"/>
    </xf>
    <xf borderId="0" fillId="9" fontId="22" numFmtId="0" xfId="0" applyAlignment="1" applyFont="1">
      <alignment horizontal="left" shrinkToFit="0" vertical="center" wrapText="1"/>
    </xf>
    <xf borderId="0" fillId="9" fontId="25" numFmtId="0" xfId="0" applyAlignment="1" applyFont="1">
      <alignment horizontal="left" shrinkToFit="0" vertical="center" wrapText="1"/>
    </xf>
    <xf borderId="0" fillId="10" fontId="22" numFmtId="0" xfId="0" applyAlignment="1" applyFill="1" applyFont="1">
      <alignment horizontal="left" vertical="center"/>
    </xf>
    <xf borderId="0" fillId="11" fontId="22" numFmtId="0" xfId="0" applyAlignment="1" applyFill="1" applyFont="1">
      <alignment horizontal="left" vertical="center"/>
    </xf>
    <xf borderId="0" fillId="12" fontId="22" numFmtId="0" xfId="0" applyAlignment="1" applyFill="1" applyFont="1">
      <alignment horizontal="left" vertical="center"/>
    </xf>
    <xf borderId="0" fillId="5" fontId="22" numFmtId="0" xfId="0" applyAlignment="1" applyFont="1">
      <alignment horizontal="left" vertical="center"/>
    </xf>
    <xf borderId="0" fillId="0" fontId="26" numFmtId="0" xfId="0" applyAlignment="1" applyFont="1">
      <alignment horizontal="left" shrinkToFit="0" vertical="center" wrapText="1"/>
    </xf>
    <xf borderId="0" fillId="0" fontId="19" numFmtId="0" xfId="0" applyAlignment="1" applyFont="1">
      <alignment horizontal="left" shrinkToFit="0" vertical="center" wrapText="1"/>
    </xf>
    <xf borderId="0" fillId="13" fontId="6" numFmtId="0" xfId="0" applyAlignment="1" applyFill="1" applyFont="1">
      <alignment horizontal="center" readingOrder="0" shrinkToFit="0" vertical="center" wrapText="1"/>
    </xf>
    <xf borderId="0" fillId="13" fontId="6" numFmtId="0" xfId="0" applyAlignment="1" applyFont="1">
      <alignment horizontal="center" shrinkToFit="0" vertical="center" wrapText="1"/>
    </xf>
    <xf borderId="0" fillId="13" fontId="24" numFmtId="0" xfId="0" applyAlignment="1" applyFont="1">
      <alignment horizontal="center" shrinkToFit="0" vertical="center" wrapText="1"/>
    </xf>
    <xf borderId="0" fillId="5" fontId="6" numFmtId="0" xfId="0" applyAlignment="1" applyFont="1">
      <alignment horizontal="left" shrinkToFit="0" vertical="center" wrapText="1"/>
    </xf>
    <xf borderId="0" fillId="4" fontId="17" numFmtId="0" xfId="0" applyAlignment="1" applyFont="1">
      <alignment horizontal="center" readingOrder="0" shrinkToFit="0" vertical="center" wrapText="1"/>
    </xf>
    <xf borderId="0" fillId="5" fontId="17" numFmtId="0" xfId="0" applyAlignment="1" applyFont="1">
      <alignment horizontal="left" shrinkToFit="0" vertical="center" wrapText="1"/>
    </xf>
    <xf borderId="0" fillId="8" fontId="2" numFmtId="0" xfId="0" applyAlignment="1" applyFont="1">
      <alignment horizontal="center" shrinkToFit="0" vertical="center" wrapText="1"/>
    </xf>
    <xf borderId="0" fillId="8" fontId="2" numFmtId="0" xfId="0" applyAlignment="1" applyFont="1">
      <alignment horizontal="center" readingOrder="0" shrinkToFit="0" vertical="center" wrapText="1"/>
    </xf>
    <xf borderId="0" fillId="4" fontId="25" numFmtId="0" xfId="0" applyAlignment="1" applyFont="1">
      <alignment horizontal="center" shrinkToFit="0" vertical="center" wrapText="1"/>
    </xf>
    <xf borderId="0" fillId="3" fontId="25" numFmtId="0" xfId="0" applyAlignment="1" applyFont="1">
      <alignment horizontal="center" shrinkToFit="0" vertical="center" wrapText="1"/>
    </xf>
    <xf borderId="0" fillId="14" fontId="25" numFmtId="0" xfId="0" applyAlignment="1" applyFill="1" applyFont="1">
      <alignment horizontal="center" shrinkToFit="0" vertical="center" wrapText="1"/>
    </xf>
    <xf borderId="0" fillId="5" fontId="25" numFmtId="0" xfId="0" applyAlignment="1" applyFont="1">
      <alignment horizontal="center" shrinkToFit="0" vertical="center" wrapText="1"/>
    </xf>
    <xf borderId="0" fillId="3" fontId="8" numFmtId="0" xfId="0" applyAlignment="1" applyFont="1">
      <alignment horizontal="center" readingOrder="0" shrinkToFit="0" vertical="center" wrapText="1"/>
    </xf>
    <xf borderId="0" fillId="3" fontId="8" numFmtId="0" xfId="0" applyAlignment="1" applyFont="1">
      <alignment horizontal="center" shrinkToFit="0" vertical="center" wrapText="1"/>
    </xf>
    <xf borderId="0" fillId="4" fontId="8" numFmtId="0" xfId="0" applyAlignment="1" applyFont="1">
      <alignment horizontal="center" shrinkToFit="0" vertical="center" wrapText="1"/>
    </xf>
    <xf borderId="0" fillId="8" fontId="19" numFmtId="0" xfId="0" applyAlignment="1" applyFont="1">
      <alignment horizontal="left" shrinkToFit="0" vertical="center" wrapText="1"/>
    </xf>
    <xf borderId="0" fillId="4" fontId="19" numFmtId="0" xfId="0" applyAlignment="1" applyFont="1">
      <alignment horizontal="left" shrinkToFit="0" vertical="center" wrapText="1"/>
    </xf>
    <xf borderId="0" fillId="8" fontId="19" numFmtId="0" xfId="0" applyAlignment="1" applyFont="1">
      <alignment horizontal="left" readingOrder="0" shrinkToFit="0" vertical="center" wrapText="1"/>
    </xf>
    <xf borderId="0" fillId="4" fontId="24" numFmtId="0" xfId="0" applyAlignment="1" applyFont="1">
      <alignment horizontal="center" shrinkToFit="0" vertical="center" wrapText="1"/>
    </xf>
    <xf borderId="0" fillId="3" fontId="22" numFmtId="0" xfId="0" applyAlignment="1" applyFont="1">
      <alignment horizontal="center" shrinkToFit="0" vertical="center" wrapText="1"/>
    </xf>
    <xf borderId="0" fillId="14" fontId="22" numFmtId="0" xfId="0" applyAlignment="1" applyFont="1">
      <alignment shrinkToFit="0" vertical="center" wrapText="1"/>
    </xf>
    <xf borderId="0" fillId="5" fontId="22" numFmtId="0" xfId="0" applyAlignment="1" applyFont="1">
      <alignment shrinkToFit="0" vertical="center" wrapText="1"/>
    </xf>
    <xf borderId="0" fillId="8" fontId="8" numFmtId="0" xfId="0" applyAlignment="1" applyFont="1">
      <alignment horizontal="center" readingOrder="0" shrinkToFit="0" vertical="center" wrapText="1"/>
    </xf>
    <xf borderId="0" fillId="3" fontId="22" numFmtId="0" xfId="0" applyAlignment="1" applyFont="1">
      <alignment horizontal="center" readingOrder="0" shrinkToFit="0" vertical="center" wrapText="1"/>
    </xf>
    <xf borderId="0" fillId="14" fontId="22" numFmtId="0" xfId="0" applyAlignment="1" applyFont="1">
      <alignment horizontal="center" readingOrder="0" shrinkToFit="0" vertical="center" wrapText="1"/>
    </xf>
    <xf borderId="0" fillId="5" fontId="22" numFmtId="0" xfId="0" applyAlignment="1" applyFont="1">
      <alignment readingOrder="0" shrinkToFit="0" vertical="center" wrapText="1"/>
    </xf>
    <xf borderId="0" fillId="5" fontId="8" numFmtId="0" xfId="0" applyAlignment="1" applyFont="1">
      <alignment horizontal="center" readingOrder="0" shrinkToFit="0" vertical="center" wrapText="1"/>
    </xf>
    <xf borderId="0" fillId="5" fontId="8" numFmtId="0" xfId="0" applyAlignment="1" applyFont="1">
      <alignment horizontal="center" shrinkToFit="0" vertical="center" wrapText="1"/>
    </xf>
    <xf borderId="0" fillId="5" fontId="18" numFmtId="0" xfId="0" applyAlignment="1" applyFont="1">
      <alignment horizontal="center" shrinkToFit="0" vertical="center" wrapText="1"/>
    </xf>
    <xf borderId="0" fillId="5" fontId="22" numFmtId="0" xfId="0" applyAlignment="1" applyFont="1">
      <alignment horizontal="center" shrinkToFit="0" vertical="center" wrapText="1"/>
    </xf>
    <xf borderId="0" fillId="3" fontId="8" numFmtId="0" xfId="0" applyAlignment="1" applyFont="1">
      <alignment horizontal="center" shrinkToFit="0" vertical="center" wrapText="1"/>
    </xf>
    <xf borderId="0" fillId="8" fontId="8" numFmtId="0" xfId="0" applyAlignment="1" applyFont="1">
      <alignment readingOrder="0" shrinkToFit="0" vertical="center" wrapText="1"/>
    </xf>
    <xf borderId="0" fillId="5" fontId="8" numFmtId="0" xfId="0" applyAlignment="1" applyFont="1">
      <alignment readingOrder="0" shrinkToFit="0" vertical="center" wrapText="1"/>
    </xf>
    <xf borderId="0" fillId="8" fontId="8" numFmtId="0" xfId="0" applyAlignment="1" applyFont="1">
      <alignment shrinkToFit="0" vertical="center" wrapText="1"/>
    </xf>
    <xf borderId="0" fillId="5" fontId="8" numFmtId="0" xfId="0" applyAlignment="1" applyFont="1">
      <alignment shrinkToFit="0" vertical="center" wrapText="1"/>
    </xf>
    <xf borderId="0" fillId="8" fontId="8" numFmtId="0" xfId="0" applyAlignment="1" applyFont="1">
      <alignment shrinkToFit="0" vertical="center" wrapText="1"/>
    </xf>
    <xf borderId="0" fillId="4" fontId="8" numFmtId="0" xfId="0" applyAlignment="1" applyFont="1">
      <alignment horizontal="center" readingOrder="0" shrinkToFit="0" vertical="center" wrapText="1"/>
    </xf>
    <xf borderId="0" fillId="4" fontId="19" numFmtId="0" xfId="0" applyAlignment="1" applyFont="1">
      <alignment horizontal="center" shrinkToFit="0" vertical="center" wrapText="1"/>
    </xf>
    <xf borderId="0" fillId="3" fontId="19" numFmtId="0" xfId="0" applyAlignment="1" applyFont="1">
      <alignment horizontal="center" readingOrder="0" shrinkToFit="0" vertical="center" wrapText="1"/>
    </xf>
    <xf borderId="0" fillId="8" fontId="8" numFmtId="0" xfId="0" applyAlignment="1" applyFont="1">
      <alignment horizontal="center" shrinkToFit="0" vertical="center" wrapText="1"/>
    </xf>
    <xf borderId="0" fillId="5" fontId="8" numFmtId="0" xfId="0" applyAlignment="1" applyFont="1">
      <alignment shrinkToFit="0" vertical="center" wrapText="1"/>
    </xf>
    <xf borderId="0" fillId="5" fontId="18" numFmtId="0" xfId="0" applyAlignment="1" applyFont="1">
      <alignment shrinkToFit="0" vertical="center" wrapText="1"/>
    </xf>
    <xf borderId="0" fillId="8" fontId="7" numFmtId="0" xfId="0" applyAlignment="1" applyFont="1">
      <alignment horizontal="left" readingOrder="0" shrinkToFit="0" vertical="center" wrapText="1"/>
    </xf>
    <xf borderId="0" fillId="5" fontId="7" numFmtId="0" xfId="0" applyAlignment="1" applyFont="1">
      <alignment horizontal="left" readingOrder="0" shrinkToFit="0" vertical="center" wrapText="1"/>
    </xf>
    <xf borderId="0" fillId="3" fontId="22" numFmtId="0" xfId="0" applyAlignment="1" applyFont="1">
      <alignment horizontal="center" shrinkToFit="0" vertical="center" wrapText="1"/>
    </xf>
    <xf borderId="0" fillId="14" fontId="22" numFmtId="0" xfId="0" applyAlignment="1" applyFont="1">
      <alignment horizontal="center" shrinkToFit="0" vertical="center" wrapText="1"/>
    </xf>
    <xf borderId="0" fillId="5" fontId="22" numFmtId="0" xfId="0" applyAlignment="1" applyFont="1">
      <alignment horizontal="center" shrinkToFit="0" vertical="center" wrapText="1"/>
    </xf>
    <xf borderId="0" fillId="5" fontId="22" numFmtId="0" xfId="0" applyAlignment="1" applyFont="1">
      <alignment shrinkToFit="0" vertical="center" wrapText="1"/>
    </xf>
    <xf borderId="0" fillId="14" fontId="22" numFmtId="0" xfId="0" applyAlignment="1" applyFont="1">
      <alignment horizontal="center" shrinkToFit="0" vertical="center" wrapText="1"/>
    </xf>
    <xf borderId="0" fillId="5" fontId="7" numFmtId="0" xfId="0" applyAlignment="1" applyFont="1">
      <alignment horizontal="center" readingOrder="0" shrinkToFit="0" vertical="center" wrapText="1"/>
    </xf>
    <xf borderId="0" fillId="5" fontId="22" numFmtId="0" xfId="0" applyAlignment="1" applyFont="1">
      <alignment horizontal="center" readingOrder="0" shrinkToFit="0" vertical="center" wrapText="1"/>
    </xf>
    <xf borderId="0" fillId="8" fontId="7" numFmtId="0" xfId="0" applyAlignment="1" applyFont="1">
      <alignment horizontal="left" shrinkToFit="0" vertical="center" wrapText="1"/>
    </xf>
    <xf borderId="0" fillId="5" fontId="7" numFmtId="0" xfId="0" applyAlignment="1" applyFont="1">
      <alignment horizontal="left" shrinkToFit="0" vertical="center" wrapText="1"/>
    </xf>
    <xf borderId="0" fillId="3" fontId="7" numFmtId="0" xfId="0" applyAlignment="1" applyFont="1">
      <alignment shrinkToFit="0" vertical="center" wrapText="1"/>
    </xf>
    <xf borderId="0" fillId="4" fontId="22" numFmtId="0" xfId="0" applyAlignment="1" applyFont="1">
      <alignment shrinkToFit="0" vertical="center" wrapText="1"/>
    </xf>
    <xf borderId="0" fillId="3" fontId="22" numFmtId="0" xfId="0" applyAlignment="1" applyFont="1">
      <alignment shrinkToFit="0" vertical="center" wrapText="1"/>
    </xf>
    <xf borderId="0" fillId="3" fontId="24" numFmtId="0" xfId="0" applyAlignment="1" applyFont="1">
      <alignment horizontal="center" shrinkToFit="0" vertical="center" wrapText="1"/>
    </xf>
    <xf borderId="0" fillId="8" fontId="29" numFmtId="0" xfId="0" applyAlignment="1" applyFont="1">
      <alignment horizontal="left" shrinkToFit="0" vertical="center" wrapText="1"/>
    </xf>
    <xf borderId="0" fillId="5" fontId="25" numFmtId="0" xfId="0" applyAlignment="1" applyFont="1">
      <alignment shrinkToFit="0" vertical="center" wrapText="1"/>
    </xf>
    <xf borderId="0" fillId="8" fontId="30" numFmtId="0" xfId="0" applyAlignment="1" applyFont="1">
      <alignment horizontal="left" shrinkToFit="0" vertical="center" wrapText="1"/>
    </xf>
    <xf borderId="0" fillId="5" fontId="30" numFmtId="0" xfId="0" applyAlignment="1" applyFont="1">
      <alignment horizontal="left" shrinkToFit="0" vertical="center" wrapText="1"/>
    </xf>
    <xf borderId="0" fillId="4" fontId="22" numFmtId="0" xfId="0" applyAlignment="1" applyFont="1">
      <alignment vertical="center"/>
    </xf>
    <xf borderId="0" fillId="3" fontId="22" numFmtId="0" xfId="0" applyAlignment="1" applyFont="1">
      <alignment vertical="center"/>
    </xf>
    <xf borderId="0" fillId="14" fontId="22" numFmtId="0" xfId="0" applyAlignment="1" applyFont="1">
      <alignment vertical="center"/>
    </xf>
    <xf borderId="0" fillId="0" fontId="22" numFmtId="0" xfId="0" applyAlignment="1" applyFont="1">
      <alignment vertical="center"/>
    </xf>
    <xf borderId="0" fillId="0" fontId="26" numFmtId="0" xfId="0" applyAlignment="1" applyFont="1">
      <alignment horizontal="center" shrinkToFit="0" vertical="center" wrapText="1"/>
    </xf>
    <xf borderId="0" fillId="0" fontId="6" numFmtId="0" xfId="0" applyAlignment="1" applyFont="1">
      <alignment horizontal="left" shrinkToFit="0" vertical="center" wrapText="1"/>
    </xf>
    <xf borderId="0" fillId="0" fontId="2" numFmtId="0" xfId="0" applyAlignment="1" applyFont="1">
      <alignment horizontal="center" shrinkToFit="0" vertical="center" wrapText="1"/>
    </xf>
    <xf borderId="0" fillId="0" fontId="18" numFmtId="0" xfId="0" applyAlignment="1" applyFont="1">
      <alignment horizontal="center" shrinkToFit="0" vertical="center" wrapText="1"/>
    </xf>
    <xf borderId="0" fillId="0" fontId="19" numFmtId="0" xfId="0" applyAlignment="1" applyFont="1">
      <alignment horizontal="center" shrinkToFit="0" vertical="center" wrapText="1"/>
    </xf>
    <xf borderId="0" fillId="5" fontId="31" numFmtId="0" xfId="0" applyAlignment="1" applyFont="1">
      <alignment horizontal="left" readingOrder="0" shrinkToFit="0" vertical="center" wrapText="1"/>
    </xf>
    <xf borderId="0" fillId="15" fontId="31" numFmtId="0" xfId="0" applyAlignment="1" applyFill="1" applyFont="1">
      <alignment horizontal="left" readingOrder="0" shrinkToFit="0" vertical="center" wrapText="1"/>
    </xf>
    <xf borderId="0" fillId="5" fontId="9" numFmtId="0" xfId="0" applyAlignment="1" applyFont="1">
      <alignment horizontal="left" readingOrder="0" shrinkToFit="0" vertical="center" wrapText="1"/>
    </xf>
    <xf borderId="0" fillId="5" fontId="31" numFmtId="0" xfId="0" applyAlignment="1" applyFont="1">
      <alignment horizontal="left" shrinkToFit="0" vertical="center" wrapText="1"/>
    </xf>
    <xf borderId="0" fillId="15" fontId="9" numFmtId="0" xfId="0" applyAlignment="1" applyFont="1">
      <alignment horizontal="left" shrinkToFit="0" vertical="center" wrapText="1"/>
    </xf>
    <xf borderId="0" fillId="0" fontId="32" numFmtId="0" xfId="0" applyAlignment="1" applyFont="1">
      <alignment horizontal="left" shrinkToFit="0" vertical="center" wrapText="1"/>
    </xf>
    <xf borderId="0" fillId="15" fontId="8" numFmtId="0" xfId="0" applyAlignment="1" applyFont="1">
      <alignment horizontal="left" readingOrder="0" shrinkToFit="0" vertical="center" wrapText="1"/>
    </xf>
    <xf borderId="0" fillId="15" fontId="8" numFmtId="0" xfId="0" applyAlignment="1" applyFont="1">
      <alignment horizontal="left" shrinkToFit="0" vertical="center" wrapText="1"/>
    </xf>
    <xf borderId="0" fillId="15" fontId="19" numFmtId="0" xfId="0" applyAlignment="1" applyFont="1">
      <alignment horizontal="left" readingOrder="0" shrinkToFit="0" vertical="center" wrapText="1"/>
    </xf>
    <xf borderId="0" fillId="5" fontId="33" numFmtId="0" xfId="0" applyAlignment="1" applyFont="1">
      <alignment horizontal="left" readingOrder="0" shrinkToFit="0" vertical="center" wrapText="1"/>
    </xf>
    <xf borderId="0" fillId="5" fontId="28" numFmtId="0" xfId="0" applyAlignment="1" applyFont="1">
      <alignment shrinkToFit="0" vertical="center" wrapText="1"/>
    </xf>
    <xf borderId="0" fillId="15" fontId="27" numFmtId="0" xfId="0" applyAlignment="1" applyFont="1">
      <alignment horizontal="left" readingOrder="0" shrinkToFit="0" vertical="center" wrapText="1"/>
    </xf>
    <xf borderId="0" fillId="15" fontId="22" numFmtId="0" xfId="0" applyAlignment="1" applyFont="1">
      <alignment horizontal="left" shrinkToFit="0" vertical="center" wrapText="1"/>
    </xf>
    <xf borderId="0" fillId="5" fontId="22" numFmtId="0" xfId="0" applyAlignment="1" applyFont="1">
      <alignment vertical="center"/>
    </xf>
    <xf borderId="1" fillId="7" fontId="2" numFmtId="0" xfId="0" applyAlignment="1" applyBorder="1" applyFont="1">
      <alignment horizontal="center" readingOrder="0" shrinkToFit="0" vertical="center" wrapText="1"/>
    </xf>
    <xf borderId="2" fillId="0" fontId="34" numFmtId="0" xfId="0" applyBorder="1" applyFont="1"/>
    <xf borderId="3" fillId="0" fontId="34" numFmtId="0" xfId="0" applyBorder="1" applyFont="1"/>
    <xf borderId="1" fillId="7" fontId="35" numFmtId="0" xfId="0" applyAlignment="1" applyBorder="1" applyFont="1">
      <alignment horizontal="center" shrinkToFit="0" vertical="center" wrapText="1"/>
    </xf>
    <xf borderId="0" fillId="7" fontId="2" numFmtId="0" xfId="0" applyAlignment="1" applyFont="1">
      <alignment horizontal="center" readingOrder="0" shrinkToFit="0" vertical="center" wrapText="1"/>
    </xf>
    <xf borderId="4" fillId="0" fontId="34" numFmtId="0" xfId="0" applyBorder="1" applyFont="1"/>
    <xf borderId="5" fillId="0" fontId="34" numFmtId="0" xfId="0" applyBorder="1" applyFont="1"/>
    <xf borderId="6" fillId="0" fontId="34" numFmtId="0" xfId="0" applyBorder="1" applyFont="1"/>
    <xf borderId="0" fillId="2" fontId="36" numFmtId="0" xfId="0" applyAlignment="1" applyFont="1">
      <alignment horizontal="center" readingOrder="0" shrinkToFit="0" vertical="center" wrapText="1"/>
    </xf>
    <xf borderId="7" fillId="0" fontId="34" numFmtId="0" xfId="0" applyBorder="1" applyFont="1"/>
    <xf borderId="1" fillId="5" fontId="35" numFmtId="0" xfId="0" applyAlignment="1" applyBorder="1" applyFont="1">
      <alignment horizontal="center" shrinkToFit="0" vertical="center" wrapText="1"/>
    </xf>
    <xf borderId="8" fillId="2" fontId="26" numFmtId="0" xfId="0" applyAlignment="1" applyBorder="1" applyFont="1">
      <alignment horizontal="center" readingOrder="0" vertical="center"/>
    </xf>
    <xf borderId="9" fillId="0" fontId="34" numFmtId="0" xfId="0" applyBorder="1" applyFont="1"/>
    <xf borderId="10" fillId="0" fontId="34" numFmtId="0" xfId="0" applyBorder="1" applyFont="1"/>
    <xf borderId="8" fillId="2" fontId="9" numFmtId="0" xfId="0" applyAlignment="1" applyBorder="1" applyFont="1">
      <alignment horizontal="center" readingOrder="0" shrinkToFit="0" vertical="center" wrapText="1"/>
    </xf>
    <xf borderId="8" fillId="2" fontId="24" numFmtId="0" xfId="0" applyAlignment="1" applyBorder="1" applyFont="1">
      <alignment horizontal="center" shrinkToFit="0" vertical="center" wrapText="1"/>
    </xf>
    <xf borderId="0" fillId="2" fontId="9" numFmtId="0" xfId="0" applyAlignment="1" applyFont="1">
      <alignment horizontal="center" readingOrder="0" shrinkToFit="0" vertical="center" wrapText="1"/>
    </xf>
    <xf borderId="11" fillId="7" fontId="8" numFmtId="0" xfId="0" applyAlignment="1" applyBorder="1" applyFont="1">
      <alignment horizontal="center" readingOrder="0" shrinkToFit="0" vertical="center" wrapText="1"/>
    </xf>
    <xf borderId="11" fillId="7" fontId="37" numFmtId="0" xfId="0" applyAlignment="1" applyBorder="1" applyFont="1">
      <alignment horizontal="center" readingOrder="0" shrinkToFit="0" vertical="center" wrapText="1"/>
    </xf>
    <xf borderId="11" fillId="5" fontId="8" numFmtId="0" xfId="0" applyAlignment="1" applyBorder="1" applyFont="1">
      <alignment horizontal="center" readingOrder="0" shrinkToFit="0" vertical="center" wrapText="1"/>
    </xf>
    <xf borderId="11" fillId="5" fontId="8" numFmtId="0" xfId="0" applyAlignment="1" applyBorder="1" applyFont="1">
      <alignment horizontal="center" readingOrder="0" shrinkToFit="0" vertical="center" wrapText="1"/>
    </xf>
    <xf borderId="11" fillId="5" fontId="38" numFmtId="0" xfId="0" applyAlignment="1" applyBorder="1" applyFont="1">
      <alignment horizontal="center" readingOrder="0" shrinkToFit="0" vertical="center" wrapText="1"/>
    </xf>
    <xf borderId="11" fillId="15" fontId="19" numFmtId="0" xfId="0" applyAlignment="1" applyBorder="1" applyFont="1">
      <alignment horizontal="center" readingOrder="0" shrinkToFit="0" vertical="center" wrapText="1"/>
    </xf>
    <xf borderId="11" fillId="15" fontId="19" numFmtId="0" xfId="0" applyAlignment="1" applyBorder="1" applyFont="1">
      <alignment horizontal="center" readingOrder="0" shrinkToFit="0" vertical="center" wrapText="1"/>
    </xf>
    <xf borderId="11" fillId="15" fontId="39" numFmtId="0" xfId="0" applyAlignment="1" applyBorder="1" applyFont="1">
      <alignment horizontal="center" readingOrder="0" shrinkToFit="0" vertical="center" wrapText="1"/>
    </xf>
    <xf borderId="11" fillId="16" fontId="19" numFmtId="0" xfId="0" applyAlignment="1" applyBorder="1" applyFill="1" applyFont="1">
      <alignment horizontal="center" readingOrder="0" shrinkToFit="0" vertical="center" wrapText="1"/>
    </xf>
    <xf borderId="11" fillId="16" fontId="19" numFmtId="0" xfId="0" applyAlignment="1" applyBorder="1" applyFont="1">
      <alignment horizontal="center" readingOrder="0" shrinkToFit="0" vertical="center" wrapText="1"/>
    </xf>
    <xf borderId="11" fillId="16" fontId="40" numFmtId="0" xfId="0" applyAlignment="1" applyBorder="1" applyFont="1">
      <alignment horizontal="center" readingOrder="0" shrinkToFit="0" vertical="center" wrapText="1"/>
    </xf>
    <xf borderId="12" fillId="15" fontId="22" numFmtId="0" xfId="0" applyAlignment="1" applyBorder="1" applyFont="1">
      <alignment horizontal="center" shrinkToFit="0" vertical="center" wrapText="1"/>
    </xf>
    <xf borderId="6" fillId="15" fontId="22" numFmtId="0" xfId="0" applyAlignment="1" applyBorder="1" applyFont="1">
      <alignment horizontal="center" shrinkToFit="0" vertical="center" wrapText="1"/>
    </xf>
    <xf borderId="6" fillId="15" fontId="41" numFmtId="0" xfId="0" applyAlignment="1" applyBorder="1" applyFont="1">
      <alignment horizontal="center" shrinkToFit="0" vertical="center" wrapText="1"/>
    </xf>
    <xf borderId="0" fillId="16" fontId="19" numFmtId="0" xfId="0" applyAlignment="1" applyFont="1">
      <alignment horizontal="center" readingOrder="0" shrinkToFit="0" vertical="center" wrapText="1"/>
    </xf>
    <xf borderId="11" fillId="7" fontId="8" numFmtId="0" xfId="0" applyAlignment="1" applyBorder="1" applyFont="1">
      <alignment horizontal="center" readingOrder="0" shrinkToFit="0" vertical="center" wrapText="1"/>
    </xf>
    <xf borderId="11" fillId="7" fontId="42" numFmtId="0" xfId="0" applyAlignment="1" applyBorder="1" applyFont="1">
      <alignment horizontal="center" readingOrder="0" vertical="center"/>
    </xf>
    <xf borderId="11" fillId="5" fontId="43" numFmtId="0" xfId="0" applyAlignment="1" applyBorder="1" applyFont="1">
      <alignment horizontal="center" readingOrder="0" vertical="center"/>
    </xf>
    <xf borderId="11" fillId="15" fontId="44" numFmtId="0" xfId="0" applyAlignment="1" applyBorder="1" applyFont="1">
      <alignment horizontal="center" readingOrder="0" vertical="center"/>
    </xf>
    <xf borderId="11" fillId="16" fontId="19" numFmtId="0" xfId="0" applyAlignment="1" applyBorder="1" applyFont="1">
      <alignment horizontal="center" readingOrder="0" vertical="center"/>
    </xf>
    <xf borderId="11" fillId="16" fontId="45" numFmtId="0" xfId="0" applyAlignment="1" applyBorder="1" applyFont="1">
      <alignment horizontal="center" readingOrder="0" vertical="center"/>
    </xf>
    <xf borderId="6" fillId="15" fontId="22" numFmtId="0" xfId="0" applyAlignment="1" applyBorder="1" applyFont="1">
      <alignment horizontal="center" vertical="center"/>
    </xf>
    <xf borderId="12" fillId="15" fontId="46" numFmtId="0" xfId="0" applyAlignment="1" applyBorder="1" applyFont="1">
      <alignment horizontal="center" shrinkToFit="0" vertical="center" wrapText="1"/>
    </xf>
    <xf borderId="8" fillId="7" fontId="47" numFmtId="0" xfId="0" applyAlignment="1" applyBorder="1" applyFont="1">
      <alignment horizontal="center" readingOrder="0" shrinkToFit="0" vertical="center" wrapText="1"/>
    </xf>
    <xf borderId="13" fillId="7" fontId="33" numFmtId="0" xfId="0" applyAlignment="1" applyBorder="1" applyFont="1">
      <alignment horizontal="center" readingOrder="0" shrinkToFit="0" vertical="center" wrapText="1"/>
    </xf>
    <xf borderId="13" fillId="5" fontId="48" numFmtId="0" xfId="0" applyAlignment="1" applyBorder="1" applyFont="1">
      <alignment horizontal="center" readingOrder="0" shrinkToFit="0" vertical="center" wrapText="1"/>
    </xf>
    <xf borderId="13" fillId="15" fontId="49" numFmtId="0" xfId="0" applyAlignment="1" applyBorder="1" applyFont="1">
      <alignment horizontal="center" readingOrder="0" shrinkToFit="0" vertical="center" wrapText="1"/>
    </xf>
    <xf borderId="11" fillId="16" fontId="50" numFmtId="0" xfId="0" applyAlignment="1" applyBorder="1" applyFont="1">
      <alignment horizontal="center" readingOrder="0" shrinkToFit="0" vertical="center" wrapText="1"/>
    </xf>
    <xf borderId="13" fillId="16" fontId="51" numFmtId="0" xfId="0" applyAlignment="1" applyBorder="1" applyFont="1">
      <alignment horizontal="center" readingOrder="0" shrinkToFit="0" vertical="center" wrapText="1"/>
    </xf>
    <xf borderId="11" fillId="16" fontId="52" numFmtId="0" xfId="0" applyAlignment="1" applyBorder="1" applyFont="1">
      <alignment horizontal="center" readingOrder="0" shrinkToFit="0" vertical="center" wrapText="1"/>
    </xf>
    <xf borderId="7" fillId="15" fontId="22" numFmtId="0" xfId="0" applyAlignment="1" applyBorder="1" applyFont="1">
      <alignment horizontal="center" shrinkToFit="0" vertical="center" wrapText="1"/>
    </xf>
    <xf borderId="0" fillId="16" fontId="52" numFmtId="0" xfId="0" applyAlignment="1" applyFont="1">
      <alignment horizontal="center" readingOrder="0" shrinkToFit="0" vertical="center" wrapText="1"/>
    </xf>
    <xf borderId="12" fillId="0" fontId="34" numFmtId="0" xfId="0" applyBorder="1" applyFont="1"/>
    <xf borderId="0" fillId="16" fontId="19" numFmtId="0" xfId="0" applyAlignment="1" applyFont="1">
      <alignment horizontal="center" readingOrder="0" shrinkToFit="0" vertical="center" wrapText="1"/>
    </xf>
    <xf borderId="6" fillId="15" fontId="22" numFmtId="0" xfId="0" applyAlignment="1" applyBorder="1" applyFont="1">
      <alignment vertical="center"/>
    </xf>
    <xf borderId="12" fillId="15" fontId="22" numFmtId="0" xfId="0" applyAlignment="1" applyBorder="1" applyFont="1">
      <alignment horizontal="center" readingOrder="0" shrinkToFit="0" vertical="center" wrapText="1"/>
    </xf>
    <xf borderId="4" fillId="2" fontId="24" numFmtId="0" xfId="0" applyAlignment="1" applyBorder="1" applyFont="1">
      <alignment horizontal="center" vertical="center"/>
    </xf>
    <xf borderId="0" fillId="2" fontId="26" numFmtId="0" xfId="0" applyAlignment="1" applyFont="1">
      <alignment horizontal="center" readingOrder="0" vertical="center"/>
    </xf>
    <xf borderId="11" fillId="5" fontId="53" numFmtId="0" xfId="0" applyAlignment="1" applyBorder="1" applyFont="1">
      <alignment horizontal="center" readingOrder="0"/>
    </xf>
    <xf borderId="11" fillId="5" fontId="8" numFmtId="0" xfId="0" applyAlignment="1" applyBorder="1" applyFont="1">
      <alignment horizontal="center" shrinkToFit="0" vertical="center" wrapText="1"/>
    </xf>
    <xf borderId="11" fillId="15" fontId="27" numFmtId="0" xfId="0" applyAlignment="1" applyBorder="1" applyFont="1">
      <alignment horizontal="center" readingOrder="0" shrinkToFit="0" vertical="center" wrapText="1"/>
    </xf>
    <xf borderId="11" fillId="15" fontId="54" numFmtId="0" xfId="0" applyAlignment="1" applyBorder="1" applyFont="1">
      <alignment horizontal="center" readingOrder="0"/>
    </xf>
    <xf borderId="11" fillId="16" fontId="8" numFmtId="0" xfId="0" applyAlignment="1" applyBorder="1" applyFont="1">
      <alignment horizontal="center" readingOrder="0" shrinkToFit="0" vertical="center" wrapText="1"/>
    </xf>
    <xf borderId="11" fillId="16" fontId="55" numFmtId="0" xfId="0" applyAlignment="1" applyBorder="1" applyFont="1">
      <alignment horizontal="center" readingOrder="0"/>
    </xf>
    <xf borderId="12" fillId="15" fontId="22" numFmtId="0" xfId="0" applyAlignment="1" applyBorder="1" applyFont="1">
      <alignment vertical="center"/>
    </xf>
    <xf borderId="6" fillId="15" fontId="56" numFmtId="0" xfId="0" applyAlignment="1" applyBorder="1" applyFont="1">
      <alignment horizontal="center" vertical="center"/>
    </xf>
    <xf borderId="0" fillId="16" fontId="8" numFmtId="0" xfId="0" applyAlignment="1" applyFont="1">
      <alignment horizontal="center" readingOrder="0" shrinkToFit="0" vertical="center" wrapText="1"/>
    </xf>
    <xf borderId="11" fillId="15" fontId="57" numFmtId="0" xfId="0" applyAlignment="1" applyBorder="1" applyFont="1">
      <alignment horizontal="center" readingOrder="0" shrinkToFit="0" vertical="center" wrapText="1"/>
    </xf>
    <xf borderId="11" fillId="15" fontId="58" numFmtId="0" xfId="0" applyAlignment="1" applyBorder="1" applyFont="1">
      <alignment horizontal="center" readingOrder="0" shrinkToFit="0" vertical="center" wrapText="1"/>
    </xf>
    <xf borderId="11" fillId="16" fontId="59" numFmtId="0" xfId="0" applyAlignment="1" applyBorder="1" applyFont="1">
      <alignment horizontal="center" readingOrder="0" shrinkToFit="0" vertical="center" wrapText="1"/>
    </xf>
    <xf borderId="11" fillId="7" fontId="60" numFmtId="0" xfId="0" applyAlignment="1" applyBorder="1" applyFont="1">
      <alignment horizontal="center" readingOrder="0" shrinkToFit="0" vertical="center" wrapText="1"/>
    </xf>
    <xf borderId="11" fillId="5" fontId="60" numFmtId="0" xfId="0" applyAlignment="1" applyBorder="1" applyFont="1">
      <alignment horizontal="center" readingOrder="0" shrinkToFit="0" vertical="center" wrapText="1"/>
    </xf>
    <xf borderId="11" fillId="15" fontId="61" numFmtId="0" xfId="0" applyAlignment="1" applyBorder="1" applyFont="1">
      <alignment horizontal="center" readingOrder="0"/>
    </xf>
    <xf borderId="11" fillId="16" fontId="61" numFmtId="0" xfId="0" applyAlignment="1" applyBorder="1" applyFont="1">
      <alignment horizontal="center" readingOrder="0"/>
    </xf>
    <xf borderId="11" fillId="15" fontId="60" numFmtId="0" xfId="0" applyAlignment="1" applyBorder="1" applyFont="1">
      <alignment horizontal="center" readingOrder="0" shrinkToFit="0" vertical="center" wrapText="1"/>
    </xf>
    <xf borderId="11" fillId="16" fontId="60" numFmtId="0" xfId="0" applyAlignment="1" applyBorder="1" applyFont="1">
      <alignment horizontal="center" readingOrder="0" shrinkToFit="0" vertical="center" wrapText="1"/>
    </xf>
    <xf borderId="13" fillId="7" fontId="8"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xf borderId="0" fillId="0" fontId="22" numFmtId="0" xfId="0" applyAlignment="1" applyFont="1">
      <alignment vertical="center"/>
    </xf>
    <xf borderId="0" fillId="0" fontId="8" numFmtId="0" xfId="0" applyAlignment="1" applyFont="1">
      <alignment horizontal="center" vertical="center"/>
    </xf>
    <xf borderId="12" fillId="0" fontId="8" numFmtId="0" xfId="0" applyAlignment="1" applyBorder="1" applyFont="1">
      <alignment horizontal="center" shrinkToFit="0" vertical="center" wrapText="1"/>
    </xf>
    <xf borderId="11" fillId="0" fontId="8" numFmtId="0" xfId="0" applyAlignment="1" applyBorder="1" applyFont="1">
      <alignment horizontal="center" shrinkToFit="0" vertical="center" wrapText="1"/>
    </xf>
    <xf borderId="0" fillId="7" fontId="27" numFmtId="0" xfId="0" applyAlignment="1" applyFont="1">
      <alignment horizontal="center" shrinkToFit="0" vertical="center" wrapText="1"/>
    </xf>
    <xf borderId="0" fillId="7" fontId="62" numFmtId="0" xfId="0" applyAlignment="1" applyFont="1">
      <alignment horizontal="center" readingOrder="0" shrinkToFit="0" vertical="center" wrapText="1"/>
    </xf>
    <xf borderId="0" fillId="0" fontId="27" numFmtId="0" xfId="0" applyAlignment="1" applyFont="1">
      <alignment horizontal="center" shrinkToFit="0" vertical="center" wrapText="1"/>
    </xf>
    <xf borderId="0" fillId="5" fontId="6" numFmtId="0" xfId="0" applyAlignment="1" applyFont="1">
      <alignment horizontal="center" readingOrder="0" shrinkToFit="0" vertical="center" wrapText="1"/>
    </xf>
    <xf borderId="0" fillId="15" fontId="17" numFmtId="0" xfId="0" applyAlignment="1" applyFont="1">
      <alignment horizontal="center" readingOrder="0" shrinkToFit="0" vertical="center" wrapText="1"/>
    </xf>
    <xf borderId="0" fillId="5" fontId="6" numFmtId="0" xfId="0" applyAlignment="1" applyFont="1">
      <alignment horizontal="center" shrinkToFit="0" vertical="center" wrapText="1"/>
    </xf>
    <xf borderId="0" fillId="15" fontId="17" numFmtId="0" xfId="0" applyAlignment="1" applyFont="1">
      <alignment horizontal="center" shrinkToFit="0" vertical="center" wrapText="1"/>
    </xf>
    <xf borderId="0" fillId="3" fontId="2" numFmtId="0" xfId="0" applyAlignment="1" applyFont="1">
      <alignment horizontal="center" shrinkToFit="0" vertical="center" wrapText="1"/>
    </xf>
    <xf borderId="0" fillId="5" fontId="31" numFmtId="0" xfId="0" applyAlignment="1" applyFont="1">
      <alignment horizontal="center" shrinkToFit="0" vertical="center" wrapText="1"/>
    </xf>
    <xf borderId="0" fillId="15" fontId="2" numFmtId="0" xfId="0" applyAlignment="1" applyFont="1">
      <alignment horizontal="center" shrinkToFit="0" vertical="center" wrapText="1"/>
    </xf>
    <xf borderId="0" fillId="3" fontId="18" numFmtId="0" xfId="0" applyAlignment="1" applyFont="1">
      <alignment horizontal="center" readingOrder="0" shrinkToFit="0" vertical="center" wrapText="1"/>
    </xf>
    <xf borderId="0" fillId="15" fontId="2" numFmtId="0" xfId="0" applyAlignment="1" applyFont="1">
      <alignment horizontal="center" readingOrder="0" shrinkToFit="0" vertical="center" wrapText="1"/>
    </xf>
    <xf borderId="0" fillId="5" fontId="35" numFmtId="0" xfId="0" applyAlignment="1" applyFont="1">
      <alignment horizontal="center" shrinkToFit="0" vertical="center" wrapText="1"/>
    </xf>
    <xf borderId="0" fillId="15" fontId="25" numFmtId="0" xfId="0" applyAlignment="1" applyFont="1">
      <alignment horizontal="center" shrinkToFit="0" vertical="center" wrapText="1"/>
    </xf>
    <xf borderId="0" fillId="0" fontId="63" numFmtId="0" xfId="0" applyAlignment="1" applyFont="1">
      <alignment horizontal="center" shrinkToFit="0" vertical="center" wrapText="1"/>
    </xf>
    <xf borderId="0" fillId="15" fontId="8" numFmtId="0" xfId="0" applyAlignment="1" applyFont="1">
      <alignment horizontal="center" readingOrder="0" shrinkToFit="0" vertical="center" wrapText="1"/>
    </xf>
    <xf borderId="0" fillId="3" fontId="19" numFmtId="0" xfId="0" applyAlignment="1" applyFont="1">
      <alignment horizontal="center" shrinkToFit="0" vertical="center" wrapText="1"/>
    </xf>
    <xf borderId="0" fillId="5" fontId="19" numFmtId="0" xfId="0" applyAlignment="1" applyFont="1">
      <alignment horizontal="center" shrinkToFit="0" vertical="center" wrapText="1"/>
    </xf>
    <xf borderId="0" fillId="15" fontId="19" numFmtId="0" xfId="0" applyAlignment="1" applyFont="1">
      <alignment horizontal="center" shrinkToFit="0" vertical="center" wrapText="1"/>
    </xf>
    <xf borderId="0" fillId="5" fontId="19" numFmtId="0" xfId="0" applyAlignment="1" applyFont="1">
      <alignment horizontal="center" readingOrder="0" shrinkToFit="0" vertical="center" wrapText="1"/>
    </xf>
    <xf borderId="0" fillId="15" fontId="8" numFmtId="0" xfId="0" applyAlignment="1" applyFont="1">
      <alignment horizontal="center" shrinkToFit="0" vertical="center" wrapText="1"/>
    </xf>
    <xf borderId="0" fillId="15" fontId="19" numFmtId="0" xfId="0" applyAlignment="1" applyFont="1">
      <alignment horizontal="center" readingOrder="0" shrinkToFit="0" vertical="center" wrapText="1"/>
    </xf>
    <xf borderId="0" fillId="15" fontId="22" numFmtId="0" xfId="0" applyAlignment="1" applyFont="1">
      <alignment horizontal="center" shrinkToFit="0" vertical="center" wrapText="1"/>
    </xf>
    <xf borderId="0" fillId="15" fontId="22" numFmtId="0" xfId="0" applyAlignment="1" applyFont="1">
      <alignment horizontal="center" readingOrder="0" shrinkToFit="0" vertical="center" wrapText="1"/>
    </xf>
    <xf borderId="0" fillId="5" fontId="8" numFmtId="0" xfId="0" applyAlignment="1" applyFont="1">
      <alignment horizontal="center" shrinkToFit="0" vertical="center" wrapText="1"/>
    </xf>
    <xf borderId="0" fillId="5" fontId="22" numFmtId="0" xfId="0" applyAlignment="1" applyFont="1">
      <alignment horizontal="center" readingOrder="0" vertical="center"/>
    </xf>
    <xf borderId="0" fillId="3" fontId="22" numFmtId="0" xfId="0" applyAlignment="1" applyFont="1">
      <alignment horizontal="center" vertical="center"/>
    </xf>
    <xf borderId="0" fillId="5" fontId="22" numFmtId="0" xfId="0" applyAlignment="1" applyFont="1">
      <alignment horizontal="center" vertical="center"/>
    </xf>
    <xf borderId="0" fillId="15" fontId="22" numFmtId="0" xfId="0" applyAlignment="1" applyFont="1">
      <alignment horizontal="center" vertical="center"/>
    </xf>
    <xf borderId="0" fillId="7" fontId="24" numFmtId="0" xfId="0" applyAlignment="1" applyFont="1">
      <alignment horizontal="center" readingOrder="0" shrinkToFit="0" vertical="center" wrapText="1"/>
    </xf>
    <xf borderId="0" fillId="17" fontId="17" numFmtId="0" xfId="0" applyAlignment="1" applyFill="1" applyFont="1">
      <alignment horizontal="center" readingOrder="0" shrinkToFit="0" vertical="center" wrapText="1"/>
    </xf>
    <xf borderId="0" fillId="17" fontId="2" numFmtId="0" xfId="0" applyAlignment="1" applyFont="1">
      <alignment horizontal="center" shrinkToFit="0" vertical="center" wrapText="1"/>
    </xf>
    <xf borderId="0" fillId="17" fontId="17" numFmtId="0" xfId="0" applyAlignment="1" applyFont="1">
      <alignment horizontal="center" shrinkToFit="0" vertical="center" wrapText="1"/>
    </xf>
    <xf borderId="0" fillId="17" fontId="64" numFmtId="0" xfId="0" applyAlignment="1" applyFont="1">
      <alignment horizontal="center" vertical="center"/>
    </xf>
    <xf borderId="0" fillId="5" fontId="64" numFmtId="0" xfId="0" applyAlignment="1" applyFont="1">
      <alignment horizontal="center" vertical="center"/>
    </xf>
    <xf borderId="0" fillId="17" fontId="8" numFmtId="0" xfId="0" applyAlignment="1" applyFont="1">
      <alignment horizontal="center" readingOrder="0" shrinkToFit="0" vertical="center" wrapText="1"/>
    </xf>
    <xf borderId="0" fillId="17" fontId="19" numFmtId="0" xfId="0" applyAlignment="1" applyFont="1">
      <alignment horizontal="center" readingOrder="0" shrinkToFit="0" vertical="center" wrapText="1"/>
    </xf>
    <xf borderId="0" fillId="17" fontId="8" numFmtId="0" xfId="0" applyAlignment="1" applyFont="1">
      <alignment horizontal="center" shrinkToFit="0" vertical="center" wrapText="1"/>
    </xf>
    <xf borderId="0" fillId="17" fontId="19" numFmtId="0" xfId="0" applyAlignment="1" applyFont="1">
      <alignment horizontal="center" shrinkToFit="0" vertical="center" wrapText="1"/>
    </xf>
    <xf borderId="0" fillId="17" fontId="22" numFmtId="0" xfId="0" applyAlignment="1" applyFont="1">
      <alignment horizontal="center" vertical="center"/>
    </xf>
    <xf borderId="0" fillId="5" fontId="22" numFmtId="0" xfId="0" applyAlignment="1" applyFont="1">
      <alignment horizontal="center" vertical="center"/>
    </xf>
    <xf borderId="0" fillId="17" fontId="8" numFmtId="0" xfId="0" applyAlignment="1" applyFont="1">
      <alignment horizontal="center" shrinkToFit="0" vertical="center" wrapText="1"/>
    </xf>
    <xf borderId="0" fillId="17" fontId="22" numFmtId="0" xfId="0" applyAlignment="1" applyFont="1">
      <alignment horizontal="center" shrinkToFit="0" vertical="center" wrapText="1"/>
    </xf>
    <xf borderId="0" fillId="17" fontId="22" numFmtId="0" xfId="0" applyAlignment="1" applyFont="1">
      <alignment horizontal="center" shrinkToFit="0" vertical="center" wrapText="1"/>
    </xf>
    <xf borderId="0" fillId="17" fontId="8" numFmtId="0" xfId="0" applyAlignment="1" applyFont="1">
      <alignment shrinkToFit="0" vertical="center" wrapText="1"/>
    </xf>
    <xf borderId="0" fillId="17" fontId="65" numFmtId="0" xfId="0" applyAlignment="1" applyFont="1">
      <alignment horizontal="center" shrinkToFit="0" vertical="center" wrapText="1"/>
    </xf>
    <xf borderId="0" fillId="5" fontId="65" numFmtId="0" xfId="0" applyAlignment="1" applyFont="1">
      <alignment horizontal="center" shrinkToFit="0" vertical="center" wrapText="1"/>
    </xf>
    <xf borderId="0" fillId="17" fontId="2" numFmtId="0" xfId="0" applyAlignment="1" applyFont="1">
      <alignment horizontal="center" readingOrder="0" shrinkToFit="0" vertical="center" wrapText="1"/>
    </xf>
    <xf borderId="0" fillId="17" fontId="7" numFmtId="0" xfId="0" applyAlignment="1" applyFont="1">
      <alignment horizontal="center" readingOrder="0" shrinkToFit="0" vertical="center" wrapText="1"/>
    </xf>
    <xf borderId="0" fillId="5" fontId="7" numFmtId="0" xfId="0" applyAlignment="1" applyFont="1">
      <alignment horizontal="center" shrinkToFit="0" vertical="center" wrapText="1"/>
    </xf>
    <xf borderId="0" fillId="17" fontId="7" numFmtId="0" xfId="0" applyAlignment="1" applyFont="1">
      <alignment horizontal="center" shrinkToFit="0" vertical="center" wrapText="1"/>
    </xf>
    <xf borderId="0" fillId="17" fontId="22" numFmtId="0" xfId="0" applyAlignment="1" applyFont="1">
      <alignment horizontal="center" readingOrder="0" vertical="center"/>
    </xf>
    <xf borderId="0" fillId="17" fontId="66" numFmtId="0" xfId="0" applyAlignment="1" applyFont="1">
      <alignment horizontal="center" readingOrder="0" shrinkToFit="0" vertical="center" wrapText="1"/>
    </xf>
    <xf borderId="0" fillId="5" fontId="66" numFmtId="0" xfId="0" applyAlignment="1" applyFont="1">
      <alignment horizontal="center" readingOrder="0" shrinkToFit="0" vertical="center" wrapText="1"/>
    </xf>
    <xf borderId="0" fillId="17" fontId="22" numFmtId="0" xfId="0" applyAlignment="1" applyFont="1">
      <alignment horizontal="center" vertical="center"/>
    </xf>
    <xf borderId="0" fillId="5" fontId="22" numFmtId="0" xfId="0" applyAlignment="1" applyFont="1">
      <alignment horizontal="center" shrinkToFit="0" vertical="center" wrapText="0"/>
    </xf>
    <xf borderId="0" fillId="17" fontId="22" numFmtId="0" xfId="0" applyAlignment="1" applyFont="1">
      <alignment horizontal="center" readingOrder="0" shrinkToFit="0" vertical="center" wrapText="1"/>
    </xf>
    <xf borderId="0" fillId="0" fontId="22" numFmtId="0" xfId="0" applyAlignment="1" applyFont="1">
      <alignment horizontal="center" shrinkToFit="0" vertical="center" wrapText="1"/>
    </xf>
    <xf borderId="0" fillId="5" fontId="67" numFmtId="0" xfId="0" applyAlignment="1" applyFont="1">
      <alignment horizontal="center" shrinkToFit="0" vertical="center" wrapText="1"/>
    </xf>
    <xf borderId="0" fillId="17" fontId="22" numFmtId="0" xfId="0" applyAlignment="1" applyFont="1">
      <alignment vertical="center"/>
    </xf>
    <xf borderId="0" fillId="7" fontId="68" numFmtId="0" xfId="0" applyAlignment="1" applyFont="1">
      <alignment horizontal="center" readingOrder="0" shrinkToFit="0" vertical="center" wrapText="1"/>
    </xf>
    <xf borderId="0" fillId="17" fontId="64" numFmtId="0" xfId="0" applyAlignment="1" applyFont="1">
      <alignment horizontal="center" shrinkToFit="0" vertical="center" wrapText="1"/>
    </xf>
    <xf borderId="0" fillId="5" fontId="64" numFmtId="0" xfId="0" applyAlignment="1" applyFont="1">
      <alignment horizontal="center" shrinkToFit="0" vertical="center" wrapText="1"/>
    </xf>
    <xf borderId="0" fillId="0" fontId="17" numFmtId="0" xfId="0" applyAlignment="1" applyFont="1">
      <alignment horizontal="center" shrinkToFit="0" vertical="center" wrapText="1"/>
    </xf>
    <xf borderId="0" fillId="17" fontId="69" numFmtId="0" xfId="0" applyAlignment="1" applyFont="1">
      <alignment horizontal="center" readingOrder="0" shrinkToFit="0" vertical="center" wrapText="1"/>
    </xf>
    <xf borderId="0" fillId="17" fontId="22" numFmtId="0" xfId="0" applyAlignment="1" applyFont="1">
      <alignment shrinkToFit="0" vertical="center" wrapText="1"/>
    </xf>
    <xf borderId="0" fillId="0" fontId="22" numFmtId="0" xfId="0" applyAlignment="1" applyFont="1">
      <alignment shrinkToFit="0" vertical="center" wrapText="1"/>
    </xf>
    <xf borderId="0" fillId="8" fontId="18" numFmtId="0" xfId="0" applyAlignment="1" applyFont="1">
      <alignment horizontal="center" shrinkToFit="0" vertical="center" wrapText="1"/>
    </xf>
    <xf borderId="0" fillId="4" fontId="18" numFmtId="0" xfId="0" applyAlignment="1" applyFont="1">
      <alignment horizontal="center" shrinkToFit="0" vertical="center" wrapText="1"/>
    </xf>
    <xf borderId="0" fillId="5" fontId="32" numFmtId="0" xfId="0" applyAlignment="1" applyFont="1">
      <alignment readingOrder="0" shrinkToFit="0" vertical="center" wrapText="1"/>
    </xf>
    <xf borderId="0" fillId="5" fontId="32" numFmtId="0" xfId="0" applyAlignment="1" applyFont="1">
      <alignment horizontal="left" shrinkToFit="0" vertical="center" wrapText="1"/>
    </xf>
    <xf borderId="0" fillId="5" fontId="32" numFmtId="0" xfId="0" applyAlignment="1" applyFont="1">
      <alignment shrinkToFit="0" vertical="center" wrapText="1"/>
    </xf>
    <xf borderId="0" fillId="8" fontId="18" numFmtId="0" xfId="0" applyAlignment="1" applyFont="1">
      <alignment horizontal="center" readingOrder="0" shrinkToFit="0" vertical="center" wrapText="1"/>
    </xf>
    <xf borderId="0" fillId="14" fontId="30" numFmtId="0" xfId="0" applyAlignment="1" applyFont="1">
      <alignment horizontal="center" shrinkToFit="0" vertical="center" wrapText="1"/>
    </xf>
    <xf borderId="0" fillId="4" fontId="70" numFmtId="0" xfId="0" applyAlignment="1" applyFont="1">
      <alignment horizontal="center" shrinkToFit="0" vertical="center" wrapText="1"/>
    </xf>
    <xf borderId="0" fillId="4" fontId="22" numFmtId="0" xfId="0" applyAlignment="1" applyFont="1">
      <alignment horizontal="center" shrinkToFit="0" vertical="center" wrapText="1"/>
    </xf>
    <xf borderId="0" fillId="3" fontId="71" numFmtId="0" xfId="0" applyAlignment="1" applyFont="1">
      <alignment horizontal="center" shrinkToFit="0" vertical="center" wrapText="1"/>
    </xf>
    <xf borderId="0" fillId="4" fontId="71" numFmtId="0" xfId="0" applyAlignment="1" applyFont="1">
      <alignment horizontal="center" shrinkToFit="0" vertical="center" wrapText="1"/>
    </xf>
    <xf borderId="0" fillId="4" fontId="71" numFmtId="0" xfId="0" applyAlignment="1" applyFont="1">
      <alignment horizontal="center" readingOrder="0" shrinkToFit="0" vertical="center" wrapText="1"/>
    </xf>
    <xf borderId="0" fillId="3" fontId="71" numFmtId="0" xfId="0" applyAlignment="1" applyFont="1">
      <alignment horizontal="center" readingOrder="0" shrinkToFit="0" vertical="center" wrapText="1"/>
    </xf>
    <xf borderId="0" fillId="3" fontId="64" numFmtId="0" xfId="0" applyAlignment="1" applyFont="1">
      <alignment horizontal="center" shrinkToFit="0" vertical="center" wrapText="1"/>
    </xf>
    <xf borderId="0" fillId="4" fontId="64" numFmtId="0" xfId="0" applyAlignment="1" applyFont="1">
      <alignment horizontal="center" shrinkToFit="0" vertical="center" wrapText="1"/>
    </xf>
    <xf borderId="0" fillId="3" fontId="18" numFmtId="0" xfId="0" applyAlignment="1" applyFont="1">
      <alignment shrinkToFit="0" vertical="center" wrapText="1"/>
    </xf>
    <xf borderId="0" fillId="4" fontId="8" numFmtId="0" xfId="0" applyAlignment="1" applyFont="1">
      <alignment shrinkToFit="0" vertical="center" wrapText="1"/>
    </xf>
    <xf borderId="0" fillId="3" fontId="17" numFmtId="0" xfId="0" applyAlignment="1" applyFont="1">
      <alignment horizontal="left" shrinkToFit="0" vertical="center" wrapText="1"/>
    </xf>
    <xf borderId="0" fillId="3" fontId="18" numFmtId="0" xfId="0" applyAlignment="1" applyFont="1">
      <alignment horizontal="center" shrinkToFit="0" vertical="center" wrapText="1"/>
    </xf>
    <xf borderId="0" fillId="3" fontId="18" numFmtId="0" xfId="0" applyAlignment="1" applyFont="1">
      <alignment horizontal="center" readingOrder="0" shrinkToFit="0" vertical="center" wrapText="1"/>
    </xf>
    <xf borderId="0" fillId="3" fontId="18" numFmtId="0" xfId="0" applyAlignment="1" applyFont="1">
      <alignment readingOrder="0" shrinkToFit="0" vertical="center" wrapText="1"/>
    </xf>
    <xf borderId="0" fillId="4" fontId="23" numFmtId="0" xfId="0" applyAlignment="1" applyFont="1">
      <alignment horizontal="center" shrinkToFit="0" vertical="center" wrapText="1"/>
    </xf>
    <xf borderId="0" fillId="5" fontId="69" numFmtId="0" xfId="0" applyAlignment="1" applyFont="1">
      <alignment horizontal="center" readingOrder="0" shrinkToFit="0" vertical="center" wrapText="1"/>
    </xf>
    <xf borderId="0" fillId="4" fontId="72" numFmtId="0" xfId="0" applyAlignment="1" applyFont="1">
      <alignment horizontal="center" readingOrder="0" shrinkToFit="0" vertical="center" wrapText="1"/>
    </xf>
    <xf borderId="0" fillId="3" fontId="8" numFmtId="0" xfId="0" applyAlignment="1" applyFont="1">
      <alignment shrinkToFit="0" vertical="center" wrapText="1"/>
    </xf>
    <xf borderId="0" fillId="3" fontId="2" numFmtId="0" xfId="0" applyAlignment="1" applyFont="1">
      <alignment horizontal="center" readingOrder="0" shrinkToFit="0" vertical="center" wrapText="1"/>
    </xf>
    <xf borderId="0" fillId="3" fontId="35" numFmtId="0" xfId="0" applyAlignment="1" applyFont="1">
      <alignment horizontal="center" shrinkToFit="0" vertical="center" wrapText="1"/>
    </xf>
    <xf borderId="0" fillId="15" fontId="35" numFmtId="0" xfId="0" applyAlignment="1" applyFont="1">
      <alignment horizontal="center" shrinkToFit="0" vertical="center" wrapText="1"/>
    </xf>
    <xf borderId="0" fillId="14" fontId="35" numFmtId="0" xfId="0" applyAlignment="1" applyFont="1">
      <alignment horizontal="center" shrinkToFit="0" vertical="center" wrapText="1"/>
    </xf>
    <xf borderId="0" fillId="8" fontId="19" numFmtId="0" xfId="0" applyAlignment="1" applyFont="1">
      <alignment horizontal="center" readingOrder="0" shrinkToFit="0" vertical="center" wrapText="1"/>
    </xf>
    <xf borderId="0" fillId="8" fontId="19" numFmtId="0" xfId="0" applyAlignment="1" applyFont="1">
      <alignment horizontal="center" shrinkToFit="0" vertical="center" wrapText="1"/>
    </xf>
    <xf borderId="0" fillId="14" fontId="22" numFmtId="0" xfId="0" applyAlignment="1" applyFont="1">
      <alignment vertical="center"/>
    </xf>
    <xf borderId="0" fillId="15" fontId="22" numFmtId="0" xfId="0" applyAlignment="1" applyFont="1">
      <alignment vertical="center"/>
    </xf>
    <xf borderId="0" fillId="15" fontId="22" numFmtId="0" xfId="0" applyAlignment="1" applyFont="1">
      <alignment vertical="center"/>
    </xf>
    <xf borderId="0" fillId="8" fontId="22" numFmtId="0" xfId="0" applyAlignment="1" applyFont="1">
      <alignment vertical="center"/>
    </xf>
    <xf borderId="0" fillId="3" fontId="30" numFmtId="0" xfId="0" applyAlignment="1" applyFont="1">
      <alignment vertical="center"/>
    </xf>
    <xf borderId="0" fillId="5" fontId="30" numFmtId="0" xfId="0" applyAlignment="1" applyFont="1">
      <alignment vertical="center"/>
    </xf>
    <xf borderId="0" fillId="15" fontId="30" numFmtId="0" xfId="0" applyAlignment="1" applyFont="1">
      <alignment vertical="center"/>
    </xf>
    <xf borderId="0" fillId="8" fontId="30" numFmtId="0" xfId="0" applyAlignment="1" applyFont="1">
      <alignment vertical="center"/>
    </xf>
    <xf borderId="0" fillId="3" fontId="26" numFmtId="0" xfId="0" applyAlignment="1" applyFont="1">
      <alignment horizontal="left" readingOrder="0" shrinkToFit="0" vertical="center" wrapText="1"/>
    </xf>
    <xf borderId="0" fillId="5" fontId="26" numFmtId="0" xfId="0" applyAlignment="1" applyFont="1">
      <alignment horizontal="left" shrinkToFit="0" vertical="center" wrapText="1"/>
    </xf>
    <xf borderId="0" fillId="15" fontId="26" numFmtId="0" xfId="0" applyAlignment="1" applyFont="1">
      <alignment horizontal="left" shrinkToFit="0" vertical="center" wrapText="1"/>
    </xf>
    <xf borderId="0" fillId="8" fontId="22" numFmtId="0" xfId="0" applyAlignment="1" applyFont="1">
      <alignment horizontal="center" vertical="center"/>
    </xf>
    <xf borderId="0" fillId="3" fontId="73" numFmtId="0" xfId="0" applyAlignment="1" applyFont="1">
      <alignment horizontal="left" shrinkToFit="0" vertical="center" wrapText="1"/>
    </xf>
    <xf borderId="0" fillId="15" fontId="2" numFmtId="0" xfId="0" applyAlignment="1" applyFont="1">
      <alignment horizontal="left" shrinkToFit="0" vertical="center" wrapText="1"/>
    </xf>
    <xf borderId="0" fillId="3" fontId="2" numFmtId="0" xfId="0" applyAlignment="1" applyFont="1">
      <alignment horizontal="left" shrinkToFit="0" vertical="center" wrapText="1"/>
    </xf>
    <xf borderId="0" fillId="2" fontId="22" numFmtId="0" xfId="0" applyAlignment="1" applyFont="1">
      <alignment horizontal="left" vertical="center"/>
    </xf>
    <xf borderId="0" fillId="3" fontId="2" numFmtId="0" xfId="0" applyAlignment="1" applyFont="1">
      <alignment horizontal="left" vertical="center"/>
    </xf>
    <xf borderId="0" fillId="18" fontId="2" numFmtId="0" xfId="0" applyAlignment="1" applyFill="1" applyFont="1">
      <alignment horizontal="center" shrinkToFit="0" vertical="center" wrapText="1"/>
    </xf>
    <xf borderId="0" fillId="3" fontId="22" numFmtId="0" xfId="0" applyAlignment="1" applyFont="1">
      <alignment horizontal="left" vertical="center"/>
    </xf>
    <xf borderId="0" fillId="15" fontId="22" numFmtId="0" xfId="0" applyAlignment="1" applyFont="1">
      <alignment horizontal="left" vertical="center"/>
    </xf>
    <xf borderId="0" fillId="18" fontId="22" numFmtId="0" xfId="0" applyAlignment="1" applyFont="1">
      <alignment horizontal="center" vertical="center"/>
    </xf>
    <xf borderId="0" fillId="7" fontId="6" numFmtId="0" xfId="0" applyAlignment="1" applyFont="1">
      <alignment horizontal="center" readingOrder="0" shrinkToFit="0" vertical="center" wrapText="1"/>
    </xf>
    <xf borderId="0" fillId="15" fontId="6" numFmtId="0" xfId="0" applyAlignment="1" applyFont="1">
      <alignment horizontal="center" readingOrder="0" shrinkToFit="0" vertical="center" wrapText="1"/>
    </xf>
    <xf borderId="0" fillId="16" fontId="6" numFmtId="0" xfId="0" applyAlignment="1" applyFont="1">
      <alignment horizontal="center" shrinkToFit="0" vertical="center" wrapText="1"/>
    </xf>
    <xf borderId="0" fillId="14" fontId="6" numFmtId="0" xfId="0" applyAlignment="1" applyFont="1">
      <alignment horizontal="center" readingOrder="0" shrinkToFit="0" vertical="center" wrapText="1"/>
    </xf>
    <xf borderId="0" fillId="19" fontId="24" numFmtId="0" xfId="0" applyAlignment="1" applyFill="1" applyFont="1">
      <alignment horizontal="center" readingOrder="0" shrinkToFit="0" vertical="center" wrapText="1"/>
    </xf>
    <xf borderId="0" fillId="0" fontId="3" numFmtId="0" xfId="0" applyAlignment="1" applyFont="1">
      <alignment horizontal="center" shrinkToFit="0" vertical="center" wrapText="1"/>
    </xf>
    <xf borderId="0" fillId="7" fontId="19" numFmtId="0" xfId="0" applyAlignment="1" applyFont="1">
      <alignment horizontal="left" readingOrder="0" shrinkToFit="0" vertical="center" wrapText="1"/>
    </xf>
    <xf borderId="0" fillId="16" fontId="19" numFmtId="0" xfId="0" applyAlignment="1" applyFont="1">
      <alignment horizontal="left" shrinkToFit="0" vertical="center" wrapText="1"/>
    </xf>
    <xf borderId="0" fillId="14" fontId="19" numFmtId="0" xfId="0" applyAlignment="1" applyFont="1">
      <alignment horizontal="left" readingOrder="0" shrinkToFit="0" vertical="center" wrapText="1"/>
    </xf>
    <xf borderId="0" fillId="19" fontId="22" numFmtId="0" xfId="0" applyAlignment="1" applyFont="1">
      <alignment shrinkToFit="0" vertical="center" wrapText="1"/>
    </xf>
    <xf borderId="0" fillId="7" fontId="74" numFmtId="0" xfId="0" applyAlignment="1" applyFont="1">
      <alignment readingOrder="0" shrinkToFit="0" wrapText="1"/>
    </xf>
    <xf borderId="0" fillId="5" fontId="75" numFmtId="0" xfId="0" applyAlignment="1" applyFont="1">
      <alignment readingOrder="0" shrinkToFit="0" wrapText="1"/>
    </xf>
    <xf borderId="0" fillId="15" fontId="76" numFmtId="0" xfId="0" applyAlignment="1" applyFont="1">
      <alignment readingOrder="0" shrinkToFit="0" wrapText="1"/>
    </xf>
    <xf borderId="0" fillId="16" fontId="77" numFmtId="0" xfId="0" applyAlignment="1" applyFont="1">
      <alignment readingOrder="0" shrinkToFit="0" wrapText="1"/>
    </xf>
    <xf borderId="0" fillId="14" fontId="78" numFmtId="0" xfId="0" applyAlignment="1" applyFont="1">
      <alignment readingOrder="0" shrinkToFit="0" wrapText="1"/>
    </xf>
    <xf borderId="0" fillId="19" fontId="79" numFmtId="0" xfId="0" applyAlignment="1" applyFont="1">
      <alignment shrinkToFit="0" vertical="center" wrapText="1"/>
    </xf>
    <xf borderId="0" fillId="0" fontId="19" numFmtId="0" xfId="0" applyAlignment="1" applyFont="1">
      <alignment horizontal="left" readingOrder="0" shrinkToFit="0" vertical="center" wrapText="1"/>
    </xf>
    <xf borderId="0" fillId="0" fontId="8" numFmtId="0" xfId="0" applyAlignment="1" applyFont="1">
      <alignment shrinkToFit="0" vertical="center" wrapText="1"/>
    </xf>
    <xf borderId="0" fillId="15" fontId="26" numFmtId="0" xfId="0" applyAlignment="1" applyFont="1">
      <alignment horizontal="center" readingOrder="0" shrinkToFit="0" vertical="center" wrapText="1"/>
    </xf>
    <xf borderId="0" fillId="16" fontId="6" numFmtId="0" xfId="0" applyAlignment="1" applyFont="1">
      <alignment horizontal="center" readingOrder="0" shrinkToFit="0" vertical="center" wrapText="1"/>
    </xf>
    <xf borderId="0" fillId="19" fontId="24" numFmtId="0" xfId="0" applyAlignment="1" applyFont="1">
      <alignment horizontal="center" shrinkToFit="0" vertical="center" wrapText="1"/>
    </xf>
    <xf borderId="0" fillId="15" fontId="8" numFmtId="0" xfId="0" applyAlignment="1" applyFont="1">
      <alignment readingOrder="0" shrinkToFit="0" vertical="center" wrapText="1"/>
    </xf>
    <xf borderId="0" fillId="16" fontId="19" numFmtId="0" xfId="0" applyAlignment="1" applyFont="1">
      <alignment horizontal="left" readingOrder="0" shrinkToFit="0" vertical="center" wrapText="1"/>
    </xf>
    <xf borderId="0" fillId="7" fontId="80" numFmtId="0" xfId="0" applyAlignment="1" applyFont="1">
      <alignment horizontal="left" readingOrder="0" shrinkToFit="0" vertical="center" wrapText="1"/>
    </xf>
    <xf borderId="0" fillId="5" fontId="19" numFmtId="0" xfId="0" applyAlignment="1" applyFont="1">
      <alignment horizontal="left" shrinkToFit="0" vertical="center" wrapText="1"/>
    </xf>
    <xf borderId="0" fillId="5" fontId="81" numFmtId="0" xfId="0" applyAlignment="1" applyFont="1">
      <alignment horizontal="left" readingOrder="0" shrinkToFit="0" vertical="center" wrapText="1"/>
    </xf>
    <xf borderId="0" fillId="15" fontId="19" numFmtId="0" xfId="0" applyAlignment="1" applyFont="1">
      <alignment horizontal="left" shrinkToFit="0" vertical="center" wrapText="1"/>
    </xf>
    <xf borderId="0" fillId="15" fontId="82" numFmtId="0" xfId="0" applyAlignment="1" applyFont="1">
      <alignment horizontal="left" readingOrder="0" shrinkToFit="0" vertical="center" wrapText="1"/>
    </xf>
    <xf borderId="0" fillId="16" fontId="83" numFmtId="0" xfId="0" applyAlignment="1" applyFont="1">
      <alignment horizontal="left" readingOrder="0" shrinkToFit="0" vertical="center" wrapText="1"/>
    </xf>
    <xf borderId="0" fillId="14" fontId="19" numFmtId="0" xfId="0" applyAlignment="1" applyFont="1">
      <alignment horizontal="left" shrinkToFit="0" vertical="center" wrapText="1"/>
    </xf>
    <xf borderId="0" fillId="14" fontId="84" numFmtId="0" xfId="0" applyAlignment="1" applyFont="1">
      <alignment horizontal="left" readingOrder="0" shrinkToFit="0" vertical="center" wrapText="1"/>
    </xf>
    <xf borderId="0" fillId="19" fontId="22" numFmtId="0" xfId="0" applyAlignment="1" applyFont="1">
      <alignment vertical="center"/>
    </xf>
    <xf borderId="0" fillId="0" fontId="22" numFmtId="0" xfId="0" applyFont="1"/>
    <xf borderId="0" fillId="0" fontId="5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i-en.dlsite.com/creator/24375/plan" TargetMode="External"/><Relationship Id="rId42" Type="http://schemas.openxmlformats.org/officeDocument/2006/relationships/hyperlink" Target="https://maidbunnycorp.github.io/UsadventureMap/" TargetMode="External"/><Relationship Id="rId41" Type="http://schemas.openxmlformats.org/officeDocument/2006/relationships/hyperlink" Target="https://ci-en.dlsite.com/creator/24375/plan" TargetMode="External"/><Relationship Id="rId44" Type="http://schemas.openxmlformats.org/officeDocument/2006/relationships/hyperlink" Target="https://maidbunnycorp.github.io/UsadventureMap/" TargetMode="External"/><Relationship Id="rId43" Type="http://schemas.openxmlformats.org/officeDocument/2006/relationships/hyperlink" Target="https://maidbunnycorp.github.io/UsadventureMap/" TargetMode="External"/><Relationship Id="rId46" Type="http://schemas.openxmlformats.org/officeDocument/2006/relationships/hyperlink" Target="https://maidbunnycorp.github.io/UsadventureMap/" TargetMode="External"/><Relationship Id="rId45" Type="http://schemas.openxmlformats.org/officeDocument/2006/relationships/hyperlink" Target="https://maidbunnycorp.github.io/UsadventureMap/" TargetMode="External"/><Relationship Id="rId1" Type="http://schemas.openxmlformats.org/officeDocument/2006/relationships/comments" Target="../comments1.xml"/><Relationship Id="rId2" Type="http://schemas.openxmlformats.org/officeDocument/2006/relationships/hyperlink" Target="https://store.steampowered.com/app/3238940/_/" TargetMode="External"/><Relationship Id="rId3" Type="http://schemas.openxmlformats.org/officeDocument/2006/relationships/hyperlink" Target="https://store.steampowered.com/app/3238940/_/" TargetMode="External"/><Relationship Id="rId4" Type="http://schemas.openxmlformats.org/officeDocument/2006/relationships/hyperlink" Target="https://discord.gg/2Bt7RWknyH" TargetMode="External"/><Relationship Id="rId9" Type="http://schemas.openxmlformats.org/officeDocument/2006/relationships/hyperlink" Target="https://store.steampowered.com/app/3238940/_/" TargetMode="External"/><Relationship Id="rId48" Type="http://schemas.openxmlformats.org/officeDocument/2006/relationships/hyperlink" Target="https://maidbunnycorp.github.io/UsadventureMap/" TargetMode="External"/><Relationship Id="rId47" Type="http://schemas.openxmlformats.org/officeDocument/2006/relationships/hyperlink" Target="https://maidbunnycorp.github.io/UsadventureMap/" TargetMode="External"/><Relationship Id="rId49" Type="http://schemas.openxmlformats.org/officeDocument/2006/relationships/hyperlink" Target="https://maidbunnycorp.github.io/UsadventureMap/" TargetMode="External"/><Relationship Id="rId5" Type="http://schemas.openxmlformats.org/officeDocument/2006/relationships/hyperlink" Target="https://nlch.itch.io/sister/devlog/879085/demo-v065a-release" TargetMode="External"/><Relationship Id="rId6" Type="http://schemas.openxmlformats.org/officeDocument/2006/relationships/hyperlink" Target="https://store.steampowered.com/app/3238940/_/" TargetMode="External"/><Relationship Id="rId7" Type="http://schemas.openxmlformats.org/officeDocument/2006/relationships/hyperlink" Target="https://store.steampowered.com/app/3238940/_/" TargetMode="External"/><Relationship Id="rId8" Type="http://schemas.openxmlformats.org/officeDocument/2006/relationships/hyperlink" Target="https://store.steampowered.com/app/3238940/_/" TargetMode="External"/><Relationship Id="rId31" Type="http://schemas.openxmlformats.org/officeDocument/2006/relationships/hyperlink" Target="https://nlch.fanbox.cc/posts/9317203" TargetMode="External"/><Relationship Id="rId30" Type="http://schemas.openxmlformats.org/officeDocument/2006/relationships/hyperlink" Target="https://nlch.fanbox.cc/posts/9317203" TargetMode="External"/><Relationship Id="rId33" Type="http://schemas.openxmlformats.org/officeDocument/2006/relationships/hyperlink" Target="https://ci-en.dlsite.com/creator/24375/plan" TargetMode="External"/><Relationship Id="rId32" Type="http://schemas.openxmlformats.org/officeDocument/2006/relationships/hyperlink" Target="https://nlch.fanbox.cc/posts/9317203" TargetMode="External"/><Relationship Id="rId35" Type="http://schemas.openxmlformats.org/officeDocument/2006/relationships/hyperlink" Target="https://ci-en.dlsite.com/creator/24375/plan" TargetMode="External"/><Relationship Id="rId34" Type="http://schemas.openxmlformats.org/officeDocument/2006/relationships/hyperlink" Target="https://ci-en.dlsite.com/creator/24375/plan" TargetMode="External"/><Relationship Id="rId37" Type="http://schemas.openxmlformats.org/officeDocument/2006/relationships/hyperlink" Target="https://ci-en.dlsite.com/creator/24375/plan" TargetMode="External"/><Relationship Id="rId36" Type="http://schemas.openxmlformats.org/officeDocument/2006/relationships/hyperlink" Target="https://ci-en.dlsite.com/creator/24375/plan" TargetMode="External"/><Relationship Id="rId39" Type="http://schemas.openxmlformats.org/officeDocument/2006/relationships/hyperlink" Target="https://ci-en.dlsite.com/creator/24375/plan" TargetMode="External"/><Relationship Id="rId38" Type="http://schemas.openxmlformats.org/officeDocument/2006/relationships/hyperlink" Target="https://ci-en.dlsite.com/creator/24375/plan" TargetMode="External"/><Relationship Id="rId20" Type="http://schemas.openxmlformats.org/officeDocument/2006/relationships/hyperlink" Target="https://nlch.itch.io/sister/devlog/879085/demo-v065a-release" TargetMode="External"/><Relationship Id="rId22" Type="http://schemas.openxmlformats.org/officeDocument/2006/relationships/hyperlink" Target="https://nlch.itch.io/sister/devlog/879085/demo-v065a-release" TargetMode="External"/><Relationship Id="rId21" Type="http://schemas.openxmlformats.org/officeDocument/2006/relationships/hyperlink" Target="https://nlch.itch.io/sister/devlog/879085/demo-v065a-release" TargetMode="External"/><Relationship Id="rId24" Type="http://schemas.openxmlformats.org/officeDocument/2006/relationships/hyperlink" Target="https://nlch.fanbox.cc/posts/9317203" TargetMode="External"/><Relationship Id="rId23" Type="http://schemas.openxmlformats.org/officeDocument/2006/relationships/hyperlink" Target="https://nlch.itch.io/sister/devlog/879085/demo-v065a-release" TargetMode="External"/><Relationship Id="rId26" Type="http://schemas.openxmlformats.org/officeDocument/2006/relationships/hyperlink" Target="https://ci-en.dlsite.com/creator/24375/plan" TargetMode="External"/><Relationship Id="rId25" Type="http://schemas.openxmlformats.org/officeDocument/2006/relationships/hyperlink" Target="https://ci-en.dlsite.com/creator/24375/plan" TargetMode="External"/><Relationship Id="rId28" Type="http://schemas.openxmlformats.org/officeDocument/2006/relationships/hyperlink" Target="https://nlch.fanbox.cc/posts/9317203" TargetMode="External"/><Relationship Id="rId27" Type="http://schemas.openxmlformats.org/officeDocument/2006/relationships/hyperlink" Target="https://ci-en.dlsite.com/creator/24375/plan" TargetMode="External"/><Relationship Id="rId29" Type="http://schemas.openxmlformats.org/officeDocument/2006/relationships/hyperlink" Target="https://nlch.fanbox.cc/posts/9317203" TargetMode="External"/><Relationship Id="rId51" Type="http://schemas.openxmlformats.org/officeDocument/2006/relationships/hyperlink" Target="https://home.gamer.com.tw/artwork.php?sn=6032493" TargetMode="External"/><Relationship Id="rId50" Type="http://schemas.openxmlformats.org/officeDocument/2006/relationships/hyperlink" Target="https://maidbunnycorp.github.io/UsadventureMap/" TargetMode="External"/><Relationship Id="rId53" Type="http://schemas.openxmlformats.org/officeDocument/2006/relationships/vmlDrawing" Target="../drawings/vmlDrawing1.vml"/><Relationship Id="rId52" Type="http://schemas.openxmlformats.org/officeDocument/2006/relationships/drawing" Target="../drawings/drawing1.xml"/><Relationship Id="rId11" Type="http://schemas.openxmlformats.org/officeDocument/2006/relationships/hyperlink" Target="https://store.steampowered.com/app/3238940/_/" TargetMode="External"/><Relationship Id="rId10" Type="http://schemas.openxmlformats.org/officeDocument/2006/relationships/hyperlink" Target="https://store.steampowered.com/app/3238940/_/" TargetMode="External"/><Relationship Id="rId13" Type="http://schemas.openxmlformats.org/officeDocument/2006/relationships/hyperlink" Target="https://store.steampowered.com/app/3238940/_/" TargetMode="External"/><Relationship Id="rId12" Type="http://schemas.openxmlformats.org/officeDocument/2006/relationships/hyperlink" Target="https://store.steampowered.com/app/3238940/_/" TargetMode="External"/><Relationship Id="rId15" Type="http://schemas.openxmlformats.org/officeDocument/2006/relationships/hyperlink" Target="https://nlch.itch.io/sister/devlog/879085/demo-v065a-release" TargetMode="External"/><Relationship Id="rId14" Type="http://schemas.openxmlformats.org/officeDocument/2006/relationships/hyperlink" Target="https://store.steampowered.com/app/3238940/_/" TargetMode="External"/><Relationship Id="rId17" Type="http://schemas.openxmlformats.org/officeDocument/2006/relationships/hyperlink" Target="https://nlch.itch.io/sister/devlog/879085/demo-v065a-release" TargetMode="External"/><Relationship Id="rId16" Type="http://schemas.openxmlformats.org/officeDocument/2006/relationships/hyperlink" Target="https://nlch.itch.io/sister/devlog/879085/demo-v065a-release" TargetMode="External"/><Relationship Id="rId19" Type="http://schemas.openxmlformats.org/officeDocument/2006/relationships/hyperlink" Target="https://nlch.itch.io/sister/devlog/879085/demo-v065a-release" TargetMode="External"/><Relationship Id="rId18" Type="http://schemas.openxmlformats.org/officeDocument/2006/relationships/hyperlink" Target="https://nlch.itch.io/sister/devlog/879085/demo-v065a-release"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40" Type="http://schemas.openxmlformats.org/officeDocument/2006/relationships/hyperlink" Target="https://imgse.com/i/pEx13Gj" TargetMode="External"/><Relationship Id="rId42" Type="http://schemas.openxmlformats.org/officeDocument/2006/relationships/hyperlink" Target="https://imgse.com/i/pEB5Tl4" TargetMode="External"/><Relationship Id="rId41" Type="http://schemas.openxmlformats.org/officeDocument/2006/relationships/hyperlink" Target="https://imgse.com/i/pE0yAsO" TargetMode="External"/><Relationship Id="rId44" Type="http://schemas.openxmlformats.org/officeDocument/2006/relationships/hyperlink" Target="https://imgse.com/i/pE0y9iR" TargetMode="External"/><Relationship Id="rId43" Type="http://schemas.openxmlformats.org/officeDocument/2006/relationships/hyperlink" Target="https://imgse.com/i/pEx18Rs" TargetMode="External"/><Relationship Id="rId46" Type="http://schemas.openxmlformats.org/officeDocument/2006/relationships/hyperlink" Target="https://postimg.cc/QH7TtxRV" TargetMode="External"/><Relationship Id="rId45" Type="http://schemas.openxmlformats.org/officeDocument/2006/relationships/hyperlink" Target="https://postimg.cc/pyy2BGgq" TargetMode="External"/><Relationship Id="rId107" Type="http://schemas.openxmlformats.org/officeDocument/2006/relationships/hyperlink" Target="https://imgse.com/i/pEqg4aR" TargetMode="External"/><Relationship Id="rId106" Type="http://schemas.openxmlformats.org/officeDocument/2006/relationships/hyperlink" Target="https://postimg.cc/ppmQxPkL" TargetMode="External"/><Relationship Id="rId105" Type="http://schemas.openxmlformats.org/officeDocument/2006/relationships/hyperlink" Target="https://postimg.cc/cgMdj2jt" TargetMode="External"/><Relationship Id="rId104" Type="http://schemas.openxmlformats.org/officeDocument/2006/relationships/hyperlink" Target="https://postimg.cc/PL1Hp0dF" TargetMode="External"/><Relationship Id="rId109" Type="http://schemas.openxmlformats.org/officeDocument/2006/relationships/hyperlink" Target="https://postimg.cc/47bXMqMK" TargetMode="External"/><Relationship Id="rId108" Type="http://schemas.openxmlformats.org/officeDocument/2006/relationships/hyperlink" Target="https://imgse.com/i/pEqgRr4" TargetMode="External"/><Relationship Id="rId48" Type="http://schemas.openxmlformats.org/officeDocument/2006/relationships/hyperlink" Target="https://postimg.cc/6y88P59M" TargetMode="External"/><Relationship Id="rId47" Type="http://schemas.openxmlformats.org/officeDocument/2006/relationships/hyperlink" Target="https://postimg.cc/CRRNMgwB" TargetMode="External"/><Relationship Id="rId49" Type="http://schemas.openxmlformats.org/officeDocument/2006/relationships/hyperlink" Target="https://postimg.cc/CnkxFdzd" TargetMode="External"/><Relationship Id="rId103" Type="http://schemas.openxmlformats.org/officeDocument/2006/relationships/hyperlink" Target="https://imgse.com/i/pVkOWp8" TargetMode="External"/><Relationship Id="rId102" Type="http://schemas.openxmlformats.org/officeDocument/2006/relationships/hyperlink" Target="https://imgse.com/i/pVkOf1S" TargetMode="External"/><Relationship Id="rId101" Type="http://schemas.openxmlformats.org/officeDocument/2006/relationships/hyperlink" Target="https://imgse.com/i/pVkOgtP" TargetMode="External"/><Relationship Id="rId100" Type="http://schemas.openxmlformats.org/officeDocument/2006/relationships/hyperlink" Target="https://imgse.com/i/pVkO2ff" TargetMode="External"/><Relationship Id="rId31" Type="http://schemas.openxmlformats.org/officeDocument/2006/relationships/hyperlink" Target="https://imgse.com/i/pEB6doQ" TargetMode="External"/><Relationship Id="rId30" Type="http://schemas.openxmlformats.org/officeDocument/2006/relationships/hyperlink" Target="https://imgse.com/i/pEB60ij" TargetMode="External"/><Relationship Id="rId33" Type="http://schemas.openxmlformats.org/officeDocument/2006/relationships/hyperlink" Target="https://postimg.cc/4mc9dNrd" TargetMode="External"/><Relationship Id="rId32" Type="http://schemas.openxmlformats.org/officeDocument/2006/relationships/hyperlink" Target="https://postimg.cc/KRTMzvdv" TargetMode="External"/><Relationship Id="rId35" Type="http://schemas.openxmlformats.org/officeDocument/2006/relationships/hyperlink" Target="https://postimg.cc/bZTwBtnF" TargetMode="External"/><Relationship Id="rId34" Type="http://schemas.openxmlformats.org/officeDocument/2006/relationships/hyperlink" Target="https://postimg.cc/4mc9dNrd" TargetMode="External"/><Relationship Id="rId37" Type="http://schemas.openxmlformats.org/officeDocument/2006/relationships/hyperlink" Target="https://postimg.cc/CdNrdMjD" TargetMode="External"/><Relationship Id="rId36" Type="http://schemas.openxmlformats.org/officeDocument/2006/relationships/hyperlink" Target="https://postimg.cc/nXTP5FLc" TargetMode="External"/><Relationship Id="rId39" Type="http://schemas.openxmlformats.org/officeDocument/2006/relationships/hyperlink" Target="https://imgse.com/i/pEB5OTx" TargetMode="External"/><Relationship Id="rId38" Type="http://schemas.openxmlformats.org/officeDocument/2006/relationships/hyperlink" Target="https://postimg.cc/HV0Yry6t" TargetMode="External"/><Relationship Id="rId20" Type="http://schemas.openxmlformats.org/officeDocument/2006/relationships/hyperlink" Target="https://postimg.cc/MvBQTKhy" TargetMode="External"/><Relationship Id="rId22" Type="http://schemas.openxmlformats.org/officeDocument/2006/relationships/hyperlink" Target="https://postimg.cc/yDF8qD2L" TargetMode="External"/><Relationship Id="rId21" Type="http://schemas.openxmlformats.org/officeDocument/2006/relationships/hyperlink" Target="https://postimg.cc/mPKSt5r0" TargetMode="External"/><Relationship Id="rId24" Type="http://schemas.openxmlformats.org/officeDocument/2006/relationships/hyperlink" Target="https://postimg.cc/k2cgpbSY" TargetMode="External"/><Relationship Id="rId23" Type="http://schemas.openxmlformats.org/officeDocument/2006/relationships/hyperlink" Target="https://postimg.cc/bZTwBtnF" TargetMode="External"/><Relationship Id="rId26" Type="http://schemas.openxmlformats.org/officeDocument/2006/relationships/hyperlink" Target="https://imgse.com/i/pEB5L01" TargetMode="External"/><Relationship Id="rId25" Type="http://schemas.openxmlformats.org/officeDocument/2006/relationships/hyperlink" Target="https://postimg.cc/VJRkVCtT" TargetMode="External"/><Relationship Id="rId28" Type="http://schemas.openxmlformats.org/officeDocument/2006/relationships/hyperlink" Target="https://imgse.com/i/pEB6BJs" TargetMode="External"/><Relationship Id="rId27" Type="http://schemas.openxmlformats.org/officeDocument/2006/relationships/hyperlink" Target="https://imgse.com/i/pEB6DWn" TargetMode="External"/><Relationship Id="rId29" Type="http://schemas.openxmlformats.org/officeDocument/2006/relationships/hyperlink" Target="https://imgse.com/i/pEB55fU" TargetMode="External"/><Relationship Id="rId95" Type="http://schemas.openxmlformats.org/officeDocument/2006/relationships/hyperlink" Target="https://imgse.com/i/pEcJemQ" TargetMode="External"/><Relationship Id="rId94" Type="http://schemas.openxmlformats.org/officeDocument/2006/relationships/hyperlink" Target="https://postimg.cc/Pp6Zs7wP" TargetMode="External"/><Relationship Id="rId97" Type="http://schemas.openxmlformats.org/officeDocument/2006/relationships/hyperlink" Target="https://postimg.cc/B823LRJk" TargetMode="External"/><Relationship Id="rId96" Type="http://schemas.openxmlformats.org/officeDocument/2006/relationships/hyperlink" Target="https://imgse.com/i/pEcJE6S" TargetMode="External"/><Relationship Id="rId11" Type="http://schemas.openxmlformats.org/officeDocument/2006/relationships/hyperlink" Target="https://imgse.com/i/pErxc2d" TargetMode="External"/><Relationship Id="rId99" Type="http://schemas.openxmlformats.org/officeDocument/2006/relationships/hyperlink" Target="https://postimg.cc/56X51fpt" TargetMode="External"/><Relationship Id="rId10" Type="http://schemas.openxmlformats.org/officeDocument/2006/relationships/hyperlink" Target="https://imgse.com/i/pErxRKI" TargetMode="External"/><Relationship Id="rId98" Type="http://schemas.openxmlformats.org/officeDocument/2006/relationships/hyperlink" Target="https://postimg.cc/0MtmR4w8" TargetMode="External"/><Relationship Id="rId13" Type="http://schemas.openxmlformats.org/officeDocument/2006/relationships/hyperlink" Target="https://postimg.cc/680pmvRX" TargetMode="External"/><Relationship Id="rId12" Type="http://schemas.openxmlformats.org/officeDocument/2006/relationships/hyperlink" Target="https://postimg.cc/2qyj101p" TargetMode="External"/><Relationship Id="rId91" Type="http://schemas.openxmlformats.org/officeDocument/2006/relationships/hyperlink" Target="https://imgse.com/i/pEcJVOg" TargetMode="External"/><Relationship Id="rId90" Type="http://schemas.openxmlformats.org/officeDocument/2006/relationships/hyperlink" Target="https://imgse.com/i/pE62RPK" TargetMode="External"/><Relationship Id="rId93" Type="http://schemas.openxmlformats.org/officeDocument/2006/relationships/hyperlink" Target="https://postimg.cc/GBvR86c0" TargetMode="External"/><Relationship Id="rId92" Type="http://schemas.openxmlformats.org/officeDocument/2006/relationships/hyperlink" Target="https://postimg.cc/sB5zQb3m" TargetMode="External"/><Relationship Id="rId15" Type="http://schemas.openxmlformats.org/officeDocument/2006/relationships/hyperlink" Target="https://postimg.cc/WDG6KS81" TargetMode="External"/><Relationship Id="rId110" Type="http://schemas.openxmlformats.org/officeDocument/2006/relationships/drawing" Target="../drawings/drawing5.xml"/><Relationship Id="rId14" Type="http://schemas.openxmlformats.org/officeDocument/2006/relationships/hyperlink" Target="https://postimg.cc/WdSHKN41" TargetMode="External"/><Relationship Id="rId17" Type="http://schemas.openxmlformats.org/officeDocument/2006/relationships/hyperlink" Target="https://imgse.com/i/pEr9OPS" TargetMode="External"/><Relationship Id="rId16" Type="http://schemas.openxmlformats.org/officeDocument/2006/relationships/hyperlink" Target="https://imgse.com/i/pEr9q58" TargetMode="External"/><Relationship Id="rId19" Type="http://schemas.openxmlformats.org/officeDocument/2006/relationships/hyperlink" Target="https://imgse.com/i/pEr9bUf" TargetMode="External"/><Relationship Id="rId18" Type="http://schemas.openxmlformats.org/officeDocument/2006/relationships/hyperlink" Target="https://imgse.com/i/pEr9HVP" TargetMode="External"/><Relationship Id="rId84" Type="http://schemas.openxmlformats.org/officeDocument/2006/relationships/hyperlink" Target="https://imgse.com/i/pE62W8O" TargetMode="External"/><Relationship Id="rId83" Type="http://schemas.openxmlformats.org/officeDocument/2006/relationships/hyperlink" Target="https://imgse.com/i/pE62hxe" TargetMode="External"/><Relationship Id="rId86" Type="http://schemas.openxmlformats.org/officeDocument/2006/relationships/hyperlink" Target="https://postimg.cc/BLhD9zKf" TargetMode="External"/><Relationship Id="rId85" Type="http://schemas.openxmlformats.org/officeDocument/2006/relationships/hyperlink" Target="https://postimg.cc/7GMqcdcn" TargetMode="External"/><Relationship Id="rId88" Type="http://schemas.openxmlformats.org/officeDocument/2006/relationships/hyperlink" Target="https://imgse.com/i/pE62f2D" TargetMode="External"/><Relationship Id="rId87" Type="http://schemas.openxmlformats.org/officeDocument/2006/relationships/hyperlink" Target="https://postimg.cc/WF9rLyk3" TargetMode="External"/><Relationship Id="rId89" Type="http://schemas.openxmlformats.org/officeDocument/2006/relationships/hyperlink" Target="https://imgse.com/i/pEcJmwj" TargetMode="External"/><Relationship Id="rId80" Type="http://schemas.openxmlformats.org/officeDocument/2006/relationships/hyperlink" Target="https://postimg.cc/zbsPKfmm" TargetMode="External"/><Relationship Id="rId82" Type="http://schemas.openxmlformats.org/officeDocument/2006/relationships/hyperlink" Target="https://postimg.cc/LnGt8G0M" TargetMode="External"/><Relationship Id="rId81" Type="http://schemas.openxmlformats.org/officeDocument/2006/relationships/hyperlink" Target="https://postimg.cc/5jBJNhs0" TargetMode="External"/><Relationship Id="rId1" Type="http://schemas.openxmlformats.org/officeDocument/2006/relationships/hyperlink" Target="https://maidbunnycorp.github.io/UsadventureMap/" TargetMode="External"/><Relationship Id="rId2" Type="http://schemas.openxmlformats.org/officeDocument/2006/relationships/hyperlink" Target="https://maidbunnycorp.github.io/UsadventureMap/" TargetMode="External"/><Relationship Id="rId3" Type="http://schemas.openxmlformats.org/officeDocument/2006/relationships/hyperlink" Target="https://maidbunnycorp.github.io/UsadventureMap/" TargetMode="External"/><Relationship Id="rId4" Type="http://schemas.openxmlformats.org/officeDocument/2006/relationships/hyperlink" Target="https://maidbunnycorp.github.io/UsadventureMap/" TargetMode="External"/><Relationship Id="rId9" Type="http://schemas.openxmlformats.org/officeDocument/2006/relationships/hyperlink" Target="https://postimg.cc/30RXkhTg" TargetMode="External"/><Relationship Id="rId5" Type="http://schemas.openxmlformats.org/officeDocument/2006/relationships/hyperlink" Target="https://postimg.cc/BP6Tj305" TargetMode="External"/><Relationship Id="rId6" Type="http://schemas.openxmlformats.org/officeDocument/2006/relationships/hyperlink" Target="https://imgse.com/i/pErxWrt" TargetMode="External"/><Relationship Id="rId7" Type="http://schemas.openxmlformats.org/officeDocument/2006/relationships/hyperlink" Target="https://imgse.com/i/pErxgxA" TargetMode="External"/><Relationship Id="rId8" Type="http://schemas.openxmlformats.org/officeDocument/2006/relationships/hyperlink" Target="https://postimg.cc/mckZPmPG" TargetMode="External"/><Relationship Id="rId73" Type="http://schemas.openxmlformats.org/officeDocument/2006/relationships/hyperlink" Target="https://postimg.cc/JsMvptsM" TargetMode="External"/><Relationship Id="rId72" Type="http://schemas.openxmlformats.org/officeDocument/2006/relationships/hyperlink" Target="https://postimg.cc/Hcm3sFnx" TargetMode="External"/><Relationship Id="rId75" Type="http://schemas.openxmlformats.org/officeDocument/2006/relationships/hyperlink" Target="https://postimg.cc/YhQH0J89" TargetMode="External"/><Relationship Id="rId74" Type="http://schemas.openxmlformats.org/officeDocument/2006/relationships/hyperlink" Target="https://postimg.cc/tnNGS6sB" TargetMode="External"/><Relationship Id="rId77" Type="http://schemas.openxmlformats.org/officeDocument/2006/relationships/hyperlink" Target="https://postimg.cc/NyPnG4pj" TargetMode="External"/><Relationship Id="rId76" Type="http://schemas.openxmlformats.org/officeDocument/2006/relationships/hyperlink" Target="https://postimg.cc/9zKRdZP6" TargetMode="External"/><Relationship Id="rId79" Type="http://schemas.openxmlformats.org/officeDocument/2006/relationships/hyperlink" Target="https://postimg.cc/z36bCKS5" TargetMode="External"/><Relationship Id="rId78" Type="http://schemas.openxmlformats.org/officeDocument/2006/relationships/hyperlink" Target="https://postimg.cc/vxtwqn4P" TargetMode="External"/><Relationship Id="rId71" Type="http://schemas.openxmlformats.org/officeDocument/2006/relationships/hyperlink" Target="https://postimg.cc/nMgj4BK6" TargetMode="External"/><Relationship Id="rId70" Type="http://schemas.openxmlformats.org/officeDocument/2006/relationships/hyperlink" Target="https://postimg.cc/dhhBQYJZ" TargetMode="External"/><Relationship Id="rId62" Type="http://schemas.openxmlformats.org/officeDocument/2006/relationships/hyperlink" Target="https://postimg.cc/z36bCKSm" TargetMode="External"/><Relationship Id="rId61" Type="http://schemas.openxmlformats.org/officeDocument/2006/relationships/hyperlink" Target="https://postimg.cc/68806XB7" TargetMode="External"/><Relationship Id="rId64" Type="http://schemas.openxmlformats.org/officeDocument/2006/relationships/hyperlink" Target="https://postimg.cc/VS6VPxS1" TargetMode="External"/><Relationship Id="rId63" Type="http://schemas.openxmlformats.org/officeDocument/2006/relationships/hyperlink" Target="https://postimg.cc/LYSv6G55" TargetMode="External"/><Relationship Id="rId66" Type="http://schemas.openxmlformats.org/officeDocument/2006/relationships/hyperlink" Target="https://imgse.com/i/pEyjMQA" TargetMode="External"/><Relationship Id="rId65" Type="http://schemas.openxmlformats.org/officeDocument/2006/relationships/hyperlink" Target="https://imgse.com/i/pEyjlLt" TargetMode="External"/><Relationship Id="rId68" Type="http://schemas.openxmlformats.org/officeDocument/2006/relationships/hyperlink" Target="https://postimg.cc/CnspP8Rm" TargetMode="External"/><Relationship Id="rId67" Type="http://schemas.openxmlformats.org/officeDocument/2006/relationships/hyperlink" Target="https://imgse.com/i/pEBpcY4" TargetMode="External"/><Relationship Id="rId60" Type="http://schemas.openxmlformats.org/officeDocument/2006/relationships/hyperlink" Target="https://postimg.cc/5XX39Vfy" TargetMode="External"/><Relationship Id="rId69" Type="http://schemas.openxmlformats.org/officeDocument/2006/relationships/hyperlink" Target="https://postimg.cc/568VyZpy" TargetMode="External"/><Relationship Id="rId51" Type="http://schemas.openxmlformats.org/officeDocument/2006/relationships/hyperlink" Target="https://postimg.cc/9D1nSmf5" TargetMode="External"/><Relationship Id="rId50" Type="http://schemas.openxmlformats.org/officeDocument/2006/relationships/hyperlink" Target="https://postimg.cc/YjZG6YND" TargetMode="External"/><Relationship Id="rId53" Type="http://schemas.openxmlformats.org/officeDocument/2006/relationships/hyperlink" Target="https://imgse.com/i/pEyjQsI" TargetMode="External"/><Relationship Id="rId52" Type="http://schemas.openxmlformats.org/officeDocument/2006/relationships/hyperlink" Target="https://postimg.cc/1gtj1kg1" TargetMode="External"/><Relationship Id="rId55" Type="http://schemas.openxmlformats.org/officeDocument/2006/relationships/hyperlink" Target="https://imgse.com/i/pEBpRp9" TargetMode="External"/><Relationship Id="rId54" Type="http://schemas.openxmlformats.org/officeDocument/2006/relationships/hyperlink" Target="https://imgse.com/i/pEBpgfJ" TargetMode="External"/><Relationship Id="rId57" Type="http://schemas.openxmlformats.org/officeDocument/2006/relationships/hyperlink" Target="https://imgse.com/i/pEBp6kF" TargetMode="External"/><Relationship Id="rId56" Type="http://schemas.openxmlformats.org/officeDocument/2006/relationships/hyperlink" Target="https://imgse.com/i/pEyjuzd" TargetMode="External"/><Relationship Id="rId59" Type="http://schemas.openxmlformats.org/officeDocument/2006/relationships/hyperlink" Target="https://postimg.cc/JHLW5xzW" TargetMode="External"/><Relationship Id="rId58" Type="http://schemas.openxmlformats.org/officeDocument/2006/relationships/hyperlink" Target="https://postimg.cc/fJcmwRB3"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hyperlink" Target="https://discord.gg/2Bt7RWknyH" TargetMode="External"/><Relationship Id="rId2" Type="http://schemas.openxmlformats.org/officeDocument/2006/relationships/hyperlink" Target="https://www.youtube.com/@niliiuchahui" TargetMode="External"/><Relationship Id="rId3" Type="http://schemas.openxmlformats.org/officeDocument/2006/relationships/hyperlink" Target="https://space.bilibili.com/3546870175500719" TargetMode="External"/><Relationship Id="rId4" Type="http://schemas.openxmlformats.org/officeDocument/2006/relationships/hyperlink" Target="https://www.youtube.com/@akichyan1006" TargetMode="External"/><Relationship Id="rId5" Type="http://schemas.openxmlformats.org/officeDocument/2006/relationships/hyperlink" Target="https://space.bilibili.com/37265298" TargetMode="External"/><Relationship Id="rId6" Type="http://schemas.openxmlformats.org/officeDocument/2006/relationships/hyperlink" Target="https://www.youtube.com/@%E5%AD%98%E5%9C%A8%E6%84%9F%E5%A6%B9%E5%A6%B9%E7%94%9F%E6%B4%BB" TargetMode="External"/><Relationship Id="rId7"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youtube.com/shorts/xnpRC9QNiiE" TargetMode="External"/><Relationship Id="rId2" Type="http://schemas.openxmlformats.org/officeDocument/2006/relationships/hyperlink" Target="https://www.youtube.com/shorts/xnpRC9QNiiE" TargetMode="External"/><Relationship Id="rId3" Type="http://schemas.openxmlformats.org/officeDocument/2006/relationships/hyperlink" Target="https://www.youtube.com/shorts/xnpRC9QNiiE" TargetMode="External"/><Relationship Id="rId4" Type="http://schemas.openxmlformats.org/officeDocument/2006/relationships/hyperlink" Target="https://www.youtube.com/shorts/xnpRC9QNiiE" TargetMode="External"/><Relationship Id="rId5" Type="http://schemas.openxmlformats.org/officeDocument/2006/relationships/hyperlink" Target="https://www.youtube.com/shorts/xnpRC9QNiiE" TargetMode="External"/><Relationship Id="rId6" Type="http://schemas.openxmlformats.org/officeDocument/2006/relationships/hyperlink" Target="https://www.youtube.com/shorts/xnpRC9QNiiE"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youtu.be/9NSNcMB5M2o?si=_nR2RHRkdzElWJix" TargetMode="External"/><Relationship Id="rId2" Type="http://schemas.openxmlformats.org/officeDocument/2006/relationships/hyperlink" Target="https://www.youtube.com/watch?v=9NSNcMB5M2o&amp;ab_channel=gabrielb" TargetMode="External"/><Relationship Id="rId3" Type="http://schemas.openxmlformats.org/officeDocument/2006/relationships/hyperlink" Target="https://www.youtube.com/watch?v=9NSNcMB5M2o&amp;ab_channel=gabrielb" TargetMode="External"/><Relationship Id="rId4" Type="http://schemas.openxmlformats.org/officeDocument/2006/relationships/hyperlink" Target="https://youtu.be/9NSNcMB5M2o?si=_nR2RHRkdzElWJix" TargetMode="External"/><Relationship Id="rId5" Type="http://schemas.openxmlformats.org/officeDocument/2006/relationships/hyperlink" Target="https://www.youtube.com/watch?v=akpsRsXX1r0" TargetMode="External"/><Relationship Id="rId6"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7.63"/>
    <col customWidth="1" min="4" max="4" width="47.75"/>
    <col customWidth="1" min="5" max="9" width="47.63"/>
    <col customWidth="1" min="10" max="23" width="44.38"/>
  </cols>
  <sheetData>
    <row r="1" ht="72.0" customHeight="1">
      <c r="A1" s="1" t="s">
        <v>0</v>
      </c>
      <c r="B1" s="2"/>
      <c r="C1" s="3"/>
      <c r="D1" s="2"/>
      <c r="E1" s="4"/>
      <c r="F1" s="5"/>
      <c r="G1" s="4"/>
      <c r="H1" s="6" t="s">
        <v>1</v>
      </c>
      <c r="I1" s="7"/>
      <c r="J1" s="8"/>
      <c r="K1" s="8"/>
      <c r="L1" s="8"/>
      <c r="M1" s="8"/>
      <c r="N1" s="8"/>
      <c r="O1" s="8"/>
      <c r="P1" s="8"/>
      <c r="Q1" s="8"/>
      <c r="R1" s="8"/>
      <c r="S1" s="8"/>
      <c r="T1" s="8"/>
      <c r="U1" s="8"/>
      <c r="V1" s="8"/>
      <c r="W1" s="8"/>
    </row>
    <row r="2" ht="156.75" customHeight="1">
      <c r="A2" s="3" t="s">
        <v>2</v>
      </c>
      <c r="B2" s="5" t="str">
        <f>IFERROR(__xludf.DUMMYFUNCTION("GOOGLETRANSLATE(A2,""zh-tw"",""ja"")"),"ゲーム内攻略アイテム「冒険のヒント」については、ウェブサイトリンクやマップなどの外部リンクを開くことができないため、各種リンク機能を正しくご利用いただくために、通常のウェブサイトからアクセスすることをお勧めします。
（一部の地域では、正しくアクセスするためにVPNが必要になる場合があります。）")</f>
        <v>ゲーム内攻略アイテム「冒険のヒント」については、ウェブサイトリンクやマップなどの外部リンクを開くことができないため、各種リンク機能を正しくご利用いただくために、通常のウェブサイトからアクセスすることをお勧めします。
（一部の地域では、正しくアクセスするためにVPNが必要になる場合があります。）</v>
      </c>
      <c r="C2" s="9" t="str">
        <f>IFERROR(__xludf.DUMMYFUNCTION("GOOGLETRANSLATE(A2,""zh-tw"",""en"")"),"Regarding the in-game strategy item ""Adventurer's Tips,"" since it cannot open external links such as website links/maps, players who need it are advised to use a regular website to access this guide to use its various link functions properly.
(In some "&amp;"regions, a VPN may still be required to access it correctly).")</f>
        <v>Regarding the in-game strategy item "Adventurer's Tips," since it cannot open external links such as website links/maps, players who need it are advised to use a regular website to access this guide to use its various link functions properly.
(In some regions, a VPN may still be required to access it correctly).</v>
      </c>
      <c r="D2" s="2" t="str">
        <f>IFERROR(__xludf.DUMMYFUNCTION("GOOGLETRANSLATE(A2,""zh-tw"",""zh"")"),"关于游戏内的攻略道具""冒险者心得""，因为无法开启网站连结/地图之类的外连结，因此建议有需求的玩家们使用一般网站开启本份攻略，才能正常使用各个连结功能。
(部分地区仍然需要使用VPN至其他地区，才能正常开启)。")</f>
        <v>关于游戏内的攻略道具"冒险者心得"，因为无法开启网站连结/地图之类的外连结，因此建议有需求的玩家们使用一般网站开启本份攻略，才能正常使用各个连结功能。
(部分地区仍然需要使用VPN至其他地区，才能正常开启)。</v>
      </c>
      <c r="E2" s="4" t="str">
        <f>IFERROR(__xludf.DUMMYFUNCTION("GOOGLETRANSLATE(A2,""zh-tw"",""es-MX"")"),"En cuanto al objeto estratégico del juego «Consejos del aventurero», dado que no puede abrir enlaces externos como enlaces a sitios web o mapas, se recomienda a los jugadores que lo necesiten que utilicen un sitio web convencional para acceder a esta guía"&amp;" y usar correctamente sus diversas funciones de enlace.
(En algunas regiones, puede que se requiera una VPN para acceder correctamente).")</f>
        <v>En cuanto al objeto estratégico del juego «Consejos del aventurero», dado que no puede abrir enlaces externos como enlaces a sitios web o mapas, se recomienda a los jugadores que lo necesiten que utilicen un sitio web convencional para acceder a esta guía y usar correctamente sus diversas funciones de enlace.
(En algunas regiones, puede que se requiera una VPN para acceder correctamente).</v>
      </c>
      <c r="F2" s="5" t="str">
        <f>IFERROR(__xludf.DUMMYFUNCTION("GOOGLETRANSLATE(A2,""zh-tw"",""KO"")"),"게임 내 전략 아이템 ""모험가의 팁""은 웹사이트 링크/지도 등 외부 링크를 열 수 없으므로, 해당 아이템이 필요한 플레이어는 다양한 링크 기능을 제대로 사용하기 위해 일반 웹사이트를 통해 이 가이드에 접속하시기 바랍니다.
(일부 지역에서는 VPN 연결이 필요할 수 있습니다.)")</f>
        <v>게임 내 전략 아이템 "모험가의 팁"은 웹사이트 링크/지도 등 외부 링크를 열 수 없으므로, 해당 아이템이 필요한 플레이어는 다양한 링크 기능을 제대로 사용하기 위해 일반 웹사이트를 통해 이 가이드에 접속하시기 바랍니다.
(일부 지역에서는 VPN 연결이 필요할 수 있습니다.)</v>
      </c>
      <c r="G2" s="4" t="str">
        <f>IFERROR(__xludf.DUMMYFUNCTION("GOOGLETRANSLATE(A2,""zh-tw"",""RU"")"),"Что касается внутриигрового стратегического пункта «Советы искателя приключений», то, поскольку он не может открывать внешние ссылки, такие как ссылки на веб-сайты/карты, игрокам, которым он необходим, рекомендуется использовать обычный веб-сайт для досту"&amp;"па к этому руководству, чтобы использовать различные функции ссылок.
(В некоторых регионах для корректного доступа к нему может потребоваться VPN).")</f>
        <v>Что касается внутриигрового стратегического пункта «Советы искателя приключений», то, поскольку он не может открывать внешние ссылки, такие как ссылки на веб-сайты/карты, игрокам, которым он необходим, рекомендуется использовать обычный веб-сайт для доступа к этому руководству, чтобы использовать различные функции ссылок.
(В некоторых регионах для корректного доступа к нему может потребоваться VPN).</v>
      </c>
      <c r="H2" s="4" t="str">
        <f>IFERROR(__xludf.DUMMYFUNCTION("GOOGLETRANSLATE(A2,""zh-tw"",""DE"")"),"Da der Strategie-Gegenstand „Abenteurertipps“ im Spiel keine externen Links wie Webseiten oder Karten öffnen kann, wird Spielern, die ihn benötigen, empfohlen, für den Zugriff auf diesen Leitfaden eine reguläre Webseite zu verwenden, um die verschiedenen "&amp;"Linkfunktionen korrekt nutzen zu können.
(In einigen Regionen ist möglicherweise weiterhin ein VPN erforderlich, um korrekt darauf zugreifen zu können.)")</f>
        <v>Da der Strategie-Gegenstand „Abenteurertipps“ im Spiel keine externen Links wie Webseiten oder Karten öffnen kann, wird Spielern, die ihn benötigen, empfohlen, für den Zugriff auf diesen Leitfaden eine reguläre Webseite zu verwenden, um die verschiedenen Linkfunktionen korrekt nutzen zu können.
(In einigen Regionen ist möglicherweise weiterhin ein VPN erforderlich, um korrekt darauf zugreifen zu können.)</v>
      </c>
      <c r="I2" s="4" t="str">
        <f>IFERROR(__xludf.DUMMYFUNCTION("GOOGLETRANSLATE(A2,""zh-tw"",""VI"")"),"Về mục chiến lược trong trò chơi ""Mẹo Phiêu lưu"", vì nó không thể mở các liên kết ngoài như liên kết trang web/bản đồ, người chơi cần nó nên sử dụng trang web thông thường để truy cập hướng dẫn này để sử dụng đúng các chức năng liên kết khác nhau của nó"&amp;".
(Ở một số khu vực, vẫn có thể cần VPN để truy cập đúng cách).")</f>
        <v>Về mục chiến lược trong trò chơi "Mẹo Phiêu lưu", vì nó không thể mở các liên kết ngoài như liên kết trang web/bản đồ, người chơi cần nó nên sử dụng trang web thông thường để truy cập hướng dẫn này để sử dụng đúng các chức năng liên kết khác nhau của nó.
(Ở một số khu vực, vẫn có thể cần VPN để truy cập đúng cách).</v>
      </c>
      <c r="J2" s="8"/>
      <c r="K2" s="8"/>
      <c r="L2" s="8"/>
      <c r="M2" s="8"/>
      <c r="N2" s="8"/>
      <c r="O2" s="8"/>
      <c r="P2" s="8"/>
      <c r="Q2" s="8"/>
      <c r="R2" s="8"/>
      <c r="S2" s="8"/>
      <c r="T2" s="8"/>
      <c r="U2" s="8"/>
      <c r="V2" s="8"/>
      <c r="W2" s="8"/>
    </row>
    <row r="3" ht="405.0" customHeight="1">
      <c r="A3" s="2" t="s">
        <v>3</v>
      </c>
      <c r="B3" s="5" t="str">
        <f>IFERROR(__xludf.DUMMYFUNCTION("GOOGLETRANSLATE(A3,""zh-tw"",""ja"")"),"※※※
1. 公式プロモーション資料やプレビュー画像、および一部実装済みの項目は、完全な実装を保証するものではありません。そのため、まだ実装されていない機能の実装方法についてはお問い合わせにならないでください。回答は常に「まだ実装されていません」であり、ガイドが不完全であるという意味ではありません。
2. メジャーバージョンアップのたびに、公式ウェブサイトから最新バージョンを手動でダウンロードし、自動アップデートを利用することをお勧めします（このアップデート機能を使用するには、一部の地域でVPN接続に"&amp;"よるアクセスが必要です）。
3. このガイドはPC版を対象としています。Android版では一部機能が利用できないため（例：カメラ）、一部の内容はこのガイドには適用されません。
4. iOS版は現在、公式チームによるリリースは予定されていません。
5. このドキュメントは許可不要です。下部のタブから誰でも直接閲覧できます。")</f>
        <v>※※※
1. 公式プロモーション資料やプレビュー画像、および一部実装済みの項目は、完全な実装を保証するものではありません。そのため、まだ実装されていない機能の実装方法についてはお問い合わせにならないでください。回答は常に「まだ実装されていません」であり、ガイドが不完全であるという意味ではありません。
2. メジャーバージョンアップのたびに、公式ウェブサイトから最新バージョンを手動でダウンロードし、自動アップデートを利用することをお勧めします（このアップデート機能を使用するには、一部の地域でVPN接続によるアクセスが必要です）。
3. このガイドはPC版を対象としています。Android版では一部機能が利用できないため（例：カメラ）、一部の内容はこのガイドには適用されません。
4. iOS版は現在、公式チームによるリリースは予定されていません。
5. このドキュメントは許可不要です。下部のタブから誰でも直接閲覧できます。</v>
      </c>
      <c r="C3" s="9" t="str">
        <f>IFERROR(__xludf.DUMMYFUNCTION("GOOGLETRANSLATE(A3,""zh-tw"",""en"")"),"※※※
1. Images in official promotional materials or previews, and some items already implemented, do not guarantee full implementation. Therefore, please do not ask how to do things that are not yet available; the answer is always ""not yet,"" not that th"&amp;"e guide is incomplete!
2. For each major version update, it is recommended to manually download the latest version from the official website and use automatic updates (this update function requires a VPN to access other regions in some areas).
3. This g"&amp;"uide focuses on the PC version. Some functions are unavailable on the Android version (e.g., the camera), therefore some content is not applicable to this guide.
4. An iOS version is not currently planned by the official team.
5. This document does not "&amp;"require permission; anyone can directly view it from the tabs at the bottom.")</f>
        <v>※※※
1. Images in official promotional materials or previews, and some items already implemented, do not guarantee full implementation. Therefore, please do not ask how to do things that are not yet available; the answer is always "not yet," not that the guide is incomplete!
2. For each major version update, it is recommended to manually download the latest version from the official website and use automatic updates (this update function requires a VPN to access other regions in some areas).
3. This guide focuses on the PC version. Some functions are unavailable on the Android version (e.g., the camera), therefore some content is not applicable to this guide.
4. An iOS version is not currently planned by the official team.
5. This document does not require permission; anyone can directly view it from the tabs at the bottom.</v>
      </c>
      <c r="D3" s="2" t="str">
        <f>IFERROR(__xludf.DUMMYFUNCTION("GOOGLETRANSLATE(A3,""zh-tw"",""zh"")"),"※※※
1.官方宣传或预告的图片，以及部分已实装的物品，不代表已经完全实装，因此不要再问某些无法做到的事情该怎么做，答案永远是""还没做好""，并非攻略不齐全！
2.每次更新大版本，建议手动至官方网站下载最新版本，并使用自动更新至最新版本(部分地区需要使用VPN至其他地区，才有此更新功能)。
3.本攻略专注于PC版本，安卓版本部分功能无法使用(例如相机等)，因此部分内容无法适用于攻略范围内。
4.IOS版本，官方暂时不考虑制作。
5.本文件不用申请权限，所有人都可以在最下方的分页标签中，直接点选"&amp;"查看。")</f>
        <v>※※※
1.官方宣传或预告的图片，以及部分已实装的物品，不代表已经完全实装，因此不要再问某些无法做到的事情该怎么做，答案永远是"还没做好"，并非攻略不齐全！
2.每次更新大版本，建议手动至官方网站下载最新版本，并使用自动更新至最新版本(部分地区需要使用VPN至其他地区，才有此更新功能)。
3.本攻略专注于PC版本，安卓版本部分功能无法使用(例如相机等)，因此部分内容无法适用于攻略范围内。
4.IOS版本，官方暂时不考虑制作。
5.本文件不用申请权限，所有人都可以在最下方的分页标签中，直接点选查看。</v>
      </c>
      <c r="E3" s="4" t="str">
        <f>IFERROR(__xludf.DUMMYFUNCTION("GOOGLETRANSLATE(A3,""zh-tw"",""es-MX"")"),"※※※
1. Las imágenes en los materiales promocionales oficiales o avances, y algunos elementos ya implementados, no garantizan su implementación completa. Por lo tanto, no pregunte cómo realizar funciones que aún no están disponibles; la respuesta siempre "&amp;"es «aún no», ¡no porque la guía esté incompleta!
2. Para cada actualización importante, se recomienda descargar manualmente la última versión desde el sitio web oficial y usar las actualizaciones automáticas (esta función requiere una VPN para acceder a "&amp;"otras regiones en algunas zonas).
3. Esta guía se centra en la versión para PC. Algunas funciones no están disponibles en la versión para Android (por ejemplo, la cámara), por lo que parte del contenido no se aplica a esta guía.
4. El equipo oficial no "&amp;"tiene previsto lanzar una versión para iOS.
5. Este documento no requiere permisos; cualquiera puede consultarlo directamente desde las pestañas de la parte inferior.")</f>
        <v>※※※
1. Las imágenes en los materiales promocionales oficiales o avances, y algunos elementos ya implementados, no garantizan su implementación completa. Por lo tanto, no pregunte cómo realizar funciones que aún no están disponibles; la respuesta siempre es «aún no», ¡no porque la guía esté incompleta!
2. Para cada actualización importante, se recomienda descargar manualmente la última versión desde el sitio web oficial y usar las actualizaciones automáticas (esta función requiere una VPN para acceder a otras regiones en algunas zonas).
3. Esta guía se centra en la versión para PC. Algunas funciones no están disponibles en la versión para Android (por ejemplo, la cámara), por lo que parte del contenido no se aplica a esta guía.
4. El equipo oficial no tiene previsto lanzar una versión para iOS.
5. Este documento no requiere permisos; cualquiera puede consultarlo directamente desde las pestañas de la parte inferior.</v>
      </c>
      <c r="F3" s="5" t="str">
        <f>IFERROR(__xludf.DUMMYFUNCTION("GOOGLETRANSLATE(A3,""zh-tw"",""KO"")"),"※※※
1. 공식 홍보 자료나 미리보기 이미지, 그리고 이미 구현된 일부 항목은 완전한 구현을 보장하지 않습니다. 따라서 아직 제공되지 않은 기능에 대한 문의는 삼가 주시기 바랍니다. 항상 ""아직 제공되지 않음""이라고 답할 뿐, 가이드가 불완전하다는 것은 아닙니다!
2. 주요 버전 업데이트 시에는 공식 웹사이트에서 최신 버전을 수동으로 다운로드하고 자동 업데이트를 사용하는 것이 좋습니다(이 업데이트 기능은 일부 지역의 다른 지역에 접속하기 위해 "&amp;"VPN이 필요합니다).
3. 본 가이드는 PC 버전을 기준으로 작성되었습니다. Android 버전에서는 일부 기능(예: 카메라)을 사용할 수 없으므로, 일부 내용은 본 가이드에 적용되지 않습니다.
4. iOS 버전은 현재 공식 개발팀에서 계획하고 있지 않습니다.
5. 본 문서는 별도의 권한이 필요하지 않으며, 하단 탭을 통해 누구나 직접 열람하실 수 있습니다.")</f>
        <v>※※※
1. 공식 홍보 자료나 미리보기 이미지, 그리고 이미 구현된 일부 항목은 완전한 구현을 보장하지 않습니다. 따라서 아직 제공되지 않은 기능에 대한 문의는 삼가 주시기 바랍니다. 항상 "아직 제공되지 않음"이라고 답할 뿐, 가이드가 불완전하다는 것은 아닙니다!
2. 주요 버전 업데이트 시에는 공식 웹사이트에서 최신 버전을 수동으로 다운로드하고 자동 업데이트를 사용하는 것이 좋습니다(이 업데이트 기능은 일부 지역의 다른 지역에 접속하기 위해 VPN이 필요합니다).
3. 본 가이드는 PC 버전을 기준으로 작성되었습니다. Android 버전에서는 일부 기능(예: 카메라)을 사용할 수 없으므로, 일부 내용은 본 가이드에 적용되지 않습니다.
4. iOS 버전은 현재 공식 개발팀에서 계획하고 있지 않습니다.
5. 본 문서는 별도의 권한이 필요하지 않으며, 하단 탭을 통해 누구나 직접 열람하실 수 있습니다.</v>
      </c>
      <c r="G3" s="4" t="str">
        <f>IFERROR(__xludf.DUMMYFUNCTION("GOOGLETRANSLATE(A3,""zh-tw"",""RU"")"),"※※※
1. Изображения в официальных рекламных материалах или превью, а также некоторые уже реализованные элементы не гарантируют полную реализацию. Поэтому, пожалуйста, не спрашивайте, как сделать то, что ещё не доступно; ответ всегда «ещё нет», но это не о"&amp;"значает, что руководство неполное!
2. Для каждого основного обновления версии рекомендуется вручную загрузить последнюю версию с официального сайта и использовать автоматические обновления (в некоторых регионах для доступа к этой функции обновления требу"&amp;"ется VPN).
3. Данное руководство ориентировано на версию для ПК. Некоторые функции недоступны в версии для Android (например, камера), поэтому часть информации не применима к данному руководству.
4. Версия для iOS в настоящее время не планируется официа"&amp;"льной командой.
5. Для просмотра этого документа не требуется разрешение; любой желающий может напрямую просмотреть его с помощью вкладок внизу.")</f>
        <v>※※※
1. Изображения в официальных рекламных материалах или превью, а также некоторые уже реализованные элементы не гарантируют полную реализацию. Поэтому, пожалуйста, не спрашивайте, как сделать то, что ещё не доступно; ответ всегда «ещё нет», но это не означает, что руководство неполное!
2. Для каждого основного обновления версии рекомендуется вручную загрузить последнюю версию с официального сайта и использовать автоматические обновления (в некоторых регионах для доступа к этой функции обновления требуется VPN).
3. Данное руководство ориентировано на версию для ПК. Некоторые функции недоступны в версии для Android (например, камера), поэтому часть информации не применима к данному руководству.
4. Версия для iOS в настоящее время не планируется официальной командой.
5. Для просмотра этого документа не требуется разрешение; любой желающий может напрямую просмотреть его с помощью вкладок внизу.</v>
      </c>
      <c r="H3" s="4" t="str">
        <f>IFERROR(__xludf.DUMMYFUNCTION("GOOGLETRANSLATE(A3,""zh-tw"",""DE"")"),"※※※
1. Bilder in offiziellen Werbematerialien oder Vorschauen sowie einige bereits implementierte Elemente garantieren keine vollständige Implementierung. Fragen Sie daher bitte nicht nach Funktionen, die noch nicht verfügbar sind. Die Antwort lautet imm"&amp;"er „noch nicht“, nicht, dass die Anleitung unvollständig ist!
2. Bei jedem größeren Versionsupdate wird empfohlen, die neueste Version manuell von der offiziellen Website herunterzuladen und automatische Updates zu aktivieren (für diese Update-Funktion i"&amp;"st in einigen Regionen ein VPN erforderlich).
3. Diese Anleitung bezieht sich auf die PC-Version. Einige Funktionen sind in der Android-Version nicht verfügbar (z. B. die Kamera), daher sind manche Inhalte dieser Anleitung nicht relevant.
4. Eine iOS-Ve"&amp;"rsion ist derzeit nicht geplant.
5. Dieses Dokument ist ohne Berechtigung zugänglich; jeder kann es direkt über die Tabs am unteren Rand einsehen.")</f>
        <v>※※※
1. Bilder in offiziellen Werbematerialien oder Vorschauen sowie einige bereits implementierte Elemente garantieren keine vollständige Implementierung. Fragen Sie daher bitte nicht nach Funktionen, die noch nicht verfügbar sind. Die Antwort lautet immer „noch nicht“, nicht, dass die Anleitung unvollständig ist!
2. Bei jedem größeren Versionsupdate wird empfohlen, die neueste Version manuell von der offiziellen Website herunterzuladen und automatische Updates zu aktivieren (für diese Update-Funktion ist in einigen Regionen ein VPN erforderlich).
3. Diese Anleitung bezieht sich auf die PC-Version. Einige Funktionen sind in der Android-Version nicht verfügbar (z. B. die Kamera), daher sind manche Inhalte dieser Anleitung nicht relevant.
4. Eine iOS-Version ist derzeit nicht geplant.
5. Dieses Dokument ist ohne Berechtigung zugänglich; jeder kann es direkt über die Tabs am unteren Rand einsehen.</v>
      </c>
      <c r="I3" s="7" t="s">
        <v>4</v>
      </c>
      <c r="J3" s="8"/>
      <c r="K3" s="8"/>
      <c r="L3" s="8"/>
      <c r="M3" s="8"/>
      <c r="N3" s="8"/>
      <c r="O3" s="8"/>
      <c r="P3" s="8"/>
      <c r="Q3" s="8"/>
      <c r="R3" s="8"/>
      <c r="S3" s="8"/>
      <c r="T3" s="8"/>
      <c r="U3" s="8"/>
      <c r="V3" s="8"/>
      <c r="W3" s="8"/>
    </row>
    <row r="4" ht="120.0" customHeight="1">
      <c r="A4" s="10" t="s">
        <v>5</v>
      </c>
      <c r="B4" s="11" t="str">
        <f>IFERROR(__xludf.DUMMYFUNCTION("GOOGLETRANSLATE(A4,""zh-tw"",""ja"")"),"バージョン0.82にはSLG（ストラテジー/シミュレーション）のゲームプレイ要素は含まれていません。スキップするかどうかはご自身で判断してください。次のバージョン0.85では、バスルームと洗面所の機能が多数実装される予定ですので、お楽しみに！")</f>
        <v>バージョン0.82にはSLG（ストラテジー/シミュレーション）のゲームプレイ要素は含まれていません。スキップするかどうかはご自身で判断してください。次のバージョン0.85では、バスルームと洗面所の機能が多数実装される予定ですので、お楽しみに！</v>
      </c>
      <c r="C4" s="12" t="str">
        <f>IFERROR(__xludf.DUMMYFUNCTION("GOOGLETRANSLATE(A4,""zh-tw"",""en"")"),"Version 0.82 does not include any new SLG (Strategy/Simulation) gameplay elements; please decide whether to skip it. The next version, 0.85, is expected to implement many bathroom and washroom features; let's look forward to it!")</f>
        <v>Version 0.82 does not include any new SLG (Strategy/Simulation) gameplay elements; please decide whether to skip it. The next version, 0.85, is expected to implement many bathroom and washroom features; let's look forward to it!</v>
      </c>
      <c r="D4" s="10" t="str">
        <f>IFERROR(__xludf.DUMMYFUNCTION("GOOGLETRANSLATE(A4,""zh-tw"",""zh"")"),"0.82版本，没有新增SLG方面的玩法，请自行决定是否跳过
下次的0.85版本，预计会实装许多浴室和洗面所的项目，让我们一起期待吧")</f>
        <v>0.82版本，没有新增SLG方面的玩法，请自行决定是否跳过
下次的0.85版本，预计会实装许多浴室和洗面所的项目，让我们一起期待吧</v>
      </c>
      <c r="E4" s="11" t="str">
        <f>IFERROR(__xludf.DUMMYFUNCTION("GOOGLETRANSLATE(A4,""zh-tw"",""es-MX"")"),"La versión 0.82 no incluye nuevos elementos de juego de estrategia/simulación; por favor, decida si desea omitirla. Se espera que la próxima versión, la 0.85, implemente muchas características para baños y aseos; ¡esperémosla con ansias!")</f>
        <v>La versión 0.82 no incluye nuevos elementos de juego de estrategia/simulación; por favor, decida si desea omitirla. Se espera que la próxima versión, la 0.85, implemente muchas características para baños y aseos; ¡esperémosla con ansias!</v>
      </c>
      <c r="F4" s="11" t="str">
        <f>IFERROR(__xludf.DUMMYFUNCTION("GOOGLETRANSLATE(A4,""zh-tw"",""KO"")"),"버전 0.82에는 새로운 SLG(전략/시뮬레이션) 게임플레이 요소가 포함되어 있지 않습니다. 건너뛸지 여부를 결정해 주세요. 다음 버전인 0.85에는 다양한 욕실 및 세면실 기능이 추가될 예정입니다. 기대해 주세요!")</f>
        <v>버전 0.82에는 새로운 SLG(전략/시뮬레이션) 게임플레이 요소가 포함되어 있지 않습니다. 건너뛸지 여부를 결정해 주세요. 다음 버전인 0.85에는 다양한 욕실 및 세면실 기능이 추가될 예정입니다. 기대해 주세요!</v>
      </c>
      <c r="G4" s="11" t="str">
        <f>IFERROR(__xludf.DUMMYFUNCTION("GOOGLETRANSLATE(A4,""zh-tw"",""RU"")"),"Версия 0.82 не включает в себя никаких новых элементов SLG (стратегия/симулятор); пожалуйста, решайте сами, стоит ли её пропускать. Ожидается, что в следующей версии, 0.85, будет реализовано множество функций для ванных комнат и туалетов; будем ждать с не"&amp;"терпением!")</f>
        <v>Версия 0.82 не включает в себя никаких новых элементов SLG (стратегия/симулятор); пожалуйста, решайте сами, стоит ли её пропускать. Ожидается, что в следующей версии, 0.85, будет реализовано множество функций для ванных комнат и туалетов; будем ждать с нетерпением!</v>
      </c>
      <c r="H4" s="11" t="str">
        <f>IFERROR(__xludf.DUMMYFUNCTION("GOOGLETRANSLATE(A4,""zh-tw"",""DE"")"),"Version 0.82 enthält keine neuen SLG-Spielelemente (Strategie/Simulation); entscheiden Sie selbst, ob Sie sie überspringen möchten. Die nächste Version, 0.85, wird voraussichtlich viele neue Funktionen für Badezimmer und Toiletten bieten; seien Sie gespan"&amp;"nt!")</f>
        <v>Version 0.82 enthält keine neuen SLG-Spielelemente (Strategie/Simulation); entscheiden Sie selbst, ob Sie sie überspringen möchten. Die nächste Version, 0.85, wird voraussichtlich viele neue Funktionen für Badezimmer und Toiletten bieten; seien Sie gespannt!</v>
      </c>
      <c r="I4" s="13" t="s">
        <v>6</v>
      </c>
      <c r="J4" s="8"/>
      <c r="K4" s="8"/>
      <c r="L4" s="8"/>
      <c r="M4" s="8"/>
      <c r="N4" s="8"/>
      <c r="O4" s="8"/>
      <c r="P4" s="8"/>
      <c r="Q4" s="8"/>
      <c r="R4" s="8"/>
      <c r="S4" s="8"/>
      <c r="T4" s="8"/>
      <c r="U4" s="8"/>
      <c r="V4" s="8"/>
      <c r="W4" s="8"/>
    </row>
    <row r="5" ht="123.75" customHeight="1">
      <c r="A5" s="10" t="s">
        <v>7</v>
      </c>
      <c r="B5" s="11" t="str">
        <f>IFERROR(__xludf.DUMMYFUNCTION("GOOGLETRANSLATE(A5,""zh-tw"",""ja"")"),"アイテム「プロトタイプコア」のアップグレードについてですが、使用スロットはスキルバーにあります。現在、このスロットには説明文がないため、空欄になっています。これは設計が未完成であるためであり、バグではありません。選択後、通常通りアップグレードできます。")</f>
        <v>アイテム「プロトタイプコア」のアップグレードについてですが、使用スロットはスキルバーにあります。現在、このスロットには説明文がないため、空欄になっています。これは設計が未完成であるためであり、バグではありません。選択後、通常通りアップグレードできます。</v>
      </c>
      <c r="C5" s="12" t="str">
        <f>IFERROR(__xludf.DUMMYFUNCTION("GOOGLETRANSLATE(A5,""zh-tw"",""en"")"),"Regarding the upgrade of the item ""Prototype Core"", the usage slot is in the skill bar. Since there is currently no text description for this slot, it is currently blank. This is just because the design is not yet complete and is not a bug. You can upgr"&amp;"ade as usual after selecting it.")</f>
        <v>Regarding the upgrade of the item "Prototype Core", the usage slot is in the skill bar. Since there is currently no text description for this slot, it is currently blank. This is just because the design is not yet complete and is not a bug. You can upgrade as usual after selecting it.</v>
      </c>
      <c r="D5" s="10" t="str">
        <f>IFERROR(__xludf.DUMMYFUNCTION("GOOGLETRANSLATE(A5,""zh-tw"",""zh"")"),"关于道具""初号核心""的提升，使用位置在技能栏中，由于目前该栏位还无文字叙述所以是空白的，只是尚未设计完全，不是BUG，点选后可以照常进行升级。")</f>
        <v>关于道具"初号核心"的提升，使用位置在技能栏中，由于目前该栏位还无文字叙述所以是空白的，只是尚未设计完全，不是BUG，点选后可以照常进行升级。</v>
      </c>
      <c r="E5" s="11" t="str">
        <f>IFERROR(__xludf.DUMMYFUNCTION("GOOGLETRANSLATE(A5,""zh-tw"",""es-MX"")"),"En cuanto a la mejora del objeto ""Núcleo Prototipo"", la ranura de uso se encuentra en la barra de habilidades. Dado que actualmente no hay ninguna descripción para esta ranura, aparece en blanco. Esto se debe simplemente a que el diseño aún no está comp"&amp;"leto y no es un error. Puedes mejorarlo como de costumbre después de seleccionarlo.")</f>
        <v>En cuanto a la mejora del objeto "Núcleo Prototipo", la ranura de uso se encuentra en la barra de habilidades. Dado que actualmente no hay ninguna descripción para esta ranura, aparece en blanco. Esto se debe simplemente a que el diseño aún no está completo y no es un error. Puedes mejorarlo como de costumbre después de seleccionarlo.</v>
      </c>
      <c r="F5" s="11" t="str">
        <f>IFERROR(__xludf.DUMMYFUNCTION("GOOGLETRANSLATE(A5,""zh-tw"",""KO"")"),"""프로토타입 코어"" 아이템 업그레이드와 관련하여, 사용 슬롯은 스킬 바에 있습니다. 현재 이 슬롯에 대한 설명 텍스트가 없어 비어 있습니다. 이는 디자인이 아직 완성되지 않았으며 버그가 아니기 때문입니다. 선택 후 평소처럼 업그레이드할 수 있습니다.")</f>
        <v>"프로토타입 코어" 아이템 업그레이드와 관련하여, 사용 슬롯은 스킬 바에 있습니다. 현재 이 슬롯에 대한 설명 텍스트가 없어 비어 있습니다. 이는 디자인이 아직 완성되지 않았으며 버그가 아니기 때문입니다. 선택 후 평소처럼 업그레이드할 수 있습니다.</v>
      </c>
      <c r="G5" s="11" t="str">
        <f>IFERROR(__xludf.DUMMYFUNCTION("GOOGLETRANSLATE(A5,""zh-tw"",""RU"")"),"Что касается улучшения предмета «Ядро прототипа», слот для использования находится на панели навыков. Поскольку текстового описания для этого слота пока нет, он пока пуст. Это связано с тем, что дизайн ещё не завершён, и не является ошибкой. Вы можете улу"&amp;"чшить его как обычно, выбрав его.")</f>
        <v>Что касается улучшения предмета «Ядро прототипа», слот для использования находится на панели навыков. Поскольку текстового описания для этого слота пока нет, он пока пуст. Это связано с тем, что дизайн ещё не завершён, и не является ошибкой. Вы можете улучшить его как обычно, выбрав его.</v>
      </c>
      <c r="H5" s="11" t="str">
        <f>IFERROR(__xludf.DUMMYFUNCTION("GOOGLETRANSLATE(A5,""zh-tw"",""DE"")"),"Bezüglich der Aufwertung des Gegenstands „Prototypkern“: Der Verwendungsplatz befindet sich in der Fertigkeitenleiste. Da dieser Platz aktuell keine Textbeschreibung hat, ist er leer. Dies liegt daran, dass das Design noch nicht final ist und stellt keine"&amp;"n Fehler dar. Sie können die Aufwertung wie gewohnt durchführen, nachdem Sie den Gegenstand ausgewählt haben.")</f>
        <v>Bezüglich der Aufwertung des Gegenstands „Prototypkern“: Der Verwendungsplatz befindet sich in der Fertigkeitenleiste. Da dieser Platz aktuell keine Textbeschreibung hat, ist er leer. Dies liegt daran, dass das Design noch nicht final ist und stellt keinen Fehler dar. Sie können die Aufwertung wie gewohnt durchführen, nachdem Sie den Gegenstand ausgewählt haben.</v>
      </c>
      <c r="I5" s="13" t="s">
        <v>8</v>
      </c>
      <c r="J5" s="8"/>
      <c r="K5" s="8"/>
      <c r="L5" s="8"/>
      <c r="M5" s="8"/>
      <c r="N5" s="8"/>
      <c r="O5" s="8"/>
      <c r="P5" s="8"/>
      <c r="Q5" s="8"/>
      <c r="R5" s="8"/>
      <c r="S5" s="8"/>
      <c r="T5" s="8"/>
      <c r="U5" s="8"/>
      <c r="V5" s="8"/>
      <c r="W5" s="8"/>
    </row>
    <row r="6" ht="108.0" customHeight="1">
      <c r="A6" s="10" t="s">
        <v>9</v>
      </c>
      <c r="B6" s="11" t="str">
        <f>IFERROR(__xludf.DUMMYFUNCTION("GOOGLETRANSLATE(A6,""zh-tw"",""ja"")"),"MAPバージョン0.8は大規模な開発作業のため、このページの一部言語コンテンツは現在開発中であり、正しく表示されない可能性があります。ご不便をおかけして申し訳ございません。比較のために、繁体字中国語版をご参照ください。")</f>
        <v>MAPバージョン0.8は大規模な開発作業のため、このページの一部言語コンテンツは現在開発中であり、正しく表示されない可能性があります。ご不便をおかけして申し訳ございません。比較のために、繁体字中国語版をご参照ください。</v>
      </c>
      <c r="C6" s="12" t="str">
        <f>IFERROR(__xludf.DUMMYFUNCTION("GOOGLETRANSLATE(A6,""zh-tw"",""en"")"),"Because the MAP version 0.8 requires extensive production, some language content on this page is still under development and may not be viewable properly. We apologize for the inconvenience. You can refer to the Traditional Chinese version for comparison.")</f>
        <v>Because the MAP version 0.8 requires extensive production, some language content on this page is still under development and may not be viewable properly. We apologize for the inconvenience. You can refer to the Traditional Chinese version for comparison.</v>
      </c>
      <c r="D6" s="10" t="str">
        <f>IFERROR(__xludf.DUMMYFUNCTION("GOOGLETRANSLATE(A6,""zh-tw"",""zh"")"),"因0.8版本地图MAP需要进行大量制作，因此目前该分页的部分语言内容还在制作中，可能无法正常浏览，请见谅
可以先参考繁体中文版进行对照。")</f>
        <v>因0.8版本地图MAP需要进行大量制作，因此目前该分页的部分语言内容还在制作中，可能无法正常浏览，请见谅
可以先参考繁体中文版进行对照。</v>
      </c>
      <c r="E6" s="11" t="str">
        <f>IFERROR(__xludf.DUMMYFUNCTION("GOOGLETRANSLATE(A6,""zh-tw"",""es-MX"")"),"Debido a que la versión 0.8 de MAP requiere una producción extensa, algunos contenidos lingüísticos de esta página aún están en desarrollo y podrían no visualizarse correctamente. Lamentamos las molestias. Puede consultar la versión en chino tradicional p"&amp;"ara comparar.")</f>
        <v>Debido a que la versión 0.8 de MAP requiere una producción extensa, algunos contenidos lingüísticos de esta página aún están en desarrollo y podrían no visualizarse correctamente. Lamentamos las molestias. Puede consultar la versión en chino tradicional para comparar.</v>
      </c>
      <c r="F6" s="11" t="str">
        <f>IFERROR(__xludf.DUMMYFUNCTION("GOOGLETRANSLATE(A6,""zh-tw"",""KO"")"),"MAP 버전 0.8은 광범위한 개발이 필요하므로 이 페이지의 일부 언어 콘텐츠는 아직 개발 중이며 제대로 표시되지 않을 수 있습니다. 불편을 드려 죄송합니다. 비교를 위해 중국어 번체 버전을 참조하실 수 있습니다.")</f>
        <v>MAP 버전 0.8은 광범위한 개발이 필요하므로 이 페이지의 일부 언어 콘텐츠는 아직 개발 중이며 제대로 표시되지 않을 수 있습니다. 불편을 드려 죄송합니다. 비교를 위해 중국어 번체 버전을 참조하실 수 있습니다.</v>
      </c>
      <c r="G6" s="11" t="str">
        <f>IFERROR(__xludf.DUMMYFUNCTION("GOOGLETRANSLATE(A6,""zh-tw"",""RU"")"),"Поскольку версия MAP 0.8 требует значительных затрат на разработку, некоторые языковые материалы на этой странице всё ещё находятся в стадии разработки и могут отображаться некорректно. Приносим извинения за доставленные неудобства. Вы можете сравнить их "&amp;"с версией на традиционном китайском языке.")</f>
        <v>Поскольку версия MAP 0.8 требует значительных затрат на разработку, некоторые языковые материалы на этой странице всё ещё находятся в стадии разработки и могут отображаться некорректно. Приносим извинения за доставленные неудобства. Вы можете сравнить их с версией на традиционном китайском языке.</v>
      </c>
      <c r="H6" s="11" t="str">
        <f>IFERROR(__xludf.DUMMYFUNCTION("GOOGLETRANSLATE(A6,""zh-tw"",""DE"")"),"Da die MAP-Version 0.8 einen hohen Entwicklungsaufwand erfordert, befinden sich einige Sprachinhalte auf dieser Seite noch in der Entwicklung und sind möglicherweise nicht korrekt dargestellt. Wir bitten die Unannehmlichkeiten zu entschuldigen. Zum Vergle"&amp;"ich können Sie die Version in traditionellem Chinesisch heranziehen.")</f>
        <v>Da die MAP-Version 0.8 einen hohen Entwicklungsaufwand erfordert, befinden sich einige Sprachinhalte auf dieser Seite noch in der Entwicklung und sind möglicherweise nicht korrekt dargestellt. Wir bitten die Unannehmlichkeiten zu entschuldigen. Zum Vergleich können Sie die Version in traditionellem Chinesisch heranziehen.</v>
      </c>
      <c r="I6" s="13" t="s">
        <v>10</v>
      </c>
      <c r="J6" s="8"/>
      <c r="K6" s="8"/>
      <c r="L6" s="8"/>
      <c r="M6" s="8"/>
      <c r="N6" s="8"/>
      <c r="O6" s="8"/>
      <c r="P6" s="8"/>
      <c r="Q6" s="8"/>
      <c r="R6" s="8"/>
      <c r="S6" s="8"/>
      <c r="T6" s="8"/>
      <c r="U6" s="8"/>
      <c r="V6" s="8"/>
      <c r="W6" s="8"/>
    </row>
    <row r="7">
      <c r="A7" s="14"/>
      <c r="B7" s="14"/>
      <c r="C7" s="14"/>
      <c r="D7" s="14"/>
      <c r="E7" s="15"/>
      <c r="F7" s="15"/>
      <c r="G7" s="15"/>
      <c r="H7" s="15"/>
      <c r="I7" s="16"/>
      <c r="J7" s="17"/>
      <c r="K7" s="17"/>
      <c r="L7" s="17"/>
      <c r="M7" s="17"/>
      <c r="N7" s="17"/>
      <c r="O7" s="17"/>
      <c r="P7" s="17"/>
      <c r="Q7" s="17"/>
      <c r="R7" s="17"/>
      <c r="S7" s="17"/>
      <c r="T7" s="17"/>
      <c r="U7" s="17"/>
      <c r="V7" s="17"/>
      <c r="W7" s="17"/>
    </row>
    <row r="8">
      <c r="A8" s="1" t="s">
        <v>11</v>
      </c>
      <c r="B8" s="18" t="str">
        <f>IFERROR(__xludf.DUMMYFUNCTION("GOOGLETRANSLATE(A8,""zh-tw"",""ja"")"),"公式Discordグループ:
https://discord.gg/2Bt7RWknyH")</f>
        <v>公式Discordグループ:
https://discord.gg/2Bt7RWknyH</v>
      </c>
      <c r="C8" s="19" t="str">
        <f>IFERROR(__xludf.DUMMYFUNCTION("GOOGLETRANSLATE(A8,""zh-tw"",""en"")"),"Official Discord group:
https://discord.gg/2Bt7RWknyH")</f>
        <v>Official Discord group:
https://discord.gg/2Bt7RWknyH</v>
      </c>
      <c r="D8" s="18" t="str">
        <f>IFERROR(__xludf.DUMMYFUNCTION("GOOGLETRANSLATE(C8,""zh-tw"",""zh"")"),"Official Discord group:
https://discord.gg/2Bt7RWknyH")</f>
        <v>Official Discord group:
https://discord.gg/2Bt7RWknyH</v>
      </c>
      <c r="E8" s="20" t="str">
        <f>IFERROR(__xludf.DUMMYFUNCTION("GOOGLETRANSLATE(A8,""zh-tw"",""es-MX"")"),"Grupo oficial de Discord:
https://discord.gg/2Bt7RWknyH")</f>
        <v>Grupo oficial de Discord:
https://discord.gg/2Bt7RWknyH</v>
      </c>
      <c r="F8" s="21" t="str">
        <f>IFERROR(__xludf.DUMMYFUNCTION("GOOGLETRANSLATE(A8,""zh-tw"",""KO"")"),"공식 디스코드 그룹:
https://discord.gg/2Bt7RWknyH")</f>
        <v>공식 디스코드 그룹:
https://discord.gg/2Bt7RWknyH</v>
      </c>
      <c r="G8" s="21" t="str">
        <f>IFERROR(__xludf.DUMMYFUNCTION("GOOGLETRANSLATE(A8,""zh-tw"",""RU"")"),"Официальная группа Discord:
https://discord.gg/2Bt7RWknyH")</f>
        <v>Официальная группа Discord:
https://discord.gg/2Bt7RWknyH</v>
      </c>
      <c r="H8" s="21" t="str">
        <f>IFERROR(__xludf.DUMMYFUNCTION("GOOGLETRANSLATE(A8,""zh-tw"",""DE"")"),"Offizielle Discord-Gruppe:
https://discord.gg/2Bt7RWknyH")</f>
        <v>Offizielle Discord-Gruppe:
https://discord.gg/2Bt7RWknyH</v>
      </c>
      <c r="I8" s="22" t="s">
        <v>12</v>
      </c>
      <c r="J8" s="17"/>
      <c r="K8" s="17"/>
      <c r="L8" s="17"/>
      <c r="M8" s="17"/>
      <c r="N8" s="17"/>
      <c r="O8" s="17"/>
      <c r="P8" s="17"/>
      <c r="Q8" s="17"/>
      <c r="R8" s="17"/>
      <c r="S8" s="17"/>
      <c r="T8" s="17"/>
      <c r="U8" s="17"/>
      <c r="V8" s="17"/>
      <c r="W8" s="17"/>
    </row>
    <row r="9">
      <c r="A9" s="1" t="s">
        <v>13</v>
      </c>
      <c r="B9" s="1" t="s">
        <v>14</v>
      </c>
      <c r="C9" s="1" t="s">
        <v>14</v>
      </c>
      <c r="D9" s="1" t="s">
        <v>14</v>
      </c>
      <c r="E9" s="1" t="s">
        <v>14</v>
      </c>
      <c r="F9" s="1" t="s">
        <v>14</v>
      </c>
      <c r="G9" s="1" t="s">
        <v>14</v>
      </c>
      <c r="H9" s="1" t="s">
        <v>14</v>
      </c>
      <c r="I9" s="1" t="s">
        <v>14</v>
      </c>
      <c r="J9" s="17"/>
      <c r="K9" s="17"/>
      <c r="L9" s="17"/>
      <c r="M9" s="17"/>
      <c r="N9" s="17"/>
      <c r="O9" s="17"/>
      <c r="P9" s="17"/>
      <c r="Q9" s="17"/>
      <c r="R9" s="17"/>
      <c r="S9" s="17"/>
      <c r="T9" s="17"/>
      <c r="U9" s="17"/>
      <c r="V9" s="17"/>
      <c r="W9" s="17"/>
    </row>
    <row r="10">
      <c r="A10" s="1" t="s">
        <v>15</v>
      </c>
      <c r="B10" s="1" t="s">
        <v>16</v>
      </c>
      <c r="C10" s="1" t="s">
        <v>17</v>
      </c>
      <c r="D10" s="1" t="s">
        <v>18</v>
      </c>
      <c r="E10" s="23" t="s">
        <v>19</v>
      </c>
      <c r="F10" s="23" t="s">
        <v>20</v>
      </c>
      <c r="G10" s="23" t="s">
        <v>21</v>
      </c>
      <c r="H10" s="23" t="s">
        <v>22</v>
      </c>
      <c r="I10" s="24" t="s">
        <v>23</v>
      </c>
      <c r="J10" s="17"/>
      <c r="K10" s="17"/>
      <c r="L10" s="17"/>
      <c r="M10" s="17"/>
      <c r="N10" s="17"/>
      <c r="O10" s="17"/>
      <c r="P10" s="17"/>
      <c r="Q10" s="17"/>
      <c r="R10" s="17"/>
      <c r="S10" s="17"/>
      <c r="T10" s="17"/>
      <c r="U10" s="17"/>
      <c r="V10" s="17"/>
      <c r="W10" s="17"/>
    </row>
    <row r="11">
      <c r="A11" s="1" t="s">
        <v>24</v>
      </c>
      <c r="B11" s="25" t="s">
        <v>25</v>
      </c>
      <c r="C11" s="25" t="s">
        <v>26</v>
      </c>
      <c r="D11" s="25" t="s">
        <v>27</v>
      </c>
      <c r="E11" s="23" t="s">
        <v>28</v>
      </c>
      <c r="F11" s="23" t="s">
        <v>29</v>
      </c>
      <c r="G11" s="23" t="s">
        <v>30</v>
      </c>
      <c r="H11" s="23" t="s">
        <v>31</v>
      </c>
      <c r="I11" s="22" t="s">
        <v>32</v>
      </c>
      <c r="J11" s="17"/>
      <c r="K11" s="17"/>
      <c r="L11" s="17"/>
      <c r="M11" s="17"/>
      <c r="N11" s="17"/>
      <c r="O11" s="17"/>
      <c r="P11" s="17"/>
      <c r="Q11" s="17"/>
      <c r="R11" s="17"/>
      <c r="S11" s="17"/>
      <c r="T11" s="17"/>
      <c r="U11" s="17"/>
      <c r="V11" s="17"/>
      <c r="W11" s="17"/>
    </row>
    <row r="12">
      <c r="A12" s="25" t="s">
        <v>33</v>
      </c>
      <c r="B12" s="25" t="s">
        <v>34</v>
      </c>
      <c r="C12" s="25" t="s">
        <v>35</v>
      </c>
      <c r="D12" s="25" t="s">
        <v>36</v>
      </c>
      <c r="E12" s="23" t="s">
        <v>37</v>
      </c>
      <c r="F12" s="23" t="s">
        <v>38</v>
      </c>
      <c r="G12" s="23" t="s">
        <v>39</v>
      </c>
      <c r="H12" s="23" t="s">
        <v>40</v>
      </c>
      <c r="I12" s="22" t="s">
        <v>41</v>
      </c>
      <c r="J12" s="17"/>
      <c r="K12" s="17"/>
      <c r="L12" s="17"/>
      <c r="M12" s="17"/>
      <c r="N12" s="17"/>
      <c r="O12" s="17"/>
      <c r="P12" s="17"/>
      <c r="Q12" s="17"/>
      <c r="R12" s="17"/>
      <c r="S12" s="17"/>
      <c r="T12" s="17"/>
      <c r="U12" s="17"/>
      <c r="V12" s="17"/>
      <c r="W12" s="17"/>
    </row>
    <row r="13">
      <c r="A13" s="1" t="s">
        <v>42</v>
      </c>
      <c r="B13" s="1" t="s">
        <v>43</v>
      </c>
      <c r="C13" s="1" t="s">
        <v>44</v>
      </c>
      <c r="D13" s="1" t="s">
        <v>45</v>
      </c>
      <c r="E13" s="1" t="s">
        <v>46</v>
      </c>
      <c r="F13" s="1" t="s">
        <v>47</v>
      </c>
      <c r="G13" s="1" t="s">
        <v>48</v>
      </c>
      <c r="H13" s="1" t="s">
        <v>49</v>
      </c>
      <c r="I13" s="1" t="s">
        <v>50</v>
      </c>
      <c r="J13" s="17"/>
      <c r="K13" s="17"/>
      <c r="L13" s="17"/>
      <c r="M13" s="17"/>
      <c r="N13" s="17"/>
      <c r="O13" s="17"/>
      <c r="P13" s="17"/>
      <c r="Q13" s="17"/>
      <c r="R13" s="17"/>
      <c r="S13" s="17"/>
      <c r="T13" s="17"/>
      <c r="U13" s="17"/>
      <c r="V13" s="17"/>
      <c r="W13" s="17"/>
    </row>
    <row r="14">
      <c r="A14" s="26" t="s">
        <v>51</v>
      </c>
      <c r="B14" s="26" t="str">
        <f>IFERROR(__xludf.DUMMYFUNCTION("GOOGLETRANSLATE(A14,""zh-tw"",""ja"")"),"このドキュメントはプレイヤーの疑問解決を支援することを目的としており、商業目的または広告目的ではありません。
このガイドは台湾のプレイヤーによって作成されたため、主に繁体字中国語で書かれています。他の言語への翻訳が不自然な点がある場合はご容赦ください。
編集者はプレイヤーであり、未公開情報のほとんどは公式情報源への問い合わせを通じて入手したものです。そのため、未発見のメカニズムが抜けている可能性があります。ドキュメント内に未発見のメカニズム、抜け漏れ、または異常な点を発見した場合は、お気軽に編集者まで"&amp;"ご連絡ください。
他のウェブサイトからのコンテンツの転載（無料）や、このフォームへのコンテンツの追加は可能です。お気軽にご連絡ください。
編集者のDiscord: RORO#3330
またはgameconlch@gmail.comまでご連絡ください。ご協力ありがとうございます。
マップ作成：Discord: mioakatukaze
中国語（簡体字）翻訳：ShigeLuna
日本語翻訳：눈_눈
英語翻訳：Ruika
スペイン語翻訳：zNagato、AndyJango
ドイツ語翻訳：Gabriel
ロ"&amp;"シア語翻訳：Libeti
韓国語翻訳：maltesey
ベトナム語翻訳：IntenseLag、Nian Sprout
データ編集協力：Luo Ran
")</f>
        <v>このドキュメントはプレイヤーの疑問解決を支援することを目的としており、商業目的または広告目的ではありません。
このガイドは台湾のプレイヤーによって作成されたため、主に繁体字中国語で書かれています。他の言語への翻訳が不自然な点がある場合はご容赦ください。
編集者はプレイヤーであり、未公開情報のほとんどは公式情報源への問い合わせを通じて入手したものです。そのため、未発見のメカニズムが抜けている可能性があります。ドキュメント内に未発見のメカニズム、抜け漏れ、または異常な点を発見した場合は、お気軽に編集者までご連絡ください。
他のウェブサイトからのコンテンツの転載（無料）や、このフォームへのコンテンツの追加は可能です。お気軽にご連絡ください。
編集者のDiscord: RORO#3330
またはgameconlch@gmail.comまでご連絡ください。ご協力ありがとうございます。
マップ作成：Discord: mioakatukaze
中国語（簡体字）翻訳：ShigeLuna
日本語翻訳：눈_눈
英語翻訳：Ruika
スペイン語翻訳：zNagato、AndyJango
ドイツ語翻訳：Gabriel
ロシア語翻訳：Libeti
韓国語翻訳：maltesey
ベトナム語翻訳：IntenseLag、Nian Sprout
データ編集協力：Luo Ran
</v>
      </c>
      <c r="C14" s="27" t="str">
        <f>IFERROR(__xludf.DUMMYFUNCTION("GOOGLETRANSLATE(A14,""zh-tw"",""en"")"),"This document is intended to assist players in resolving their doubts and is not for commercial or advertising purposes!
This guide was created by a Taiwanese player, therefore it is primarily in Traditional Chinese. Please excuse any awkward translation"&amp;"s in other language languages.
The editor is a player, and most of the unpublished information was obtained through consultation with official sources. Therefore, there may be undiscovered mechanisms missing. If you find any undiscovered mechanisms, omis"&amp;"sions, or anomalies in the document, please feel free to contact the editor.
You can reprint content from other websites (free of charge), or add other content to this form. Please feel free to contact us.
Editor's Discord: RORO#3330
Or contact me at ga"&amp;"meconlch@gmail.com. Thank you for your cooperation.
Map creation: Discord: mioakatukaze
Simplified Chinese translator: ShigeLuna
Japanese translator: 눈_눈
English translator: Ruika
Spanish translators: zNagato, AndyJango
German translator: Gabriel
Russian"&amp;" translator: Libeti
Korean translator: maltesey
Vietnamese translators: IntenseLag, Nian Sprout
Data compilation assistance: Luo Ran
")</f>
        <v>This document is intended to assist players in resolving their doubts and is not for commercial or advertising purposes!
This guide was created by a Taiwanese player, therefore it is primarily in Traditional Chinese. Please excuse any awkward translations in other language languages.
The editor is a player, and most of the unpublished information was obtained through consultation with official sources. Therefore, there may be undiscovered mechanisms missing. If you find any undiscovered mechanisms, omissions, or anomalies in the document, please feel free to contact the editor.
You can reprint content from other websites (free of charge), or add other content to this form. Please feel free to contact us.
Editor's Discord: RORO#3330
Or contact me at gameconlch@gmail.com. Thank you for your cooperation.
Map creation: Discord: mioakatukaze
Simplified Chinese translator: ShigeLuna
Japanese translator: 눈_눈
English translator: Ruika
Spanish translators: zNagato, AndyJango
German translator: Gabriel
Russian translator: Libeti
Korean translator: maltesey
Vietnamese translators: IntenseLag, Nian Sprout
Data compilation assistance: Luo Ran
</v>
      </c>
      <c r="D14" s="26" t="s">
        <v>52</v>
      </c>
      <c r="E14" s="26" t="str">
        <f>IFERROR(__xludf.DUMMYFUNCTION("GOOGLETRANSLATE(A14,""zh-tw"",""es-MX"")"),"Este documento tiene como objetivo ayudar a los jugadores a resolver sus dudas y no tiene fines comerciales ni publicitarios.
Esta guía fue creada por un jugador taiwanés, por lo que está principalmente en chino tradicional. Disculpen cualquier traducció"&amp;"n incorrecta a otros idiomas.
El editor es un jugador y la mayor parte de la información inédita se obtuvo consultando fuentes oficiales. Por lo tanto, es posible que falten mecanismos no descubiertos. Si encuentran algún mecanismo no descubierto, omisió"&amp;"n o anomalía en el documento, no duden en contactar al editor.
Pueden reimprimir contenido de otros sitios web (de forma gratuita) o agregar contenido a este documento. No duden en contactarnos.
Discord del editor: RORO#3330
O pueden contactarme en game"&amp;"conlch@gmail.com. Gracias por su colaboración.
Creación del mapa: Discord: mioakatukaze
Traductor de chino simplificado: ShigeLuna
Traductor de japonés: 눈_눈
Traductor de inglés: Ruika
Traductores de español: zNagato, AndyJango
Traductor de alemán: G"&amp;"abriel
Traductor de ruso: Libeti
Traductor de coreano: maltesey
Traductores de vietnamita: IntenseLag, Nian Sprout
Asistencia en la compilación de datos: Luo Ran
")</f>
        <v>Este documento tiene como objetivo ayudar a los jugadores a resolver sus dudas y no tiene fines comerciales ni publicitarios.
Esta guía fue creada por un jugador taiwanés, por lo que está principalmente en chino tradicional. Disculpen cualquier traducción incorrecta a otros idiomas.
El editor es un jugador y la mayor parte de la información inédita se obtuvo consultando fuentes oficiales. Por lo tanto, es posible que falten mecanismos no descubiertos. Si encuentran algún mecanismo no descubierto, omisión o anomalía en el documento, no duden en contactar al editor.
Pueden reimprimir contenido de otros sitios web (de forma gratuita) o agregar contenido a este documento. No duden en contactarnos.
Discord del editor: RORO#3330
O pueden contactarme en gameconlch@gmail.com. Gracias por su colaboración.
Creación del mapa: Discord: mioakatukaze
Traductor de chino simplificado: ShigeLuna
Traductor de japonés: 눈_눈
Traductor de inglés: Ruika
Traductores de español: zNagato, AndyJango
Traductor de alemán: Gabriel
Traductor de ruso: Libeti
Traductor de coreano: maltesey
Traductores de vietnamita: IntenseLag, Nian Sprout
Asistencia en la compilación de datos: Luo Ran
</v>
      </c>
      <c r="F14" s="26" t="str">
        <f>IFERROR(__xludf.DUMMYFUNCTION("GOOGLETRANSLATE(A14,""zh-tw"",""KO"")"),"이 문서는 플레이어 여러분의 궁금증을 해소하는 데 도움을 드리기 위한 것이며, 상업적 또는 광고 목적으로 작성되지 않았습니다!
이 가이드는 대만 플레이어가 작성했으므로 주로 중국어 번체로 작성되었습니다. 다른 언어로 번역된 부분이 다소 어색하더라도 양해 부탁드립니다.
편집자는 플레이어이며, 미공개 정보의 대부분은 공식 출처를 참고하여 수집했습니다. 따라서 발견되지 않은 메커니즘이 누락되었을 수 있습니다. 문서에서 발견되지 않은 메커니즘, 누락 또는 "&amp;"오류를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mioakatukaze
중국어 간체 번역: ShigeLuna
일본어 번역: 눈_눈
영어 번역: Ruika
스페인어 번역: zNa"&amp;"gato, AndyJango
독일어 번역: Gabriel
러시아어 번역: Libeti
한국어 번역: maltesey
베트남어 번역: IntenseLag, Nian Sprout
데이터 수집 지원: Luo Ran
")</f>
        <v>이 문서는 플레이어 여러분의 궁금증을 해소하는 데 도움을 드리기 위한 것이며, 상업적 또는 광고 목적으로 작성되지 않았습니다!
이 가이드는 대만 플레이어가 작성했으므로 주로 중국어 번체로 작성되었습니다. 다른 언어로 번역된 부분이 다소 어색하더라도 양해 부탁드립니다.
편집자는 플레이어이며, 미공개 정보의 대부분은 공식 출처를 참고하여 수집했습니다. 따라서 발견되지 않은 메커니즘이 누락되었을 수 있습니다. 문서에서 발견되지 않은 메커니즘, 누락 또는 오류를 발견하시면 언제든지 편집자에게 문의해 주세요.
다른 웹사이트의 콘텐츠를 무료로 재인쇄하거나 이 양식에 다른 콘텐츠를 추가할 수 있습니다. 언제든지 문의해 주세요.
편집자 디스코드: RORO#3330
또는 gameconlch@gmail.com으로 연락해 주세요. 협조해 주셔서 감사합니다.
지도 제작: Discord: mioakatukaze
중국어 간체 번역: ShigeLuna
일본어 번역: 눈_눈
영어 번역: Ruika
스페인어 번역: zNagato, AndyJango
독일어 번역: Gabriel
러시아어 번역: Libeti
한국어 번역: maltesey
베트남어 번역: IntenseLag, Nian Sprout
데이터 수집 지원: Luo Ran
</v>
      </c>
      <c r="G14" s="26" t="str">
        <f>IFERROR(__xludf.DUMMYFUNCTION("GOOGLETRANSLATE(A14,""zh-tw"",""RU"")"),"Этот документ призван помочь игрокам разрешить их сомнения и не предназначен для коммерческих или рекламных целей!
Это руководство создано тайваньским игроком, поэтому оно преимущественно на традиционном китайском языке. Приносим извинения за возможные н"&amp;"еловкие переводы на другие языки.
Редактор — игрок, и большая часть неопубликованной информации была получена путем консультаций с официальными источниками. Поэтому в документе могут отсутствовать неизвестные механизмы. Если вы обнаружите какие-либо неиз"&amp;"вестные механизмы, упущения или аномалии, пожалуйста, свяжитесь с редактором.
Вы можете перепечатывать материалы с других сайтов (бесплатно) или добавлять другой контент в эту форму. Пожалуйста, свяжитесь с нами.
Discord редактора: RORO#3330
Или свяжите"&amp;"сь со мной по адресу gameconlch@gmail.com. Благодарим за сотрудничество.
Создание карты: Discord: mioakatukaze
Переводчик на упрощенный китайский: ShigeLuna
Переводчик на японский: 눈_눈
Переводчик на английский: Ruika
Переводчики на испанский: zNagato, An"&amp;"dyJango
Переводчик на немецкий: Gabriel
Переводчик на русский: Libeti
Переводчик на корейский: maltesey
Переводчик на вьетнамский: IntenseLag, Nian Sprout
Помощь в компиляции данных: Luo Ran
")</f>
        <v>Этот документ призван помочь игрокам разрешить их сомнения и не предназначен для коммерческих или рекламных целей!
Это руководство создано тайваньским игроком, поэтому оно преимущественно на традиционном китайском языке. Приносим извинения за возможные неловкие переводы на другие языки.
Редактор — игрок, и большая часть неопубликованной информации была получена путем консультаций с официальными источниками. Поэтому в документе могут отсутствовать неизвестные механизмы. Если вы обнаружите какие-либо неизвестные механизмы, упущения или аномалии, пожалуйста, свяжитесь с редактором.
Вы можете перепечатывать материалы с других сайтов (бесплатно) или добавлять другой контент в эту форму. Пожалуйста, свяжитесь с нами.
Discord редактора: RORO#3330
Или свяжитесь со мной по адресу gameconlch@gmail.com. Благодарим за сотрудничество.
Создание карты: Discord: mioakatukaze
Переводчик на упрощенный китайский: ShigeLuna
Переводчик на японский: 눈_눈
Переводчик на английский: Ruika
Переводчики на испанский: zNagato, AndyJango
Переводчик на немецкий: Gabriel
Переводчик на русский: Libeti
Переводчик на корейский: maltesey
Переводчик на вьетнамский: IntenseLag, Nian Sprout
Помощь в компиляции данных: Luo Ran
</v>
      </c>
      <c r="H14" s="26" t="str">
        <f>IFERROR(__xludf.DUMMYFUNCTION("GOOGLETRANSLATE(A14,""zh-tw"",""DE"")"),"Dieses Dokument soll Spielern bei der Klärung ihrer Fragen helfen und dient nicht kommerziellen oder Werbezwecken!
Dieser Leitfaden wurde von einem taiwanesischen Spieler erstellt und ist daher hauptsächlich in traditionellem Chinesisch verfasst. Wir bit"&amp;"ten um Entschuldigung für eventuelle holprige Übersetzungen in andere Sprachen.
Der Herausgeber ist ebenfalls Spieler, und die meisten unveröffentlichten Informationen stammen aus offiziellen Quellen. Daher können unentdeckte Spielmechaniken fehlen. Soll"&amp;"ten Sie unentdeckte Mechanismen, Auslassungen oder Anomalien im Dokument finden, kontaktieren Sie bitte den Herausgeber.
Sie können Inhalte von anderen Webseiten (kostenlos) übernehmen oder diesem Formular weitere Inhalte hinzufügen. Kontaktieren Sie uns"&amp;" gerne.
Discord des Herausgebers: RORO#3330
Oder kontaktieren Sie mich unter gameconlch@gmail.com. Vielen Dank für Ihre Mitarbeit.
Kartenerstellung: Discord: mioakatukaze
Übersetzer (Vereinfachtes Chinesisch): ShigeLuna
Übersetzer (Japanisch): 눈_눈
Übers"&amp;"etzer (Englisch): Ruika
Übersetzer (Spanisch): zNagato, AndyJango
Übersetzer (Deutsch): Gabriel
Übersetzer (Russisch): Libeti
Übersetzer (Koreanisch): maltesey
Übersetzer (Vietnamesisch): IntenseLag, Nian Sprout
Unterstützung bei der Datenerfassung: Luo R"&amp;"an
")</f>
        <v>Dieses Dokument soll Spielern bei der Klärung ihrer Fragen helfen und dient nicht kommerziellen oder Werbezwecken!
Dieser Leitfaden wurde von einem taiwanesischen Spieler erstellt und ist daher hauptsächlich in traditionellem Chinesisch verfasst. Wir bitten um Entschuldigung für eventuelle holprige Übersetzungen in andere Sprachen.
Der Herausgeber ist ebenfalls Spieler, und die meisten unveröffentlichten Informationen stammen aus offiziellen Quellen. Daher können unentdeckte Spielmechaniken fehlen. Sollten Sie unentdeckte Mechanismen, Auslassungen oder Anomalien im Dokument finden, kontaktieren Sie bitte den Herausgeber.
Sie können Inhalte von anderen Webseiten (kostenlos) übernehmen oder diesem Formular weitere Inhalte hinzufügen. Kontaktieren Sie uns gerne.
Discord des Herausgebers: RORO#3330
Oder kontaktieren Sie mich unter gameconlch@gmail.com. Vielen Dank für Ihre Mitarbeit.
Kartenerstellung: Discord: mioakatukaze
Übersetzer (Vereinfachtes Chinesisch): ShigeLuna
Übersetzer (Japanisch): 눈_눈
Übersetzer (Englisch): Ruika
Übersetzer (Spanisch): zNagato, AndyJango
Übersetzer (Deutsch): Gabriel
Übersetzer (Russisch): Libeti
Übersetzer (Koreanisch): maltesey
Übersetzer (Vietnamesisch): IntenseLag, Nian Sprout
Unterstützung bei der Datenerfassung: Luo Ran
</v>
      </c>
      <c r="I14" s="28" t="s">
        <v>53</v>
      </c>
      <c r="J14" s="17"/>
      <c r="K14" s="17"/>
      <c r="L14" s="17"/>
      <c r="M14" s="17"/>
      <c r="N14" s="17"/>
      <c r="O14" s="17"/>
      <c r="P14" s="17"/>
      <c r="Q14" s="17"/>
      <c r="R14" s="17"/>
      <c r="S14" s="17"/>
      <c r="T14" s="17"/>
      <c r="U14" s="17"/>
      <c r="V14" s="17"/>
      <c r="W14" s="17"/>
    </row>
    <row r="15">
      <c r="A15" s="29" t="s">
        <v>54</v>
      </c>
      <c r="B15" s="29" t="str">
        <f>IFERROR(__xludf.DUMMYFUNCTION("GOOGLETRANSLATE(A15,""zh-tw"",""ja"")"),"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関連する問題については、公式Discordフォーラムで他のプレイヤーと話し合ってください。ご"&amp;"協力ありがとうございます！")</f>
        <v>ゲームは現在ベータ版です。トレーラーに表示されている画像は、ゲームが実装されていることを示すものではありません。そのため、まだできないことについての質問はご遠慮ください。回答は常に「まだ実装されていません」となります。
現在、このセクションでは、不足しているファイルコンテンツに関する質問のみ受け付けています。ゲームコンテンツに関する質問やバグ報告は受け付けておりません。メールでのお問い合わせはご遠慮ください。
関連する問題については、公式Discordフォーラムで他のプレイヤーと話し合ってください。ご協力ありがとうございます！</v>
      </c>
      <c r="C15" s="30" t="str">
        <f>IFERROR(__xludf.DUMMYFUNCTION("GOOGLETRANSLATE(A15,""zh-tw"",""en"")"),"The game is currently in beta. The images shown in the trailers do not indicate that the game is implemented. Therefore, please do not ask how to do things that are not yet possible; the answer will always be ""not done yet.""
Currently, this section onl"&amp;"y accepts questions related to missing file content. We do not accept any questions about game content or bug reports. Please do not send inquiries via email.
For related issues, please discuss them with other players on the official Discord forum. Thank"&amp;" you for your cooperation!")</f>
        <v>The game is currently in beta. The images shown in the trailers do not indicate that the game is implemented. Therefore, please do not ask how to do things that are not yet possible; the answer will always be "not done yet."
Currently, this section only accepts questions related to missing file content. We do not accept any questions about game content or bug reports. Please do not send inquiries via email.
For related issues, please discuss them with other players on the official Discord forum. Thank you for your cooperation!</v>
      </c>
      <c r="D15" s="31" t="s">
        <v>55</v>
      </c>
      <c r="E15" s="15" t="str">
        <f>IFERROR(__xludf.DUMMYFUNCTION("GOOGLETRANSLATE(A15,""zh-tw"",""es-MX"")"),"El juego se encuentra actualmente en fase beta. Las imágenes mostradas en los tráileres no indican que el juego esté implementado. Por lo tanto, no pregunten cómo hacer cosas que aún no son posibles; la respuesta siempre será «aún no está implementado».
"&amp;"Actualmente, esta sección solo acepta preguntas relacionadas con archivos faltantes. No aceptamos preguntas sobre el contenido del juego ni informes de errores. No envíen consultas por correo electrónico.
Para problemas relacionados, consulten con otros "&amp;"jugadores en el foro oficial de Discord. ¡Gracias por su cooperación!")</f>
        <v>El juego se encuentra actualmente en fase beta. Las imágenes mostradas en los tráileres no indican que el juego esté implementado. Por lo tanto, no pregunten cómo hacer cosas que aún no son posibles; la respuesta siempre será «aún no está implementado».
Actualmente, esta sección solo acepta preguntas relacionadas con archivos faltantes. No aceptamos preguntas sobre el contenido del juego ni informes de errores. No envíen consultas por correo electrónico.
Para problemas relacionados, consulten con otros jugadores en el foro oficial de Discord. ¡Gracias por su cooperación!</v>
      </c>
      <c r="F15" s="15" t="str">
        <f>IFERROR(__xludf.DUMMYFUNCTION("GOOGLETRANSLATE(A15,""zh-tw"",""KO"")"),"이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주"&amp;"세요. 협조해 주셔서 감사합니다!")</f>
        <v>이 게임은 현재 베타 버전입니다. 트레일러에 표시된 이미지는 게임이 구현되었음을 나타내지 않습니다. 따라서 아직 구현되지 않은 작업을 수행하는 방법에 대한 질문은 하지 마십시오. 답변은 항상 "아직 완료되지 않았습니다"입니다.
현재 이 섹션에서는 누락된 파일 콘텐츠와 관련된 질문만 받습니다. 게임 콘텐츠나 버그 신고에 대한 질문은 받지 않습니다. 이메일로 문의를 보내지 마십시오.
관련 문제는 공식 Discord 포럼에서 다른 플레이어와 논의해 주세요. 협조해 주셔서 감사합니다!</v>
      </c>
      <c r="G15" s="15" t="str">
        <f>IFERROR(__xludf.DUMMYFUNCTION("GOOGLETRANSLATE(A15,""zh-tw"",""RU"")"),"Игра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"&amp;"время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вопросам, связанным с этим, по"&amp;"жалуйста, обсудите их с другими игроками на официальном форуме Discord. Благодарим за сотрудничество!")</f>
        <v>Игра в настоящее время находится в стадии бета-тестирования. Изображения в трейлерах не указывают на то, что игра уже реализована. Поэтому, пожалуйста, не спрашивайте, как сделать то, что пока невозможно; ответ всегда будет «ещё не сделано».
В настоящее время этот раздел принимает только вопросы, связанные с отсутствующим содержимым файлов. Мы не принимаем вопросы об игровом контенте или сообщения об ошибках. Пожалуйста, не отправляйте запросы по электронной почте.
По всем вопросам, связанным с этим, пожалуйста, обсудите их с другими игроками на официальном форуме Discord. Благодарим за сотрудничество!</v>
      </c>
      <c r="H15" s="15" t="str">
        <f>IFERROR(__xludf.DUMMYFUNCTION("GOOGLETRANSLATE(A15,""zh-tw"",""DE"")"),"Das Spiel befindet sich aktuell in der Beta-Phase. Die in den Trailern gezeigten Bilder lassen nicht darauf schließen, dass das Spiel bereits implementiert ist. Bitte fragt daher nicht nach Dingen, die noch nicht möglich sind; die Antwort lautet immer: „N"&amp;"och nicht fertig“.
In diesem Bereich werden derzeit nur Fragen zu fehlenden Spieldateien beantwortet. Fragen zum Spielinhalt oder Fehlerberichte werden nicht entgegengenommen. Bitte sendet keine Anfragen per E-Mail.
Bei ähnlichen Problemen wendet euch b"&amp;"itte an andere Spieler im offiziellen Discord-Forum. Vielen Dank für eure Mitarbeit!")</f>
        <v>Das Spiel befindet sich aktuell in der Beta-Phase. Die in den Trailern gezeigten Bilder lassen nicht darauf schließen, dass das Spiel bereits implementiert ist. Bitte fragt daher nicht nach Dingen, die noch nicht möglich sind; die Antwort lautet immer: „Noch nicht fertig“.
In diesem Bereich werden derzeit nur Fragen zu fehlenden Spieldateien beantwortet. Fragen zum Spielinhalt oder Fehlerberichte werden nicht entgegengenommen. Bitte sendet keine Anfragen per E-Mail.
Bei ähnlichen Problemen wendet euch bitte an andere Spieler im offiziellen Discord-Forum. Vielen Dank für eure Mitarbeit!</v>
      </c>
      <c r="I15" s="32" t="s">
        <v>56</v>
      </c>
      <c r="J15" s="17"/>
      <c r="K15" s="17"/>
      <c r="L15" s="17"/>
      <c r="M15" s="17"/>
      <c r="N15" s="17"/>
      <c r="O15" s="17"/>
      <c r="P15" s="17"/>
      <c r="Q15" s="17"/>
      <c r="R15" s="17"/>
      <c r="S15" s="17"/>
      <c r="T15" s="17"/>
      <c r="U15" s="17"/>
      <c r="V15" s="17"/>
      <c r="W15" s="17"/>
    </row>
    <row r="16">
      <c r="A16" s="33" t="s">
        <v>57</v>
      </c>
      <c r="B16" s="14"/>
      <c r="C16" s="34"/>
      <c r="D16" s="35" t="s">
        <v>58</v>
      </c>
      <c r="E16" s="15"/>
      <c r="F16" s="15"/>
      <c r="G16" s="15"/>
      <c r="H16" s="15"/>
      <c r="I16" s="36"/>
      <c r="J16" s="17"/>
      <c r="K16" s="17"/>
      <c r="L16" s="17"/>
      <c r="M16" s="17"/>
      <c r="N16" s="17"/>
      <c r="O16" s="17"/>
      <c r="P16" s="17"/>
      <c r="Q16" s="17"/>
      <c r="R16" s="17"/>
      <c r="S16" s="17"/>
      <c r="T16" s="17"/>
      <c r="U16" s="17"/>
      <c r="V16" s="17"/>
      <c r="W16" s="17"/>
    </row>
    <row r="17">
      <c r="A17" s="37"/>
      <c r="B17" s="37"/>
      <c r="C17" s="37"/>
      <c r="D17" s="38"/>
      <c r="E17" s="15"/>
      <c r="F17" s="15"/>
      <c r="G17" s="15"/>
      <c r="H17" s="15"/>
      <c r="I17" s="36"/>
      <c r="J17" s="17"/>
      <c r="K17" s="17"/>
      <c r="L17" s="17"/>
      <c r="M17" s="17"/>
      <c r="N17" s="17"/>
      <c r="O17" s="17"/>
      <c r="P17" s="17"/>
      <c r="Q17" s="17"/>
      <c r="R17" s="17"/>
      <c r="S17" s="17"/>
      <c r="T17" s="17"/>
      <c r="U17" s="17"/>
      <c r="V17" s="17"/>
      <c r="W17" s="17"/>
    </row>
    <row r="18">
      <c r="A18" s="14"/>
      <c r="B18" s="14"/>
      <c r="C18" s="14"/>
      <c r="D18" s="14"/>
      <c r="E18" s="15"/>
      <c r="F18" s="15"/>
      <c r="G18" s="15"/>
      <c r="H18" s="15"/>
      <c r="I18" s="36"/>
      <c r="J18" s="17"/>
      <c r="K18" s="17"/>
      <c r="L18" s="17"/>
      <c r="M18" s="17"/>
      <c r="N18" s="17"/>
      <c r="O18" s="17"/>
      <c r="P18" s="17"/>
      <c r="Q18" s="17"/>
      <c r="R18" s="17"/>
      <c r="S18" s="17"/>
      <c r="T18" s="17"/>
      <c r="U18" s="17"/>
      <c r="V18" s="17"/>
      <c r="W18" s="17"/>
    </row>
    <row r="19">
      <c r="A19" s="39" t="s">
        <v>59</v>
      </c>
      <c r="B19" s="39" t="str">
        <f>IFERROR(__xludf.DUMMYFUNCTION("GOOGLETRANSLATE(A19,""zh-tw"",""ja"")"),"作業ログを編集する")</f>
        <v>作業ログを編集する</v>
      </c>
      <c r="C19" s="40" t="str">
        <f>IFERROR(__xludf.DUMMYFUNCTION("GOOGLETRANSLATE(A19,""zh-tw"",""en"")"),"Edit work log")</f>
        <v>Edit work log</v>
      </c>
      <c r="D19" s="39" t="str">
        <f>IFERROR(__xludf.DUMMYFUNCTION("GOOGLETRANSLATE(A19,""zh-tw"",""zh"")"),"编辑工作日志")</f>
        <v>编辑工作日志</v>
      </c>
      <c r="E19" s="41" t="str">
        <f>IFERROR(__xludf.DUMMYFUNCTION("GOOGLETRANSLATE(A19,""zh-tw"",""es-MX"")"),"Editar registro de trabajo")</f>
        <v>Editar registro de trabajo</v>
      </c>
      <c r="F19" s="41" t="str">
        <f>IFERROR(__xludf.DUMMYFUNCTION("GOOGLETRANSLATE(A19,""zh-tw"",""KO"")"),"작업 로그 편집")</f>
        <v>작업 로그 편집</v>
      </c>
      <c r="G19" s="41" t="str">
        <f>IFERROR(__xludf.DUMMYFUNCTION("GOOGLETRANSLATE(A19,""zh-tw"",""RU"")"),"Редактировать рабочий журнал")</f>
        <v>Редактировать рабочий журнал</v>
      </c>
      <c r="H19" s="41" t="str">
        <f>IFERROR(__xludf.DUMMYFUNCTION("GOOGLETRANSLATE(A19,""zh-tw"",""DE"")"),"Arbeitszeitprotokoll bearbeiten")</f>
        <v>Arbeitszeitprotokoll bearbeiten</v>
      </c>
      <c r="I19" s="42" t="s">
        <v>60</v>
      </c>
      <c r="J19" s="17"/>
      <c r="K19" s="17"/>
      <c r="L19" s="17"/>
      <c r="M19" s="17"/>
      <c r="N19" s="17"/>
      <c r="O19" s="17"/>
      <c r="P19" s="17"/>
      <c r="Q19" s="17"/>
      <c r="R19" s="17"/>
      <c r="S19" s="17"/>
      <c r="T19" s="17"/>
      <c r="U19" s="17"/>
      <c r="V19" s="17"/>
      <c r="W19" s="17"/>
    </row>
    <row r="20">
      <c r="A20" s="43" t="s">
        <v>61</v>
      </c>
      <c r="B20" s="43" t="str">
        <f>IFERROR(__xludf.DUMMYFUNCTION("GOOGLETRANSLATE(A20,""zh-tw"",""ja"")"),"2025年11月3日：バージョン0.85を追加：SLG-C-23～SLG-C-29、SLG-A-24")</f>
        <v>2025年11月3日：バージョン0.85を追加：SLG-C-23～SLG-C-29、SLG-A-24</v>
      </c>
      <c r="C20" s="44" t="str">
        <f>IFERROR(__xludf.DUMMYFUNCTION("GOOGLETRANSLATE(A20,""zh-tw"",""en"")"),"November 3, 2025: Added version 0.85: SLG-C-23~SLG-C-29, SLG-A-24")</f>
        <v>November 3, 2025: Added version 0.85: SLG-C-23~SLG-C-29, SLG-A-24</v>
      </c>
      <c r="D20" s="43" t="str">
        <f>IFERROR(__xludf.DUMMYFUNCTION("GOOGLETRANSLATE(A20,""zh-tw"",""zh"")"),"2025/11/3 新增0.85版本：SLG-C-23~SLG-C-29、SLG-A-24")</f>
        <v>2025/11/3 新增0.85版本：SLG-C-23~SLG-C-29、SLG-A-24</v>
      </c>
      <c r="E20" s="45" t="str">
        <f>IFERROR(__xludf.DUMMYFUNCTION("GOOGLETRANSLATE(A20,""zh-tw"",""es-MX"")"),"3 de noviembre de 2025: Se añadió la versión 0.85: SLG-C-23~SLG-C-29, SLG-A-24")</f>
        <v>3 de noviembre de 2025: Se añadió la versión 0.85: SLG-C-23~SLG-C-29, SLG-A-24</v>
      </c>
      <c r="F20" s="45" t="str">
        <f>IFERROR(__xludf.DUMMYFUNCTION("GOOGLETRANSLATE(A20,""zh-tw"",""KO"")"),"2025년 11월 3일: 버전 0.85 추가: SLG-C-23~SLG-C-29, SLG-A-24")</f>
        <v>2025년 11월 3일: 버전 0.85 추가: SLG-C-23~SLG-C-29, SLG-A-24</v>
      </c>
      <c r="G20" s="45" t="str">
        <f>IFERROR(__xludf.DUMMYFUNCTION("GOOGLETRANSLATE(A20,""zh-tw"",""RU"")"),"3 ноября 2025 г.: добавлена ​​версия 0.85: SLG-C-23~SLG-C-29, SLG-A-24")</f>
        <v>3 ноября 2025 г.: добавлена ​​версия 0.85: SLG-C-23~SLG-C-29, SLG-A-24</v>
      </c>
      <c r="H20" s="45" t="str">
        <f>IFERROR(__xludf.DUMMYFUNCTION("GOOGLETRANSLATE(A20,""zh-tw"",""DE"")"),"3. November 2025: Version 0.85 hinzugefügt: SLG-C-23 bis SLG-C-29, SLG-A-24")</f>
        <v>3. November 2025: Version 0.85 hinzugefügt: SLG-C-23 bis SLG-C-29, SLG-A-24</v>
      </c>
      <c r="I20" s="45" t="str">
        <f>IFERROR(__xludf.DUMMYFUNCTION("GOOGLETRANSLATE(A20,""zh-tw"",""vi"")"),"Ngày 3 tháng 11 năm 2025: Đã thêm phiên bản 0.85: SLG-C-23~SLG-C-29, SLG-A-24")</f>
        <v>Ngày 3 tháng 11 năm 2025: Đã thêm phiên bản 0.85: SLG-C-23~SLG-C-29, SLG-A-24</v>
      </c>
      <c r="J20" s="46"/>
      <c r="K20" s="46"/>
      <c r="L20" s="46"/>
      <c r="M20" s="46"/>
      <c r="N20" s="46"/>
      <c r="O20" s="46"/>
      <c r="P20" s="46"/>
      <c r="Q20" s="46"/>
      <c r="R20" s="46"/>
      <c r="S20" s="46"/>
      <c r="T20" s="46"/>
      <c r="U20" s="46"/>
      <c r="V20" s="46"/>
      <c r="W20" s="46"/>
    </row>
    <row r="21">
      <c r="A21" s="43" t="s">
        <v>62</v>
      </c>
      <c r="B21" s="43" t="str">
        <f>IFERROR(__xludf.DUMMYFUNCTION("GOOGLETRANSLATE(A21,""zh-tw"",""ja"")"),"2025年10月14日: 0.82Dを追加: R4、R68、アイテム+3")</f>
        <v>2025年10月14日: 0.82Dを追加: R4、R68、アイテム+3</v>
      </c>
      <c r="C21" s="44" t="str">
        <f>IFERROR(__xludf.DUMMYFUNCTION("GOOGLETRANSLATE(A21,""zh-tw"",""en"")"),"October 14, 2025: Added 0.82D: R4, R68, Items +3")</f>
        <v>October 14, 2025: Added 0.82D: R4, R68, Items +3</v>
      </c>
      <c r="D21" s="43" t="str">
        <f>IFERROR(__xludf.DUMMYFUNCTION("GOOGLETRANSLATE(A21,""zh-tw"",""zh"")"),"2025/10/14 新增0.82D：R4、R68、Items +3")</f>
        <v>2025/10/14 新增0.82D：R4、R68、Items +3</v>
      </c>
      <c r="E21" s="45" t="str">
        <f>IFERROR(__xludf.DUMMYFUNCTION("GOOGLETRANSLATE(A21,""zh-tw"",""es-MX"")"),"14 de octubre de 2025: Añadido 0.82D: R4, R68, Artículos +3")</f>
        <v>14 de octubre de 2025: Añadido 0.82D: R4, R68, Artículos +3</v>
      </c>
      <c r="F21" s="45" t="str">
        <f>IFERROR(__xludf.DUMMYFUNCTION("GOOGLETRANSLATE(A21,""zh-tw"",""KO"")"),"2025년 10월 14일: 0.82D 추가: R4, R68, 아이템 +3")</f>
        <v>2025년 10월 14일: 0.82D 추가: R4, R68, 아이템 +3</v>
      </c>
      <c r="G21" s="45" t="str">
        <f>IFERROR(__xludf.DUMMYFUNCTION("GOOGLETRANSLATE(A21,""zh-tw"",""RU"")"),"14 октября 2025 г.: добавлено 0.82D: R4, R68, предметы +3")</f>
        <v>14 октября 2025 г.: добавлено 0.82D: R4, R68, предметы +3</v>
      </c>
      <c r="H21" s="45" t="str">
        <f>IFERROR(__xludf.DUMMYFUNCTION("GOOGLETRANSLATE(A21,""zh-tw"",""DE"")"),"14. Oktober 2025: Hinzugefügt 0.82D: R4, R68, Gegenstände +3")</f>
        <v>14. Oktober 2025: Hinzugefügt 0.82D: R4, R68, Gegenstände +3</v>
      </c>
      <c r="I21" s="45" t="str">
        <f>IFERROR(__xludf.DUMMYFUNCTION("GOOGLETRANSLATE(A21,""zh-tw"",""vi"")"),"Ngày 14 tháng 10 năm 2025: Thêm 0.82D: R4, R68, Vật phẩm +3")</f>
        <v>Ngày 14 tháng 10 năm 2025: Thêm 0.82D: R4, R68, Vật phẩm +3</v>
      </c>
      <c r="J21" s="46"/>
      <c r="K21" s="46"/>
      <c r="L21" s="46"/>
      <c r="M21" s="46"/>
      <c r="N21" s="46"/>
      <c r="O21" s="46"/>
      <c r="P21" s="46"/>
      <c r="Q21" s="46"/>
      <c r="R21" s="46"/>
      <c r="S21" s="46"/>
      <c r="T21" s="46"/>
      <c r="U21" s="46"/>
      <c r="V21" s="46"/>
      <c r="W21" s="46"/>
    </row>
    <row r="22">
      <c r="A22" s="43" t="s">
        <v>63</v>
      </c>
      <c r="B22" s="43" t="str">
        <f>IFERROR(__xludf.DUMMYFUNCTION("GOOGLETRANSLATE(A22,""zh-tw"",""ja"")"),"2025年10月6日にベトナム語翻訳を追加しました。")</f>
        <v>2025年10月6日にベトナム語翻訳を追加しました。</v>
      </c>
      <c r="C22" s="44" t="str">
        <f>IFERROR(__xludf.DUMMYFUNCTION("GOOGLETRANSLATE(A22,""zh-tw"",""en"")"),"Added Vietnamese translation on October 6, 2025.")</f>
        <v>Added Vietnamese translation on October 6, 2025.</v>
      </c>
      <c r="D22" s="43" t="str">
        <f>IFERROR(__xludf.DUMMYFUNCTION("GOOGLETRANSLATE(A22,""zh-tw"",""zh"")"),"2025/10/6 新增越南文的翻译")</f>
        <v>2025/10/6 新增越南文的翻译</v>
      </c>
      <c r="E22" s="45" t="str">
        <f>IFERROR(__xludf.DUMMYFUNCTION("GOOGLETRANSLATE(A22,""zh-tw"",""es-MX"")"),"Se añadió la traducción al vietnamita el 6 de octubre de 2025.")</f>
        <v>Se añadió la traducción al vietnamita el 6 de octubre de 2025.</v>
      </c>
      <c r="F22" s="45" t="str">
        <f>IFERROR(__xludf.DUMMYFUNCTION("GOOGLETRANSLATE(A22,""zh-tw"",""KO"")"),"2025년 10월 6일에 베트남어 번역이 추가되었습니다.")</f>
        <v>2025년 10월 6일에 베트남어 번역이 추가되었습니다.</v>
      </c>
      <c r="G22" s="45" t="str">
        <f>IFERROR(__xludf.DUMMYFUNCTION("GOOGLETRANSLATE(A22,""zh-tw"",""RU"")"),"Добавлен перевод на вьетнамский язык 6 октября 2025 г.")</f>
        <v>Добавлен перевод на вьетнамский язык 6 октября 2025 г.</v>
      </c>
      <c r="H22" s="45" t="str">
        <f>IFERROR(__xludf.DUMMYFUNCTION("GOOGLETRANSLATE(A22,""zh-tw"",""DE"")"),"Vietnamesische Übersetzung hinzugefügt am 6. Oktober 2025.")</f>
        <v>Vietnamesische Übersetzung hinzugefügt am 6. Oktober 2025.</v>
      </c>
      <c r="I22" s="47" t="s">
        <v>64</v>
      </c>
      <c r="J22" s="46"/>
      <c r="K22" s="46"/>
      <c r="L22" s="46"/>
      <c r="M22" s="46"/>
      <c r="N22" s="46"/>
      <c r="O22" s="46"/>
      <c r="P22" s="46"/>
      <c r="Q22" s="46"/>
      <c r="R22" s="46"/>
      <c r="S22" s="46"/>
      <c r="T22" s="46"/>
      <c r="U22" s="46"/>
      <c r="V22" s="46"/>
      <c r="W22" s="46"/>
    </row>
    <row r="23">
      <c r="A23" s="43" t="s">
        <v>65</v>
      </c>
      <c r="B23" s="43" t="str">
        <f>IFERROR(__xludf.DUMMYFUNCTION("GOOGLETRANSLATE(A23,""zh-tw"",""ja"")"),"2025/10/1
0.82 アップデート:
R21、R66～R68、R83～89、武器-45～49、ドロップ-15、47～49、ギア-75～78、ヒント-106～112")</f>
        <v>2025/10/1
0.82 アップデート:
R21、R66～R68、R83～89、武器-45～49、ドロップ-15、47～49、ギア-75～78、ヒント-106～112</v>
      </c>
      <c r="C23" s="44" t="str">
        <f>IFERROR(__xludf.DUMMYFUNCTION("GOOGLETRANSLATE(A23,""zh-tw"",""en"")"),"2025/10/1
0.82 update:
R21, R66~R68, R83~89, Weap-45~49, Drops-15, 47~49, Gears-75~78, TIPS-106~112")</f>
        <v>2025/10/1
0.82 update:
R21, R66~R68, R83~89, Weap-45~49, Drops-15, 47~49, Gears-75~78, TIPS-106~112</v>
      </c>
      <c r="D23" s="43" t="str">
        <f>IFERROR(__xludf.DUMMYFUNCTION("GOOGLETRANSLATE(A23,""zh-tw"",""zh"")"),"2025/10/1
0.82 update：
R21、R66~R68、R83~89、Weap-45~49、Drops-15、47~49、Gears-75~78、TIPS-106~112")</f>
        <v>2025/10/1
0.82 update：
R21、R66~R68、R83~89、Weap-45~49、Drops-15、47~49、Gears-75~78、TIPS-106~112</v>
      </c>
      <c r="E23" s="45" t="str">
        <f>IFERROR(__xludf.DUMMYFUNCTION("GOOGLETRANSLATE(A23,""zh-tw"",""es-MX"")"),"01/10/2025
Actualización 0.82: Rangos 21, 66-68, 83-89; Armas: 45-49; Objetos: 15, 47-49; Engranajes: 75-78; Consejos: 106-112")</f>
        <v>01/10/2025
Actualización 0.82: Rangos 21, 66-68, 83-89; Armas: 45-49; Objetos: 15, 47-49; Engranajes: 75-78; Consejos: 106-112</v>
      </c>
      <c r="F23" s="45" t="str">
        <f>IFERROR(__xludf.DUMMYFUNCTION("GOOGLETRANSLATE(A23,""zh-tw"",""KO"")"),"2025년 10월 1일
0.82 업데이트:
R21, R66~R68, R83~89, 무기-45~49, 드랍-15, 47~49, 장비-75~78, 팁-106~112")</f>
        <v>2025년 10월 1일
0.82 업데이트:
R21, R66~R68, R83~89, 무기-45~49, 드랍-15, 47~49, 장비-75~78, 팁-106~112</v>
      </c>
      <c r="G23" s="45" t="str">
        <f>IFERROR(__xludf.DUMMYFUNCTION("GOOGLETRANSLATE(A23,""zh-tw"",""RU"")"),"1 октября 2025 г.
Обновление 0.82:
R21, R66~R68, R83~89, Оружие 45~49, Дропы 15, 47~49, Штурм 75~78, Советы 106~112")</f>
        <v>1 октября 2025 г.
Обновление 0.82:
R21, R66~R68, R83~89, Оружие 45~49, Дропы 15, 47~49, Штурм 75~78, Советы 106~112</v>
      </c>
      <c r="H23" s="45" t="str">
        <f>IFERROR(__xludf.DUMMYFUNCTION("GOOGLETRANSLATE(A23,""zh-tw"",""DE"")"),"01.10.2025
Update 0.82:
R21, R66–R68, R83–89, Waffen 45–49, Beute 15, 47–49, Ausrüstung 75–78, Spitzen 106–112")</f>
        <v>01.10.2025
Update 0.82:
R21, R66–R68, R83–89, Waffen 45–49, Beute 15, 47–49, Ausrüstung 75–78, Spitzen 106–112</v>
      </c>
      <c r="I23" s="48" t="s">
        <v>66</v>
      </c>
      <c r="J23" s="46"/>
      <c r="K23" s="46"/>
      <c r="L23" s="46"/>
      <c r="M23" s="46"/>
      <c r="N23" s="46"/>
      <c r="O23" s="46"/>
      <c r="P23" s="46"/>
      <c r="Q23" s="46"/>
      <c r="R23" s="46"/>
      <c r="S23" s="46"/>
      <c r="T23" s="46"/>
      <c r="U23" s="46"/>
      <c r="V23" s="46"/>
      <c r="W23" s="46"/>
    </row>
    <row r="24">
      <c r="A24" s="43" t="s">
        <v>67</v>
      </c>
      <c r="B24" s="43" t="str">
        <f>IFERROR(__xludf.DUMMYFUNCTION("GOOGLETRANSLATE(A24,""zh-tw"",""ja"")"),"2025/9/14 0.81アップデート:
R69~R82, R24/TIPS 105~106/ドロップ 46/武器 45.46/ギア 64~74/アイテム 42")</f>
        <v>2025/9/14 0.81アップデート:
R69~R82, R24/TIPS 105~106/ドロップ 46/武器 45.46/ギア 64~74/アイテム 42</v>
      </c>
      <c r="C24" s="44" t="str">
        <f>IFERROR(__xludf.DUMMYFUNCTION("GOOGLETRANSLATE(A24,""zh-tw"",""en"")"),"2025/9/14 0.81update:
R69~R82, R24/TIPS 105~106/Drops 46/Weap 45.46/Gears 64~74/Items 42")</f>
        <v>2025/9/14 0.81update:
R69~R82, R24/TIPS 105~106/Drops 46/Weap 45.46/Gears 64~74/Items 42</v>
      </c>
      <c r="D24" s="43" t="str">
        <f>IFERROR(__xludf.DUMMYFUNCTION("GOOGLETRANSLATE(A24,""zh-tw"",""zh"")"),"2025/9/14 0.81update：
R69~R82、R24/TIPS 105~106/Drops 46/Weap 45.46/Gears 64~74/Items 42")</f>
        <v>2025/9/14 0.81update：
R69~R82、R24/TIPS 105~106/Drops 46/Weap 45.46/Gears 64~74/Items 42</v>
      </c>
      <c r="E24" s="45" t="str">
        <f>IFERROR(__xludf.DUMMYFUNCTION("GOOGLETRANSLATE(A24,""zh-tw"",""es-MX"")"),"Actualización 0.81 del 14/09/2025: R69~R82, R24/CONSEJOS 105~106/Botín 46/Armas 45.46/Equipamiento 64~74/Objetos 42")</f>
        <v>Actualización 0.81 del 14/09/2025: R69~R82, R24/CONSEJOS 105~106/Botín 46/Armas 45.46/Equipamiento 64~74/Objetos 42</v>
      </c>
      <c r="F24" s="45" t="str">
        <f>IFERROR(__xludf.DUMMYFUNCTION("GOOGLETRANSLATE(A24,""zh-tw"",""KO"")"),"2025년 9월 14일 0.81 업데이트:
R69~R82, R24/팁 105~106/드랍 46/무기 45.46/장비 64~74/아이템 42")</f>
        <v>2025년 9월 14일 0.81 업데이트:
R69~R82, R24/팁 105~106/드랍 46/무기 45.46/장비 64~74/아이템 42</v>
      </c>
      <c r="G24" s="45" t="str">
        <f>IFERROR(__xludf.DUMMYFUNCTION("GOOGLETRANSLATE(A24,""zh-tw"",""RU"")"),"Обновление 0.81 от 14.09.2025:
R69~R82, R24/Советы 105~106/Добыча 46/Оружие 45,46/Снаряжение 64~74/Предметы 42")</f>
        <v>Обновление 0.81 от 14.09.2025:
R69~R82, R24/Советы 105~106/Добыча 46/Оружие 45,46/Снаряжение 64~74/Предметы 42</v>
      </c>
      <c r="H24" s="45" t="str">
        <f>IFERROR(__xludf.DUMMYFUNCTION("GOOGLETRANSLATE(A24,""zh-tw"",""DE"")"),"Update 0.81 vom 14.09.2025:
R69–R82, R24/Tipps 105–106/Beute 46/Waffen 45,46/Ausrüstung 64–74/Gegenstände 42")</f>
        <v>Update 0.81 vom 14.09.2025:
R69–R82, R24/Tipps 105–106/Beute 46/Waffen 45,46/Ausrüstung 64–74/Gegenstände 42</v>
      </c>
      <c r="I24" s="49" t="s">
        <v>68</v>
      </c>
      <c r="J24" s="46"/>
      <c r="K24" s="46"/>
      <c r="L24" s="46"/>
      <c r="M24" s="46"/>
      <c r="N24" s="46"/>
      <c r="O24" s="46"/>
      <c r="P24" s="46"/>
      <c r="Q24" s="46"/>
      <c r="R24" s="46"/>
      <c r="S24" s="46"/>
      <c r="T24" s="46"/>
      <c r="U24" s="46"/>
      <c r="V24" s="46"/>
      <c r="W24" s="46"/>
    </row>
    <row r="25">
      <c r="A25" s="43" t="s">
        <v>69</v>
      </c>
      <c r="B25" s="43" t="str">
        <f>IFERROR(__xludf.DUMMYFUNCTION("GOOGLETRANSLATE(A25,""zh-tw"",""ja"")"),"2025 年 9 月 4 日にビデオ/オーディオのページネーションを追加しました。")</f>
        <v>2025 年 9 月 4 日にビデオ/オーディオのページネーションを追加しました。</v>
      </c>
      <c r="C25" s="44" t="str">
        <f>IFERROR(__xludf.DUMMYFUNCTION("GOOGLETRANSLATE(A25,""zh-tw"",""en"")"),"Added video/audio pagination on September 4, 2025.")</f>
        <v>Added video/audio pagination on September 4, 2025.</v>
      </c>
      <c r="D25" s="43" t="str">
        <f>IFERROR(__xludf.DUMMYFUNCTION("GOOGLETRANSLATE(A25,""zh-tw"",""zh"")"),"2025/9/4 新增影音分页")</f>
        <v>2025/9/4 新增影音分页</v>
      </c>
      <c r="E25" s="45" t="str">
        <f>IFERROR(__xludf.DUMMYFUNCTION("GOOGLETRANSLATE(A25,""zh-tw"",""es-MX"")"),"Se añadió la paginación de vídeo/audio el 4 de septiembre de 2025.")</f>
        <v>Se añadió la paginación de vídeo/audio el 4 de septiembre de 2025.</v>
      </c>
      <c r="F25" s="45" t="str">
        <f>IFERROR(__xludf.DUMMYFUNCTION("GOOGLETRANSLATE(A25,""zh-tw"",""KO"")"),"2025년 9월 4일에 비디오/오디오 페이지 매김 기능이 추가되었습니다.")</f>
        <v>2025년 9월 4일에 비디오/오디오 페이지 매김 기능이 추가되었습니다.</v>
      </c>
      <c r="G25" s="45" t="str">
        <f>IFERROR(__xludf.DUMMYFUNCTION("GOOGLETRANSLATE(A25,""zh-tw"",""RU"")"),"Добавлена ​​пагинация видео/аудио 4 сентября 2025 г.")</f>
        <v>Добавлена ​​пагинация видео/аудио 4 сентября 2025 г.</v>
      </c>
      <c r="H25" s="45" t="str">
        <f>IFERROR(__xludf.DUMMYFUNCTION("GOOGLETRANSLATE(A25,""zh-tw"",""DE"")"),"Video-/Audio-Seitennummerierung hinzugefügt am 4. September 2025.")</f>
        <v>Video-/Audio-Seitennummerierung hinzugefügt am 4. September 2025.</v>
      </c>
      <c r="I25" s="49" t="s">
        <v>70</v>
      </c>
      <c r="J25" s="46"/>
      <c r="K25" s="46"/>
      <c r="L25" s="46"/>
      <c r="M25" s="46"/>
      <c r="N25" s="46"/>
      <c r="O25" s="46"/>
      <c r="P25" s="46"/>
      <c r="Q25" s="46"/>
      <c r="R25" s="46"/>
      <c r="S25" s="46"/>
      <c r="T25" s="46"/>
      <c r="U25" s="46"/>
      <c r="V25" s="46"/>
      <c r="W25" s="46"/>
    </row>
    <row r="26">
      <c r="A26" s="43" t="s">
        <v>71</v>
      </c>
      <c r="B26" s="43" t="str">
        <f>IFERROR(__xludf.DUMMYFUNCTION("GOOGLETRANSLATE(A26,""zh-tw"",""ja"")"),"2025年8月31日に、地図セクションの地図ファイルのウェブサイトがimgseからpostimageに変更されました。")</f>
        <v>2025年8月31日に、地図セクションの地図ファイルのウェブサイトがimgseからpostimageに変更されました。</v>
      </c>
      <c r="C26" s="44" t="str">
        <f>IFERROR(__xludf.DUMMYFUNCTION("GOOGLETRANSLATE(A26,""zh-tw"",""en"")"),"On August 31, 2025, the website for map files on the map section was changed from imgse to postimage.")</f>
        <v>On August 31, 2025, the website for map files on the map section was changed from imgse to postimage.</v>
      </c>
      <c r="D26" s="43" t="str">
        <f>IFERROR(__xludf.DUMMYFUNCTION("GOOGLETRANSLATE(A26,""zh-tw"",""zh"")"),"2025/8/31 Map板块图档网站由imgse网站更换为postimage")</f>
        <v>2025/8/31 Map板块图档网站由imgse网站更换为postimage</v>
      </c>
      <c r="E26" s="45" t="str">
        <f>IFERROR(__xludf.DUMMYFUNCTION("GOOGLETRANSLATE(A26,""zh-tw"",""es-MX"")"),"El 31 de agosto de 2025, el sitio web para los archivos de mapas en la sección de mapas cambió de imgse a postimage.")</f>
        <v>El 31 de agosto de 2025, el sitio web para los archivos de mapas en la sección de mapas cambió de imgse a postimage.</v>
      </c>
      <c r="F26" s="45" t="str">
        <f>IFERROR(__xludf.DUMMYFUNCTION("GOOGLETRANSLATE(A26,""zh-tw"",""KO"")"),"2025년 8월 31일, 지도 섹션의 지도 파일 웹사이트가 imgse에서 postimage로 변경되었습니다.")</f>
        <v>2025년 8월 31일, 지도 섹션의 지도 파일 웹사이트가 imgse에서 postimage로 변경되었습니다.</v>
      </c>
      <c r="G26" s="45" t="str">
        <f>IFERROR(__xludf.DUMMYFUNCTION("GOOGLETRANSLATE(A26,""zh-tw"",""RU"")"),"31 августа 2025 года веб-сайт для файлов карт в разделе «Карты» был изменен с imgse на postimage.")</f>
        <v>31 августа 2025 года веб-сайт для файлов карт в разделе «Карты» был изменен с imgse на postimage.</v>
      </c>
      <c r="H26" s="45" t="str">
        <f>IFERROR(__xludf.DUMMYFUNCTION("GOOGLETRANSLATE(A26,""zh-tw"",""DE"")"),"Am 31. August 2025 wurde die Website für Kartendateien im Kartenbereich von imgse auf postimage umgestellt.")</f>
        <v>Am 31. August 2025 wurde die Website für Kartendateien im Kartenbereich von imgse auf postimage umgestellt.</v>
      </c>
      <c r="I26" s="49" t="s">
        <v>72</v>
      </c>
      <c r="J26" s="46"/>
      <c r="K26" s="46"/>
      <c r="L26" s="46"/>
      <c r="M26" s="46"/>
      <c r="N26" s="46"/>
      <c r="O26" s="46"/>
      <c r="P26" s="46"/>
      <c r="Q26" s="46"/>
      <c r="R26" s="46"/>
      <c r="S26" s="46"/>
      <c r="T26" s="46"/>
      <c r="U26" s="46"/>
      <c r="V26" s="46"/>
      <c r="W26" s="46"/>
    </row>
    <row r="27">
      <c r="A27" s="43" t="s">
        <v>73</v>
      </c>
      <c r="B27" s="43" t="str">
        <f>IFERROR(__xludf.DUMMYFUNCTION("GOOGLETRANSLATE(A27,""zh-tw"",""ja"")"),"バージョン 0.80 (2025 年 8 月 30 日) では、SLG-A8、R11、R59 ～ 68、6 つの新しい装備とアイテム、および繁体字中国語マップの更新が追加されました。")</f>
        <v>バージョン 0.80 (2025 年 8 月 30 日) では、SLG-A8、R11、R59 ～ 68、6 つの新しい装備とアイテム、および繁体字中国語マップの更新が追加されました。</v>
      </c>
      <c r="C27" s="44" t="str">
        <f>IFERROR(__xludf.DUMMYFUNCTION("GOOGLETRANSLATE(A27,""zh-tw"",""en"")"),"Version 0.80 (August 30, 2025) adds: SLG-A8, R11, R59~68, 6 new equipment and items, and a Traditional Chinese map update.")</f>
        <v>Version 0.80 (August 30, 2025) adds: SLG-A8, R11, R59~68, 6 new equipment and items, and a Traditional Chinese map update.</v>
      </c>
      <c r="D27" s="43" t="str">
        <f>IFERROR(__xludf.DUMMYFUNCTION("GOOGLETRANSLATE(A27,""zh-tw"",""zh"")"),"2025/8/30 0.80版本新增：SLG-A8、R11、R59~68、6样装备及道具、繁体中文地图更新")</f>
        <v>2025/8/30 0.80版本新增：SLG-A8、R11、R59~68、6样装备及道具、繁体中文地图更新</v>
      </c>
      <c r="E27" s="45" t="str">
        <f>IFERROR(__xludf.DUMMYFUNCTION("GOOGLETRANSLATE(A27,""zh-tw"",""es-MX"")"),"La versión 0.80 (30 de agosto de 2025) agrega: SLG-A8, R11, R59~68, 6 nuevos equipos y artículos, y una actualización del mapa de China tradicional.")</f>
        <v>La versión 0.80 (30 de agosto de 2025) agrega: SLG-A8, R11, R59~68, 6 nuevos equipos y artículos, y una actualización del mapa de China tradicional.</v>
      </c>
      <c r="F27" s="45" t="str">
        <f>IFERROR(__xludf.DUMMYFUNCTION("GOOGLETRANSLATE(A27,""zh-tw"",""KO"")"),"버전 0.80(2025년 8월 30일)에 다음이 추가되었습니다: SLG-A8, R11, R59~68, 6개의 새로운 장비와 아이템, 그리고 중국어 번체 지도 업데이트.")</f>
        <v>버전 0.80(2025년 8월 30일)에 다음이 추가되었습니다: SLG-A8, R11, R59~68, 6개의 새로운 장비와 아이템, 그리고 중국어 번체 지도 업데이트.</v>
      </c>
      <c r="G27" s="45" t="str">
        <f>IFERROR(__xludf.DUMMYFUNCTION("GOOGLETRANSLATE(A27,""zh-tw"",""RU"")"),"Версия 0.80 (30 августа 2025 г.) добавляет: SLG-A8, R11, R59~68, 6 новых видов снаряжения и предметов, а также обновление карты на традиционном китайском языке.")</f>
        <v>Версия 0.80 (30 августа 2025 г.) добавляет: SLG-A8, R11, R59~68, 6 новых видов снаряжения и предметов, а также обновление карты на традиционном китайском языке.</v>
      </c>
      <c r="H27" s="45" t="str">
        <f>IFERROR(__xludf.DUMMYFUNCTION("GOOGLETRANSLATE(A27,""zh-tw"",""DE"")"),"Version 0.80 (30. August 2025) fügt Folgendes hinzu: SLG-A8, R11, R59~68, 6 neue Ausrüstungsgegenstände und Items sowie ein Update der Karte in traditionellem Chinesisch.")</f>
        <v>Version 0.80 (30. August 2025) fügt Folgendes hinzu: SLG-A8, R11, R59~68, 6 neue Ausrüstungsgegenstände und Items sowie ein Update der Karte in traditionellem Chinesisch.</v>
      </c>
      <c r="I27" s="49" t="s">
        <v>74</v>
      </c>
      <c r="J27" s="46"/>
      <c r="K27" s="46"/>
      <c r="L27" s="46"/>
      <c r="M27" s="46"/>
      <c r="N27" s="46"/>
      <c r="O27" s="46"/>
      <c r="P27" s="46"/>
      <c r="Q27" s="46"/>
      <c r="R27" s="46"/>
      <c r="S27" s="46"/>
      <c r="T27" s="46"/>
      <c r="U27" s="46"/>
      <c r="V27" s="46"/>
      <c r="W27" s="46"/>
    </row>
    <row r="28">
      <c r="A28" s="43" t="s">
        <v>75</v>
      </c>
      <c r="B28" s="43" t="str">
        <f>IFERROR(__xludf.DUMMYFUNCTION("GOOGLETRANSLATE(A28,""zh-tw"",""ja"")"),"この地図は2025年8月29日に繁体字中国語に更新されました。他の言語バージョンへの更新は段階的に完了します。")</f>
        <v>この地図は2025年8月29日に繁体字中国語に更新されました。他の言語バージョンへの更新は段階的に完了します。</v>
      </c>
      <c r="C28" s="44" t="str">
        <f>IFERROR(__xludf.DUMMYFUNCTION("GOOGLETRANSLATE(A28,""zh-tw"",""en"")"),"The map was updated to Traditional Chinese on August 29, 2025. Updates to other language versions will be completed gradually.")</f>
        <v>The map was updated to Traditional Chinese on August 29, 2025. Updates to other language versions will be completed gradually.</v>
      </c>
      <c r="D28" s="43" t="str">
        <f>IFERROR(__xludf.DUMMYFUNCTION("GOOGLETRANSLATE(A28,""zh-tw"",""zh"")"),"2025/8/29 map更新完成繁体中文版本，其余语系将逐步更新")</f>
        <v>2025/8/29 map更新完成繁体中文版本，其余语系将逐步更新</v>
      </c>
      <c r="E28" s="45" t="str">
        <f>IFERROR(__xludf.DUMMYFUNCTION("GOOGLETRANSLATE(A28,""zh-tw"",""es-MX"")"),"El mapa se actualizó al chino tradicional el 29 de agosto de 2025. Las actualizaciones a otras versiones lingüísticas se completarán gradualmente.")</f>
        <v>El mapa se actualizó al chino tradicional el 29 de agosto de 2025. Las actualizaciones a otras versiones lingüísticas se completarán gradualmente.</v>
      </c>
      <c r="F28" s="45" t="str">
        <f>IFERROR(__xludf.DUMMYFUNCTION("GOOGLETRANSLATE(A28,""zh-tw"",""KO"")"),"이 지도는 2025년 8월 29일에 중국어 번체로 업데이트되었습니다. 다른 언어 버전에 대한 업데이트는 점진적으로 완료될 예정입니다.")</f>
        <v>이 지도는 2025년 8월 29일에 중국어 번체로 업데이트되었습니다. 다른 언어 버전에 대한 업데이트는 점진적으로 완료될 예정입니다.</v>
      </c>
      <c r="G28" s="45" t="str">
        <f>IFERROR(__xludf.DUMMYFUNCTION("GOOGLETRANSLATE(A28,""zh-tw"",""RU"")"),"Карта была обновлена ​​до традиционного китайского языка 29 августа 2025 года. Обновления для других языковых версий будут выполняться постепенно.")</f>
        <v>Карта была обновлена ​​до традиционного китайского языка 29 августа 2025 года. Обновления для других языковых версий будут выполняться постепенно.</v>
      </c>
      <c r="H28" s="45" t="str">
        <f>IFERROR(__xludf.DUMMYFUNCTION("GOOGLETRANSLATE(A28,""zh-tw"",""DE"")"),"Die Karte wurde am 29. August 2025 auf traditionelles Chinesisch aktualisiert. Aktualisierungen auf andere Sprachversionen werden schrittweise erfolgen.")</f>
        <v>Die Karte wurde am 29. August 2025 auf traditionelles Chinesisch aktualisiert. Aktualisierungen auf andere Sprachversionen werden schrittweise erfolgen.</v>
      </c>
      <c r="I28" s="49" t="s">
        <v>76</v>
      </c>
      <c r="J28" s="46"/>
      <c r="K28" s="46"/>
      <c r="L28" s="46"/>
      <c r="M28" s="46"/>
      <c r="N28" s="46"/>
      <c r="O28" s="46"/>
      <c r="P28" s="46"/>
      <c r="Q28" s="46"/>
      <c r="R28" s="46"/>
      <c r="S28" s="46"/>
      <c r="T28" s="46"/>
      <c r="U28" s="46"/>
      <c r="V28" s="46"/>
      <c r="W28" s="46"/>
    </row>
    <row r="29">
      <c r="A29" s="43" t="s">
        <v>77</v>
      </c>
      <c r="B29" s="43" t="str">
        <f>IFERROR(__xludf.DUMMYFUNCTION("GOOGLETRANSLATE(A29,""zh-tw"",""ja"")"),"2025年8月11日にバージョン0.79Hが追加されました。（TIPS）")</f>
        <v>2025年8月11日にバージョン0.79Hが追加されました。（TIPS）</v>
      </c>
      <c r="C29" s="44" t="str">
        <f>IFERROR(__xludf.DUMMYFUNCTION("GOOGLETRANSLATE(A29,""zh-tw"",""en"")"),"Version 0.79H was added on August 11, 2025. (TIPS)")</f>
        <v>Version 0.79H was added on August 11, 2025. (TIPS)</v>
      </c>
      <c r="D29" s="43" t="str">
        <f>IFERROR(__xludf.DUMMYFUNCTION("GOOGLETRANSLATE(A29,""zh-tw"",""zh"")"),"2025/8/11 新增了0.79H版本 TIPS")</f>
        <v>2025/8/11 新增了0.79H版本 TIPS</v>
      </c>
      <c r="E29" s="45" t="str">
        <f>IFERROR(__xludf.DUMMYFUNCTION("GOOGLETRANSLATE(A29,""zh-tw"",""es-MX"")"),"La versión 0.79H se añadió el 11 de agosto de 2025. (CONSEJOS)")</f>
        <v>La versión 0.79H se añadió el 11 de agosto de 2025. (CONSEJOS)</v>
      </c>
      <c r="F29" s="45" t="str">
        <f>IFERROR(__xludf.DUMMYFUNCTION("GOOGLETRANSLATE(A29,""zh-tw"",""KO"")"),"2025년 8월 11일에 버전 0.79H가 추가되었습니다. (팁)")</f>
        <v>2025년 8월 11일에 버전 0.79H가 추가되었습니다. (팁)</v>
      </c>
      <c r="G29" s="45" t="str">
        <f>IFERROR(__xludf.DUMMYFUNCTION("GOOGLETRANSLATE(A29,""zh-tw"",""RU"")"),"Версия 0.79H была добавлена ​​11 августа 2025 г. (СОВЕТЫ)")</f>
        <v>Версия 0.79H была добавлена ​​11 августа 2025 г. (СОВЕТЫ)</v>
      </c>
      <c r="H29" s="45" t="str">
        <f>IFERROR(__xludf.DUMMYFUNCTION("GOOGLETRANSLATE(A29,""zh-tw"",""DE"")"),"Version 0.79H wurde am 11. August 2025 hinzugefügt. (TIPPS)")</f>
        <v>Version 0.79H wurde am 11. August 2025 hinzugefügt. (TIPPS)</v>
      </c>
      <c r="I29" s="49" t="s">
        <v>78</v>
      </c>
      <c r="J29" s="46"/>
      <c r="K29" s="46"/>
      <c r="L29" s="46"/>
      <c r="M29" s="46"/>
      <c r="N29" s="46"/>
      <c r="O29" s="46"/>
      <c r="P29" s="46"/>
      <c r="Q29" s="46"/>
      <c r="R29" s="46"/>
      <c r="S29" s="46"/>
      <c r="T29" s="46"/>
      <c r="U29" s="46"/>
      <c r="V29" s="46"/>
      <c r="W29" s="46"/>
    </row>
    <row r="30">
      <c r="A30" s="43" t="s">
        <v>79</v>
      </c>
      <c r="B30" s="43" t="str">
        <f>IFERROR(__xludf.DUMMYFUNCTION("GOOGLETRANSLATE(A30,""zh-tw"",""ja"")"),"バージョン0.79E（RPG35.41）は2025年7月20日に追加されました。")</f>
        <v>バージョン0.79E（RPG35.41）は2025年7月20日に追加されました。</v>
      </c>
      <c r="C30" s="44" t="str">
        <f>IFERROR(__xludf.DUMMYFUNCTION("GOOGLETRANSLATE(A30,""zh-tw"",""en"")"),"Version 0.79E (RPG35.41) was added on July 20, 2025.")</f>
        <v>Version 0.79E (RPG35.41) was added on July 20, 2025.</v>
      </c>
      <c r="D30" s="43" t="str">
        <f>IFERROR(__xludf.DUMMYFUNCTION("GOOGLETRANSLATE(A30,""zh-tw"",""zh"")"),"2025/7/20 新增了0.79E版本 RPG35.41")</f>
        <v>2025/7/20 新增了0.79E版本 RPG35.41</v>
      </c>
      <c r="E30" s="45" t="str">
        <f>IFERROR(__xludf.DUMMYFUNCTION("GOOGLETRANSLATE(A30,""zh-tw"",""es-MX"")"),"La versión 0.79E (RPG35.41) se agregó el 20 de julio de 2025.")</f>
        <v>La versión 0.79E (RPG35.41) se agregó el 20 de julio de 2025.</v>
      </c>
      <c r="F30" s="45" t="str">
        <f>IFERROR(__xludf.DUMMYFUNCTION("GOOGLETRANSLATE(A30,""zh-tw"",""KO"")"),"버전 0.79E(RPG35.41)는 2025년 7월 20일에 추가되었습니다.")</f>
        <v>버전 0.79E(RPG35.41)는 2025년 7월 20일에 추가되었습니다.</v>
      </c>
      <c r="G30" s="45" t="str">
        <f>IFERROR(__xludf.DUMMYFUNCTION("GOOGLETRANSLATE(A30,""zh-tw"",""RU"")"),"Версия 0.79E (RPG35.41) была добавлена ​​20 июля 2025 года.")</f>
        <v>Версия 0.79E (RPG35.41) была добавлена ​​20 июля 2025 года.</v>
      </c>
      <c r="H30" s="45" t="str">
        <f>IFERROR(__xludf.DUMMYFUNCTION("GOOGLETRANSLATE(A30,""zh-tw"",""DE"")"),"Version 0.79E (RPG35.41) wurde am 20. Juli 2025 hinzugefügt.")</f>
        <v>Version 0.79E (RPG35.41) wurde am 20. Juli 2025 hinzugefügt.</v>
      </c>
      <c r="I30" s="49" t="s">
        <v>80</v>
      </c>
      <c r="J30" s="46"/>
      <c r="K30" s="46"/>
      <c r="L30" s="46"/>
      <c r="M30" s="46"/>
      <c r="N30" s="46"/>
      <c r="O30" s="46"/>
      <c r="P30" s="46"/>
      <c r="Q30" s="46"/>
      <c r="R30" s="46"/>
      <c r="S30" s="46"/>
      <c r="T30" s="46"/>
      <c r="U30" s="46"/>
      <c r="V30" s="46"/>
      <c r="W30" s="46"/>
    </row>
    <row r="31">
      <c r="A31" s="43" t="s">
        <v>81</v>
      </c>
      <c r="B31" s="43" t="str">
        <f>IFERROR(__xludf.DUMMYFUNCTION("GOOGLETRANSLATE(A31,""zh-tw"",""ja"")"),"2025/7/20にバージョン0.79DのTIPSを追加しました")</f>
        <v>2025/7/20にバージョン0.79DのTIPSを追加しました</v>
      </c>
      <c r="C31" s="44" t="str">
        <f>IFERROR(__xludf.DUMMYFUNCTION("GOOGLETRANSLATE(A31,""zh-tw"",""en"")"),"Added version 0.79D TIPS on 2025/7/20")</f>
        <v>Added version 0.79D TIPS on 2025/7/20</v>
      </c>
      <c r="D31" s="43" t="str">
        <f>IFERROR(__xludf.DUMMYFUNCTION("GOOGLETRANSLATE(A31,""zh-tw"",""zh"")"),"2025/7/20 新增了0.79D版本TIPS")</f>
        <v>2025/7/20 新增了0.79D版本TIPS</v>
      </c>
      <c r="E31" s="45" t="str">
        <f>IFERROR(__xludf.DUMMYFUNCTION("GOOGLETRANSLATE(A31,""zh-tw"",""es-MX"")"),"Se añadió la versión 0.79D de TIPS el 20/07/2025.")</f>
        <v>Se añadió la versión 0.79D de TIPS el 20/07/2025.</v>
      </c>
      <c r="F31" s="45" t="str">
        <f>IFERROR(__xludf.DUMMYFUNCTION("GOOGLETRANSLATE(A31,""zh-tw"",""KO"")"),"2025/7/20에 0.79D TIPS 버전이 추가되었습니다.")</f>
        <v>2025/7/20에 0.79D TIPS 버전이 추가되었습니다.</v>
      </c>
      <c r="G31" s="45" t="str">
        <f>IFERROR(__xludf.DUMMYFUNCTION("GOOGLETRANSLATE(A31,""zh-tw"",""RU"")"),"Добавлена ​​версия 0.79D TIPS 20.07.2025")</f>
        <v>Добавлена ​​версия 0.79D TIPS 20.07.2025</v>
      </c>
      <c r="H31" s="45" t="str">
        <f>IFERROR(__xludf.DUMMYFUNCTION("GOOGLETRANSLATE(A31,""zh-tw"",""DE"")"),"Version 0.79D TIPS hinzugefügt am 20.07.2025")</f>
        <v>Version 0.79D TIPS hinzugefügt am 20.07.2025</v>
      </c>
      <c r="I31" s="49" t="s">
        <v>82</v>
      </c>
      <c r="J31" s="46"/>
      <c r="K31" s="46"/>
      <c r="L31" s="46"/>
      <c r="M31" s="46"/>
      <c r="N31" s="46"/>
      <c r="O31" s="46"/>
      <c r="P31" s="46"/>
      <c r="Q31" s="46"/>
      <c r="R31" s="46"/>
      <c r="S31" s="46"/>
      <c r="T31" s="46"/>
      <c r="U31" s="46"/>
      <c r="V31" s="46"/>
      <c r="W31" s="46"/>
    </row>
    <row r="32">
      <c r="A32" s="43" t="s">
        <v>83</v>
      </c>
      <c r="B32" s="43" t="str">
        <f>IFERROR(__xludf.DUMMYFUNCTION("GOOGLETRANSLATE(A32,""zh-tw"",""ja"")"),"2025年7月12日に、SLG-A、SLG-C、TIPS、Weap、Dropsのバージョン0.79が追加されました。")</f>
        <v>2025年7月12日に、SLG-A、SLG-C、TIPS、Weap、Dropsのバージョン0.79が追加されました。</v>
      </c>
      <c r="C32" s="44" t="str">
        <f>IFERROR(__xludf.DUMMYFUNCTION("GOOGLETRANSLATE(A32,""zh-tw"",""en"")"),"On July 12, 2025, version 0.79 was added for SLG-A, SLG-C, TIPS, Weap, and Drops.")</f>
        <v>On July 12, 2025, version 0.79 was added for SLG-A, SLG-C, TIPS, Weap, and Drops.</v>
      </c>
      <c r="D32" s="43" t="str">
        <f>IFERROR(__xludf.DUMMYFUNCTION("GOOGLETRANSLATE(A32,""zh-tw"",""zh"")"),"2025/7/12 新增了0.79版本SLG-A、SLG-C、TIPS、Weap、Drops")</f>
        <v>2025/7/12 新增了0.79版本SLG-A、SLG-C、TIPS、Weap、Drops</v>
      </c>
      <c r="E32" s="45" t="str">
        <f>IFERROR(__xludf.DUMMYFUNCTION("GOOGLETRANSLATE(A32,""zh-tw"",""es-MX"")"),"El 12 de julio de 2025 se añadió la versión 0.79 para SLG-A, SLG-C, TIPS, Weap y Drops.")</f>
        <v>El 12 de julio de 2025 se añadió la versión 0.79 para SLG-A, SLG-C, TIPS, Weap y Drops.</v>
      </c>
      <c r="F32" s="45" t="str">
        <f>IFERROR(__xludf.DUMMYFUNCTION("GOOGLETRANSLATE(A32,""zh-tw"",""KO"")"),"2025년 7월 12일, SLG-A, SLG-C, TIPS, Weap, Drops에 버전 0.79가 추가되었습니다.")</f>
        <v>2025년 7월 12일, SLG-A, SLG-C, TIPS, Weap, Drops에 버전 0.79가 추가되었습니다.</v>
      </c>
      <c r="G32" s="45" t="str">
        <f>IFERROR(__xludf.DUMMYFUNCTION("GOOGLETRANSLATE(A32,""zh-tw"",""RU"")"),"12 июля 2025 года была добавлена ​​версия 0.79 для SLG-A, SLG-C, TIPS, Weap и Drops.")</f>
        <v>12 июля 2025 года была добавлена ​​версия 0.79 для SLG-A, SLG-C, TIPS, Weap и Drops.</v>
      </c>
      <c r="H32" s="45" t="str">
        <f>IFERROR(__xludf.DUMMYFUNCTION("GOOGLETRANSLATE(A32,""zh-tw"",""DE"")"),"Am 12. Juli 2025 wurde Version 0.79 für SLG-A, SLG-C, TIPS, Weap und Drops hinzugefügt.")</f>
        <v>Am 12. Juli 2025 wurde Version 0.79 für SLG-A, SLG-C, TIPS, Weap und Drops hinzugefügt.</v>
      </c>
      <c r="I32" s="49" t="s">
        <v>84</v>
      </c>
      <c r="J32" s="46"/>
      <c r="K32" s="46"/>
      <c r="L32" s="46"/>
      <c r="M32" s="46"/>
      <c r="N32" s="46"/>
      <c r="O32" s="46"/>
      <c r="P32" s="46"/>
      <c r="Q32" s="46"/>
      <c r="R32" s="46"/>
      <c r="S32" s="46"/>
      <c r="T32" s="46"/>
      <c r="U32" s="46"/>
      <c r="V32" s="46"/>
      <c r="W32" s="46"/>
    </row>
    <row r="33">
      <c r="A33" s="43" t="s">
        <v>85</v>
      </c>
      <c r="B33" s="43" t="str">
        <f>IFERROR(__xludf.DUMMYFUNCTION("GOOGLETRANSLATE(A33,""zh-tw"",""ja"")"),"2025年6月11日：バージョン0.77の一部説明を修正し、ヒントを追加しました。")</f>
        <v>2025年6月11日：バージョン0.77の一部説明を修正し、ヒントを追加しました。</v>
      </c>
      <c r="C33" s="44" t="str">
        <f>IFERROR(__xludf.DUMMYFUNCTION("GOOGLETRANSLATE(A33,""zh-tw"",""en"")"),"June 11, 2025: Corrected some descriptions in version 0.77 and added tips.")</f>
        <v>June 11, 2025: Corrected some descriptions in version 0.77 and added tips.</v>
      </c>
      <c r="D33" s="43" t="str">
        <f>IFERROR(__xludf.DUMMYFUNCTION("GOOGLETRANSLATE(A33,""zh-tw"",""zh"")"),"2025/6/11 修正了部分0.77版本的叙述，并新增了TIPS")</f>
        <v>2025/6/11 修正了部分0.77版本的叙述，并新增了TIPS</v>
      </c>
      <c r="E33" s="45" t="str">
        <f>IFERROR(__xludf.DUMMYFUNCTION("GOOGLETRANSLATE(A33,""zh-tw"",""es-MX"")"),"11 de junio de 2025: Se corrigieron algunas descripciones en la versión 0.77 y se agregaron consejos.")</f>
        <v>11 de junio de 2025: Se corrigieron algunas descripciones en la versión 0.77 y se agregaron consejos.</v>
      </c>
      <c r="F33" s="45" t="str">
        <f>IFERROR(__xludf.DUMMYFUNCTION("GOOGLETRANSLATE(A33,""zh-tw"",""KO"")"),"2025년 6월 11일: 버전 0.77에서 일부 설명을 수정하고 팁을 추가했습니다.")</f>
        <v>2025년 6월 11일: 버전 0.77에서 일부 설명을 수정하고 팁을 추가했습니다.</v>
      </c>
      <c r="G33" s="45" t="str">
        <f>IFERROR(__xludf.DUMMYFUNCTION("GOOGLETRANSLATE(A33,""zh-tw"",""RU"")"),"11 июня 2025 г.: Исправлены некоторые описания в версии 0.77 и добавлены подсказки.")</f>
        <v>11 июня 2025 г.: Исправлены некоторые описания в версии 0.77 и добавлены подсказки.</v>
      </c>
      <c r="H33" s="45" t="str">
        <f>IFERROR(__xludf.DUMMYFUNCTION("GOOGLETRANSLATE(A33,""zh-tw"",""DE"")"),"11. Juni 2025: Einige Beschreibungen in Version 0.77 wurden korrigiert und Tipps hinzugefügt.")</f>
        <v>11. Juni 2025: Einige Beschreibungen in Version 0.77 wurden korrigiert und Tipps hinzugefügt.</v>
      </c>
      <c r="I33" s="49" t="s">
        <v>86</v>
      </c>
      <c r="J33" s="46"/>
      <c r="K33" s="46"/>
      <c r="L33" s="46"/>
      <c r="M33" s="46"/>
      <c r="N33" s="46"/>
      <c r="O33" s="46"/>
      <c r="P33" s="46"/>
      <c r="Q33" s="46"/>
      <c r="R33" s="46"/>
      <c r="S33" s="46"/>
      <c r="T33" s="46"/>
      <c r="U33" s="46"/>
      <c r="V33" s="46"/>
      <c r="W33" s="46"/>
    </row>
    <row r="34">
      <c r="A34" s="43" t="s">
        <v>87</v>
      </c>
      <c r="B34" s="43" t="str">
        <f>IFERROR(__xludf.DUMMYFUNCTION("GOOGLETRANSLATE(A34,""zh-tw"",""ja"")"),"2025年6月10日にバージョン0.77に更新されました。")</f>
        <v>2025年6月10日にバージョン0.77に更新されました。</v>
      </c>
      <c r="C34" s="44" t="str">
        <f>IFERROR(__xludf.DUMMYFUNCTION("GOOGLETRANSLATE(A34,""zh-tw"",""en"")"),"Updated to version 0.77 on June 10, 2025.")</f>
        <v>Updated to version 0.77 on June 10, 2025.</v>
      </c>
      <c r="D34" s="43" t="str">
        <f>IFERROR(__xludf.DUMMYFUNCTION("GOOGLETRANSLATE(A34,""zh-tw"",""zh"")"),"2025/6/10 更新0.77版本的内容")</f>
        <v>2025/6/10 更新0.77版本的内容</v>
      </c>
      <c r="E34" s="45" t="str">
        <f>IFERROR(__xludf.DUMMYFUNCTION("GOOGLETRANSLATE(A34,""zh-tw"",""es-MX"")"),"Actualizado a la versión 0.77 el 10 de junio de 2025.")</f>
        <v>Actualizado a la versión 0.77 el 10 de junio de 2025.</v>
      </c>
      <c r="F34" s="45" t="str">
        <f>IFERROR(__xludf.DUMMYFUNCTION("GOOGLETRANSLATE(A34,""zh-tw"",""KO"")"),"2025년 6월 10일에 버전 0.77로 업데이트되었습니다.")</f>
        <v>2025년 6월 10일에 버전 0.77로 업데이트되었습니다.</v>
      </c>
      <c r="G34" s="45" t="str">
        <f>IFERROR(__xludf.DUMMYFUNCTION("GOOGLETRANSLATE(A34,""zh-tw"",""RU"")"),"Обновлено до версии 0.77 10 июня 2025 г.")</f>
        <v>Обновлено до версии 0.77 10 июня 2025 г.</v>
      </c>
      <c r="H34" s="45" t="str">
        <f>IFERROR(__xludf.DUMMYFUNCTION("GOOGLETRANSLATE(A34,""zh-tw"",""DE"")"),"Aktualisiert auf Version 0.77 am 10. Juni 2025.")</f>
        <v>Aktualisiert auf Version 0.77 am 10. Juni 2025.</v>
      </c>
      <c r="I34" s="49" t="s">
        <v>88</v>
      </c>
      <c r="J34" s="46"/>
      <c r="K34" s="46"/>
      <c r="L34" s="46"/>
      <c r="M34" s="46"/>
      <c r="N34" s="46"/>
      <c r="O34" s="46"/>
      <c r="P34" s="46"/>
      <c r="Q34" s="46"/>
      <c r="R34" s="46"/>
      <c r="S34" s="46"/>
      <c r="T34" s="46"/>
      <c r="U34" s="46"/>
      <c r="V34" s="46"/>
      <c r="W34" s="46"/>
    </row>
    <row r="35">
      <c r="A35" s="43" t="s">
        <v>89</v>
      </c>
      <c r="B35" s="43" t="str">
        <f>IFERROR(__xludf.DUMMYFUNCTION("GOOGLETRANSLATE(A35,""zh-tw"",""ja"")"),"2025年6月3日にバージョン0.77に更新されました。")</f>
        <v>2025年6月3日にバージョン0.77に更新されました。</v>
      </c>
      <c r="C35" s="44" t="str">
        <f>IFERROR(__xludf.DUMMYFUNCTION("GOOGLETRANSLATE(A35,""zh-tw"",""en"")"),"Updated to version 0.77 on June 3, 2025.")</f>
        <v>Updated to version 0.77 on June 3, 2025.</v>
      </c>
      <c r="D35" s="43" t="str">
        <f>IFERROR(__xludf.DUMMYFUNCTION("GOOGLETRANSLATE(A35,""zh-tw"",""zh"")"),"2025/6/3 更新0.77版本的内容")</f>
        <v>2025/6/3 更新0.77版本的内容</v>
      </c>
      <c r="E35" s="45" t="str">
        <f>IFERROR(__xludf.DUMMYFUNCTION("GOOGLETRANSLATE(A35,""zh-tw"",""es-MX"")"),"Actualizado a la versión 0.77 el 3 de junio de 2025.")</f>
        <v>Actualizado a la versión 0.77 el 3 de junio de 2025.</v>
      </c>
      <c r="F35" s="45" t="str">
        <f>IFERROR(__xludf.DUMMYFUNCTION("GOOGLETRANSLATE(A35,""zh-tw"",""KO"")"),"2025년 6월 3일에 0.77 버전으로 업데이트되었습니다.")</f>
        <v>2025년 6월 3일에 0.77 버전으로 업데이트되었습니다.</v>
      </c>
      <c r="G35" s="45" t="str">
        <f>IFERROR(__xludf.DUMMYFUNCTION("GOOGLETRANSLATE(A35,""zh-tw"",""RU"")"),"Обновлено до версии 0.77 3 июня 2025 г.")</f>
        <v>Обновлено до версии 0.77 3 июня 2025 г.</v>
      </c>
      <c r="H35" s="45" t="str">
        <f>IFERROR(__xludf.DUMMYFUNCTION("GOOGLETRANSLATE(A35,""zh-tw"",""DE"")"),"Aktualisiert auf Version 0.77 am 3. Juni 2025.")</f>
        <v>Aktualisiert auf Version 0.77 am 3. Juni 2025.</v>
      </c>
      <c r="I35" s="49" t="s">
        <v>90</v>
      </c>
      <c r="J35" s="46"/>
      <c r="K35" s="46"/>
      <c r="L35" s="46"/>
      <c r="M35" s="46"/>
      <c r="N35" s="46"/>
      <c r="O35" s="46"/>
      <c r="P35" s="46"/>
      <c r="Q35" s="46"/>
      <c r="R35" s="46"/>
      <c r="S35" s="46"/>
      <c r="T35" s="46"/>
      <c r="U35" s="46"/>
      <c r="V35" s="46"/>
      <c r="W35" s="46"/>
    </row>
    <row r="36">
      <c r="A36" s="43" t="s">
        <v>91</v>
      </c>
      <c r="B36" s="43" t="str">
        <f>IFERROR(__xludf.DUMMYFUNCTION("GOOGLETRANSLATE(A36,""zh-tw"",""ja"")"),"2025年5月26日に、SLGページのレイアウトがすべて再設計されました。")</f>
        <v>2025年5月26日に、SLGページのレイアウトがすべて再設計されました。</v>
      </c>
      <c r="C36" s="44" t="str">
        <f>IFERROR(__xludf.DUMMYFUNCTION("GOOGLETRANSLATE(A36,""zh-tw"",""en"")"),"On May 26, 2025, all layouts of the SLG page were redesigned.")</f>
        <v>On May 26, 2025, all layouts of the SLG page were redesigned.</v>
      </c>
      <c r="D36" s="43" t="str">
        <f>IFERROR(__xludf.DUMMYFUNCTION("GOOGLETRANSLATE(A36,""zh-tw"",""zh"")"),"2025/5/26 重制了SLG页面的所有排版")</f>
        <v>2025/5/26 重制了SLG页面的所有排版</v>
      </c>
      <c r="E36" s="45" t="str">
        <f>IFERROR(__xludf.DUMMYFUNCTION("GOOGLETRANSLATE(A36,""zh-tw"",""es-MX"")"),"El 26 de mayo de 2025, se rediseñaron todos los diseños de la página SLG.")</f>
        <v>El 26 de mayo de 2025, se rediseñaron todos los diseños de la página SLG.</v>
      </c>
      <c r="F36" s="45" t="str">
        <f>IFERROR(__xludf.DUMMYFUNCTION("GOOGLETRANSLATE(A36,""zh-tw"",""KO"")"),"2025년 5월 26일, SLG 페이지의 모든 레이아웃이 재설계되었습니다.")</f>
        <v>2025년 5월 26일, SLG 페이지의 모든 레이아웃이 재설계되었습니다.</v>
      </c>
      <c r="G36" s="45" t="str">
        <f>IFERROR(__xludf.DUMMYFUNCTION("GOOGLETRANSLATE(A36,""zh-tw"",""RU"")"),"26 мая 2025 года все макеты страницы SLG были переработаны.")</f>
        <v>26 мая 2025 года все макеты страницы SLG были переработаны.</v>
      </c>
      <c r="H36" s="45" t="str">
        <f>IFERROR(__xludf.DUMMYFUNCTION("GOOGLETRANSLATE(A36,""zh-tw"",""DE"")"),"Am 26. Mai 2025 wurden alle Layouts der SLG-Seite neu gestaltet.")</f>
        <v>Am 26. Mai 2025 wurden alle Layouts der SLG-Seite neu gestaltet.</v>
      </c>
      <c r="I36" s="49" t="s">
        <v>92</v>
      </c>
      <c r="J36" s="46"/>
      <c r="K36" s="46"/>
      <c r="L36" s="46"/>
      <c r="M36" s="46"/>
      <c r="N36" s="46"/>
      <c r="O36" s="46"/>
      <c r="P36" s="46"/>
      <c r="Q36" s="46"/>
      <c r="R36" s="46"/>
      <c r="S36" s="46"/>
      <c r="T36" s="46"/>
      <c r="U36" s="46"/>
      <c r="V36" s="46"/>
      <c r="W36" s="46"/>
    </row>
    <row r="37">
      <c r="A37" s="43" t="s">
        <v>93</v>
      </c>
      <c r="B37" s="43" t="str">
        <f>IFERROR(__xludf.DUMMYFUNCTION("GOOGLETRANSLATE(A37,""zh-tw"",""ja"")"),"2025年5月24日に専用グラフィックカードのインストールに関するチュートリアルが追加されました。")</f>
        <v>2025年5月24日に専用グラフィックカードのインストールに関するチュートリアルが追加されました。</v>
      </c>
      <c r="C37" s="44" t="str">
        <f>IFERROR(__xludf.DUMMYFUNCTION("GOOGLETRANSLATE(A37,""zh-tw"",""en"")"),"On May 24, 2025, a tutorial on installing a dedicated graphics card was added.")</f>
        <v>On May 24, 2025, a tutorial on installing a dedicated graphics card was added.</v>
      </c>
      <c r="D37" s="43" t="str">
        <f>IFERROR(__xludf.DUMMYFUNCTION("GOOGLETRANSLATE(A37,""zh-tw"",""zh"")"),"2025/5/24 新增了独立显卡的安装教学")</f>
        <v>2025/5/24 新增了独立显卡的安装教学</v>
      </c>
      <c r="E37" s="45" t="str">
        <f>IFERROR(__xludf.DUMMYFUNCTION("GOOGLETRANSLATE(A37,""zh-tw"",""es-MX"")"),"El 24 de mayo de 2025 se añadió un tutorial sobre la instalación de una tarjeta gráfica dedicada.")</f>
        <v>El 24 de mayo de 2025 se añadió un tutorial sobre la instalación de una tarjeta gráfica dedicada.</v>
      </c>
      <c r="F37" s="45" t="str">
        <f>IFERROR(__xludf.DUMMYFUNCTION("GOOGLETRANSLATE(A37,""zh-tw"",""KO"")"),"2025년 5월 24일에 전용 그래픽 카드를 설치하는 방법에 대한 튜토리얼이 추가되었습니다.")</f>
        <v>2025년 5월 24일에 전용 그래픽 카드를 설치하는 방법에 대한 튜토리얼이 추가되었습니다.</v>
      </c>
      <c r="G37" s="45" t="str">
        <f>IFERROR(__xludf.DUMMYFUNCTION("GOOGLETRANSLATE(A37,""zh-tw"",""RU"")"),"24 мая 2025 года было добавлено руководство по установке дискретной видеокарты.")</f>
        <v>24 мая 2025 года было добавлено руководство по установке дискретной видеокарты.</v>
      </c>
      <c r="H37" s="45" t="str">
        <f>IFERROR(__xludf.DUMMYFUNCTION("GOOGLETRANSLATE(A37,""zh-tw"",""DE"")"),"Am 24. Mai 2025 wurde eine Anleitung zur Installation einer dedizierten Grafikkarte hinzugefügt.")</f>
        <v>Am 24. Mai 2025 wurde eine Anleitung zur Installation einer dedizierten Grafikkarte hinzugefügt.</v>
      </c>
      <c r="I37" s="49" t="s">
        <v>94</v>
      </c>
      <c r="J37" s="46"/>
      <c r="K37" s="46"/>
      <c r="L37" s="46"/>
      <c r="M37" s="46"/>
      <c r="N37" s="46"/>
      <c r="O37" s="46"/>
      <c r="P37" s="46"/>
      <c r="Q37" s="46"/>
      <c r="R37" s="46"/>
      <c r="S37" s="46"/>
      <c r="T37" s="46"/>
      <c r="U37" s="46"/>
      <c r="V37" s="46"/>
      <c r="W37" s="46"/>
    </row>
    <row r="38">
      <c r="A38" s="43" t="s">
        <v>95</v>
      </c>
      <c r="B38" s="43" t="str">
        <f>IFERROR(__xludf.DUMMYFUNCTION("GOOGLETRANSLATE(A38,""zh-tw"",""ja"")"),"2025 年 5 月 15 日: バージョン 0.75D (R4、R33) のコンテンツと鎧 1 個を追加しました。")</f>
        <v>2025 年 5 月 15 日: バージョン 0.75D (R4、R33) のコンテンツと鎧 1 個を追加しました。</v>
      </c>
      <c r="C38" s="44" t="str">
        <f>IFERROR(__xludf.DUMMYFUNCTION("GOOGLETRANSLATE(A38,""zh-tw"",""en"")"),"May 15, 2025: Added content for version 0.75D (R4, R33) and one piece of armor.")</f>
        <v>May 15, 2025: Added content for version 0.75D (R4, R33) and one piece of armor.</v>
      </c>
      <c r="D38" s="43" t="str">
        <f>IFERROR(__xludf.DUMMYFUNCTION("GOOGLETRANSLATE(A38,""zh-tw"",""zh"")"),"2025/5/15 新增0.75D版本的内容 (R4、R33)、一个防具")</f>
        <v>2025/5/15 新增0.75D版本的内容 (R4、R33)、一个防具</v>
      </c>
      <c r="E38" s="45" t="str">
        <f>IFERROR(__xludf.DUMMYFUNCTION("GOOGLETRANSLATE(A38,""zh-tw"",""es-MX"")"),"15 de mayo de 2025: Se agregó contenido para la versión 0.75D (R4, R33) y una pieza de armadura.")</f>
        <v>15 de mayo de 2025: Se agregó contenido para la versión 0.75D (R4, R33) y una pieza de armadura.</v>
      </c>
      <c r="F38" s="45" t="str">
        <f>IFERROR(__xludf.DUMMYFUNCTION("GOOGLETRANSLATE(A38,""zh-tw"",""KO"")"),"2025년 5월 15일: 버전 0.75D(R4, R33)의 콘텐츠와 방어구 한 개가 추가되었습니다.")</f>
        <v>2025년 5월 15일: 버전 0.75D(R4, R33)의 콘텐츠와 방어구 한 개가 추가되었습니다.</v>
      </c>
      <c r="G38" s="45" t="str">
        <f>IFERROR(__xludf.DUMMYFUNCTION("GOOGLETRANSLATE(A38,""zh-tw"",""RU"")"),"15 мая 2025 г.: Добавлен контент для версии 0.75D (R4, R33) и один элемент брони.")</f>
        <v>15 мая 2025 г.: Добавлен контент для версии 0.75D (R4, R33) и один элемент брони.</v>
      </c>
      <c r="H38" s="45" t="str">
        <f>IFERROR(__xludf.DUMMYFUNCTION("GOOGLETRANSLATE(A38,""zh-tw"",""DE"")"),"15. Mai 2025: Inhalte für Version 0.75D (R4, R33) und ein Rüstungsteil hinzugefügt.")</f>
        <v>15. Mai 2025: Inhalte für Version 0.75D (R4, R33) und ein Rüstungsteil hinzugefügt.</v>
      </c>
      <c r="I38" s="49" t="s">
        <v>96</v>
      </c>
      <c r="J38" s="46"/>
      <c r="K38" s="46"/>
      <c r="L38" s="46"/>
      <c r="M38" s="46"/>
      <c r="N38" s="46"/>
      <c r="O38" s="46"/>
      <c r="P38" s="46"/>
      <c r="Q38" s="46"/>
      <c r="R38" s="46"/>
      <c r="S38" s="46"/>
      <c r="T38" s="46"/>
      <c r="U38" s="46"/>
      <c r="V38" s="46"/>
      <c r="W38" s="46"/>
    </row>
    <row r="39">
      <c r="A39" s="43" t="s">
        <v>97</v>
      </c>
      <c r="B39" s="43" t="str">
        <f>IFERROR(__xludf.DUMMYFUNCTION("GOOGLETRANSLATE(A39,""zh-tw"",""ja"")"),"2025 年 5 月 6 日に、大焼成溶岩帯のマップ画像を追加しました。")</f>
        <v>2025 年 5 月 6 日に、大焼成溶岩帯のマップ画像を追加しました。</v>
      </c>
      <c r="C39" s="44" t="str">
        <f>IFERROR(__xludf.DUMMYFUNCTION("GOOGLETRANSLATE(A39,""zh-tw"",""en"")"),"Added map image of the Great Calcined Lava Belt on May 6, 2025.")</f>
        <v>Added map image of the Great Calcined Lava Belt on May 6, 2025.</v>
      </c>
      <c r="D39" s="43" t="str">
        <f>IFERROR(__xludf.DUMMYFUNCTION("GOOGLETRANSLATE(A39,""zh-tw"",""zh"")"),"2025/5/6 新增大焦热熔岩带地图图片")</f>
        <v>2025/5/6 新增大焦热熔岩带地图图片</v>
      </c>
      <c r="E39" s="45" t="str">
        <f>IFERROR(__xludf.DUMMYFUNCTION("GOOGLETRANSLATE(A39,""zh-tw"",""es-MX"")"),"Se agregó la imagen del mapa del Gran Cinturón de Lava Calcinada el 6 de mayo de 2025.")</f>
        <v>Se agregó la imagen del mapa del Gran Cinturón de Lava Calcinada el 6 de mayo de 2025.</v>
      </c>
      <c r="F39" s="45" t="str">
        <f>IFERROR(__xludf.DUMMYFUNCTION("GOOGLETRANSLATE(A39,""zh-tw"",""KO"")"),"2025년 5월 6일에 그레이트 소성 용암대의 지도 이미지를 추가했습니다.")</f>
        <v>2025년 5월 6일에 그레이트 소성 용암대의 지도 이미지를 추가했습니다.</v>
      </c>
      <c r="G39" s="45" t="str">
        <f>IFERROR(__xludf.DUMMYFUNCTION("GOOGLETRANSLATE(A39,""zh-tw"",""RU"")"),"Добавлено изображение карты Большого пояса кальцинированной лавы от 6 мая 2025 года.")</f>
        <v>Добавлено изображение карты Большого пояса кальцинированной лавы от 6 мая 2025 года.</v>
      </c>
      <c r="H39" s="45" t="str">
        <f>IFERROR(__xludf.DUMMYFUNCTION("GOOGLETRANSLATE(A39,""zh-tw"",""DE"")"),"Am 6. Mai 2025 wurde eine Karte des Großen Kalzinierten Lavagürtels hinzugefügt.")</f>
        <v>Am 6. Mai 2025 wurde eine Karte des Großen Kalzinierten Lavagürtels hinzugefügt.</v>
      </c>
      <c r="I39" s="49" t="s">
        <v>98</v>
      </c>
      <c r="J39" s="46"/>
      <c r="K39" s="46"/>
      <c r="L39" s="46"/>
      <c r="M39" s="46"/>
      <c r="N39" s="46"/>
      <c r="O39" s="46"/>
      <c r="P39" s="46"/>
      <c r="Q39" s="46"/>
      <c r="R39" s="46"/>
      <c r="S39" s="46"/>
      <c r="T39" s="46"/>
      <c r="U39" s="46"/>
      <c r="V39" s="46"/>
      <c r="W39" s="46"/>
    </row>
    <row r="40">
      <c r="A40" s="43" t="s">
        <v>99</v>
      </c>
      <c r="B40" s="43" t="str">
        <f>IFERROR(__xludf.DUMMYFUNCTION("GOOGLETRANSLATE(A40,""zh-tw"",""ja"")"),"2025年5月5日から[日付不明]まで、マップセクションが更新され、洞窟の入り口にドロップされたアイテムの位置が表示されます。乞うご期待！")</f>
        <v>2025年5月5日から[日付不明]まで、マップセクションが更新され、洞窟の入り口にドロップされたアイテムの位置が表示されます。乞うご期待！</v>
      </c>
      <c r="C40" s="44" t="str">
        <f>IFERROR(__xludf.DUMMYFUNCTION("GOOGLETRANSLATE(A40,""zh-tw"",""en"")"),"From May 5th, 2025 to [date missing], the map section will be updated with the locations of items dropped at the cave entrance. Please stay tuned.")</f>
        <v>From May 5th, 2025 to [date missing], the map section will be updated with the locations of items dropped at the cave entrance. Please stay tuned.</v>
      </c>
      <c r="D40" s="43" t="str">
        <f>IFERROR(__xludf.DUMMYFUNCTION("GOOGLETRANSLATE(A40,""zh-tw"",""zh"")"),"2025/5/5-2025/？ 地图板块最近会尝试更新洞口掉落位置，还请后续留意")</f>
        <v>2025/5/5-2025/？ 地图板块最近会尝试更新洞口掉落位置，还请后续留意</v>
      </c>
      <c r="E40" s="45" t="str">
        <f>IFERROR(__xludf.DUMMYFUNCTION("GOOGLETRANSLATE(A40,""zh-tw"",""es-MX"")"),"Desde el 5 de mayo de 2025 hasta [fecha desconocida], la sección del mapa se actualizará con la ubicación de los objetos que aparecen en la entrada de la cueva. Manténganse al tanto.")</f>
        <v>Desde el 5 de mayo de 2025 hasta [fecha desconocida], la sección del mapa se actualizará con la ubicación de los objetos que aparecen en la entrada de la cueva. Manténganse al tanto.</v>
      </c>
      <c r="F40" s="45" t="str">
        <f>IFERROR(__xludf.DUMMYFUNCTION("GOOGLETRANSLATE(A40,""zh-tw"",""KO"")"),"2025년 5월 5일부터 [날짜 누락]까지 동굴 입구에 떨어진 아이템의 위치가 지도 섹션에 업데이트됩니다. 계속 지켜봐 주세요.")</f>
        <v>2025년 5월 5일부터 [날짜 누락]까지 동굴 입구에 떨어진 아이템의 위치가 지도 섹션에 업데이트됩니다. 계속 지켜봐 주세요.</v>
      </c>
      <c r="G40" s="45" t="str">
        <f>IFERROR(__xludf.DUMMYFUNCTION("GOOGLETRANSLATE(A40,""zh-tw"",""RU"")"),"С 5 мая 2025 года по [дата не указана] раздел карты будет обновляться с указанием местонахождения предметов, выброшенных у входа в пещеру. Следите за новостями.")</f>
        <v>С 5 мая 2025 года по [дата не указана] раздел карты будет обновляться с указанием местонахождения предметов, выброшенных у входа в пещеру. Следите за новостями.</v>
      </c>
      <c r="H40" s="45" t="str">
        <f>IFERROR(__xludf.DUMMYFUNCTION("GOOGLETRANSLATE(A40,""zh-tw"",""DE"")"),"Vom 5. Mai 2025 bis [Datum fehlt] wird der Kartenabschnitt mit den Fundorten der am Höhleneingang gefundenen Gegenstände aktualisiert. Bleiben Sie dran.")</f>
        <v>Vom 5. Mai 2025 bis [Datum fehlt] wird der Kartenabschnitt mit den Fundorten der am Höhleneingang gefundenen Gegenstände aktualisiert. Bleiben Sie dran.</v>
      </c>
      <c r="I40" s="49" t="s">
        <v>100</v>
      </c>
      <c r="J40" s="46"/>
      <c r="K40" s="46"/>
      <c r="L40" s="46"/>
      <c r="M40" s="46"/>
      <c r="N40" s="46"/>
      <c r="O40" s="46"/>
      <c r="P40" s="46"/>
      <c r="Q40" s="46"/>
      <c r="R40" s="46"/>
      <c r="S40" s="46"/>
      <c r="T40" s="46"/>
      <c r="U40" s="46"/>
      <c r="V40" s="46"/>
      <c r="W40" s="46"/>
    </row>
    <row r="41">
      <c r="A41" s="43" t="s">
        <v>101</v>
      </c>
      <c r="B41" s="43" t="str">
        <f>IFERROR(__xludf.DUMMYFUNCTION("GOOGLETRANSLATE(A41,""zh-tw"",""ja"")"),"2025 年 5 月 4 日にロシア語とドイツ語の翻訳を追加しました。")</f>
        <v>2025 年 5 月 4 日にロシア語とドイツ語の翻訳を追加しました。</v>
      </c>
      <c r="C41" s="44" t="str">
        <f>IFERROR(__xludf.DUMMYFUNCTION("GOOGLETRANSLATE(A41,""zh-tw"",""en"")"),"Added Russian and German translations on May 4, 2025.")</f>
        <v>Added Russian and German translations on May 4, 2025.</v>
      </c>
      <c r="D41" s="43" t="str">
        <f>IFERROR(__xludf.DUMMYFUNCTION("GOOGLETRANSLATE(A41,""zh-tw"",""zh"")"),"2025/5/4 新增了俄语和德语翻译")</f>
        <v>2025/5/4 新增了俄语和德语翻译</v>
      </c>
      <c r="E41" s="45" t="str">
        <f>IFERROR(__xludf.DUMMYFUNCTION("GOOGLETRANSLATE(A41,""zh-tw"",""es-MX"")"),"Se añadieron las traducciones al ruso y al alemán el 4 de mayo de 2025.")</f>
        <v>Se añadieron las traducciones al ruso y al alemán el 4 de mayo de 2025.</v>
      </c>
      <c r="F41" s="45" t="str">
        <f>IFERROR(__xludf.DUMMYFUNCTION("GOOGLETRANSLATE(A41,""zh-tw"",""KO"")"),"2025년 5월 4일에 러시아어와 독일어 번역이 추가되었습니다.")</f>
        <v>2025년 5월 4일에 러시아어와 독일어 번역이 추가되었습니다.</v>
      </c>
      <c r="G41" s="45" t="str">
        <f>IFERROR(__xludf.DUMMYFUNCTION("GOOGLETRANSLATE(A41,""zh-tw"",""RU"")"),"Добавлены переводы на русский и немецкий языки 4 мая 2025 года.")</f>
        <v>Добавлены переводы на русский и немецкий языки 4 мая 2025 года.</v>
      </c>
      <c r="H41" s="45" t="str">
        <f>IFERROR(__xludf.DUMMYFUNCTION("GOOGLETRANSLATE(A41,""zh-tw"",""DE"")"),"Russische und deutsche Übersetzungen wurden am 4. Mai 2025 hinzugefügt.")</f>
        <v>Russische und deutsche Übersetzungen wurden am 4. Mai 2025 hinzugefügt.</v>
      </c>
      <c r="I41" s="49" t="s">
        <v>102</v>
      </c>
      <c r="J41" s="46"/>
      <c r="K41" s="46"/>
      <c r="L41" s="46"/>
      <c r="M41" s="46"/>
      <c r="N41" s="46"/>
      <c r="O41" s="46"/>
      <c r="P41" s="46"/>
      <c r="Q41" s="46"/>
      <c r="R41" s="46"/>
      <c r="S41" s="46"/>
      <c r="T41" s="46"/>
      <c r="U41" s="46"/>
      <c r="V41" s="46"/>
      <c r="W41" s="46"/>
    </row>
    <row r="42">
      <c r="A42" s="43" t="s">
        <v>103</v>
      </c>
      <c r="B42" s="43" t="str">
        <f>IFERROR(__xludf.DUMMYFUNCTION("GOOGLETRANSLATE(A42,""zh-tw"",""ja"")"),"バージョン0.75は2025年5月2日に追加されました。")</f>
        <v>バージョン0.75は2025年5月2日に追加されました。</v>
      </c>
      <c r="C42" s="44" t="str">
        <f>IFERROR(__xludf.DUMMYFUNCTION("GOOGLETRANSLATE(A42,""zh-tw"",""en"")"),"Version 0.75 was added on May 2, 2025.")</f>
        <v>Version 0.75 was added on May 2, 2025.</v>
      </c>
      <c r="D42" s="43" t="str">
        <f>IFERROR(__xludf.DUMMYFUNCTION("GOOGLETRANSLATE(A42,""zh-tw"",""zh"")"),"2025/5/2 新增了0.75版本内容")</f>
        <v>2025/5/2 新增了0.75版本内容</v>
      </c>
      <c r="E42" s="45" t="str">
        <f>IFERROR(__xludf.DUMMYFUNCTION("GOOGLETRANSLATE(A42,""zh-tw"",""es-MX"")"),"La versión 0.75 se agregó el 2 de mayo de 2025.")</f>
        <v>La versión 0.75 se agregó el 2 de mayo de 2025.</v>
      </c>
      <c r="F42" s="45" t="str">
        <f>IFERROR(__xludf.DUMMYFUNCTION("GOOGLETRANSLATE(A42,""zh-tw"",""KO"")"),"버전 0.75는 2025년 5월 2일에 추가되었습니다.")</f>
        <v>버전 0.75는 2025년 5월 2일에 추가되었습니다.</v>
      </c>
      <c r="G42" s="45" t="str">
        <f>IFERROR(__xludf.DUMMYFUNCTION("GOOGLETRANSLATE(A42,""zh-tw"",""RU"")"),"Версия 0.75 была добавлена ​​2 мая 2025 года.")</f>
        <v>Версия 0.75 была добавлена ​​2 мая 2025 года.</v>
      </c>
      <c r="H42" s="45" t="str">
        <f>IFERROR(__xludf.DUMMYFUNCTION("GOOGLETRANSLATE(A42,""zh-tw"",""DE"")"),"Version 0.75 wurde am 2. Mai 2025 hinzugefügt.")</f>
        <v>Version 0.75 wurde am 2. Mai 2025 hinzugefügt.</v>
      </c>
      <c r="I42" s="49" t="s">
        <v>104</v>
      </c>
      <c r="J42" s="46"/>
      <c r="K42" s="46"/>
      <c r="L42" s="46"/>
      <c r="M42" s="46"/>
      <c r="N42" s="46"/>
      <c r="O42" s="46"/>
      <c r="P42" s="46"/>
      <c r="Q42" s="46"/>
      <c r="R42" s="46"/>
      <c r="S42" s="46"/>
      <c r="T42" s="46"/>
      <c r="U42" s="46"/>
      <c r="V42" s="46"/>
      <c r="W42" s="46"/>
    </row>
    <row r="43">
      <c r="A43" s="43" t="s">
        <v>105</v>
      </c>
      <c r="B43" s="43" t="str">
        <f>IFERROR(__xludf.DUMMYFUNCTION("GOOGLETRANSLATE(A43,""zh-tw"",""ja"")"),"2025 年 4 月 29 日: 2 番目のフォームを削除し、スペイン語と韓国語の翻訳をこのフォームに統合しました。")</f>
        <v>2025 年 4 月 29 日: 2 番目のフォームを削除し、スペイン語と韓国語の翻訳をこのフォームに統合しました。</v>
      </c>
      <c r="C43" s="44" t="str">
        <f>IFERROR(__xludf.DUMMYFUNCTION("GOOGLETRANSLATE(A43,""zh-tw"",""en"")"),"April 29, 2025: Deleted the second form and merged the Spanish and Korean translations into this form.")</f>
        <v>April 29, 2025: Deleted the second form and merged the Spanish and Korean translations into this form.</v>
      </c>
      <c r="D43" s="43" t="str">
        <f>IFERROR(__xludf.DUMMYFUNCTION("GOOGLETRANSLATE(A43,""zh-tw"",""zh"")"),"2025/4/29 删除第二份表单，合并西班牙语和韩语的翻译至本表单")</f>
        <v>2025/4/29 删除第二份表单，合并西班牙语和韩语的翻译至本表单</v>
      </c>
      <c r="E43" s="45" t="str">
        <f>IFERROR(__xludf.DUMMYFUNCTION("GOOGLETRANSLATE(A43,""zh-tw"",""es-MX"")"),"29 de abril de 2025: Se eliminó el segundo formulario y se fusionaron las traducciones al español y al coreano en este formulario.")</f>
        <v>29 de abril de 2025: Se eliminó el segundo formulario y se fusionaron las traducciones al español y al coreano en este formulario.</v>
      </c>
      <c r="F43" s="45" t="str">
        <f>IFERROR(__xludf.DUMMYFUNCTION("GOOGLETRANSLATE(A43,""zh-tw"",""KO"")"),"2025년 4월 29일: 두 번째 양식을 삭제하고 스페인어와 한국어 번역을 이 양식에 병합했습니다.")</f>
        <v>2025년 4월 29일: 두 번째 양식을 삭제하고 스페인어와 한국어 번역을 이 양식에 병합했습니다.</v>
      </c>
      <c r="G43" s="45" t="str">
        <f>IFERROR(__xludf.DUMMYFUNCTION("GOOGLETRANSLATE(A43,""zh-tw"",""RU"")"),"29 апреля 2025 г.: Удалил вторую форму и объединил испанский и корейский переводы в эту форму.")</f>
        <v>29 апреля 2025 г.: Удалил вторую форму и объединил испанский и корейский переводы в эту форму.</v>
      </c>
      <c r="H43" s="45" t="str">
        <f>IFERROR(__xludf.DUMMYFUNCTION("GOOGLETRANSLATE(A43,""zh-tw"",""DE"")"),"29. April 2025: Das zweite Formular wurde gelöscht und die spanischen und koreanischen Übersetzungen in dieses Formular zusammengeführt.")</f>
        <v>29. April 2025: Das zweite Formular wurde gelöscht und die spanischen und koreanischen Übersetzungen in dieses Formular zusammengeführt.</v>
      </c>
      <c r="I43" s="49" t="s">
        <v>106</v>
      </c>
      <c r="J43" s="46"/>
      <c r="K43" s="46"/>
      <c r="L43" s="46"/>
      <c r="M43" s="46"/>
      <c r="N43" s="46"/>
      <c r="O43" s="46"/>
      <c r="P43" s="46"/>
      <c r="Q43" s="46"/>
      <c r="R43" s="46"/>
      <c r="S43" s="46"/>
      <c r="T43" s="46"/>
      <c r="U43" s="46"/>
      <c r="V43" s="46"/>
      <c r="W43" s="46"/>
    </row>
    <row r="44">
      <c r="A44" s="43" t="s">
        <v>107</v>
      </c>
      <c r="B44" s="43" t="str">
        <f>IFERROR(__xludf.DUMMYFUNCTION("GOOGLETRANSLATE(A44,""zh-tw"",""ja"")"),"2025 年 4 月 19 日: スペイン語と韓国語の翻訳を加えた 2 番目のフォームを作成しました。")</f>
        <v>2025 年 4 月 19 日: スペイン語と韓国語の翻訳を加えた 2 番目のフォームを作成しました。</v>
      </c>
      <c r="C44" s="44" t="str">
        <f>IFERROR(__xludf.DUMMYFUNCTION("GOOGLETRANSLATE(A44,""zh-tw"",""en"")"),"April 19, 2025: Created a second form with Spanish and Korean translations.")</f>
        <v>April 19, 2025: Created a second form with Spanish and Korean translations.</v>
      </c>
      <c r="D44" s="43" t="str">
        <f>IFERROR(__xludf.DUMMYFUNCTION("GOOGLETRANSLATE(A44,""zh-tw"",""zh"")"),"2025/4/19 新建第二份表单，有西班牙语和韩语的翻译")</f>
        <v>2025/4/19 新建第二份表单，有西班牙语和韩语的翻译</v>
      </c>
      <c r="E44" s="45" t="str">
        <f>IFERROR(__xludf.DUMMYFUNCTION("GOOGLETRANSLATE(A44,""zh-tw"",""es-MX"")"),"19 de abril de 2025: Se creó un segundo formulario con traducciones al español y al coreano.")</f>
        <v>19 de abril de 2025: Se creó un segundo formulario con traducciones al español y al coreano.</v>
      </c>
      <c r="F44" s="45" t="str">
        <f>IFERROR(__xludf.DUMMYFUNCTION("GOOGLETRANSLATE(A44,""zh-tw"",""KO"")"),"2025년 4월 19일: 스페인어와 한국어 번역이 포함된 두 번째 양식을 만들었습니다.")</f>
        <v>2025년 4월 19일: 스페인어와 한국어 번역이 포함된 두 번째 양식을 만들었습니다.</v>
      </c>
      <c r="G44" s="45" t="str">
        <f>IFERROR(__xludf.DUMMYFUNCTION("GOOGLETRANSLATE(A44,""zh-tw"",""RU"")"),"19 апреля 2025 г.: Создана вторая форма с переводами на испанский и корейский языки.")</f>
        <v>19 апреля 2025 г.: Создана вторая форма с переводами на испанский и корейский языки.</v>
      </c>
      <c r="H44" s="45" t="str">
        <f>IFERROR(__xludf.DUMMYFUNCTION("GOOGLETRANSLATE(A44,""zh-tw"",""DE"")"),"19. April 2025: Ein zweites Formular mit spanischen und koreanischen Übersetzungen wurde erstellt.")</f>
        <v>19. April 2025: Ein zweites Formular mit spanischen und koreanischen Übersetzungen wurde erstellt.</v>
      </c>
      <c r="I44" s="49" t="s">
        <v>108</v>
      </c>
      <c r="J44" s="46"/>
      <c r="K44" s="46"/>
      <c r="L44" s="46"/>
      <c r="M44" s="46"/>
      <c r="N44" s="46"/>
      <c r="O44" s="46"/>
      <c r="P44" s="46"/>
      <c r="Q44" s="46"/>
      <c r="R44" s="46"/>
      <c r="S44" s="46"/>
      <c r="T44" s="46"/>
      <c r="U44" s="46"/>
      <c r="V44" s="46"/>
      <c r="W44" s="46"/>
    </row>
    <row r="45">
      <c r="A45" s="43" t="s">
        <v>109</v>
      </c>
      <c r="B45" s="43" t="str">
        <f>IFERROR(__xludf.DUMMYFUNCTION("GOOGLETRANSLATE(A45,""zh-tw"",""ja"")"),"2025/4/13に「料理」ページを新規作成しました")</f>
        <v>2025/4/13に「料理」ページを新規作成しました</v>
      </c>
      <c r="C45" s="44" t="str">
        <f>IFERROR(__xludf.DUMMYFUNCTION("GOOGLETRANSLATE(A45,""zh-tw"",""en"")"),"Created a new ""Cooking"" page on 2025/4/13")</f>
        <v>Created a new "Cooking" page on 2025/4/13</v>
      </c>
      <c r="D45" s="43" t="str">
        <f>IFERROR(__xludf.DUMMYFUNCTION("GOOGLETRANSLATE(A45,""zh-tw"",""zh"")"),"2025/4/13  新建""料理""分页")</f>
        <v>2025/4/13  新建"料理"分页</v>
      </c>
      <c r="E45" s="45" t="str">
        <f>IFERROR(__xludf.DUMMYFUNCTION("GOOGLETRANSLATE(A45,""zh-tw"",""es-MX"")"),"Se creó una nueva página de ""Cocina"" el 13/4/2025.")</f>
        <v>Se creó una nueva página de "Cocina" el 13/4/2025.</v>
      </c>
      <c r="F45" s="45" t="str">
        <f>IFERROR(__xludf.DUMMYFUNCTION("GOOGLETRANSLATE(A45,""zh-tw"",""KO"")"),"2025/4/13에 새로운 ""요리"" 페이지를 만들었습니다.")</f>
        <v>2025/4/13에 새로운 "요리" 페이지를 만들었습니다.</v>
      </c>
      <c r="G45" s="45" t="str">
        <f>IFERROR(__xludf.DUMMYFUNCTION("GOOGLETRANSLATE(A45,""zh-tw"",""RU"")"),"Создал новую страницу «Кулинария» 13.04.2025")</f>
        <v>Создал новую страницу «Кулинария» 13.04.2025</v>
      </c>
      <c r="H45" s="45" t="str">
        <f>IFERROR(__xludf.DUMMYFUNCTION("GOOGLETRANSLATE(A45,""zh-tw"",""DE"")"),"Am 13.04.2025 wurde eine neue Seite zum Thema „Kochen“ erstellt.")</f>
        <v>Am 13.04.2025 wurde eine neue Seite zum Thema „Kochen“ erstellt.</v>
      </c>
      <c r="I45" s="49" t="s">
        <v>110</v>
      </c>
      <c r="J45" s="46"/>
      <c r="K45" s="46"/>
      <c r="L45" s="46"/>
      <c r="M45" s="46"/>
      <c r="N45" s="46"/>
      <c r="O45" s="46"/>
      <c r="P45" s="46"/>
      <c r="Q45" s="46"/>
      <c r="R45" s="46"/>
      <c r="S45" s="46"/>
      <c r="T45" s="46"/>
      <c r="U45" s="46"/>
      <c r="V45" s="46"/>
      <c r="W45" s="46"/>
    </row>
    <row r="46">
      <c r="A46" s="43" t="s">
        <v>111</v>
      </c>
      <c r="B46" s="43" t="str">
        <f>IFERROR(__xludf.DUMMYFUNCTION("GOOGLETRANSLATE(A46,""zh-tw"",""ja"")"),"2025年4月6日（S32〜34）にバージョン0.721にアップデートされました。")</f>
        <v>2025年4月6日（S32〜34）にバージョン0.721にアップデートされました。</v>
      </c>
      <c r="C46" s="44" t="str">
        <f>IFERROR(__xludf.DUMMYFUNCTION("GOOGLETRANSLATE(A46,""zh-tw"",""en"")"),"Updated to version 0.721 on April 6, 2025 (S32~34).")</f>
        <v>Updated to version 0.721 on April 6, 2025 (S32~34).</v>
      </c>
      <c r="D46" s="43" t="str">
        <f>IFERROR(__xludf.DUMMYFUNCTION("GOOGLETRANSLATE(A46,""zh-tw"",""zh"")"),"2025/4/6 更新0.721版本 S32~34")</f>
        <v>2025/4/6 更新0.721版本 S32~34</v>
      </c>
      <c r="E46" s="45" t="str">
        <f>IFERROR(__xludf.DUMMYFUNCTION("GOOGLETRANSLATE(A46,""zh-tw"",""es-MX"")"),"Actualizado a la versión 0.721 el 6 de abril de 2025 (S32~34).")</f>
        <v>Actualizado a la versión 0.721 el 6 de abril de 2025 (S32~34).</v>
      </c>
      <c r="F46" s="45" t="str">
        <f>IFERROR(__xludf.DUMMYFUNCTION("GOOGLETRANSLATE(A46,""zh-tw"",""KO"")"),"2025년 4월 6일 버전 0.721로 업데이트되었습니다(S32~34).")</f>
        <v>2025년 4월 6일 버전 0.721로 업데이트되었습니다(S32~34).</v>
      </c>
      <c r="G46" s="45" t="str">
        <f>IFERROR(__xludf.DUMMYFUNCTION("GOOGLETRANSLATE(A46,""zh-tw"",""RU"")"),"Обновлено до версии 0.721 6 апреля 2025 г. (S32~34).")</f>
        <v>Обновлено до версии 0.721 6 апреля 2025 г. (S32~34).</v>
      </c>
      <c r="H46" s="45" t="str">
        <f>IFERROR(__xludf.DUMMYFUNCTION("GOOGLETRANSLATE(A46,""zh-tw"",""DE"")"),"Aktualisiert auf Version 0.721 am 6. April 2025 (S32~34).")</f>
        <v>Aktualisiert auf Version 0.721 am 6. April 2025 (S32~34).</v>
      </c>
      <c r="I46" s="49" t="s">
        <v>112</v>
      </c>
      <c r="J46" s="46"/>
      <c r="K46" s="46"/>
      <c r="L46" s="46"/>
      <c r="M46" s="46"/>
      <c r="N46" s="46"/>
      <c r="O46" s="46"/>
      <c r="P46" s="46"/>
      <c r="Q46" s="46"/>
      <c r="R46" s="46"/>
      <c r="S46" s="46"/>
      <c r="T46" s="46"/>
      <c r="U46" s="46"/>
      <c r="V46" s="46"/>
      <c r="W46" s="46"/>
    </row>
    <row r="47">
      <c r="A47" s="43" t="s">
        <v>113</v>
      </c>
      <c r="B47" s="43" t="s">
        <v>114</v>
      </c>
      <c r="C47" s="43" t="s">
        <v>115</v>
      </c>
      <c r="D47" s="43" t="str">
        <f>IFERROR(__xludf.DUMMYFUNCTION("GOOGLETRANSLATE(A47,""zh-tw"",""zh"")"),"2025/4/4 地图新增大焦热溶岩帯")</f>
        <v>2025/4/4 地图新增大焦热溶岩帯</v>
      </c>
      <c r="E47" s="45" t="str">
        <f>IFERROR(__xludf.DUMMYFUNCTION("GOOGLETRANSLATE(A47,""zh-tw"",""es-MX"")"),"4 de abril de 2025: Se añadió el Gran Cinturón de Lava Abrasada al mapa.")</f>
        <v>4 de abril de 2025: Se añadió el Gran Cinturón de Lava Abrasada al mapa.</v>
      </c>
      <c r="F47" s="45" t="str">
        <f>IFERROR(__xludf.DUMMYFUNCTION("GOOGLETRANSLATE(A47,""zh-tw"",""KO"")"),"2025년 4월 4일: 지도에 그레이트 스콜치드 라바 벨트가 추가되었습니다.")</f>
        <v>2025년 4월 4일: 지도에 그레이트 스콜치드 라바 벨트가 추가되었습니다.</v>
      </c>
      <c r="G47" s="45" t="str">
        <f>IFERROR(__xludf.DUMMYFUNCTION("GOOGLETRANSLATE(A47,""zh-tw"",""RU"")"),"4 апреля 2025 г.: На карту добавлен Большой пояс выжженной лавы.")</f>
        <v>4 апреля 2025 г.: На карту добавлен Большой пояс выжженной лавы.</v>
      </c>
      <c r="H47" s="45" t="str">
        <f>IFERROR(__xludf.DUMMYFUNCTION("GOOGLETRANSLATE(A47,""zh-tw"",""DE"")"),"4. April 2025: Der Große Versengte Lavagürtel wurde der Karte hinzugefügt.")</f>
        <v>4. April 2025: Der Große Versengte Lavagürtel wurde der Karte hinzugefügt.</v>
      </c>
      <c r="I47" s="49" t="s">
        <v>116</v>
      </c>
      <c r="J47" s="46"/>
      <c r="K47" s="46"/>
      <c r="L47" s="46"/>
      <c r="M47" s="46"/>
      <c r="N47" s="46"/>
      <c r="O47" s="46"/>
      <c r="P47" s="46"/>
      <c r="Q47" s="46"/>
      <c r="R47" s="46"/>
      <c r="S47" s="46"/>
      <c r="T47" s="46"/>
      <c r="U47" s="46"/>
      <c r="V47" s="46"/>
      <c r="W47" s="46"/>
    </row>
    <row r="48">
      <c r="A48" s="43" t="s">
        <v>117</v>
      </c>
      <c r="B48" s="43" t="str">
        <f>IFERROR(__xludf.DUMMYFUNCTION("GOOGLETRANSLATE(A48,""zh-tw"",""ja"")"),"2025年4月1日：バージョン0.72のアイテムを追加しました：S7、S32〜S35、TIPS、アイテム2つ、鎧1つ。")</f>
        <v>2025年4月1日：バージョン0.72のアイテムを追加しました：S7、S32〜S35、TIPS、アイテム2つ、鎧1つ。</v>
      </c>
      <c r="C48" s="44" t="str">
        <f>IFERROR(__xludf.DUMMYFUNCTION("GOOGLETRANSLATE(A48,""zh-tw"",""en"")"),"April 1, 2025: Added version 0.72 items: S7, S32~S35, TIPS, two items, and one piece of armor.")</f>
        <v>April 1, 2025: Added version 0.72 items: S7, S32~S35, TIPS, two items, and one piece of armor.</v>
      </c>
      <c r="D48" s="43" t="str">
        <f>IFERROR(__xludf.DUMMYFUNCTION("GOOGLETRANSLATE(A48,""zh-tw"",""zh"")"),"2025/4/1  新增0.72版本项目：S7、S32~S35、TIPS、两样道具、一件防具")</f>
        <v>2025/4/1  新增0.72版本项目：S7、S32~S35、TIPS、两样道具、一件防具</v>
      </c>
      <c r="E48" s="45" t="str">
        <f>IFERROR(__xludf.DUMMYFUNCTION("GOOGLETRANSLATE(A48,""zh-tw"",""es-MX"")"),"1 de abril de 2025: Se agregaron los siguientes elementos de la versión 0.72: S7, S32~S35, TIPS, dos objetos y una pieza de armadura.")</f>
        <v>1 de abril de 2025: Se agregaron los siguientes elementos de la versión 0.72: S7, S32~S35, TIPS, dos objetos y una pieza de armadura.</v>
      </c>
      <c r="F48" s="45" t="str">
        <f>IFERROR(__xludf.DUMMYFUNCTION("GOOGLETRANSLATE(A48,""zh-tw"",""KO"")"),"2025년 4월 1일: 버전 0.72 아이템 추가: S7, S32~S35, TIPS, 아이템 2개, 방어구 1개.")</f>
        <v>2025년 4월 1일: 버전 0.72 아이템 추가: S7, S32~S35, TIPS, 아이템 2개, 방어구 1개.</v>
      </c>
      <c r="G48" s="45" t="str">
        <f>IFERROR(__xludf.DUMMYFUNCTION("GOOGLETRANSLATE(A48,""zh-tw"",""RU"")"),"1 апреля 2025 г.: Добавлены предметы версии 0.72: S7, S32~S35, TIPS, два предмета и одна часть брони.")</f>
        <v>1 апреля 2025 г.: Добавлены предметы версии 0.72: S7, S32~S35, TIPS, два предмета и одна часть брони.</v>
      </c>
      <c r="H48" s="45" t="str">
        <f>IFERROR(__xludf.DUMMYFUNCTION("GOOGLETRANSLATE(A48,""zh-tw"",""DE"")"),"1. April 2025: Hinzugefügte Gegenstände der Version 0.72: S7, S32~S35, TIPS, zwei Gegenstände und ein Rüstungsteil.")</f>
        <v>1. April 2025: Hinzugefügte Gegenstände der Version 0.72: S7, S32~S35, TIPS, zwei Gegenstände und ein Rüstungsteil.</v>
      </c>
      <c r="I48" s="49" t="s">
        <v>118</v>
      </c>
      <c r="J48" s="46"/>
      <c r="K48" s="46"/>
      <c r="L48" s="46"/>
      <c r="M48" s="46"/>
      <c r="N48" s="46"/>
      <c r="O48" s="46"/>
      <c r="P48" s="46"/>
      <c r="Q48" s="46"/>
      <c r="R48" s="46"/>
      <c r="S48" s="46"/>
      <c r="T48" s="46"/>
      <c r="U48" s="46"/>
      <c r="V48" s="46"/>
      <c r="W48" s="46"/>
    </row>
    <row r="49">
      <c r="A49" s="43" t="s">
        <v>119</v>
      </c>
      <c r="B49" s="43" t="str">
        <f>IFERROR(__xludf.DUMMYFUNCTION("GOOGLETRANSLATE(A49,""zh-tw"",""ja"")"),"2025 年 4 月 1 日に、エイプリルフールのちょっとしたサプライズがウェブサイトに追加されました。")</f>
        <v>2025 年 4 月 1 日に、エイプリルフールのちょっとしたサプライズがウェブサイトに追加されました。</v>
      </c>
      <c r="C49" s="44" t="str">
        <f>IFERROR(__xludf.DUMMYFUNCTION("GOOGLETRANSLATE(A49,""zh-tw"",""en"")"),"A little April Fool's Day surprise was added to the website on April 1, 2025.")</f>
        <v>A little April Fool's Day surprise was added to the website on April 1, 2025.</v>
      </c>
      <c r="D49" s="43" t="str">
        <f>IFERROR(__xludf.DUMMYFUNCTION("GOOGLETRANSLATE(A49,""zh-tw"",""zh"")"),"2025/4/1  新增了网页愚人节的小彩蛋")</f>
        <v>2025/4/1  新增了网页愚人节的小彩蛋</v>
      </c>
      <c r="E49" s="45" t="str">
        <f>IFERROR(__xludf.DUMMYFUNCTION("GOOGLETRANSLATE(A49,""zh-tw"",""es-MX"")"),"El 1 de abril de 2025 se añadió una pequeña sorpresa del Día de los Inocentes al sitio web.")</f>
        <v>El 1 de abril de 2025 se añadió una pequeña sorpresa del Día de los Inocentes al sitio web.</v>
      </c>
      <c r="F49" s="45" t="str">
        <f>IFERROR(__xludf.DUMMYFUNCTION("GOOGLETRANSLATE(A49,""zh-tw"",""KO"")"),"2025년 4월 1일에 만우절을 기념하여 작은 놀라움이 웹사이트에 추가되었습니다.")</f>
        <v>2025년 4월 1일에 만우절을 기념하여 작은 놀라움이 웹사이트에 추가되었습니다.</v>
      </c>
      <c r="G49" s="45" t="str">
        <f>IFERROR(__xludf.DUMMYFUNCTION("GOOGLETRANSLATE(A49,""zh-tw"",""RU"")"),"Небольшой сюрприз ко Дню смеха был добавлен на сайт 1 апреля 2025 года.")</f>
        <v>Небольшой сюрприз ко Дню смеха был добавлен на сайт 1 апреля 2025 года.</v>
      </c>
      <c r="H49" s="45" t="str">
        <f>IFERROR(__xludf.DUMMYFUNCTION("GOOGLETRANSLATE(A49,""zh-tw"",""DE"")"),"Am 1. April 2025 wurde der Website eine kleine Aprilscherz-Überraschung hinzugefügt.")</f>
        <v>Am 1. April 2025 wurde der Website eine kleine Aprilscherz-Überraschung hinzugefügt.</v>
      </c>
      <c r="I49" s="49" t="s">
        <v>120</v>
      </c>
      <c r="J49" s="46"/>
      <c r="K49" s="46"/>
      <c r="L49" s="46"/>
      <c r="M49" s="46"/>
      <c r="N49" s="46"/>
      <c r="O49" s="46"/>
      <c r="P49" s="46"/>
      <c r="Q49" s="46"/>
      <c r="R49" s="46"/>
      <c r="S49" s="46"/>
      <c r="T49" s="46"/>
      <c r="U49" s="46"/>
      <c r="V49" s="46"/>
      <c r="W49" s="46"/>
    </row>
    <row r="50">
      <c r="A50" s="43" t="s">
        <v>121</v>
      </c>
      <c r="B50" s="43" t="str">
        <f>IFERROR(__xludf.DUMMYFUNCTION("GOOGLETRANSLATE(A50,""zh-tw"",""ja"")"),"2025 年 3 月 25 日更新: マップ名とイベント内の一部のコンテンツが修正されました。")</f>
        <v>2025 年 3 月 25 日更新: マップ名とイベント内の一部のコンテンツが修正されました。</v>
      </c>
      <c r="C50" s="44" t="str">
        <f>IFERROR(__xludf.DUMMYFUNCTION("GOOGLETRANSLATE(A50,""zh-tw"",""en"")"),"March 25, 2025 Update: Map names and some content within the event have been corrected.")</f>
        <v>March 25, 2025 Update: Map names and some content within the event have been corrected.</v>
      </c>
      <c r="D50" s="43" t="str">
        <f>IFERROR(__xludf.DUMMYFUNCTION("GOOGLETRANSLATE(A50,""zh-tw"",""zh"")"),"2025/3/25 更新事件内地图名称与部分内容修正")</f>
        <v>2025/3/25 更新事件内地图名称与部分内容修正</v>
      </c>
      <c r="E50" s="45" t="str">
        <f>IFERROR(__xludf.DUMMYFUNCTION("GOOGLETRANSLATE(A50,""zh-tw"",""es-MX"")"),"Actualización del 25 de marzo de 2025: Se han corregido los nombres de los mapas y algunos contenidos del evento.")</f>
        <v>Actualización del 25 de marzo de 2025: Se han corregido los nombres de los mapas y algunos contenidos del evento.</v>
      </c>
      <c r="F50" s="45" t="str">
        <f>IFERROR(__xludf.DUMMYFUNCTION("GOOGLETRANSLATE(A50,""zh-tw"",""KO"")"),"2025년 3월 25일 업데이트: 이벤트 내 맵 이름과 일부 콘텐츠가 수정되었습니다.")</f>
        <v>2025년 3월 25일 업데이트: 이벤트 내 맵 이름과 일부 콘텐츠가 수정되었습니다.</v>
      </c>
      <c r="G50" s="45" t="str">
        <f>IFERROR(__xludf.DUMMYFUNCTION("GOOGLETRANSLATE(A50,""zh-tw"",""RU"")"),"Обновление от 25 марта 2025 г.: исправлены названия карт и часть контента в событии.")</f>
        <v>Обновление от 25 марта 2025 г.: исправлены названия карт и часть контента в событии.</v>
      </c>
      <c r="H50" s="45" t="str">
        <f>IFERROR(__xludf.DUMMYFUNCTION("GOOGLETRANSLATE(A50,""zh-tw"",""DE"")"),"Aktualisierung vom 25. März 2025: Kartennamen und einige Inhalte innerhalb der Veranstaltung wurden korrigiert.")</f>
        <v>Aktualisierung vom 25. März 2025: Kartennamen und einige Inhalte innerhalb der Veranstaltung wurden korrigiert.</v>
      </c>
      <c r="I50" s="49" t="s">
        <v>122</v>
      </c>
      <c r="J50" s="46"/>
      <c r="K50" s="46"/>
      <c r="L50" s="46"/>
      <c r="M50" s="46"/>
      <c r="N50" s="46"/>
      <c r="O50" s="46"/>
      <c r="P50" s="46"/>
      <c r="Q50" s="46"/>
      <c r="R50" s="46"/>
      <c r="S50" s="46"/>
      <c r="T50" s="46"/>
      <c r="U50" s="46"/>
      <c r="V50" s="46"/>
      <c r="W50" s="46"/>
    </row>
    <row r="51">
      <c r="A51" s="43" t="s">
        <v>123</v>
      </c>
      <c r="B51" s="43" t="str">
        <f>IFERROR(__xludf.DUMMYFUNCTION("GOOGLETRANSLATE(A51,""zh-tw"",""ja"")"),"マップセクションは、2025 年 3 月 22 日から 2025 年 5 月 5 日まで再設計されました。")</f>
        <v>マップセクションは、2025 年 3 月 22 日から 2025 年 5 月 5 日まで再設計されました。</v>
      </c>
      <c r="C51" s="44" t="str">
        <f>IFERROR(__xludf.DUMMYFUNCTION("GOOGLETRANSLATE(A51,""zh-tw"",""en"")"),"Map sections were redesigned from March 22, 2025 to May 5, 2025.")</f>
        <v>Map sections were redesigned from March 22, 2025 to May 5, 2025.</v>
      </c>
      <c r="D51" s="43" t="str">
        <f>IFERROR(__xludf.DUMMYFUNCTION("GOOGLETRANSLATE(A51,""zh-tw"",""zh"")"),"2025/3/22-2025/5/5 地图板块重新完成")</f>
        <v>2025/3/22-2025/5/5 地图板块重新完成</v>
      </c>
      <c r="E51" s="45" t="str">
        <f>IFERROR(__xludf.DUMMYFUNCTION("GOOGLETRANSLATE(A51,""zh-tw"",""es-MX"")"),"Las secciones del mapa fueron rediseñadas entre el 22 de marzo de 2025 y el 5 de mayo de 2025.")</f>
        <v>Las secciones del mapa fueron rediseñadas entre el 22 de marzo de 2025 y el 5 de mayo de 2025.</v>
      </c>
      <c r="F51" s="45" t="str">
        <f>IFERROR(__xludf.DUMMYFUNCTION("GOOGLETRANSLATE(A51,""zh-tw"",""KO"")"),"지도 섹션은 2025년 3월 22일부터 2025년 5월 5일까지 재설계되었습니다.")</f>
        <v>지도 섹션은 2025년 3월 22일부터 2025년 5월 5일까지 재설계되었습니다.</v>
      </c>
      <c r="G51" s="45" t="str">
        <f>IFERROR(__xludf.DUMMYFUNCTION("GOOGLETRANSLATE(A51,""zh-tw"",""RU"")"),"Разделы карты были переработаны с 22 марта 2025 года по 5 мая 2025 года.")</f>
        <v>Разделы карты были переработаны с 22 марта 2025 года по 5 мая 2025 года.</v>
      </c>
      <c r="H51" s="45" t="str">
        <f>IFERROR(__xludf.DUMMYFUNCTION("GOOGLETRANSLATE(A51,""zh-tw"",""DE"")"),"Die Kartenabschnitte wurden vom 22. März 2025 bis zum 5. Mai 2025 neu gestaltet.")</f>
        <v>Die Kartenabschnitte wurden vom 22. März 2025 bis zum 5. Mai 2025 neu gestaltet.</v>
      </c>
      <c r="I51" s="49" t="s">
        <v>124</v>
      </c>
      <c r="J51" s="46"/>
      <c r="K51" s="46"/>
      <c r="L51" s="46"/>
      <c r="M51" s="46"/>
      <c r="N51" s="46"/>
      <c r="O51" s="46"/>
      <c r="P51" s="46"/>
      <c r="Q51" s="46"/>
      <c r="R51" s="46"/>
      <c r="S51" s="46"/>
      <c r="T51" s="46"/>
      <c r="U51" s="46"/>
      <c r="V51" s="46"/>
      <c r="W51" s="46"/>
    </row>
    <row r="52">
      <c r="A52" s="43" t="s">
        <v>125</v>
      </c>
      <c r="B52" s="43" t="str">
        <f>IFERROR(__xludf.DUMMYFUNCTION("GOOGLETRANSLATE(A52,""zh-tw"",""ja"")"),"2025年3月21日：イベントページが再設計され、SLGページとRPGページに分割されました。")</f>
        <v>2025年3月21日：イベントページが再設計され、SLGページとRPGページに分割されました。</v>
      </c>
      <c r="C52" s="44" t="str">
        <f>IFERROR(__xludf.DUMMYFUNCTION("GOOGLETRANSLATE(A52,""zh-tw"",""en"")"),"March 21, 2025: Event page redesigned, divided into SLG and RPG pages.")</f>
        <v>March 21, 2025: Event page redesigned, divided into SLG and RPG pages.</v>
      </c>
      <c r="D52" s="43" t="str">
        <f>IFERROR(__xludf.DUMMYFUNCTION("GOOGLETRANSLATE(A52,""zh-tw"",""zh"")"),"2025/3/21 重制事件页面，分成SLG、RPG页面")</f>
        <v>2025/3/21 重制事件页面，分成SLG、RPG页面</v>
      </c>
      <c r="E52" s="45" t="str">
        <f>IFERROR(__xludf.DUMMYFUNCTION("GOOGLETRANSLATE(A52,""zh-tw"",""es-MX"")"),"21 de marzo de 2025: Se rediseñó la página del evento, dividiéndola en páginas de SLG y RPG.")</f>
        <v>21 de marzo de 2025: Se rediseñó la página del evento, dividiéndola en páginas de SLG y RPG.</v>
      </c>
      <c r="F52" s="45" t="str">
        <f>IFERROR(__xludf.DUMMYFUNCTION("GOOGLETRANSLATE(A52,""zh-tw"",""KO"")"),"2025년 3월 21일: 이벤트 페이지가 재설계되어 SLG와 RPG 페이지로 나뉘었습니다.")</f>
        <v>2025년 3월 21일: 이벤트 페이지가 재설계되어 SLG와 RPG 페이지로 나뉘었습니다.</v>
      </c>
      <c r="G52" s="45" t="str">
        <f>IFERROR(__xludf.DUMMYFUNCTION("GOOGLETRANSLATE(A52,""zh-tw"",""RU"")"),"21 марта 2025 г.: страница событий переработана и разделена на страницы SLG и RPG.")</f>
        <v>21 марта 2025 г.: страница событий переработана и разделена на страницы SLG и RPG.</v>
      </c>
      <c r="H52" s="45" t="str">
        <f>IFERROR(__xludf.DUMMYFUNCTION("GOOGLETRANSLATE(A52,""zh-tw"",""DE"")"),"21. März 2025: Die Veranstaltungsseite wurde neu gestaltet und in SLG- und RPG-Seiten unterteilt.")</f>
        <v>21. März 2025: Die Veranstaltungsseite wurde neu gestaltet und in SLG- und RPG-Seiten unterteilt.</v>
      </c>
      <c r="I52" s="49" t="s">
        <v>126</v>
      </c>
      <c r="J52" s="46"/>
      <c r="K52" s="46"/>
      <c r="L52" s="46"/>
      <c r="M52" s="46"/>
      <c r="N52" s="46"/>
      <c r="O52" s="46"/>
      <c r="P52" s="46"/>
      <c r="Q52" s="46"/>
      <c r="R52" s="46"/>
      <c r="S52" s="46"/>
      <c r="T52" s="46"/>
      <c r="U52" s="46"/>
      <c r="V52" s="46"/>
      <c r="W52" s="46"/>
    </row>
    <row r="53">
      <c r="A53" s="43" t="s">
        <v>127</v>
      </c>
      <c r="B53" s="43" t="str">
        <f>IFERROR(__xludf.DUMMYFUNCTION("GOOGLETRANSLATE(A53,""zh-tw"",""ja"")"),"2025/3/16にバージョン0.7の情報を更新しました")</f>
        <v>2025/3/16にバージョン0.7の情報を更新しました</v>
      </c>
      <c r="C53" s="44" t="str">
        <f>IFERROR(__xludf.DUMMYFUNCTION("GOOGLETRANSLATE(A53,""zh-tw"",""en"")"),"Updated version 0.7 information on 2025/3/16")</f>
        <v>Updated version 0.7 information on 2025/3/16</v>
      </c>
      <c r="D53" s="43" t="str">
        <f>IFERROR(__xludf.DUMMYFUNCTION("GOOGLETRANSLATE(A53,""zh-tw"",""zh"")"),"2025/3/16 更新0.7版本资讯")</f>
        <v>2025/3/16 更新0.7版本资讯</v>
      </c>
      <c r="E53" s="45" t="str">
        <f>IFERROR(__xludf.DUMMYFUNCTION("GOOGLETRANSLATE(A53,""zh-tw"",""es-MX"")"),"Información actualizada a la versión 0.7 el 16/03/2025")</f>
        <v>Información actualizada a la versión 0.7 el 16/03/2025</v>
      </c>
      <c r="F53" s="45" t="str">
        <f>IFERROR(__xludf.DUMMYFUNCTION("GOOGLETRANSLATE(A53,""zh-tw"",""KO"")"),"2025/3/16에 버전 0.7 정보가 업데이트되었습니다.")</f>
        <v>2025/3/16에 버전 0.7 정보가 업데이트되었습니다.</v>
      </c>
      <c r="G53" s="45" t="str">
        <f>IFERROR(__xludf.DUMMYFUNCTION("GOOGLETRANSLATE(A53,""zh-tw"",""RU"")"),"Обновленная информация о версии 0.7 от 16.03.2025")</f>
        <v>Обновленная информация о версии 0.7 от 16.03.2025</v>
      </c>
      <c r="H53" s="45" t="str">
        <f>IFERROR(__xludf.DUMMYFUNCTION("GOOGLETRANSLATE(A53,""zh-tw"",""DE"")"),"Aktualisierte Informationen zu Version 0.7 vom 16.03.2025")</f>
        <v>Aktualisierte Informationen zu Version 0.7 vom 16.03.2025</v>
      </c>
      <c r="I53" s="49" t="s">
        <v>128</v>
      </c>
      <c r="J53" s="46"/>
      <c r="K53" s="46"/>
      <c r="L53" s="46"/>
      <c r="M53" s="46"/>
      <c r="N53" s="46"/>
      <c r="O53" s="46"/>
      <c r="P53" s="46"/>
      <c r="Q53" s="46"/>
      <c r="R53" s="46"/>
      <c r="S53" s="46"/>
      <c r="T53" s="46"/>
      <c r="U53" s="46"/>
      <c r="V53" s="46"/>
      <c r="W53" s="46"/>
    </row>
    <row r="54">
      <c r="A54" s="43" t="s">
        <v>129</v>
      </c>
      <c r="B54" s="43" t="str">
        <f>IFERROR(__xludf.DUMMYFUNCTION("GOOGLETRANSLATE(A54,""zh-tw"",""ja"")"),"2025/3/15にステータスページネーションを追加しました")</f>
        <v>2025/3/15にステータスページネーションを追加しました</v>
      </c>
      <c r="C54" s="44" t="str">
        <f>IFERROR(__xludf.DUMMYFUNCTION("GOOGLETRANSLATE(A54,""zh-tw"",""en"")"),"Added status pagination on 2025/3/15")</f>
        <v>Added status pagination on 2025/3/15</v>
      </c>
      <c r="D54" s="43" t="str">
        <f>IFERROR(__xludf.DUMMYFUNCTION("GOOGLETRANSLATE(A54,""zh-tw"",""zh"")"),"2025/3/15 新增状态分页")</f>
        <v>2025/3/15 新增状态分页</v>
      </c>
      <c r="E54" s="45" t="str">
        <f>IFERROR(__xludf.DUMMYFUNCTION("GOOGLETRANSLATE(A54,""zh-tw"",""es-MX"")"),"Se añadió la paginación de estado el 15/03/2025.")</f>
        <v>Se añadió la paginación de estado el 15/03/2025.</v>
      </c>
      <c r="F54" s="45" t="str">
        <f>IFERROR(__xludf.DUMMYFUNCTION("GOOGLETRANSLATE(A54,""zh-tw"",""KO"")"),"2025/3/15에 상태 페이지 매김이 추가되었습니다.")</f>
        <v>2025/3/15에 상태 페이지 매김이 추가되었습니다.</v>
      </c>
      <c r="G54" s="45" t="str">
        <f>IFERROR(__xludf.DUMMYFUNCTION("GOOGLETRANSLATE(A54,""zh-tw"",""RU"")"),"Добавлена ​​пагинация статуса от 15.03.2025")</f>
        <v>Добавлена ​​пагинация статуса от 15.03.2025</v>
      </c>
      <c r="H54" s="45" t="str">
        <f>IFERROR(__xludf.DUMMYFUNCTION("GOOGLETRANSLATE(A54,""zh-tw"",""DE"")"),"Status-Paginierung hinzugefügt am 15.03.2025")</f>
        <v>Status-Paginierung hinzugefügt am 15.03.2025</v>
      </c>
      <c r="I54" s="49" t="s">
        <v>130</v>
      </c>
      <c r="J54" s="46"/>
      <c r="K54" s="46"/>
      <c r="L54" s="46"/>
      <c r="M54" s="46"/>
      <c r="N54" s="46"/>
      <c r="O54" s="46"/>
      <c r="P54" s="46"/>
      <c r="Q54" s="46"/>
      <c r="R54" s="46"/>
      <c r="S54" s="46"/>
      <c r="T54" s="46"/>
      <c r="U54" s="46"/>
      <c r="V54" s="46"/>
      <c r="W54" s="46"/>
    </row>
    <row r="55">
      <c r="A55" s="43" t="s">
        <v>131</v>
      </c>
      <c r="B55" s="43" t="str">
        <f>IFERROR(__xludf.DUMMYFUNCTION("GOOGLETRANSLATE(A55,""zh-tw"",""ja"")"),"2025/3/13にTIPSを更新しました")</f>
        <v>2025/3/13にTIPSを更新しました</v>
      </c>
      <c r="C55" s="44" t="str">
        <f>IFERROR(__xludf.DUMMYFUNCTION("GOOGLETRANSLATE(A55,""zh-tw"",""en"")"),"Updated TIPS 2025/3/13")</f>
        <v>Updated TIPS 2025/3/13</v>
      </c>
      <c r="D55" s="43" t="str">
        <f>IFERROR(__xludf.DUMMYFUNCTION("GOOGLETRANSLATE(A55,""zh-tw"",""zh"")"),"2025/3/13 更新TIPS")</f>
        <v>2025/3/13 更新TIPS</v>
      </c>
      <c r="E55" s="45" t="str">
        <f>IFERROR(__xludf.DUMMYFUNCTION("GOOGLETRANSLATE(A55,""zh-tw"",""es-MX"")"),"Consejos actualizados el 13/3/2025")</f>
        <v>Consejos actualizados el 13/3/2025</v>
      </c>
      <c r="F55" s="45" t="str">
        <f>IFERROR(__xludf.DUMMYFUNCTION("GOOGLETRANSLATE(A55,""zh-tw"",""KO"")"),"업데이트된 TIPS 2025/3/13")</f>
        <v>업데이트된 TIPS 2025/3/13</v>
      </c>
      <c r="G55" s="45" t="str">
        <f>IFERROR(__xludf.DUMMYFUNCTION("GOOGLETRANSLATE(A55,""zh-tw"",""RU"")"),"Обновленные СОВЕТЫ 2025/3/13")</f>
        <v>Обновленные СОВЕТЫ 2025/3/13</v>
      </c>
      <c r="H55" s="45" t="str">
        <f>IFERROR(__xludf.DUMMYFUNCTION("GOOGLETRANSLATE(A55,""zh-tw"",""DE"")"),"Aktualisierte Tipps vom 13.03.2025")</f>
        <v>Aktualisierte Tipps vom 13.03.2025</v>
      </c>
      <c r="I55" s="49" t="s">
        <v>132</v>
      </c>
      <c r="J55" s="46"/>
      <c r="K55" s="46"/>
      <c r="L55" s="46"/>
      <c r="M55" s="46"/>
      <c r="N55" s="46"/>
      <c r="O55" s="46"/>
      <c r="P55" s="46"/>
      <c r="Q55" s="46"/>
      <c r="R55" s="46"/>
      <c r="S55" s="46"/>
      <c r="T55" s="46"/>
      <c r="U55" s="46"/>
      <c r="V55" s="46"/>
      <c r="W55" s="46"/>
    </row>
    <row r="56">
      <c r="A56" s="43" t="s">
        <v>133</v>
      </c>
      <c r="B56" s="43" t="str">
        <f>IFERROR(__xludf.DUMMYFUNCTION("GOOGLETRANSLATE(A56,""zh-tw"",""ja"")"),"2025 年 3 月 12 日: 武器、防具、アイテムのページを再設計しました。")</f>
        <v>2025 年 3 月 12 日: 武器、防具、アイテムのページを再設計しました。</v>
      </c>
      <c r="C56" s="44" t="str">
        <f>IFERROR(__xludf.DUMMYFUNCTION("GOOGLETRANSLATE(A56,""zh-tw"",""en"")"),"March 12, 2025: Redesigned the weapon, armor, and item pages.")</f>
        <v>March 12, 2025: Redesigned the weapon, armor, and item pages.</v>
      </c>
      <c r="D56" s="43" t="str">
        <f>IFERROR(__xludf.DUMMYFUNCTION("GOOGLETRANSLATE(A56,""zh-tw"",""zh"")"),"2025/3/12 重新制作武器、防具、道具的页面")</f>
        <v>2025/3/12 重新制作武器、防具、道具的页面</v>
      </c>
      <c r="E56" s="45" t="str">
        <f>IFERROR(__xludf.DUMMYFUNCTION("GOOGLETRANSLATE(A56,""zh-tw"",""es-MX"")"),"12 de marzo de 2025: Se rediseñaron las páginas de armas, armaduras y objetos.")</f>
        <v>12 de marzo de 2025: Se rediseñaron las páginas de armas, armaduras y objetos.</v>
      </c>
      <c r="F56" s="45" t="str">
        <f>IFERROR(__xludf.DUMMYFUNCTION("GOOGLETRANSLATE(A56,""zh-tw"",""KO"")"),"2025년 3월 12일: 무기, 방어구, 아이템 페이지를 재설계했습니다.")</f>
        <v>2025년 3월 12일: 무기, 방어구, 아이템 페이지를 재설계했습니다.</v>
      </c>
      <c r="G56" s="45" t="str">
        <f>IFERROR(__xludf.DUMMYFUNCTION("GOOGLETRANSLATE(A56,""zh-tw"",""RU"")"),"12 марта 2025 г.: переработан дизайн страниц оружия, брони и предметов.")</f>
        <v>12 марта 2025 г.: переработан дизайн страниц оружия, брони и предметов.</v>
      </c>
      <c r="H56" s="45" t="str">
        <f>IFERROR(__xludf.DUMMYFUNCTION("GOOGLETRANSLATE(A56,""zh-tw"",""DE"")"),"12. März 2025: Die Seiten für Waffen, Rüstungen und Gegenstände wurden neu gestaltet.")</f>
        <v>12. März 2025: Die Seiten für Waffen, Rüstungen und Gegenstände wurden neu gestaltet.</v>
      </c>
      <c r="I56" s="49" t="s">
        <v>134</v>
      </c>
      <c r="J56" s="46"/>
      <c r="K56" s="46"/>
      <c r="L56" s="46"/>
      <c r="M56" s="46"/>
      <c r="N56" s="46"/>
      <c r="O56" s="46"/>
      <c r="P56" s="46"/>
      <c r="Q56" s="46"/>
      <c r="R56" s="46"/>
      <c r="S56" s="46"/>
      <c r="T56" s="46"/>
      <c r="U56" s="46"/>
      <c r="V56" s="46"/>
      <c r="W56" s="46"/>
    </row>
    <row r="57">
      <c r="A57" s="43" t="s">
        <v>135</v>
      </c>
      <c r="B57" s="43" t="str">
        <f>IFERROR(__xludf.DUMMYFUNCTION("GOOGLETRANSLATE(A57,""zh-tw"",""ja"")"),"アップデートのお知らせ（2025年3月10日）")</f>
        <v>アップデートのお知らせ（2025年3月10日）</v>
      </c>
      <c r="C57" s="44" t="str">
        <f>IFERROR(__xludf.DUMMYFUNCTION("GOOGLETRANSLATE(A57,""zh-tw"",""en"")"),"Update Announcement (March 10, 2025)")</f>
        <v>Update Announcement (March 10, 2025)</v>
      </c>
      <c r="D57" s="43" t="str">
        <f>IFERROR(__xludf.DUMMYFUNCTION("GOOGLETRANSLATE(A57,""zh-tw"",""zh"")"),"2025/3/10 更新公告")</f>
        <v>2025/3/10 更新公告</v>
      </c>
      <c r="E57" s="45" t="str">
        <f>IFERROR(__xludf.DUMMYFUNCTION("GOOGLETRANSLATE(A57,""zh-tw"",""es-MX"")"),"Anuncio de actualización (10 de marzo de 2025)")</f>
        <v>Anuncio de actualización (10 de marzo de 2025)</v>
      </c>
      <c r="F57" s="45" t="str">
        <f>IFERROR(__xludf.DUMMYFUNCTION("GOOGLETRANSLATE(A57,""zh-tw"",""KO"")"),"업데이트 공지 (2025년 3월 10일)")</f>
        <v>업데이트 공지 (2025년 3월 10일)</v>
      </c>
      <c r="G57" s="45" t="str">
        <f>IFERROR(__xludf.DUMMYFUNCTION("GOOGLETRANSLATE(A57,""zh-tw"",""RU"")"),"Объявление об обновлении (10 марта 2025 г.)")</f>
        <v>Объявление об обновлении (10 марта 2025 г.)</v>
      </c>
      <c r="H57" s="45" t="str">
        <f>IFERROR(__xludf.DUMMYFUNCTION("GOOGLETRANSLATE(A57,""zh-tw"",""DE"")"),"Aktualisierungsankündigung (10. März 2025)")</f>
        <v>Aktualisierungsankündigung (10. März 2025)</v>
      </c>
      <c r="I57" s="49" t="s">
        <v>136</v>
      </c>
      <c r="J57" s="46"/>
      <c r="K57" s="46"/>
      <c r="L57" s="46"/>
      <c r="M57" s="46"/>
      <c r="N57" s="46"/>
      <c r="O57" s="46"/>
      <c r="P57" s="46"/>
      <c r="Q57" s="46"/>
      <c r="R57" s="46"/>
      <c r="S57" s="46"/>
      <c r="T57" s="46"/>
      <c r="U57" s="46"/>
      <c r="V57" s="46"/>
      <c r="W57" s="46"/>
    </row>
    <row r="58">
      <c r="A58" s="43" t="s">
        <v>137</v>
      </c>
      <c r="B58" s="43" t="str">
        <f>IFERROR(__xludf.DUMMYFUNCTION("GOOGLETRANSLATE(A58,""zh-tw"",""ja"")"),"アップデートのお知らせ（2025年2月10日）")</f>
        <v>アップデートのお知らせ（2025年2月10日）</v>
      </c>
      <c r="C58" s="44" t="str">
        <f>IFERROR(__xludf.DUMMYFUNCTION("GOOGLETRANSLATE(A58,""zh-tw"",""en"")"),"Update Announcement (February 10, 2025)")</f>
        <v>Update Announcement (February 10, 2025)</v>
      </c>
      <c r="D58" s="43" t="str">
        <f>IFERROR(__xludf.DUMMYFUNCTION("GOOGLETRANSLATE(A58,""zh-tw"",""zh"")"),"2025/2/10 更新公告")</f>
        <v>2025/2/10 更新公告</v>
      </c>
      <c r="E58" s="45" t="str">
        <f>IFERROR(__xludf.DUMMYFUNCTION("GOOGLETRANSLATE(A58,""zh-tw"",""es-MX"")"),"Anuncio de actualización (10 de febrero de 2025)")</f>
        <v>Anuncio de actualización (10 de febrero de 2025)</v>
      </c>
      <c r="F58" s="45" t="str">
        <f>IFERROR(__xludf.DUMMYFUNCTION("GOOGLETRANSLATE(A58,""zh-tw"",""KO"")"),"업데이트 공지 (2025년 2월 10일)")</f>
        <v>업데이트 공지 (2025년 2월 10일)</v>
      </c>
      <c r="G58" s="45" t="str">
        <f>IFERROR(__xludf.DUMMYFUNCTION("GOOGLETRANSLATE(A58,""zh-tw"",""RU"")"),"Объявление об обновлении (10 февраля 2025 г.)")</f>
        <v>Объявление об обновлении (10 февраля 2025 г.)</v>
      </c>
      <c r="H58" s="45" t="str">
        <f>IFERROR(__xludf.DUMMYFUNCTION("GOOGLETRANSLATE(A58,""zh-tw"",""DE"")"),"Aktualisierungsankündigung (10. Februar 2025)")</f>
        <v>Aktualisierungsankündigung (10. Februar 2025)</v>
      </c>
      <c r="I58" s="49" t="s">
        <v>138</v>
      </c>
      <c r="J58" s="46"/>
      <c r="K58" s="46"/>
      <c r="L58" s="46"/>
      <c r="M58" s="46"/>
      <c r="N58" s="46"/>
      <c r="O58" s="46"/>
      <c r="P58" s="46"/>
      <c r="Q58" s="46"/>
      <c r="R58" s="46"/>
      <c r="S58" s="46"/>
      <c r="T58" s="46"/>
      <c r="U58" s="46"/>
      <c r="V58" s="46"/>
      <c r="W58" s="46"/>
    </row>
    <row r="59">
      <c r="A59" s="43" t="s">
        <v>139</v>
      </c>
      <c r="B59" s="43" t="str">
        <f>IFERROR(__xludf.DUMMYFUNCTION("GOOGLETRANSLATE(A59,""zh-tw"",""ja"")"),"2025年2月4日：バージョン0.65 Bを追加しました。")</f>
        <v>2025年2月4日：バージョン0.65 Bを追加しました。</v>
      </c>
      <c r="C59" s="44" t="str">
        <f>IFERROR(__xludf.DUMMYFUNCTION("GOOGLETRANSLATE(A59,""zh-tw"",""en"")"),"February 4, 2025: Added version 0.65 B.")</f>
        <v>February 4, 2025: Added version 0.65 B.</v>
      </c>
      <c r="D59" s="43" t="str">
        <f>IFERROR(__xludf.DUMMYFUNCTION("GOOGLETRANSLATE(A59,""zh-tw"",""zh"")"),"2025/2/4 新增0.65 B版本 事件")</f>
        <v>2025/2/4 新增0.65 B版本 事件</v>
      </c>
      <c r="E59" s="45" t="str">
        <f>IFERROR(__xludf.DUMMYFUNCTION("GOOGLETRANSLATE(A59,""zh-tw"",""es-MX"")"),"4 de febrero de 2025: Se agregó la versión 0.65 B.")</f>
        <v>4 de febrero de 2025: Se agregó la versión 0.65 B.</v>
      </c>
      <c r="F59" s="45" t="str">
        <f>IFERROR(__xludf.DUMMYFUNCTION("GOOGLETRANSLATE(A59,""zh-tw"",""KO"")"),"2025년 2월 4일: 버전 0.65 B가 추가되었습니다.")</f>
        <v>2025년 2월 4일: 버전 0.65 B가 추가되었습니다.</v>
      </c>
      <c r="G59" s="45" t="str">
        <f>IFERROR(__xludf.DUMMYFUNCTION("GOOGLETRANSLATE(A59,""zh-tw"",""RU"")"),"4 февраля 2025 г.: Добавлена ​​версия 0.65 B.")</f>
        <v>4 февраля 2025 г.: Добавлена ​​версия 0.65 B.</v>
      </c>
      <c r="H59" s="45" t="str">
        <f>IFERROR(__xludf.DUMMYFUNCTION("GOOGLETRANSLATE(A59,""zh-tw"",""DE"")"),"4. Februar 2025: Version 0.65 B hinzugefügt.")</f>
        <v>4. Februar 2025: Version 0.65 B hinzugefügt.</v>
      </c>
      <c r="I59" s="49" t="s">
        <v>140</v>
      </c>
      <c r="J59" s="46"/>
      <c r="K59" s="46"/>
      <c r="L59" s="46"/>
      <c r="M59" s="46"/>
      <c r="N59" s="46"/>
      <c r="O59" s="46"/>
      <c r="P59" s="46"/>
      <c r="Q59" s="46"/>
      <c r="R59" s="46"/>
      <c r="S59" s="46"/>
      <c r="T59" s="46"/>
      <c r="U59" s="46"/>
      <c r="V59" s="46"/>
      <c r="W59" s="46"/>
    </row>
    <row r="60">
      <c r="A60" s="43" t="s">
        <v>141</v>
      </c>
      <c r="B60" s="43" t="str">
        <f>IFERROR(__xludf.DUMMYFUNCTION("GOOGLETRANSLATE(A60,""zh-tw"",""ja"")"),"2025 年 2 月 3 ～ 4 日: Fallen Sanctuary のマップ画像が追加され、マップの一部にキャンプファイヤー マーカーが追加されました。")</f>
        <v>2025 年 2 月 3 ～ 4 日: Fallen Sanctuary のマップ画像が追加され、マップの一部にキャンプファイヤー マーカーが追加されました。</v>
      </c>
      <c r="C60" s="44" t="str">
        <f>IFERROR(__xludf.DUMMYFUNCTION("GOOGLETRANSLATE(A60,""zh-tw"",""en"")"),"February 3-4, 2025: Added map images for the Fallen Sanctuary; added campfire markers to some parts of the map.")</f>
        <v>February 3-4, 2025: Added map images for the Fallen Sanctuary; added campfire markers to some parts of the map.</v>
      </c>
      <c r="D60" s="43" t="str">
        <f>IFERROR(__xludf.DUMMYFUNCTION("GOOGLETRANSLATE(A60,""zh-tw"",""zh"")"),"2025/2/3-2/4 新增堕落的圣堂地图图片，一部分地图新增了篝火的标记")</f>
        <v>2025/2/3-2/4 新增堕落的圣堂地图图片，一部分地图新增了篝火的标记</v>
      </c>
      <c r="E60" s="45" t="str">
        <f>IFERROR(__xludf.DUMMYFUNCTION("GOOGLETRANSLATE(A60,""zh-tw"",""es-MX"")"),"3-4 de febrero de 2025: Se agregaron imágenes del mapa para el Santuario Caído; se agregaron marcadores de fogatas a algunas partes del mapa.")</f>
        <v>3-4 de febrero de 2025: Se agregaron imágenes del mapa para el Santuario Caído; se agregaron marcadores de fogatas a algunas partes del mapa.</v>
      </c>
      <c r="F60" s="45" t="str">
        <f>IFERROR(__xludf.DUMMYFUNCTION("GOOGLETRANSLATE(A60,""zh-tw"",""KO"")"),"2025년 2월 3-4일: Fallen Sanctuary에 대한 지도 이미지를 추가했습니다. 지도의 일부에 캠프파이어 마커를 추가했습니다.")</f>
        <v>2025년 2월 3-4일: Fallen Sanctuary에 대한 지도 이미지를 추가했습니다. 지도의 일부에 캠프파이어 마커를 추가했습니다.</v>
      </c>
      <c r="G60" s="45" t="str">
        <f>IFERROR(__xludf.DUMMYFUNCTION("GOOGLETRANSLATE(A60,""zh-tw"",""RU"")"),"3–4 февраля 2025 г.: Добавлены изображения карты для Павшего святилища; добавлены маркеры костров в некоторые части карты.")</f>
        <v>3–4 февраля 2025 г.: Добавлены изображения карты для Павшего святилища; добавлены маркеры костров в некоторые части карты.</v>
      </c>
      <c r="H60" s="45" t="str">
        <f>IFERROR(__xludf.DUMMYFUNCTION("GOOGLETRANSLATE(A60,""zh-tw"",""DE"")"),"3.-4. Februar 2025: Kartenbilder für das Gefallene Heiligtum hinzugefügt; Lagerfeuermarkierungen in einigen Teilen der Karte hinzugefügt.")</f>
        <v>3.-4. Februar 2025: Kartenbilder für das Gefallene Heiligtum hinzugefügt; Lagerfeuermarkierungen in einigen Teilen der Karte hinzugefügt.</v>
      </c>
      <c r="I60" s="49" t="s">
        <v>142</v>
      </c>
      <c r="J60" s="46"/>
      <c r="K60" s="46"/>
      <c r="L60" s="46"/>
      <c r="M60" s="46"/>
      <c r="N60" s="46"/>
      <c r="O60" s="46"/>
      <c r="P60" s="46"/>
      <c r="Q60" s="46"/>
      <c r="R60" s="46"/>
      <c r="S60" s="46"/>
      <c r="T60" s="46"/>
      <c r="U60" s="46"/>
      <c r="V60" s="46"/>
      <c r="W60" s="46"/>
    </row>
    <row r="61">
      <c r="A61" s="43" t="s">
        <v>143</v>
      </c>
      <c r="B61" s="43" t="str">
        <f>IFERROR(__xludf.DUMMYFUNCTION("GOOGLETRANSLATE(A61,""zh-tw"",""ja"")"),"2025年2月2日：イベントとアーマーを含むバージョン0.65Aを追加しました。")</f>
        <v>2025年2月2日：イベントとアーマーを含むバージョン0.65Aを追加しました。</v>
      </c>
      <c r="C61" s="44" t="str">
        <f>IFERROR(__xludf.DUMMYFUNCTION("GOOGLETRANSLATE(A61,""zh-tw"",""en"")"),"February 2, 2025: Added version 0.65A, including events and armor.")</f>
        <v>February 2, 2025: Added version 0.65A, including events and armor.</v>
      </c>
      <c r="D61" s="43" t="str">
        <f>IFERROR(__xludf.DUMMYFUNCTION("GOOGLETRANSLATE(A61,""zh-tw"",""zh"")"),"2025/2/2 新增0.65A版本 事件、装甲")</f>
        <v>2025/2/2 新增0.65A版本 事件、装甲</v>
      </c>
      <c r="E61" s="45" t="str">
        <f>IFERROR(__xludf.DUMMYFUNCTION("GOOGLETRANSLATE(A61,""zh-tw"",""es-MX"")"),"2 de febrero de 2025: Se agregó la versión 0.65A, que incluye eventos y armaduras.")</f>
        <v>2 de febrero de 2025: Se agregó la versión 0.65A, que incluye eventos y armaduras.</v>
      </c>
      <c r="F61" s="45" t="str">
        <f>IFERROR(__xludf.DUMMYFUNCTION("GOOGLETRANSLATE(A61,""zh-tw"",""KO"")"),"2025년 2월 2일: 이벤트와 방어구를 포함한 버전 0.65A가 추가되었습니다.")</f>
        <v>2025년 2월 2일: 이벤트와 방어구를 포함한 버전 0.65A가 추가되었습니다.</v>
      </c>
      <c r="G61" s="45" t="str">
        <f>IFERROR(__xludf.DUMMYFUNCTION("GOOGLETRANSLATE(A61,""zh-tw"",""RU"")"),"2 февраля 2025 г.: Добавлена ​​версия 0.65A, включая события и броню.")</f>
        <v>2 февраля 2025 г.: Добавлена ​​версия 0.65A, включая события и броню.</v>
      </c>
      <c r="H61" s="45" t="str">
        <f>IFERROR(__xludf.DUMMYFUNCTION("GOOGLETRANSLATE(A61,""zh-tw"",""DE"")"),"2. Februar 2025: Version 0.65A hinzugefügt, inklusive Ereignissen und Rüstungen.")</f>
        <v>2. Februar 2025: Version 0.65A hinzugefügt, inklusive Ereignissen und Rüstungen.</v>
      </c>
      <c r="I61" s="49" t="s">
        <v>144</v>
      </c>
      <c r="J61" s="46"/>
      <c r="K61" s="46"/>
      <c r="L61" s="46"/>
      <c r="M61" s="46"/>
      <c r="N61" s="46"/>
      <c r="O61" s="46"/>
      <c r="P61" s="46"/>
      <c r="Q61" s="46"/>
      <c r="R61" s="46"/>
      <c r="S61" s="46"/>
      <c r="T61" s="46"/>
      <c r="U61" s="46"/>
      <c r="V61" s="46"/>
      <c r="W61" s="46"/>
    </row>
    <row r="62">
      <c r="A62" s="43" t="s">
        <v>145</v>
      </c>
      <c r="B62" s="43" t="str">
        <f>IFERROR(__xludf.DUMMYFUNCTION("GOOGLETRANSLATE(A62,""zh-tw"",""ja"")"),"2025年1月15日の地図ライブラリ情報更新")</f>
        <v>2025年1月15日の地図ライブラリ情報更新</v>
      </c>
      <c r="C62" s="44" t="str">
        <f>IFERROR(__xludf.DUMMYFUNCTION("GOOGLETRANSLATE(A62,""zh-tw"",""en"")"),"Map library information update on January 15, 2025")</f>
        <v>Map library information update on January 15, 2025</v>
      </c>
      <c r="D62" s="43" t="str">
        <f>IFERROR(__xludf.DUMMYFUNCTION("GOOGLETRANSLATE(A62,""zh-tw"",""zh"")"),"2025/1/15 地图图库资讯更新")</f>
        <v>2025/1/15 地图图库资讯更新</v>
      </c>
      <c r="E62" s="45" t="str">
        <f>IFERROR(__xludf.DUMMYFUNCTION("GOOGLETRANSLATE(A62,""zh-tw"",""es-MX"")"),"Actualización de la información de la biblioteca de mapas el 15 de enero de 2025")</f>
        <v>Actualización de la información de la biblioteca de mapas el 15 de enero de 2025</v>
      </c>
      <c r="F62" s="45" t="str">
        <f>IFERROR(__xludf.DUMMYFUNCTION("GOOGLETRANSLATE(A62,""zh-tw"",""KO"")"),"2025년 1월 15일 지도 도서관 정보 업데이트")</f>
        <v>2025년 1월 15일 지도 도서관 정보 업데이트</v>
      </c>
      <c r="G62" s="45" t="str">
        <f>IFERROR(__xludf.DUMMYFUNCTION("GOOGLETRANSLATE(A62,""zh-tw"",""RU"")"),"Обновление информации о библиотеке карт от 15 января 2025 г.")</f>
        <v>Обновление информации о библиотеке карт от 15 января 2025 г.</v>
      </c>
      <c r="H62" s="45" t="str">
        <f>IFERROR(__xludf.DUMMYFUNCTION("GOOGLETRANSLATE(A62,""zh-tw"",""DE"")"),"Aktualisierung der Kartenbibliotheksinformationen am 15. Januar 2025")</f>
        <v>Aktualisierung der Kartenbibliotheksinformationen am 15. Januar 2025</v>
      </c>
      <c r="I62" s="49" t="s">
        <v>146</v>
      </c>
      <c r="J62" s="46"/>
      <c r="K62" s="46"/>
      <c r="L62" s="46"/>
      <c r="M62" s="46"/>
      <c r="N62" s="46"/>
      <c r="O62" s="46"/>
      <c r="P62" s="46"/>
      <c r="Q62" s="46"/>
      <c r="R62" s="46"/>
      <c r="S62" s="46"/>
      <c r="T62" s="46"/>
      <c r="U62" s="46"/>
      <c r="V62" s="46"/>
      <c r="W62" s="46"/>
    </row>
    <row r="63">
      <c r="A63" s="43" t="s">
        <v>147</v>
      </c>
      <c r="B63" s="43" t="str">
        <f>IFERROR(__xludf.DUMMYFUNCTION("GOOGLETRANSLATE(A63,""zh-tw"",""ja"")"),"2025年1月13日: バージョン0.61の情報を追加しました: イベント")</f>
        <v>2025年1月13日: バージョン0.61の情報を追加しました: イベント</v>
      </c>
      <c r="C63" s="44" t="str">
        <f>IFERROR(__xludf.DUMMYFUNCTION("GOOGLETRANSLATE(A63,""zh-tw"",""en"")"),"January 13, 2025: Added version 0.61 information: Events")</f>
        <v>January 13, 2025: Added version 0.61 information: Events</v>
      </c>
      <c r="D63" s="43" t="str">
        <f>IFERROR(__xludf.DUMMYFUNCTION("GOOGLETRANSLATE(A63,""zh-tw"",""zh"")"),"2025/1/13 新增0.61版本资讯:事件")</f>
        <v>2025/1/13 新增0.61版本资讯:事件</v>
      </c>
      <c r="E63" s="45" t="str">
        <f>IFERROR(__xludf.DUMMYFUNCTION("GOOGLETRANSLATE(A63,""zh-tw"",""es-MX"")"),"13 de enero de 2025: Se agregó información de la versión 0.61: Eventos")</f>
        <v>13 de enero de 2025: Se agregó información de la versión 0.61: Eventos</v>
      </c>
      <c r="F63" s="45" t="str">
        <f>IFERROR(__xludf.DUMMYFUNCTION("GOOGLETRANSLATE(A63,""zh-tw"",""KO"")"),"2025년 1월 13일: 버전 0.61 정보 추가: 이벤트")</f>
        <v>2025년 1월 13일: 버전 0.61 정보 추가: 이벤트</v>
      </c>
      <c r="G63" s="45" t="str">
        <f>IFERROR(__xludf.DUMMYFUNCTION("GOOGLETRANSLATE(A63,""zh-tw"",""RU"")"),"13 января 2025 г.: добавлена ​​информация о версии 0.61: События.")</f>
        <v>13 января 2025 г.: добавлена ​​информация о версии 0.61: События.</v>
      </c>
      <c r="H63" s="45" t="str">
        <f>IFERROR(__xludf.DUMMYFUNCTION("GOOGLETRANSLATE(A63,""zh-tw"",""DE"")"),"13. Januar 2025: Informationen zu Version 0.61 hinzugefügt: Ereignisse")</f>
        <v>13. Januar 2025: Informationen zu Version 0.61 hinzugefügt: Ereignisse</v>
      </c>
      <c r="I63" s="49" t="s">
        <v>148</v>
      </c>
      <c r="J63" s="46"/>
      <c r="K63" s="46"/>
      <c r="L63" s="46"/>
      <c r="M63" s="46"/>
      <c r="N63" s="46"/>
      <c r="O63" s="46"/>
      <c r="P63" s="46"/>
      <c r="Q63" s="46"/>
      <c r="R63" s="46"/>
      <c r="S63" s="46"/>
      <c r="T63" s="46"/>
      <c r="U63" s="46"/>
      <c r="V63" s="46"/>
      <c r="W63" s="46"/>
    </row>
    <row r="64">
      <c r="A64" s="43" t="s">
        <v>149</v>
      </c>
      <c r="B64" s="43" t="str">
        <f>IFERROR(__xludf.DUMMYFUNCTION("GOOGLETRANSLATE(A64,""zh-tw"",""ja"")"),"2025年1月6日: 0.6Cバージョン情報を追加: アーマー")</f>
        <v>2025年1月6日: 0.6Cバージョン情報を追加: アーマー</v>
      </c>
      <c r="C64" s="44" t="str">
        <f>IFERROR(__xludf.DUMMYFUNCTION("GOOGLETRANSLATE(A64,""zh-tw"",""en"")"),"January 6, 2025: Added 0.6C version information: Armor")</f>
        <v>January 6, 2025: Added 0.6C version information: Armor</v>
      </c>
      <c r="D64" s="43" t="str">
        <f>IFERROR(__xludf.DUMMYFUNCTION("GOOGLETRANSLATE(A64,""zh-tw"",""zh"")"),"2025/1/6 新增0.6C版本资讯:装甲")</f>
        <v>2025/1/6 新增0.6C版本资讯:装甲</v>
      </c>
      <c r="E64" s="45" t="str">
        <f>IFERROR(__xludf.DUMMYFUNCTION("GOOGLETRANSLATE(A64,""zh-tw"",""es-MX"")"),"6 de enero de 2025: Se añadió información de la versión 0.6C: Armadura")</f>
        <v>6 de enero de 2025: Se añadió información de la versión 0.6C: Armadura</v>
      </c>
      <c r="F64" s="45" t="str">
        <f>IFERROR(__xludf.DUMMYFUNCTION("GOOGLETRANSLATE(A64,""zh-tw"",""KO"")"),"2025년 1월 6일: 0.6C 버전 정보 추가: Armor")</f>
        <v>2025년 1월 6일: 0.6C 버전 정보 추가: Armor</v>
      </c>
      <c r="G64" s="45" t="str">
        <f>IFERROR(__xludf.DUMMYFUNCTION("GOOGLETRANSLATE(A64,""zh-tw"",""RU"")"),"6 января 2025 г.: добавлена ​​информация о версии 0.6C: Броня.")</f>
        <v>6 января 2025 г.: добавлена ​​информация о версии 0.6C: Броня.</v>
      </c>
      <c r="H64" s="45" t="str">
        <f>IFERROR(__xludf.DUMMYFUNCTION("GOOGLETRANSLATE(A64,""zh-tw"",""DE"")"),"6. Januar 2025: Versionsinformationen 0.6C hinzugefügt: Armor")</f>
        <v>6. Januar 2025: Versionsinformationen 0.6C hinzugefügt: Armor</v>
      </c>
      <c r="I64" s="49" t="s">
        <v>150</v>
      </c>
      <c r="J64" s="46"/>
      <c r="K64" s="46"/>
      <c r="L64" s="46"/>
      <c r="M64" s="46"/>
      <c r="N64" s="46"/>
      <c r="O64" s="46"/>
      <c r="P64" s="46"/>
      <c r="Q64" s="46"/>
      <c r="R64" s="46"/>
      <c r="S64" s="46"/>
      <c r="T64" s="46"/>
      <c r="U64" s="46"/>
      <c r="V64" s="46"/>
      <c r="W64" s="46"/>
    </row>
    <row r="65">
      <c r="A65" s="43" t="s">
        <v>151</v>
      </c>
      <c r="B65" s="43" t="str">
        <f>IFERROR(__xludf.DUMMYFUNCTION("GOOGLETRANSLATE(A65,""zh-tw"",""ja"")"),"2025年1月5日: バージョン0.6Bの情報を追加: イベント")</f>
        <v>2025年1月5日: バージョン0.6Bの情報を追加: イベント</v>
      </c>
      <c r="C65" s="44" t="str">
        <f>IFERROR(__xludf.DUMMYFUNCTION("GOOGLETRANSLATE(A65,""zh-tw"",""en"")"),"January 5, 2025: Added version 0.6B information: Events")</f>
        <v>January 5, 2025: Added version 0.6B information: Events</v>
      </c>
      <c r="D65" s="43" t="str">
        <f>IFERROR(__xludf.DUMMYFUNCTION("GOOGLETRANSLATE(A65,""zh-tw"",""zh"")"),"2025/1/5 新增0.6B版本资讯:事件")</f>
        <v>2025/1/5 新增0.6B版本资讯:事件</v>
      </c>
      <c r="E65" s="45" t="str">
        <f>IFERROR(__xludf.DUMMYFUNCTION("GOOGLETRANSLATE(A65,""zh-tw"",""es-MX"")"),"5 de enero de 2025: Se agregó información de la versión 0.6B: Eventos")</f>
        <v>5 de enero de 2025: Se agregó información de la versión 0.6B: Eventos</v>
      </c>
      <c r="F65" s="45" t="str">
        <f>IFERROR(__xludf.DUMMYFUNCTION("GOOGLETRANSLATE(A65,""zh-tw"",""KO"")"),"2025년 1월 5일: 버전 0.6B 정보 추가: 이벤트")</f>
        <v>2025년 1월 5일: 버전 0.6B 정보 추가: 이벤트</v>
      </c>
      <c r="G65" s="45" t="str">
        <f>IFERROR(__xludf.DUMMYFUNCTION("GOOGLETRANSLATE(A65,""zh-tw"",""RU"")"),"5 января 2025 г.: добавлена ​​информация о версии 0.6B: События.")</f>
        <v>5 января 2025 г.: добавлена ​​информация о версии 0.6B: События.</v>
      </c>
      <c r="H65" s="45" t="str">
        <f>IFERROR(__xludf.DUMMYFUNCTION("GOOGLETRANSLATE(A65,""zh-tw"",""DE"")"),"5. Januar 2025: Informationen zu Version 0.6B hinzugefügt: Ereignisse")</f>
        <v>5. Januar 2025: Informationen zu Version 0.6B hinzugefügt: Ereignisse</v>
      </c>
      <c r="I65" s="49" t="s">
        <v>152</v>
      </c>
      <c r="J65" s="46"/>
      <c r="K65" s="46"/>
      <c r="L65" s="46"/>
      <c r="M65" s="46"/>
      <c r="N65" s="46"/>
      <c r="O65" s="46"/>
      <c r="P65" s="46"/>
      <c r="Q65" s="46"/>
      <c r="R65" s="46"/>
      <c r="S65" s="46"/>
      <c r="T65" s="46"/>
      <c r="U65" s="46"/>
      <c r="V65" s="46"/>
      <c r="W65" s="46"/>
    </row>
    <row r="66">
      <c r="A66" s="43" t="s">
        <v>153</v>
      </c>
      <c r="B66" s="43" t="str">
        <f>IFERROR(__xludf.DUMMYFUNCTION("GOOGLETRANSLATE(A66,""zh-tw"",""ja"")"),"2025年1月3日: バージョン0.6Aの情報を追加しました: イベント")</f>
        <v>2025年1月3日: バージョン0.6Aの情報を追加しました: イベント</v>
      </c>
      <c r="C66" s="44" t="str">
        <f>IFERROR(__xludf.DUMMYFUNCTION("GOOGLETRANSLATE(A66,""zh-tw"",""en"")"),"January 3, 2025: Added information for version 0.6A: Events")</f>
        <v>January 3, 2025: Added information for version 0.6A: Events</v>
      </c>
      <c r="D66" s="43" t="str">
        <f>IFERROR(__xludf.DUMMYFUNCTION("GOOGLETRANSLATE(A66,""zh-tw"",""zh"")"),"2025/1/3 新增0.6A版本资讯:事件")</f>
        <v>2025/1/3 新增0.6A版本资讯:事件</v>
      </c>
      <c r="E66" s="45" t="str">
        <f>IFERROR(__xludf.DUMMYFUNCTION("GOOGLETRANSLATE(A66,""zh-tw"",""es-MX"")"),"3 de enero de 2025: Se agregó información para la versión 0.6A: Eventos")</f>
        <v>3 de enero de 2025: Se agregó información para la versión 0.6A: Eventos</v>
      </c>
      <c r="F66" s="45" t="str">
        <f>IFERROR(__xludf.DUMMYFUNCTION("GOOGLETRANSLATE(A66,""zh-tw"",""KO"")"),"2025년 1월 3일: 버전 0.6A에 대한 정보 추가: 이벤트")</f>
        <v>2025년 1월 3일: 버전 0.6A에 대한 정보 추가: 이벤트</v>
      </c>
      <c r="G66" s="45" t="str">
        <f>IFERROR(__xludf.DUMMYFUNCTION("GOOGLETRANSLATE(A66,""zh-tw"",""RU"")"),"3 января 2025 г.: Добавлена ​​информация для версии 0.6A: События.")</f>
        <v>3 января 2025 г.: Добавлена ​​информация для версии 0.6A: События.</v>
      </c>
      <c r="H66" s="45" t="str">
        <f>IFERROR(__xludf.DUMMYFUNCTION("GOOGLETRANSLATE(A66,""zh-tw"",""DE"")"),"3. Januar 2025: Informationen für Version 0.6A hinzugefügt: Ereignisse")</f>
        <v>3. Januar 2025: Informationen für Version 0.6A hinzugefügt: Ereignisse</v>
      </c>
      <c r="I66" s="49" t="s">
        <v>154</v>
      </c>
      <c r="J66" s="46"/>
      <c r="K66" s="46"/>
      <c r="L66" s="46"/>
      <c r="M66" s="46"/>
      <c r="N66" s="46"/>
      <c r="O66" s="46"/>
      <c r="P66" s="46"/>
      <c r="Q66" s="46"/>
      <c r="R66" s="46"/>
      <c r="S66" s="46"/>
      <c r="T66" s="46"/>
      <c r="U66" s="46"/>
      <c r="V66" s="46"/>
      <c r="W66" s="46"/>
    </row>
    <row r="67">
      <c r="A67" s="43" t="s">
        <v>155</v>
      </c>
      <c r="B67" s="43" t="str">
        <f>IFERROR(__xludf.DUMMYFUNCTION("GOOGLETRANSLATE(A67,""zh-tw"",""ja"")"),"2025/1/2 バージョン0.6の情報を追加しました")</f>
        <v>2025/1/2 バージョン0.6の情報を追加しました</v>
      </c>
      <c r="C67" s="44" t="str">
        <f>IFERROR(__xludf.DUMMYFUNCTION("GOOGLETRANSLATE(A67,""zh-tw"",""en"")"),"2025/1/2 Added version 0.6 information")</f>
        <v>2025/1/2 Added version 0.6 information</v>
      </c>
      <c r="D67" s="43" t="str">
        <f>IFERROR(__xludf.DUMMYFUNCTION("GOOGLETRANSLATE(A67,""zh-tw"",""zh"")"),"2025/1/2 新增0.6版本资讯")</f>
        <v>2025/1/2 新增0.6版本资讯</v>
      </c>
      <c r="E67" s="45" t="str">
        <f>IFERROR(__xludf.DUMMYFUNCTION("GOOGLETRANSLATE(A67,""zh-tw"",""es-MX"")"),"2025/1/2 Se agregó información de la versión 0.6")</f>
        <v>2025/1/2 Se agregó información de la versión 0.6</v>
      </c>
      <c r="F67" s="45" t="str">
        <f>IFERROR(__xludf.DUMMYFUNCTION("GOOGLETRANSLATE(A67,""zh-tw"",""KO"")"),"2025/1/2 버전 0.6 정보 추가")</f>
        <v>2025/1/2 버전 0.6 정보 추가</v>
      </c>
      <c r="G67" s="45" t="str">
        <f>IFERROR(__xludf.DUMMYFUNCTION("GOOGLETRANSLATE(A67,""zh-tw"",""RU"")"),"2025/1/2 Добавлена ​​информация о версии 0.6")</f>
        <v>2025/1/2 Добавлена ​​информация о версии 0.6</v>
      </c>
      <c r="H67" s="45" t="str">
        <f>IFERROR(__xludf.DUMMYFUNCTION("GOOGLETRANSLATE(A67,""zh-tw"",""DE"")"),"2025/1/2 Informationen zu Version 0.6 hinzugefügt")</f>
        <v>2025/1/2 Informationen zu Version 0.6 hinzugefügt</v>
      </c>
      <c r="I67" s="49" t="s">
        <v>156</v>
      </c>
      <c r="J67" s="46"/>
      <c r="K67" s="46"/>
      <c r="L67" s="46"/>
      <c r="M67" s="46"/>
      <c r="N67" s="46"/>
      <c r="O67" s="46"/>
      <c r="P67" s="46"/>
      <c r="Q67" s="46"/>
      <c r="R67" s="46"/>
      <c r="S67" s="46"/>
      <c r="T67" s="46"/>
      <c r="U67" s="46"/>
      <c r="V67" s="46"/>
      <c r="W67" s="46"/>
    </row>
    <row r="68">
      <c r="A68" s="43" t="s">
        <v>157</v>
      </c>
      <c r="B68" s="43" t="str">
        <f>IFERROR(__xludf.DUMMYFUNCTION("GOOGLETRANSLATE(A68,""zh-tw"",""ja"")"),"2024 年 12 月 25 日: 新しいヒントを追加し、一部のテキストを修正しました。初期マップの作成が完了しました。")</f>
        <v>2024 年 12 月 25 日: 新しいヒントを追加し、一部のテキストを修正しました。初期マップの作成が完了しました。</v>
      </c>
      <c r="C68" s="44" t="str">
        <f>IFERROR(__xludf.DUMMYFUNCTION("GOOGLETRANSLATE(A68,""zh-tw"",""en"")"),"December 25, 2024: Added new hints and corrected some text; initial map creation completed.")</f>
        <v>December 25, 2024: Added new hints and corrected some text; initial map creation completed.</v>
      </c>
      <c r="D68" s="43" t="str">
        <f>IFERROR(__xludf.DUMMYFUNCTION("GOOGLETRANSLATE(A68,""zh-tw"",""zh"")"),"2024/12/25 新增提示与部分文本修正、地图制作初步完成")</f>
        <v>2024/12/25 新增提示与部分文本修正、地图制作初步完成</v>
      </c>
      <c r="E68" s="45" t="str">
        <f>IFERROR(__xludf.DUMMYFUNCTION("GOOGLETRANSLATE(A68,""zh-tw"",""es-MX"")"),"25 de diciembre de 2024: Se agregaron nuevas pistas y se corrigió parte del texto; se completó la creación inicial del mapa.")</f>
        <v>25 de diciembre de 2024: Se agregaron nuevas pistas y se corrigió parte del texto; se completó la creación inicial del mapa.</v>
      </c>
      <c r="F68" s="45" t="str">
        <f>IFERROR(__xludf.DUMMYFUNCTION("GOOGLETRANSLATE(A68,""zh-tw"",""KO"")"),"2024년 12월 25일: 새로운 힌트를 추가하고 일부 텍스트를 수정했습니다. 초기 지도 생성이 완료되었습니다.")</f>
        <v>2024년 12월 25일: 새로운 힌트를 추가하고 일부 텍스트를 수정했습니다. 초기 지도 생성이 완료되었습니다.</v>
      </c>
      <c r="G68" s="45" t="str">
        <f>IFERROR(__xludf.DUMMYFUNCTION("GOOGLETRANSLATE(A68,""zh-tw"",""RU"")"),"25 декабря 2024 г.: добавлены новые подсказки и исправлены некоторые тексты; завершено первоначальное создание карты.")</f>
        <v>25 декабря 2024 г.: добавлены новые подсказки и исправлены некоторые тексты; завершено первоначальное создание карты.</v>
      </c>
      <c r="H68" s="45" t="str">
        <f>IFERROR(__xludf.DUMMYFUNCTION("GOOGLETRANSLATE(A68,""zh-tw"",""DE"")"),"25. Dezember 2024: Neue Hinweise hinzugefügt und einige Textpassagen korrigiert; Erstellung der ersten Karte abgeschlossen.")</f>
        <v>25. Dezember 2024: Neue Hinweise hinzugefügt und einige Textpassagen korrigiert; Erstellung der ersten Karte abgeschlossen.</v>
      </c>
      <c r="I68" s="49" t="s">
        <v>158</v>
      </c>
      <c r="J68" s="46"/>
      <c r="K68" s="46"/>
      <c r="L68" s="46"/>
      <c r="M68" s="46"/>
      <c r="N68" s="46"/>
      <c r="O68" s="46"/>
      <c r="P68" s="46"/>
      <c r="Q68" s="46"/>
      <c r="R68" s="46"/>
      <c r="S68" s="46"/>
      <c r="T68" s="46"/>
      <c r="U68" s="46"/>
      <c r="V68" s="46"/>
      <c r="W68" s="46"/>
    </row>
    <row r="69">
      <c r="A69" s="43" t="s">
        <v>159</v>
      </c>
      <c r="B69" s="43" t="str">
        <f>IFERROR(__xludf.DUMMYFUNCTION("GOOGLETRANSLATE(A69,""zh-tw"",""ja"")"),"2024/12/2 0.55情報追加 - イベント")</f>
        <v>2024/12/2 0.55情報追加 - イベント</v>
      </c>
      <c r="C69" s="44" t="str">
        <f>IFERROR(__xludf.DUMMYFUNCTION("GOOGLETRANSLATE(A69,""zh-tw"",""en"")"),"2024/12/2 Added 0.55 information - event")</f>
        <v>2024/12/2 Added 0.55 information - event</v>
      </c>
      <c r="D69" s="43" t="str">
        <f>IFERROR(__xludf.DUMMYFUNCTION("GOOGLETRANSLATE(A69,""zh-tw"",""zh"")"),"2024/12/2 新增0.55资讯-事件")</f>
        <v>2024/12/2 新增0.55资讯-事件</v>
      </c>
      <c r="E69" s="45" t="str">
        <f>IFERROR(__xludf.DUMMYFUNCTION("GOOGLETRANSLATE(A69,""zh-tw"",""es-MX"")"),"2024/12/2 Se agregó información de 0.55 - evento")</f>
        <v>2024/12/2 Se agregó información de 0.55 - evento</v>
      </c>
      <c r="F69" s="45" t="str">
        <f>IFERROR(__xludf.DUMMYFUNCTION("GOOGLETRANSLATE(A69,""zh-tw"",""KO"")"),"2024/12/2 0.55 정보 추가 - 이벤트")</f>
        <v>2024/12/2 0.55 정보 추가 - 이벤트</v>
      </c>
      <c r="G69" s="45" t="str">
        <f>IFERROR(__xludf.DUMMYFUNCTION("GOOGLETRANSLATE(A69,""zh-tw"",""RU"")"),"2024/12/2 Добавлено 0,55 информации - событие")</f>
        <v>2024/12/2 Добавлено 0,55 информации - событие</v>
      </c>
      <c r="H69" s="45" t="str">
        <f>IFERROR(__xludf.DUMMYFUNCTION("GOOGLETRANSLATE(A69,""zh-tw"",""DE"")"),"02.12.2024: Informationen (0,55) hinzugefügt – Ereignis")</f>
        <v>02.12.2024: Informationen (0,55) hinzugefügt – Ereignis</v>
      </c>
      <c r="I69" s="49" t="s">
        <v>160</v>
      </c>
      <c r="J69" s="46"/>
      <c r="K69" s="46"/>
      <c r="L69" s="46"/>
      <c r="M69" s="46"/>
      <c r="N69" s="46"/>
      <c r="O69" s="46"/>
      <c r="P69" s="46"/>
      <c r="Q69" s="46"/>
      <c r="R69" s="46"/>
      <c r="S69" s="46"/>
      <c r="T69" s="46"/>
      <c r="U69" s="46"/>
      <c r="V69" s="46"/>
      <c r="W69" s="46"/>
    </row>
    <row r="70">
      <c r="A70" s="43" t="s">
        <v>161</v>
      </c>
      <c r="B70" s="43" t="str">
        <f>IFERROR(__xludf.DUMMYFUNCTION("GOOGLETRANSLATE(A70,""zh-tw"",""ja"")"),"2024/11/29に遺跡関連マップを追加しました")</f>
        <v>2024/11/29に遺跡関連マップを追加しました</v>
      </c>
      <c r="C70" s="44" t="str">
        <f>IFERROR(__xludf.DUMMYFUNCTION("GOOGLETRANSLATE(A70,""zh-tw"",""en"")"),"Added ruin-related maps on 2024/11/29")</f>
        <v>Added ruin-related maps on 2024/11/29</v>
      </c>
      <c r="D70" s="43" t="str">
        <f>IFERROR(__xludf.DUMMYFUNCTION("GOOGLETRANSLATE(A70,""zh-tw"",""zh"")"),"2024/11/29 新增遗迹相关地图")</f>
        <v>2024/11/29 新增遗迹相关地图</v>
      </c>
      <c r="E70" s="45" t="str">
        <f>IFERROR(__xludf.DUMMYFUNCTION("GOOGLETRANSLATE(A70,""zh-tw"",""es-MX"")"),"Se añadieron mapas relacionados con ruinas el 29/11/2024")</f>
        <v>Se añadieron mapas relacionados con ruinas el 29/11/2024</v>
      </c>
      <c r="F70" s="45" t="str">
        <f>IFERROR(__xludf.DUMMYFUNCTION("GOOGLETRANSLATE(A70,""zh-tw"",""KO"")"),"2024/11/29에 폐허 관련 맵이 추가되었습니다.")</f>
        <v>2024/11/29에 폐허 관련 맵이 추가되었습니다.</v>
      </c>
      <c r="G70" s="45" t="str">
        <f>IFERROR(__xludf.DUMMYFUNCTION("GOOGLETRANSLATE(A70,""zh-tw"",""RU"")"),"Добавлены карты, связанные с руинами, 29.11.2024.")</f>
        <v>Добавлены карты, связанные с руинами, 29.11.2024.</v>
      </c>
      <c r="H70" s="45" t="str">
        <f>IFERROR(__xludf.DUMMYFUNCTION("GOOGLETRANSLATE(A70,""zh-tw"",""DE"")"),"Am 29.11.2024 wurden Karten mit Bezug zu Ruinen hinzugefügt.")</f>
        <v>Am 29.11.2024 wurden Karten mit Bezug zu Ruinen hinzugefügt.</v>
      </c>
      <c r="I70" s="49" t="s">
        <v>162</v>
      </c>
      <c r="J70" s="46"/>
      <c r="K70" s="46"/>
      <c r="L70" s="46"/>
      <c r="M70" s="46"/>
      <c r="N70" s="46"/>
      <c r="O70" s="46"/>
      <c r="P70" s="46"/>
      <c r="Q70" s="46"/>
      <c r="R70" s="46"/>
      <c r="S70" s="46"/>
      <c r="T70" s="46"/>
      <c r="U70" s="46"/>
      <c r="V70" s="46"/>
      <c r="W70" s="46"/>
    </row>
    <row r="71">
      <c r="A71" s="43" t="s">
        <v>163</v>
      </c>
      <c r="B71" s="43" t="str">
        <f>IFERROR(__xludf.DUMMYFUNCTION("GOOGLETRANSLATE(A71,""zh-tw"",""ja"")"),"2024/11/24 0.5C版コンテンツ追加 - イベント、モンスター情報、ヒント")</f>
        <v>2024/11/24 0.5C版コンテンツ追加 - イベント、モンスター情報、ヒント</v>
      </c>
      <c r="C71" s="44" t="str">
        <f>IFERROR(__xludf.DUMMYFUNCTION("GOOGLETRANSLATE(A71,""zh-tw"",""en"")"),"2024/11/24 Added 0.5C version content - Events, Monster Information, Tips")</f>
        <v>2024/11/24 Added 0.5C version content - Events, Monster Information, Tips</v>
      </c>
      <c r="D71" s="43" t="str">
        <f>IFERROR(__xludf.DUMMYFUNCTION("GOOGLETRANSLATE(A71,""zh-tw"",""zh"")"),"2024/11/24 新增0.5C版本内容-事件、怪物资讯、提示")</f>
        <v>2024/11/24 新增0.5C版本内容-事件、怪物资讯、提示</v>
      </c>
      <c r="E71" s="45" t="str">
        <f>IFERROR(__xludf.DUMMYFUNCTION("GOOGLETRANSLATE(A71,""zh-tw"",""es-MX"")"),"24/11/2024 Se añadió el contenido de la versión 0.5C: eventos, información sobre monstruos y consejos.")</f>
        <v>24/11/2024 Se añadió el contenido de la versión 0.5C: eventos, información sobre monstruos y consejos.</v>
      </c>
      <c r="F71" s="45" t="str">
        <f>IFERROR(__xludf.DUMMYFUNCTION("GOOGLETRANSLATE(A71,""zh-tw"",""KO"")"),"2024/11/24 0.5C 버전 콘텐츠 추가 - 이벤트, 몬스터 정보, 팁")</f>
        <v>2024/11/24 0.5C 버전 콘텐츠 추가 - 이벤트, 몬스터 정보, 팁</v>
      </c>
      <c r="G71" s="45" t="str">
        <f>IFERROR(__xludf.DUMMYFUNCTION("GOOGLETRANSLATE(A71,""zh-tw"",""RU"")"),"24.11.2024 Добавлен контент версии 0.5C — события, информация о монстрах, советы.")</f>
        <v>24.11.2024 Добавлен контент версии 0.5C — события, информация о монстрах, советы.</v>
      </c>
      <c r="H71" s="45" t="str">
        <f>IFERROR(__xludf.DUMMYFUNCTION("GOOGLETRANSLATE(A71,""zh-tw"",""DE"")"),"24.11.2024: Inhalte der Version 0.5C hinzugefügt – Ereignisse, Monsterinformationen, Tipps")</f>
        <v>24.11.2024: Inhalte der Version 0.5C hinzugefügt – Ereignisse, Monsterinformationen, Tipps</v>
      </c>
      <c r="I71" s="49" t="s">
        <v>164</v>
      </c>
      <c r="J71" s="46"/>
      <c r="K71" s="46"/>
      <c r="L71" s="46"/>
      <c r="M71" s="46"/>
      <c r="N71" s="46"/>
      <c r="O71" s="46"/>
      <c r="P71" s="46"/>
      <c r="Q71" s="46"/>
      <c r="R71" s="46"/>
      <c r="S71" s="46"/>
      <c r="T71" s="46"/>
      <c r="U71" s="46"/>
      <c r="V71" s="46"/>
      <c r="W71" s="46"/>
    </row>
    <row r="72">
      <c r="A72" s="43" t="s">
        <v>165</v>
      </c>
      <c r="B72" s="43" t="str">
        <f>IFERROR(__xludf.DUMMYFUNCTION("GOOGLETRANSLATE(A72,""zh-tw"",""ja"")"),"2024/11/22にバージョン0.5Bのコンテンツを追加しました - イベント/通知")</f>
        <v>2024/11/22にバージョン0.5Bのコンテンツを追加しました - イベント/通知</v>
      </c>
      <c r="C72" s="44" t="str">
        <f>IFERROR(__xludf.DUMMYFUNCTION("GOOGLETRANSLATE(A72,""zh-tw"",""en"")"),"Added version 0.5B content on 2024/11/22 - Events/Notifications")</f>
        <v>Added version 0.5B content on 2024/11/22 - Events/Notifications</v>
      </c>
      <c r="D72" s="43" t="str">
        <f>IFERROR(__xludf.DUMMYFUNCTION("GOOGLETRANSLATE(A72,""zh-tw"",""zh"")"),"2024/11/22 新增0.5B版本内容-事件/提示")</f>
        <v>2024/11/22 新增0.5B版本内容-事件/提示</v>
      </c>
      <c r="E72" s="45" t="str">
        <f>IFERROR(__xludf.DUMMYFUNCTION("GOOGLETRANSLATE(A72,""zh-tw"",""es-MX"")"),"Se añadió contenido de la versión 0.5B el 22/11/2024 - Eventos/Notificaciones")</f>
        <v>Se añadió contenido de la versión 0.5B el 22/11/2024 - Eventos/Notificaciones</v>
      </c>
      <c r="F72" s="45" t="str">
        <f>IFERROR(__xludf.DUMMYFUNCTION("GOOGLETRANSLATE(A72,""zh-tw"",""KO"")"),"2024/11/22에 버전 0.5B 콘텐츠 추가 - 이벤트/알림")</f>
        <v>2024/11/22에 버전 0.5B 콘텐츠 추가 - 이벤트/알림</v>
      </c>
      <c r="G72" s="45" t="str">
        <f>IFERROR(__xludf.DUMMYFUNCTION("GOOGLETRANSLATE(A72,""zh-tw"",""RU"")"),"Добавлен контент версии 0.5B 22.11.2024 — События/Уведомления")</f>
        <v>Добавлен контент версии 0.5B 22.11.2024 — События/Уведомления</v>
      </c>
      <c r="H72" s="45" t="str">
        <f>IFERROR(__xludf.DUMMYFUNCTION("GOOGLETRANSLATE(A72,""zh-tw"",""DE"")"),"Inhalte der Version 0.5B wurden am 22.11.2024 hinzugefügt – Ereignisse/Benachrichtigungen")</f>
        <v>Inhalte der Version 0.5B wurden am 22.11.2024 hinzugefügt – Ereignisse/Benachrichtigungen</v>
      </c>
      <c r="I72" s="49" t="s">
        <v>166</v>
      </c>
      <c r="J72" s="46"/>
      <c r="K72" s="46"/>
      <c r="L72" s="46"/>
      <c r="M72" s="46"/>
      <c r="N72" s="46"/>
      <c r="O72" s="46"/>
      <c r="P72" s="46"/>
      <c r="Q72" s="46"/>
      <c r="R72" s="46"/>
      <c r="S72" s="46"/>
      <c r="T72" s="46"/>
      <c r="U72" s="46"/>
      <c r="V72" s="46"/>
      <c r="W72" s="46"/>
    </row>
    <row r="73">
      <c r="A73" s="43" t="s">
        <v>167</v>
      </c>
      <c r="B73" s="43" t="str">
        <f>IFERROR(__xludf.DUMMYFUNCTION("GOOGLETRANSLATE(A73,""zh-tw"",""ja"")"),"2024/11/21にMAPファイルを追加しました")</f>
        <v>2024/11/21にMAPファイルを追加しました</v>
      </c>
      <c r="C73" s="44" t="str">
        <f>IFERROR(__xludf.DUMMYFUNCTION("GOOGLETRANSLATE(A73,""zh-tw"",""en"")"),"Added MAP file on 2024/11/21")</f>
        <v>Added MAP file on 2024/11/21</v>
      </c>
      <c r="D73" s="43" t="s">
        <v>168</v>
      </c>
      <c r="E73" s="45" t="str">
        <f>IFERROR(__xludf.DUMMYFUNCTION("GOOGLETRANSLATE(A73,""zh-tw"",""es-MX"")"),"Se agregó el archivo MAP el 21/11/2024")</f>
        <v>Se agregó el archivo MAP el 21/11/2024</v>
      </c>
      <c r="F73" s="45" t="str">
        <f>IFERROR(__xludf.DUMMYFUNCTION("GOOGLETRANSLATE(A73,""zh-tw"",""KO"")"),"2024/11/21에 MAP 파일 추가됨")</f>
        <v>2024/11/21에 MAP 파일 추가됨</v>
      </c>
      <c r="G73" s="45" t="str">
        <f>IFERROR(__xludf.DUMMYFUNCTION("GOOGLETRANSLATE(A73,""zh-tw"",""RU"")"),"Добавлен файл MAP 21.11.2024")</f>
        <v>Добавлен файл MAP 21.11.2024</v>
      </c>
      <c r="H73" s="45" t="str">
        <f>IFERROR(__xludf.DUMMYFUNCTION("GOOGLETRANSLATE(A73,""zh-tw"",""DE"")"),"MAP-Datei hinzugefügt am 21.11.2024")</f>
        <v>MAP-Datei hinzugefügt am 21.11.2024</v>
      </c>
      <c r="I73" s="49" t="s">
        <v>169</v>
      </c>
      <c r="J73" s="46"/>
      <c r="K73" s="46"/>
      <c r="L73" s="46"/>
      <c r="M73" s="46"/>
      <c r="N73" s="46"/>
      <c r="O73" s="46"/>
      <c r="P73" s="46"/>
      <c r="Q73" s="46"/>
      <c r="R73" s="46"/>
      <c r="S73" s="46"/>
      <c r="T73" s="46"/>
      <c r="U73" s="46"/>
      <c r="V73" s="46"/>
      <c r="W73" s="46"/>
    </row>
    <row r="74">
      <c r="A74" s="43" t="s">
        <v>170</v>
      </c>
      <c r="B74" s="43" t="str">
        <f>IFERROR(__xludf.DUMMYFUNCTION("GOOGLETRANSLATE(A74,""zh-tw"",""ja"")"),"2024/11/20 バージョン0.5Aのコンテンツを追加しました - イベント/プロンプト")</f>
        <v>2024/11/20 バージョン0.5Aのコンテンツを追加しました - イベント/プロンプト</v>
      </c>
      <c r="C74" s="44" t="str">
        <f>IFERROR(__xludf.DUMMYFUNCTION("GOOGLETRANSLATE(A74,""zh-tw"",""en"")"),"2024/11/20 Added version 0.5A content - Events/Prompts")</f>
        <v>2024/11/20 Added version 0.5A content - Events/Prompts</v>
      </c>
      <c r="D74" s="43" t="str">
        <f>IFERROR(__xludf.DUMMYFUNCTION("GOOGLETRANSLATE(A74,""zh-tw"",""zh"")"),"2024/11/20 新增0.5A版本内容-事件/提示")</f>
        <v>2024/11/20 新增0.5A版本内容-事件/提示</v>
      </c>
      <c r="E74" s="45" t="str">
        <f>IFERROR(__xludf.DUMMYFUNCTION("GOOGLETRANSLATE(A74,""zh-tw"",""es-MX"")"),"20/11/2024 Se añadió el contenido de la versión 0.5A: Eventos/Avisos")</f>
        <v>20/11/2024 Se añadió el contenido de la versión 0.5A: Eventos/Avisos</v>
      </c>
      <c r="F74" s="45" t="str">
        <f>IFERROR(__xludf.DUMMYFUNCTION("GOOGLETRANSLATE(A74,""zh-tw"",""KO"")"),"2024/11/20 버전 0.5A 콘텐츠 추가 - 이벤트/프롬프트")</f>
        <v>2024/11/20 버전 0.5A 콘텐츠 추가 - 이벤트/프롬프트</v>
      </c>
      <c r="G74" s="45" t="str">
        <f>IFERROR(__xludf.DUMMYFUNCTION("GOOGLETRANSLATE(A74,""zh-tw"",""RU"")"),"2024/11/20 Добавлен контент версии 0.5A — События/Подсказки")</f>
        <v>2024/11/20 Добавлен контент версии 0.5A — События/Подсказки</v>
      </c>
      <c r="H74" s="45" t="str">
        <f>IFERROR(__xludf.DUMMYFUNCTION("GOOGLETRANSLATE(A74,""zh-tw"",""DE"")"),"20.11.2024: Inhalt der Version 0.5A hinzugefügt – Ereignisse/Aufforderungen")</f>
        <v>20.11.2024: Inhalt der Version 0.5A hinzugefügt – Ereignisse/Aufforderungen</v>
      </c>
      <c r="I74" s="49" t="s">
        <v>171</v>
      </c>
      <c r="J74" s="46"/>
      <c r="K74" s="46"/>
      <c r="L74" s="46"/>
      <c r="M74" s="46"/>
      <c r="N74" s="46"/>
      <c r="O74" s="46"/>
      <c r="P74" s="46"/>
      <c r="Q74" s="46"/>
      <c r="R74" s="46"/>
      <c r="S74" s="46"/>
      <c r="T74" s="46"/>
      <c r="U74" s="46"/>
      <c r="V74" s="46"/>
      <c r="W74" s="46"/>
    </row>
    <row r="75">
      <c r="A75" s="43" t="s">
        <v>172</v>
      </c>
      <c r="B75" s="43" t="str">
        <f>IFERROR(__xludf.DUMMYFUNCTION("GOOGLETRANSLATE(A75,""zh-tw"",""ja"")"),"2024年11月2日にバハムートの個人作品から転載：https://home.gamer.com.tw/artwork.php?sn=6032493")</f>
        <v>2024年11月2日にバハムートの個人作品から転載：https://home.gamer.com.tw/artwork.php?sn=6032493</v>
      </c>
      <c r="C75" s="44" t="str">
        <f>IFERROR(__xludf.DUMMYFUNCTION("GOOGLETRANSLATE(A75,""zh-tw"",""en"")"),"Reposted from Bahamut's personal creations on November 2, 2024: https://home.gamer.com.tw/artwork.php?sn=6032493")</f>
        <v>Reposted from Bahamut's personal creations on November 2, 2024: https://home.gamer.com.tw/artwork.php?sn=6032493</v>
      </c>
      <c r="D75" s="43" t="str">
        <f>IFERROR(__xludf.DUMMYFUNCTION("GOOGLETRANSLATE(A75,""zh-tw"",""zh"")"),"2024/11/2 转载至巴哈姆特个人创作https://home.gamer.com.tw/artwork.php?sn=6032493")</f>
        <v>2024/11/2 转载至巴哈姆特个人创作https://home.gamer.com.tw/artwork.php?sn=6032493</v>
      </c>
      <c r="E75" s="45" t="str">
        <f>IFERROR(__xludf.DUMMYFUNCTION("GOOGLETRANSLATE(A75,""zh-tw"",""es-MX"")"),"Publicado originalmente en las creaciones personales de Bahamut el 2 de noviembre de 2024: https://home.gamer.com.tw/artwork.php?sn=6032493")</f>
        <v>Publicado originalmente en las creaciones personales de Bahamut el 2 de noviembre de 2024: https://home.gamer.com.tw/artwork.php?sn=6032493</v>
      </c>
      <c r="F75" s="45" t="str">
        <f>IFERROR(__xludf.DUMMYFUNCTION("GOOGLETRANSLATE(A75,""zh-tw"",""KO"")"),"2024년 11월 2일에 Bahamut의 개인 창작물에서 다시 게시됨: https://home.gamer.com.tw/artwork.php?sn=6032493")</f>
        <v>2024년 11월 2일에 Bahamut의 개인 창작물에서 다시 게시됨: https://home.gamer.com.tw/artwork.php?sn=6032493</v>
      </c>
      <c r="G75" s="45" t="str">
        <f>IFERROR(__xludf.DUMMYFUNCTION("GOOGLETRANSLATE(A75,""zh-tw"",""RU"")"),"Переопубликовано из личных творений Бахамута 2 ноября 2024 г.: https://home.gamer.com.tw/artwork.php?sn=6032493")</f>
        <v>Переопубликовано из личных творений Бахамута 2 ноября 2024 г.: https://home.gamer.com.tw/artwork.php?sn=6032493</v>
      </c>
      <c r="H75" s="45" t="str">
        <f>IFERROR(__xludf.DUMMYFUNCTION("GOOGLETRANSLATE(A75,""zh-tw"",""DE"")"),"Neu veröffentlicht von Bahamuts persönlichen Kreationen am 2. November 2024: https://home.gamer.com.tw/artwork.php?sn=6032493")</f>
        <v>Neu veröffentlicht von Bahamuts persönlichen Kreationen am 2. November 2024: https://home.gamer.com.tw/artwork.php?sn=6032493</v>
      </c>
      <c r="I75" s="49" t="s">
        <v>173</v>
      </c>
      <c r="J75" s="46"/>
      <c r="K75" s="46"/>
      <c r="L75" s="46"/>
      <c r="M75" s="46"/>
      <c r="N75" s="46"/>
      <c r="O75" s="46"/>
      <c r="P75" s="46"/>
      <c r="Q75" s="46"/>
      <c r="R75" s="46"/>
      <c r="S75" s="46"/>
      <c r="T75" s="46"/>
      <c r="U75" s="46"/>
      <c r="V75" s="46"/>
      <c r="W75" s="46"/>
    </row>
    <row r="76">
      <c r="A76" s="43" t="s">
        <v>174</v>
      </c>
      <c r="B76" s="43" t="str">
        <f>IFERROR(__xludf.DUMMYFUNCTION("GOOGLETRANSLATE(A76,""zh-tw"",""ja"")"),"2024年11月2日：バージョン0.45のコンテンツを追加 - イベント/通知")</f>
        <v>2024年11月2日：バージョン0.45のコンテンツを追加 - イベント/通知</v>
      </c>
      <c r="C76" s="44" t="str">
        <f>IFERROR(__xludf.DUMMYFUNCTION("GOOGLETRANSLATE(A76,""zh-tw"",""en"")"),"November 2, 2024: Added version 0.45 content - Events/Notifications")</f>
        <v>November 2, 2024: Added version 0.45 content - Events/Notifications</v>
      </c>
      <c r="D76" s="43" t="str">
        <f>IFERROR(__xludf.DUMMYFUNCTION("GOOGLETRANSLATE(A76,""zh-tw"",""zh"")"),"2024/11/2 新增0.45版本内容-事件/提示")</f>
        <v>2024/11/2 新增0.45版本内容-事件/提示</v>
      </c>
      <c r="E76" s="45" t="str">
        <f>IFERROR(__xludf.DUMMYFUNCTION("GOOGLETRANSLATE(A76,""zh-tw"",""es-MX"")"),"2 de noviembre de 2024: Se agregó el contenido de la versión 0.45 - Eventos/Notificaciones")</f>
        <v>2 de noviembre de 2024: Se agregó el contenido de la versión 0.45 - Eventos/Notificaciones</v>
      </c>
      <c r="F76" s="45" t="str">
        <f>IFERROR(__xludf.DUMMYFUNCTION("GOOGLETRANSLATE(A76,""zh-tw"",""KO"")"),"2024년 11월 2일: 버전 0.45 콘텐츠 추가 - 이벤트/알림")</f>
        <v>2024년 11월 2일: 버전 0.45 콘텐츠 추가 - 이벤트/알림</v>
      </c>
      <c r="G76" s="45" t="str">
        <f>IFERROR(__xludf.DUMMYFUNCTION("GOOGLETRANSLATE(A76,""zh-tw"",""RU"")"),"2 ноября 2024 г.: добавлен контент версии 0.45 — События/Уведомления.")</f>
        <v>2 ноября 2024 г.: добавлен контент версии 0.45 — События/Уведомления.</v>
      </c>
      <c r="H76" s="45" t="str">
        <f>IFERROR(__xludf.DUMMYFUNCTION("GOOGLETRANSLATE(A76,""zh-tw"",""DE"")"),"2. November 2024: Inhalt der Version 0.45 hinzugefügt – Ereignisse/Benachrichtigungen")</f>
        <v>2. November 2024: Inhalt der Version 0.45 hinzugefügt – Ereignisse/Benachrichtigungen</v>
      </c>
      <c r="I76" s="49" t="s">
        <v>175</v>
      </c>
      <c r="J76" s="46"/>
      <c r="K76" s="46"/>
      <c r="L76" s="46"/>
      <c r="M76" s="46"/>
      <c r="N76" s="46"/>
      <c r="O76" s="46"/>
      <c r="P76" s="46"/>
      <c r="Q76" s="46"/>
      <c r="R76" s="46"/>
      <c r="S76" s="46"/>
      <c r="T76" s="46"/>
      <c r="U76" s="46"/>
      <c r="V76" s="46"/>
      <c r="W76" s="46"/>
    </row>
    <row r="77">
      <c r="A77" s="43" t="s">
        <v>176</v>
      </c>
      <c r="B77" s="43" t="str">
        <f>IFERROR(__xludf.DUMMYFUNCTION("GOOGLETRANSLATE(A77,""zh-tw"",""ja"")"),"専用グラフィックカードの追加手順（2024/10/31）")</f>
        <v>専用グラフィックカードの追加手順（2024/10/31）</v>
      </c>
      <c r="C77" s="44" t="str">
        <f>IFERROR(__xludf.DUMMYFUNCTION("GOOGLETRANSLATE(A77,""zh-tw"",""en"")"),"Instructions for adding a dedicated graphics card (2024/10/31)")</f>
        <v>Instructions for adding a dedicated graphics card (2024/10/31)</v>
      </c>
      <c r="D77" s="43" t="str">
        <f>IFERROR(__xludf.DUMMYFUNCTION("GOOGLETRANSLATE(A77,""zh-tw"",""zh"")"),"2024/10/31 新增独立显卡操作说明")</f>
        <v>2024/10/31 新增独立显卡操作说明</v>
      </c>
      <c r="E77" s="45" t="str">
        <f>IFERROR(__xludf.DUMMYFUNCTION("GOOGLETRANSLATE(A77,""zh-tw"",""es-MX"")"),"Instrucciones para agregar una tarjeta gráfica dedicada (31/10/2024)")</f>
        <v>Instrucciones para agregar una tarjeta gráfica dedicada (31/10/2024)</v>
      </c>
      <c r="F77" s="45" t="str">
        <f>IFERROR(__xludf.DUMMYFUNCTION("GOOGLETRANSLATE(A77,""zh-tw"",""KO"")"),"전용 그래픽 카드 추가 방법 (2024/10/31)")</f>
        <v>전용 그래픽 카드 추가 방법 (2024/10/31)</v>
      </c>
      <c r="G77" s="45" t="str">
        <f>IFERROR(__xludf.DUMMYFUNCTION("GOOGLETRANSLATE(A77,""zh-tw"",""RU"")"),"Инструкция по добавлению дискретной видеокарты (31.10.2024)")</f>
        <v>Инструкция по добавлению дискретной видеокарты (31.10.2024)</v>
      </c>
      <c r="H77" s="45" t="str">
        <f>IFERROR(__xludf.DUMMYFUNCTION("GOOGLETRANSLATE(A77,""zh-tw"",""DE"")"),"Anleitung zum Hinzufügen einer dedizierten Grafikkarte (31.10.2024)")</f>
        <v>Anleitung zum Hinzufügen einer dedizierten Grafikkarte (31.10.2024)</v>
      </c>
      <c r="I77" s="49" t="s">
        <v>177</v>
      </c>
      <c r="J77" s="46"/>
      <c r="K77" s="46"/>
      <c r="L77" s="46"/>
      <c r="M77" s="46"/>
      <c r="N77" s="46"/>
      <c r="O77" s="46"/>
      <c r="P77" s="46"/>
      <c r="Q77" s="46"/>
      <c r="R77" s="46"/>
      <c r="S77" s="46"/>
      <c r="T77" s="46"/>
      <c r="U77" s="46"/>
      <c r="V77" s="46"/>
      <c r="W77" s="46"/>
    </row>
    <row r="78">
      <c r="A78" s="43" t="s">
        <v>178</v>
      </c>
      <c r="B78" s="43" t="str">
        <f>IFERROR(__xludf.DUMMYFUNCTION("GOOGLETRANSLATE(A78,""zh-tw"",""ja"")"),"2024/10/28にお知らせ内容を追加しました")</f>
        <v>2024/10/28にお知らせ内容を追加しました</v>
      </c>
      <c r="C78" s="44" t="str">
        <f>IFERROR(__xludf.DUMMYFUNCTION("GOOGLETRANSLATE(A78,""zh-tw"",""en"")"),"Added some announcement content on 2024/10/28")</f>
        <v>Added some announcement content on 2024/10/28</v>
      </c>
      <c r="D78" s="43" t="str">
        <f>IFERROR(__xludf.DUMMYFUNCTION("GOOGLETRANSLATE(A78,""zh-tw"",""zh"")"),"2024/10/28 新增部分公告内容")</f>
        <v>2024/10/28 新增部分公告内容</v>
      </c>
      <c r="E78" s="45" t="str">
        <f>IFERROR(__xludf.DUMMYFUNCTION("GOOGLETRANSLATE(A78,""zh-tw"",""es-MX"")"),"Se añadió contenido de anuncio el 28/10/2024")</f>
        <v>Se añadió contenido de anuncio el 28/10/2024</v>
      </c>
      <c r="F78" s="45" t="str">
        <f>IFERROR(__xludf.DUMMYFUNCTION("GOOGLETRANSLATE(A78,""zh-tw"",""KO"")"),"2024/10/28에 일부 공지 내용을 추가했습니다.")</f>
        <v>2024/10/28에 일부 공지 내용을 추가했습니다.</v>
      </c>
      <c r="G78" s="45" t="str">
        <f>IFERROR(__xludf.DUMMYFUNCTION("GOOGLETRANSLATE(A78,""zh-tw"",""RU"")"),"Добавлены некоторые анонсы от 28.10.2024")</f>
        <v>Добавлены некоторые анонсы от 28.10.2024</v>
      </c>
      <c r="H78" s="45" t="str">
        <f>IFERROR(__xludf.DUMMYFUNCTION("GOOGLETRANSLATE(A78,""zh-tw"",""DE"")"),"Am 28.10.2024 wurden einige Ankündigungsinhalte hinzugefügt.")</f>
        <v>Am 28.10.2024 wurden einige Ankündigungsinhalte hinzugefügt.</v>
      </c>
      <c r="I78" s="49" t="s">
        <v>179</v>
      </c>
      <c r="J78" s="46"/>
      <c r="K78" s="46"/>
      <c r="L78" s="46"/>
      <c r="M78" s="46"/>
      <c r="N78" s="46"/>
      <c r="O78" s="46"/>
      <c r="P78" s="46"/>
      <c r="Q78" s="46"/>
      <c r="R78" s="46"/>
      <c r="S78" s="46"/>
      <c r="T78" s="46"/>
      <c r="U78" s="46"/>
      <c r="V78" s="46"/>
      <c r="W78" s="46"/>
    </row>
    <row r="79">
      <c r="A79" s="43" t="s">
        <v>180</v>
      </c>
      <c r="B79" s="43" t="str">
        <f>IFERROR(__xludf.DUMMYFUNCTION("GOOGLETRANSLATE(A79,""zh-tw"",""ja"")"),"2024年10月24日: 0.4Cバージョンコンテンツの追加 - イベント/ワールドドロップ/アーマー")</f>
        <v>2024年10月24日: 0.4Cバージョンコンテンツの追加 - イベント/ワールドドロップ/アーマー</v>
      </c>
      <c r="C79" s="44" t="str">
        <f>IFERROR(__xludf.DUMMYFUNCTION("GOOGLETRANSLATE(A79,""zh-tw"",""en"")"),"October 24, 2024: Added 0.4C version content - Events/World Drops/Armor")</f>
        <v>October 24, 2024: Added 0.4C version content - Events/World Drops/Armor</v>
      </c>
      <c r="D79" s="43" t="str">
        <f>IFERROR(__xludf.DUMMYFUNCTION("GOOGLETRANSLATE(A79,""zh-tw"",""zh"")"),"2024/10/24 新增0.4C版本内容-事件/野外掉落/装甲")</f>
        <v>2024/10/24 新增0.4C版本内容-事件/野外掉落/装甲</v>
      </c>
      <c r="E79" s="45" t="str">
        <f>IFERROR(__xludf.DUMMYFUNCTION("GOOGLETRANSLATE(A79,""zh-tw"",""es-MX"")"),"24 de octubre de 2024: Se añadió contenido de la versión 0.4C: Eventos/Objetos del mundo/Armadura")</f>
        <v>24 de octubre de 2024: Se añadió contenido de la versión 0.4C: Eventos/Objetos del mundo/Armadura</v>
      </c>
      <c r="F79" s="45" t="str">
        <f>IFERROR(__xludf.DUMMYFUNCTION("GOOGLETRANSLATE(A79,""zh-tw"",""KO"")"),"2024년 10월 24일: 0.4C 버전 콘텐츠 추가 - 이벤트/월드 드랍/방어구")</f>
        <v>2024년 10월 24일: 0.4C 버전 콘텐츠 추가 - 이벤트/월드 드랍/방어구</v>
      </c>
      <c r="G79" s="45" t="str">
        <f>IFERROR(__xludf.DUMMYFUNCTION("GOOGLETRANSLATE(A79,""zh-tw"",""RU"")"),"24 октября 2024 г.: добавлен контент версии 0.4C — события/добыча в мире/броня.")</f>
        <v>24 октября 2024 г.: добавлен контент версии 0.4C — события/добыча в мире/броня.</v>
      </c>
      <c r="H79" s="45" t="str">
        <f>IFERROR(__xludf.DUMMYFUNCTION("GOOGLETRANSLATE(A79,""zh-tw"",""DE"")"),"24. Oktober 2024: Inhalte der Version 0.4C hinzugefügt – Events/Weltbeute/Rüstungen")</f>
        <v>24. Oktober 2024: Inhalte der Version 0.4C hinzugefügt – Events/Weltbeute/Rüstungen</v>
      </c>
      <c r="I79" s="49" t="s">
        <v>181</v>
      </c>
      <c r="J79" s="46"/>
      <c r="K79" s="46"/>
      <c r="L79" s="46"/>
      <c r="M79" s="46"/>
      <c r="N79" s="46"/>
      <c r="O79" s="46"/>
      <c r="P79" s="46"/>
      <c r="Q79" s="46"/>
      <c r="R79" s="46"/>
      <c r="S79" s="46"/>
      <c r="T79" s="46"/>
      <c r="U79" s="46"/>
      <c r="V79" s="46"/>
      <c r="W79" s="46"/>
    </row>
    <row r="80">
      <c r="A80" s="43" t="s">
        <v>182</v>
      </c>
      <c r="B80" s="43" t="str">
        <f>IFERROR(__xludf.DUMMYFUNCTION("GOOGLETRANSLATE(A80,""zh-tw"",""ja"")"),"2024年10月21日：バージョン0.4Aコンテンツ（ドロップ/装備/ヒント）を追加")</f>
        <v>2024年10月21日：バージョン0.4Aコンテンツ（ドロップ/装備/ヒント）を追加</v>
      </c>
      <c r="C80" s="44" t="str">
        <f>IFERROR(__xludf.DUMMYFUNCTION("GOOGLETRANSLATE(A80,""zh-tw"",""en"")"),"October 21, 2024: Added version 0.4A content (Drop/Equip/Tips)")</f>
        <v>October 21, 2024: Added version 0.4A content (Drop/Equip/Tips)</v>
      </c>
      <c r="D80" s="43" t="str">
        <f>IFERROR(__xludf.DUMMYFUNCTION("GOOGLETRANSLATE(A80,""zh-tw"",""zh"")"),"2024/10/21 新增0.4A版本内容(Drop/Equip/Tips)")</f>
        <v>2024/10/21 新增0.4A版本内容(Drop/Equip/Tips)</v>
      </c>
      <c r="E80" s="45" t="str">
        <f>IFERROR(__xludf.DUMMYFUNCTION("GOOGLETRANSLATE(A80,""zh-tw"",""es-MX"")"),"21 de octubre de 2024: Se añadió el contenido de la versión 0.4A (Objetos/Equipamiento/Consejos)")</f>
        <v>21 de octubre de 2024: Se añadió el contenido de la versión 0.4A (Objetos/Equipamiento/Consejos)</v>
      </c>
      <c r="F80" s="45" t="str">
        <f>IFERROR(__xludf.DUMMYFUNCTION("GOOGLETRANSLATE(A80,""zh-tw"",""KO"")"),"2024년 10월 21일: 버전 0.4A 콘텐츠 추가(드랍/장비/팁)")</f>
        <v>2024년 10월 21일: 버전 0.4A 콘텐츠 추가(드랍/장비/팁)</v>
      </c>
      <c r="G80" s="45" t="str">
        <f>IFERROR(__xludf.DUMMYFUNCTION("GOOGLETRANSLATE(A80,""zh-tw"",""RU"")"),"21 октября 2024 г.: добавлен контент версии 0.4A (выброс/экипировка/советы).")</f>
        <v>21 октября 2024 г.: добавлен контент версии 0.4A (выброс/экипировка/советы).</v>
      </c>
      <c r="H80" s="45" t="str">
        <f>IFERROR(__xludf.DUMMYFUNCTION("GOOGLETRANSLATE(A80,""zh-tw"",""DE"")"),"21. Oktober 2024: Inhalt der Version 0.4A hinzugefügt (Beute/Ausrüstung/Tipps)")</f>
        <v>21. Oktober 2024: Inhalt der Version 0.4A hinzugefügt (Beute/Ausrüstung/Tipps)</v>
      </c>
      <c r="I80" s="49" t="s">
        <v>183</v>
      </c>
      <c r="J80" s="46"/>
      <c r="K80" s="46"/>
      <c r="L80" s="46"/>
      <c r="M80" s="46"/>
      <c r="N80" s="46"/>
      <c r="O80" s="46"/>
      <c r="P80" s="46"/>
      <c r="Q80" s="46"/>
      <c r="R80" s="46"/>
      <c r="S80" s="46"/>
      <c r="T80" s="46"/>
      <c r="U80" s="46"/>
      <c r="V80" s="46"/>
      <c r="W80" s="46"/>
    </row>
    <row r="81">
      <c r="A81" s="43" t="s">
        <v>184</v>
      </c>
      <c r="B81" s="43" t="str">
        <f>IFERROR(__xludf.DUMMYFUNCTION("GOOGLETRANSLATE(A81,""zh-tw"",""ja"")"),"2024/10/15にマップとイベント番号表を追加しました")</f>
        <v>2024/10/15にマップとイベント番号表を追加しました</v>
      </c>
      <c r="C81" s="44" t="str">
        <f>IFERROR(__xludf.DUMMYFUNCTION("GOOGLETRANSLATE(A81,""zh-tw"",""en"")"),"Added map and event number table on 2024/10/15")</f>
        <v>Added map and event number table on 2024/10/15</v>
      </c>
      <c r="D81" s="43" t="str">
        <f>IFERROR(__xludf.DUMMYFUNCTION("GOOGLETRANSLATE(A81,""zh-tw"",""zh"")"),"2024/10/15新增地图、事件编号表")</f>
        <v>2024/10/15新增地图、事件编号表</v>
      </c>
      <c r="E81" s="45" t="str">
        <f>IFERROR(__xludf.DUMMYFUNCTION("GOOGLETRANSLATE(A81,""zh-tw"",""es-MX"")"),"Se añadió el mapa y la tabla de números de evento el 15/10/2024.")</f>
        <v>Se añadió el mapa y la tabla de números de evento el 15/10/2024.</v>
      </c>
      <c r="F81" s="45" t="str">
        <f>IFERROR(__xludf.DUMMYFUNCTION("GOOGLETRANSLATE(A81,""zh-tw"",""KO"")"),"2024/10/15에 지도와 이벤트 번호표가 추가되었습니다.")</f>
        <v>2024/10/15에 지도와 이벤트 번호표가 추가되었습니다.</v>
      </c>
      <c r="G81" s="45" t="str">
        <f>IFERROR(__xludf.DUMMYFUNCTION("GOOGLETRANSLATE(A81,""zh-tw"",""RU"")"),"Добавлена ​​карта и таблица номеров событий на 15.10.2024")</f>
        <v>Добавлена ​​карта и таблица номеров событий на 15.10.2024</v>
      </c>
      <c r="H81" s="45" t="str">
        <f>IFERROR(__xludf.DUMMYFUNCTION("GOOGLETRANSLATE(A81,""zh-tw"",""DE"")"),"Karte und Ereignisnummerntabelle hinzugefügt am 15.10.2024")</f>
        <v>Karte und Ereignisnummerntabelle hinzugefügt am 15.10.2024</v>
      </c>
      <c r="I81" s="49" t="s">
        <v>185</v>
      </c>
      <c r="J81" s="46"/>
      <c r="K81" s="46"/>
      <c r="L81" s="46"/>
      <c r="M81" s="46"/>
      <c r="N81" s="46"/>
      <c r="O81" s="46"/>
      <c r="P81" s="46"/>
      <c r="Q81" s="46"/>
      <c r="R81" s="46"/>
      <c r="S81" s="46"/>
      <c r="T81" s="46"/>
      <c r="U81" s="46"/>
      <c r="V81" s="46"/>
      <c r="W81" s="46"/>
    </row>
    <row r="82">
      <c r="A82" s="43" t="s">
        <v>186</v>
      </c>
      <c r="B82" s="43" t="str">
        <f>IFERROR(__xludf.DUMMYFUNCTION("GOOGLETRANSLATE(A82,""zh-tw"",""ja"")"),"2024/10/15にいくつかのイベントと新しいイベント番号を追加しました。")</f>
        <v>2024/10/15にいくつかのイベントと新しいイベント番号を追加しました。</v>
      </c>
      <c r="C82" s="44" t="str">
        <f>IFERROR(__xludf.DUMMYFUNCTION("GOOGLETRANSLATE(A82,""zh-tw"",""en"")"),"Added some events and new event numbers on 2024/10/15.")</f>
        <v>Added some events and new event numbers on 2024/10/15.</v>
      </c>
      <c r="D82" s="43" t="str">
        <f>IFERROR(__xludf.DUMMYFUNCTION("GOOGLETRANSLATE(A82,""zh-tw"",""zh"")"),"2024/10/15新增部分事件、新增事件NO.")</f>
        <v>2024/10/15新增部分事件、新增事件NO.</v>
      </c>
      <c r="E82" s="45" t="str">
        <f>IFERROR(__xludf.DUMMYFUNCTION("GOOGLETRANSLATE(A82,""zh-tw"",""es-MX"")"),"Se agregaron algunos eventos y nuevos números de eventos el 15/10/2024.")</f>
        <v>Se agregaron algunos eventos y nuevos números de eventos el 15/10/2024.</v>
      </c>
      <c r="F82" s="45" t="str">
        <f>IFERROR(__xludf.DUMMYFUNCTION("GOOGLETRANSLATE(A82,""zh-tw"",""KO"")"),"2024년 10월 15일에 몇 가지 이벤트와 새로운 이벤트 번호가 추가되었습니다.")</f>
        <v>2024년 10월 15일에 몇 가지 이벤트와 새로운 이벤트 번호가 추가되었습니다.</v>
      </c>
      <c r="G82" s="45" t="str">
        <f>IFERROR(__xludf.DUMMYFUNCTION("GOOGLETRANSLATE(A82,""zh-tw"",""RU"")"),"Добавлены некоторые события и новые номера событий на 15.10.2024.")</f>
        <v>Добавлены некоторые события и новые номера событий на 15.10.2024.</v>
      </c>
      <c r="H82" s="45" t="str">
        <f>IFERROR(__xludf.DUMMYFUNCTION("GOOGLETRANSLATE(A82,""zh-tw"",""DE"")"),"Am 15.10.2024 wurden einige Veranstaltungen und neue Veranstaltungsnummern hinzugefügt.")</f>
        <v>Am 15.10.2024 wurden einige Veranstaltungen und neue Veranstaltungsnummern hinzugefügt.</v>
      </c>
      <c r="I82" s="49" t="s">
        <v>187</v>
      </c>
      <c r="J82" s="46"/>
      <c r="K82" s="46"/>
      <c r="L82" s="46"/>
      <c r="M82" s="46"/>
      <c r="N82" s="46"/>
      <c r="O82" s="46"/>
      <c r="P82" s="46"/>
      <c r="Q82" s="46"/>
      <c r="R82" s="46"/>
      <c r="S82" s="46"/>
      <c r="T82" s="46"/>
      <c r="U82" s="46"/>
      <c r="V82" s="46"/>
      <c r="W82" s="46"/>
    </row>
    <row r="83">
      <c r="A83" s="43" t="s">
        <v>188</v>
      </c>
      <c r="B83" s="43" t="str">
        <f>IFERROR(__xludf.DUMMYFUNCTION("GOOGLETRANSLATE(A83,""zh-tw"",""ja"")"),"2024/10/14 書式を一部調整しました")</f>
        <v>2024/10/14 書式を一部調整しました</v>
      </c>
      <c r="C83" s="44" t="str">
        <f>IFERROR(__xludf.DUMMYFUNCTION("GOOGLETRANSLATE(A83,""zh-tw"",""en"")"),"2024/10/14 Adjusted some formatting")</f>
        <v>2024/10/14 Adjusted some formatting</v>
      </c>
      <c r="D83" s="43" t="str">
        <f>IFERROR(__xludf.DUMMYFUNCTION("GOOGLETRANSLATE(A83,""zh-tw"",""zh"")"),"2024/10/14 调整部分格式")</f>
        <v>2024/10/14 调整部分格式</v>
      </c>
      <c r="E83" s="45" t="str">
        <f>IFERROR(__xludf.DUMMYFUNCTION("GOOGLETRANSLATE(A83,""zh-tw"",""es-MX"")"),"14/10/2024 Se ajustó el formato")</f>
        <v>14/10/2024 Se ajustó el formato</v>
      </c>
      <c r="F83" s="45" t="str">
        <f>IFERROR(__xludf.DUMMYFUNCTION("GOOGLETRANSLATE(A83,""zh-tw"",""KO"")"),"2024/10/14 일부 서식을 조정했습니다.")</f>
        <v>2024/10/14 일부 서식을 조정했습니다.</v>
      </c>
      <c r="G83" s="45" t="str">
        <f>IFERROR(__xludf.DUMMYFUNCTION("GOOGLETRANSLATE(A83,""zh-tw"",""RU"")"),"2024/10/14 Исправлено форматирование.")</f>
        <v>2024/10/14 Исправлено форматирование.</v>
      </c>
      <c r="H83" s="45" t="str">
        <f>IFERROR(__xludf.DUMMYFUNCTION("GOOGLETRANSLATE(A83,""zh-tw"",""DE"")"),"14.10.2024: Formatierung angepasst")</f>
        <v>14.10.2024: Formatierung angepasst</v>
      </c>
      <c r="I83" s="49" t="s">
        <v>189</v>
      </c>
      <c r="J83" s="46"/>
      <c r="K83" s="46"/>
      <c r="L83" s="46"/>
      <c r="M83" s="46"/>
      <c r="N83" s="46"/>
      <c r="O83" s="46"/>
      <c r="P83" s="46"/>
      <c r="Q83" s="46"/>
      <c r="R83" s="46"/>
      <c r="S83" s="46"/>
      <c r="T83" s="46"/>
      <c r="U83" s="46"/>
      <c r="V83" s="46"/>
      <c r="W83" s="46"/>
    </row>
    <row r="84">
      <c r="A84" s="43" t="s">
        <v>190</v>
      </c>
      <c r="B84" s="43" t="str">
        <f>IFERROR(__xludf.DUMMYFUNCTION("GOOGLETRANSLATE(A84,""zh-tw"",""ja"")"),"2024年10月13日に簡体字中国語翻訳を追加しました")</f>
        <v>2024年10月13日に簡体字中国語翻訳を追加しました</v>
      </c>
      <c r="C84" s="44" t="str">
        <f>IFERROR(__xludf.DUMMYFUNCTION("GOOGLETRANSLATE(A84,""zh-tw"",""en"")"),"Added Simplified Chinese translation on 2024/10/13")</f>
        <v>Added Simplified Chinese translation on 2024/10/13</v>
      </c>
      <c r="D84" s="43" t="str">
        <f>IFERROR(__xludf.DUMMYFUNCTION("GOOGLETRANSLATE(A84,""zh-tw"",""zh"")"),"2024/10/13新增简体中文翻译")</f>
        <v>2024/10/13新增简体中文翻译</v>
      </c>
      <c r="E84" s="45" t="str">
        <f>IFERROR(__xludf.DUMMYFUNCTION("GOOGLETRANSLATE(A84,""zh-tw"",""es-MX"")"),"Se añadió la traducción al chino simplificado el 13/10/2024")</f>
        <v>Se añadió la traducción al chino simplificado el 13/10/2024</v>
      </c>
      <c r="F84" s="45" t="str">
        <f>IFERROR(__xludf.DUMMYFUNCTION("GOOGLETRANSLATE(A84,""zh-tw"",""KO"")"),"2024/10/13에 간체 중국어 번역이 추가되었습니다.")</f>
        <v>2024/10/13에 간체 중국어 번역이 추가되었습니다.</v>
      </c>
      <c r="G84" s="45" t="str">
        <f>IFERROR(__xludf.DUMMYFUNCTION("GOOGLETRANSLATE(A84,""zh-tw"",""RU"")"),"Добавлен перевод на упрощенный китайский язык 13.10.2024.")</f>
        <v>Добавлен перевод на упрощенный китайский язык 13.10.2024.</v>
      </c>
      <c r="H84" s="45" t="str">
        <f>IFERROR(__xludf.DUMMYFUNCTION("GOOGLETRANSLATE(A84,""zh-tw"",""DE"")"),"Vereinfachte chinesische Übersetzung hinzugefügt am 13.10.2024")</f>
        <v>Vereinfachte chinesische Übersetzung hinzugefügt am 13.10.2024</v>
      </c>
      <c r="I84" s="49" t="s">
        <v>191</v>
      </c>
      <c r="J84" s="46"/>
      <c r="K84" s="46"/>
      <c r="L84" s="46"/>
      <c r="M84" s="46"/>
      <c r="N84" s="46"/>
      <c r="O84" s="46"/>
      <c r="P84" s="46"/>
      <c r="Q84" s="46"/>
      <c r="R84" s="46"/>
      <c r="S84" s="46"/>
      <c r="T84" s="46"/>
      <c r="U84" s="46"/>
      <c r="V84" s="46"/>
      <c r="W84" s="46"/>
    </row>
    <row r="85">
      <c r="A85" s="43" t="s">
        <v>192</v>
      </c>
      <c r="B85" s="43" t="str">
        <f>IFERROR(__xludf.DUMMYFUNCTION("GOOGLETRANSLATE(A85,""zh-tw"",""ja"")"),"2024年10月12日：お知らせフォームと編集ログを追加、タロットカードを改訂しました。")</f>
        <v>2024年10月12日：お知らせフォームと編集ログを追加、タロットカードを改訂しました。</v>
      </c>
      <c r="C85" s="44" t="str">
        <f>IFERROR(__xludf.DUMMYFUNCTION("GOOGLETRANSLATE(A85,""zh-tw"",""en"")"),"October 12, 2024: Added announcement form and edit log; revised tarot cards.")</f>
        <v>October 12, 2024: Added announcement form and edit log; revised tarot cards.</v>
      </c>
      <c r="D85" s="43" t="str">
        <f>IFERROR(__xludf.DUMMYFUNCTION("GOOGLETRANSLATE(A85,""zh-tw"",""zh"")"),"2024/10/12新增公告表与编辑日志、修正塔罗牌")</f>
        <v>2024/10/12新增公告表与编辑日志、修正塔罗牌</v>
      </c>
      <c r="E85" s="45" t="str">
        <f>IFERROR(__xludf.DUMMYFUNCTION("GOOGLETRANSLATE(A85,""zh-tw"",""es-MX"")"),"12 de octubre de 2024: Se agregó el formulario de anuncios y el registro de ediciones; se revisaron las cartas del tarot.")</f>
        <v>12 de octubre de 2024: Se agregó el formulario de anuncios y el registro de ediciones; se revisaron las cartas del tarot.</v>
      </c>
      <c r="F85" s="45" t="str">
        <f>IFERROR(__xludf.DUMMYFUNCTION("GOOGLETRANSLATE(A85,""zh-tw"",""KO"")"),"2024년 10월 12일: 공지 양식과 편집 로그를 추가하고, 타로 카드를 수정했습니다.")</f>
        <v>2024년 10월 12일: 공지 양식과 편집 로그를 추가하고, 타로 카드를 수정했습니다.</v>
      </c>
      <c r="G85" s="45" t="str">
        <f>IFERROR(__xludf.DUMMYFUNCTION("GOOGLETRANSLATE(A85,""zh-tw"",""RU"")"),"12 октября 2024 г.: добавлены форма объявления и журнал редактирования; пересмотрены карты Таро.")</f>
        <v>12 октября 2024 г.: добавлены форма объявления и журнал редактирования; пересмотрены карты Таро.</v>
      </c>
      <c r="H85" s="45" t="str">
        <f>IFERROR(__xludf.DUMMYFUNCTION("GOOGLETRANSLATE(A85,""zh-tw"",""DE"")"),"12. Oktober 2024: Ankündigungsformular und Bearbeitungsprotokoll hinzugefügt; Tarotkarten überarbeitet.")</f>
        <v>12. Oktober 2024: Ankündigungsformular und Bearbeitungsprotokoll hinzugefügt; Tarotkarten überarbeitet.</v>
      </c>
      <c r="I85" s="49" t="s">
        <v>193</v>
      </c>
      <c r="J85" s="46"/>
      <c r="K85" s="46"/>
      <c r="L85" s="46"/>
      <c r="M85" s="46"/>
      <c r="N85" s="46"/>
      <c r="O85" s="46"/>
      <c r="P85" s="46"/>
      <c r="Q85" s="46"/>
      <c r="R85" s="46"/>
      <c r="S85" s="46"/>
      <c r="T85" s="46"/>
      <c r="U85" s="46"/>
      <c r="V85" s="46"/>
      <c r="W85" s="46"/>
    </row>
    <row r="86">
      <c r="A86" s="43" t="s">
        <v>194</v>
      </c>
      <c r="B86" s="43" t="str">
        <f>IFERROR(__xludf.DUMMYFUNCTION("GOOGLETRANSLATE(A86,""zh-tw"",""ja"")"),"2024 年 10 月 10 日: 新しいイベントと通知テーブルのコンテンツが追加されました。")</f>
        <v>2024 年 10 月 10 日: 新しいイベントと通知テーブルのコンテンツが追加されました。</v>
      </c>
      <c r="C86" s="44" t="str">
        <f>IFERROR(__xludf.DUMMYFUNCTION("GOOGLETRANSLATE(A86,""zh-tw"",""en"")"),"October 10, 2024: Added new events and notification table content.")</f>
        <v>October 10, 2024: Added new events and notification table content.</v>
      </c>
      <c r="D86" s="43" t="str">
        <f>IFERROR(__xludf.DUMMYFUNCTION("GOOGLETRANSLATE(A86,""zh-tw"",""zh"")"),"2024/10/10 新增事件、提示表内容")</f>
        <v>2024/10/10 新增事件、提示表内容</v>
      </c>
      <c r="E86" s="45" t="str">
        <f>IFERROR(__xludf.DUMMYFUNCTION("GOOGLETRANSLATE(A86,""zh-tw"",""es-MX"")"),"10 de octubre de 2024: Se agregó nuevo contenido a la tabla de eventos y notificaciones.")</f>
        <v>10 de octubre de 2024: Se agregó nuevo contenido a la tabla de eventos y notificaciones.</v>
      </c>
      <c r="F86" s="45" t="str">
        <f>IFERROR(__xludf.DUMMYFUNCTION("GOOGLETRANSLATE(A86,""zh-tw"",""KO"")"),"2024년 10월 10일: 새로운 이벤트와 알림 표 콘텐츠가 추가되었습니다.")</f>
        <v>2024년 10월 10일: 새로운 이벤트와 알림 표 콘텐츠가 추가되었습니다.</v>
      </c>
      <c r="G86" s="45" t="str">
        <f>IFERROR(__xludf.DUMMYFUNCTION("GOOGLETRANSLATE(A86,""zh-tw"",""RU"")"),"10 октября 2024 г.: добавлены новые события и содержимое таблицы уведомлений.")</f>
        <v>10 октября 2024 г.: добавлены новые события и содержимое таблицы уведомлений.</v>
      </c>
      <c r="H86" s="45" t="str">
        <f>IFERROR(__xludf.DUMMYFUNCTION("GOOGLETRANSLATE(A86,""zh-tw"",""DE"")"),"10. Oktober 2024: Neue Ereignisse und Benachrichtigungstabelle hinzugefügt.")</f>
        <v>10. Oktober 2024: Neue Ereignisse und Benachrichtigungstabelle hinzugefügt.</v>
      </c>
      <c r="I86" s="49" t="s">
        <v>195</v>
      </c>
      <c r="J86" s="46"/>
      <c r="K86" s="46"/>
      <c r="L86" s="46"/>
      <c r="M86" s="46"/>
      <c r="N86" s="46"/>
      <c r="O86" s="46"/>
      <c r="P86" s="46"/>
      <c r="Q86" s="46"/>
      <c r="R86" s="46"/>
      <c r="S86" s="46"/>
      <c r="T86" s="46"/>
      <c r="U86" s="46"/>
      <c r="V86" s="46"/>
      <c r="W86" s="46"/>
    </row>
    <row r="87">
      <c r="A87" s="43" t="s">
        <v>196</v>
      </c>
      <c r="B87" s="43" t="str">
        <f>IFERROR(__xludf.DUMMYFUNCTION("GOOGLETRANSLATE(A87,""zh-tw"",""ja"")"),"2024/10/9にイベントとお知らせを追加しました")</f>
        <v>2024/10/9にイベントとお知らせを追加しました</v>
      </c>
      <c r="C87" s="44" t="str">
        <f>IFERROR(__xludf.DUMMYFUNCTION("GOOGLETRANSLATE(A87,""zh-tw"",""en"")"),"Added events and notifications on 2024/10/9")</f>
        <v>Added events and notifications on 2024/10/9</v>
      </c>
      <c r="D87" s="43" t="str">
        <f>IFERROR(__xludf.DUMMYFUNCTION("GOOGLETRANSLATE(A87,""zh-tw"",""zh"")"),"2024/10/9新增事件、提示表内容")</f>
        <v>2024/10/9新增事件、提示表内容</v>
      </c>
      <c r="E87" s="45" t="str">
        <f>IFERROR(__xludf.DUMMYFUNCTION("GOOGLETRANSLATE(A87,""zh-tw"",""es-MX"")"),"Se añadieron eventos y notificaciones el 9 de octubre de 2024.")</f>
        <v>Se añadieron eventos y notificaciones el 9 de octubre de 2024.</v>
      </c>
      <c r="F87" s="45" t="str">
        <f>IFERROR(__xludf.DUMMYFUNCTION("GOOGLETRANSLATE(A87,""zh-tw"",""KO"")"),"2024/10/9 이벤트 및 알림 추가")</f>
        <v>2024/10/9 이벤트 및 알림 추가</v>
      </c>
      <c r="G87" s="45" t="str">
        <f>IFERROR(__xludf.DUMMYFUNCTION("GOOGLETRANSLATE(A87,""zh-tw"",""RU"")"),"Добавлены события и уведомления на 09.10.2024")</f>
        <v>Добавлены события и уведомления на 09.10.2024</v>
      </c>
      <c r="H87" s="45" t="str">
        <f>IFERROR(__xludf.DUMMYFUNCTION("GOOGLETRANSLATE(A87,""zh-tw"",""DE"")"),"Ereignisse und Benachrichtigungen wurden am 9.10.2024 hinzugefügt.")</f>
        <v>Ereignisse und Benachrichtigungen wurden am 9.10.2024 hinzugefügt.</v>
      </c>
      <c r="I87" s="49" t="s">
        <v>197</v>
      </c>
      <c r="J87" s="46"/>
      <c r="K87" s="46"/>
      <c r="L87" s="46"/>
      <c r="M87" s="46"/>
      <c r="N87" s="46"/>
      <c r="O87" s="46"/>
      <c r="P87" s="46"/>
      <c r="Q87" s="46"/>
      <c r="R87" s="46"/>
      <c r="S87" s="46"/>
      <c r="T87" s="46"/>
      <c r="U87" s="46"/>
      <c r="V87" s="46"/>
      <c r="W87" s="46"/>
    </row>
    <row r="88">
      <c r="A88" s="43" t="s">
        <v>198</v>
      </c>
      <c r="B88" s="43" t="str">
        <f>IFERROR(__xludf.DUMMYFUNCTION("GOOGLETRANSLATE(A88,""zh-tw"",""ja"")"),"2024/10/8にイベントと通知表の内容を追加しました")</f>
        <v>2024/10/8にイベントと通知表の内容を追加しました</v>
      </c>
      <c r="C88" s="44" t="str">
        <f>IFERROR(__xludf.DUMMYFUNCTION("GOOGLETRANSLATE(A88,""zh-tw"",""en"")"),"Added event and notification table content on 2024/10/8")</f>
        <v>Added event and notification table content on 2024/10/8</v>
      </c>
      <c r="D88" s="43" t="str">
        <f>IFERROR(__xludf.DUMMYFUNCTION("GOOGLETRANSLATE(A88,""zh-tw"",""zh"")"),"2024/10/8新增事件、提示表内容")</f>
        <v>2024/10/8新增事件、提示表内容</v>
      </c>
      <c r="E88" s="45" t="str">
        <f>IFERROR(__xludf.DUMMYFUNCTION("GOOGLETRANSLATE(A88,""zh-tw"",""es-MX"")"),"Se agregó contenido a la tabla de eventos y notificaciones el 8 de octubre de 2024.")</f>
        <v>Se agregó contenido a la tabla de eventos y notificaciones el 8 de octubre de 2024.</v>
      </c>
      <c r="F88" s="45" t="str">
        <f>IFERROR(__xludf.DUMMYFUNCTION("GOOGLETRANSLATE(A88,""zh-tw"",""KO"")"),"2024/10/8에 이벤트 및 알림 테이블 내용이 추가되었습니다.")</f>
        <v>2024/10/8에 이벤트 및 알림 테이블 내용이 추가되었습니다.</v>
      </c>
      <c r="G88" s="45" t="str">
        <f>IFERROR(__xludf.DUMMYFUNCTION("GOOGLETRANSLATE(A88,""zh-tw"",""RU"")"),"Добавлено содержимое таблицы событий и уведомлений от 08.10.2024")</f>
        <v>Добавлено содержимое таблицы событий и уведомлений от 08.10.2024</v>
      </c>
      <c r="H88" s="45" t="str">
        <f>IFERROR(__xludf.DUMMYFUNCTION("GOOGLETRANSLATE(A88,""zh-tw"",""DE"")"),"Ereignis- und Benachrichtigungstabelleninhalte wurden am 8.10.2024 hinzugefügt.")</f>
        <v>Ereignis- und Benachrichtigungstabelleninhalte wurden am 8.10.2024 hinzugefügt.</v>
      </c>
      <c r="I88" s="49" t="s">
        <v>199</v>
      </c>
      <c r="J88" s="46"/>
      <c r="K88" s="46"/>
      <c r="L88" s="46"/>
      <c r="M88" s="46"/>
      <c r="N88" s="46"/>
      <c r="O88" s="46"/>
      <c r="P88" s="46"/>
      <c r="Q88" s="46"/>
      <c r="R88" s="46"/>
      <c r="S88" s="46"/>
      <c r="T88" s="46"/>
      <c r="U88" s="46"/>
      <c r="V88" s="46"/>
      <c r="W88" s="46"/>
    </row>
    <row r="89">
      <c r="A89" s="43" t="s">
        <v>200</v>
      </c>
      <c r="B89" s="43" t="str">
        <f>IFERROR(__xludf.DUMMYFUNCTION("GOOGLETRANSLATE(A89,""zh-tw"",""ja"")"),"2024/10/7に通知表を追加しました")</f>
        <v>2024/10/7に通知表を追加しました</v>
      </c>
      <c r="C89" s="44" t="str">
        <f>IFERROR(__xludf.DUMMYFUNCTION("GOOGLETRANSLATE(A89,""zh-tw"",""en"")"),"Added notification table on 2024/10/7")</f>
        <v>Added notification table on 2024/10/7</v>
      </c>
      <c r="D89" s="43" t="str">
        <f>IFERROR(__xludf.DUMMYFUNCTION("GOOGLETRANSLATE(A89,""zh-tw"",""zh"")"),"2024/10/7新增提示表")</f>
        <v>2024/10/7新增提示表</v>
      </c>
      <c r="E89" s="45" t="str">
        <f>IFERROR(__xludf.DUMMYFUNCTION("GOOGLETRANSLATE(A89,""zh-tw"",""es-MX"")"),"Se agregó la tabla de notificaciones el 7 de octubre de 2024.")</f>
        <v>Se agregó la tabla de notificaciones el 7 de octubre de 2024.</v>
      </c>
      <c r="F89" s="45" t="str">
        <f>IFERROR(__xludf.DUMMYFUNCTION("GOOGLETRANSLATE(A89,""zh-tw"",""KO"")"),"2024/10/7에 알림표 추가")</f>
        <v>2024/10/7에 알림표 추가</v>
      </c>
      <c r="G89" s="45" t="str">
        <f>IFERROR(__xludf.DUMMYFUNCTION("GOOGLETRANSLATE(A89,""zh-tw"",""RU"")"),"Добавлена ​​таблица уведомлений на 07.10.2024")</f>
        <v>Добавлена ​​таблица уведомлений на 07.10.2024</v>
      </c>
      <c r="H89" s="45" t="str">
        <f>IFERROR(__xludf.DUMMYFUNCTION("GOOGLETRANSLATE(A89,""zh-tw"",""DE"")"),"Benachrichtigungstabelle hinzugefügt am 07.10.2024.")</f>
        <v>Benachrichtigungstabelle hinzugefügt am 07.10.2024.</v>
      </c>
      <c r="I89" s="49" t="s">
        <v>201</v>
      </c>
      <c r="J89" s="46"/>
      <c r="K89" s="46"/>
      <c r="L89" s="46"/>
      <c r="M89" s="46"/>
      <c r="N89" s="46"/>
      <c r="O89" s="46"/>
      <c r="P89" s="46"/>
      <c r="Q89" s="46"/>
      <c r="R89" s="46"/>
      <c r="S89" s="46"/>
      <c r="T89" s="46"/>
      <c r="U89" s="46"/>
      <c r="V89" s="46"/>
      <c r="W89" s="46"/>
    </row>
    <row r="90">
      <c r="A90" s="50" t="s">
        <v>202</v>
      </c>
      <c r="B90" s="51" t="s">
        <v>203</v>
      </c>
      <c r="C90" s="44" t="str">
        <f>IFERROR(__xludf.DUMMYFUNCTION("GOOGLETRANSLATE(A90,""zh-tw"",""en"")"),"October 6, 2024. Authorized Discord user: mioakatukaze to repost on bilibili.
https://www.bilibili.com/opus/985591575966908440?spm_id_from=333.999.0.0")</f>
        <v>October 6, 2024. Authorized Discord user: mioakatukaze to repost on bilibili.
https://www.bilibili.com/opus/985591575966908440?spm_id_from=333.999.0.0</v>
      </c>
      <c r="D90" s="43" t="str">
        <f>IFERROR(__xludf.DUMMYFUNCTION("GOOGLETRANSLATE(A90,""zh-tw"",""zh"")"),"2024/10/6
授权Discord:mioakatukaze转载至bilibili
https://www.bilibili.com/opus/985591575966908440?spm_id_from=333.999.0.0 ")</f>
        <v>2024/10/6
授权Discord:mioakatukaze转载至bilibili
https://www.bilibili.com/opus/985591575966908440?spm_id_from=333.999.0.0 </v>
      </c>
      <c r="E90" s="45" t="str">
        <f>IFERROR(__xludf.DUMMYFUNCTION("GOOGLETRANSLATE(A90,""zh-tw"",""es-MX"")"),"6 de octubre de 2024. Usuario autorizado de Discord: mioakatukaze para republicar en bilibili.
https://www.bilibili.com/opus/985591575966908440?spm_id_from=333.999.0.0")</f>
        <v>6 de octubre de 2024. Usuario autorizado de Discord: mioakatukaze para republicar en bilibili.
https://www.bilibili.com/opus/985591575966908440?spm_id_from=333.999.0.0</v>
      </c>
      <c r="F90" s="45" t="str">
        <f>IFERROR(__xludf.DUMMYFUNCTION("GOOGLETRANSLATE(A90,""zh-tw"",""KO"")"),"2024년 10월 6일. bilibili에 재게시할 권한이 있는 Discord 사용자: mioakatukaze.
https://www.bilibili.com/opus/985591575966908440?spm_id_from=333.999.0.0")</f>
        <v>2024년 10월 6일. bilibili에 재게시할 권한이 있는 Discord 사용자: mioakatukaze.
https://www.bilibili.com/opus/985591575966908440?spm_id_from=333.999.0.0</v>
      </c>
      <c r="G90" s="45" t="str">
        <f>IFERROR(__xludf.DUMMYFUNCTION("GOOGLETRANSLATE(A90,""zh-tw"",""RU"")"),"6 октября 2024 г. Авторизованный пользователь Discord: mioakatukaze для репоста на bilibili.
https://www.bilibili.com/opus/985591575966908440?spm_id_from=333.999.0.0")</f>
        <v>6 октября 2024 г. Авторизованный пользователь Discord: mioakatukaze для репоста на bilibili.
https://www.bilibili.com/opus/985591575966908440?spm_id_from=333.999.0.0</v>
      </c>
      <c r="H90" s="45" t="str">
        <f>IFERROR(__xludf.DUMMYFUNCTION("GOOGLETRANSLATE(A90,""zh-tw"",""DE"")"),"6. Oktober 2024. Autorisierter Discord-Nutzer: mioakatukaze zur Weiterveröffentlichung auf Bilibili.
https://www.bilibili.com/opus/985591575966908440?spm_id_from=333.999.0.0")</f>
        <v>6. Oktober 2024. Autorisierter Discord-Nutzer: mioakatukaze zur Weiterveröffentlichung auf Bilibili.
https://www.bilibili.com/opus/985591575966908440?spm_id_from=333.999.0.0</v>
      </c>
      <c r="I90" s="49" t="s">
        <v>204</v>
      </c>
      <c r="J90" s="46"/>
      <c r="K90" s="46"/>
      <c r="L90" s="46"/>
      <c r="M90" s="46"/>
      <c r="N90" s="46"/>
      <c r="O90" s="46"/>
      <c r="P90" s="46"/>
      <c r="Q90" s="46"/>
      <c r="R90" s="46"/>
      <c r="S90" s="46"/>
      <c r="T90" s="46"/>
      <c r="U90" s="46"/>
      <c r="V90" s="46"/>
      <c r="W90" s="46"/>
    </row>
    <row r="91">
      <c r="A91" s="43" t="s">
        <v>205</v>
      </c>
      <c r="B91" s="43" t="str">
        <f>IFERROR(__xludf.DUMMYFUNCTION("GOOGLETRANSLATE(A91,""zh-tw"",""ja"")"),"2024年10月6日に全ページ編集・調整しました")</f>
        <v>2024年10月6日に全ページ編集・調整しました</v>
      </c>
      <c r="C91" s="44" t="str">
        <f>IFERROR(__xludf.DUMMYFUNCTION("GOOGLETRANSLATE(A91,""zh-tw"",""en"")"),"Full page edited and adjusted on 2024/10/6")</f>
        <v>Full page edited and adjusted on 2024/10/6</v>
      </c>
      <c r="D91" s="43" t="str">
        <f>IFERROR(__xludf.DUMMYFUNCTION("GOOGLETRANSLATE(A91,""zh-tw"",""zh"")"),"2024/10/6全页面修改调整")</f>
        <v>2024/10/6全页面修改调整</v>
      </c>
      <c r="E91" s="45" t="str">
        <f>IFERROR(__xludf.DUMMYFUNCTION("GOOGLETRANSLATE(A91,""zh-tw"",""es-MX"")"),"Página completa editada y ajustada el 6 de octubre de 2024.")</f>
        <v>Página completa editada y ajustada el 6 de octubre de 2024.</v>
      </c>
      <c r="F91" s="45" t="str">
        <f>IFERROR(__xludf.DUMMYFUNCTION("GOOGLETRANSLATE(A91,""zh-tw"",""KO"")"),"전체 페이지는 2024/10/6에 편집 및 조정되었습니다.")</f>
        <v>전체 페이지는 2024/10/6에 편집 및 조정되었습니다.</v>
      </c>
      <c r="G91" s="45" t="str">
        <f>IFERROR(__xludf.DUMMYFUNCTION("GOOGLETRANSLATE(A91,""zh-tw"",""RU"")"),"Полная страница отредактирована и скорректирована 06.10.2024")</f>
        <v>Полная страница отредактирована и скорректирована 06.10.2024</v>
      </c>
      <c r="H91" s="45" t="str">
        <f>IFERROR(__xludf.DUMMYFUNCTION("GOOGLETRANSLATE(A91,""zh-tw"",""DE"")"),"Die gesamte Seite wurde am 06.10.2024 bearbeitet und angepasst.")</f>
        <v>Die gesamte Seite wurde am 06.10.2024 bearbeitet und angepasst.</v>
      </c>
      <c r="I91" s="49" t="s">
        <v>206</v>
      </c>
      <c r="J91" s="46"/>
      <c r="K91" s="46"/>
      <c r="L91" s="46"/>
      <c r="M91" s="46"/>
      <c r="N91" s="46"/>
      <c r="O91" s="46"/>
      <c r="P91" s="46"/>
      <c r="Q91" s="46"/>
      <c r="R91" s="46"/>
      <c r="S91" s="46"/>
      <c r="T91" s="46"/>
      <c r="U91" s="46"/>
      <c r="V91" s="46"/>
      <c r="W91" s="46"/>
    </row>
    <row r="92">
      <c r="A92" s="43" t="s">
        <v>207</v>
      </c>
      <c r="B92" s="43" t="str">
        <f>IFERROR(__xludf.DUMMYFUNCTION("GOOGLETRANSLATE(A92,""zh-tw"",""ja"")"),"2024年10月5日公開")</f>
        <v>2024年10月5日公開</v>
      </c>
      <c r="C92" s="44" t="str">
        <f>IFERROR(__xludf.DUMMYFUNCTION("GOOGLETRANSLATE(A92,""zh-tw"",""en"")"),"Released to the public on October 5, 2024")</f>
        <v>Released to the public on October 5, 2024</v>
      </c>
      <c r="D92" s="43" t="str">
        <f>IFERROR(__xludf.DUMMYFUNCTION("GOOGLETRANSLATE(A92,""zh-tw"",""zh"")"),"2024/10/5对外发布")</f>
        <v>2024/10/5对外发布</v>
      </c>
      <c r="E92" s="45" t="str">
        <f>IFERROR(__xludf.DUMMYFUNCTION("GOOGLETRANSLATE(A92,""zh-tw"",""es-MX"")"),"Lanzado al público el 5 de octubre de 2024")</f>
        <v>Lanzado al público el 5 de octubre de 2024</v>
      </c>
      <c r="F92" s="45" t="str">
        <f>IFERROR(__xludf.DUMMYFUNCTION("GOOGLETRANSLATE(A92,""zh-tw"",""KO"")"),"2024년 10월 5일 대중에 공개")</f>
        <v>2024년 10월 5일 대중에 공개</v>
      </c>
      <c r="G92" s="45" t="str">
        <f>IFERROR(__xludf.DUMMYFUNCTION("GOOGLETRANSLATE(A92,""zh-tw"",""RU"")"),"Выпущено для публики 5 октября 2024 г.")</f>
        <v>Выпущено для публики 5 октября 2024 г.</v>
      </c>
      <c r="H92" s="45" t="str">
        <f>IFERROR(__xludf.DUMMYFUNCTION("GOOGLETRANSLATE(A92,""zh-tw"",""DE"")"),"Veröffentlicht der Öffentlichkeit am 5. Oktober 2024")</f>
        <v>Veröffentlicht der Öffentlichkeit am 5. Oktober 2024</v>
      </c>
      <c r="I92" s="49" t="s">
        <v>208</v>
      </c>
      <c r="J92" s="46"/>
      <c r="K92" s="46"/>
      <c r="L92" s="46"/>
      <c r="M92" s="46"/>
      <c r="N92" s="46"/>
      <c r="O92" s="46"/>
      <c r="P92" s="46"/>
      <c r="Q92" s="46"/>
      <c r="R92" s="46"/>
      <c r="S92" s="46"/>
      <c r="T92" s="46"/>
      <c r="U92" s="46"/>
      <c r="V92" s="46"/>
      <c r="W92" s="46"/>
    </row>
    <row r="93">
      <c r="A93" s="43" t="s">
        <v>209</v>
      </c>
      <c r="B93" s="43" t="str">
        <f>IFERROR(__xludf.DUMMYFUNCTION("GOOGLETRANSLATE(A93,""zh-tw"",""ja"")"),"初稿は2024年10月4日に完成")</f>
        <v>初稿は2024年10月4日に完成</v>
      </c>
      <c r="C93" s="44" t="str">
        <f>IFERROR(__xludf.DUMMYFUNCTION("GOOGLETRANSLATE(A93,""zh-tw"",""en"")"),"First draft completed on October 4, 2024")</f>
        <v>First draft completed on October 4, 2024</v>
      </c>
      <c r="D93" s="43" t="str">
        <f>IFERROR(__xludf.DUMMYFUNCTION("GOOGLETRANSLATE(A93,""zh-tw"",""zh"")"),"2024/10/4初版完成")</f>
        <v>2024/10/4初版完成</v>
      </c>
      <c r="E93" s="45" t="str">
        <f>IFERROR(__xludf.DUMMYFUNCTION("GOOGLETRANSLATE(A93,""zh-tw"",""es-MX"")"),"Primer borrador finalizado el 4 de octubre de 2024")</f>
        <v>Primer borrador finalizado el 4 de octubre de 2024</v>
      </c>
      <c r="F93" s="45" t="str">
        <f>IFERROR(__xludf.DUMMYFUNCTION("GOOGLETRANSLATE(A93,""zh-tw"",""KO"")"),"2024년 10월 4일 초안 완료")</f>
        <v>2024년 10월 4일 초안 완료</v>
      </c>
      <c r="G93" s="45" t="str">
        <f>IFERROR(__xludf.DUMMYFUNCTION("GOOGLETRANSLATE(A93,""zh-tw"",""RU"")"),"Первый черновик завершён 4 октября 2024 г.")</f>
        <v>Первый черновик завершён 4 октября 2024 г.</v>
      </c>
      <c r="H93" s="45" t="str">
        <f>IFERROR(__xludf.DUMMYFUNCTION("GOOGLETRANSLATE(A93,""zh-tw"",""DE"")"),"Erster Entwurf fertiggestellt am 4. Oktober 2024")</f>
        <v>Erster Entwurf fertiggestellt am 4. Oktober 2024</v>
      </c>
      <c r="I93" s="49" t="s">
        <v>210</v>
      </c>
      <c r="J93" s="46"/>
      <c r="K93" s="46"/>
      <c r="L93" s="46"/>
      <c r="M93" s="46"/>
      <c r="N93" s="46"/>
      <c r="O93" s="46"/>
      <c r="P93" s="46"/>
      <c r="Q93" s="46"/>
      <c r="R93" s="46"/>
      <c r="S93" s="46"/>
      <c r="T93" s="46"/>
      <c r="U93" s="46"/>
      <c r="V93" s="46"/>
      <c r="W93" s="46"/>
    </row>
    <row r="94">
      <c r="A94" s="43" t="s">
        <v>211</v>
      </c>
      <c r="B94" s="43" t="str">
        <f>IFERROR(__xludf.DUMMYFUNCTION("GOOGLETRANSLATE(A94,""zh-tw"",""ja"")"),"このフォームは2024年10月1日に作成されました。")</f>
        <v>このフォームは2024年10月1日に作成されました。</v>
      </c>
      <c r="C94" s="44" t="str">
        <f>IFERROR(__xludf.DUMMYFUNCTION("GOOGLETRANSLATE(A94,""zh-tw"",""en"")"),"This form was created on October 1, 2024.")</f>
        <v>This form was created on October 1, 2024.</v>
      </c>
      <c r="D94" s="43" t="str">
        <f>IFERROR(__xludf.DUMMYFUNCTION("GOOGLETRANSLATE(A94,""zh-tw"",""zh"")"),"2024/10/1 建立本表单")</f>
        <v>2024/10/1 建立本表单</v>
      </c>
      <c r="E94" s="45" t="str">
        <f>IFERROR(__xludf.DUMMYFUNCTION("GOOGLETRANSLATE(A94,""zh-tw"",""es-MX"")"),"Este formulario fue creado el 1 de octubre de 2024.")</f>
        <v>Este formulario fue creado el 1 de octubre de 2024.</v>
      </c>
      <c r="F94" s="45" t="str">
        <f>IFERROR(__xludf.DUMMYFUNCTION("GOOGLETRANSLATE(A94,""zh-tw"",""KO"")"),"이 양식은 2024년 10월 1일에 만들어졌습니다.")</f>
        <v>이 양식은 2024년 10월 1일에 만들어졌습니다.</v>
      </c>
      <c r="G94" s="45" t="str">
        <f>IFERROR(__xludf.DUMMYFUNCTION("GOOGLETRANSLATE(A94,""zh-tw"",""RU"")"),"Эта форма была создана 1 октября 2024 года.")</f>
        <v>Эта форма была создана 1 октября 2024 года.</v>
      </c>
      <c r="H94" s="45" t="str">
        <f>IFERROR(__xludf.DUMMYFUNCTION("GOOGLETRANSLATE(A94,""zh-tw"",""DE"")"),"Dieses Formular wurde am 1. Oktober 2024 erstellt.")</f>
        <v>Dieses Formular wurde am 1. Oktober 2024 erstellt.</v>
      </c>
      <c r="I94" s="49" t="s">
        <v>212</v>
      </c>
      <c r="J94" s="46"/>
      <c r="K94" s="46"/>
      <c r="L94" s="46"/>
      <c r="M94" s="46"/>
      <c r="N94" s="46"/>
      <c r="O94" s="46"/>
      <c r="P94" s="46"/>
      <c r="Q94" s="46"/>
      <c r="R94" s="46"/>
      <c r="S94" s="46"/>
      <c r="T94" s="46"/>
      <c r="U94" s="46"/>
      <c r="V94" s="46"/>
      <c r="W94" s="46"/>
    </row>
    <row r="95">
      <c r="A95" s="43"/>
      <c r="B95" s="43"/>
      <c r="C95" s="44"/>
      <c r="D95" s="44"/>
      <c r="E95" s="52"/>
      <c r="F95" s="52"/>
      <c r="G95" s="52"/>
      <c r="H95" s="52"/>
      <c r="I95" s="53"/>
      <c r="J95" s="46"/>
      <c r="K95" s="46"/>
      <c r="L95" s="46"/>
      <c r="M95" s="46"/>
      <c r="N95" s="46"/>
      <c r="O95" s="46"/>
      <c r="P95" s="46"/>
      <c r="Q95" s="46"/>
      <c r="R95" s="46"/>
      <c r="S95" s="46"/>
      <c r="T95" s="46"/>
      <c r="U95" s="46"/>
      <c r="V95" s="46"/>
      <c r="W95" s="46"/>
    </row>
    <row r="96">
      <c r="A96" s="43"/>
      <c r="B96" s="43"/>
      <c r="C96" s="30"/>
      <c r="D96" s="30"/>
      <c r="E96" s="52"/>
      <c r="F96" s="52"/>
      <c r="G96" s="52"/>
      <c r="H96" s="52"/>
      <c r="I96" s="53"/>
      <c r="J96" s="46"/>
      <c r="K96" s="46"/>
      <c r="L96" s="46"/>
      <c r="M96" s="46"/>
      <c r="N96" s="46"/>
      <c r="O96" s="46"/>
      <c r="P96" s="46"/>
      <c r="Q96" s="46"/>
      <c r="R96" s="46"/>
      <c r="S96" s="46"/>
      <c r="T96" s="46"/>
      <c r="U96" s="46"/>
      <c r="V96" s="46"/>
      <c r="W96" s="46"/>
    </row>
    <row r="97">
      <c r="A97" s="43"/>
      <c r="B97" s="43"/>
      <c r="C97" s="30"/>
      <c r="D97" s="30"/>
      <c r="E97" s="52"/>
      <c r="F97" s="52"/>
      <c r="G97" s="52"/>
      <c r="H97" s="52"/>
      <c r="I97" s="53"/>
      <c r="J97" s="46"/>
      <c r="K97" s="46"/>
      <c r="L97" s="46"/>
      <c r="M97" s="46"/>
      <c r="N97" s="46"/>
      <c r="O97" s="46"/>
      <c r="P97" s="46"/>
      <c r="Q97" s="46"/>
      <c r="R97" s="46"/>
      <c r="S97" s="46"/>
      <c r="T97" s="46"/>
      <c r="U97" s="46"/>
      <c r="V97" s="46"/>
      <c r="W97" s="46"/>
    </row>
    <row r="98">
      <c r="A98" s="43"/>
      <c r="B98" s="43"/>
      <c r="C98" s="30"/>
      <c r="D98" s="30"/>
      <c r="E98" s="52"/>
      <c r="F98" s="52"/>
      <c r="G98" s="52"/>
      <c r="H98" s="52"/>
      <c r="I98" s="53"/>
      <c r="J98" s="46"/>
      <c r="K98" s="46"/>
      <c r="L98" s="46"/>
      <c r="M98" s="46"/>
      <c r="N98" s="46"/>
      <c r="O98" s="46"/>
      <c r="P98" s="46"/>
      <c r="Q98" s="46"/>
      <c r="R98" s="46"/>
      <c r="S98" s="46"/>
      <c r="T98" s="46"/>
      <c r="U98" s="46"/>
      <c r="V98" s="46"/>
      <c r="W98" s="46"/>
    </row>
    <row r="99">
      <c r="A99" s="43"/>
      <c r="B99" s="43"/>
      <c r="C99" s="30"/>
      <c r="D99" s="30"/>
      <c r="E99" s="52"/>
      <c r="F99" s="52"/>
      <c r="G99" s="52"/>
      <c r="H99" s="52"/>
      <c r="I99" s="53"/>
      <c r="J99" s="46"/>
      <c r="K99" s="46"/>
      <c r="L99" s="46"/>
      <c r="M99" s="46"/>
      <c r="N99" s="46"/>
      <c r="O99" s="46"/>
      <c r="P99" s="46"/>
      <c r="Q99" s="46"/>
      <c r="R99" s="46"/>
      <c r="S99" s="46"/>
      <c r="T99" s="46"/>
      <c r="U99" s="46"/>
      <c r="V99" s="46"/>
      <c r="W99" s="46"/>
    </row>
    <row r="100">
      <c r="A100" s="43"/>
      <c r="B100" s="43"/>
      <c r="C100" s="30"/>
      <c r="D100" s="30"/>
      <c r="E100" s="52"/>
      <c r="F100" s="52"/>
      <c r="G100" s="52"/>
      <c r="H100" s="52"/>
      <c r="I100" s="53"/>
      <c r="J100" s="46"/>
      <c r="K100" s="46"/>
      <c r="L100" s="46"/>
      <c r="M100" s="46"/>
      <c r="N100" s="46"/>
      <c r="O100" s="46"/>
      <c r="P100" s="46"/>
      <c r="Q100" s="46"/>
      <c r="R100" s="46"/>
      <c r="S100" s="46"/>
      <c r="T100" s="46"/>
      <c r="U100" s="46"/>
      <c r="V100" s="46"/>
      <c r="W100" s="46"/>
    </row>
    <row r="101">
      <c r="A101" s="43"/>
      <c r="B101" s="43"/>
      <c r="C101" s="30"/>
      <c r="D101" s="30"/>
      <c r="E101" s="52"/>
      <c r="F101" s="52"/>
      <c r="G101" s="52"/>
      <c r="H101" s="52"/>
      <c r="I101" s="53"/>
      <c r="J101" s="46"/>
      <c r="K101" s="46"/>
      <c r="L101" s="46"/>
      <c r="M101" s="46"/>
      <c r="N101" s="46"/>
      <c r="O101" s="46"/>
      <c r="P101" s="46"/>
      <c r="Q101" s="46"/>
      <c r="R101" s="46"/>
      <c r="S101" s="46"/>
      <c r="T101" s="46"/>
      <c r="U101" s="46"/>
      <c r="V101" s="46"/>
      <c r="W101" s="46"/>
    </row>
    <row r="102">
      <c r="A102" s="43"/>
      <c r="B102" s="43"/>
      <c r="C102" s="30"/>
      <c r="D102" s="30"/>
      <c r="E102" s="52"/>
      <c r="F102" s="52"/>
      <c r="G102" s="52"/>
      <c r="H102" s="52"/>
      <c r="I102" s="53"/>
      <c r="J102" s="46"/>
      <c r="K102" s="46"/>
      <c r="L102" s="46"/>
      <c r="M102" s="46"/>
      <c r="N102" s="46"/>
      <c r="O102" s="46"/>
      <c r="P102" s="46"/>
      <c r="Q102" s="46"/>
      <c r="R102" s="46"/>
      <c r="S102" s="46"/>
      <c r="T102" s="46"/>
      <c r="U102" s="46"/>
      <c r="V102" s="46"/>
      <c r="W102" s="46"/>
    </row>
    <row r="103">
      <c r="A103" s="43"/>
      <c r="B103" s="43"/>
      <c r="C103" s="30"/>
      <c r="D103" s="30"/>
      <c r="E103" s="52"/>
      <c r="F103" s="52"/>
      <c r="G103" s="52"/>
      <c r="H103" s="52"/>
      <c r="I103" s="53"/>
      <c r="J103" s="46"/>
      <c r="K103" s="46"/>
      <c r="L103" s="46"/>
      <c r="M103" s="46"/>
      <c r="N103" s="46"/>
      <c r="O103" s="46"/>
      <c r="P103" s="46"/>
      <c r="Q103" s="46"/>
      <c r="R103" s="46"/>
      <c r="S103" s="46"/>
      <c r="T103" s="46"/>
      <c r="U103" s="46"/>
      <c r="V103" s="46"/>
      <c r="W103" s="46"/>
    </row>
    <row r="104">
      <c r="A104" s="43"/>
      <c r="B104" s="43"/>
      <c r="C104" s="30"/>
      <c r="D104" s="30"/>
      <c r="E104" s="52"/>
      <c r="F104" s="52"/>
      <c r="G104" s="52"/>
      <c r="H104" s="52"/>
      <c r="I104" s="53"/>
      <c r="J104" s="46"/>
      <c r="K104" s="46"/>
      <c r="L104" s="46"/>
      <c r="M104" s="46"/>
      <c r="N104" s="46"/>
      <c r="O104" s="46"/>
      <c r="P104" s="46"/>
      <c r="Q104" s="46"/>
      <c r="R104" s="46"/>
      <c r="S104" s="46"/>
      <c r="T104" s="46"/>
      <c r="U104" s="46"/>
      <c r="V104" s="46"/>
      <c r="W104" s="46"/>
    </row>
    <row r="105">
      <c r="A105" s="43"/>
      <c r="B105" s="43"/>
      <c r="C105" s="30"/>
      <c r="D105" s="30"/>
      <c r="E105" s="52"/>
      <c r="F105" s="52"/>
      <c r="G105" s="52"/>
      <c r="H105" s="52"/>
      <c r="I105" s="53"/>
      <c r="J105" s="46"/>
      <c r="K105" s="46"/>
      <c r="L105" s="46"/>
      <c r="M105" s="46"/>
      <c r="N105" s="46"/>
      <c r="O105" s="46"/>
      <c r="P105" s="46"/>
      <c r="Q105" s="46"/>
      <c r="R105" s="46"/>
      <c r="S105" s="46"/>
      <c r="T105" s="46"/>
      <c r="U105" s="46"/>
      <c r="V105" s="46"/>
      <c r="W105" s="46"/>
    </row>
    <row r="106">
      <c r="A106" s="43"/>
      <c r="B106" s="43"/>
      <c r="C106" s="30"/>
      <c r="D106" s="30"/>
      <c r="E106" s="52"/>
      <c r="F106" s="52"/>
      <c r="G106" s="52"/>
      <c r="H106" s="52"/>
      <c r="I106" s="53"/>
      <c r="J106" s="46"/>
      <c r="K106" s="46"/>
      <c r="L106" s="46"/>
      <c r="M106" s="46"/>
      <c r="N106" s="46"/>
      <c r="O106" s="46"/>
      <c r="P106" s="46"/>
      <c r="Q106" s="46"/>
      <c r="R106" s="46"/>
      <c r="S106" s="46"/>
      <c r="T106" s="46"/>
      <c r="U106" s="46"/>
      <c r="V106" s="46"/>
      <c r="W106" s="46"/>
    </row>
    <row r="107">
      <c r="A107" s="43"/>
      <c r="B107" s="43"/>
      <c r="C107" s="30"/>
      <c r="D107" s="30"/>
      <c r="E107" s="52"/>
      <c r="F107" s="52"/>
      <c r="G107" s="52"/>
      <c r="H107" s="52"/>
      <c r="I107" s="53"/>
      <c r="J107" s="46"/>
      <c r="K107" s="46"/>
      <c r="L107" s="46"/>
      <c r="M107" s="46"/>
      <c r="N107" s="46"/>
      <c r="O107" s="46"/>
      <c r="P107" s="46"/>
      <c r="Q107" s="46"/>
      <c r="R107" s="46"/>
      <c r="S107" s="46"/>
      <c r="T107" s="46"/>
      <c r="U107" s="46"/>
      <c r="V107" s="46"/>
      <c r="W107" s="46"/>
    </row>
    <row r="108">
      <c r="A108" s="43"/>
      <c r="B108" s="43"/>
      <c r="C108" s="30"/>
      <c r="D108" s="30"/>
      <c r="E108" s="52"/>
      <c r="F108" s="52"/>
      <c r="G108" s="52"/>
      <c r="H108" s="52"/>
      <c r="I108" s="53"/>
      <c r="J108" s="46"/>
      <c r="K108" s="46"/>
      <c r="L108" s="46"/>
      <c r="M108" s="46"/>
      <c r="N108" s="46"/>
      <c r="O108" s="46"/>
      <c r="P108" s="46"/>
      <c r="Q108" s="46"/>
      <c r="R108" s="46"/>
      <c r="S108" s="46"/>
      <c r="T108" s="46"/>
      <c r="U108" s="46"/>
      <c r="V108" s="46"/>
      <c r="W108" s="46"/>
    </row>
    <row r="109">
      <c r="A109" s="43"/>
      <c r="B109" s="43"/>
      <c r="C109" s="30"/>
      <c r="D109" s="30"/>
      <c r="E109" s="52"/>
      <c r="F109" s="52"/>
      <c r="G109" s="52"/>
      <c r="H109" s="52"/>
      <c r="I109" s="53"/>
      <c r="J109" s="46"/>
      <c r="K109" s="46"/>
      <c r="L109" s="46"/>
      <c r="M109" s="46"/>
      <c r="N109" s="46"/>
      <c r="O109" s="46"/>
      <c r="P109" s="46"/>
      <c r="Q109" s="46"/>
      <c r="R109" s="46"/>
      <c r="S109" s="46"/>
      <c r="T109" s="46"/>
      <c r="U109" s="46"/>
      <c r="V109" s="46"/>
      <c r="W109" s="46"/>
    </row>
    <row r="110">
      <c r="A110" s="43"/>
      <c r="B110" s="43"/>
      <c r="C110" s="30"/>
      <c r="D110" s="30"/>
      <c r="E110" s="52"/>
      <c r="F110" s="52"/>
      <c r="G110" s="52"/>
      <c r="H110" s="52"/>
      <c r="I110" s="53"/>
      <c r="J110" s="46"/>
      <c r="K110" s="46"/>
      <c r="L110" s="46"/>
      <c r="M110" s="46"/>
      <c r="N110" s="46"/>
      <c r="O110" s="46"/>
      <c r="P110" s="46"/>
      <c r="Q110" s="46"/>
      <c r="R110" s="46"/>
      <c r="S110" s="46"/>
      <c r="T110" s="46"/>
      <c r="U110" s="46"/>
      <c r="V110" s="46"/>
      <c r="W110" s="46"/>
    </row>
    <row r="111">
      <c r="A111" s="43"/>
      <c r="B111" s="43"/>
      <c r="C111" s="30"/>
      <c r="D111" s="30"/>
      <c r="E111" s="52"/>
      <c r="F111" s="52"/>
      <c r="G111" s="52"/>
      <c r="H111" s="52"/>
      <c r="I111" s="53"/>
      <c r="J111" s="46"/>
      <c r="K111" s="46"/>
      <c r="L111" s="46"/>
      <c r="M111" s="46"/>
      <c r="N111" s="46"/>
      <c r="O111" s="46"/>
      <c r="P111" s="46"/>
      <c r="Q111" s="46"/>
      <c r="R111" s="46"/>
      <c r="S111" s="46"/>
      <c r="T111" s="46"/>
      <c r="U111" s="46"/>
      <c r="V111" s="46"/>
      <c r="W111" s="46"/>
    </row>
    <row r="112">
      <c r="A112" s="43"/>
      <c r="B112" s="43"/>
      <c r="C112" s="30"/>
      <c r="D112" s="30"/>
      <c r="E112" s="52"/>
      <c r="F112" s="52"/>
      <c r="G112" s="52"/>
      <c r="H112" s="52"/>
      <c r="I112" s="53"/>
      <c r="J112" s="46"/>
      <c r="K112" s="46"/>
      <c r="L112" s="46"/>
      <c r="M112" s="46"/>
      <c r="N112" s="46"/>
      <c r="O112" s="46"/>
      <c r="P112" s="46"/>
      <c r="Q112" s="46"/>
      <c r="R112" s="46"/>
      <c r="S112" s="46"/>
      <c r="T112" s="46"/>
      <c r="U112" s="46"/>
      <c r="V112" s="46"/>
      <c r="W112" s="46"/>
    </row>
    <row r="113">
      <c r="A113" s="54"/>
      <c r="B113" s="43"/>
      <c r="C113" s="30"/>
      <c r="D113" s="30"/>
      <c r="E113" s="52"/>
      <c r="F113" s="52"/>
      <c r="G113" s="52"/>
      <c r="H113" s="52"/>
      <c r="I113" s="53"/>
      <c r="J113" s="46"/>
      <c r="K113" s="46"/>
      <c r="L113" s="46"/>
      <c r="M113" s="46"/>
      <c r="N113" s="46"/>
      <c r="O113" s="46"/>
      <c r="P113" s="46"/>
      <c r="Q113" s="46"/>
      <c r="R113" s="46"/>
      <c r="S113" s="46"/>
      <c r="T113" s="46"/>
      <c r="U113" s="46"/>
      <c r="V113" s="46"/>
      <c r="W113" s="46"/>
    </row>
    <row r="114">
      <c r="A114" s="43"/>
      <c r="B114" s="43"/>
      <c r="C114" s="30"/>
      <c r="D114" s="30"/>
      <c r="E114" s="52"/>
      <c r="F114" s="52"/>
      <c r="G114" s="52"/>
      <c r="H114" s="52"/>
      <c r="I114" s="53"/>
      <c r="J114" s="46"/>
      <c r="K114" s="46"/>
      <c r="L114" s="46"/>
      <c r="M114" s="46"/>
      <c r="N114" s="46"/>
      <c r="O114" s="46"/>
      <c r="P114" s="46"/>
      <c r="Q114" s="46"/>
      <c r="R114" s="46"/>
      <c r="S114" s="46"/>
      <c r="T114" s="46"/>
      <c r="U114" s="46"/>
      <c r="V114" s="46"/>
      <c r="W114" s="46"/>
    </row>
    <row r="115">
      <c r="A115" s="43"/>
      <c r="B115" s="43"/>
      <c r="C115" s="30"/>
      <c r="D115" s="30"/>
      <c r="E115" s="52"/>
      <c r="F115" s="52"/>
      <c r="G115" s="52"/>
      <c r="H115" s="52"/>
      <c r="I115" s="53"/>
      <c r="J115" s="46"/>
      <c r="K115" s="46"/>
      <c r="L115" s="46"/>
      <c r="M115" s="46"/>
      <c r="N115" s="46"/>
      <c r="O115" s="46"/>
      <c r="P115" s="46"/>
      <c r="Q115" s="46"/>
      <c r="R115" s="46"/>
      <c r="S115" s="46"/>
      <c r="T115" s="46"/>
      <c r="U115" s="46"/>
      <c r="V115" s="46"/>
      <c r="W115" s="46"/>
    </row>
    <row r="116">
      <c r="A116" s="43"/>
      <c r="B116" s="43"/>
      <c r="C116" s="30"/>
      <c r="D116" s="30"/>
      <c r="E116" s="52"/>
      <c r="F116" s="52"/>
      <c r="G116" s="52"/>
      <c r="H116" s="52"/>
      <c r="I116" s="53"/>
      <c r="J116" s="46"/>
      <c r="K116" s="46"/>
      <c r="L116" s="46"/>
      <c r="M116" s="46"/>
      <c r="N116" s="46"/>
      <c r="O116" s="46"/>
      <c r="P116" s="46"/>
      <c r="Q116" s="46"/>
      <c r="R116" s="46"/>
      <c r="S116" s="46"/>
      <c r="T116" s="46"/>
      <c r="U116" s="46"/>
      <c r="V116" s="46"/>
      <c r="W116" s="46"/>
    </row>
    <row r="117">
      <c r="A117" s="43"/>
      <c r="B117" s="43"/>
      <c r="C117" s="30"/>
      <c r="D117" s="30"/>
      <c r="E117" s="52"/>
      <c r="F117" s="52"/>
      <c r="G117" s="52"/>
      <c r="H117" s="52"/>
      <c r="I117" s="53"/>
      <c r="J117" s="46"/>
      <c r="K117" s="46"/>
      <c r="L117" s="46"/>
      <c r="M117" s="46"/>
      <c r="N117" s="46"/>
      <c r="O117" s="46"/>
      <c r="P117" s="46"/>
      <c r="Q117" s="46"/>
      <c r="R117" s="46"/>
      <c r="S117" s="46"/>
      <c r="T117" s="46"/>
      <c r="U117" s="46"/>
      <c r="V117" s="46"/>
      <c r="W117" s="46"/>
    </row>
    <row r="118">
      <c r="A118" s="43"/>
      <c r="B118" s="43"/>
      <c r="C118" s="30"/>
      <c r="D118" s="30"/>
      <c r="E118" s="52"/>
      <c r="F118" s="52"/>
      <c r="G118" s="52"/>
      <c r="H118" s="52"/>
      <c r="I118" s="53"/>
      <c r="J118" s="46"/>
      <c r="K118" s="46"/>
      <c r="L118" s="46"/>
      <c r="M118" s="46"/>
      <c r="N118" s="46"/>
      <c r="O118" s="46"/>
      <c r="P118" s="46"/>
      <c r="Q118" s="46"/>
      <c r="R118" s="46"/>
      <c r="S118" s="46"/>
      <c r="T118" s="46"/>
      <c r="U118" s="46"/>
      <c r="V118" s="46"/>
      <c r="W118" s="46"/>
    </row>
    <row r="119">
      <c r="A119" s="43"/>
      <c r="B119" s="43"/>
      <c r="C119" s="30"/>
      <c r="D119" s="30"/>
      <c r="E119" s="52"/>
      <c r="F119" s="52"/>
      <c r="G119" s="52"/>
      <c r="H119" s="52"/>
      <c r="I119" s="53"/>
      <c r="J119" s="46"/>
      <c r="K119" s="46"/>
      <c r="L119" s="46"/>
      <c r="M119" s="46"/>
      <c r="N119" s="46"/>
      <c r="O119" s="46"/>
      <c r="P119" s="46"/>
      <c r="Q119" s="46"/>
      <c r="R119" s="46"/>
      <c r="S119" s="46"/>
      <c r="T119" s="46"/>
      <c r="U119" s="46"/>
      <c r="V119" s="46"/>
      <c r="W119" s="46"/>
    </row>
    <row r="120">
      <c r="A120" s="43"/>
      <c r="B120" s="43"/>
      <c r="C120" s="30"/>
      <c r="D120" s="30"/>
      <c r="E120" s="52"/>
      <c r="F120" s="52"/>
      <c r="G120" s="52"/>
      <c r="H120" s="52"/>
      <c r="I120" s="53"/>
      <c r="J120" s="46"/>
      <c r="K120" s="46"/>
      <c r="L120" s="46"/>
      <c r="M120" s="46"/>
      <c r="N120" s="46"/>
      <c r="O120" s="46"/>
      <c r="P120" s="46"/>
      <c r="Q120" s="46"/>
      <c r="R120" s="46"/>
      <c r="S120" s="46"/>
      <c r="T120" s="46"/>
      <c r="U120" s="46"/>
      <c r="V120" s="46"/>
      <c r="W120" s="46"/>
    </row>
    <row r="121">
      <c r="A121" s="43"/>
      <c r="B121" s="43"/>
      <c r="C121" s="30"/>
      <c r="D121" s="30"/>
      <c r="E121" s="52"/>
      <c r="F121" s="52"/>
      <c r="G121" s="52"/>
      <c r="H121" s="52"/>
      <c r="I121" s="53"/>
      <c r="J121" s="46"/>
      <c r="K121" s="46"/>
      <c r="L121" s="46"/>
      <c r="M121" s="46"/>
      <c r="N121" s="46"/>
      <c r="O121" s="46"/>
      <c r="P121" s="46"/>
      <c r="Q121" s="46"/>
      <c r="R121" s="46"/>
      <c r="S121" s="46"/>
      <c r="T121" s="46"/>
      <c r="U121" s="46"/>
      <c r="V121" s="46"/>
      <c r="W121" s="46"/>
    </row>
    <row r="122">
      <c r="A122" s="44"/>
      <c r="B122" s="44"/>
      <c r="C122" s="30"/>
      <c r="D122" s="30"/>
      <c r="E122" s="55"/>
      <c r="F122" s="55"/>
      <c r="G122" s="55"/>
      <c r="H122" s="55"/>
      <c r="I122" s="56"/>
      <c r="J122" s="46"/>
      <c r="K122" s="46"/>
      <c r="L122" s="46"/>
      <c r="M122" s="46"/>
      <c r="N122" s="46"/>
      <c r="O122" s="46"/>
      <c r="P122" s="46"/>
      <c r="Q122" s="46"/>
      <c r="R122" s="46"/>
      <c r="S122" s="46"/>
      <c r="T122" s="46"/>
      <c r="U122" s="46"/>
      <c r="V122" s="46"/>
      <c r="W122" s="46"/>
    </row>
    <row r="123">
      <c r="A123" s="44"/>
      <c r="B123" s="44"/>
      <c r="C123" s="30"/>
      <c r="D123" s="30"/>
      <c r="E123" s="55"/>
      <c r="F123" s="55"/>
      <c r="G123" s="55"/>
      <c r="H123" s="55"/>
      <c r="I123" s="56"/>
      <c r="J123" s="46"/>
      <c r="K123" s="46"/>
      <c r="L123" s="46"/>
      <c r="M123" s="46"/>
      <c r="N123" s="46"/>
      <c r="O123" s="46"/>
      <c r="P123" s="46"/>
      <c r="Q123" s="46"/>
      <c r="R123" s="46"/>
      <c r="S123" s="46"/>
      <c r="T123" s="46"/>
      <c r="U123" s="46"/>
      <c r="V123" s="46"/>
      <c r="W123" s="46"/>
    </row>
    <row r="124">
      <c r="A124" s="44"/>
      <c r="B124" s="44"/>
      <c r="C124" s="30"/>
      <c r="D124" s="30"/>
      <c r="E124" s="55"/>
      <c r="F124" s="55"/>
      <c r="G124" s="55"/>
      <c r="H124" s="55"/>
      <c r="I124" s="56"/>
      <c r="J124" s="46"/>
      <c r="K124" s="46"/>
      <c r="L124" s="46"/>
      <c r="M124" s="46"/>
      <c r="N124" s="46"/>
      <c r="O124" s="46"/>
      <c r="P124" s="46"/>
      <c r="Q124" s="46"/>
      <c r="R124" s="46"/>
      <c r="S124" s="46"/>
      <c r="T124" s="46"/>
      <c r="U124" s="46"/>
      <c r="V124" s="46"/>
      <c r="W124" s="46"/>
    </row>
    <row r="125">
      <c r="A125" s="44"/>
      <c r="B125" s="44"/>
      <c r="C125" s="30"/>
      <c r="D125" s="30"/>
      <c r="E125" s="55"/>
      <c r="F125" s="55"/>
      <c r="G125" s="55"/>
      <c r="H125" s="55"/>
      <c r="I125" s="56"/>
      <c r="J125" s="46"/>
      <c r="K125" s="46"/>
      <c r="L125" s="46"/>
      <c r="M125" s="46"/>
      <c r="N125" s="46"/>
      <c r="O125" s="46"/>
      <c r="P125" s="46"/>
      <c r="Q125" s="46"/>
      <c r="R125" s="46"/>
      <c r="S125" s="46"/>
      <c r="T125" s="46"/>
      <c r="U125" s="46"/>
      <c r="V125" s="46"/>
      <c r="W125" s="46"/>
    </row>
    <row r="126">
      <c r="A126" s="44"/>
      <c r="B126" s="44"/>
      <c r="C126" s="30"/>
      <c r="D126" s="30"/>
      <c r="E126" s="55"/>
      <c r="F126" s="55"/>
      <c r="G126" s="55"/>
      <c r="H126" s="55"/>
      <c r="I126" s="56"/>
      <c r="J126" s="46"/>
      <c r="K126" s="46"/>
      <c r="L126" s="46"/>
      <c r="M126" s="46"/>
      <c r="N126" s="46"/>
      <c r="O126" s="46"/>
      <c r="P126" s="46"/>
      <c r="Q126" s="46"/>
      <c r="R126" s="46"/>
      <c r="S126" s="46"/>
      <c r="T126" s="46"/>
      <c r="U126" s="46"/>
      <c r="V126" s="46"/>
      <c r="W126" s="46"/>
    </row>
    <row r="127">
      <c r="A127" s="44"/>
      <c r="B127" s="44"/>
      <c r="C127" s="30"/>
      <c r="D127" s="30"/>
      <c r="E127" s="55"/>
      <c r="F127" s="55"/>
      <c r="G127" s="55"/>
      <c r="H127" s="55"/>
      <c r="I127" s="56"/>
      <c r="J127" s="46"/>
      <c r="K127" s="46"/>
      <c r="L127" s="46"/>
      <c r="M127" s="46"/>
      <c r="N127" s="46"/>
      <c r="O127" s="46"/>
      <c r="P127" s="46"/>
      <c r="Q127" s="46"/>
      <c r="R127" s="46"/>
      <c r="S127" s="46"/>
      <c r="T127" s="46"/>
      <c r="U127" s="46"/>
      <c r="V127" s="46"/>
      <c r="W127" s="46"/>
    </row>
    <row r="128">
      <c r="A128" s="44"/>
      <c r="B128" s="44"/>
      <c r="C128" s="30"/>
      <c r="D128" s="30"/>
      <c r="E128" s="55"/>
      <c r="F128" s="55"/>
      <c r="G128" s="55"/>
      <c r="H128" s="55"/>
      <c r="I128" s="56"/>
      <c r="J128" s="46"/>
      <c r="K128" s="46"/>
      <c r="L128" s="46"/>
      <c r="M128" s="46"/>
      <c r="N128" s="46"/>
      <c r="O128" s="46"/>
      <c r="P128" s="46"/>
      <c r="Q128" s="46"/>
      <c r="R128" s="46"/>
      <c r="S128" s="46"/>
      <c r="T128" s="46"/>
      <c r="U128" s="46"/>
      <c r="V128" s="46"/>
      <c r="W128" s="46"/>
    </row>
    <row r="129">
      <c r="A129" s="44"/>
      <c r="B129" s="44"/>
      <c r="C129" s="30"/>
      <c r="D129" s="30"/>
      <c r="E129" s="55"/>
      <c r="F129" s="55"/>
      <c r="G129" s="55"/>
      <c r="H129" s="55"/>
      <c r="I129" s="56"/>
      <c r="J129" s="46"/>
      <c r="K129" s="46"/>
      <c r="L129" s="46"/>
      <c r="M129" s="46"/>
      <c r="N129" s="46"/>
      <c r="O129" s="46"/>
      <c r="P129" s="46"/>
      <c r="Q129" s="46"/>
      <c r="R129" s="46"/>
      <c r="S129" s="46"/>
      <c r="T129" s="46"/>
      <c r="U129" s="46"/>
      <c r="V129" s="46"/>
      <c r="W129" s="46"/>
    </row>
    <row r="130">
      <c r="A130" s="44"/>
      <c r="B130" s="44"/>
      <c r="C130" s="30"/>
      <c r="D130" s="30"/>
      <c r="E130" s="55"/>
      <c r="F130" s="55"/>
      <c r="G130" s="55"/>
      <c r="H130" s="55"/>
      <c r="I130" s="56"/>
      <c r="J130" s="46"/>
      <c r="K130" s="46"/>
      <c r="L130" s="46"/>
      <c r="M130" s="46"/>
      <c r="N130" s="46"/>
      <c r="O130" s="46"/>
      <c r="P130" s="46"/>
      <c r="Q130" s="46"/>
      <c r="R130" s="46"/>
      <c r="S130" s="46"/>
      <c r="T130" s="46"/>
      <c r="U130" s="46"/>
      <c r="V130" s="46"/>
      <c r="W130" s="46"/>
    </row>
    <row r="131">
      <c r="A131" s="44"/>
      <c r="B131" s="44"/>
      <c r="C131" s="30"/>
      <c r="D131" s="30"/>
      <c r="E131" s="55"/>
      <c r="F131" s="55"/>
      <c r="G131" s="55"/>
      <c r="H131" s="55"/>
      <c r="I131" s="56"/>
      <c r="J131" s="46"/>
      <c r="K131" s="46"/>
      <c r="L131" s="46"/>
      <c r="M131" s="46"/>
      <c r="N131" s="46"/>
      <c r="O131" s="46"/>
      <c r="P131" s="46"/>
      <c r="Q131" s="46"/>
      <c r="R131" s="46"/>
      <c r="S131" s="46"/>
      <c r="T131" s="46"/>
      <c r="U131" s="46"/>
      <c r="V131" s="46"/>
      <c r="W131" s="46"/>
    </row>
    <row r="132">
      <c r="A132" s="44"/>
      <c r="B132" s="44"/>
      <c r="C132" s="30"/>
      <c r="D132" s="30"/>
      <c r="E132" s="55"/>
      <c r="F132" s="55"/>
      <c r="G132" s="55"/>
      <c r="H132" s="55"/>
      <c r="I132" s="56"/>
      <c r="J132" s="46"/>
      <c r="K132" s="46"/>
      <c r="L132" s="46"/>
      <c r="M132" s="46"/>
      <c r="N132" s="46"/>
      <c r="O132" s="46"/>
      <c r="P132" s="46"/>
      <c r="Q132" s="46"/>
      <c r="R132" s="46"/>
      <c r="S132" s="46"/>
      <c r="T132" s="46"/>
      <c r="U132" s="46"/>
      <c r="V132" s="46"/>
      <c r="W132" s="46"/>
    </row>
    <row r="133">
      <c r="A133" s="44"/>
      <c r="B133" s="44"/>
      <c r="C133" s="30"/>
      <c r="D133" s="30"/>
      <c r="E133" s="55"/>
      <c r="F133" s="55"/>
      <c r="G133" s="55"/>
      <c r="H133" s="55"/>
      <c r="I133" s="56"/>
      <c r="J133" s="46"/>
      <c r="K133" s="46"/>
      <c r="L133" s="46"/>
      <c r="M133" s="46"/>
      <c r="N133" s="46"/>
      <c r="O133" s="46"/>
      <c r="P133" s="46"/>
      <c r="Q133" s="46"/>
      <c r="R133" s="46"/>
      <c r="S133" s="46"/>
      <c r="T133" s="46"/>
      <c r="U133" s="46"/>
      <c r="V133" s="46"/>
      <c r="W133" s="46"/>
    </row>
    <row r="134">
      <c r="A134" s="44"/>
      <c r="B134" s="44"/>
      <c r="C134" s="30"/>
      <c r="D134" s="30"/>
      <c r="E134" s="55"/>
      <c r="F134" s="55"/>
      <c r="G134" s="55"/>
      <c r="H134" s="55"/>
      <c r="I134" s="56"/>
      <c r="J134" s="46"/>
      <c r="K134" s="46"/>
      <c r="L134" s="46"/>
      <c r="M134" s="46"/>
      <c r="N134" s="46"/>
      <c r="O134" s="46"/>
      <c r="P134" s="46"/>
      <c r="Q134" s="46"/>
      <c r="R134" s="46"/>
      <c r="S134" s="46"/>
      <c r="T134" s="46"/>
      <c r="U134" s="46"/>
      <c r="V134" s="46"/>
      <c r="W134" s="46"/>
    </row>
    <row r="135">
      <c r="A135" s="44"/>
      <c r="B135" s="44"/>
      <c r="C135" s="30"/>
      <c r="D135" s="30"/>
      <c r="E135" s="55"/>
      <c r="F135" s="55"/>
      <c r="G135" s="55"/>
      <c r="H135" s="55"/>
      <c r="I135" s="56"/>
      <c r="J135" s="46"/>
      <c r="K135" s="46"/>
      <c r="L135" s="46"/>
      <c r="M135" s="46"/>
      <c r="N135" s="46"/>
      <c r="O135" s="46"/>
      <c r="P135" s="46"/>
      <c r="Q135" s="46"/>
      <c r="R135" s="46"/>
      <c r="S135" s="46"/>
      <c r="T135" s="46"/>
      <c r="U135" s="46"/>
      <c r="V135" s="46"/>
      <c r="W135" s="46"/>
    </row>
    <row r="136">
      <c r="A136" s="44"/>
      <c r="B136" s="44"/>
      <c r="C136" s="30"/>
      <c r="D136" s="30"/>
      <c r="E136" s="55"/>
      <c r="F136" s="55"/>
      <c r="G136" s="55"/>
      <c r="H136" s="55"/>
      <c r="I136" s="56"/>
      <c r="J136" s="46"/>
      <c r="K136" s="46"/>
      <c r="L136" s="46"/>
      <c r="M136" s="46"/>
      <c r="N136" s="46"/>
      <c r="O136" s="46"/>
      <c r="P136" s="46"/>
      <c r="Q136" s="46"/>
      <c r="R136" s="46"/>
      <c r="S136" s="46"/>
      <c r="T136" s="46"/>
      <c r="U136" s="46"/>
      <c r="V136" s="46"/>
      <c r="W136" s="46"/>
    </row>
    <row r="137">
      <c r="A137" s="44"/>
      <c r="B137" s="44"/>
      <c r="C137" s="30"/>
      <c r="D137" s="30"/>
      <c r="E137" s="55"/>
      <c r="F137" s="55"/>
      <c r="G137" s="55"/>
      <c r="H137" s="55"/>
      <c r="I137" s="56"/>
      <c r="J137" s="46"/>
      <c r="K137" s="46"/>
      <c r="L137" s="46"/>
      <c r="M137" s="46"/>
      <c r="N137" s="46"/>
      <c r="O137" s="46"/>
      <c r="P137" s="46"/>
      <c r="Q137" s="46"/>
      <c r="R137" s="46"/>
      <c r="S137" s="46"/>
      <c r="T137" s="46"/>
      <c r="U137" s="46"/>
      <c r="V137" s="46"/>
      <c r="W137" s="46"/>
    </row>
    <row r="138">
      <c r="A138" s="44"/>
      <c r="B138" s="44"/>
      <c r="C138" s="30"/>
      <c r="D138" s="30"/>
      <c r="E138" s="55"/>
      <c r="F138" s="55"/>
      <c r="G138" s="55"/>
      <c r="H138" s="55"/>
      <c r="I138" s="56"/>
      <c r="J138" s="46"/>
      <c r="K138" s="46"/>
      <c r="L138" s="46"/>
      <c r="M138" s="46"/>
      <c r="N138" s="46"/>
      <c r="O138" s="46"/>
      <c r="P138" s="46"/>
      <c r="Q138" s="46"/>
      <c r="R138" s="46"/>
      <c r="S138" s="46"/>
      <c r="T138" s="46"/>
      <c r="U138" s="46"/>
      <c r="V138" s="46"/>
      <c r="W138" s="46"/>
    </row>
    <row r="139">
      <c r="A139" s="44"/>
      <c r="B139" s="44"/>
      <c r="C139" s="30"/>
      <c r="D139" s="30"/>
      <c r="E139" s="55"/>
      <c r="F139" s="55"/>
      <c r="G139" s="55"/>
      <c r="H139" s="55"/>
      <c r="I139" s="56"/>
      <c r="J139" s="46"/>
      <c r="K139" s="46"/>
      <c r="L139" s="46"/>
      <c r="M139" s="46"/>
      <c r="N139" s="46"/>
      <c r="O139" s="46"/>
      <c r="P139" s="46"/>
      <c r="Q139" s="46"/>
      <c r="R139" s="46"/>
      <c r="S139" s="46"/>
      <c r="T139" s="46"/>
      <c r="U139" s="46"/>
      <c r="V139" s="46"/>
      <c r="W139" s="46"/>
    </row>
    <row r="140">
      <c r="A140" s="44"/>
      <c r="B140" s="44"/>
      <c r="C140" s="30"/>
      <c r="D140" s="30"/>
      <c r="E140" s="55"/>
      <c r="F140" s="55"/>
      <c r="G140" s="55"/>
      <c r="H140" s="55"/>
      <c r="I140" s="56"/>
      <c r="J140" s="46"/>
      <c r="K140" s="46"/>
      <c r="L140" s="46"/>
      <c r="M140" s="46"/>
      <c r="N140" s="46"/>
      <c r="O140" s="46"/>
      <c r="P140" s="46"/>
      <c r="Q140" s="46"/>
      <c r="R140" s="46"/>
      <c r="S140" s="46"/>
      <c r="T140" s="46"/>
      <c r="U140" s="46"/>
      <c r="V140" s="46"/>
      <c r="W140" s="46"/>
    </row>
    <row r="141">
      <c r="A141" s="44"/>
      <c r="B141" s="44"/>
      <c r="C141" s="30"/>
      <c r="D141" s="30"/>
      <c r="E141" s="55"/>
      <c r="F141" s="55"/>
      <c r="G141" s="55"/>
      <c r="H141" s="55"/>
      <c r="I141" s="56"/>
      <c r="J141" s="46"/>
      <c r="K141" s="46"/>
      <c r="L141" s="46"/>
      <c r="M141" s="46"/>
      <c r="N141" s="46"/>
      <c r="O141" s="46"/>
      <c r="P141" s="46"/>
      <c r="Q141" s="46"/>
      <c r="R141" s="46"/>
      <c r="S141" s="46"/>
      <c r="T141" s="46"/>
      <c r="U141" s="46"/>
      <c r="V141" s="46"/>
      <c r="W141" s="46"/>
    </row>
    <row r="142">
      <c r="A142" s="44"/>
      <c r="B142" s="44"/>
      <c r="C142" s="30"/>
      <c r="D142" s="30"/>
      <c r="E142" s="55"/>
      <c r="F142" s="55"/>
      <c r="G142" s="55"/>
      <c r="H142" s="55"/>
      <c r="I142" s="56"/>
      <c r="J142" s="46"/>
      <c r="K142" s="46"/>
      <c r="L142" s="46"/>
      <c r="M142" s="46"/>
      <c r="N142" s="46"/>
      <c r="O142" s="46"/>
      <c r="P142" s="46"/>
      <c r="Q142" s="46"/>
      <c r="R142" s="46"/>
      <c r="S142" s="46"/>
      <c r="T142" s="46"/>
      <c r="U142" s="46"/>
      <c r="V142" s="46"/>
      <c r="W142" s="46"/>
    </row>
    <row r="143">
      <c r="A143" s="44"/>
      <c r="B143" s="44"/>
      <c r="C143" s="30"/>
      <c r="D143" s="30"/>
      <c r="E143" s="55"/>
      <c r="F143" s="55"/>
      <c r="G143" s="55"/>
      <c r="H143" s="55"/>
      <c r="I143" s="56"/>
      <c r="J143" s="46"/>
      <c r="K143" s="46"/>
      <c r="L143" s="46"/>
      <c r="M143" s="46"/>
      <c r="N143" s="46"/>
      <c r="O143" s="46"/>
      <c r="P143" s="46"/>
      <c r="Q143" s="46"/>
      <c r="R143" s="46"/>
      <c r="S143" s="46"/>
      <c r="T143" s="46"/>
      <c r="U143" s="46"/>
      <c r="V143" s="46"/>
      <c r="W143" s="46"/>
    </row>
    <row r="144">
      <c r="A144" s="44"/>
      <c r="B144" s="44"/>
      <c r="C144" s="30"/>
      <c r="D144" s="30"/>
      <c r="E144" s="55"/>
      <c r="F144" s="55"/>
      <c r="G144" s="55"/>
      <c r="H144" s="55"/>
      <c r="I144" s="56"/>
      <c r="J144" s="46"/>
      <c r="K144" s="46"/>
      <c r="L144" s="46"/>
      <c r="M144" s="46"/>
      <c r="N144" s="46"/>
      <c r="O144" s="46"/>
      <c r="P144" s="46"/>
      <c r="Q144" s="46"/>
      <c r="R144" s="46"/>
      <c r="S144" s="46"/>
      <c r="T144" s="46"/>
      <c r="U144" s="46"/>
      <c r="V144" s="46"/>
      <c r="W144" s="46"/>
    </row>
    <row r="145">
      <c r="A145" s="44"/>
      <c r="B145" s="44"/>
      <c r="C145" s="30"/>
      <c r="D145" s="30"/>
      <c r="E145" s="55"/>
      <c r="F145" s="55"/>
      <c r="G145" s="55"/>
      <c r="H145" s="55"/>
      <c r="I145" s="56"/>
      <c r="J145" s="46"/>
      <c r="K145" s="46"/>
      <c r="L145" s="46"/>
      <c r="M145" s="46"/>
      <c r="N145" s="46"/>
      <c r="O145" s="46"/>
      <c r="P145" s="46"/>
      <c r="Q145" s="46"/>
      <c r="R145" s="46"/>
      <c r="S145" s="46"/>
      <c r="T145" s="46"/>
      <c r="U145" s="46"/>
      <c r="V145" s="46"/>
      <c r="W145" s="46"/>
    </row>
    <row r="146">
      <c r="A146" s="44"/>
      <c r="B146" s="44"/>
      <c r="C146" s="30"/>
      <c r="D146" s="30"/>
      <c r="E146" s="55"/>
      <c r="F146" s="55"/>
      <c r="G146" s="55"/>
      <c r="H146" s="55"/>
      <c r="I146" s="56"/>
      <c r="J146" s="46"/>
      <c r="K146" s="46"/>
      <c r="L146" s="46"/>
      <c r="M146" s="46"/>
      <c r="N146" s="46"/>
      <c r="O146" s="46"/>
      <c r="P146" s="46"/>
      <c r="Q146" s="46"/>
      <c r="R146" s="46"/>
      <c r="S146" s="46"/>
      <c r="T146" s="46"/>
      <c r="U146" s="46"/>
      <c r="V146" s="46"/>
      <c r="W146" s="46"/>
    </row>
    <row r="147">
      <c r="A147" s="44"/>
      <c r="B147" s="44"/>
      <c r="C147" s="30"/>
      <c r="D147" s="30"/>
      <c r="E147" s="55"/>
      <c r="F147" s="55"/>
      <c r="G147" s="55"/>
      <c r="H147" s="55"/>
      <c r="I147" s="56"/>
      <c r="J147" s="46"/>
      <c r="K147" s="46"/>
      <c r="L147" s="46"/>
      <c r="M147" s="46"/>
      <c r="N147" s="46"/>
      <c r="O147" s="46"/>
      <c r="P147" s="46"/>
      <c r="Q147" s="46"/>
      <c r="R147" s="46"/>
      <c r="S147" s="46"/>
      <c r="T147" s="46"/>
      <c r="U147" s="46"/>
      <c r="V147" s="46"/>
      <c r="W147" s="46"/>
    </row>
    <row r="148">
      <c r="A148" s="44"/>
      <c r="B148" s="44"/>
      <c r="C148" s="30"/>
      <c r="D148" s="30"/>
      <c r="E148" s="55"/>
      <c r="F148" s="55"/>
      <c r="G148" s="55"/>
      <c r="H148" s="55"/>
      <c r="I148" s="56"/>
      <c r="J148" s="46"/>
      <c r="K148" s="46"/>
      <c r="L148" s="46"/>
      <c r="M148" s="46"/>
      <c r="N148" s="46"/>
      <c r="O148" s="46"/>
      <c r="P148" s="46"/>
      <c r="Q148" s="46"/>
      <c r="R148" s="46"/>
      <c r="S148" s="46"/>
      <c r="T148" s="46"/>
      <c r="U148" s="46"/>
      <c r="V148" s="46"/>
      <c r="W148" s="46"/>
    </row>
    <row r="149">
      <c r="A149" s="44"/>
      <c r="B149" s="44"/>
      <c r="C149" s="30"/>
      <c r="D149" s="30"/>
      <c r="E149" s="55"/>
      <c r="F149" s="55"/>
      <c r="G149" s="55"/>
      <c r="H149" s="55"/>
      <c r="I149" s="56"/>
      <c r="J149" s="46"/>
      <c r="K149" s="46"/>
      <c r="L149" s="46"/>
      <c r="M149" s="46"/>
      <c r="N149" s="46"/>
      <c r="O149" s="46"/>
      <c r="P149" s="46"/>
      <c r="Q149" s="46"/>
      <c r="R149" s="46"/>
      <c r="S149" s="46"/>
      <c r="T149" s="46"/>
      <c r="U149" s="46"/>
      <c r="V149" s="46"/>
      <c r="W149" s="46"/>
    </row>
    <row r="150">
      <c r="A150" s="44"/>
      <c r="B150" s="44"/>
      <c r="C150" s="30"/>
      <c r="D150" s="30"/>
      <c r="E150" s="55"/>
      <c r="F150" s="55"/>
      <c r="G150" s="55"/>
      <c r="H150" s="55"/>
      <c r="I150" s="56"/>
      <c r="J150" s="46"/>
      <c r="K150" s="46"/>
      <c r="L150" s="46"/>
      <c r="M150" s="46"/>
      <c r="N150" s="46"/>
      <c r="O150" s="46"/>
      <c r="P150" s="46"/>
      <c r="Q150" s="46"/>
      <c r="R150" s="46"/>
      <c r="S150" s="46"/>
      <c r="T150" s="46"/>
      <c r="U150" s="46"/>
      <c r="V150" s="46"/>
      <c r="W150" s="46"/>
    </row>
    <row r="151">
      <c r="A151" s="44"/>
      <c r="B151" s="44"/>
      <c r="C151" s="30"/>
      <c r="D151" s="30"/>
      <c r="E151" s="55"/>
      <c r="F151" s="55"/>
      <c r="G151" s="55"/>
      <c r="H151" s="55"/>
      <c r="I151" s="56"/>
      <c r="J151" s="46"/>
      <c r="K151" s="46"/>
      <c r="L151" s="46"/>
      <c r="M151" s="46"/>
      <c r="N151" s="46"/>
      <c r="O151" s="46"/>
      <c r="P151" s="46"/>
      <c r="Q151" s="46"/>
      <c r="R151" s="46"/>
      <c r="S151" s="46"/>
      <c r="T151" s="46"/>
      <c r="U151" s="46"/>
      <c r="V151" s="46"/>
      <c r="W151" s="46"/>
    </row>
    <row r="152">
      <c r="A152" s="44"/>
      <c r="B152" s="44"/>
      <c r="C152" s="30"/>
      <c r="D152" s="30"/>
      <c r="E152" s="55"/>
      <c r="F152" s="55"/>
      <c r="G152" s="55"/>
      <c r="H152" s="55"/>
      <c r="I152" s="56"/>
      <c r="J152" s="46"/>
      <c r="K152" s="46"/>
      <c r="L152" s="46"/>
      <c r="M152" s="46"/>
      <c r="N152" s="46"/>
      <c r="O152" s="46"/>
      <c r="P152" s="46"/>
      <c r="Q152" s="46"/>
      <c r="R152" s="46"/>
      <c r="S152" s="46"/>
      <c r="T152" s="46"/>
      <c r="U152" s="46"/>
      <c r="V152" s="46"/>
      <c r="W152" s="46"/>
    </row>
    <row r="153">
      <c r="A153" s="44"/>
      <c r="B153" s="44"/>
      <c r="C153" s="30"/>
      <c r="D153" s="30"/>
      <c r="E153" s="55"/>
      <c r="F153" s="55"/>
      <c r="G153" s="55"/>
      <c r="H153" s="55"/>
      <c r="I153" s="56"/>
      <c r="J153" s="46"/>
      <c r="K153" s="46"/>
      <c r="L153" s="46"/>
      <c r="M153" s="46"/>
      <c r="N153" s="46"/>
      <c r="O153" s="46"/>
      <c r="P153" s="46"/>
      <c r="Q153" s="46"/>
      <c r="R153" s="46"/>
      <c r="S153" s="46"/>
      <c r="T153" s="46"/>
      <c r="U153" s="46"/>
      <c r="V153" s="46"/>
      <c r="W153" s="46"/>
    </row>
    <row r="154">
      <c r="A154" s="44"/>
      <c r="B154" s="44"/>
      <c r="C154" s="30"/>
      <c r="D154" s="30"/>
      <c r="E154" s="55"/>
      <c r="F154" s="55"/>
      <c r="G154" s="55"/>
      <c r="H154" s="55"/>
      <c r="I154" s="56"/>
      <c r="J154" s="46"/>
      <c r="K154" s="46"/>
      <c r="L154" s="46"/>
      <c r="M154" s="46"/>
      <c r="N154" s="46"/>
      <c r="O154" s="46"/>
      <c r="P154" s="46"/>
      <c r="Q154" s="46"/>
      <c r="R154" s="46"/>
      <c r="S154" s="46"/>
      <c r="T154" s="46"/>
      <c r="U154" s="46"/>
      <c r="V154" s="46"/>
      <c r="W154" s="46"/>
    </row>
    <row r="155">
      <c r="A155" s="44"/>
      <c r="B155" s="44"/>
      <c r="C155" s="30"/>
      <c r="D155" s="30"/>
      <c r="E155" s="55"/>
      <c r="F155" s="55"/>
      <c r="G155" s="55"/>
      <c r="H155" s="55"/>
      <c r="I155" s="56"/>
      <c r="J155" s="46"/>
      <c r="K155" s="46"/>
      <c r="L155" s="46"/>
      <c r="M155" s="46"/>
      <c r="N155" s="46"/>
      <c r="O155" s="46"/>
      <c r="P155" s="46"/>
      <c r="Q155" s="46"/>
      <c r="R155" s="46"/>
      <c r="S155" s="46"/>
      <c r="T155" s="46"/>
      <c r="U155" s="46"/>
      <c r="V155" s="46"/>
      <c r="W155" s="46"/>
    </row>
    <row r="156">
      <c r="A156" s="44"/>
      <c r="B156" s="44"/>
      <c r="C156" s="30"/>
      <c r="D156" s="30"/>
      <c r="E156" s="55"/>
      <c r="F156" s="55"/>
      <c r="G156" s="55"/>
      <c r="H156" s="55"/>
      <c r="I156" s="56"/>
      <c r="J156" s="46"/>
      <c r="K156" s="46"/>
      <c r="L156" s="46"/>
      <c r="M156" s="46"/>
      <c r="N156" s="46"/>
      <c r="O156" s="46"/>
      <c r="P156" s="46"/>
      <c r="Q156" s="46"/>
      <c r="R156" s="46"/>
      <c r="S156" s="46"/>
      <c r="T156" s="46"/>
      <c r="U156" s="46"/>
      <c r="V156" s="46"/>
      <c r="W156" s="46"/>
    </row>
    <row r="157">
      <c r="A157" s="44"/>
      <c r="B157" s="44"/>
      <c r="C157" s="30"/>
      <c r="D157" s="30"/>
      <c r="E157" s="55"/>
      <c r="F157" s="55"/>
      <c r="G157" s="55"/>
      <c r="H157" s="55"/>
      <c r="I157" s="56"/>
      <c r="J157" s="46"/>
      <c r="K157" s="46"/>
      <c r="L157" s="46"/>
      <c r="M157" s="46"/>
      <c r="N157" s="46"/>
      <c r="O157" s="46"/>
      <c r="P157" s="46"/>
      <c r="Q157" s="46"/>
      <c r="R157" s="46"/>
      <c r="S157" s="46"/>
      <c r="T157" s="46"/>
      <c r="U157" s="46"/>
      <c r="V157" s="46"/>
      <c r="W157" s="46"/>
    </row>
    <row r="158">
      <c r="A158" s="44"/>
      <c r="B158" s="44"/>
      <c r="C158" s="30"/>
      <c r="D158" s="30"/>
      <c r="E158" s="55"/>
      <c r="F158" s="55"/>
      <c r="G158" s="55"/>
      <c r="H158" s="55"/>
      <c r="I158" s="56"/>
      <c r="J158" s="46"/>
      <c r="K158" s="46"/>
      <c r="L158" s="46"/>
      <c r="M158" s="46"/>
      <c r="N158" s="46"/>
      <c r="O158" s="46"/>
      <c r="P158" s="46"/>
      <c r="Q158" s="46"/>
      <c r="R158" s="46"/>
      <c r="S158" s="46"/>
      <c r="T158" s="46"/>
      <c r="U158" s="46"/>
      <c r="V158" s="46"/>
      <c r="W158" s="46"/>
    </row>
    <row r="159">
      <c r="A159" s="44"/>
      <c r="B159" s="44"/>
      <c r="C159" s="30"/>
      <c r="D159" s="30"/>
      <c r="E159" s="55"/>
      <c r="F159" s="55"/>
      <c r="G159" s="55"/>
      <c r="H159" s="55"/>
      <c r="I159" s="56"/>
      <c r="J159" s="46"/>
      <c r="K159" s="46"/>
      <c r="L159" s="46"/>
      <c r="M159" s="46"/>
      <c r="N159" s="46"/>
      <c r="O159" s="46"/>
      <c r="P159" s="46"/>
      <c r="Q159" s="46"/>
      <c r="R159" s="46"/>
      <c r="S159" s="46"/>
      <c r="T159" s="46"/>
      <c r="U159" s="46"/>
      <c r="V159" s="46"/>
      <c r="W159" s="46"/>
    </row>
    <row r="160">
      <c r="A160" s="44"/>
      <c r="B160" s="44"/>
      <c r="C160" s="30"/>
      <c r="D160" s="30"/>
      <c r="E160" s="55"/>
      <c r="F160" s="55"/>
      <c r="G160" s="55"/>
      <c r="H160" s="55"/>
      <c r="I160" s="56"/>
      <c r="J160" s="46"/>
      <c r="K160" s="46"/>
      <c r="L160" s="46"/>
      <c r="M160" s="46"/>
      <c r="N160" s="46"/>
      <c r="O160" s="46"/>
      <c r="P160" s="46"/>
      <c r="Q160" s="46"/>
      <c r="R160" s="46"/>
      <c r="S160" s="46"/>
      <c r="T160" s="46"/>
      <c r="U160" s="46"/>
      <c r="V160" s="46"/>
      <c r="W160" s="46"/>
    </row>
    <row r="161">
      <c r="A161" s="44"/>
      <c r="B161" s="44"/>
      <c r="C161" s="30"/>
      <c r="D161" s="30"/>
      <c r="E161" s="55"/>
      <c r="F161" s="55"/>
      <c r="G161" s="55"/>
      <c r="H161" s="55"/>
      <c r="I161" s="56"/>
      <c r="J161" s="46"/>
      <c r="K161" s="46"/>
      <c r="L161" s="46"/>
      <c r="M161" s="46"/>
      <c r="N161" s="46"/>
      <c r="O161" s="46"/>
      <c r="P161" s="46"/>
      <c r="Q161" s="46"/>
      <c r="R161" s="46"/>
      <c r="S161" s="46"/>
      <c r="T161" s="46"/>
      <c r="U161" s="46"/>
      <c r="V161" s="46"/>
      <c r="W161" s="46"/>
    </row>
    <row r="162">
      <c r="A162" s="44"/>
      <c r="B162" s="44"/>
      <c r="C162" s="30"/>
      <c r="D162" s="30"/>
      <c r="E162" s="55"/>
      <c r="F162" s="55"/>
      <c r="G162" s="55"/>
      <c r="H162" s="55"/>
      <c r="I162" s="56"/>
      <c r="J162" s="46"/>
      <c r="K162" s="46"/>
      <c r="L162" s="46"/>
      <c r="M162" s="46"/>
      <c r="N162" s="46"/>
      <c r="O162" s="46"/>
      <c r="P162" s="46"/>
      <c r="Q162" s="46"/>
      <c r="R162" s="46"/>
      <c r="S162" s="46"/>
      <c r="T162" s="46"/>
      <c r="U162" s="46"/>
      <c r="V162" s="46"/>
      <c r="W162" s="46"/>
    </row>
    <row r="163">
      <c r="A163" s="44"/>
      <c r="B163" s="44"/>
      <c r="C163" s="30"/>
      <c r="D163" s="30"/>
      <c r="E163" s="55"/>
      <c r="F163" s="55"/>
      <c r="G163" s="55"/>
      <c r="H163" s="55"/>
      <c r="I163" s="56"/>
      <c r="J163" s="46"/>
      <c r="K163" s="46"/>
      <c r="L163" s="46"/>
      <c r="M163" s="46"/>
      <c r="N163" s="46"/>
      <c r="O163" s="46"/>
      <c r="P163" s="46"/>
      <c r="Q163" s="46"/>
      <c r="R163" s="46"/>
      <c r="S163" s="46"/>
      <c r="T163" s="46"/>
      <c r="U163" s="46"/>
      <c r="V163" s="46"/>
      <c r="W163" s="46"/>
    </row>
    <row r="164">
      <c r="A164" s="44"/>
      <c r="B164" s="44"/>
      <c r="C164" s="30"/>
      <c r="D164" s="30"/>
      <c r="E164" s="55"/>
      <c r="F164" s="55"/>
      <c r="G164" s="55"/>
      <c r="H164" s="55"/>
      <c r="I164" s="56"/>
      <c r="J164" s="46"/>
      <c r="K164" s="46"/>
      <c r="L164" s="46"/>
      <c r="M164" s="46"/>
      <c r="N164" s="46"/>
      <c r="O164" s="46"/>
      <c r="P164" s="46"/>
      <c r="Q164" s="46"/>
      <c r="R164" s="46"/>
      <c r="S164" s="46"/>
      <c r="T164" s="46"/>
      <c r="U164" s="46"/>
      <c r="V164" s="46"/>
      <c r="W164" s="46"/>
    </row>
    <row r="165">
      <c r="A165" s="44"/>
      <c r="B165" s="44"/>
      <c r="C165" s="30"/>
      <c r="D165" s="30"/>
      <c r="E165" s="55"/>
      <c r="F165" s="55"/>
      <c r="G165" s="55"/>
      <c r="H165" s="55"/>
      <c r="I165" s="56"/>
      <c r="J165" s="46"/>
      <c r="K165" s="46"/>
      <c r="L165" s="46"/>
      <c r="M165" s="46"/>
      <c r="N165" s="46"/>
      <c r="O165" s="46"/>
      <c r="P165" s="46"/>
      <c r="Q165" s="46"/>
      <c r="R165" s="46"/>
      <c r="S165" s="46"/>
      <c r="T165" s="46"/>
      <c r="U165" s="46"/>
      <c r="V165" s="46"/>
      <c r="W165" s="46"/>
    </row>
    <row r="166">
      <c r="A166" s="44"/>
      <c r="B166" s="44"/>
      <c r="C166" s="30"/>
      <c r="D166" s="30"/>
      <c r="E166" s="55"/>
      <c r="F166" s="55"/>
      <c r="G166" s="55"/>
      <c r="H166" s="55"/>
      <c r="I166" s="56"/>
      <c r="J166" s="46"/>
      <c r="K166" s="46"/>
      <c r="L166" s="46"/>
      <c r="M166" s="46"/>
      <c r="N166" s="46"/>
      <c r="O166" s="46"/>
      <c r="P166" s="46"/>
      <c r="Q166" s="46"/>
      <c r="R166" s="46"/>
      <c r="S166" s="46"/>
      <c r="T166" s="46"/>
      <c r="U166" s="46"/>
      <c r="V166" s="46"/>
      <c r="W166" s="46"/>
    </row>
    <row r="167">
      <c r="A167" s="44"/>
      <c r="B167" s="44"/>
      <c r="C167" s="30"/>
      <c r="D167" s="30"/>
      <c r="E167" s="55"/>
      <c r="F167" s="55"/>
      <c r="G167" s="55"/>
      <c r="H167" s="55"/>
      <c r="I167" s="56"/>
      <c r="J167" s="46"/>
      <c r="K167" s="46"/>
      <c r="L167" s="46"/>
      <c r="M167" s="46"/>
      <c r="N167" s="46"/>
      <c r="O167" s="46"/>
      <c r="P167" s="46"/>
      <c r="Q167" s="46"/>
      <c r="R167" s="46"/>
      <c r="S167" s="46"/>
      <c r="T167" s="46"/>
      <c r="U167" s="46"/>
      <c r="V167" s="46"/>
      <c r="W167" s="46"/>
    </row>
    <row r="168">
      <c r="A168" s="44"/>
      <c r="B168" s="44"/>
      <c r="C168" s="30"/>
      <c r="D168" s="30"/>
      <c r="E168" s="55"/>
      <c r="F168" s="55"/>
      <c r="G168" s="55"/>
      <c r="H168" s="55"/>
      <c r="I168" s="56"/>
      <c r="J168" s="46"/>
      <c r="K168" s="46"/>
      <c r="L168" s="46"/>
      <c r="M168" s="46"/>
      <c r="N168" s="46"/>
      <c r="O168" s="46"/>
      <c r="P168" s="46"/>
      <c r="Q168" s="46"/>
      <c r="R168" s="46"/>
      <c r="S168" s="46"/>
      <c r="T168" s="46"/>
      <c r="U168" s="46"/>
      <c r="V168" s="46"/>
      <c r="W168" s="46"/>
    </row>
    <row r="169">
      <c r="A169" s="44"/>
      <c r="B169" s="44"/>
      <c r="C169" s="30"/>
      <c r="D169" s="30"/>
      <c r="E169" s="55"/>
      <c r="F169" s="55"/>
      <c r="G169" s="55"/>
      <c r="H169" s="55"/>
      <c r="I169" s="56"/>
      <c r="J169" s="46"/>
      <c r="K169" s="46"/>
      <c r="L169" s="46"/>
      <c r="M169" s="46"/>
      <c r="N169" s="46"/>
      <c r="O169" s="46"/>
      <c r="P169" s="46"/>
      <c r="Q169" s="46"/>
      <c r="R169" s="46"/>
      <c r="S169" s="46"/>
      <c r="T169" s="46"/>
      <c r="U169" s="46"/>
      <c r="V169" s="46"/>
      <c r="W169" s="46"/>
    </row>
    <row r="170">
      <c r="A170" s="44"/>
      <c r="B170" s="44"/>
      <c r="C170" s="30"/>
      <c r="D170" s="30"/>
      <c r="E170" s="55"/>
      <c r="F170" s="55"/>
      <c r="G170" s="55"/>
      <c r="H170" s="55"/>
      <c r="I170" s="56"/>
      <c r="J170" s="46"/>
      <c r="K170" s="46"/>
      <c r="L170" s="46"/>
      <c r="M170" s="46"/>
      <c r="N170" s="46"/>
      <c r="O170" s="46"/>
      <c r="P170" s="46"/>
      <c r="Q170" s="46"/>
      <c r="R170" s="46"/>
      <c r="S170" s="46"/>
      <c r="T170" s="46"/>
      <c r="U170" s="46"/>
      <c r="V170" s="46"/>
      <c r="W170" s="46"/>
    </row>
    <row r="171">
      <c r="A171" s="44"/>
      <c r="B171" s="44"/>
      <c r="C171" s="30"/>
      <c r="D171" s="30"/>
      <c r="E171" s="55"/>
      <c r="F171" s="55"/>
      <c r="G171" s="55"/>
      <c r="H171" s="55"/>
      <c r="I171" s="56"/>
      <c r="J171" s="46"/>
      <c r="K171" s="46"/>
      <c r="L171" s="46"/>
      <c r="M171" s="46"/>
      <c r="N171" s="46"/>
      <c r="O171" s="46"/>
      <c r="P171" s="46"/>
      <c r="Q171" s="46"/>
      <c r="R171" s="46"/>
      <c r="S171" s="46"/>
      <c r="T171" s="46"/>
      <c r="U171" s="46"/>
      <c r="V171" s="46"/>
      <c r="W171" s="46"/>
    </row>
    <row r="172">
      <c r="A172" s="44"/>
      <c r="B172" s="44"/>
      <c r="C172" s="30"/>
      <c r="D172" s="30"/>
      <c r="E172" s="55"/>
      <c r="F172" s="55"/>
      <c r="G172" s="55"/>
      <c r="H172" s="55"/>
      <c r="I172" s="56"/>
      <c r="J172" s="46"/>
      <c r="K172" s="46"/>
      <c r="L172" s="46"/>
      <c r="M172" s="46"/>
      <c r="N172" s="46"/>
      <c r="O172" s="46"/>
      <c r="P172" s="46"/>
      <c r="Q172" s="46"/>
      <c r="R172" s="46"/>
      <c r="S172" s="46"/>
      <c r="T172" s="46"/>
      <c r="U172" s="46"/>
      <c r="V172" s="46"/>
      <c r="W172" s="46"/>
    </row>
    <row r="173">
      <c r="A173" s="44"/>
      <c r="B173" s="44"/>
      <c r="C173" s="30"/>
      <c r="D173" s="30"/>
      <c r="E173" s="55"/>
      <c r="F173" s="55"/>
      <c r="G173" s="55"/>
      <c r="H173" s="55"/>
      <c r="I173" s="56"/>
      <c r="J173" s="46"/>
      <c r="K173" s="46"/>
      <c r="L173" s="46"/>
      <c r="M173" s="46"/>
      <c r="N173" s="46"/>
      <c r="O173" s="46"/>
      <c r="P173" s="46"/>
      <c r="Q173" s="46"/>
      <c r="R173" s="46"/>
      <c r="S173" s="46"/>
      <c r="T173" s="46"/>
      <c r="U173" s="46"/>
      <c r="V173" s="46"/>
      <c r="W173" s="46"/>
    </row>
    <row r="174">
      <c r="A174" s="44"/>
      <c r="B174" s="44"/>
      <c r="C174" s="30"/>
      <c r="D174" s="30"/>
      <c r="E174" s="55"/>
      <c r="F174" s="55"/>
      <c r="G174" s="55"/>
      <c r="H174" s="55"/>
      <c r="I174" s="56"/>
      <c r="J174" s="46"/>
      <c r="K174" s="46"/>
      <c r="L174" s="46"/>
      <c r="M174" s="46"/>
      <c r="N174" s="46"/>
      <c r="O174" s="46"/>
      <c r="P174" s="46"/>
      <c r="Q174" s="46"/>
      <c r="R174" s="46"/>
      <c r="S174" s="46"/>
      <c r="T174" s="46"/>
      <c r="U174" s="46"/>
      <c r="V174" s="46"/>
      <c r="W174" s="46"/>
    </row>
    <row r="175">
      <c r="A175" s="44"/>
      <c r="B175" s="44"/>
      <c r="C175" s="30"/>
      <c r="D175" s="30"/>
      <c r="E175" s="55"/>
      <c r="F175" s="55"/>
      <c r="G175" s="55"/>
      <c r="H175" s="55"/>
      <c r="I175" s="56"/>
      <c r="J175" s="46"/>
      <c r="K175" s="46"/>
      <c r="L175" s="46"/>
      <c r="M175" s="46"/>
      <c r="N175" s="46"/>
      <c r="O175" s="46"/>
      <c r="P175" s="46"/>
      <c r="Q175" s="46"/>
      <c r="R175" s="46"/>
      <c r="S175" s="46"/>
      <c r="T175" s="46"/>
      <c r="U175" s="46"/>
      <c r="V175" s="46"/>
      <c r="W175" s="46"/>
    </row>
    <row r="176">
      <c r="A176" s="44"/>
      <c r="B176" s="44"/>
      <c r="C176" s="30"/>
      <c r="D176" s="30"/>
      <c r="E176" s="55"/>
      <c r="F176" s="55"/>
      <c r="G176" s="55"/>
      <c r="H176" s="55"/>
      <c r="I176" s="56"/>
      <c r="J176" s="46"/>
      <c r="K176" s="46"/>
      <c r="L176" s="46"/>
      <c r="M176" s="46"/>
      <c r="N176" s="46"/>
      <c r="O176" s="46"/>
      <c r="P176" s="46"/>
      <c r="Q176" s="46"/>
      <c r="R176" s="46"/>
      <c r="S176" s="46"/>
      <c r="T176" s="46"/>
      <c r="U176" s="46"/>
      <c r="V176" s="46"/>
      <c r="W176" s="46"/>
    </row>
    <row r="177">
      <c r="A177" s="44"/>
      <c r="B177" s="44"/>
      <c r="C177" s="30"/>
      <c r="D177" s="30"/>
      <c r="E177" s="55"/>
      <c r="F177" s="55"/>
      <c r="G177" s="55"/>
      <c r="H177" s="55"/>
      <c r="I177" s="56"/>
      <c r="J177" s="46"/>
      <c r="K177" s="46"/>
      <c r="L177" s="46"/>
      <c r="M177" s="46"/>
      <c r="N177" s="46"/>
      <c r="O177" s="46"/>
      <c r="P177" s="46"/>
      <c r="Q177" s="46"/>
      <c r="R177" s="46"/>
      <c r="S177" s="46"/>
      <c r="T177" s="46"/>
      <c r="U177" s="46"/>
      <c r="V177" s="46"/>
      <c r="W177" s="46"/>
    </row>
    <row r="178">
      <c r="A178" s="44"/>
      <c r="B178" s="44"/>
      <c r="C178" s="30"/>
      <c r="D178" s="30"/>
      <c r="E178" s="55"/>
      <c r="F178" s="55"/>
      <c r="G178" s="55"/>
      <c r="H178" s="55"/>
      <c r="I178" s="56"/>
      <c r="J178" s="46"/>
      <c r="K178" s="46"/>
      <c r="L178" s="46"/>
      <c r="M178" s="46"/>
      <c r="N178" s="46"/>
      <c r="O178" s="46"/>
      <c r="P178" s="46"/>
      <c r="Q178" s="46"/>
      <c r="R178" s="46"/>
      <c r="S178" s="46"/>
      <c r="T178" s="46"/>
      <c r="U178" s="46"/>
      <c r="V178" s="46"/>
      <c r="W178" s="46"/>
    </row>
    <row r="179">
      <c r="A179" s="44"/>
      <c r="B179" s="44"/>
      <c r="C179" s="30"/>
      <c r="D179" s="30"/>
      <c r="E179" s="55"/>
      <c r="F179" s="55"/>
      <c r="G179" s="55"/>
      <c r="H179" s="55"/>
      <c r="I179" s="56"/>
      <c r="J179" s="46"/>
      <c r="K179" s="46"/>
      <c r="L179" s="46"/>
      <c r="M179" s="46"/>
      <c r="N179" s="46"/>
      <c r="O179" s="46"/>
      <c r="P179" s="46"/>
      <c r="Q179" s="46"/>
      <c r="R179" s="46"/>
      <c r="S179" s="46"/>
      <c r="T179" s="46"/>
      <c r="U179" s="46"/>
      <c r="V179" s="46"/>
      <c r="W179" s="46"/>
    </row>
    <row r="180">
      <c r="A180" s="44"/>
      <c r="B180" s="44"/>
      <c r="C180" s="30"/>
      <c r="D180" s="30"/>
      <c r="E180" s="55"/>
      <c r="F180" s="55"/>
      <c r="G180" s="55"/>
      <c r="H180" s="55"/>
      <c r="I180" s="56"/>
      <c r="J180" s="46"/>
      <c r="K180" s="46"/>
      <c r="L180" s="46"/>
      <c r="M180" s="46"/>
      <c r="N180" s="46"/>
      <c r="O180" s="46"/>
      <c r="P180" s="46"/>
      <c r="Q180" s="46"/>
      <c r="R180" s="46"/>
      <c r="S180" s="46"/>
      <c r="T180" s="46"/>
      <c r="U180" s="46"/>
      <c r="V180" s="46"/>
      <c r="W180" s="46"/>
    </row>
    <row r="181">
      <c r="A181" s="44"/>
      <c r="B181" s="44"/>
      <c r="C181" s="30"/>
      <c r="D181" s="30"/>
      <c r="E181" s="55"/>
      <c r="F181" s="55"/>
      <c r="G181" s="55"/>
      <c r="H181" s="55"/>
      <c r="I181" s="56"/>
      <c r="J181" s="46"/>
      <c r="K181" s="46"/>
      <c r="L181" s="46"/>
      <c r="M181" s="46"/>
      <c r="N181" s="46"/>
      <c r="O181" s="46"/>
      <c r="P181" s="46"/>
      <c r="Q181" s="46"/>
      <c r="R181" s="46"/>
      <c r="S181" s="46"/>
      <c r="T181" s="46"/>
      <c r="U181" s="46"/>
      <c r="V181" s="46"/>
      <c r="W181" s="46"/>
    </row>
    <row r="182">
      <c r="A182" s="44"/>
      <c r="B182" s="44"/>
      <c r="C182" s="30"/>
      <c r="D182" s="30"/>
      <c r="E182" s="55"/>
      <c r="F182" s="55"/>
      <c r="G182" s="55"/>
      <c r="H182" s="55"/>
      <c r="I182" s="56"/>
      <c r="J182" s="46"/>
      <c r="K182" s="46"/>
      <c r="L182" s="46"/>
      <c r="M182" s="46"/>
      <c r="N182" s="46"/>
      <c r="O182" s="46"/>
      <c r="P182" s="46"/>
      <c r="Q182" s="46"/>
      <c r="R182" s="46"/>
      <c r="S182" s="46"/>
      <c r="T182" s="46"/>
      <c r="U182" s="46"/>
      <c r="V182" s="46"/>
      <c r="W182" s="46"/>
    </row>
    <row r="183">
      <c r="A183" s="44"/>
      <c r="B183" s="44"/>
      <c r="C183" s="30"/>
      <c r="D183" s="30"/>
      <c r="E183" s="55"/>
      <c r="F183" s="55"/>
      <c r="G183" s="55"/>
      <c r="H183" s="55"/>
      <c r="I183" s="56"/>
      <c r="J183" s="46"/>
      <c r="K183" s="46"/>
      <c r="L183" s="46"/>
      <c r="M183" s="46"/>
      <c r="N183" s="46"/>
      <c r="O183" s="46"/>
      <c r="P183" s="46"/>
      <c r="Q183" s="46"/>
      <c r="R183" s="46"/>
      <c r="S183" s="46"/>
      <c r="T183" s="46"/>
      <c r="U183" s="46"/>
      <c r="V183" s="46"/>
      <c r="W183" s="46"/>
    </row>
    <row r="184">
      <c r="A184" s="44"/>
      <c r="B184" s="44"/>
      <c r="C184" s="30"/>
      <c r="D184" s="30"/>
      <c r="E184" s="55"/>
      <c r="F184" s="55"/>
      <c r="G184" s="55"/>
      <c r="H184" s="55"/>
      <c r="I184" s="56"/>
      <c r="J184" s="46"/>
      <c r="K184" s="46"/>
      <c r="L184" s="46"/>
      <c r="M184" s="46"/>
      <c r="N184" s="46"/>
      <c r="O184" s="46"/>
      <c r="P184" s="46"/>
      <c r="Q184" s="46"/>
      <c r="R184" s="46"/>
      <c r="S184" s="46"/>
      <c r="T184" s="46"/>
      <c r="U184" s="46"/>
      <c r="V184" s="46"/>
      <c r="W184" s="46"/>
    </row>
    <row r="185">
      <c r="A185" s="44"/>
      <c r="B185" s="44"/>
      <c r="C185" s="30"/>
      <c r="D185" s="30"/>
      <c r="E185" s="55"/>
      <c r="F185" s="55"/>
      <c r="G185" s="55"/>
      <c r="H185" s="55"/>
      <c r="I185" s="56"/>
      <c r="J185" s="46"/>
      <c r="K185" s="46"/>
      <c r="L185" s="46"/>
      <c r="M185" s="46"/>
      <c r="N185" s="46"/>
      <c r="O185" s="46"/>
      <c r="P185" s="46"/>
      <c r="Q185" s="46"/>
      <c r="R185" s="46"/>
      <c r="S185" s="46"/>
      <c r="T185" s="46"/>
      <c r="U185" s="46"/>
      <c r="V185" s="46"/>
      <c r="W185" s="46"/>
    </row>
    <row r="186">
      <c r="A186" s="44"/>
      <c r="B186" s="44"/>
      <c r="C186" s="30"/>
      <c r="D186" s="30"/>
      <c r="E186" s="55"/>
      <c r="F186" s="55"/>
      <c r="G186" s="55"/>
      <c r="H186" s="55"/>
      <c r="I186" s="56"/>
      <c r="J186" s="46"/>
      <c r="K186" s="46"/>
      <c r="L186" s="46"/>
      <c r="M186" s="46"/>
      <c r="N186" s="46"/>
      <c r="O186" s="46"/>
      <c r="P186" s="46"/>
      <c r="Q186" s="46"/>
      <c r="R186" s="46"/>
      <c r="S186" s="46"/>
      <c r="T186" s="46"/>
      <c r="U186" s="46"/>
      <c r="V186" s="46"/>
      <c r="W186" s="46"/>
    </row>
    <row r="187">
      <c r="A187" s="44"/>
      <c r="B187" s="44"/>
      <c r="C187" s="30"/>
      <c r="D187" s="30"/>
      <c r="E187" s="55"/>
      <c r="F187" s="55"/>
      <c r="G187" s="55"/>
      <c r="H187" s="55"/>
      <c r="I187" s="56"/>
      <c r="J187" s="46"/>
      <c r="K187" s="46"/>
      <c r="L187" s="46"/>
      <c r="M187" s="46"/>
      <c r="N187" s="46"/>
      <c r="O187" s="46"/>
      <c r="P187" s="46"/>
      <c r="Q187" s="46"/>
      <c r="R187" s="46"/>
      <c r="S187" s="46"/>
      <c r="T187" s="46"/>
      <c r="U187" s="46"/>
      <c r="V187" s="46"/>
      <c r="W187" s="46"/>
    </row>
    <row r="188">
      <c r="A188" s="44"/>
      <c r="B188" s="44"/>
      <c r="C188" s="30"/>
      <c r="D188" s="30"/>
      <c r="E188" s="55"/>
      <c r="F188" s="55"/>
      <c r="G188" s="55"/>
      <c r="H188" s="55"/>
      <c r="I188" s="56"/>
      <c r="J188" s="46"/>
      <c r="K188" s="46"/>
      <c r="L188" s="46"/>
      <c r="M188" s="46"/>
      <c r="N188" s="46"/>
      <c r="O188" s="46"/>
      <c r="P188" s="46"/>
      <c r="Q188" s="46"/>
      <c r="R188" s="46"/>
      <c r="S188" s="46"/>
      <c r="T188" s="46"/>
      <c r="U188" s="46"/>
      <c r="V188" s="46"/>
      <c r="W188" s="46"/>
    </row>
    <row r="189">
      <c r="A189" s="44"/>
      <c r="B189" s="44"/>
      <c r="C189" s="30"/>
      <c r="D189" s="30"/>
      <c r="E189" s="55"/>
      <c r="F189" s="55"/>
      <c r="G189" s="55"/>
      <c r="H189" s="55"/>
      <c r="I189" s="56"/>
      <c r="J189" s="46"/>
      <c r="K189" s="46"/>
      <c r="L189" s="46"/>
      <c r="M189" s="46"/>
      <c r="N189" s="46"/>
      <c r="O189" s="46"/>
      <c r="P189" s="46"/>
      <c r="Q189" s="46"/>
      <c r="R189" s="46"/>
      <c r="S189" s="46"/>
      <c r="T189" s="46"/>
      <c r="U189" s="46"/>
      <c r="V189" s="46"/>
      <c r="W189" s="46"/>
    </row>
    <row r="190">
      <c r="A190" s="44"/>
      <c r="B190" s="44"/>
      <c r="C190" s="30"/>
      <c r="D190" s="30"/>
      <c r="E190" s="55"/>
      <c r="F190" s="55"/>
      <c r="G190" s="55"/>
      <c r="H190" s="55"/>
      <c r="I190" s="56"/>
      <c r="J190" s="46"/>
      <c r="K190" s="46"/>
      <c r="L190" s="46"/>
      <c r="M190" s="46"/>
      <c r="N190" s="46"/>
      <c r="O190" s="46"/>
      <c r="P190" s="46"/>
      <c r="Q190" s="46"/>
      <c r="R190" s="46"/>
      <c r="S190" s="46"/>
      <c r="T190" s="46"/>
      <c r="U190" s="46"/>
      <c r="V190" s="46"/>
      <c r="W190" s="46"/>
    </row>
    <row r="191">
      <c r="A191" s="44"/>
      <c r="B191" s="44"/>
      <c r="C191" s="30"/>
      <c r="D191" s="30"/>
      <c r="E191" s="55"/>
      <c r="F191" s="55"/>
      <c r="G191" s="55"/>
      <c r="H191" s="55"/>
      <c r="I191" s="56"/>
      <c r="J191" s="46"/>
      <c r="K191" s="46"/>
      <c r="L191" s="46"/>
      <c r="M191" s="46"/>
      <c r="N191" s="46"/>
      <c r="O191" s="46"/>
      <c r="P191" s="46"/>
      <c r="Q191" s="46"/>
      <c r="R191" s="46"/>
      <c r="S191" s="46"/>
      <c r="T191" s="46"/>
      <c r="U191" s="46"/>
      <c r="V191" s="46"/>
      <c r="W191" s="46"/>
    </row>
    <row r="192">
      <c r="A192" s="44"/>
      <c r="B192" s="44"/>
      <c r="C192" s="30"/>
      <c r="D192" s="30"/>
      <c r="E192" s="55"/>
      <c r="F192" s="55"/>
      <c r="G192" s="55"/>
      <c r="H192" s="55"/>
      <c r="I192" s="56"/>
      <c r="J192" s="46"/>
      <c r="K192" s="46"/>
      <c r="L192" s="46"/>
      <c r="M192" s="46"/>
      <c r="N192" s="46"/>
      <c r="O192" s="46"/>
      <c r="P192" s="46"/>
      <c r="Q192" s="46"/>
      <c r="R192" s="46"/>
      <c r="S192" s="46"/>
      <c r="T192" s="46"/>
      <c r="U192" s="46"/>
      <c r="V192" s="46"/>
      <c r="W192" s="46"/>
    </row>
    <row r="193">
      <c r="A193" s="44"/>
      <c r="B193" s="44"/>
      <c r="C193" s="30"/>
      <c r="D193" s="30"/>
      <c r="E193" s="55"/>
      <c r="F193" s="55"/>
      <c r="G193" s="55"/>
      <c r="H193" s="55"/>
      <c r="I193" s="56"/>
      <c r="J193" s="46"/>
      <c r="K193" s="46"/>
      <c r="L193" s="46"/>
      <c r="M193" s="46"/>
      <c r="N193" s="46"/>
      <c r="O193" s="46"/>
      <c r="P193" s="46"/>
      <c r="Q193" s="46"/>
      <c r="R193" s="46"/>
      <c r="S193" s="46"/>
      <c r="T193" s="46"/>
      <c r="U193" s="46"/>
      <c r="V193" s="46"/>
      <c r="W193" s="46"/>
    </row>
    <row r="194">
      <c r="A194" s="44"/>
      <c r="B194" s="44"/>
      <c r="C194" s="30"/>
      <c r="D194" s="30"/>
      <c r="E194" s="55"/>
      <c r="F194" s="55"/>
      <c r="G194" s="55"/>
      <c r="H194" s="55"/>
      <c r="I194" s="56"/>
      <c r="J194" s="46"/>
      <c r="K194" s="46"/>
      <c r="L194" s="46"/>
      <c r="M194" s="46"/>
      <c r="N194" s="46"/>
      <c r="O194" s="46"/>
      <c r="P194" s="46"/>
      <c r="Q194" s="46"/>
      <c r="R194" s="46"/>
      <c r="S194" s="46"/>
      <c r="T194" s="46"/>
      <c r="U194" s="46"/>
      <c r="V194" s="46"/>
      <c r="W194" s="46"/>
    </row>
    <row r="195">
      <c r="A195" s="44"/>
      <c r="B195" s="44"/>
      <c r="C195" s="30"/>
      <c r="D195" s="30"/>
      <c r="E195" s="55"/>
      <c r="F195" s="55"/>
      <c r="G195" s="55"/>
      <c r="H195" s="55"/>
      <c r="I195" s="56"/>
      <c r="J195" s="46"/>
      <c r="K195" s="46"/>
      <c r="L195" s="46"/>
      <c r="M195" s="46"/>
      <c r="N195" s="46"/>
      <c r="O195" s="46"/>
      <c r="P195" s="46"/>
      <c r="Q195" s="46"/>
      <c r="R195" s="46"/>
      <c r="S195" s="46"/>
      <c r="T195" s="46"/>
      <c r="U195" s="46"/>
      <c r="V195" s="46"/>
      <c r="W195" s="46"/>
    </row>
    <row r="196">
      <c r="A196" s="44"/>
      <c r="B196" s="44"/>
      <c r="C196" s="30"/>
      <c r="D196" s="30"/>
      <c r="E196" s="55"/>
      <c r="F196" s="55"/>
      <c r="G196" s="55"/>
      <c r="H196" s="55"/>
      <c r="I196" s="56"/>
      <c r="J196" s="46"/>
      <c r="K196" s="46"/>
      <c r="L196" s="46"/>
      <c r="M196" s="46"/>
      <c r="N196" s="46"/>
      <c r="O196" s="46"/>
      <c r="P196" s="46"/>
      <c r="Q196" s="46"/>
      <c r="R196" s="46"/>
      <c r="S196" s="46"/>
      <c r="T196" s="46"/>
      <c r="U196" s="46"/>
      <c r="V196" s="46"/>
      <c r="W196" s="46"/>
    </row>
    <row r="197">
      <c r="A197" s="44"/>
      <c r="B197" s="44"/>
      <c r="C197" s="30"/>
      <c r="D197" s="30"/>
      <c r="E197" s="55"/>
      <c r="F197" s="55"/>
      <c r="G197" s="55"/>
      <c r="H197" s="55"/>
      <c r="I197" s="56"/>
      <c r="J197" s="46"/>
      <c r="K197" s="46"/>
      <c r="L197" s="46"/>
      <c r="M197" s="46"/>
      <c r="N197" s="46"/>
      <c r="O197" s="46"/>
      <c r="P197" s="46"/>
      <c r="Q197" s="46"/>
      <c r="R197" s="46"/>
      <c r="S197" s="46"/>
      <c r="T197" s="46"/>
      <c r="U197" s="46"/>
      <c r="V197" s="46"/>
      <c r="W197" s="46"/>
    </row>
    <row r="198">
      <c r="A198" s="44"/>
      <c r="B198" s="44"/>
      <c r="C198" s="30"/>
      <c r="D198" s="30"/>
      <c r="E198" s="55"/>
      <c r="F198" s="55"/>
      <c r="G198" s="55"/>
      <c r="H198" s="55"/>
      <c r="I198" s="56"/>
      <c r="J198" s="46"/>
      <c r="K198" s="46"/>
      <c r="L198" s="46"/>
      <c r="M198" s="46"/>
      <c r="N198" s="46"/>
      <c r="O198" s="46"/>
      <c r="P198" s="46"/>
      <c r="Q198" s="46"/>
      <c r="R198" s="46"/>
      <c r="S198" s="46"/>
      <c r="T198" s="46"/>
      <c r="U198" s="46"/>
      <c r="V198" s="46"/>
      <c r="W198" s="46"/>
    </row>
    <row r="199">
      <c r="A199" s="44"/>
      <c r="B199" s="44"/>
      <c r="C199" s="30"/>
      <c r="D199" s="30"/>
      <c r="E199" s="55"/>
      <c r="F199" s="55"/>
      <c r="G199" s="55"/>
      <c r="H199" s="55"/>
      <c r="I199" s="56"/>
      <c r="J199" s="46"/>
      <c r="K199" s="46"/>
      <c r="L199" s="46"/>
      <c r="M199" s="46"/>
      <c r="N199" s="46"/>
      <c r="O199" s="46"/>
      <c r="P199" s="46"/>
      <c r="Q199" s="46"/>
      <c r="R199" s="46"/>
      <c r="S199" s="46"/>
      <c r="T199" s="46"/>
      <c r="U199" s="46"/>
      <c r="V199" s="46"/>
      <c r="W199" s="46"/>
    </row>
    <row r="200">
      <c r="A200" s="44"/>
      <c r="B200" s="44"/>
      <c r="C200" s="30"/>
      <c r="D200" s="30"/>
      <c r="E200" s="55"/>
      <c r="F200" s="55"/>
      <c r="G200" s="55"/>
      <c r="H200" s="55"/>
      <c r="I200" s="56"/>
      <c r="J200" s="46"/>
      <c r="K200" s="46"/>
      <c r="L200" s="46"/>
      <c r="M200" s="46"/>
      <c r="N200" s="46"/>
      <c r="O200" s="46"/>
      <c r="P200" s="46"/>
      <c r="Q200" s="46"/>
      <c r="R200" s="46"/>
      <c r="S200" s="46"/>
      <c r="T200" s="46"/>
      <c r="U200" s="46"/>
      <c r="V200" s="46"/>
      <c r="W200" s="46"/>
    </row>
    <row r="201">
      <c r="A201" s="44"/>
      <c r="B201" s="44"/>
      <c r="C201" s="30"/>
      <c r="D201" s="30"/>
      <c r="E201" s="55"/>
      <c r="F201" s="55"/>
      <c r="G201" s="55"/>
      <c r="H201" s="55"/>
      <c r="I201" s="56"/>
      <c r="J201" s="46"/>
      <c r="K201" s="46"/>
      <c r="L201" s="46"/>
      <c r="M201" s="46"/>
      <c r="N201" s="46"/>
      <c r="O201" s="46"/>
      <c r="P201" s="46"/>
      <c r="Q201" s="46"/>
      <c r="R201" s="46"/>
      <c r="S201" s="46"/>
      <c r="T201" s="46"/>
      <c r="U201" s="46"/>
      <c r="V201" s="46"/>
      <c r="W201" s="46"/>
    </row>
    <row r="202">
      <c r="A202" s="44"/>
      <c r="B202" s="44"/>
      <c r="C202" s="30"/>
      <c r="D202" s="30"/>
      <c r="E202" s="55"/>
      <c r="F202" s="55"/>
      <c r="G202" s="55"/>
      <c r="H202" s="55"/>
      <c r="I202" s="56"/>
      <c r="J202" s="46"/>
      <c r="K202" s="46"/>
      <c r="L202" s="46"/>
      <c r="M202" s="46"/>
      <c r="N202" s="46"/>
      <c r="O202" s="46"/>
      <c r="P202" s="46"/>
      <c r="Q202" s="46"/>
      <c r="R202" s="46"/>
      <c r="S202" s="46"/>
      <c r="T202" s="46"/>
      <c r="U202" s="46"/>
      <c r="V202" s="46"/>
      <c r="W202" s="46"/>
    </row>
    <row r="203">
      <c r="A203" s="44"/>
      <c r="B203" s="44"/>
      <c r="C203" s="30"/>
      <c r="D203" s="30"/>
      <c r="E203" s="55"/>
      <c r="F203" s="55"/>
      <c r="G203" s="55"/>
      <c r="H203" s="55"/>
      <c r="I203" s="56"/>
      <c r="J203" s="46"/>
      <c r="K203" s="46"/>
      <c r="L203" s="46"/>
      <c r="M203" s="46"/>
      <c r="N203" s="46"/>
      <c r="O203" s="46"/>
      <c r="P203" s="46"/>
      <c r="Q203" s="46"/>
      <c r="R203" s="46"/>
      <c r="S203" s="46"/>
      <c r="T203" s="46"/>
      <c r="U203" s="46"/>
      <c r="V203" s="46"/>
      <c r="W203" s="46"/>
    </row>
    <row r="204">
      <c r="A204" s="44"/>
      <c r="B204" s="44"/>
      <c r="C204" s="30"/>
      <c r="D204" s="30"/>
      <c r="E204" s="55"/>
      <c r="F204" s="55"/>
      <c r="G204" s="55"/>
      <c r="H204" s="55"/>
      <c r="I204" s="56"/>
      <c r="J204" s="46"/>
      <c r="K204" s="46"/>
      <c r="L204" s="46"/>
      <c r="M204" s="46"/>
      <c r="N204" s="46"/>
      <c r="O204" s="46"/>
      <c r="P204" s="46"/>
      <c r="Q204" s="46"/>
      <c r="R204" s="46"/>
      <c r="S204" s="46"/>
      <c r="T204" s="46"/>
      <c r="U204" s="46"/>
      <c r="V204" s="46"/>
      <c r="W204" s="46"/>
    </row>
    <row r="205">
      <c r="A205" s="44"/>
      <c r="B205" s="44"/>
      <c r="C205" s="30"/>
      <c r="D205" s="30"/>
      <c r="E205" s="55"/>
      <c r="F205" s="55"/>
      <c r="G205" s="55"/>
      <c r="H205" s="55"/>
      <c r="I205" s="56"/>
      <c r="J205" s="46"/>
      <c r="K205" s="46"/>
      <c r="L205" s="46"/>
      <c r="M205" s="46"/>
      <c r="N205" s="46"/>
      <c r="O205" s="46"/>
      <c r="P205" s="46"/>
      <c r="Q205" s="46"/>
      <c r="R205" s="46"/>
      <c r="S205" s="46"/>
      <c r="T205" s="46"/>
      <c r="U205" s="46"/>
      <c r="V205" s="46"/>
      <c r="W205" s="46"/>
    </row>
    <row r="206">
      <c r="A206" s="44"/>
      <c r="B206" s="44"/>
      <c r="C206" s="30"/>
      <c r="D206" s="30"/>
      <c r="E206" s="55"/>
      <c r="F206" s="55"/>
      <c r="G206" s="55"/>
      <c r="H206" s="55"/>
      <c r="I206" s="56"/>
      <c r="J206" s="46"/>
      <c r="K206" s="46"/>
      <c r="L206" s="46"/>
      <c r="M206" s="46"/>
      <c r="N206" s="46"/>
      <c r="O206" s="46"/>
      <c r="P206" s="46"/>
      <c r="Q206" s="46"/>
      <c r="R206" s="46"/>
      <c r="S206" s="46"/>
      <c r="T206" s="46"/>
      <c r="U206" s="46"/>
      <c r="V206" s="46"/>
      <c r="W206" s="46"/>
    </row>
    <row r="207">
      <c r="A207" s="44"/>
      <c r="B207" s="44"/>
      <c r="C207" s="30"/>
      <c r="D207" s="30"/>
      <c r="E207" s="55"/>
      <c r="F207" s="55"/>
      <c r="G207" s="55"/>
      <c r="H207" s="55"/>
      <c r="I207" s="56"/>
      <c r="J207" s="46"/>
      <c r="K207" s="46"/>
      <c r="L207" s="46"/>
      <c r="M207" s="46"/>
      <c r="N207" s="46"/>
      <c r="O207" s="46"/>
      <c r="P207" s="46"/>
      <c r="Q207" s="46"/>
      <c r="R207" s="46"/>
      <c r="S207" s="46"/>
      <c r="T207" s="46"/>
      <c r="U207" s="46"/>
      <c r="V207" s="46"/>
      <c r="W207" s="46"/>
    </row>
    <row r="208">
      <c r="A208" s="44"/>
      <c r="B208" s="44"/>
      <c r="C208" s="30"/>
      <c r="D208" s="30"/>
      <c r="E208" s="55"/>
      <c r="F208" s="55"/>
      <c r="G208" s="55"/>
      <c r="H208" s="55"/>
      <c r="I208" s="56"/>
      <c r="J208" s="46"/>
      <c r="K208" s="46"/>
      <c r="L208" s="46"/>
      <c r="M208" s="46"/>
      <c r="N208" s="46"/>
      <c r="O208" s="46"/>
      <c r="P208" s="46"/>
      <c r="Q208" s="46"/>
      <c r="R208" s="46"/>
      <c r="S208" s="46"/>
      <c r="T208" s="46"/>
      <c r="U208" s="46"/>
      <c r="V208" s="46"/>
      <c r="W208" s="46"/>
    </row>
    <row r="209">
      <c r="A209" s="44"/>
      <c r="B209" s="44"/>
      <c r="C209" s="30"/>
      <c r="D209" s="30"/>
      <c r="E209" s="55"/>
      <c r="F209" s="55"/>
      <c r="G209" s="55"/>
      <c r="H209" s="55"/>
      <c r="I209" s="56"/>
      <c r="J209" s="46"/>
      <c r="K209" s="46"/>
      <c r="L209" s="46"/>
      <c r="M209" s="46"/>
      <c r="N209" s="46"/>
      <c r="O209" s="46"/>
      <c r="P209" s="46"/>
      <c r="Q209" s="46"/>
      <c r="R209" s="46"/>
      <c r="S209" s="46"/>
      <c r="T209" s="46"/>
      <c r="U209" s="46"/>
      <c r="V209" s="46"/>
      <c r="W209" s="46"/>
    </row>
    <row r="210">
      <c r="A210" s="44"/>
      <c r="B210" s="44"/>
      <c r="C210" s="30"/>
      <c r="D210" s="30"/>
      <c r="E210" s="55"/>
      <c r="F210" s="55"/>
      <c r="G210" s="55"/>
      <c r="H210" s="55"/>
      <c r="I210" s="56"/>
      <c r="J210" s="46"/>
      <c r="K210" s="46"/>
      <c r="L210" s="46"/>
      <c r="M210" s="46"/>
      <c r="N210" s="46"/>
      <c r="O210" s="46"/>
      <c r="P210" s="46"/>
      <c r="Q210" s="46"/>
      <c r="R210" s="46"/>
      <c r="S210" s="46"/>
      <c r="T210" s="46"/>
      <c r="U210" s="46"/>
      <c r="V210" s="46"/>
      <c r="W210" s="46"/>
    </row>
    <row r="211">
      <c r="A211" s="44"/>
      <c r="B211" s="44"/>
      <c r="C211" s="30"/>
      <c r="D211" s="30"/>
      <c r="E211" s="55"/>
      <c r="F211" s="55"/>
      <c r="G211" s="55"/>
      <c r="H211" s="55"/>
      <c r="I211" s="56"/>
      <c r="J211" s="46"/>
      <c r="K211" s="46"/>
      <c r="L211" s="46"/>
      <c r="M211" s="46"/>
      <c r="N211" s="46"/>
      <c r="O211" s="46"/>
      <c r="P211" s="46"/>
      <c r="Q211" s="46"/>
      <c r="R211" s="46"/>
      <c r="S211" s="46"/>
      <c r="T211" s="46"/>
      <c r="U211" s="46"/>
      <c r="V211" s="46"/>
      <c r="W211" s="46"/>
    </row>
    <row r="212">
      <c r="A212" s="44"/>
      <c r="B212" s="44"/>
      <c r="C212" s="30"/>
      <c r="D212" s="30"/>
      <c r="E212" s="55"/>
      <c r="F212" s="55"/>
      <c r="G212" s="55"/>
      <c r="H212" s="55"/>
      <c r="I212" s="56"/>
      <c r="J212" s="46"/>
      <c r="K212" s="46"/>
      <c r="L212" s="46"/>
      <c r="M212" s="46"/>
      <c r="N212" s="46"/>
      <c r="O212" s="46"/>
      <c r="P212" s="46"/>
      <c r="Q212" s="46"/>
      <c r="R212" s="46"/>
      <c r="S212" s="46"/>
      <c r="T212" s="46"/>
      <c r="U212" s="46"/>
      <c r="V212" s="46"/>
      <c r="W212" s="46"/>
    </row>
    <row r="213">
      <c r="A213" s="44"/>
      <c r="B213" s="44"/>
      <c r="C213" s="30"/>
      <c r="D213" s="30"/>
      <c r="E213" s="55"/>
      <c r="F213" s="55"/>
      <c r="G213" s="55"/>
      <c r="H213" s="55"/>
      <c r="I213" s="56"/>
      <c r="J213" s="46"/>
      <c r="K213" s="46"/>
      <c r="L213" s="46"/>
      <c r="M213" s="46"/>
      <c r="N213" s="46"/>
      <c r="O213" s="46"/>
      <c r="P213" s="46"/>
      <c r="Q213" s="46"/>
      <c r="R213" s="46"/>
      <c r="S213" s="46"/>
      <c r="T213" s="46"/>
      <c r="U213" s="46"/>
      <c r="V213" s="46"/>
      <c r="W213" s="46"/>
    </row>
    <row r="214">
      <c r="A214" s="44"/>
      <c r="B214" s="44"/>
      <c r="C214" s="30"/>
      <c r="D214" s="30"/>
      <c r="E214" s="55"/>
      <c r="F214" s="55"/>
      <c r="G214" s="55"/>
      <c r="H214" s="55"/>
      <c r="I214" s="56"/>
      <c r="J214" s="46"/>
      <c r="K214" s="46"/>
      <c r="L214" s="46"/>
      <c r="M214" s="46"/>
      <c r="N214" s="46"/>
      <c r="O214" s="46"/>
      <c r="P214" s="46"/>
      <c r="Q214" s="46"/>
      <c r="R214" s="46"/>
      <c r="S214" s="46"/>
      <c r="T214" s="46"/>
      <c r="U214" s="46"/>
      <c r="V214" s="46"/>
      <c r="W214" s="46"/>
    </row>
    <row r="215">
      <c r="A215" s="44"/>
      <c r="B215" s="44"/>
      <c r="C215" s="30"/>
      <c r="D215" s="30"/>
      <c r="E215" s="55"/>
      <c r="F215" s="55"/>
      <c r="G215" s="55"/>
      <c r="H215" s="55"/>
      <c r="I215" s="56"/>
      <c r="J215" s="46"/>
      <c r="K215" s="46"/>
      <c r="L215" s="46"/>
      <c r="M215" s="46"/>
      <c r="N215" s="46"/>
      <c r="O215" s="46"/>
      <c r="P215" s="46"/>
      <c r="Q215" s="46"/>
      <c r="R215" s="46"/>
      <c r="S215" s="46"/>
      <c r="T215" s="46"/>
      <c r="U215" s="46"/>
      <c r="V215" s="46"/>
      <c r="W215" s="46"/>
    </row>
    <row r="216">
      <c r="A216" s="44"/>
      <c r="B216" s="44"/>
      <c r="C216" s="30"/>
      <c r="D216" s="30"/>
      <c r="E216" s="55"/>
      <c r="F216" s="55"/>
      <c r="G216" s="55"/>
      <c r="H216" s="55"/>
      <c r="I216" s="56"/>
      <c r="J216" s="46"/>
      <c r="K216" s="46"/>
      <c r="L216" s="46"/>
      <c r="M216" s="46"/>
      <c r="N216" s="46"/>
      <c r="O216" s="46"/>
      <c r="P216" s="46"/>
      <c r="Q216" s="46"/>
      <c r="R216" s="46"/>
      <c r="S216" s="46"/>
      <c r="T216" s="46"/>
      <c r="U216" s="46"/>
      <c r="V216" s="46"/>
      <c r="W216" s="46"/>
    </row>
    <row r="217">
      <c r="A217" s="44"/>
      <c r="B217" s="44"/>
      <c r="C217" s="30"/>
      <c r="D217" s="30"/>
      <c r="E217" s="55"/>
      <c r="F217" s="55"/>
      <c r="G217" s="55"/>
      <c r="H217" s="55"/>
      <c r="I217" s="56"/>
      <c r="J217" s="46"/>
      <c r="K217" s="46"/>
      <c r="L217" s="46"/>
      <c r="M217" s="46"/>
      <c r="N217" s="46"/>
      <c r="O217" s="46"/>
      <c r="P217" s="46"/>
      <c r="Q217" s="46"/>
      <c r="R217" s="46"/>
      <c r="S217" s="46"/>
      <c r="T217" s="46"/>
      <c r="U217" s="46"/>
      <c r="V217" s="46"/>
      <c r="W217" s="46"/>
    </row>
    <row r="218">
      <c r="A218" s="44"/>
      <c r="B218" s="44"/>
      <c r="C218" s="30"/>
      <c r="D218" s="30"/>
      <c r="E218" s="55"/>
      <c r="F218" s="55"/>
      <c r="G218" s="55"/>
      <c r="H218" s="55"/>
      <c r="I218" s="56"/>
      <c r="J218" s="46"/>
      <c r="K218" s="46"/>
      <c r="L218" s="46"/>
      <c r="M218" s="46"/>
      <c r="N218" s="46"/>
      <c r="O218" s="46"/>
      <c r="P218" s="46"/>
      <c r="Q218" s="46"/>
      <c r="R218" s="46"/>
      <c r="S218" s="46"/>
      <c r="T218" s="46"/>
      <c r="U218" s="46"/>
      <c r="V218" s="46"/>
      <c r="W218" s="46"/>
    </row>
    <row r="219">
      <c r="A219" s="44"/>
      <c r="B219" s="44"/>
      <c r="C219" s="30"/>
      <c r="D219" s="30"/>
      <c r="E219" s="55"/>
      <c r="F219" s="55"/>
      <c r="G219" s="55"/>
      <c r="H219" s="55"/>
      <c r="I219" s="56"/>
      <c r="J219" s="46"/>
      <c r="K219" s="46"/>
      <c r="L219" s="46"/>
      <c r="M219" s="46"/>
      <c r="N219" s="46"/>
      <c r="O219" s="46"/>
      <c r="P219" s="46"/>
      <c r="Q219" s="46"/>
      <c r="R219" s="46"/>
      <c r="S219" s="46"/>
      <c r="T219" s="46"/>
      <c r="U219" s="46"/>
      <c r="V219" s="46"/>
      <c r="W219" s="46"/>
    </row>
    <row r="220">
      <c r="A220" s="44"/>
      <c r="B220" s="44"/>
      <c r="C220" s="30"/>
      <c r="D220" s="30"/>
      <c r="E220" s="55"/>
      <c r="F220" s="55"/>
      <c r="G220" s="55"/>
      <c r="H220" s="55"/>
      <c r="I220" s="56"/>
      <c r="J220" s="46"/>
      <c r="K220" s="46"/>
      <c r="L220" s="46"/>
      <c r="M220" s="46"/>
      <c r="N220" s="46"/>
      <c r="O220" s="46"/>
      <c r="P220" s="46"/>
      <c r="Q220" s="46"/>
      <c r="R220" s="46"/>
      <c r="S220" s="46"/>
      <c r="T220" s="46"/>
      <c r="U220" s="46"/>
      <c r="V220" s="46"/>
      <c r="W220" s="46"/>
    </row>
    <row r="221">
      <c r="A221" s="44"/>
      <c r="B221" s="44"/>
      <c r="C221" s="30"/>
      <c r="D221" s="30"/>
      <c r="E221" s="55"/>
      <c r="F221" s="55"/>
      <c r="G221" s="55"/>
      <c r="H221" s="55"/>
      <c r="I221" s="56"/>
      <c r="J221" s="46"/>
      <c r="K221" s="46"/>
      <c r="L221" s="46"/>
      <c r="M221" s="46"/>
      <c r="N221" s="46"/>
      <c r="O221" s="46"/>
      <c r="P221" s="46"/>
      <c r="Q221" s="46"/>
      <c r="R221" s="46"/>
      <c r="S221" s="46"/>
      <c r="T221" s="46"/>
      <c r="U221" s="46"/>
      <c r="V221" s="46"/>
      <c r="W221" s="46"/>
    </row>
    <row r="222">
      <c r="A222" s="44"/>
      <c r="B222" s="44"/>
      <c r="C222" s="30"/>
      <c r="D222" s="30"/>
      <c r="E222" s="55"/>
      <c r="F222" s="55"/>
      <c r="G222" s="55"/>
      <c r="H222" s="55"/>
      <c r="I222" s="56"/>
      <c r="J222" s="46"/>
      <c r="K222" s="46"/>
      <c r="L222" s="46"/>
      <c r="M222" s="46"/>
      <c r="N222" s="46"/>
      <c r="O222" s="46"/>
      <c r="P222" s="46"/>
      <c r="Q222" s="46"/>
      <c r="R222" s="46"/>
      <c r="S222" s="46"/>
      <c r="T222" s="46"/>
      <c r="U222" s="46"/>
      <c r="V222" s="46"/>
      <c r="W222" s="46"/>
    </row>
    <row r="223">
      <c r="A223" s="44"/>
      <c r="B223" s="44"/>
      <c r="C223" s="30"/>
      <c r="D223" s="30"/>
      <c r="E223" s="55"/>
      <c r="F223" s="55"/>
      <c r="G223" s="55"/>
      <c r="H223" s="55"/>
      <c r="I223" s="56"/>
      <c r="J223" s="46"/>
      <c r="K223" s="46"/>
      <c r="L223" s="46"/>
      <c r="M223" s="46"/>
      <c r="N223" s="46"/>
      <c r="O223" s="46"/>
      <c r="P223" s="46"/>
      <c r="Q223" s="46"/>
      <c r="R223" s="46"/>
      <c r="S223" s="46"/>
      <c r="T223" s="46"/>
      <c r="U223" s="46"/>
      <c r="V223" s="46"/>
      <c r="W223" s="46"/>
    </row>
    <row r="224">
      <c r="A224" s="44"/>
      <c r="B224" s="44"/>
      <c r="C224" s="30"/>
      <c r="D224" s="30"/>
      <c r="E224" s="55"/>
      <c r="F224" s="55"/>
      <c r="G224" s="55"/>
      <c r="H224" s="55"/>
      <c r="I224" s="56"/>
      <c r="J224" s="46"/>
      <c r="K224" s="46"/>
      <c r="L224" s="46"/>
      <c r="M224" s="46"/>
      <c r="N224" s="46"/>
      <c r="O224" s="46"/>
      <c r="P224" s="46"/>
      <c r="Q224" s="46"/>
      <c r="R224" s="46"/>
      <c r="S224" s="46"/>
      <c r="T224" s="46"/>
      <c r="U224" s="46"/>
      <c r="V224" s="46"/>
      <c r="W224" s="46"/>
    </row>
    <row r="225">
      <c r="A225" s="44"/>
      <c r="B225" s="44"/>
      <c r="C225" s="30"/>
      <c r="D225" s="30"/>
      <c r="E225" s="55"/>
      <c r="F225" s="55"/>
      <c r="G225" s="55"/>
      <c r="H225" s="55"/>
      <c r="I225" s="56"/>
      <c r="J225" s="46"/>
      <c r="K225" s="46"/>
      <c r="L225" s="46"/>
      <c r="M225" s="46"/>
      <c r="N225" s="46"/>
      <c r="O225" s="46"/>
      <c r="P225" s="46"/>
      <c r="Q225" s="46"/>
      <c r="R225" s="46"/>
      <c r="S225" s="46"/>
      <c r="T225" s="46"/>
      <c r="U225" s="46"/>
      <c r="V225" s="46"/>
      <c r="W225" s="46"/>
    </row>
    <row r="226">
      <c r="A226" s="44"/>
      <c r="B226" s="44"/>
      <c r="C226" s="30"/>
      <c r="D226" s="30"/>
      <c r="E226" s="55"/>
      <c r="F226" s="55"/>
      <c r="G226" s="55"/>
      <c r="H226" s="55"/>
      <c r="I226" s="56"/>
      <c r="J226" s="46"/>
      <c r="K226" s="46"/>
      <c r="L226" s="46"/>
      <c r="M226" s="46"/>
      <c r="N226" s="46"/>
      <c r="O226" s="46"/>
      <c r="P226" s="46"/>
      <c r="Q226" s="46"/>
      <c r="R226" s="46"/>
      <c r="S226" s="46"/>
      <c r="T226" s="46"/>
      <c r="U226" s="46"/>
      <c r="V226" s="46"/>
      <c r="W226" s="46"/>
    </row>
    <row r="227">
      <c r="A227" s="44"/>
      <c r="B227" s="44"/>
      <c r="C227" s="30"/>
      <c r="D227" s="30"/>
      <c r="E227" s="55"/>
      <c r="F227" s="55"/>
      <c r="G227" s="55"/>
      <c r="H227" s="55"/>
      <c r="I227" s="56"/>
      <c r="J227" s="46"/>
      <c r="K227" s="46"/>
      <c r="L227" s="46"/>
      <c r="M227" s="46"/>
      <c r="N227" s="46"/>
      <c r="O227" s="46"/>
      <c r="P227" s="46"/>
      <c r="Q227" s="46"/>
      <c r="R227" s="46"/>
      <c r="S227" s="46"/>
      <c r="T227" s="46"/>
      <c r="U227" s="46"/>
      <c r="V227" s="46"/>
      <c r="W227" s="46"/>
    </row>
    <row r="228">
      <c r="A228" s="44"/>
      <c r="B228" s="44"/>
      <c r="C228" s="30"/>
      <c r="D228" s="30"/>
      <c r="E228" s="55"/>
      <c r="F228" s="55"/>
      <c r="G228" s="55"/>
      <c r="H228" s="55"/>
      <c r="I228" s="56"/>
      <c r="J228" s="46"/>
      <c r="K228" s="46"/>
      <c r="L228" s="46"/>
      <c r="M228" s="46"/>
      <c r="N228" s="46"/>
      <c r="O228" s="46"/>
      <c r="P228" s="46"/>
      <c r="Q228" s="46"/>
      <c r="R228" s="46"/>
      <c r="S228" s="46"/>
      <c r="T228" s="46"/>
      <c r="U228" s="46"/>
      <c r="V228" s="46"/>
      <c r="W228" s="46"/>
    </row>
    <row r="229">
      <c r="A229" s="44"/>
      <c r="B229" s="44"/>
      <c r="C229" s="30"/>
      <c r="D229" s="30"/>
      <c r="E229" s="55"/>
      <c r="F229" s="55"/>
      <c r="G229" s="55"/>
      <c r="H229" s="55"/>
      <c r="I229" s="56"/>
      <c r="J229" s="46"/>
      <c r="K229" s="46"/>
      <c r="L229" s="46"/>
      <c r="M229" s="46"/>
      <c r="N229" s="46"/>
      <c r="O229" s="46"/>
      <c r="P229" s="46"/>
      <c r="Q229" s="46"/>
      <c r="R229" s="46"/>
      <c r="S229" s="46"/>
      <c r="T229" s="46"/>
      <c r="U229" s="46"/>
      <c r="V229" s="46"/>
      <c r="W229" s="46"/>
    </row>
    <row r="230">
      <c r="A230" s="44"/>
      <c r="B230" s="44"/>
      <c r="C230" s="30"/>
      <c r="D230" s="30"/>
      <c r="E230" s="55"/>
      <c r="F230" s="55"/>
      <c r="G230" s="55"/>
      <c r="H230" s="55"/>
      <c r="I230" s="56"/>
      <c r="J230" s="46"/>
      <c r="K230" s="46"/>
      <c r="L230" s="46"/>
      <c r="M230" s="46"/>
      <c r="N230" s="46"/>
      <c r="O230" s="46"/>
      <c r="P230" s="46"/>
      <c r="Q230" s="46"/>
      <c r="R230" s="46"/>
      <c r="S230" s="46"/>
      <c r="T230" s="46"/>
      <c r="U230" s="46"/>
      <c r="V230" s="46"/>
      <c r="W230" s="46"/>
    </row>
    <row r="231">
      <c r="A231" s="44"/>
      <c r="B231" s="44"/>
      <c r="C231" s="30"/>
      <c r="D231" s="30"/>
      <c r="E231" s="55"/>
      <c r="F231" s="55"/>
      <c r="G231" s="55"/>
      <c r="H231" s="55"/>
      <c r="I231" s="56"/>
      <c r="J231" s="46"/>
      <c r="K231" s="46"/>
      <c r="L231" s="46"/>
      <c r="M231" s="46"/>
      <c r="N231" s="46"/>
      <c r="O231" s="46"/>
      <c r="P231" s="46"/>
      <c r="Q231" s="46"/>
      <c r="R231" s="46"/>
      <c r="S231" s="46"/>
      <c r="T231" s="46"/>
      <c r="U231" s="46"/>
      <c r="V231" s="46"/>
      <c r="W231" s="46"/>
    </row>
    <row r="232">
      <c r="A232" s="44"/>
      <c r="B232" s="44"/>
      <c r="C232" s="30"/>
      <c r="D232" s="30"/>
      <c r="E232" s="55"/>
      <c r="F232" s="55"/>
      <c r="G232" s="55"/>
      <c r="H232" s="55"/>
      <c r="I232" s="56"/>
      <c r="J232" s="46"/>
      <c r="K232" s="46"/>
      <c r="L232" s="46"/>
      <c r="M232" s="46"/>
      <c r="N232" s="46"/>
      <c r="O232" s="46"/>
      <c r="P232" s="46"/>
      <c r="Q232" s="46"/>
      <c r="R232" s="46"/>
      <c r="S232" s="46"/>
      <c r="T232" s="46"/>
      <c r="U232" s="46"/>
      <c r="V232" s="46"/>
      <c r="W232" s="46"/>
    </row>
    <row r="233">
      <c r="A233" s="44"/>
      <c r="B233" s="44"/>
      <c r="C233" s="30"/>
      <c r="D233" s="30"/>
      <c r="E233" s="55"/>
      <c r="F233" s="55"/>
      <c r="G233" s="55"/>
      <c r="H233" s="55"/>
      <c r="I233" s="56"/>
      <c r="J233" s="46"/>
      <c r="K233" s="46"/>
      <c r="L233" s="46"/>
      <c r="M233" s="46"/>
      <c r="N233" s="46"/>
      <c r="O233" s="46"/>
      <c r="P233" s="46"/>
      <c r="Q233" s="46"/>
      <c r="R233" s="46"/>
      <c r="S233" s="46"/>
      <c r="T233" s="46"/>
      <c r="U233" s="46"/>
      <c r="V233" s="46"/>
      <c r="W233" s="46"/>
    </row>
    <row r="234">
      <c r="A234" s="44"/>
      <c r="B234" s="44"/>
      <c r="C234" s="30"/>
      <c r="D234" s="30"/>
      <c r="E234" s="55"/>
      <c r="F234" s="55"/>
      <c r="G234" s="55"/>
      <c r="H234" s="55"/>
      <c r="I234" s="56"/>
      <c r="J234" s="46"/>
      <c r="K234" s="46"/>
      <c r="L234" s="46"/>
      <c r="M234" s="46"/>
      <c r="N234" s="46"/>
      <c r="O234" s="46"/>
      <c r="P234" s="46"/>
      <c r="Q234" s="46"/>
      <c r="R234" s="46"/>
      <c r="S234" s="46"/>
      <c r="T234" s="46"/>
      <c r="U234" s="46"/>
      <c r="V234" s="46"/>
      <c r="W234" s="46"/>
    </row>
    <row r="235">
      <c r="A235" s="44"/>
      <c r="B235" s="44"/>
      <c r="C235" s="30"/>
      <c r="D235" s="30"/>
      <c r="E235" s="55"/>
      <c r="F235" s="55"/>
      <c r="G235" s="55"/>
      <c r="H235" s="55"/>
      <c r="I235" s="56"/>
      <c r="J235" s="46"/>
      <c r="K235" s="46"/>
      <c r="L235" s="46"/>
      <c r="M235" s="46"/>
      <c r="N235" s="46"/>
      <c r="O235" s="46"/>
      <c r="P235" s="46"/>
      <c r="Q235" s="46"/>
      <c r="R235" s="46"/>
      <c r="S235" s="46"/>
      <c r="T235" s="46"/>
      <c r="U235" s="46"/>
      <c r="V235" s="46"/>
      <c r="W235" s="46"/>
    </row>
    <row r="236">
      <c r="A236" s="44"/>
      <c r="B236" s="44"/>
      <c r="C236" s="30"/>
      <c r="D236" s="30"/>
      <c r="E236" s="55"/>
      <c r="F236" s="55"/>
      <c r="G236" s="55"/>
      <c r="H236" s="55"/>
      <c r="I236" s="56"/>
      <c r="J236" s="46"/>
      <c r="K236" s="46"/>
      <c r="L236" s="46"/>
      <c r="M236" s="46"/>
      <c r="N236" s="46"/>
      <c r="O236" s="46"/>
      <c r="P236" s="46"/>
      <c r="Q236" s="46"/>
      <c r="R236" s="46"/>
      <c r="S236" s="46"/>
      <c r="T236" s="46"/>
      <c r="U236" s="46"/>
      <c r="V236" s="46"/>
      <c r="W236" s="46"/>
    </row>
    <row r="237">
      <c r="A237" s="44"/>
      <c r="B237" s="44"/>
      <c r="C237" s="30"/>
      <c r="D237" s="30"/>
      <c r="E237" s="55"/>
      <c r="F237" s="55"/>
      <c r="G237" s="55"/>
      <c r="H237" s="55"/>
      <c r="I237" s="56"/>
      <c r="J237" s="46"/>
      <c r="K237" s="46"/>
      <c r="L237" s="46"/>
      <c r="M237" s="46"/>
      <c r="N237" s="46"/>
      <c r="O237" s="46"/>
      <c r="P237" s="46"/>
      <c r="Q237" s="46"/>
      <c r="R237" s="46"/>
      <c r="S237" s="46"/>
      <c r="T237" s="46"/>
      <c r="U237" s="46"/>
      <c r="V237" s="46"/>
      <c r="W237" s="46"/>
    </row>
    <row r="238">
      <c r="A238" s="44"/>
      <c r="B238" s="44"/>
      <c r="C238" s="30"/>
      <c r="D238" s="30"/>
      <c r="E238" s="55"/>
      <c r="F238" s="55"/>
      <c r="G238" s="55"/>
      <c r="H238" s="55"/>
      <c r="I238" s="56"/>
      <c r="J238" s="46"/>
      <c r="K238" s="46"/>
      <c r="L238" s="46"/>
      <c r="M238" s="46"/>
      <c r="N238" s="46"/>
      <c r="O238" s="46"/>
      <c r="P238" s="46"/>
      <c r="Q238" s="46"/>
      <c r="R238" s="46"/>
      <c r="S238" s="46"/>
      <c r="T238" s="46"/>
      <c r="U238" s="46"/>
      <c r="V238" s="46"/>
      <c r="W238" s="46"/>
    </row>
    <row r="239">
      <c r="A239" s="44"/>
      <c r="B239" s="44"/>
      <c r="C239" s="30"/>
      <c r="D239" s="30"/>
      <c r="E239" s="55"/>
      <c r="F239" s="55"/>
      <c r="G239" s="55"/>
      <c r="H239" s="55"/>
      <c r="I239" s="56"/>
      <c r="J239" s="46"/>
      <c r="K239" s="46"/>
      <c r="L239" s="46"/>
      <c r="M239" s="46"/>
      <c r="N239" s="46"/>
      <c r="O239" s="46"/>
      <c r="P239" s="46"/>
      <c r="Q239" s="46"/>
      <c r="R239" s="46"/>
      <c r="S239" s="46"/>
      <c r="T239" s="46"/>
      <c r="U239" s="46"/>
      <c r="V239" s="46"/>
      <c r="W239" s="46"/>
    </row>
    <row r="240">
      <c r="A240" s="44"/>
      <c r="B240" s="44"/>
      <c r="C240" s="30"/>
      <c r="D240" s="30"/>
      <c r="E240" s="55"/>
      <c r="F240" s="55"/>
      <c r="G240" s="55"/>
      <c r="H240" s="55"/>
      <c r="I240" s="56"/>
      <c r="J240" s="46"/>
      <c r="K240" s="46"/>
      <c r="L240" s="46"/>
      <c r="M240" s="46"/>
      <c r="N240" s="46"/>
      <c r="O240" s="46"/>
      <c r="P240" s="46"/>
      <c r="Q240" s="46"/>
      <c r="R240" s="46"/>
      <c r="S240" s="46"/>
      <c r="T240" s="46"/>
      <c r="U240" s="46"/>
      <c r="V240" s="46"/>
      <c r="W240" s="46"/>
    </row>
    <row r="241">
      <c r="A241" s="44"/>
      <c r="B241" s="44"/>
      <c r="C241" s="30"/>
      <c r="D241" s="30"/>
      <c r="E241" s="55"/>
      <c r="F241" s="55"/>
      <c r="G241" s="55"/>
      <c r="H241" s="55"/>
      <c r="I241" s="56"/>
      <c r="J241" s="46"/>
      <c r="K241" s="46"/>
      <c r="L241" s="46"/>
      <c r="M241" s="46"/>
      <c r="N241" s="46"/>
      <c r="O241" s="46"/>
      <c r="P241" s="46"/>
      <c r="Q241" s="46"/>
      <c r="R241" s="46"/>
      <c r="S241" s="46"/>
      <c r="T241" s="46"/>
      <c r="U241" s="46"/>
      <c r="V241" s="46"/>
      <c r="W241" s="46"/>
    </row>
    <row r="242">
      <c r="A242" s="44"/>
      <c r="B242" s="44"/>
      <c r="C242" s="30"/>
      <c r="D242" s="30"/>
      <c r="E242" s="55"/>
      <c r="F242" s="55"/>
      <c r="G242" s="55"/>
      <c r="H242" s="55"/>
      <c r="I242" s="56"/>
      <c r="J242" s="46"/>
      <c r="K242" s="46"/>
      <c r="L242" s="46"/>
      <c r="M242" s="46"/>
      <c r="N242" s="46"/>
      <c r="O242" s="46"/>
      <c r="P242" s="46"/>
      <c r="Q242" s="46"/>
      <c r="R242" s="46"/>
      <c r="S242" s="46"/>
      <c r="T242" s="46"/>
      <c r="U242" s="46"/>
      <c r="V242" s="46"/>
      <c r="W242" s="46"/>
    </row>
    <row r="243">
      <c r="A243" s="44"/>
      <c r="B243" s="44"/>
      <c r="C243" s="30"/>
      <c r="D243" s="30"/>
      <c r="E243" s="55"/>
      <c r="F243" s="55"/>
      <c r="G243" s="55"/>
      <c r="H243" s="55"/>
      <c r="I243" s="56"/>
      <c r="J243" s="46"/>
      <c r="K243" s="46"/>
      <c r="L243" s="46"/>
      <c r="M243" s="46"/>
      <c r="N243" s="46"/>
      <c r="O243" s="46"/>
      <c r="P243" s="46"/>
      <c r="Q243" s="46"/>
      <c r="R243" s="46"/>
      <c r="S243" s="46"/>
      <c r="T243" s="46"/>
      <c r="U243" s="46"/>
      <c r="V243" s="46"/>
      <c r="W243" s="46"/>
    </row>
    <row r="244">
      <c r="A244" s="44"/>
      <c r="B244" s="44"/>
      <c r="C244" s="30"/>
      <c r="D244" s="30"/>
      <c r="E244" s="55"/>
      <c r="F244" s="55"/>
      <c r="G244" s="55"/>
      <c r="H244" s="55"/>
      <c r="I244" s="56"/>
      <c r="J244" s="46"/>
      <c r="K244" s="46"/>
      <c r="L244" s="46"/>
      <c r="M244" s="46"/>
      <c r="N244" s="46"/>
      <c r="O244" s="46"/>
      <c r="P244" s="46"/>
      <c r="Q244" s="46"/>
      <c r="R244" s="46"/>
      <c r="S244" s="46"/>
      <c r="T244" s="46"/>
      <c r="U244" s="46"/>
      <c r="V244" s="46"/>
      <c r="W244" s="46"/>
    </row>
    <row r="245">
      <c r="A245" s="44"/>
      <c r="B245" s="44"/>
      <c r="C245" s="30"/>
      <c r="D245" s="30"/>
      <c r="E245" s="55"/>
      <c r="F245" s="55"/>
      <c r="G245" s="55"/>
      <c r="H245" s="55"/>
      <c r="I245" s="56"/>
      <c r="J245" s="46"/>
      <c r="K245" s="46"/>
      <c r="L245" s="46"/>
      <c r="M245" s="46"/>
      <c r="N245" s="46"/>
      <c r="O245" s="46"/>
      <c r="P245" s="46"/>
      <c r="Q245" s="46"/>
      <c r="R245" s="46"/>
      <c r="S245" s="46"/>
      <c r="T245" s="46"/>
      <c r="U245" s="46"/>
      <c r="V245" s="46"/>
      <c r="W245" s="46"/>
    </row>
    <row r="246">
      <c r="A246" s="44"/>
      <c r="B246" s="44"/>
      <c r="C246" s="30"/>
      <c r="D246" s="30"/>
      <c r="E246" s="55"/>
      <c r="F246" s="55"/>
      <c r="G246" s="55"/>
      <c r="H246" s="55"/>
      <c r="I246" s="56"/>
      <c r="J246" s="46"/>
      <c r="K246" s="46"/>
      <c r="L246" s="46"/>
      <c r="M246" s="46"/>
      <c r="N246" s="46"/>
      <c r="O246" s="46"/>
      <c r="P246" s="46"/>
      <c r="Q246" s="46"/>
      <c r="R246" s="46"/>
      <c r="S246" s="46"/>
      <c r="T246" s="46"/>
      <c r="U246" s="46"/>
      <c r="V246" s="46"/>
      <c r="W246" s="46"/>
    </row>
    <row r="247">
      <c r="A247" s="44"/>
      <c r="B247" s="44"/>
      <c r="C247" s="30"/>
      <c r="D247" s="30"/>
      <c r="E247" s="55"/>
      <c r="F247" s="55"/>
      <c r="G247" s="55"/>
      <c r="H247" s="55"/>
      <c r="I247" s="56"/>
      <c r="J247" s="46"/>
      <c r="K247" s="46"/>
      <c r="L247" s="46"/>
      <c r="M247" s="46"/>
      <c r="N247" s="46"/>
      <c r="O247" s="46"/>
      <c r="P247" s="46"/>
      <c r="Q247" s="46"/>
      <c r="R247" s="46"/>
      <c r="S247" s="46"/>
      <c r="T247" s="46"/>
      <c r="U247" s="46"/>
      <c r="V247" s="46"/>
      <c r="W247" s="46"/>
    </row>
    <row r="248">
      <c r="A248" s="44"/>
      <c r="B248" s="44"/>
      <c r="C248" s="30"/>
      <c r="D248" s="30"/>
      <c r="E248" s="55"/>
      <c r="F248" s="55"/>
      <c r="G248" s="55"/>
      <c r="H248" s="55"/>
      <c r="I248" s="56"/>
      <c r="J248" s="46"/>
      <c r="K248" s="46"/>
      <c r="L248" s="46"/>
      <c r="M248" s="46"/>
      <c r="N248" s="46"/>
      <c r="O248" s="46"/>
      <c r="P248" s="46"/>
      <c r="Q248" s="46"/>
      <c r="R248" s="46"/>
      <c r="S248" s="46"/>
      <c r="T248" s="46"/>
      <c r="U248" s="46"/>
      <c r="V248" s="46"/>
      <c r="W248" s="46"/>
    </row>
    <row r="249">
      <c r="A249" s="44"/>
      <c r="B249" s="44"/>
      <c r="C249" s="30"/>
      <c r="D249" s="30"/>
      <c r="E249" s="55"/>
      <c r="F249" s="55"/>
      <c r="G249" s="55"/>
      <c r="H249" s="55"/>
      <c r="I249" s="56"/>
      <c r="J249" s="46"/>
      <c r="K249" s="46"/>
      <c r="L249" s="46"/>
      <c r="M249" s="46"/>
      <c r="N249" s="46"/>
      <c r="O249" s="46"/>
      <c r="P249" s="46"/>
      <c r="Q249" s="46"/>
      <c r="R249" s="46"/>
      <c r="S249" s="46"/>
      <c r="T249" s="46"/>
      <c r="U249" s="46"/>
      <c r="V249" s="46"/>
      <c r="W249" s="46"/>
    </row>
    <row r="250">
      <c r="A250" s="44"/>
      <c r="B250" s="44"/>
      <c r="C250" s="30"/>
      <c r="D250" s="30"/>
      <c r="E250" s="55"/>
      <c r="F250" s="55"/>
      <c r="G250" s="55"/>
      <c r="H250" s="55"/>
      <c r="I250" s="56"/>
      <c r="J250" s="46"/>
      <c r="K250" s="46"/>
      <c r="L250" s="46"/>
      <c r="M250" s="46"/>
      <c r="N250" s="46"/>
      <c r="O250" s="46"/>
      <c r="P250" s="46"/>
      <c r="Q250" s="46"/>
      <c r="R250" s="46"/>
      <c r="S250" s="46"/>
      <c r="T250" s="46"/>
      <c r="U250" s="46"/>
      <c r="V250" s="46"/>
      <c r="W250" s="46"/>
    </row>
    <row r="251">
      <c r="A251" s="44"/>
      <c r="B251" s="44"/>
      <c r="C251" s="30"/>
      <c r="D251" s="30"/>
      <c r="E251" s="55"/>
      <c r="F251" s="55"/>
      <c r="G251" s="55"/>
      <c r="H251" s="55"/>
      <c r="I251" s="56"/>
      <c r="J251" s="46"/>
      <c r="K251" s="46"/>
      <c r="L251" s="46"/>
      <c r="M251" s="46"/>
      <c r="N251" s="46"/>
      <c r="O251" s="46"/>
      <c r="P251" s="46"/>
      <c r="Q251" s="46"/>
      <c r="R251" s="46"/>
      <c r="S251" s="46"/>
      <c r="T251" s="46"/>
      <c r="U251" s="46"/>
      <c r="V251" s="46"/>
      <c r="W251" s="46"/>
    </row>
    <row r="252">
      <c r="A252" s="44"/>
      <c r="B252" s="44"/>
      <c r="C252" s="30"/>
      <c r="D252" s="30"/>
      <c r="E252" s="55"/>
      <c r="F252" s="55"/>
      <c r="G252" s="55"/>
      <c r="H252" s="55"/>
      <c r="I252" s="56"/>
      <c r="J252" s="46"/>
      <c r="K252" s="46"/>
      <c r="L252" s="46"/>
      <c r="M252" s="46"/>
      <c r="N252" s="46"/>
      <c r="O252" s="46"/>
      <c r="P252" s="46"/>
      <c r="Q252" s="46"/>
      <c r="R252" s="46"/>
      <c r="S252" s="46"/>
      <c r="T252" s="46"/>
      <c r="U252" s="46"/>
      <c r="V252" s="46"/>
      <c r="W252" s="46"/>
    </row>
    <row r="253">
      <c r="A253" s="44"/>
      <c r="B253" s="44"/>
      <c r="C253" s="30"/>
      <c r="D253" s="30"/>
      <c r="E253" s="55"/>
      <c r="F253" s="55"/>
      <c r="G253" s="55"/>
      <c r="H253" s="55"/>
      <c r="I253" s="56"/>
      <c r="J253" s="46"/>
      <c r="K253" s="46"/>
      <c r="L253" s="46"/>
      <c r="M253" s="46"/>
      <c r="N253" s="46"/>
      <c r="O253" s="46"/>
      <c r="P253" s="46"/>
      <c r="Q253" s="46"/>
      <c r="R253" s="46"/>
      <c r="S253" s="46"/>
      <c r="T253" s="46"/>
      <c r="U253" s="46"/>
      <c r="V253" s="46"/>
      <c r="W253" s="46"/>
    </row>
    <row r="254">
      <c r="A254" s="44"/>
      <c r="B254" s="44"/>
      <c r="C254" s="30"/>
      <c r="D254" s="30"/>
      <c r="E254" s="55"/>
      <c r="F254" s="55"/>
      <c r="G254" s="55"/>
      <c r="H254" s="55"/>
      <c r="I254" s="56"/>
      <c r="J254" s="46"/>
      <c r="K254" s="46"/>
      <c r="L254" s="46"/>
      <c r="M254" s="46"/>
      <c r="N254" s="46"/>
      <c r="O254" s="46"/>
      <c r="P254" s="46"/>
      <c r="Q254" s="46"/>
      <c r="R254" s="46"/>
      <c r="S254" s="46"/>
      <c r="T254" s="46"/>
      <c r="U254" s="46"/>
      <c r="V254" s="46"/>
      <c r="W254" s="46"/>
    </row>
    <row r="255">
      <c r="A255" s="44"/>
      <c r="B255" s="44"/>
      <c r="C255" s="30"/>
      <c r="D255" s="30"/>
      <c r="E255" s="55"/>
      <c r="F255" s="55"/>
      <c r="G255" s="55"/>
      <c r="H255" s="55"/>
      <c r="I255" s="56"/>
      <c r="J255" s="46"/>
      <c r="K255" s="46"/>
      <c r="L255" s="46"/>
      <c r="M255" s="46"/>
      <c r="N255" s="46"/>
      <c r="O255" s="46"/>
      <c r="P255" s="46"/>
      <c r="Q255" s="46"/>
      <c r="R255" s="46"/>
      <c r="S255" s="46"/>
      <c r="T255" s="46"/>
      <c r="U255" s="46"/>
      <c r="V255" s="46"/>
      <c r="W255" s="46"/>
    </row>
    <row r="256">
      <c r="A256" s="44"/>
      <c r="B256" s="44"/>
      <c r="C256" s="30"/>
      <c r="D256" s="30"/>
      <c r="E256" s="55"/>
      <c r="F256" s="55"/>
      <c r="G256" s="55"/>
      <c r="H256" s="55"/>
      <c r="I256" s="56"/>
      <c r="J256" s="46"/>
      <c r="K256" s="46"/>
      <c r="L256" s="46"/>
      <c r="M256" s="46"/>
      <c r="N256" s="46"/>
      <c r="O256" s="46"/>
      <c r="P256" s="46"/>
      <c r="Q256" s="46"/>
      <c r="R256" s="46"/>
      <c r="S256" s="46"/>
      <c r="T256" s="46"/>
      <c r="U256" s="46"/>
      <c r="V256" s="46"/>
      <c r="W256" s="46"/>
    </row>
    <row r="257">
      <c r="A257" s="44"/>
      <c r="B257" s="44"/>
      <c r="C257" s="30"/>
      <c r="D257" s="30"/>
      <c r="E257" s="55"/>
      <c r="F257" s="55"/>
      <c r="G257" s="55"/>
      <c r="H257" s="55"/>
      <c r="I257" s="56"/>
      <c r="J257" s="46"/>
      <c r="K257" s="46"/>
      <c r="L257" s="46"/>
      <c r="M257" s="46"/>
      <c r="N257" s="46"/>
      <c r="O257" s="46"/>
      <c r="P257" s="46"/>
      <c r="Q257" s="46"/>
      <c r="R257" s="46"/>
      <c r="S257" s="46"/>
      <c r="T257" s="46"/>
      <c r="U257" s="46"/>
      <c r="V257" s="46"/>
      <c r="W257" s="46"/>
    </row>
    <row r="258">
      <c r="A258" s="44"/>
      <c r="B258" s="44"/>
      <c r="C258" s="30"/>
      <c r="D258" s="30"/>
      <c r="E258" s="55"/>
      <c r="F258" s="55"/>
      <c r="G258" s="55"/>
      <c r="H258" s="55"/>
      <c r="I258" s="56"/>
      <c r="J258" s="46"/>
      <c r="K258" s="46"/>
      <c r="L258" s="46"/>
      <c r="M258" s="46"/>
      <c r="N258" s="46"/>
      <c r="O258" s="46"/>
      <c r="P258" s="46"/>
      <c r="Q258" s="46"/>
      <c r="R258" s="46"/>
      <c r="S258" s="46"/>
      <c r="T258" s="46"/>
      <c r="U258" s="46"/>
      <c r="V258" s="46"/>
      <c r="W258" s="46"/>
    </row>
    <row r="259">
      <c r="A259" s="44"/>
      <c r="B259" s="44"/>
      <c r="C259" s="30"/>
      <c r="D259" s="30"/>
      <c r="E259" s="55"/>
      <c r="F259" s="55"/>
      <c r="G259" s="55"/>
      <c r="H259" s="55"/>
      <c r="I259" s="56"/>
      <c r="J259" s="46"/>
      <c r="K259" s="46"/>
      <c r="L259" s="46"/>
      <c r="M259" s="46"/>
      <c r="N259" s="46"/>
      <c r="O259" s="46"/>
      <c r="P259" s="46"/>
      <c r="Q259" s="46"/>
      <c r="R259" s="46"/>
      <c r="S259" s="46"/>
      <c r="T259" s="46"/>
      <c r="U259" s="46"/>
      <c r="V259" s="46"/>
      <c r="W259" s="46"/>
    </row>
    <row r="260">
      <c r="A260" s="44"/>
      <c r="B260" s="44"/>
      <c r="C260" s="30"/>
      <c r="D260" s="30"/>
      <c r="E260" s="55"/>
      <c r="F260" s="55"/>
      <c r="G260" s="55"/>
      <c r="H260" s="55"/>
      <c r="I260" s="56"/>
      <c r="J260" s="46"/>
      <c r="K260" s="46"/>
      <c r="L260" s="46"/>
      <c r="M260" s="46"/>
      <c r="N260" s="46"/>
      <c r="O260" s="46"/>
      <c r="P260" s="46"/>
      <c r="Q260" s="46"/>
      <c r="R260" s="46"/>
      <c r="S260" s="46"/>
      <c r="T260" s="46"/>
      <c r="U260" s="46"/>
      <c r="V260" s="46"/>
      <c r="W260" s="46"/>
    </row>
    <row r="261">
      <c r="A261" s="44"/>
      <c r="B261" s="44"/>
      <c r="C261" s="30"/>
      <c r="D261" s="30"/>
      <c r="E261" s="55"/>
      <c r="F261" s="55"/>
      <c r="G261" s="55"/>
      <c r="H261" s="55"/>
      <c r="I261" s="56"/>
      <c r="J261" s="46"/>
      <c r="K261" s="46"/>
      <c r="L261" s="46"/>
      <c r="M261" s="46"/>
      <c r="N261" s="46"/>
      <c r="O261" s="46"/>
      <c r="P261" s="46"/>
      <c r="Q261" s="46"/>
      <c r="R261" s="46"/>
      <c r="S261" s="46"/>
      <c r="T261" s="46"/>
      <c r="U261" s="46"/>
      <c r="V261" s="46"/>
      <c r="W261" s="46"/>
    </row>
    <row r="262">
      <c r="A262" s="44"/>
      <c r="B262" s="44"/>
      <c r="C262" s="30"/>
      <c r="D262" s="30"/>
      <c r="E262" s="55"/>
      <c r="F262" s="55"/>
      <c r="G262" s="55"/>
      <c r="H262" s="55"/>
      <c r="I262" s="56"/>
      <c r="J262" s="46"/>
      <c r="K262" s="46"/>
      <c r="L262" s="46"/>
      <c r="M262" s="46"/>
      <c r="N262" s="46"/>
      <c r="O262" s="46"/>
      <c r="P262" s="46"/>
      <c r="Q262" s="46"/>
      <c r="R262" s="46"/>
      <c r="S262" s="46"/>
      <c r="T262" s="46"/>
      <c r="U262" s="46"/>
      <c r="V262" s="46"/>
      <c r="W262" s="46"/>
    </row>
    <row r="263">
      <c r="A263" s="44"/>
      <c r="B263" s="44"/>
      <c r="C263" s="30"/>
      <c r="D263" s="30"/>
      <c r="E263" s="55"/>
      <c r="F263" s="55"/>
      <c r="G263" s="55"/>
      <c r="H263" s="55"/>
      <c r="I263" s="56"/>
      <c r="J263" s="46"/>
      <c r="K263" s="46"/>
      <c r="L263" s="46"/>
      <c r="M263" s="46"/>
      <c r="N263" s="46"/>
      <c r="O263" s="46"/>
      <c r="P263" s="46"/>
      <c r="Q263" s="46"/>
      <c r="R263" s="46"/>
      <c r="S263" s="46"/>
      <c r="T263" s="46"/>
      <c r="U263" s="46"/>
      <c r="V263" s="46"/>
      <c r="W263" s="46"/>
    </row>
    <row r="264">
      <c r="A264" s="44"/>
      <c r="B264" s="44"/>
      <c r="C264" s="30"/>
      <c r="D264" s="30"/>
      <c r="E264" s="55"/>
      <c r="F264" s="55"/>
      <c r="G264" s="55"/>
      <c r="H264" s="55"/>
      <c r="I264" s="56"/>
      <c r="J264" s="46"/>
      <c r="K264" s="46"/>
      <c r="L264" s="46"/>
      <c r="M264" s="46"/>
      <c r="N264" s="46"/>
      <c r="O264" s="46"/>
      <c r="P264" s="46"/>
      <c r="Q264" s="46"/>
      <c r="R264" s="46"/>
      <c r="S264" s="46"/>
      <c r="T264" s="46"/>
      <c r="U264" s="46"/>
      <c r="V264" s="46"/>
      <c r="W264" s="46"/>
    </row>
    <row r="265">
      <c r="A265" s="44"/>
      <c r="B265" s="44"/>
      <c r="C265" s="30"/>
      <c r="D265" s="30"/>
      <c r="E265" s="55"/>
      <c r="F265" s="55"/>
      <c r="G265" s="55"/>
      <c r="H265" s="55"/>
      <c r="I265" s="56"/>
      <c r="J265" s="46"/>
      <c r="K265" s="46"/>
      <c r="L265" s="46"/>
      <c r="M265" s="46"/>
      <c r="N265" s="46"/>
      <c r="O265" s="46"/>
      <c r="P265" s="46"/>
      <c r="Q265" s="46"/>
      <c r="R265" s="46"/>
      <c r="S265" s="46"/>
      <c r="T265" s="46"/>
      <c r="U265" s="46"/>
      <c r="V265" s="46"/>
      <c r="W265" s="46"/>
    </row>
    <row r="266">
      <c r="A266" s="44"/>
      <c r="B266" s="44"/>
      <c r="C266" s="30"/>
      <c r="D266" s="30"/>
      <c r="E266" s="55"/>
      <c r="F266" s="55"/>
      <c r="G266" s="55"/>
      <c r="H266" s="55"/>
      <c r="I266" s="56"/>
      <c r="J266" s="46"/>
      <c r="K266" s="46"/>
      <c r="L266" s="46"/>
      <c r="M266" s="46"/>
      <c r="N266" s="46"/>
      <c r="O266" s="46"/>
      <c r="P266" s="46"/>
      <c r="Q266" s="46"/>
      <c r="R266" s="46"/>
      <c r="S266" s="46"/>
      <c r="T266" s="46"/>
      <c r="U266" s="46"/>
      <c r="V266" s="46"/>
      <c r="W266" s="46"/>
    </row>
    <row r="267">
      <c r="A267" s="44"/>
      <c r="B267" s="44"/>
      <c r="C267" s="30"/>
      <c r="D267" s="30"/>
      <c r="E267" s="55"/>
      <c r="F267" s="55"/>
      <c r="G267" s="55"/>
      <c r="H267" s="55"/>
      <c r="I267" s="56"/>
      <c r="J267" s="46"/>
      <c r="K267" s="46"/>
      <c r="L267" s="46"/>
      <c r="M267" s="46"/>
      <c r="N267" s="46"/>
      <c r="O267" s="46"/>
      <c r="P267" s="46"/>
      <c r="Q267" s="46"/>
      <c r="R267" s="46"/>
      <c r="S267" s="46"/>
      <c r="T267" s="46"/>
      <c r="U267" s="46"/>
      <c r="V267" s="46"/>
      <c r="W267" s="46"/>
    </row>
    <row r="268">
      <c r="A268" s="44"/>
      <c r="B268" s="44"/>
      <c r="C268" s="30"/>
      <c r="D268" s="30"/>
      <c r="E268" s="55"/>
      <c r="F268" s="55"/>
      <c r="G268" s="55"/>
      <c r="H268" s="55"/>
      <c r="I268" s="56"/>
      <c r="J268" s="46"/>
      <c r="K268" s="46"/>
      <c r="L268" s="46"/>
      <c r="M268" s="46"/>
      <c r="N268" s="46"/>
      <c r="O268" s="46"/>
      <c r="P268" s="46"/>
      <c r="Q268" s="46"/>
      <c r="R268" s="46"/>
      <c r="S268" s="46"/>
      <c r="T268" s="46"/>
      <c r="U268" s="46"/>
      <c r="V268" s="46"/>
      <c r="W268" s="46"/>
    </row>
    <row r="269">
      <c r="A269" s="44"/>
      <c r="B269" s="44"/>
      <c r="C269" s="30"/>
      <c r="D269" s="30"/>
      <c r="E269" s="55"/>
      <c r="F269" s="55"/>
      <c r="G269" s="55"/>
      <c r="H269" s="55"/>
      <c r="I269" s="56"/>
      <c r="J269" s="46"/>
      <c r="K269" s="46"/>
      <c r="L269" s="46"/>
      <c r="M269" s="46"/>
      <c r="N269" s="46"/>
      <c r="O269" s="46"/>
      <c r="P269" s="46"/>
      <c r="Q269" s="46"/>
      <c r="R269" s="46"/>
      <c r="S269" s="46"/>
      <c r="T269" s="46"/>
      <c r="U269" s="46"/>
      <c r="V269" s="46"/>
      <c r="W269" s="46"/>
    </row>
    <row r="270">
      <c r="A270" s="44"/>
      <c r="B270" s="44"/>
      <c r="C270" s="30"/>
      <c r="D270" s="30"/>
      <c r="E270" s="55"/>
      <c r="F270" s="55"/>
      <c r="G270" s="55"/>
      <c r="H270" s="55"/>
      <c r="I270" s="56"/>
      <c r="J270" s="46"/>
      <c r="K270" s="46"/>
      <c r="L270" s="46"/>
      <c r="M270" s="46"/>
      <c r="N270" s="46"/>
      <c r="O270" s="46"/>
      <c r="P270" s="46"/>
      <c r="Q270" s="46"/>
      <c r="R270" s="46"/>
      <c r="S270" s="46"/>
      <c r="T270" s="46"/>
      <c r="U270" s="46"/>
      <c r="V270" s="46"/>
      <c r="W270" s="46"/>
    </row>
    <row r="271">
      <c r="A271" s="44"/>
      <c r="B271" s="44"/>
      <c r="C271" s="30"/>
      <c r="D271" s="30"/>
      <c r="E271" s="55"/>
      <c r="F271" s="55"/>
      <c r="G271" s="55"/>
      <c r="H271" s="55"/>
      <c r="I271" s="56"/>
      <c r="J271" s="46"/>
      <c r="K271" s="46"/>
      <c r="L271" s="46"/>
      <c r="M271" s="46"/>
      <c r="N271" s="46"/>
      <c r="O271" s="46"/>
      <c r="P271" s="46"/>
      <c r="Q271" s="46"/>
      <c r="R271" s="46"/>
      <c r="S271" s="46"/>
      <c r="T271" s="46"/>
      <c r="U271" s="46"/>
      <c r="V271" s="46"/>
      <c r="W271" s="46"/>
    </row>
    <row r="272">
      <c r="A272" s="44"/>
      <c r="B272" s="44"/>
      <c r="C272" s="30"/>
      <c r="D272" s="30"/>
      <c r="E272" s="55"/>
      <c r="F272" s="55"/>
      <c r="G272" s="55"/>
      <c r="H272" s="55"/>
      <c r="I272" s="56"/>
      <c r="J272" s="46"/>
      <c r="K272" s="46"/>
      <c r="L272" s="46"/>
      <c r="M272" s="46"/>
      <c r="N272" s="46"/>
      <c r="O272" s="46"/>
      <c r="P272" s="46"/>
      <c r="Q272" s="46"/>
      <c r="R272" s="46"/>
      <c r="S272" s="46"/>
      <c r="T272" s="46"/>
      <c r="U272" s="46"/>
      <c r="V272" s="46"/>
      <c r="W272" s="46"/>
    </row>
    <row r="273">
      <c r="A273" s="44"/>
      <c r="B273" s="44"/>
      <c r="C273" s="30"/>
      <c r="D273" s="30"/>
      <c r="E273" s="55"/>
      <c r="F273" s="55"/>
      <c r="G273" s="55"/>
      <c r="H273" s="55"/>
      <c r="I273" s="56"/>
      <c r="J273" s="46"/>
      <c r="K273" s="46"/>
      <c r="L273" s="46"/>
      <c r="M273" s="46"/>
      <c r="N273" s="46"/>
      <c r="O273" s="46"/>
      <c r="P273" s="46"/>
      <c r="Q273" s="46"/>
      <c r="R273" s="46"/>
      <c r="S273" s="46"/>
      <c r="T273" s="46"/>
      <c r="U273" s="46"/>
      <c r="V273" s="46"/>
      <c r="W273" s="46"/>
    </row>
    <row r="274">
      <c r="A274" s="44"/>
      <c r="B274" s="44"/>
      <c r="C274" s="30"/>
      <c r="D274" s="30"/>
      <c r="E274" s="55"/>
      <c r="F274" s="55"/>
      <c r="G274" s="55"/>
      <c r="H274" s="55"/>
      <c r="I274" s="56"/>
      <c r="J274" s="46"/>
      <c r="K274" s="46"/>
      <c r="L274" s="46"/>
      <c r="M274" s="46"/>
      <c r="N274" s="46"/>
      <c r="O274" s="46"/>
      <c r="P274" s="46"/>
      <c r="Q274" s="46"/>
      <c r="R274" s="46"/>
      <c r="S274" s="46"/>
      <c r="T274" s="46"/>
      <c r="U274" s="46"/>
      <c r="V274" s="46"/>
      <c r="W274" s="46"/>
    </row>
    <row r="275">
      <c r="A275" s="44"/>
      <c r="B275" s="44"/>
      <c r="C275" s="30"/>
      <c r="D275" s="30"/>
      <c r="E275" s="55"/>
      <c r="F275" s="55"/>
      <c r="G275" s="55"/>
      <c r="H275" s="55"/>
      <c r="I275" s="56"/>
      <c r="J275" s="46"/>
      <c r="K275" s="46"/>
      <c r="L275" s="46"/>
      <c r="M275" s="46"/>
      <c r="N275" s="46"/>
      <c r="O275" s="46"/>
      <c r="P275" s="46"/>
      <c r="Q275" s="46"/>
      <c r="R275" s="46"/>
      <c r="S275" s="46"/>
      <c r="T275" s="46"/>
      <c r="U275" s="46"/>
      <c r="V275" s="46"/>
      <c r="W275" s="46"/>
    </row>
    <row r="276">
      <c r="A276" s="44"/>
      <c r="B276" s="44"/>
      <c r="C276" s="30"/>
      <c r="D276" s="30"/>
      <c r="E276" s="55"/>
      <c r="F276" s="55"/>
      <c r="G276" s="55"/>
      <c r="H276" s="55"/>
      <c r="I276" s="56"/>
      <c r="J276" s="46"/>
      <c r="K276" s="46"/>
      <c r="L276" s="46"/>
      <c r="M276" s="46"/>
      <c r="N276" s="46"/>
      <c r="O276" s="46"/>
      <c r="P276" s="46"/>
      <c r="Q276" s="46"/>
      <c r="R276" s="46"/>
      <c r="S276" s="46"/>
      <c r="T276" s="46"/>
      <c r="U276" s="46"/>
      <c r="V276" s="46"/>
      <c r="W276" s="46"/>
    </row>
    <row r="277">
      <c r="A277" s="44"/>
      <c r="B277" s="44"/>
      <c r="C277" s="30"/>
      <c r="D277" s="30"/>
      <c r="E277" s="55"/>
      <c r="F277" s="55"/>
      <c r="G277" s="55"/>
      <c r="H277" s="55"/>
      <c r="I277" s="56"/>
      <c r="J277" s="46"/>
      <c r="K277" s="46"/>
      <c r="L277" s="46"/>
      <c r="M277" s="46"/>
      <c r="N277" s="46"/>
      <c r="O277" s="46"/>
      <c r="P277" s="46"/>
      <c r="Q277" s="46"/>
      <c r="R277" s="46"/>
      <c r="S277" s="46"/>
      <c r="T277" s="46"/>
      <c r="U277" s="46"/>
      <c r="V277" s="46"/>
      <c r="W277" s="46"/>
    </row>
    <row r="278">
      <c r="A278" s="44"/>
      <c r="B278" s="44"/>
      <c r="C278" s="30"/>
      <c r="D278" s="30"/>
      <c r="E278" s="55"/>
      <c r="F278" s="55"/>
      <c r="G278" s="55"/>
      <c r="H278" s="55"/>
      <c r="I278" s="56"/>
      <c r="J278" s="46"/>
      <c r="K278" s="46"/>
      <c r="L278" s="46"/>
      <c r="M278" s="46"/>
      <c r="N278" s="46"/>
      <c r="O278" s="46"/>
      <c r="P278" s="46"/>
      <c r="Q278" s="46"/>
      <c r="R278" s="46"/>
      <c r="S278" s="46"/>
      <c r="T278" s="46"/>
      <c r="U278" s="46"/>
      <c r="V278" s="46"/>
      <c r="W278" s="46"/>
    </row>
    <row r="279">
      <c r="A279" s="44"/>
      <c r="B279" s="44"/>
      <c r="C279" s="30"/>
      <c r="D279" s="30"/>
      <c r="E279" s="55"/>
      <c r="F279" s="55"/>
      <c r="G279" s="55"/>
      <c r="H279" s="55"/>
      <c r="I279" s="56"/>
      <c r="J279" s="46"/>
      <c r="K279" s="46"/>
      <c r="L279" s="46"/>
      <c r="M279" s="46"/>
      <c r="N279" s="46"/>
      <c r="O279" s="46"/>
      <c r="P279" s="46"/>
      <c r="Q279" s="46"/>
      <c r="R279" s="46"/>
      <c r="S279" s="46"/>
      <c r="T279" s="46"/>
      <c r="U279" s="46"/>
      <c r="V279" s="46"/>
      <c r="W279" s="46"/>
    </row>
    <row r="280">
      <c r="A280" s="44"/>
      <c r="B280" s="44"/>
      <c r="C280" s="30"/>
      <c r="D280" s="30"/>
      <c r="E280" s="55"/>
      <c r="F280" s="55"/>
      <c r="G280" s="55"/>
      <c r="H280" s="55"/>
      <c r="I280" s="56"/>
      <c r="J280" s="46"/>
      <c r="K280" s="46"/>
      <c r="L280" s="46"/>
      <c r="M280" s="46"/>
      <c r="N280" s="46"/>
      <c r="O280" s="46"/>
      <c r="P280" s="46"/>
      <c r="Q280" s="46"/>
      <c r="R280" s="46"/>
      <c r="S280" s="46"/>
      <c r="T280" s="46"/>
      <c r="U280" s="46"/>
      <c r="V280" s="46"/>
      <c r="W280" s="46"/>
    </row>
    <row r="281">
      <c r="A281" s="44"/>
      <c r="B281" s="44"/>
      <c r="C281" s="30"/>
      <c r="D281" s="30"/>
      <c r="E281" s="55"/>
      <c r="F281" s="55"/>
      <c r="G281" s="55"/>
      <c r="H281" s="55"/>
      <c r="I281" s="56"/>
      <c r="J281" s="46"/>
      <c r="K281" s="46"/>
      <c r="L281" s="46"/>
      <c r="M281" s="46"/>
      <c r="N281" s="46"/>
      <c r="O281" s="46"/>
      <c r="P281" s="46"/>
      <c r="Q281" s="46"/>
      <c r="R281" s="46"/>
      <c r="S281" s="46"/>
      <c r="T281" s="46"/>
      <c r="U281" s="46"/>
      <c r="V281" s="46"/>
      <c r="W281" s="46"/>
    </row>
    <row r="282">
      <c r="A282" s="44"/>
      <c r="B282" s="44"/>
      <c r="C282" s="30"/>
      <c r="D282" s="30"/>
      <c r="E282" s="55"/>
      <c r="F282" s="55"/>
      <c r="G282" s="55"/>
      <c r="H282" s="55"/>
      <c r="I282" s="56"/>
      <c r="J282" s="46"/>
      <c r="K282" s="46"/>
      <c r="L282" s="46"/>
      <c r="M282" s="46"/>
      <c r="N282" s="46"/>
      <c r="O282" s="46"/>
      <c r="P282" s="46"/>
      <c r="Q282" s="46"/>
      <c r="R282" s="46"/>
      <c r="S282" s="46"/>
      <c r="T282" s="46"/>
      <c r="U282" s="46"/>
      <c r="V282" s="46"/>
      <c r="W282" s="46"/>
    </row>
    <row r="283">
      <c r="A283" s="44"/>
      <c r="B283" s="44"/>
      <c r="C283" s="30"/>
      <c r="D283" s="30"/>
      <c r="E283" s="55"/>
      <c r="F283" s="55"/>
      <c r="G283" s="55"/>
      <c r="H283" s="55"/>
      <c r="I283" s="56"/>
      <c r="J283" s="46"/>
      <c r="K283" s="46"/>
      <c r="L283" s="46"/>
      <c r="M283" s="46"/>
      <c r="N283" s="46"/>
      <c r="O283" s="46"/>
      <c r="P283" s="46"/>
      <c r="Q283" s="46"/>
      <c r="R283" s="46"/>
      <c r="S283" s="46"/>
      <c r="T283" s="46"/>
      <c r="U283" s="46"/>
      <c r="V283" s="46"/>
      <c r="W283" s="46"/>
    </row>
    <row r="284">
      <c r="A284" s="44"/>
      <c r="B284" s="44"/>
      <c r="C284" s="30"/>
      <c r="D284" s="30"/>
      <c r="E284" s="55"/>
      <c r="F284" s="55"/>
      <c r="G284" s="55"/>
      <c r="H284" s="55"/>
      <c r="I284" s="56"/>
      <c r="J284" s="46"/>
      <c r="K284" s="46"/>
      <c r="L284" s="46"/>
      <c r="M284" s="46"/>
      <c r="N284" s="46"/>
      <c r="O284" s="46"/>
      <c r="P284" s="46"/>
      <c r="Q284" s="46"/>
      <c r="R284" s="46"/>
      <c r="S284" s="46"/>
      <c r="T284" s="46"/>
      <c r="U284" s="46"/>
      <c r="V284" s="46"/>
      <c r="W284" s="46"/>
    </row>
    <row r="285">
      <c r="A285" s="44"/>
      <c r="B285" s="44"/>
      <c r="C285" s="30"/>
      <c r="D285" s="30"/>
      <c r="E285" s="55"/>
      <c r="F285" s="55"/>
      <c r="G285" s="55"/>
      <c r="H285" s="55"/>
      <c r="I285" s="56"/>
      <c r="J285" s="46"/>
      <c r="K285" s="46"/>
      <c r="L285" s="46"/>
      <c r="M285" s="46"/>
      <c r="N285" s="46"/>
      <c r="O285" s="46"/>
      <c r="P285" s="46"/>
      <c r="Q285" s="46"/>
      <c r="R285" s="46"/>
      <c r="S285" s="46"/>
      <c r="T285" s="46"/>
      <c r="U285" s="46"/>
      <c r="V285" s="46"/>
      <c r="W285" s="46"/>
    </row>
    <row r="286">
      <c r="A286" s="44"/>
      <c r="B286" s="44"/>
      <c r="C286" s="30"/>
      <c r="D286" s="30"/>
      <c r="E286" s="55"/>
      <c r="F286" s="55"/>
      <c r="G286" s="55"/>
      <c r="H286" s="55"/>
      <c r="I286" s="56"/>
      <c r="J286" s="46"/>
      <c r="K286" s="46"/>
      <c r="L286" s="46"/>
      <c r="M286" s="46"/>
      <c r="N286" s="46"/>
      <c r="O286" s="46"/>
      <c r="P286" s="46"/>
      <c r="Q286" s="46"/>
      <c r="R286" s="46"/>
      <c r="S286" s="46"/>
      <c r="T286" s="46"/>
      <c r="U286" s="46"/>
      <c r="V286" s="46"/>
      <c r="W286" s="46"/>
    </row>
    <row r="287">
      <c r="A287" s="44"/>
      <c r="B287" s="44"/>
      <c r="C287" s="30"/>
      <c r="D287" s="30"/>
      <c r="E287" s="55"/>
      <c r="F287" s="55"/>
      <c r="G287" s="55"/>
      <c r="H287" s="55"/>
      <c r="I287" s="56"/>
      <c r="J287" s="46"/>
      <c r="K287" s="46"/>
      <c r="L287" s="46"/>
      <c r="M287" s="46"/>
      <c r="N287" s="46"/>
      <c r="O287" s="46"/>
      <c r="P287" s="46"/>
      <c r="Q287" s="46"/>
      <c r="R287" s="46"/>
      <c r="S287" s="46"/>
      <c r="T287" s="46"/>
      <c r="U287" s="46"/>
      <c r="V287" s="46"/>
      <c r="W287" s="46"/>
    </row>
    <row r="288">
      <c r="A288" s="44"/>
      <c r="B288" s="44"/>
      <c r="C288" s="30"/>
      <c r="D288" s="30"/>
      <c r="E288" s="55"/>
      <c r="F288" s="55"/>
      <c r="G288" s="55"/>
      <c r="H288" s="55"/>
      <c r="I288" s="56"/>
      <c r="J288" s="46"/>
      <c r="K288" s="46"/>
      <c r="L288" s="46"/>
      <c r="M288" s="46"/>
      <c r="N288" s="46"/>
      <c r="O288" s="46"/>
      <c r="P288" s="46"/>
      <c r="Q288" s="46"/>
      <c r="R288" s="46"/>
      <c r="S288" s="46"/>
      <c r="T288" s="46"/>
      <c r="U288" s="46"/>
      <c r="V288" s="46"/>
      <c r="W288" s="46"/>
    </row>
    <row r="289">
      <c r="A289" s="44"/>
      <c r="B289" s="44"/>
      <c r="C289" s="30"/>
      <c r="D289" s="30"/>
      <c r="E289" s="55"/>
      <c r="F289" s="55"/>
      <c r="G289" s="55"/>
      <c r="H289" s="55"/>
      <c r="I289" s="56"/>
      <c r="J289" s="46"/>
      <c r="K289" s="46"/>
      <c r="L289" s="46"/>
      <c r="M289" s="46"/>
      <c r="N289" s="46"/>
      <c r="O289" s="46"/>
      <c r="P289" s="46"/>
      <c r="Q289" s="46"/>
      <c r="R289" s="46"/>
      <c r="S289" s="46"/>
      <c r="T289" s="46"/>
      <c r="U289" s="46"/>
      <c r="V289" s="46"/>
      <c r="W289" s="46"/>
    </row>
    <row r="290">
      <c r="A290" s="44"/>
      <c r="B290" s="44"/>
      <c r="C290" s="30"/>
      <c r="D290" s="30"/>
      <c r="E290" s="55"/>
      <c r="F290" s="55"/>
      <c r="G290" s="55"/>
      <c r="H290" s="55"/>
      <c r="I290" s="56"/>
      <c r="J290" s="46"/>
      <c r="K290" s="46"/>
      <c r="L290" s="46"/>
      <c r="M290" s="46"/>
      <c r="N290" s="46"/>
      <c r="O290" s="46"/>
      <c r="P290" s="46"/>
      <c r="Q290" s="46"/>
      <c r="R290" s="46"/>
      <c r="S290" s="46"/>
      <c r="T290" s="46"/>
      <c r="U290" s="46"/>
      <c r="V290" s="46"/>
      <c r="W290" s="46"/>
    </row>
    <row r="291">
      <c r="A291" s="44"/>
      <c r="B291" s="44"/>
      <c r="C291" s="30"/>
      <c r="D291" s="30"/>
      <c r="E291" s="55"/>
      <c r="F291" s="55"/>
      <c r="G291" s="55"/>
      <c r="H291" s="55"/>
      <c r="I291" s="56"/>
      <c r="J291" s="46"/>
      <c r="K291" s="46"/>
      <c r="L291" s="46"/>
      <c r="M291" s="46"/>
      <c r="N291" s="46"/>
      <c r="O291" s="46"/>
      <c r="P291" s="46"/>
      <c r="Q291" s="46"/>
      <c r="R291" s="46"/>
      <c r="S291" s="46"/>
      <c r="T291" s="46"/>
      <c r="U291" s="46"/>
      <c r="V291" s="46"/>
      <c r="W291" s="46"/>
    </row>
    <row r="292">
      <c r="A292" s="44"/>
      <c r="B292" s="44"/>
      <c r="C292" s="30"/>
      <c r="D292" s="30"/>
      <c r="E292" s="55"/>
      <c r="F292" s="55"/>
      <c r="G292" s="55"/>
      <c r="H292" s="55"/>
      <c r="I292" s="56"/>
      <c r="J292" s="46"/>
      <c r="K292" s="46"/>
      <c r="L292" s="46"/>
      <c r="M292" s="46"/>
      <c r="N292" s="46"/>
      <c r="O292" s="46"/>
      <c r="P292" s="46"/>
      <c r="Q292" s="46"/>
      <c r="R292" s="46"/>
      <c r="S292" s="46"/>
      <c r="T292" s="46"/>
      <c r="U292" s="46"/>
      <c r="V292" s="46"/>
      <c r="W292" s="46"/>
    </row>
    <row r="293">
      <c r="A293" s="44"/>
      <c r="B293" s="44"/>
      <c r="C293" s="30"/>
      <c r="D293" s="30"/>
      <c r="E293" s="55"/>
      <c r="F293" s="55"/>
      <c r="G293" s="55"/>
      <c r="H293" s="55"/>
      <c r="I293" s="56"/>
      <c r="J293" s="46"/>
      <c r="K293" s="46"/>
      <c r="L293" s="46"/>
      <c r="M293" s="46"/>
      <c r="N293" s="46"/>
      <c r="O293" s="46"/>
      <c r="P293" s="46"/>
      <c r="Q293" s="46"/>
      <c r="R293" s="46"/>
      <c r="S293" s="46"/>
      <c r="T293" s="46"/>
      <c r="U293" s="46"/>
      <c r="V293" s="46"/>
      <c r="W293" s="46"/>
    </row>
    <row r="294">
      <c r="A294" s="44"/>
      <c r="B294" s="44"/>
      <c r="C294" s="30"/>
      <c r="D294" s="30"/>
      <c r="E294" s="55"/>
      <c r="F294" s="55"/>
      <c r="G294" s="55"/>
      <c r="H294" s="55"/>
      <c r="I294" s="56"/>
      <c r="J294" s="46"/>
      <c r="K294" s="46"/>
      <c r="L294" s="46"/>
      <c r="M294" s="46"/>
      <c r="N294" s="46"/>
      <c r="O294" s="46"/>
      <c r="P294" s="46"/>
      <c r="Q294" s="46"/>
      <c r="R294" s="46"/>
      <c r="S294" s="46"/>
      <c r="T294" s="46"/>
      <c r="U294" s="46"/>
      <c r="V294" s="46"/>
      <c r="W294" s="46"/>
    </row>
    <row r="295">
      <c r="A295" s="44"/>
      <c r="B295" s="44"/>
      <c r="C295" s="30"/>
      <c r="D295" s="30"/>
      <c r="E295" s="55"/>
      <c r="F295" s="55"/>
      <c r="G295" s="55"/>
      <c r="H295" s="55"/>
      <c r="I295" s="56"/>
      <c r="J295" s="46"/>
      <c r="K295" s="46"/>
      <c r="L295" s="46"/>
      <c r="M295" s="46"/>
      <c r="N295" s="46"/>
      <c r="O295" s="46"/>
      <c r="P295" s="46"/>
      <c r="Q295" s="46"/>
      <c r="R295" s="46"/>
      <c r="S295" s="46"/>
      <c r="T295" s="46"/>
      <c r="U295" s="46"/>
      <c r="V295" s="46"/>
      <c r="W295" s="46"/>
    </row>
    <row r="296">
      <c r="A296" s="44"/>
      <c r="B296" s="44"/>
      <c r="C296" s="30"/>
      <c r="D296" s="30"/>
      <c r="E296" s="55"/>
      <c r="F296" s="55"/>
      <c r="G296" s="55"/>
      <c r="H296" s="55"/>
      <c r="I296" s="56"/>
      <c r="J296" s="46"/>
      <c r="K296" s="46"/>
      <c r="L296" s="46"/>
      <c r="M296" s="46"/>
      <c r="N296" s="46"/>
      <c r="O296" s="46"/>
      <c r="P296" s="46"/>
      <c r="Q296" s="46"/>
      <c r="R296" s="46"/>
      <c r="S296" s="46"/>
      <c r="T296" s="46"/>
      <c r="U296" s="46"/>
      <c r="V296" s="46"/>
      <c r="W296" s="46"/>
    </row>
    <row r="297">
      <c r="A297" s="44"/>
      <c r="B297" s="44"/>
      <c r="C297" s="30"/>
      <c r="D297" s="30"/>
      <c r="E297" s="55"/>
      <c r="F297" s="55"/>
      <c r="G297" s="55"/>
      <c r="H297" s="55"/>
      <c r="I297" s="56"/>
      <c r="J297" s="46"/>
      <c r="K297" s="46"/>
      <c r="L297" s="46"/>
      <c r="M297" s="46"/>
      <c r="N297" s="46"/>
      <c r="O297" s="46"/>
      <c r="P297" s="46"/>
      <c r="Q297" s="46"/>
      <c r="R297" s="46"/>
      <c r="S297" s="46"/>
      <c r="T297" s="46"/>
      <c r="U297" s="46"/>
      <c r="V297" s="46"/>
      <c r="W297" s="46"/>
    </row>
    <row r="298">
      <c r="A298" s="44"/>
      <c r="B298" s="44"/>
      <c r="C298" s="30"/>
      <c r="D298" s="30"/>
      <c r="E298" s="55"/>
      <c r="F298" s="55"/>
      <c r="G298" s="55"/>
      <c r="H298" s="55"/>
      <c r="I298" s="56"/>
      <c r="J298" s="46"/>
      <c r="K298" s="46"/>
      <c r="L298" s="46"/>
      <c r="M298" s="46"/>
      <c r="N298" s="46"/>
      <c r="O298" s="46"/>
      <c r="P298" s="46"/>
      <c r="Q298" s="46"/>
      <c r="R298" s="46"/>
      <c r="S298" s="46"/>
      <c r="T298" s="46"/>
      <c r="U298" s="46"/>
      <c r="V298" s="46"/>
      <c r="W298" s="46"/>
    </row>
    <row r="299">
      <c r="A299" s="44"/>
      <c r="B299" s="44"/>
      <c r="C299" s="30"/>
      <c r="D299" s="30"/>
      <c r="E299" s="55"/>
      <c r="F299" s="55"/>
      <c r="G299" s="55"/>
      <c r="H299" s="55"/>
      <c r="I299" s="56"/>
      <c r="J299" s="46"/>
      <c r="K299" s="46"/>
      <c r="L299" s="46"/>
      <c r="M299" s="46"/>
      <c r="N299" s="46"/>
      <c r="O299" s="46"/>
      <c r="P299" s="46"/>
      <c r="Q299" s="46"/>
      <c r="R299" s="46"/>
      <c r="S299" s="46"/>
      <c r="T299" s="46"/>
      <c r="U299" s="46"/>
      <c r="V299" s="46"/>
      <c r="W299" s="46"/>
    </row>
    <row r="300">
      <c r="A300" s="44"/>
      <c r="B300" s="44"/>
      <c r="C300" s="30"/>
      <c r="D300" s="30"/>
      <c r="E300" s="55"/>
      <c r="F300" s="55"/>
      <c r="G300" s="55"/>
      <c r="H300" s="55"/>
      <c r="I300" s="56"/>
      <c r="J300" s="46"/>
      <c r="K300" s="46"/>
      <c r="L300" s="46"/>
      <c r="M300" s="46"/>
      <c r="N300" s="46"/>
      <c r="O300" s="46"/>
      <c r="P300" s="46"/>
      <c r="Q300" s="46"/>
      <c r="R300" s="46"/>
      <c r="S300" s="46"/>
      <c r="T300" s="46"/>
      <c r="U300" s="46"/>
      <c r="V300" s="46"/>
      <c r="W300" s="46"/>
    </row>
    <row r="301">
      <c r="A301" s="44"/>
      <c r="B301" s="44"/>
      <c r="C301" s="30"/>
      <c r="D301" s="30"/>
      <c r="E301" s="55"/>
      <c r="F301" s="55"/>
      <c r="G301" s="55"/>
      <c r="H301" s="55"/>
      <c r="I301" s="56"/>
      <c r="J301" s="46"/>
      <c r="K301" s="46"/>
      <c r="L301" s="46"/>
      <c r="M301" s="46"/>
      <c r="N301" s="46"/>
      <c r="O301" s="46"/>
      <c r="P301" s="46"/>
      <c r="Q301" s="46"/>
      <c r="R301" s="46"/>
      <c r="S301" s="46"/>
      <c r="T301" s="46"/>
      <c r="U301" s="46"/>
      <c r="V301" s="46"/>
      <c r="W301" s="46"/>
    </row>
    <row r="302">
      <c r="A302" s="44"/>
      <c r="B302" s="44"/>
      <c r="C302" s="30"/>
      <c r="D302" s="30"/>
      <c r="E302" s="55"/>
      <c r="F302" s="55"/>
      <c r="G302" s="55"/>
      <c r="H302" s="55"/>
      <c r="I302" s="56"/>
      <c r="J302" s="46"/>
      <c r="K302" s="46"/>
      <c r="L302" s="46"/>
      <c r="M302" s="46"/>
      <c r="N302" s="46"/>
      <c r="O302" s="46"/>
      <c r="P302" s="46"/>
      <c r="Q302" s="46"/>
      <c r="R302" s="46"/>
      <c r="S302" s="46"/>
      <c r="T302" s="46"/>
      <c r="U302" s="46"/>
      <c r="V302" s="46"/>
      <c r="W302" s="46"/>
    </row>
    <row r="303">
      <c r="A303" s="44"/>
      <c r="B303" s="44"/>
      <c r="C303" s="30"/>
      <c r="D303" s="30"/>
      <c r="E303" s="55"/>
      <c r="F303" s="55"/>
      <c r="G303" s="55"/>
      <c r="H303" s="55"/>
      <c r="I303" s="56"/>
      <c r="J303" s="46"/>
      <c r="K303" s="46"/>
      <c r="L303" s="46"/>
      <c r="M303" s="46"/>
      <c r="N303" s="46"/>
      <c r="O303" s="46"/>
      <c r="P303" s="46"/>
      <c r="Q303" s="46"/>
      <c r="R303" s="46"/>
      <c r="S303" s="46"/>
      <c r="T303" s="46"/>
      <c r="U303" s="46"/>
      <c r="V303" s="46"/>
      <c r="W303" s="46"/>
    </row>
    <row r="304">
      <c r="A304" s="44"/>
      <c r="B304" s="44"/>
      <c r="C304" s="30"/>
      <c r="D304" s="30"/>
      <c r="E304" s="55"/>
      <c r="F304" s="55"/>
      <c r="G304" s="55"/>
      <c r="H304" s="55"/>
      <c r="I304" s="56"/>
      <c r="J304" s="46"/>
      <c r="K304" s="46"/>
      <c r="L304" s="46"/>
      <c r="M304" s="46"/>
      <c r="N304" s="46"/>
      <c r="O304" s="46"/>
      <c r="P304" s="46"/>
      <c r="Q304" s="46"/>
      <c r="R304" s="46"/>
      <c r="S304" s="46"/>
      <c r="T304" s="46"/>
      <c r="U304" s="46"/>
      <c r="V304" s="46"/>
      <c r="W304" s="46"/>
    </row>
    <row r="305">
      <c r="A305" s="44"/>
      <c r="B305" s="44"/>
      <c r="C305" s="30"/>
      <c r="D305" s="30"/>
      <c r="E305" s="55"/>
      <c r="F305" s="55"/>
      <c r="G305" s="55"/>
      <c r="H305" s="55"/>
      <c r="I305" s="56"/>
      <c r="J305" s="46"/>
      <c r="K305" s="46"/>
      <c r="L305" s="46"/>
      <c r="M305" s="46"/>
      <c r="N305" s="46"/>
      <c r="O305" s="46"/>
      <c r="P305" s="46"/>
      <c r="Q305" s="46"/>
      <c r="R305" s="46"/>
      <c r="S305" s="46"/>
      <c r="T305" s="46"/>
      <c r="U305" s="46"/>
      <c r="V305" s="46"/>
      <c r="W305" s="46"/>
    </row>
    <row r="306">
      <c r="A306" s="44"/>
      <c r="B306" s="44"/>
      <c r="C306" s="30"/>
      <c r="D306" s="30"/>
      <c r="E306" s="55"/>
      <c r="F306" s="55"/>
      <c r="G306" s="55"/>
      <c r="H306" s="55"/>
      <c r="I306" s="56"/>
      <c r="J306" s="46"/>
      <c r="K306" s="46"/>
      <c r="L306" s="46"/>
      <c r="M306" s="46"/>
      <c r="N306" s="46"/>
      <c r="O306" s="46"/>
      <c r="P306" s="46"/>
      <c r="Q306" s="46"/>
      <c r="R306" s="46"/>
      <c r="S306" s="46"/>
      <c r="T306" s="46"/>
      <c r="U306" s="46"/>
      <c r="V306" s="46"/>
      <c r="W306" s="46"/>
    </row>
    <row r="307">
      <c r="A307" s="44"/>
      <c r="B307" s="44"/>
      <c r="C307" s="30"/>
      <c r="D307" s="30"/>
      <c r="E307" s="55"/>
      <c r="F307" s="55"/>
      <c r="G307" s="55"/>
      <c r="H307" s="55"/>
      <c r="I307" s="56"/>
      <c r="J307" s="46"/>
      <c r="K307" s="46"/>
      <c r="L307" s="46"/>
      <c r="M307" s="46"/>
      <c r="N307" s="46"/>
      <c r="O307" s="46"/>
      <c r="P307" s="46"/>
      <c r="Q307" s="46"/>
      <c r="R307" s="46"/>
      <c r="S307" s="46"/>
      <c r="T307" s="46"/>
      <c r="U307" s="46"/>
      <c r="V307" s="46"/>
      <c r="W307" s="46"/>
    </row>
    <row r="308">
      <c r="A308" s="44"/>
      <c r="B308" s="44"/>
      <c r="C308" s="30"/>
      <c r="D308" s="30"/>
      <c r="E308" s="55"/>
      <c r="F308" s="55"/>
      <c r="G308" s="55"/>
      <c r="H308" s="55"/>
      <c r="I308" s="56"/>
      <c r="J308" s="46"/>
      <c r="K308" s="46"/>
      <c r="L308" s="46"/>
      <c r="M308" s="46"/>
      <c r="N308" s="46"/>
      <c r="O308" s="46"/>
      <c r="P308" s="46"/>
      <c r="Q308" s="46"/>
      <c r="R308" s="46"/>
      <c r="S308" s="46"/>
      <c r="T308" s="46"/>
      <c r="U308" s="46"/>
      <c r="V308" s="46"/>
      <c r="W308" s="46"/>
    </row>
    <row r="309">
      <c r="A309" s="44"/>
      <c r="B309" s="44"/>
      <c r="C309" s="30"/>
      <c r="D309" s="30"/>
      <c r="E309" s="55"/>
      <c r="F309" s="55"/>
      <c r="G309" s="55"/>
      <c r="H309" s="55"/>
      <c r="I309" s="56"/>
      <c r="J309" s="46"/>
      <c r="K309" s="46"/>
      <c r="L309" s="46"/>
      <c r="M309" s="46"/>
      <c r="N309" s="46"/>
      <c r="O309" s="46"/>
      <c r="P309" s="46"/>
      <c r="Q309" s="46"/>
      <c r="R309" s="46"/>
      <c r="S309" s="46"/>
      <c r="T309" s="46"/>
      <c r="U309" s="46"/>
      <c r="V309" s="46"/>
      <c r="W309" s="46"/>
    </row>
    <row r="310">
      <c r="A310" s="44"/>
      <c r="B310" s="44"/>
      <c r="C310" s="30"/>
      <c r="D310" s="30"/>
      <c r="E310" s="55"/>
      <c r="F310" s="55"/>
      <c r="G310" s="55"/>
      <c r="H310" s="55"/>
      <c r="I310" s="56"/>
      <c r="J310" s="46"/>
      <c r="K310" s="46"/>
      <c r="L310" s="46"/>
      <c r="M310" s="46"/>
      <c r="N310" s="46"/>
      <c r="O310" s="46"/>
      <c r="P310" s="46"/>
      <c r="Q310" s="46"/>
      <c r="R310" s="46"/>
      <c r="S310" s="46"/>
      <c r="T310" s="46"/>
      <c r="U310" s="46"/>
      <c r="V310" s="46"/>
      <c r="W310" s="46"/>
    </row>
    <row r="311">
      <c r="A311" s="44"/>
      <c r="B311" s="44"/>
      <c r="C311" s="30"/>
      <c r="D311" s="30"/>
      <c r="E311" s="55"/>
      <c r="F311" s="55"/>
      <c r="G311" s="55"/>
      <c r="H311" s="55"/>
      <c r="I311" s="56"/>
      <c r="J311" s="46"/>
      <c r="K311" s="46"/>
      <c r="L311" s="46"/>
      <c r="M311" s="46"/>
      <c r="N311" s="46"/>
      <c r="O311" s="46"/>
      <c r="P311" s="46"/>
      <c r="Q311" s="46"/>
      <c r="R311" s="46"/>
      <c r="S311" s="46"/>
      <c r="T311" s="46"/>
      <c r="U311" s="46"/>
      <c r="V311" s="46"/>
      <c r="W311" s="46"/>
    </row>
    <row r="312">
      <c r="A312" s="44"/>
      <c r="B312" s="44"/>
      <c r="C312" s="30"/>
      <c r="D312" s="30"/>
      <c r="E312" s="55"/>
      <c r="F312" s="55"/>
      <c r="G312" s="55"/>
      <c r="H312" s="55"/>
      <c r="I312" s="56"/>
      <c r="J312" s="46"/>
      <c r="K312" s="46"/>
      <c r="L312" s="46"/>
      <c r="M312" s="46"/>
      <c r="N312" s="46"/>
      <c r="O312" s="46"/>
      <c r="P312" s="46"/>
      <c r="Q312" s="46"/>
      <c r="R312" s="46"/>
      <c r="S312" s="46"/>
      <c r="T312" s="46"/>
      <c r="U312" s="46"/>
      <c r="V312" s="46"/>
      <c r="W312" s="46"/>
    </row>
    <row r="313">
      <c r="A313" s="44"/>
      <c r="B313" s="44"/>
      <c r="C313" s="30"/>
      <c r="D313" s="30"/>
      <c r="E313" s="55"/>
      <c r="F313" s="55"/>
      <c r="G313" s="55"/>
      <c r="H313" s="55"/>
      <c r="I313" s="56"/>
      <c r="J313" s="46"/>
      <c r="K313" s="46"/>
      <c r="L313" s="46"/>
      <c r="M313" s="46"/>
      <c r="N313" s="46"/>
      <c r="O313" s="46"/>
      <c r="P313" s="46"/>
      <c r="Q313" s="46"/>
      <c r="R313" s="46"/>
      <c r="S313" s="46"/>
      <c r="T313" s="46"/>
      <c r="U313" s="46"/>
      <c r="V313" s="46"/>
      <c r="W313" s="46"/>
    </row>
    <row r="314">
      <c r="A314" s="44"/>
      <c r="B314" s="44"/>
      <c r="C314" s="30"/>
      <c r="D314" s="30"/>
      <c r="E314" s="55"/>
      <c r="F314" s="55"/>
      <c r="G314" s="55"/>
      <c r="H314" s="55"/>
      <c r="I314" s="56"/>
      <c r="J314" s="46"/>
      <c r="K314" s="46"/>
      <c r="L314" s="46"/>
      <c r="M314" s="46"/>
      <c r="N314" s="46"/>
      <c r="O314" s="46"/>
      <c r="P314" s="46"/>
      <c r="Q314" s="46"/>
      <c r="R314" s="46"/>
      <c r="S314" s="46"/>
      <c r="T314" s="46"/>
      <c r="U314" s="46"/>
      <c r="V314" s="46"/>
      <c r="W314" s="46"/>
    </row>
    <row r="315">
      <c r="A315" s="44"/>
      <c r="B315" s="44"/>
      <c r="C315" s="30"/>
      <c r="D315" s="30"/>
      <c r="E315" s="55"/>
      <c r="F315" s="55"/>
      <c r="G315" s="55"/>
      <c r="H315" s="55"/>
      <c r="I315" s="56"/>
      <c r="J315" s="46"/>
      <c r="K315" s="46"/>
      <c r="L315" s="46"/>
      <c r="M315" s="46"/>
      <c r="N315" s="46"/>
      <c r="O315" s="46"/>
      <c r="P315" s="46"/>
      <c r="Q315" s="46"/>
      <c r="R315" s="46"/>
      <c r="S315" s="46"/>
      <c r="T315" s="46"/>
      <c r="U315" s="46"/>
      <c r="V315" s="46"/>
      <c r="W315" s="46"/>
    </row>
    <row r="316">
      <c r="A316" s="44"/>
      <c r="B316" s="44"/>
      <c r="C316" s="30"/>
      <c r="D316" s="30"/>
      <c r="E316" s="55"/>
      <c r="F316" s="55"/>
      <c r="G316" s="55"/>
      <c r="H316" s="55"/>
      <c r="I316" s="56"/>
      <c r="J316" s="46"/>
      <c r="K316" s="46"/>
      <c r="L316" s="46"/>
      <c r="M316" s="46"/>
      <c r="N316" s="46"/>
      <c r="O316" s="46"/>
      <c r="P316" s="46"/>
      <c r="Q316" s="46"/>
      <c r="R316" s="46"/>
      <c r="S316" s="46"/>
      <c r="T316" s="46"/>
      <c r="U316" s="46"/>
      <c r="V316" s="46"/>
      <c r="W316" s="46"/>
    </row>
    <row r="317">
      <c r="A317" s="44"/>
      <c r="B317" s="44"/>
      <c r="C317" s="30"/>
      <c r="D317" s="30"/>
      <c r="E317" s="55"/>
      <c r="F317" s="55"/>
      <c r="G317" s="55"/>
      <c r="H317" s="55"/>
      <c r="I317" s="56"/>
      <c r="J317" s="46"/>
      <c r="K317" s="46"/>
      <c r="L317" s="46"/>
      <c r="M317" s="46"/>
      <c r="N317" s="46"/>
      <c r="O317" s="46"/>
      <c r="P317" s="46"/>
      <c r="Q317" s="46"/>
      <c r="R317" s="46"/>
      <c r="S317" s="46"/>
      <c r="T317" s="46"/>
      <c r="U317" s="46"/>
      <c r="V317" s="46"/>
      <c r="W317" s="46"/>
    </row>
    <row r="318">
      <c r="A318" s="44"/>
      <c r="B318" s="44"/>
      <c r="C318" s="30"/>
      <c r="D318" s="30"/>
      <c r="E318" s="55"/>
      <c r="F318" s="55"/>
      <c r="G318" s="55"/>
      <c r="H318" s="55"/>
      <c r="I318" s="56"/>
      <c r="J318" s="46"/>
      <c r="K318" s="46"/>
      <c r="L318" s="46"/>
      <c r="M318" s="46"/>
      <c r="N318" s="46"/>
      <c r="O318" s="46"/>
      <c r="P318" s="46"/>
      <c r="Q318" s="46"/>
      <c r="R318" s="46"/>
      <c r="S318" s="46"/>
      <c r="T318" s="46"/>
      <c r="U318" s="46"/>
      <c r="V318" s="46"/>
      <c r="W318" s="46"/>
    </row>
    <row r="319">
      <c r="A319" s="44"/>
      <c r="B319" s="44"/>
      <c r="C319" s="30"/>
      <c r="D319" s="30"/>
      <c r="E319" s="55"/>
      <c r="F319" s="55"/>
      <c r="G319" s="55"/>
      <c r="H319" s="55"/>
      <c r="I319" s="56"/>
      <c r="J319" s="46"/>
      <c r="K319" s="46"/>
      <c r="L319" s="46"/>
      <c r="M319" s="46"/>
      <c r="N319" s="46"/>
      <c r="O319" s="46"/>
      <c r="P319" s="46"/>
      <c r="Q319" s="46"/>
      <c r="R319" s="46"/>
      <c r="S319" s="46"/>
      <c r="T319" s="46"/>
      <c r="U319" s="46"/>
      <c r="V319" s="46"/>
      <c r="W319" s="46"/>
    </row>
    <row r="320">
      <c r="A320" s="44"/>
      <c r="B320" s="44"/>
      <c r="C320" s="30"/>
      <c r="D320" s="30"/>
      <c r="E320" s="55"/>
      <c r="F320" s="55"/>
      <c r="G320" s="55"/>
      <c r="H320" s="55"/>
      <c r="I320" s="56"/>
      <c r="J320" s="46"/>
      <c r="K320" s="46"/>
      <c r="L320" s="46"/>
      <c r="M320" s="46"/>
      <c r="N320" s="46"/>
      <c r="O320" s="46"/>
      <c r="P320" s="46"/>
      <c r="Q320" s="46"/>
      <c r="R320" s="46"/>
      <c r="S320" s="46"/>
      <c r="T320" s="46"/>
      <c r="U320" s="46"/>
      <c r="V320" s="46"/>
      <c r="W320" s="46"/>
    </row>
    <row r="321">
      <c r="A321" s="44"/>
      <c r="B321" s="44"/>
      <c r="C321" s="30"/>
      <c r="D321" s="30"/>
      <c r="E321" s="55"/>
      <c r="F321" s="55"/>
      <c r="G321" s="55"/>
      <c r="H321" s="55"/>
      <c r="I321" s="56"/>
      <c r="J321" s="46"/>
      <c r="K321" s="46"/>
      <c r="L321" s="46"/>
      <c r="M321" s="46"/>
      <c r="N321" s="46"/>
      <c r="O321" s="46"/>
      <c r="P321" s="46"/>
      <c r="Q321" s="46"/>
      <c r="R321" s="46"/>
      <c r="S321" s="46"/>
      <c r="T321" s="46"/>
      <c r="U321" s="46"/>
      <c r="V321" s="46"/>
      <c r="W321" s="46"/>
    </row>
    <row r="322">
      <c r="A322" s="44"/>
      <c r="B322" s="44"/>
      <c r="C322" s="30"/>
      <c r="D322" s="30"/>
      <c r="E322" s="55"/>
      <c r="F322" s="55"/>
      <c r="G322" s="55"/>
      <c r="H322" s="55"/>
      <c r="I322" s="56"/>
      <c r="J322" s="46"/>
      <c r="K322" s="46"/>
      <c r="L322" s="46"/>
      <c r="M322" s="46"/>
      <c r="N322" s="46"/>
      <c r="O322" s="46"/>
      <c r="P322" s="46"/>
      <c r="Q322" s="46"/>
      <c r="R322" s="46"/>
      <c r="S322" s="46"/>
      <c r="T322" s="46"/>
      <c r="U322" s="46"/>
      <c r="V322" s="46"/>
      <c r="W322" s="46"/>
    </row>
    <row r="323">
      <c r="A323" s="44"/>
      <c r="B323" s="44"/>
      <c r="C323" s="30"/>
      <c r="D323" s="30"/>
      <c r="E323" s="55"/>
      <c r="F323" s="55"/>
      <c r="G323" s="55"/>
      <c r="H323" s="55"/>
      <c r="I323" s="56"/>
      <c r="J323" s="46"/>
      <c r="K323" s="46"/>
      <c r="L323" s="46"/>
      <c r="M323" s="46"/>
      <c r="N323" s="46"/>
      <c r="O323" s="46"/>
      <c r="P323" s="46"/>
      <c r="Q323" s="46"/>
      <c r="R323" s="46"/>
      <c r="S323" s="46"/>
      <c r="T323" s="46"/>
      <c r="U323" s="46"/>
      <c r="V323" s="46"/>
      <c r="W323" s="46"/>
    </row>
    <row r="324">
      <c r="A324" s="44"/>
      <c r="B324" s="44"/>
      <c r="C324" s="30"/>
      <c r="D324" s="30"/>
      <c r="E324" s="55"/>
      <c r="F324" s="55"/>
      <c r="G324" s="55"/>
      <c r="H324" s="55"/>
      <c r="I324" s="56"/>
      <c r="J324" s="46"/>
      <c r="K324" s="46"/>
      <c r="L324" s="46"/>
      <c r="M324" s="46"/>
      <c r="N324" s="46"/>
      <c r="O324" s="46"/>
      <c r="P324" s="46"/>
      <c r="Q324" s="46"/>
      <c r="R324" s="46"/>
      <c r="S324" s="46"/>
      <c r="T324" s="46"/>
      <c r="U324" s="46"/>
      <c r="V324" s="46"/>
      <c r="W324" s="46"/>
    </row>
    <row r="325">
      <c r="A325" s="44"/>
      <c r="B325" s="44"/>
      <c r="C325" s="30"/>
      <c r="D325" s="30"/>
      <c r="E325" s="55"/>
      <c r="F325" s="55"/>
      <c r="G325" s="55"/>
      <c r="H325" s="55"/>
      <c r="I325" s="56"/>
      <c r="J325" s="46"/>
      <c r="K325" s="46"/>
      <c r="L325" s="46"/>
      <c r="M325" s="46"/>
      <c r="N325" s="46"/>
      <c r="O325" s="46"/>
      <c r="P325" s="46"/>
      <c r="Q325" s="46"/>
      <c r="R325" s="46"/>
      <c r="S325" s="46"/>
      <c r="T325" s="46"/>
      <c r="U325" s="46"/>
      <c r="V325" s="46"/>
      <c r="W325" s="46"/>
    </row>
    <row r="326">
      <c r="A326" s="44"/>
      <c r="B326" s="44"/>
      <c r="C326" s="30"/>
      <c r="D326" s="30"/>
      <c r="E326" s="55"/>
      <c r="F326" s="55"/>
      <c r="G326" s="55"/>
      <c r="H326" s="55"/>
      <c r="I326" s="56"/>
      <c r="J326" s="46"/>
      <c r="K326" s="46"/>
      <c r="L326" s="46"/>
      <c r="M326" s="46"/>
      <c r="N326" s="46"/>
      <c r="O326" s="46"/>
      <c r="P326" s="46"/>
      <c r="Q326" s="46"/>
      <c r="R326" s="46"/>
      <c r="S326" s="46"/>
      <c r="T326" s="46"/>
      <c r="U326" s="46"/>
      <c r="V326" s="46"/>
      <c r="W326" s="46"/>
    </row>
    <row r="327">
      <c r="A327" s="44"/>
      <c r="B327" s="44"/>
      <c r="C327" s="30"/>
      <c r="D327" s="30"/>
      <c r="E327" s="55"/>
      <c r="F327" s="55"/>
      <c r="G327" s="55"/>
      <c r="H327" s="55"/>
      <c r="I327" s="56"/>
      <c r="J327" s="46"/>
      <c r="K327" s="46"/>
      <c r="L327" s="46"/>
      <c r="M327" s="46"/>
      <c r="N327" s="46"/>
      <c r="O327" s="46"/>
      <c r="P327" s="46"/>
      <c r="Q327" s="46"/>
      <c r="R327" s="46"/>
      <c r="S327" s="46"/>
      <c r="T327" s="46"/>
      <c r="U327" s="46"/>
      <c r="V327" s="46"/>
      <c r="W327" s="46"/>
    </row>
    <row r="328">
      <c r="A328" s="44"/>
      <c r="B328" s="44"/>
      <c r="C328" s="30"/>
      <c r="D328" s="30"/>
      <c r="E328" s="55"/>
      <c r="F328" s="55"/>
      <c r="G328" s="55"/>
      <c r="H328" s="55"/>
      <c r="I328" s="56"/>
      <c r="J328" s="46"/>
      <c r="K328" s="46"/>
      <c r="L328" s="46"/>
      <c r="M328" s="46"/>
      <c r="N328" s="46"/>
      <c r="O328" s="46"/>
      <c r="P328" s="46"/>
      <c r="Q328" s="46"/>
      <c r="R328" s="46"/>
      <c r="S328" s="46"/>
      <c r="T328" s="46"/>
      <c r="U328" s="46"/>
      <c r="V328" s="46"/>
      <c r="W328" s="46"/>
    </row>
    <row r="329">
      <c r="A329" s="44"/>
      <c r="B329" s="44"/>
      <c r="C329" s="30"/>
      <c r="D329" s="30"/>
      <c r="E329" s="55"/>
      <c r="F329" s="55"/>
      <c r="G329" s="55"/>
      <c r="H329" s="55"/>
      <c r="I329" s="56"/>
      <c r="J329" s="46"/>
      <c r="K329" s="46"/>
      <c r="L329" s="46"/>
      <c r="M329" s="46"/>
      <c r="N329" s="46"/>
      <c r="O329" s="46"/>
      <c r="P329" s="46"/>
      <c r="Q329" s="46"/>
      <c r="R329" s="46"/>
      <c r="S329" s="46"/>
      <c r="T329" s="46"/>
      <c r="U329" s="46"/>
      <c r="V329" s="46"/>
      <c r="W329" s="46"/>
    </row>
    <row r="330">
      <c r="A330" s="44"/>
      <c r="B330" s="44"/>
      <c r="C330" s="30"/>
      <c r="D330" s="30"/>
      <c r="E330" s="55"/>
      <c r="F330" s="55"/>
      <c r="G330" s="55"/>
      <c r="H330" s="55"/>
      <c r="I330" s="56"/>
      <c r="J330" s="46"/>
      <c r="K330" s="46"/>
      <c r="L330" s="46"/>
      <c r="M330" s="46"/>
      <c r="N330" s="46"/>
      <c r="O330" s="46"/>
      <c r="P330" s="46"/>
      <c r="Q330" s="46"/>
      <c r="R330" s="46"/>
      <c r="S330" s="46"/>
      <c r="T330" s="46"/>
      <c r="U330" s="46"/>
      <c r="V330" s="46"/>
      <c r="W330" s="46"/>
    </row>
    <row r="331">
      <c r="A331" s="44"/>
      <c r="B331" s="44"/>
      <c r="C331" s="30"/>
      <c r="D331" s="30"/>
      <c r="E331" s="55"/>
      <c r="F331" s="55"/>
      <c r="G331" s="55"/>
      <c r="H331" s="55"/>
      <c r="I331" s="56"/>
      <c r="J331" s="46"/>
      <c r="K331" s="46"/>
      <c r="L331" s="46"/>
      <c r="M331" s="46"/>
      <c r="N331" s="46"/>
      <c r="O331" s="46"/>
      <c r="P331" s="46"/>
      <c r="Q331" s="46"/>
      <c r="R331" s="46"/>
      <c r="S331" s="46"/>
      <c r="T331" s="46"/>
      <c r="U331" s="46"/>
      <c r="V331" s="46"/>
      <c r="W331" s="46"/>
    </row>
    <row r="332">
      <c r="A332" s="44"/>
      <c r="B332" s="44"/>
      <c r="C332" s="30"/>
      <c r="D332" s="30"/>
      <c r="E332" s="55"/>
      <c r="F332" s="55"/>
      <c r="G332" s="55"/>
      <c r="H332" s="55"/>
      <c r="I332" s="56"/>
      <c r="J332" s="46"/>
      <c r="K332" s="46"/>
      <c r="L332" s="46"/>
      <c r="M332" s="46"/>
      <c r="N332" s="46"/>
      <c r="O332" s="46"/>
      <c r="P332" s="46"/>
      <c r="Q332" s="46"/>
      <c r="R332" s="46"/>
      <c r="S332" s="46"/>
      <c r="T332" s="46"/>
      <c r="U332" s="46"/>
      <c r="V332" s="46"/>
      <c r="W332" s="46"/>
    </row>
    <row r="333">
      <c r="A333" s="44"/>
      <c r="B333" s="44"/>
      <c r="C333" s="30"/>
      <c r="D333" s="30"/>
      <c r="E333" s="55"/>
      <c r="F333" s="55"/>
      <c r="G333" s="55"/>
      <c r="H333" s="55"/>
      <c r="I333" s="56"/>
      <c r="J333" s="46"/>
      <c r="K333" s="46"/>
      <c r="L333" s="46"/>
      <c r="M333" s="46"/>
      <c r="N333" s="46"/>
      <c r="O333" s="46"/>
      <c r="P333" s="46"/>
      <c r="Q333" s="46"/>
      <c r="R333" s="46"/>
      <c r="S333" s="46"/>
      <c r="T333" s="46"/>
      <c r="U333" s="46"/>
      <c r="V333" s="46"/>
      <c r="W333" s="46"/>
    </row>
    <row r="334">
      <c r="A334" s="44"/>
      <c r="B334" s="44"/>
      <c r="C334" s="30"/>
      <c r="D334" s="30"/>
      <c r="E334" s="55"/>
      <c r="F334" s="55"/>
      <c r="G334" s="55"/>
      <c r="H334" s="55"/>
      <c r="I334" s="56"/>
      <c r="J334" s="46"/>
      <c r="K334" s="46"/>
      <c r="L334" s="46"/>
      <c r="M334" s="46"/>
      <c r="N334" s="46"/>
      <c r="O334" s="46"/>
      <c r="P334" s="46"/>
      <c r="Q334" s="46"/>
      <c r="R334" s="46"/>
      <c r="S334" s="46"/>
      <c r="T334" s="46"/>
      <c r="U334" s="46"/>
      <c r="V334" s="46"/>
      <c r="W334" s="46"/>
    </row>
    <row r="335">
      <c r="A335" s="44"/>
      <c r="B335" s="44"/>
      <c r="C335" s="30"/>
      <c r="D335" s="30"/>
      <c r="E335" s="55"/>
      <c r="F335" s="55"/>
      <c r="G335" s="55"/>
      <c r="H335" s="55"/>
      <c r="I335" s="56"/>
      <c r="J335" s="46"/>
      <c r="K335" s="46"/>
      <c r="L335" s="46"/>
      <c r="M335" s="46"/>
      <c r="N335" s="46"/>
      <c r="O335" s="46"/>
      <c r="P335" s="46"/>
      <c r="Q335" s="46"/>
      <c r="R335" s="46"/>
      <c r="S335" s="46"/>
      <c r="T335" s="46"/>
      <c r="U335" s="46"/>
      <c r="V335" s="46"/>
      <c r="W335" s="46"/>
    </row>
    <row r="336">
      <c r="A336" s="44"/>
      <c r="B336" s="44"/>
      <c r="C336" s="30"/>
      <c r="D336" s="30"/>
      <c r="E336" s="55"/>
      <c r="F336" s="55"/>
      <c r="G336" s="55"/>
      <c r="H336" s="55"/>
      <c r="I336" s="56"/>
      <c r="J336" s="46"/>
      <c r="K336" s="46"/>
      <c r="L336" s="46"/>
      <c r="M336" s="46"/>
      <c r="N336" s="46"/>
      <c r="O336" s="46"/>
      <c r="P336" s="46"/>
      <c r="Q336" s="46"/>
      <c r="R336" s="46"/>
      <c r="S336" s="46"/>
      <c r="T336" s="46"/>
      <c r="U336" s="46"/>
      <c r="V336" s="46"/>
      <c r="W336" s="46"/>
    </row>
    <row r="337">
      <c r="A337" s="44"/>
      <c r="B337" s="44"/>
      <c r="C337" s="30"/>
      <c r="D337" s="30"/>
      <c r="E337" s="55"/>
      <c r="F337" s="55"/>
      <c r="G337" s="55"/>
      <c r="H337" s="55"/>
      <c r="I337" s="56"/>
      <c r="J337" s="46"/>
      <c r="K337" s="46"/>
      <c r="L337" s="46"/>
      <c r="M337" s="46"/>
      <c r="N337" s="46"/>
      <c r="O337" s="46"/>
      <c r="P337" s="46"/>
      <c r="Q337" s="46"/>
      <c r="R337" s="46"/>
      <c r="S337" s="46"/>
      <c r="T337" s="46"/>
      <c r="U337" s="46"/>
      <c r="V337" s="46"/>
      <c r="W337" s="46"/>
    </row>
    <row r="338">
      <c r="A338" s="44"/>
      <c r="B338" s="44"/>
      <c r="C338" s="30"/>
      <c r="D338" s="30"/>
      <c r="E338" s="55"/>
      <c r="F338" s="55"/>
      <c r="G338" s="55"/>
      <c r="H338" s="55"/>
      <c r="I338" s="56"/>
      <c r="J338" s="46"/>
      <c r="K338" s="46"/>
      <c r="L338" s="46"/>
      <c r="M338" s="46"/>
      <c r="N338" s="46"/>
      <c r="O338" s="46"/>
      <c r="P338" s="46"/>
      <c r="Q338" s="46"/>
      <c r="R338" s="46"/>
      <c r="S338" s="46"/>
      <c r="T338" s="46"/>
      <c r="U338" s="46"/>
      <c r="V338" s="46"/>
      <c r="W338" s="46"/>
    </row>
    <row r="339">
      <c r="A339" s="44"/>
      <c r="B339" s="44"/>
      <c r="C339" s="30"/>
      <c r="D339" s="30"/>
      <c r="E339" s="55"/>
      <c r="F339" s="55"/>
      <c r="G339" s="55"/>
      <c r="H339" s="55"/>
      <c r="I339" s="56"/>
      <c r="J339" s="46"/>
      <c r="K339" s="46"/>
      <c r="L339" s="46"/>
      <c r="M339" s="46"/>
      <c r="N339" s="46"/>
      <c r="O339" s="46"/>
      <c r="P339" s="46"/>
      <c r="Q339" s="46"/>
      <c r="R339" s="46"/>
      <c r="S339" s="46"/>
      <c r="T339" s="46"/>
      <c r="U339" s="46"/>
      <c r="V339" s="46"/>
      <c r="W339" s="46"/>
    </row>
    <row r="340">
      <c r="A340" s="44"/>
      <c r="B340" s="44"/>
      <c r="C340" s="30"/>
      <c r="D340" s="30"/>
      <c r="E340" s="55"/>
      <c r="F340" s="55"/>
      <c r="G340" s="55"/>
      <c r="H340" s="55"/>
      <c r="I340" s="56"/>
      <c r="J340" s="46"/>
      <c r="K340" s="46"/>
      <c r="L340" s="46"/>
      <c r="M340" s="46"/>
      <c r="N340" s="46"/>
      <c r="O340" s="46"/>
      <c r="P340" s="46"/>
      <c r="Q340" s="46"/>
      <c r="R340" s="46"/>
      <c r="S340" s="46"/>
      <c r="T340" s="46"/>
      <c r="U340" s="46"/>
      <c r="V340" s="46"/>
      <c r="W340" s="46"/>
    </row>
    <row r="341">
      <c r="A341" s="44"/>
      <c r="B341" s="44"/>
      <c r="C341" s="30"/>
      <c r="D341" s="30"/>
      <c r="E341" s="55"/>
      <c r="F341" s="55"/>
      <c r="G341" s="55"/>
      <c r="H341" s="55"/>
      <c r="I341" s="56"/>
      <c r="J341" s="46"/>
      <c r="K341" s="46"/>
      <c r="L341" s="46"/>
      <c r="M341" s="46"/>
      <c r="N341" s="46"/>
      <c r="O341" s="46"/>
      <c r="P341" s="46"/>
      <c r="Q341" s="46"/>
      <c r="R341" s="46"/>
      <c r="S341" s="46"/>
      <c r="T341" s="46"/>
      <c r="U341" s="46"/>
      <c r="V341" s="46"/>
      <c r="W341" s="46"/>
    </row>
    <row r="342">
      <c r="A342" s="44"/>
      <c r="B342" s="44"/>
      <c r="C342" s="30"/>
      <c r="D342" s="30"/>
      <c r="E342" s="55"/>
      <c r="F342" s="55"/>
      <c r="G342" s="55"/>
      <c r="H342" s="55"/>
      <c r="I342" s="56"/>
      <c r="J342" s="46"/>
      <c r="K342" s="46"/>
      <c r="L342" s="46"/>
      <c r="M342" s="46"/>
      <c r="N342" s="46"/>
      <c r="O342" s="46"/>
      <c r="P342" s="46"/>
      <c r="Q342" s="46"/>
      <c r="R342" s="46"/>
      <c r="S342" s="46"/>
      <c r="T342" s="46"/>
      <c r="U342" s="46"/>
      <c r="V342" s="46"/>
      <c r="W342" s="46"/>
    </row>
    <row r="343">
      <c r="A343" s="44"/>
      <c r="B343" s="44"/>
      <c r="C343" s="30"/>
      <c r="D343" s="30"/>
      <c r="E343" s="55"/>
      <c r="F343" s="55"/>
      <c r="G343" s="55"/>
      <c r="H343" s="55"/>
      <c r="I343" s="56"/>
      <c r="J343" s="46"/>
      <c r="K343" s="46"/>
      <c r="L343" s="46"/>
      <c r="M343" s="46"/>
      <c r="N343" s="46"/>
      <c r="O343" s="46"/>
      <c r="P343" s="46"/>
      <c r="Q343" s="46"/>
      <c r="R343" s="46"/>
      <c r="S343" s="46"/>
      <c r="T343" s="46"/>
      <c r="U343" s="46"/>
      <c r="V343" s="46"/>
      <c r="W343" s="46"/>
    </row>
    <row r="344">
      <c r="A344" s="44"/>
      <c r="B344" s="44"/>
      <c r="C344" s="30"/>
      <c r="D344" s="30"/>
      <c r="E344" s="55"/>
      <c r="F344" s="55"/>
      <c r="G344" s="55"/>
      <c r="H344" s="55"/>
      <c r="I344" s="56"/>
      <c r="J344" s="46"/>
      <c r="K344" s="46"/>
      <c r="L344" s="46"/>
      <c r="M344" s="46"/>
      <c r="N344" s="46"/>
      <c r="O344" s="46"/>
      <c r="P344" s="46"/>
      <c r="Q344" s="46"/>
      <c r="R344" s="46"/>
      <c r="S344" s="46"/>
      <c r="T344" s="46"/>
      <c r="U344" s="46"/>
      <c r="V344" s="46"/>
      <c r="W344" s="46"/>
    </row>
    <row r="345">
      <c r="A345" s="44"/>
      <c r="B345" s="44"/>
      <c r="C345" s="30"/>
      <c r="D345" s="30"/>
      <c r="E345" s="55"/>
      <c r="F345" s="55"/>
      <c r="G345" s="55"/>
      <c r="H345" s="55"/>
      <c r="I345" s="56"/>
      <c r="J345" s="46"/>
      <c r="K345" s="46"/>
      <c r="L345" s="46"/>
      <c r="M345" s="46"/>
      <c r="N345" s="46"/>
      <c r="O345" s="46"/>
      <c r="P345" s="46"/>
      <c r="Q345" s="46"/>
      <c r="R345" s="46"/>
      <c r="S345" s="46"/>
      <c r="T345" s="46"/>
      <c r="U345" s="46"/>
      <c r="V345" s="46"/>
      <c r="W345" s="46"/>
    </row>
    <row r="346">
      <c r="A346" s="44"/>
      <c r="B346" s="44"/>
      <c r="C346" s="30"/>
      <c r="D346" s="30"/>
      <c r="E346" s="55"/>
      <c r="F346" s="55"/>
      <c r="G346" s="55"/>
      <c r="H346" s="55"/>
      <c r="I346" s="56"/>
      <c r="J346" s="46"/>
      <c r="K346" s="46"/>
      <c r="L346" s="46"/>
      <c r="M346" s="46"/>
      <c r="N346" s="46"/>
      <c r="O346" s="46"/>
      <c r="P346" s="46"/>
      <c r="Q346" s="46"/>
      <c r="R346" s="46"/>
      <c r="S346" s="46"/>
      <c r="T346" s="46"/>
      <c r="U346" s="46"/>
      <c r="V346" s="46"/>
      <c r="W346" s="46"/>
    </row>
    <row r="347">
      <c r="A347" s="44"/>
      <c r="B347" s="44"/>
      <c r="C347" s="30"/>
      <c r="D347" s="30"/>
      <c r="E347" s="55"/>
      <c r="F347" s="55"/>
      <c r="G347" s="55"/>
      <c r="H347" s="55"/>
      <c r="I347" s="56"/>
      <c r="J347" s="46"/>
      <c r="K347" s="46"/>
      <c r="L347" s="46"/>
      <c r="M347" s="46"/>
      <c r="N347" s="46"/>
      <c r="O347" s="46"/>
      <c r="P347" s="46"/>
      <c r="Q347" s="46"/>
      <c r="R347" s="46"/>
      <c r="S347" s="46"/>
      <c r="T347" s="46"/>
      <c r="U347" s="46"/>
      <c r="V347" s="46"/>
      <c r="W347" s="46"/>
    </row>
    <row r="348">
      <c r="A348" s="44"/>
      <c r="B348" s="44"/>
      <c r="C348" s="30"/>
      <c r="D348" s="30"/>
      <c r="E348" s="55"/>
      <c r="F348" s="55"/>
      <c r="G348" s="55"/>
      <c r="H348" s="55"/>
      <c r="I348" s="56"/>
      <c r="J348" s="46"/>
      <c r="K348" s="46"/>
      <c r="L348" s="46"/>
      <c r="M348" s="46"/>
      <c r="N348" s="46"/>
      <c r="O348" s="46"/>
      <c r="P348" s="46"/>
      <c r="Q348" s="46"/>
      <c r="R348" s="46"/>
      <c r="S348" s="46"/>
      <c r="T348" s="46"/>
      <c r="U348" s="46"/>
      <c r="V348" s="46"/>
      <c r="W348" s="46"/>
    </row>
    <row r="349">
      <c r="A349" s="44"/>
      <c r="B349" s="44"/>
      <c r="C349" s="30"/>
      <c r="D349" s="30"/>
      <c r="E349" s="55"/>
      <c r="F349" s="55"/>
      <c r="G349" s="55"/>
      <c r="H349" s="55"/>
      <c r="I349" s="56"/>
      <c r="J349" s="46"/>
      <c r="K349" s="46"/>
      <c r="L349" s="46"/>
      <c r="M349" s="46"/>
      <c r="N349" s="46"/>
      <c r="O349" s="46"/>
      <c r="P349" s="46"/>
      <c r="Q349" s="46"/>
      <c r="R349" s="46"/>
      <c r="S349" s="46"/>
      <c r="T349" s="46"/>
      <c r="U349" s="46"/>
      <c r="V349" s="46"/>
      <c r="W349" s="46"/>
    </row>
    <row r="350">
      <c r="A350" s="44"/>
      <c r="B350" s="44"/>
      <c r="C350" s="30"/>
      <c r="D350" s="30"/>
      <c r="E350" s="55"/>
      <c r="F350" s="55"/>
      <c r="G350" s="55"/>
      <c r="H350" s="55"/>
      <c r="I350" s="56"/>
      <c r="J350" s="46"/>
      <c r="K350" s="46"/>
      <c r="L350" s="46"/>
      <c r="M350" s="46"/>
      <c r="N350" s="46"/>
      <c r="O350" s="46"/>
      <c r="P350" s="46"/>
      <c r="Q350" s="46"/>
      <c r="R350" s="46"/>
      <c r="S350" s="46"/>
      <c r="T350" s="46"/>
      <c r="U350" s="46"/>
      <c r="V350" s="46"/>
      <c r="W350" s="46"/>
    </row>
    <row r="351">
      <c r="A351" s="44"/>
      <c r="B351" s="44"/>
      <c r="C351" s="30"/>
      <c r="D351" s="30"/>
      <c r="E351" s="55"/>
      <c r="F351" s="55"/>
      <c r="G351" s="55"/>
      <c r="H351" s="55"/>
      <c r="I351" s="56"/>
      <c r="J351" s="46"/>
      <c r="K351" s="46"/>
      <c r="L351" s="46"/>
      <c r="M351" s="46"/>
      <c r="N351" s="46"/>
      <c r="O351" s="46"/>
      <c r="P351" s="46"/>
      <c r="Q351" s="46"/>
      <c r="R351" s="46"/>
      <c r="S351" s="46"/>
      <c r="T351" s="46"/>
      <c r="U351" s="46"/>
      <c r="V351" s="46"/>
      <c r="W351" s="46"/>
    </row>
    <row r="352">
      <c r="A352" s="44"/>
      <c r="B352" s="44"/>
      <c r="C352" s="30"/>
      <c r="D352" s="30"/>
      <c r="E352" s="55"/>
      <c r="F352" s="55"/>
      <c r="G352" s="55"/>
      <c r="H352" s="55"/>
      <c r="I352" s="56"/>
      <c r="J352" s="46"/>
      <c r="K352" s="46"/>
      <c r="L352" s="46"/>
      <c r="M352" s="46"/>
      <c r="N352" s="46"/>
      <c r="O352" s="46"/>
      <c r="P352" s="46"/>
      <c r="Q352" s="46"/>
      <c r="R352" s="46"/>
      <c r="S352" s="46"/>
      <c r="T352" s="46"/>
      <c r="U352" s="46"/>
      <c r="V352" s="46"/>
      <c r="W352" s="46"/>
    </row>
    <row r="353">
      <c r="A353" s="44"/>
      <c r="B353" s="44"/>
      <c r="C353" s="30"/>
      <c r="D353" s="30"/>
      <c r="E353" s="55"/>
      <c r="F353" s="55"/>
      <c r="G353" s="55"/>
      <c r="H353" s="55"/>
      <c r="I353" s="56"/>
      <c r="J353" s="46"/>
      <c r="K353" s="46"/>
      <c r="L353" s="46"/>
      <c r="M353" s="46"/>
      <c r="N353" s="46"/>
      <c r="O353" s="46"/>
      <c r="P353" s="46"/>
      <c r="Q353" s="46"/>
      <c r="R353" s="46"/>
      <c r="S353" s="46"/>
      <c r="T353" s="46"/>
      <c r="U353" s="46"/>
      <c r="V353" s="46"/>
      <c r="W353" s="46"/>
    </row>
    <row r="354">
      <c r="A354" s="44"/>
      <c r="B354" s="44"/>
      <c r="C354" s="30"/>
      <c r="D354" s="30"/>
      <c r="E354" s="55"/>
      <c r="F354" s="55"/>
      <c r="G354" s="55"/>
      <c r="H354" s="55"/>
      <c r="I354" s="56"/>
      <c r="J354" s="46"/>
      <c r="K354" s="46"/>
      <c r="L354" s="46"/>
      <c r="M354" s="46"/>
      <c r="N354" s="46"/>
      <c r="O354" s="46"/>
      <c r="P354" s="46"/>
      <c r="Q354" s="46"/>
      <c r="R354" s="46"/>
      <c r="S354" s="46"/>
      <c r="T354" s="46"/>
      <c r="U354" s="46"/>
      <c r="V354" s="46"/>
      <c r="W354" s="46"/>
    </row>
    <row r="355">
      <c r="A355" s="44"/>
      <c r="B355" s="44"/>
      <c r="C355" s="30"/>
      <c r="D355" s="30"/>
      <c r="E355" s="55"/>
      <c r="F355" s="55"/>
      <c r="G355" s="55"/>
      <c r="H355" s="55"/>
      <c r="I355" s="56"/>
      <c r="J355" s="46"/>
      <c r="K355" s="46"/>
      <c r="L355" s="46"/>
      <c r="M355" s="46"/>
      <c r="N355" s="46"/>
      <c r="O355" s="46"/>
      <c r="P355" s="46"/>
      <c r="Q355" s="46"/>
      <c r="R355" s="46"/>
      <c r="S355" s="46"/>
      <c r="T355" s="46"/>
      <c r="U355" s="46"/>
      <c r="V355" s="46"/>
      <c r="W355" s="46"/>
    </row>
    <row r="356">
      <c r="A356" s="44"/>
      <c r="B356" s="44"/>
      <c r="C356" s="30"/>
      <c r="D356" s="30"/>
      <c r="E356" s="55"/>
      <c r="F356" s="55"/>
      <c r="G356" s="55"/>
      <c r="H356" s="55"/>
      <c r="I356" s="56"/>
      <c r="J356" s="46"/>
      <c r="K356" s="46"/>
      <c r="L356" s="46"/>
      <c r="M356" s="46"/>
      <c r="N356" s="46"/>
      <c r="O356" s="46"/>
      <c r="P356" s="46"/>
      <c r="Q356" s="46"/>
      <c r="R356" s="46"/>
      <c r="S356" s="46"/>
      <c r="T356" s="46"/>
      <c r="U356" s="46"/>
      <c r="V356" s="46"/>
      <c r="W356" s="46"/>
    </row>
    <row r="357">
      <c r="A357" s="44"/>
      <c r="B357" s="44"/>
      <c r="C357" s="30"/>
      <c r="D357" s="30"/>
      <c r="E357" s="55"/>
      <c r="F357" s="55"/>
      <c r="G357" s="55"/>
      <c r="H357" s="55"/>
      <c r="I357" s="56"/>
      <c r="J357" s="46"/>
      <c r="K357" s="46"/>
      <c r="L357" s="46"/>
      <c r="M357" s="46"/>
      <c r="N357" s="46"/>
      <c r="O357" s="46"/>
      <c r="P357" s="46"/>
      <c r="Q357" s="46"/>
      <c r="R357" s="46"/>
      <c r="S357" s="46"/>
      <c r="T357" s="46"/>
      <c r="U357" s="46"/>
      <c r="V357" s="46"/>
      <c r="W357" s="46"/>
    </row>
    <row r="358">
      <c r="A358" s="44"/>
      <c r="B358" s="44"/>
      <c r="C358" s="30"/>
      <c r="D358" s="30"/>
      <c r="E358" s="55"/>
      <c r="F358" s="55"/>
      <c r="G358" s="55"/>
      <c r="H358" s="55"/>
      <c r="I358" s="56"/>
      <c r="J358" s="46"/>
      <c r="K358" s="46"/>
      <c r="L358" s="46"/>
      <c r="M358" s="46"/>
      <c r="N358" s="46"/>
      <c r="O358" s="46"/>
      <c r="P358" s="46"/>
      <c r="Q358" s="46"/>
      <c r="R358" s="46"/>
      <c r="S358" s="46"/>
      <c r="T358" s="46"/>
      <c r="U358" s="46"/>
      <c r="V358" s="46"/>
      <c r="W358" s="46"/>
    </row>
    <row r="359">
      <c r="A359" s="44"/>
      <c r="B359" s="44"/>
      <c r="C359" s="30"/>
      <c r="D359" s="30"/>
      <c r="E359" s="55"/>
      <c r="F359" s="55"/>
      <c r="G359" s="55"/>
      <c r="H359" s="55"/>
      <c r="I359" s="56"/>
      <c r="J359" s="46"/>
      <c r="K359" s="46"/>
      <c r="L359" s="46"/>
      <c r="M359" s="46"/>
      <c r="N359" s="46"/>
      <c r="O359" s="46"/>
      <c r="P359" s="46"/>
      <c r="Q359" s="46"/>
      <c r="R359" s="46"/>
      <c r="S359" s="46"/>
      <c r="T359" s="46"/>
      <c r="U359" s="46"/>
      <c r="V359" s="46"/>
      <c r="W359" s="46"/>
    </row>
    <row r="360">
      <c r="A360" s="44"/>
      <c r="B360" s="44"/>
      <c r="C360" s="30"/>
      <c r="D360" s="30"/>
      <c r="E360" s="55"/>
      <c r="F360" s="55"/>
      <c r="G360" s="55"/>
      <c r="H360" s="55"/>
      <c r="I360" s="56"/>
      <c r="J360" s="46"/>
      <c r="K360" s="46"/>
      <c r="L360" s="46"/>
      <c r="M360" s="46"/>
      <c r="N360" s="46"/>
      <c r="O360" s="46"/>
      <c r="P360" s="46"/>
      <c r="Q360" s="46"/>
      <c r="R360" s="46"/>
      <c r="S360" s="46"/>
      <c r="T360" s="46"/>
      <c r="U360" s="46"/>
      <c r="V360" s="46"/>
      <c r="W360" s="46"/>
    </row>
    <row r="361">
      <c r="A361" s="44"/>
      <c r="B361" s="44"/>
      <c r="C361" s="30"/>
      <c r="D361" s="30"/>
      <c r="E361" s="55"/>
      <c r="F361" s="55"/>
      <c r="G361" s="55"/>
      <c r="H361" s="55"/>
      <c r="I361" s="56"/>
      <c r="J361" s="46"/>
      <c r="K361" s="46"/>
      <c r="L361" s="46"/>
      <c r="M361" s="46"/>
      <c r="N361" s="46"/>
      <c r="O361" s="46"/>
      <c r="P361" s="46"/>
      <c r="Q361" s="46"/>
      <c r="R361" s="46"/>
      <c r="S361" s="46"/>
      <c r="T361" s="46"/>
      <c r="U361" s="46"/>
      <c r="V361" s="46"/>
      <c r="W361" s="46"/>
    </row>
    <row r="362">
      <c r="A362" s="44"/>
      <c r="B362" s="44"/>
      <c r="C362" s="30"/>
      <c r="D362" s="30"/>
      <c r="E362" s="55"/>
      <c r="F362" s="55"/>
      <c r="G362" s="55"/>
      <c r="H362" s="55"/>
      <c r="I362" s="56"/>
      <c r="J362" s="46"/>
      <c r="K362" s="46"/>
      <c r="L362" s="46"/>
      <c r="M362" s="46"/>
      <c r="N362" s="46"/>
      <c r="O362" s="46"/>
      <c r="P362" s="46"/>
      <c r="Q362" s="46"/>
      <c r="R362" s="46"/>
      <c r="S362" s="46"/>
      <c r="T362" s="46"/>
      <c r="U362" s="46"/>
      <c r="V362" s="46"/>
      <c r="W362" s="46"/>
    </row>
    <row r="363">
      <c r="A363" s="44"/>
      <c r="B363" s="44"/>
      <c r="C363" s="30"/>
      <c r="D363" s="30"/>
      <c r="E363" s="55"/>
      <c r="F363" s="55"/>
      <c r="G363" s="55"/>
      <c r="H363" s="55"/>
      <c r="I363" s="56"/>
      <c r="J363" s="46"/>
      <c r="K363" s="46"/>
      <c r="L363" s="46"/>
      <c r="M363" s="46"/>
      <c r="N363" s="46"/>
      <c r="O363" s="46"/>
      <c r="P363" s="46"/>
      <c r="Q363" s="46"/>
      <c r="R363" s="46"/>
      <c r="S363" s="46"/>
      <c r="T363" s="46"/>
      <c r="U363" s="46"/>
      <c r="V363" s="46"/>
      <c r="W363" s="46"/>
    </row>
    <row r="364">
      <c r="A364" s="44"/>
      <c r="B364" s="44"/>
      <c r="C364" s="30"/>
      <c r="D364" s="30"/>
      <c r="E364" s="55"/>
      <c r="F364" s="55"/>
      <c r="G364" s="55"/>
      <c r="H364" s="55"/>
      <c r="I364" s="56"/>
      <c r="J364" s="46"/>
      <c r="K364" s="46"/>
      <c r="L364" s="46"/>
      <c r="M364" s="46"/>
      <c r="N364" s="46"/>
      <c r="O364" s="46"/>
      <c r="P364" s="46"/>
      <c r="Q364" s="46"/>
      <c r="R364" s="46"/>
      <c r="S364" s="46"/>
      <c r="T364" s="46"/>
      <c r="U364" s="46"/>
      <c r="V364" s="46"/>
      <c r="W364" s="46"/>
    </row>
    <row r="365">
      <c r="A365" s="44"/>
      <c r="B365" s="44"/>
      <c r="C365" s="30"/>
      <c r="D365" s="30"/>
      <c r="E365" s="55"/>
      <c r="F365" s="55"/>
      <c r="G365" s="55"/>
      <c r="H365" s="55"/>
      <c r="I365" s="56"/>
      <c r="J365" s="46"/>
      <c r="K365" s="46"/>
      <c r="L365" s="46"/>
      <c r="M365" s="46"/>
      <c r="N365" s="46"/>
      <c r="O365" s="46"/>
      <c r="P365" s="46"/>
      <c r="Q365" s="46"/>
      <c r="R365" s="46"/>
      <c r="S365" s="46"/>
      <c r="T365" s="46"/>
      <c r="U365" s="46"/>
      <c r="V365" s="46"/>
      <c r="W365" s="46"/>
    </row>
    <row r="366">
      <c r="A366" s="44"/>
      <c r="B366" s="44"/>
      <c r="C366" s="30"/>
      <c r="D366" s="30"/>
      <c r="E366" s="55"/>
      <c r="F366" s="55"/>
      <c r="G366" s="55"/>
      <c r="H366" s="55"/>
      <c r="I366" s="56"/>
      <c r="J366" s="46"/>
      <c r="K366" s="46"/>
      <c r="L366" s="46"/>
      <c r="M366" s="46"/>
      <c r="N366" s="46"/>
      <c r="O366" s="46"/>
      <c r="P366" s="46"/>
      <c r="Q366" s="46"/>
      <c r="R366" s="46"/>
      <c r="S366" s="46"/>
      <c r="T366" s="46"/>
      <c r="U366" s="46"/>
      <c r="V366" s="46"/>
      <c r="W366" s="46"/>
    </row>
    <row r="367">
      <c r="A367" s="44"/>
      <c r="B367" s="44"/>
      <c r="C367" s="30"/>
      <c r="D367" s="30"/>
      <c r="E367" s="55"/>
      <c r="F367" s="55"/>
      <c r="G367" s="55"/>
      <c r="H367" s="55"/>
      <c r="I367" s="56"/>
      <c r="J367" s="46"/>
      <c r="K367" s="46"/>
      <c r="L367" s="46"/>
      <c r="M367" s="46"/>
      <c r="N367" s="46"/>
      <c r="O367" s="46"/>
      <c r="P367" s="46"/>
      <c r="Q367" s="46"/>
      <c r="R367" s="46"/>
      <c r="S367" s="46"/>
      <c r="T367" s="46"/>
      <c r="U367" s="46"/>
      <c r="V367" s="46"/>
      <c r="W367" s="46"/>
    </row>
    <row r="368">
      <c r="A368" s="44"/>
      <c r="B368" s="44"/>
      <c r="C368" s="30"/>
      <c r="D368" s="30"/>
      <c r="E368" s="55"/>
      <c r="F368" s="55"/>
      <c r="G368" s="55"/>
      <c r="H368" s="55"/>
      <c r="I368" s="56"/>
      <c r="J368" s="46"/>
      <c r="K368" s="46"/>
      <c r="L368" s="46"/>
      <c r="M368" s="46"/>
      <c r="N368" s="46"/>
      <c r="O368" s="46"/>
      <c r="P368" s="46"/>
      <c r="Q368" s="46"/>
      <c r="R368" s="46"/>
      <c r="S368" s="46"/>
      <c r="T368" s="46"/>
      <c r="U368" s="46"/>
      <c r="V368" s="46"/>
      <c r="W368" s="46"/>
    </row>
    <row r="369">
      <c r="A369" s="44"/>
      <c r="B369" s="44"/>
      <c r="C369" s="30"/>
      <c r="D369" s="30"/>
      <c r="E369" s="55"/>
      <c r="F369" s="55"/>
      <c r="G369" s="55"/>
      <c r="H369" s="55"/>
      <c r="I369" s="56"/>
      <c r="J369" s="46"/>
      <c r="K369" s="46"/>
      <c r="L369" s="46"/>
      <c r="M369" s="46"/>
      <c r="N369" s="46"/>
      <c r="O369" s="46"/>
      <c r="P369" s="46"/>
      <c r="Q369" s="46"/>
      <c r="R369" s="46"/>
      <c r="S369" s="46"/>
      <c r="T369" s="46"/>
      <c r="U369" s="46"/>
      <c r="V369" s="46"/>
      <c r="W369" s="46"/>
    </row>
    <row r="370">
      <c r="A370" s="44"/>
      <c r="B370" s="44"/>
      <c r="C370" s="30"/>
      <c r="D370" s="30"/>
      <c r="E370" s="55"/>
      <c r="F370" s="55"/>
      <c r="G370" s="55"/>
      <c r="H370" s="55"/>
      <c r="I370" s="56"/>
      <c r="J370" s="46"/>
      <c r="K370" s="46"/>
      <c r="L370" s="46"/>
      <c r="M370" s="46"/>
      <c r="N370" s="46"/>
      <c r="O370" s="46"/>
      <c r="P370" s="46"/>
      <c r="Q370" s="46"/>
      <c r="R370" s="46"/>
      <c r="S370" s="46"/>
      <c r="T370" s="46"/>
      <c r="U370" s="46"/>
      <c r="V370" s="46"/>
      <c r="W370" s="46"/>
    </row>
    <row r="371">
      <c r="A371" s="44"/>
      <c r="B371" s="44"/>
      <c r="C371" s="30"/>
      <c r="D371" s="30"/>
      <c r="E371" s="55"/>
      <c r="F371" s="55"/>
      <c r="G371" s="55"/>
      <c r="H371" s="55"/>
      <c r="I371" s="56"/>
      <c r="J371" s="46"/>
      <c r="K371" s="46"/>
      <c r="L371" s="46"/>
      <c r="M371" s="46"/>
      <c r="N371" s="46"/>
      <c r="O371" s="46"/>
      <c r="P371" s="46"/>
      <c r="Q371" s="46"/>
      <c r="R371" s="46"/>
      <c r="S371" s="46"/>
      <c r="T371" s="46"/>
      <c r="U371" s="46"/>
      <c r="V371" s="46"/>
      <c r="W371" s="46"/>
    </row>
    <row r="372">
      <c r="A372" s="44"/>
      <c r="B372" s="44"/>
      <c r="C372" s="30"/>
      <c r="D372" s="30"/>
      <c r="E372" s="55"/>
      <c r="F372" s="55"/>
      <c r="G372" s="55"/>
      <c r="H372" s="55"/>
      <c r="I372" s="56"/>
      <c r="J372" s="46"/>
      <c r="K372" s="46"/>
      <c r="L372" s="46"/>
      <c r="M372" s="46"/>
      <c r="N372" s="46"/>
      <c r="O372" s="46"/>
      <c r="P372" s="46"/>
      <c r="Q372" s="46"/>
      <c r="R372" s="46"/>
      <c r="S372" s="46"/>
      <c r="T372" s="46"/>
      <c r="U372" s="46"/>
      <c r="V372" s="46"/>
      <c r="W372" s="46"/>
    </row>
    <row r="373">
      <c r="A373" s="44"/>
      <c r="B373" s="44"/>
      <c r="C373" s="30"/>
      <c r="D373" s="30"/>
      <c r="E373" s="55"/>
      <c r="F373" s="55"/>
      <c r="G373" s="55"/>
      <c r="H373" s="55"/>
      <c r="I373" s="56"/>
      <c r="J373" s="46"/>
      <c r="K373" s="46"/>
      <c r="L373" s="46"/>
      <c r="M373" s="46"/>
      <c r="N373" s="46"/>
      <c r="O373" s="46"/>
      <c r="P373" s="46"/>
      <c r="Q373" s="46"/>
      <c r="R373" s="46"/>
      <c r="S373" s="46"/>
      <c r="T373" s="46"/>
      <c r="U373" s="46"/>
      <c r="V373" s="46"/>
      <c r="W373" s="46"/>
    </row>
    <row r="374">
      <c r="A374" s="44"/>
      <c r="B374" s="44"/>
      <c r="C374" s="30"/>
      <c r="D374" s="30"/>
      <c r="E374" s="55"/>
      <c r="F374" s="55"/>
      <c r="G374" s="55"/>
      <c r="H374" s="55"/>
      <c r="I374" s="56"/>
      <c r="J374" s="46"/>
      <c r="K374" s="46"/>
      <c r="L374" s="46"/>
      <c r="M374" s="46"/>
      <c r="N374" s="46"/>
      <c r="O374" s="46"/>
      <c r="P374" s="46"/>
      <c r="Q374" s="46"/>
      <c r="R374" s="46"/>
      <c r="S374" s="46"/>
      <c r="T374" s="46"/>
      <c r="U374" s="46"/>
      <c r="V374" s="46"/>
      <c r="W374" s="46"/>
    </row>
    <row r="375">
      <c r="A375" s="44"/>
      <c r="B375" s="44"/>
      <c r="C375" s="30"/>
      <c r="D375" s="30"/>
      <c r="E375" s="55"/>
      <c r="F375" s="55"/>
      <c r="G375" s="55"/>
      <c r="H375" s="55"/>
      <c r="I375" s="56"/>
      <c r="J375" s="46"/>
      <c r="K375" s="46"/>
      <c r="L375" s="46"/>
      <c r="M375" s="46"/>
      <c r="N375" s="46"/>
      <c r="O375" s="46"/>
      <c r="P375" s="46"/>
      <c r="Q375" s="46"/>
      <c r="R375" s="46"/>
      <c r="S375" s="46"/>
      <c r="T375" s="46"/>
      <c r="U375" s="46"/>
      <c r="V375" s="46"/>
      <c r="W375" s="46"/>
    </row>
    <row r="376">
      <c r="A376" s="44"/>
      <c r="B376" s="44"/>
      <c r="C376" s="30"/>
      <c r="D376" s="30"/>
      <c r="E376" s="55"/>
      <c r="F376" s="55"/>
      <c r="G376" s="55"/>
      <c r="H376" s="55"/>
      <c r="I376" s="56"/>
      <c r="J376" s="46"/>
      <c r="K376" s="46"/>
      <c r="L376" s="46"/>
      <c r="M376" s="46"/>
      <c r="N376" s="46"/>
      <c r="O376" s="46"/>
      <c r="P376" s="46"/>
      <c r="Q376" s="46"/>
      <c r="R376" s="46"/>
      <c r="S376" s="46"/>
      <c r="T376" s="46"/>
      <c r="U376" s="46"/>
      <c r="V376" s="46"/>
      <c r="W376" s="46"/>
    </row>
    <row r="377">
      <c r="A377" s="44"/>
      <c r="B377" s="44"/>
      <c r="C377" s="30"/>
      <c r="D377" s="30"/>
      <c r="E377" s="55"/>
      <c r="F377" s="55"/>
      <c r="G377" s="55"/>
      <c r="H377" s="55"/>
      <c r="I377" s="56"/>
      <c r="J377" s="46"/>
      <c r="K377" s="46"/>
      <c r="L377" s="46"/>
      <c r="M377" s="46"/>
      <c r="N377" s="46"/>
      <c r="O377" s="46"/>
      <c r="P377" s="46"/>
      <c r="Q377" s="46"/>
      <c r="R377" s="46"/>
      <c r="S377" s="46"/>
      <c r="T377" s="46"/>
      <c r="U377" s="46"/>
      <c r="V377" s="46"/>
      <c r="W377" s="46"/>
    </row>
    <row r="378">
      <c r="A378" s="44"/>
      <c r="B378" s="44"/>
      <c r="C378" s="30"/>
      <c r="D378" s="30"/>
      <c r="E378" s="55"/>
      <c r="F378" s="55"/>
      <c r="G378" s="55"/>
      <c r="H378" s="55"/>
      <c r="I378" s="56"/>
      <c r="J378" s="46"/>
      <c r="K378" s="46"/>
      <c r="L378" s="46"/>
      <c r="M378" s="46"/>
      <c r="N378" s="46"/>
      <c r="O378" s="46"/>
      <c r="P378" s="46"/>
      <c r="Q378" s="46"/>
      <c r="R378" s="46"/>
      <c r="S378" s="46"/>
      <c r="T378" s="46"/>
      <c r="U378" s="46"/>
      <c r="V378" s="46"/>
      <c r="W378" s="46"/>
    </row>
    <row r="379">
      <c r="A379" s="44"/>
      <c r="B379" s="44"/>
      <c r="C379" s="30"/>
      <c r="D379" s="30"/>
      <c r="E379" s="55"/>
      <c r="F379" s="55"/>
      <c r="G379" s="55"/>
      <c r="H379" s="55"/>
      <c r="I379" s="56"/>
      <c r="J379" s="46"/>
      <c r="K379" s="46"/>
      <c r="L379" s="46"/>
      <c r="M379" s="46"/>
      <c r="N379" s="46"/>
      <c r="O379" s="46"/>
      <c r="P379" s="46"/>
      <c r="Q379" s="46"/>
      <c r="R379" s="46"/>
      <c r="S379" s="46"/>
      <c r="T379" s="46"/>
      <c r="U379" s="46"/>
      <c r="V379" s="46"/>
      <c r="W379" s="46"/>
    </row>
    <row r="380">
      <c r="A380" s="44"/>
      <c r="B380" s="44"/>
      <c r="C380" s="30"/>
      <c r="D380" s="30"/>
      <c r="E380" s="55"/>
      <c r="F380" s="55"/>
      <c r="G380" s="55"/>
      <c r="H380" s="55"/>
      <c r="I380" s="56"/>
      <c r="J380" s="46"/>
      <c r="K380" s="46"/>
      <c r="L380" s="46"/>
      <c r="M380" s="46"/>
      <c r="N380" s="46"/>
      <c r="O380" s="46"/>
      <c r="P380" s="46"/>
      <c r="Q380" s="46"/>
      <c r="R380" s="46"/>
      <c r="S380" s="46"/>
      <c r="T380" s="46"/>
      <c r="U380" s="46"/>
      <c r="V380" s="46"/>
      <c r="W380" s="46"/>
    </row>
    <row r="381">
      <c r="A381" s="44"/>
      <c r="B381" s="44"/>
      <c r="C381" s="30"/>
      <c r="D381" s="30"/>
      <c r="E381" s="55"/>
      <c r="F381" s="55"/>
      <c r="G381" s="55"/>
      <c r="H381" s="55"/>
      <c r="I381" s="56"/>
      <c r="J381" s="46"/>
      <c r="K381" s="46"/>
      <c r="L381" s="46"/>
      <c r="M381" s="46"/>
      <c r="N381" s="46"/>
      <c r="O381" s="46"/>
      <c r="P381" s="46"/>
      <c r="Q381" s="46"/>
      <c r="R381" s="46"/>
      <c r="S381" s="46"/>
      <c r="T381" s="46"/>
      <c r="U381" s="46"/>
      <c r="V381" s="46"/>
      <c r="W381" s="46"/>
    </row>
    <row r="382">
      <c r="A382" s="44"/>
      <c r="B382" s="44"/>
      <c r="C382" s="30"/>
      <c r="D382" s="30"/>
      <c r="E382" s="55"/>
      <c r="F382" s="55"/>
      <c r="G382" s="55"/>
      <c r="H382" s="55"/>
      <c r="I382" s="56"/>
      <c r="J382" s="46"/>
      <c r="K382" s="46"/>
      <c r="L382" s="46"/>
      <c r="M382" s="46"/>
      <c r="N382" s="46"/>
      <c r="O382" s="46"/>
      <c r="P382" s="46"/>
      <c r="Q382" s="46"/>
      <c r="R382" s="46"/>
      <c r="S382" s="46"/>
      <c r="T382" s="46"/>
      <c r="U382" s="46"/>
      <c r="V382" s="46"/>
      <c r="W382" s="46"/>
    </row>
    <row r="383">
      <c r="A383" s="44"/>
      <c r="B383" s="44"/>
      <c r="C383" s="30"/>
      <c r="D383" s="30"/>
      <c r="E383" s="55"/>
      <c r="F383" s="55"/>
      <c r="G383" s="55"/>
      <c r="H383" s="55"/>
      <c r="I383" s="56"/>
      <c r="J383" s="46"/>
      <c r="K383" s="46"/>
      <c r="L383" s="46"/>
      <c r="M383" s="46"/>
      <c r="N383" s="46"/>
      <c r="O383" s="46"/>
      <c r="P383" s="46"/>
      <c r="Q383" s="46"/>
      <c r="R383" s="46"/>
      <c r="S383" s="46"/>
      <c r="T383" s="46"/>
      <c r="U383" s="46"/>
      <c r="V383" s="46"/>
      <c r="W383" s="46"/>
    </row>
    <row r="384">
      <c r="A384" s="44"/>
      <c r="B384" s="44"/>
      <c r="C384" s="30"/>
      <c r="D384" s="30"/>
      <c r="E384" s="55"/>
      <c r="F384" s="55"/>
      <c r="G384" s="55"/>
      <c r="H384" s="55"/>
      <c r="I384" s="56"/>
      <c r="J384" s="46"/>
      <c r="K384" s="46"/>
      <c r="L384" s="46"/>
      <c r="M384" s="46"/>
      <c r="N384" s="46"/>
      <c r="O384" s="46"/>
      <c r="P384" s="46"/>
      <c r="Q384" s="46"/>
      <c r="R384" s="46"/>
      <c r="S384" s="46"/>
      <c r="T384" s="46"/>
      <c r="U384" s="46"/>
      <c r="V384" s="46"/>
      <c r="W384" s="46"/>
    </row>
    <row r="385">
      <c r="A385" s="44"/>
      <c r="B385" s="44"/>
      <c r="C385" s="30"/>
      <c r="D385" s="30"/>
      <c r="E385" s="55"/>
      <c r="F385" s="55"/>
      <c r="G385" s="55"/>
      <c r="H385" s="55"/>
      <c r="I385" s="56"/>
      <c r="J385" s="46"/>
      <c r="K385" s="46"/>
      <c r="L385" s="46"/>
      <c r="M385" s="46"/>
      <c r="N385" s="46"/>
      <c r="O385" s="46"/>
      <c r="P385" s="46"/>
      <c r="Q385" s="46"/>
      <c r="R385" s="46"/>
      <c r="S385" s="46"/>
      <c r="T385" s="46"/>
      <c r="U385" s="46"/>
      <c r="V385" s="46"/>
      <c r="W385" s="46"/>
    </row>
    <row r="386">
      <c r="A386" s="44"/>
      <c r="B386" s="44"/>
      <c r="C386" s="30"/>
      <c r="D386" s="30"/>
      <c r="E386" s="55"/>
      <c r="F386" s="55"/>
      <c r="G386" s="55"/>
      <c r="H386" s="55"/>
      <c r="I386" s="56"/>
      <c r="J386" s="46"/>
      <c r="K386" s="46"/>
      <c r="L386" s="46"/>
      <c r="M386" s="46"/>
      <c r="N386" s="46"/>
      <c r="O386" s="46"/>
      <c r="P386" s="46"/>
      <c r="Q386" s="46"/>
      <c r="R386" s="46"/>
      <c r="S386" s="46"/>
      <c r="T386" s="46"/>
      <c r="U386" s="46"/>
      <c r="V386" s="46"/>
      <c r="W386" s="46"/>
    </row>
    <row r="387">
      <c r="A387" s="44"/>
      <c r="B387" s="44"/>
      <c r="C387" s="30"/>
      <c r="D387" s="30"/>
      <c r="E387" s="55"/>
      <c r="F387" s="55"/>
      <c r="G387" s="55"/>
      <c r="H387" s="55"/>
      <c r="I387" s="56"/>
      <c r="J387" s="46"/>
      <c r="K387" s="46"/>
      <c r="L387" s="46"/>
      <c r="M387" s="46"/>
      <c r="N387" s="46"/>
      <c r="O387" s="46"/>
      <c r="P387" s="46"/>
      <c r="Q387" s="46"/>
      <c r="R387" s="46"/>
      <c r="S387" s="46"/>
      <c r="T387" s="46"/>
      <c r="U387" s="46"/>
      <c r="V387" s="46"/>
      <c r="W387" s="46"/>
    </row>
    <row r="388">
      <c r="A388" s="44"/>
      <c r="B388" s="44"/>
      <c r="C388" s="30"/>
      <c r="D388" s="30"/>
      <c r="E388" s="55"/>
      <c r="F388" s="55"/>
      <c r="G388" s="55"/>
      <c r="H388" s="55"/>
      <c r="I388" s="56"/>
      <c r="J388" s="46"/>
      <c r="K388" s="46"/>
      <c r="L388" s="46"/>
      <c r="M388" s="46"/>
      <c r="N388" s="46"/>
      <c r="O388" s="46"/>
      <c r="P388" s="46"/>
      <c r="Q388" s="46"/>
      <c r="R388" s="46"/>
      <c r="S388" s="46"/>
      <c r="T388" s="46"/>
      <c r="U388" s="46"/>
      <c r="V388" s="46"/>
      <c r="W388" s="46"/>
    </row>
    <row r="389">
      <c r="A389" s="44"/>
      <c r="B389" s="44"/>
      <c r="C389" s="30"/>
      <c r="D389" s="30"/>
      <c r="E389" s="55"/>
      <c r="F389" s="55"/>
      <c r="G389" s="55"/>
      <c r="H389" s="55"/>
      <c r="I389" s="56"/>
      <c r="J389" s="46"/>
      <c r="K389" s="46"/>
      <c r="L389" s="46"/>
      <c r="M389" s="46"/>
      <c r="N389" s="46"/>
      <c r="O389" s="46"/>
      <c r="P389" s="46"/>
      <c r="Q389" s="46"/>
      <c r="R389" s="46"/>
      <c r="S389" s="46"/>
      <c r="T389" s="46"/>
      <c r="U389" s="46"/>
      <c r="V389" s="46"/>
      <c r="W389" s="46"/>
    </row>
    <row r="390">
      <c r="A390" s="44"/>
      <c r="B390" s="44"/>
      <c r="C390" s="30"/>
      <c r="D390" s="30"/>
      <c r="E390" s="55"/>
      <c r="F390" s="55"/>
      <c r="G390" s="55"/>
      <c r="H390" s="55"/>
      <c r="I390" s="56"/>
      <c r="J390" s="46"/>
      <c r="K390" s="46"/>
      <c r="L390" s="46"/>
      <c r="M390" s="46"/>
      <c r="N390" s="46"/>
      <c r="O390" s="46"/>
      <c r="P390" s="46"/>
      <c r="Q390" s="46"/>
      <c r="R390" s="46"/>
      <c r="S390" s="46"/>
      <c r="T390" s="46"/>
      <c r="U390" s="46"/>
      <c r="V390" s="46"/>
      <c r="W390" s="46"/>
    </row>
    <row r="391">
      <c r="A391" s="44"/>
      <c r="B391" s="44"/>
      <c r="C391" s="30"/>
      <c r="D391" s="30"/>
      <c r="E391" s="55"/>
      <c r="F391" s="55"/>
      <c r="G391" s="55"/>
      <c r="H391" s="55"/>
      <c r="I391" s="56"/>
      <c r="J391" s="46"/>
      <c r="K391" s="46"/>
      <c r="L391" s="46"/>
      <c r="M391" s="46"/>
      <c r="N391" s="46"/>
      <c r="O391" s="46"/>
      <c r="P391" s="46"/>
      <c r="Q391" s="46"/>
      <c r="R391" s="46"/>
      <c r="S391" s="46"/>
      <c r="T391" s="46"/>
      <c r="U391" s="46"/>
      <c r="V391" s="46"/>
      <c r="W391" s="46"/>
    </row>
    <row r="392">
      <c r="A392" s="44"/>
      <c r="B392" s="44"/>
      <c r="C392" s="30"/>
      <c r="D392" s="30"/>
      <c r="E392" s="55"/>
      <c r="F392" s="55"/>
      <c r="G392" s="55"/>
      <c r="H392" s="55"/>
      <c r="I392" s="56"/>
      <c r="J392" s="46"/>
      <c r="K392" s="46"/>
      <c r="L392" s="46"/>
      <c r="M392" s="46"/>
      <c r="N392" s="46"/>
      <c r="O392" s="46"/>
      <c r="P392" s="46"/>
      <c r="Q392" s="46"/>
      <c r="R392" s="46"/>
      <c r="S392" s="46"/>
      <c r="T392" s="46"/>
      <c r="U392" s="46"/>
      <c r="V392" s="46"/>
      <c r="W392" s="46"/>
    </row>
    <row r="393">
      <c r="A393" s="44"/>
      <c r="B393" s="44"/>
      <c r="C393" s="30"/>
      <c r="D393" s="30"/>
      <c r="E393" s="55"/>
      <c r="F393" s="55"/>
      <c r="G393" s="55"/>
      <c r="H393" s="55"/>
      <c r="I393" s="56"/>
      <c r="J393" s="46"/>
      <c r="K393" s="46"/>
      <c r="L393" s="46"/>
      <c r="M393" s="46"/>
      <c r="N393" s="46"/>
      <c r="O393" s="46"/>
      <c r="P393" s="46"/>
      <c r="Q393" s="46"/>
      <c r="R393" s="46"/>
      <c r="S393" s="46"/>
      <c r="T393" s="46"/>
      <c r="U393" s="46"/>
      <c r="V393" s="46"/>
      <c r="W393" s="46"/>
    </row>
    <row r="394">
      <c r="A394" s="44"/>
      <c r="B394" s="44"/>
      <c r="C394" s="30"/>
      <c r="D394" s="30"/>
      <c r="E394" s="55"/>
      <c r="F394" s="55"/>
      <c r="G394" s="55"/>
      <c r="H394" s="55"/>
      <c r="I394" s="56"/>
      <c r="J394" s="46"/>
      <c r="K394" s="46"/>
      <c r="L394" s="46"/>
      <c r="M394" s="46"/>
      <c r="N394" s="46"/>
      <c r="O394" s="46"/>
      <c r="P394" s="46"/>
      <c r="Q394" s="46"/>
      <c r="R394" s="46"/>
      <c r="S394" s="46"/>
      <c r="T394" s="46"/>
      <c r="U394" s="46"/>
      <c r="V394" s="46"/>
      <c r="W394" s="46"/>
    </row>
    <row r="395">
      <c r="A395" s="44"/>
      <c r="B395" s="44"/>
      <c r="C395" s="30"/>
      <c r="D395" s="30"/>
      <c r="E395" s="55"/>
      <c r="F395" s="55"/>
      <c r="G395" s="55"/>
      <c r="H395" s="55"/>
      <c r="I395" s="56"/>
      <c r="J395" s="46"/>
      <c r="K395" s="46"/>
      <c r="L395" s="46"/>
      <c r="M395" s="46"/>
      <c r="N395" s="46"/>
      <c r="O395" s="46"/>
      <c r="P395" s="46"/>
      <c r="Q395" s="46"/>
      <c r="R395" s="46"/>
      <c r="S395" s="46"/>
      <c r="T395" s="46"/>
      <c r="U395" s="46"/>
      <c r="V395" s="46"/>
      <c r="W395" s="46"/>
    </row>
    <row r="396">
      <c r="A396" s="44"/>
      <c r="B396" s="44"/>
      <c r="C396" s="30"/>
      <c r="D396" s="30"/>
      <c r="E396" s="55"/>
      <c r="F396" s="55"/>
      <c r="G396" s="55"/>
      <c r="H396" s="55"/>
      <c r="I396" s="56"/>
      <c r="J396" s="46"/>
      <c r="K396" s="46"/>
      <c r="L396" s="46"/>
      <c r="M396" s="46"/>
      <c r="N396" s="46"/>
      <c r="O396" s="46"/>
      <c r="P396" s="46"/>
      <c r="Q396" s="46"/>
      <c r="R396" s="46"/>
      <c r="S396" s="46"/>
      <c r="T396" s="46"/>
      <c r="U396" s="46"/>
      <c r="V396" s="46"/>
      <c r="W396" s="46"/>
    </row>
    <row r="397">
      <c r="A397" s="44"/>
      <c r="B397" s="44"/>
      <c r="C397" s="30"/>
      <c r="D397" s="30"/>
      <c r="E397" s="55"/>
      <c r="F397" s="55"/>
      <c r="G397" s="55"/>
      <c r="H397" s="55"/>
      <c r="I397" s="56"/>
      <c r="J397" s="46"/>
      <c r="K397" s="46"/>
      <c r="L397" s="46"/>
      <c r="M397" s="46"/>
      <c r="N397" s="46"/>
      <c r="O397" s="46"/>
      <c r="P397" s="46"/>
      <c r="Q397" s="46"/>
      <c r="R397" s="46"/>
      <c r="S397" s="46"/>
      <c r="T397" s="46"/>
      <c r="U397" s="46"/>
      <c r="V397" s="46"/>
      <c r="W397" s="46"/>
    </row>
    <row r="398">
      <c r="A398" s="44"/>
      <c r="B398" s="44"/>
      <c r="C398" s="30"/>
      <c r="D398" s="30"/>
      <c r="E398" s="55"/>
      <c r="F398" s="55"/>
      <c r="G398" s="55"/>
      <c r="H398" s="55"/>
      <c r="I398" s="56"/>
      <c r="J398" s="46"/>
      <c r="K398" s="46"/>
      <c r="L398" s="46"/>
      <c r="M398" s="46"/>
      <c r="N398" s="46"/>
      <c r="O398" s="46"/>
      <c r="P398" s="46"/>
      <c r="Q398" s="46"/>
      <c r="R398" s="46"/>
      <c r="S398" s="46"/>
      <c r="T398" s="46"/>
      <c r="U398" s="46"/>
      <c r="V398" s="46"/>
      <c r="W398" s="46"/>
    </row>
    <row r="399">
      <c r="A399" s="44"/>
      <c r="B399" s="44"/>
      <c r="C399" s="30"/>
      <c r="D399" s="30"/>
      <c r="E399" s="55"/>
      <c r="F399" s="55"/>
      <c r="G399" s="55"/>
      <c r="H399" s="55"/>
      <c r="I399" s="56"/>
      <c r="J399" s="46"/>
      <c r="K399" s="46"/>
      <c r="L399" s="46"/>
      <c r="M399" s="46"/>
      <c r="N399" s="46"/>
      <c r="O399" s="46"/>
      <c r="P399" s="46"/>
      <c r="Q399" s="46"/>
      <c r="R399" s="46"/>
      <c r="S399" s="46"/>
      <c r="T399" s="46"/>
      <c r="U399" s="46"/>
      <c r="V399" s="46"/>
      <c r="W399" s="46"/>
    </row>
    <row r="400">
      <c r="A400" s="44"/>
      <c r="B400" s="44"/>
      <c r="C400" s="30"/>
      <c r="D400" s="30"/>
      <c r="E400" s="55"/>
      <c r="F400" s="55"/>
      <c r="G400" s="55"/>
      <c r="H400" s="55"/>
      <c r="I400" s="56"/>
      <c r="J400" s="46"/>
      <c r="K400" s="46"/>
      <c r="L400" s="46"/>
      <c r="M400" s="46"/>
      <c r="N400" s="46"/>
      <c r="O400" s="46"/>
      <c r="P400" s="46"/>
      <c r="Q400" s="46"/>
      <c r="R400" s="46"/>
      <c r="S400" s="46"/>
      <c r="T400" s="46"/>
      <c r="U400" s="46"/>
      <c r="V400" s="46"/>
      <c r="W400" s="46"/>
    </row>
    <row r="401">
      <c r="A401" s="44"/>
      <c r="B401" s="44"/>
      <c r="C401" s="30"/>
      <c r="D401" s="30"/>
      <c r="E401" s="55"/>
      <c r="F401" s="55"/>
      <c r="G401" s="55"/>
      <c r="H401" s="55"/>
      <c r="I401" s="56"/>
      <c r="J401" s="46"/>
      <c r="K401" s="46"/>
      <c r="L401" s="46"/>
      <c r="M401" s="46"/>
      <c r="N401" s="46"/>
      <c r="O401" s="46"/>
      <c r="P401" s="46"/>
      <c r="Q401" s="46"/>
      <c r="R401" s="46"/>
      <c r="S401" s="46"/>
      <c r="T401" s="46"/>
      <c r="U401" s="46"/>
      <c r="V401" s="46"/>
      <c r="W401" s="46"/>
    </row>
    <row r="402">
      <c r="A402" s="44"/>
      <c r="B402" s="44"/>
      <c r="C402" s="30"/>
      <c r="D402" s="30"/>
      <c r="E402" s="55"/>
      <c r="F402" s="55"/>
      <c r="G402" s="55"/>
      <c r="H402" s="55"/>
      <c r="I402" s="56"/>
      <c r="J402" s="46"/>
      <c r="K402" s="46"/>
      <c r="L402" s="46"/>
      <c r="M402" s="46"/>
      <c r="N402" s="46"/>
      <c r="O402" s="46"/>
      <c r="P402" s="46"/>
      <c r="Q402" s="46"/>
      <c r="R402" s="46"/>
      <c r="S402" s="46"/>
      <c r="T402" s="46"/>
      <c r="U402" s="46"/>
      <c r="V402" s="46"/>
      <c r="W402" s="46"/>
    </row>
    <row r="403">
      <c r="A403" s="44"/>
      <c r="B403" s="44"/>
      <c r="C403" s="30"/>
      <c r="D403" s="30"/>
      <c r="E403" s="55"/>
      <c r="F403" s="55"/>
      <c r="G403" s="55"/>
      <c r="H403" s="55"/>
      <c r="I403" s="56"/>
      <c r="J403" s="46"/>
      <c r="K403" s="46"/>
      <c r="L403" s="46"/>
      <c r="M403" s="46"/>
      <c r="N403" s="46"/>
      <c r="O403" s="46"/>
      <c r="P403" s="46"/>
      <c r="Q403" s="46"/>
      <c r="R403" s="46"/>
      <c r="S403" s="46"/>
      <c r="T403" s="46"/>
      <c r="U403" s="46"/>
      <c r="V403" s="46"/>
      <c r="W403" s="46"/>
    </row>
    <row r="404">
      <c r="A404" s="44"/>
      <c r="B404" s="44"/>
      <c r="C404" s="30"/>
      <c r="D404" s="30"/>
      <c r="E404" s="55"/>
      <c r="F404" s="55"/>
      <c r="G404" s="55"/>
      <c r="H404" s="55"/>
      <c r="I404" s="56"/>
      <c r="J404" s="46"/>
      <c r="K404" s="46"/>
      <c r="L404" s="46"/>
      <c r="M404" s="46"/>
      <c r="N404" s="46"/>
      <c r="O404" s="46"/>
      <c r="P404" s="46"/>
      <c r="Q404" s="46"/>
      <c r="R404" s="46"/>
      <c r="S404" s="46"/>
      <c r="T404" s="46"/>
      <c r="U404" s="46"/>
      <c r="V404" s="46"/>
      <c r="W404" s="46"/>
    </row>
    <row r="405">
      <c r="A405" s="44"/>
      <c r="B405" s="44"/>
      <c r="C405" s="30"/>
      <c r="D405" s="30"/>
      <c r="E405" s="55"/>
      <c r="F405" s="55"/>
      <c r="G405" s="55"/>
      <c r="H405" s="55"/>
      <c r="I405" s="56"/>
      <c r="J405" s="46"/>
      <c r="K405" s="46"/>
      <c r="L405" s="46"/>
      <c r="M405" s="46"/>
      <c r="N405" s="46"/>
      <c r="O405" s="46"/>
      <c r="P405" s="46"/>
      <c r="Q405" s="46"/>
      <c r="R405" s="46"/>
      <c r="S405" s="46"/>
      <c r="T405" s="46"/>
      <c r="U405" s="46"/>
      <c r="V405" s="46"/>
      <c r="W405" s="46"/>
    </row>
    <row r="406">
      <c r="A406" s="44"/>
      <c r="B406" s="44"/>
      <c r="C406" s="30"/>
      <c r="D406" s="30"/>
      <c r="E406" s="55"/>
      <c r="F406" s="55"/>
      <c r="G406" s="55"/>
      <c r="H406" s="55"/>
      <c r="I406" s="56"/>
      <c r="J406" s="46"/>
      <c r="K406" s="46"/>
      <c r="L406" s="46"/>
      <c r="M406" s="46"/>
      <c r="N406" s="46"/>
      <c r="O406" s="46"/>
      <c r="P406" s="46"/>
      <c r="Q406" s="46"/>
      <c r="R406" s="46"/>
      <c r="S406" s="46"/>
      <c r="T406" s="46"/>
      <c r="U406" s="46"/>
      <c r="V406" s="46"/>
      <c r="W406" s="46"/>
    </row>
    <row r="407">
      <c r="A407" s="44"/>
      <c r="B407" s="44"/>
      <c r="C407" s="30"/>
      <c r="D407" s="30"/>
      <c r="E407" s="55"/>
      <c r="F407" s="55"/>
      <c r="G407" s="55"/>
      <c r="H407" s="55"/>
      <c r="I407" s="56"/>
      <c r="J407" s="46"/>
      <c r="K407" s="46"/>
      <c r="L407" s="46"/>
      <c r="M407" s="46"/>
      <c r="N407" s="46"/>
      <c r="O407" s="46"/>
      <c r="P407" s="46"/>
      <c r="Q407" s="46"/>
      <c r="R407" s="46"/>
      <c r="S407" s="46"/>
      <c r="T407" s="46"/>
      <c r="U407" s="46"/>
      <c r="V407" s="46"/>
      <c r="W407" s="46"/>
    </row>
    <row r="408">
      <c r="A408" s="44"/>
      <c r="B408" s="44"/>
      <c r="C408" s="30"/>
      <c r="D408" s="30"/>
      <c r="E408" s="55"/>
      <c r="F408" s="55"/>
      <c r="G408" s="55"/>
      <c r="H408" s="55"/>
      <c r="I408" s="56"/>
      <c r="J408" s="46"/>
      <c r="K408" s="46"/>
      <c r="L408" s="46"/>
      <c r="M408" s="46"/>
      <c r="N408" s="46"/>
      <c r="O408" s="46"/>
      <c r="P408" s="46"/>
      <c r="Q408" s="46"/>
      <c r="R408" s="46"/>
      <c r="S408" s="46"/>
      <c r="T408" s="46"/>
      <c r="U408" s="46"/>
      <c r="V408" s="46"/>
      <c r="W408" s="46"/>
    </row>
    <row r="409">
      <c r="A409" s="44"/>
      <c r="B409" s="44"/>
      <c r="C409" s="30"/>
      <c r="D409" s="30"/>
      <c r="E409" s="55"/>
      <c r="F409" s="55"/>
      <c r="G409" s="55"/>
      <c r="H409" s="55"/>
      <c r="I409" s="56"/>
      <c r="J409" s="46"/>
      <c r="K409" s="46"/>
      <c r="L409" s="46"/>
      <c r="M409" s="46"/>
      <c r="N409" s="46"/>
      <c r="O409" s="46"/>
      <c r="P409" s="46"/>
      <c r="Q409" s="46"/>
      <c r="R409" s="46"/>
      <c r="S409" s="46"/>
      <c r="T409" s="46"/>
      <c r="U409" s="46"/>
      <c r="V409" s="46"/>
      <c r="W409" s="46"/>
    </row>
    <row r="410">
      <c r="A410" s="44"/>
      <c r="B410" s="44"/>
      <c r="C410" s="30"/>
      <c r="D410" s="30"/>
      <c r="E410" s="55"/>
      <c r="F410" s="55"/>
      <c r="G410" s="55"/>
      <c r="H410" s="55"/>
      <c r="I410" s="56"/>
      <c r="J410" s="46"/>
      <c r="K410" s="46"/>
      <c r="L410" s="46"/>
      <c r="M410" s="46"/>
      <c r="N410" s="46"/>
      <c r="O410" s="46"/>
      <c r="P410" s="46"/>
      <c r="Q410" s="46"/>
      <c r="R410" s="46"/>
      <c r="S410" s="46"/>
      <c r="T410" s="46"/>
      <c r="U410" s="46"/>
      <c r="V410" s="46"/>
      <c r="W410" s="46"/>
    </row>
    <row r="411">
      <c r="A411" s="44"/>
      <c r="B411" s="44"/>
      <c r="C411" s="30"/>
      <c r="D411" s="30"/>
      <c r="E411" s="55"/>
      <c r="F411" s="55"/>
      <c r="G411" s="55"/>
      <c r="H411" s="55"/>
      <c r="I411" s="56"/>
      <c r="J411" s="46"/>
      <c r="K411" s="46"/>
      <c r="L411" s="46"/>
      <c r="M411" s="46"/>
      <c r="N411" s="46"/>
      <c r="O411" s="46"/>
      <c r="P411" s="46"/>
      <c r="Q411" s="46"/>
      <c r="R411" s="46"/>
      <c r="S411" s="46"/>
      <c r="T411" s="46"/>
      <c r="U411" s="46"/>
      <c r="V411" s="46"/>
      <c r="W411" s="46"/>
    </row>
    <row r="412">
      <c r="A412" s="44"/>
      <c r="B412" s="44"/>
      <c r="C412" s="30"/>
      <c r="D412" s="30"/>
      <c r="E412" s="55"/>
      <c r="F412" s="55"/>
      <c r="G412" s="55"/>
      <c r="H412" s="55"/>
      <c r="I412" s="56"/>
      <c r="J412" s="46"/>
      <c r="K412" s="46"/>
      <c r="L412" s="46"/>
      <c r="M412" s="46"/>
      <c r="N412" s="46"/>
      <c r="O412" s="46"/>
      <c r="P412" s="46"/>
      <c r="Q412" s="46"/>
      <c r="R412" s="46"/>
      <c r="S412" s="46"/>
      <c r="T412" s="46"/>
      <c r="U412" s="46"/>
      <c r="V412" s="46"/>
      <c r="W412" s="46"/>
    </row>
    <row r="413">
      <c r="A413" s="44"/>
      <c r="B413" s="44"/>
      <c r="C413" s="30"/>
      <c r="D413" s="30"/>
      <c r="E413" s="55"/>
      <c r="F413" s="55"/>
      <c r="G413" s="55"/>
      <c r="H413" s="55"/>
      <c r="I413" s="56"/>
      <c r="J413" s="46"/>
      <c r="K413" s="46"/>
      <c r="L413" s="46"/>
      <c r="M413" s="46"/>
      <c r="N413" s="46"/>
      <c r="O413" s="46"/>
      <c r="P413" s="46"/>
      <c r="Q413" s="46"/>
      <c r="R413" s="46"/>
      <c r="S413" s="46"/>
      <c r="T413" s="46"/>
      <c r="U413" s="46"/>
      <c r="V413" s="46"/>
      <c r="W413" s="46"/>
    </row>
    <row r="414">
      <c r="A414" s="44"/>
      <c r="B414" s="44"/>
      <c r="C414" s="30"/>
      <c r="D414" s="30"/>
      <c r="E414" s="55"/>
      <c r="F414" s="55"/>
      <c r="G414" s="55"/>
      <c r="H414" s="55"/>
      <c r="I414" s="56"/>
      <c r="J414" s="46"/>
      <c r="K414" s="46"/>
      <c r="L414" s="46"/>
      <c r="M414" s="46"/>
      <c r="N414" s="46"/>
      <c r="O414" s="46"/>
      <c r="P414" s="46"/>
      <c r="Q414" s="46"/>
      <c r="R414" s="46"/>
      <c r="S414" s="46"/>
      <c r="T414" s="46"/>
      <c r="U414" s="46"/>
      <c r="V414" s="46"/>
      <c r="W414" s="46"/>
    </row>
    <row r="415">
      <c r="A415" s="44"/>
      <c r="B415" s="44"/>
      <c r="C415" s="30"/>
      <c r="D415" s="30"/>
      <c r="E415" s="55"/>
      <c r="F415" s="55"/>
      <c r="G415" s="55"/>
      <c r="H415" s="55"/>
      <c r="I415" s="56"/>
      <c r="J415" s="46"/>
      <c r="K415" s="46"/>
      <c r="L415" s="46"/>
      <c r="M415" s="46"/>
      <c r="N415" s="46"/>
      <c r="O415" s="46"/>
      <c r="P415" s="46"/>
      <c r="Q415" s="46"/>
      <c r="R415" s="46"/>
      <c r="S415" s="46"/>
      <c r="T415" s="46"/>
      <c r="U415" s="46"/>
      <c r="V415" s="46"/>
      <c r="W415" s="46"/>
    </row>
    <row r="416">
      <c r="A416" s="44"/>
      <c r="B416" s="44"/>
      <c r="C416" s="30"/>
      <c r="D416" s="30"/>
      <c r="E416" s="55"/>
      <c r="F416" s="55"/>
      <c r="G416" s="55"/>
      <c r="H416" s="55"/>
      <c r="I416" s="56"/>
      <c r="J416" s="46"/>
      <c r="K416" s="46"/>
      <c r="L416" s="46"/>
      <c r="M416" s="46"/>
      <c r="N416" s="46"/>
      <c r="O416" s="46"/>
      <c r="P416" s="46"/>
      <c r="Q416" s="46"/>
      <c r="R416" s="46"/>
      <c r="S416" s="46"/>
      <c r="T416" s="46"/>
      <c r="U416" s="46"/>
      <c r="V416" s="46"/>
      <c r="W416" s="46"/>
    </row>
    <row r="417">
      <c r="A417" s="44"/>
      <c r="B417" s="44"/>
      <c r="C417" s="30"/>
      <c r="D417" s="30"/>
      <c r="E417" s="55"/>
      <c r="F417" s="55"/>
      <c r="G417" s="55"/>
      <c r="H417" s="55"/>
      <c r="I417" s="56"/>
      <c r="J417" s="46"/>
      <c r="K417" s="46"/>
      <c r="L417" s="46"/>
      <c r="M417" s="46"/>
      <c r="N417" s="46"/>
      <c r="O417" s="46"/>
      <c r="P417" s="46"/>
      <c r="Q417" s="46"/>
      <c r="R417" s="46"/>
      <c r="S417" s="46"/>
      <c r="T417" s="46"/>
      <c r="U417" s="46"/>
      <c r="V417" s="46"/>
      <c r="W417" s="46"/>
    </row>
    <row r="418">
      <c r="A418" s="44"/>
      <c r="B418" s="44"/>
      <c r="C418" s="30"/>
      <c r="D418" s="30"/>
      <c r="E418" s="55"/>
      <c r="F418" s="55"/>
      <c r="G418" s="55"/>
      <c r="H418" s="55"/>
      <c r="I418" s="56"/>
      <c r="J418" s="46"/>
      <c r="K418" s="46"/>
      <c r="L418" s="46"/>
      <c r="M418" s="46"/>
      <c r="N418" s="46"/>
      <c r="O418" s="46"/>
      <c r="P418" s="46"/>
      <c r="Q418" s="46"/>
      <c r="R418" s="46"/>
      <c r="S418" s="46"/>
      <c r="T418" s="46"/>
      <c r="U418" s="46"/>
      <c r="V418" s="46"/>
      <c r="W418" s="46"/>
    </row>
    <row r="419">
      <c r="A419" s="44"/>
      <c r="B419" s="44"/>
      <c r="C419" s="30"/>
      <c r="D419" s="30"/>
      <c r="E419" s="55"/>
      <c r="F419" s="55"/>
      <c r="G419" s="55"/>
      <c r="H419" s="55"/>
      <c r="I419" s="56"/>
      <c r="J419" s="46"/>
      <c r="K419" s="46"/>
      <c r="L419" s="46"/>
      <c r="M419" s="46"/>
      <c r="N419" s="46"/>
      <c r="O419" s="46"/>
      <c r="P419" s="46"/>
      <c r="Q419" s="46"/>
      <c r="R419" s="46"/>
      <c r="S419" s="46"/>
      <c r="T419" s="46"/>
      <c r="U419" s="46"/>
      <c r="V419" s="46"/>
      <c r="W419" s="46"/>
    </row>
    <row r="420">
      <c r="A420" s="44"/>
      <c r="B420" s="44"/>
      <c r="C420" s="30"/>
      <c r="D420" s="30"/>
      <c r="E420" s="55"/>
      <c r="F420" s="55"/>
      <c r="G420" s="55"/>
      <c r="H420" s="55"/>
      <c r="I420" s="56"/>
      <c r="J420" s="46"/>
      <c r="K420" s="46"/>
      <c r="L420" s="46"/>
      <c r="M420" s="46"/>
      <c r="N420" s="46"/>
      <c r="O420" s="46"/>
      <c r="P420" s="46"/>
      <c r="Q420" s="46"/>
      <c r="R420" s="46"/>
      <c r="S420" s="46"/>
      <c r="T420" s="46"/>
      <c r="U420" s="46"/>
      <c r="V420" s="46"/>
      <c r="W420" s="46"/>
    </row>
    <row r="421">
      <c r="A421" s="44"/>
      <c r="B421" s="44"/>
      <c r="C421" s="30"/>
      <c r="D421" s="30"/>
      <c r="E421" s="55"/>
      <c r="F421" s="55"/>
      <c r="G421" s="55"/>
      <c r="H421" s="55"/>
      <c r="I421" s="56"/>
      <c r="J421" s="46"/>
      <c r="K421" s="46"/>
      <c r="L421" s="46"/>
      <c r="M421" s="46"/>
      <c r="N421" s="46"/>
      <c r="O421" s="46"/>
      <c r="P421" s="46"/>
      <c r="Q421" s="46"/>
      <c r="R421" s="46"/>
      <c r="S421" s="46"/>
      <c r="T421" s="46"/>
      <c r="U421" s="46"/>
      <c r="V421" s="46"/>
      <c r="W421" s="46"/>
    </row>
    <row r="422">
      <c r="A422" s="44"/>
      <c r="B422" s="44"/>
      <c r="C422" s="30"/>
      <c r="D422" s="30"/>
      <c r="E422" s="55"/>
      <c r="F422" s="55"/>
      <c r="G422" s="55"/>
      <c r="H422" s="55"/>
      <c r="I422" s="56"/>
      <c r="J422" s="46"/>
      <c r="K422" s="46"/>
      <c r="L422" s="46"/>
      <c r="M422" s="46"/>
      <c r="N422" s="46"/>
      <c r="O422" s="46"/>
      <c r="P422" s="46"/>
      <c r="Q422" s="46"/>
      <c r="R422" s="46"/>
      <c r="S422" s="46"/>
      <c r="T422" s="46"/>
      <c r="U422" s="46"/>
      <c r="V422" s="46"/>
      <c r="W422" s="46"/>
    </row>
    <row r="423">
      <c r="A423" s="44"/>
      <c r="B423" s="44"/>
      <c r="C423" s="30"/>
      <c r="D423" s="30"/>
      <c r="E423" s="55"/>
      <c r="F423" s="55"/>
      <c r="G423" s="55"/>
      <c r="H423" s="55"/>
      <c r="I423" s="56"/>
      <c r="J423" s="46"/>
      <c r="K423" s="46"/>
      <c r="L423" s="46"/>
      <c r="M423" s="46"/>
      <c r="N423" s="46"/>
      <c r="O423" s="46"/>
      <c r="P423" s="46"/>
      <c r="Q423" s="46"/>
      <c r="R423" s="46"/>
      <c r="S423" s="46"/>
      <c r="T423" s="46"/>
      <c r="U423" s="46"/>
      <c r="V423" s="46"/>
      <c r="W423" s="46"/>
    </row>
    <row r="424">
      <c r="A424" s="44"/>
      <c r="B424" s="44"/>
      <c r="C424" s="30"/>
      <c r="D424" s="30"/>
      <c r="E424" s="55"/>
      <c r="F424" s="55"/>
      <c r="G424" s="55"/>
      <c r="H424" s="55"/>
      <c r="I424" s="56"/>
      <c r="J424" s="46"/>
      <c r="K424" s="46"/>
      <c r="L424" s="46"/>
      <c r="M424" s="46"/>
      <c r="N424" s="46"/>
      <c r="O424" s="46"/>
      <c r="P424" s="46"/>
      <c r="Q424" s="46"/>
      <c r="R424" s="46"/>
      <c r="S424" s="46"/>
      <c r="T424" s="46"/>
      <c r="U424" s="46"/>
      <c r="V424" s="46"/>
      <c r="W424" s="46"/>
    </row>
    <row r="425">
      <c r="A425" s="44"/>
      <c r="B425" s="44"/>
      <c r="C425" s="30"/>
      <c r="D425" s="30"/>
      <c r="E425" s="55"/>
      <c r="F425" s="55"/>
      <c r="G425" s="55"/>
      <c r="H425" s="55"/>
      <c r="I425" s="56"/>
      <c r="J425" s="46"/>
      <c r="K425" s="46"/>
      <c r="L425" s="46"/>
      <c r="M425" s="46"/>
      <c r="N425" s="46"/>
      <c r="O425" s="46"/>
      <c r="P425" s="46"/>
      <c r="Q425" s="46"/>
      <c r="R425" s="46"/>
      <c r="S425" s="46"/>
      <c r="T425" s="46"/>
      <c r="U425" s="46"/>
      <c r="V425" s="46"/>
      <c r="W425" s="46"/>
    </row>
    <row r="426">
      <c r="A426" s="44"/>
      <c r="B426" s="44"/>
      <c r="C426" s="30"/>
      <c r="D426" s="30"/>
      <c r="E426" s="55"/>
      <c r="F426" s="55"/>
      <c r="G426" s="55"/>
      <c r="H426" s="55"/>
      <c r="I426" s="56"/>
      <c r="J426" s="46"/>
      <c r="K426" s="46"/>
      <c r="L426" s="46"/>
      <c r="M426" s="46"/>
      <c r="N426" s="46"/>
      <c r="O426" s="46"/>
      <c r="P426" s="46"/>
      <c r="Q426" s="46"/>
      <c r="R426" s="46"/>
      <c r="S426" s="46"/>
      <c r="T426" s="46"/>
      <c r="U426" s="46"/>
      <c r="V426" s="46"/>
      <c r="W426" s="46"/>
    </row>
    <row r="427">
      <c r="A427" s="44"/>
      <c r="B427" s="44"/>
      <c r="C427" s="30"/>
      <c r="D427" s="30"/>
      <c r="E427" s="55"/>
      <c r="F427" s="55"/>
      <c r="G427" s="55"/>
      <c r="H427" s="55"/>
      <c r="I427" s="56"/>
      <c r="J427" s="46"/>
      <c r="K427" s="46"/>
      <c r="L427" s="46"/>
      <c r="M427" s="46"/>
      <c r="N427" s="46"/>
      <c r="O427" s="46"/>
      <c r="P427" s="46"/>
      <c r="Q427" s="46"/>
      <c r="R427" s="46"/>
      <c r="S427" s="46"/>
      <c r="T427" s="46"/>
      <c r="U427" s="46"/>
      <c r="V427" s="46"/>
      <c r="W427" s="46"/>
    </row>
    <row r="428">
      <c r="A428" s="44"/>
      <c r="B428" s="44"/>
      <c r="C428" s="30"/>
      <c r="D428" s="30"/>
      <c r="E428" s="55"/>
      <c r="F428" s="55"/>
      <c r="G428" s="55"/>
      <c r="H428" s="55"/>
      <c r="I428" s="56"/>
      <c r="J428" s="46"/>
      <c r="K428" s="46"/>
      <c r="L428" s="46"/>
      <c r="M428" s="46"/>
      <c r="N428" s="46"/>
      <c r="O428" s="46"/>
      <c r="P428" s="46"/>
      <c r="Q428" s="46"/>
      <c r="R428" s="46"/>
      <c r="S428" s="46"/>
      <c r="T428" s="46"/>
      <c r="U428" s="46"/>
      <c r="V428" s="46"/>
      <c r="W428" s="46"/>
    </row>
    <row r="429">
      <c r="A429" s="44"/>
      <c r="B429" s="44"/>
      <c r="C429" s="30"/>
      <c r="D429" s="30"/>
      <c r="E429" s="55"/>
      <c r="F429" s="55"/>
      <c r="G429" s="55"/>
      <c r="H429" s="55"/>
      <c r="I429" s="56"/>
      <c r="J429" s="46"/>
      <c r="K429" s="46"/>
      <c r="L429" s="46"/>
      <c r="M429" s="46"/>
      <c r="N429" s="46"/>
      <c r="O429" s="46"/>
      <c r="P429" s="46"/>
      <c r="Q429" s="46"/>
      <c r="R429" s="46"/>
      <c r="S429" s="46"/>
      <c r="T429" s="46"/>
      <c r="U429" s="46"/>
      <c r="V429" s="46"/>
      <c r="W429" s="46"/>
    </row>
    <row r="430">
      <c r="A430" s="44"/>
      <c r="B430" s="44"/>
      <c r="C430" s="30"/>
      <c r="D430" s="30"/>
      <c r="E430" s="55"/>
      <c r="F430" s="55"/>
      <c r="G430" s="55"/>
      <c r="H430" s="55"/>
      <c r="I430" s="56"/>
      <c r="J430" s="46"/>
      <c r="K430" s="46"/>
      <c r="L430" s="46"/>
      <c r="M430" s="46"/>
      <c r="N430" s="46"/>
      <c r="O430" s="46"/>
      <c r="P430" s="46"/>
      <c r="Q430" s="46"/>
      <c r="R430" s="46"/>
      <c r="S430" s="46"/>
      <c r="T430" s="46"/>
      <c r="U430" s="46"/>
      <c r="V430" s="46"/>
      <c r="W430" s="46"/>
    </row>
    <row r="431">
      <c r="A431" s="44"/>
      <c r="B431" s="44"/>
      <c r="C431" s="30"/>
      <c r="D431" s="30"/>
      <c r="E431" s="55"/>
      <c r="F431" s="55"/>
      <c r="G431" s="55"/>
      <c r="H431" s="55"/>
      <c r="I431" s="56"/>
      <c r="J431" s="46"/>
      <c r="K431" s="46"/>
      <c r="L431" s="46"/>
      <c r="M431" s="46"/>
      <c r="N431" s="46"/>
      <c r="O431" s="46"/>
      <c r="P431" s="46"/>
      <c r="Q431" s="46"/>
      <c r="R431" s="46"/>
      <c r="S431" s="46"/>
      <c r="T431" s="46"/>
      <c r="U431" s="46"/>
      <c r="V431" s="46"/>
      <c r="W431" s="46"/>
    </row>
    <row r="432">
      <c r="A432" s="44"/>
      <c r="B432" s="44"/>
      <c r="C432" s="30"/>
      <c r="D432" s="30"/>
      <c r="E432" s="55"/>
      <c r="F432" s="55"/>
      <c r="G432" s="55"/>
      <c r="H432" s="55"/>
      <c r="I432" s="56"/>
      <c r="J432" s="46"/>
      <c r="K432" s="46"/>
      <c r="L432" s="46"/>
      <c r="M432" s="46"/>
      <c r="N432" s="46"/>
      <c r="O432" s="46"/>
      <c r="P432" s="46"/>
      <c r="Q432" s="46"/>
      <c r="R432" s="46"/>
      <c r="S432" s="46"/>
      <c r="T432" s="46"/>
      <c r="U432" s="46"/>
      <c r="V432" s="46"/>
      <c r="W432" s="46"/>
    </row>
    <row r="433">
      <c r="A433" s="44"/>
      <c r="B433" s="44"/>
      <c r="C433" s="30"/>
      <c r="D433" s="30"/>
      <c r="E433" s="55"/>
      <c r="F433" s="55"/>
      <c r="G433" s="55"/>
      <c r="H433" s="55"/>
      <c r="I433" s="56"/>
      <c r="J433" s="46"/>
      <c r="K433" s="46"/>
      <c r="L433" s="46"/>
      <c r="M433" s="46"/>
      <c r="N433" s="46"/>
      <c r="O433" s="46"/>
      <c r="P433" s="46"/>
      <c r="Q433" s="46"/>
      <c r="R433" s="46"/>
      <c r="S433" s="46"/>
      <c r="T433" s="46"/>
      <c r="U433" s="46"/>
      <c r="V433" s="46"/>
      <c r="W433" s="46"/>
    </row>
    <row r="434">
      <c r="A434" s="44"/>
      <c r="B434" s="44"/>
      <c r="C434" s="30"/>
      <c r="D434" s="30"/>
      <c r="E434" s="55"/>
      <c r="F434" s="55"/>
      <c r="G434" s="55"/>
      <c r="H434" s="55"/>
      <c r="I434" s="56"/>
      <c r="J434" s="46"/>
      <c r="K434" s="46"/>
      <c r="L434" s="46"/>
      <c r="M434" s="46"/>
      <c r="N434" s="46"/>
      <c r="O434" s="46"/>
      <c r="P434" s="46"/>
      <c r="Q434" s="46"/>
      <c r="R434" s="46"/>
      <c r="S434" s="46"/>
      <c r="T434" s="46"/>
      <c r="U434" s="46"/>
      <c r="V434" s="46"/>
      <c r="W434" s="46"/>
    </row>
    <row r="435">
      <c r="A435" s="44"/>
      <c r="B435" s="44"/>
      <c r="C435" s="30"/>
      <c r="D435" s="30"/>
      <c r="E435" s="55"/>
      <c r="F435" s="55"/>
      <c r="G435" s="55"/>
      <c r="H435" s="55"/>
      <c r="I435" s="56"/>
      <c r="J435" s="46"/>
      <c r="K435" s="46"/>
      <c r="L435" s="46"/>
      <c r="M435" s="46"/>
      <c r="N435" s="46"/>
      <c r="O435" s="46"/>
      <c r="P435" s="46"/>
      <c r="Q435" s="46"/>
      <c r="R435" s="46"/>
      <c r="S435" s="46"/>
      <c r="T435" s="46"/>
      <c r="U435" s="46"/>
      <c r="V435" s="46"/>
      <c r="W435" s="46"/>
    </row>
    <row r="436">
      <c r="A436" s="44"/>
      <c r="B436" s="44"/>
      <c r="C436" s="30"/>
      <c r="D436" s="30"/>
      <c r="E436" s="55"/>
      <c r="F436" s="55"/>
      <c r="G436" s="55"/>
      <c r="H436" s="55"/>
      <c r="I436" s="56"/>
      <c r="J436" s="46"/>
      <c r="K436" s="46"/>
      <c r="L436" s="46"/>
      <c r="M436" s="46"/>
      <c r="N436" s="46"/>
      <c r="O436" s="46"/>
      <c r="P436" s="46"/>
      <c r="Q436" s="46"/>
      <c r="R436" s="46"/>
      <c r="S436" s="46"/>
      <c r="T436" s="46"/>
      <c r="U436" s="46"/>
      <c r="V436" s="46"/>
      <c r="W436" s="46"/>
    </row>
    <row r="437">
      <c r="A437" s="44"/>
      <c r="B437" s="44"/>
      <c r="C437" s="30"/>
      <c r="D437" s="30"/>
      <c r="E437" s="55"/>
      <c r="F437" s="55"/>
      <c r="G437" s="55"/>
      <c r="H437" s="55"/>
      <c r="I437" s="56"/>
      <c r="J437" s="46"/>
      <c r="K437" s="46"/>
      <c r="L437" s="46"/>
      <c r="M437" s="46"/>
      <c r="N437" s="46"/>
      <c r="O437" s="46"/>
      <c r="P437" s="46"/>
      <c r="Q437" s="46"/>
      <c r="R437" s="46"/>
      <c r="S437" s="46"/>
      <c r="T437" s="46"/>
      <c r="U437" s="46"/>
      <c r="V437" s="46"/>
      <c r="W437" s="46"/>
    </row>
    <row r="438">
      <c r="A438" s="44"/>
      <c r="B438" s="44"/>
      <c r="C438" s="30"/>
      <c r="D438" s="30"/>
      <c r="E438" s="55"/>
      <c r="F438" s="55"/>
      <c r="G438" s="55"/>
      <c r="H438" s="55"/>
      <c r="I438" s="56"/>
      <c r="J438" s="46"/>
      <c r="K438" s="46"/>
      <c r="L438" s="46"/>
      <c r="M438" s="46"/>
      <c r="N438" s="46"/>
      <c r="O438" s="46"/>
      <c r="P438" s="46"/>
      <c r="Q438" s="46"/>
      <c r="R438" s="46"/>
      <c r="S438" s="46"/>
      <c r="T438" s="46"/>
      <c r="U438" s="46"/>
      <c r="V438" s="46"/>
      <c r="W438" s="46"/>
    </row>
    <row r="439">
      <c r="A439" s="44"/>
      <c r="B439" s="44"/>
      <c r="C439" s="30"/>
      <c r="D439" s="30"/>
      <c r="E439" s="55"/>
      <c r="F439" s="55"/>
      <c r="G439" s="55"/>
      <c r="H439" s="55"/>
      <c r="I439" s="56"/>
      <c r="J439" s="46"/>
      <c r="K439" s="46"/>
      <c r="L439" s="46"/>
      <c r="M439" s="46"/>
      <c r="N439" s="46"/>
      <c r="O439" s="46"/>
      <c r="P439" s="46"/>
      <c r="Q439" s="46"/>
      <c r="R439" s="46"/>
      <c r="S439" s="46"/>
      <c r="T439" s="46"/>
      <c r="U439" s="46"/>
      <c r="V439" s="46"/>
      <c r="W439" s="46"/>
    </row>
    <row r="440">
      <c r="A440" s="44"/>
      <c r="B440" s="44"/>
      <c r="C440" s="30"/>
      <c r="D440" s="30"/>
      <c r="E440" s="55"/>
      <c r="F440" s="55"/>
      <c r="G440" s="55"/>
      <c r="H440" s="55"/>
      <c r="I440" s="56"/>
      <c r="J440" s="46"/>
      <c r="K440" s="46"/>
      <c r="L440" s="46"/>
      <c r="M440" s="46"/>
      <c r="N440" s="46"/>
      <c r="O440" s="46"/>
      <c r="P440" s="46"/>
      <c r="Q440" s="46"/>
      <c r="R440" s="46"/>
      <c r="S440" s="46"/>
      <c r="T440" s="46"/>
      <c r="U440" s="46"/>
      <c r="V440" s="46"/>
      <c r="W440" s="46"/>
    </row>
    <row r="441">
      <c r="A441" s="44"/>
      <c r="B441" s="44"/>
      <c r="C441" s="30"/>
      <c r="D441" s="30"/>
      <c r="E441" s="55"/>
      <c r="F441" s="55"/>
      <c r="G441" s="55"/>
      <c r="H441" s="55"/>
      <c r="I441" s="56"/>
      <c r="J441" s="46"/>
      <c r="K441" s="46"/>
      <c r="L441" s="46"/>
      <c r="M441" s="46"/>
      <c r="N441" s="46"/>
      <c r="O441" s="46"/>
      <c r="P441" s="46"/>
      <c r="Q441" s="46"/>
      <c r="R441" s="46"/>
      <c r="S441" s="46"/>
      <c r="T441" s="46"/>
      <c r="U441" s="46"/>
      <c r="V441" s="46"/>
      <c r="W441" s="46"/>
    </row>
    <row r="442">
      <c r="A442" s="44"/>
      <c r="B442" s="44"/>
      <c r="C442" s="30"/>
      <c r="D442" s="30"/>
      <c r="E442" s="55"/>
      <c r="F442" s="55"/>
      <c r="G442" s="55"/>
      <c r="H442" s="55"/>
      <c r="I442" s="56"/>
      <c r="J442" s="46"/>
      <c r="K442" s="46"/>
      <c r="L442" s="46"/>
      <c r="M442" s="46"/>
      <c r="N442" s="46"/>
      <c r="O442" s="46"/>
      <c r="P442" s="46"/>
      <c r="Q442" s="46"/>
      <c r="R442" s="46"/>
      <c r="S442" s="46"/>
      <c r="T442" s="46"/>
      <c r="U442" s="46"/>
      <c r="V442" s="46"/>
      <c r="W442" s="46"/>
    </row>
    <row r="443">
      <c r="A443" s="44"/>
      <c r="B443" s="44"/>
      <c r="C443" s="30"/>
      <c r="D443" s="30"/>
      <c r="E443" s="55"/>
      <c r="F443" s="55"/>
      <c r="G443" s="55"/>
      <c r="H443" s="55"/>
      <c r="I443" s="56"/>
      <c r="J443" s="46"/>
      <c r="K443" s="46"/>
      <c r="L443" s="46"/>
      <c r="M443" s="46"/>
      <c r="N443" s="46"/>
      <c r="O443" s="46"/>
      <c r="P443" s="46"/>
      <c r="Q443" s="46"/>
      <c r="R443" s="46"/>
      <c r="S443" s="46"/>
      <c r="T443" s="46"/>
      <c r="U443" s="46"/>
      <c r="V443" s="46"/>
      <c r="W443" s="46"/>
    </row>
    <row r="444">
      <c r="A444" s="44"/>
      <c r="B444" s="44"/>
      <c r="C444" s="30"/>
      <c r="D444" s="30"/>
      <c r="E444" s="55"/>
      <c r="F444" s="55"/>
      <c r="G444" s="55"/>
      <c r="H444" s="55"/>
      <c r="I444" s="56"/>
      <c r="J444" s="46"/>
      <c r="K444" s="46"/>
      <c r="L444" s="46"/>
      <c r="M444" s="46"/>
      <c r="N444" s="46"/>
      <c r="O444" s="46"/>
      <c r="P444" s="46"/>
      <c r="Q444" s="46"/>
      <c r="R444" s="46"/>
      <c r="S444" s="46"/>
      <c r="T444" s="46"/>
      <c r="U444" s="46"/>
      <c r="V444" s="46"/>
      <c r="W444" s="46"/>
    </row>
    <row r="445">
      <c r="A445" s="44"/>
      <c r="B445" s="44"/>
      <c r="C445" s="30"/>
      <c r="D445" s="30"/>
      <c r="E445" s="55"/>
      <c r="F445" s="55"/>
      <c r="G445" s="55"/>
      <c r="H445" s="55"/>
      <c r="I445" s="56"/>
      <c r="J445" s="46"/>
      <c r="K445" s="46"/>
      <c r="L445" s="46"/>
      <c r="M445" s="46"/>
      <c r="N445" s="46"/>
      <c r="O445" s="46"/>
      <c r="P445" s="46"/>
      <c r="Q445" s="46"/>
      <c r="R445" s="46"/>
      <c r="S445" s="46"/>
      <c r="T445" s="46"/>
      <c r="U445" s="46"/>
      <c r="V445" s="46"/>
      <c r="W445" s="46"/>
    </row>
    <row r="446">
      <c r="A446" s="44"/>
      <c r="B446" s="44"/>
      <c r="C446" s="30"/>
      <c r="D446" s="30"/>
      <c r="E446" s="55"/>
      <c r="F446" s="55"/>
      <c r="G446" s="55"/>
      <c r="H446" s="55"/>
      <c r="I446" s="56"/>
      <c r="J446" s="46"/>
      <c r="K446" s="46"/>
      <c r="L446" s="46"/>
      <c r="M446" s="46"/>
      <c r="N446" s="46"/>
      <c r="O446" s="46"/>
      <c r="P446" s="46"/>
      <c r="Q446" s="46"/>
      <c r="R446" s="46"/>
      <c r="S446" s="46"/>
      <c r="T446" s="46"/>
      <c r="U446" s="46"/>
      <c r="V446" s="46"/>
      <c r="W446" s="46"/>
    </row>
    <row r="447">
      <c r="A447" s="44"/>
      <c r="B447" s="44"/>
      <c r="C447" s="30"/>
      <c r="D447" s="30"/>
      <c r="E447" s="55"/>
      <c r="F447" s="55"/>
      <c r="G447" s="55"/>
      <c r="H447" s="55"/>
      <c r="I447" s="56"/>
      <c r="J447" s="46"/>
      <c r="K447" s="46"/>
      <c r="L447" s="46"/>
      <c r="M447" s="46"/>
      <c r="N447" s="46"/>
      <c r="O447" s="46"/>
      <c r="P447" s="46"/>
      <c r="Q447" s="46"/>
      <c r="R447" s="46"/>
      <c r="S447" s="46"/>
      <c r="T447" s="46"/>
      <c r="U447" s="46"/>
      <c r="V447" s="46"/>
      <c r="W447" s="46"/>
    </row>
    <row r="448">
      <c r="A448" s="44"/>
      <c r="B448" s="44"/>
      <c r="C448" s="30"/>
      <c r="D448" s="30"/>
      <c r="E448" s="55"/>
      <c r="F448" s="55"/>
      <c r="G448" s="55"/>
      <c r="H448" s="55"/>
      <c r="I448" s="56"/>
      <c r="J448" s="46"/>
      <c r="K448" s="46"/>
      <c r="L448" s="46"/>
      <c r="M448" s="46"/>
      <c r="N448" s="46"/>
      <c r="O448" s="46"/>
      <c r="P448" s="46"/>
      <c r="Q448" s="46"/>
      <c r="R448" s="46"/>
      <c r="S448" s="46"/>
      <c r="T448" s="46"/>
      <c r="U448" s="46"/>
      <c r="V448" s="46"/>
      <c r="W448" s="46"/>
    </row>
    <row r="449">
      <c r="A449" s="44"/>
      <c r="B449" s="44"/>
      <c r="C449" s="30"/>
      <c r="D449" s="30"/>
      <c r="E449" s="55"/>
      <c r="F449" s="55"/>
      <c r="G449" s="55"/>
      <c r="H449" s="55"/>
      <c r="I449" s="56"/>
      <c r="J449" s="46"/>
      <c r="K449" s="46"/>
      <c r="L449" s="46"/>
      <c r="M449" s="46"/>
      <c r="N449" s="46"/>
      <c r="O449" s="46"/>
      <c r="P449" s="46"/>
      <c r="Q449" s="46"/>
      <c r="R449" s="46"/>
      <c r="S449" s="46"/>
      <c r="T449" s="46"/>
      <c r="U449" s="46"/>
      <c r="V449" s="46"/>
      <c r="W449" s="46"/>
    </row>
    <row r="450">
      <c r="A450" s="44"/>
      <c r="B450" s="44"/>
      <c r="C450" s="30"/>
      <c r="D450" s="30"/>
      <c r="E450" s="55"/>
      <c r="F450" s="55"/>
      <c r="G450" s="55"/>
      <c r="H450" s="55"/>
      <c r="I450" s="56"/>
      <c r="J450" s="46"/>
      <c r="K450" s="46"/>
      <c r="L450" s="46"/>
      <c r="M450" s="46"/>
      <c r="N450" s="46"/>
      <c r="O450" s="46"/>
      <c r="P450" s="46"/>
      <c r="Q450" s="46"/>
      <c r="R450" s="46"/>
      <c r="S450" s="46"/>
      <c r="T450" s="46"/>
      <c r="U450" s="46"/>
      <c r="V450" s="46"/>
      <c r="W450" s="46"/>
    </row>
    <row r="451">
      <c r="A451" s="44"/>
      <c r="B451" s="44"/>
      <c r="C451" s="30"/>
      <c r="D451" s="30"/>
      <c r="E451" s="55"/>
      <c r="F451" s="55"/>
      <c r="G451" s="55"/>
      <c r="H451" s="55"/>
      <c r="I451" s="56"/>
      <c r="J451" s="46"/>
      <c r="K451" s="46"/>
      <c r="L451" s="46"/>
      <c r="M451" s="46"/>
      <c r="N451" s="46"/>
      <c r="O451" s="46"/>
      <c r="P451" s="46"/>
      <c r="Q451" s="46"/>
      <c r="R451" s="46"/>
      <c r="S451" s="46"/>
      <c r="T451" s="46"/>
      <c r="U451" s="46"/>
      <c r="V451" s="46"/>
      <c r="W451" s="46"/>
    </row>
    <row r="452">
      <c r="A452" s="44"/>
      <c r="B452" s="44"/>
      <c r="C452" s="30"/>
      <c r="D452" s="30"/>
      <c r="E452" s="55"/>
      <c r="F452" s="55"/>
      <c r="G452" s="55"/>
      <c r="H452" s="55"/>
      <c r="I452" s="56"/>
      <c r="J452" s="46"/>
      <c r="K452" s="46"/>
      <c r="L452" s="46"/>
      <c r="M452" s="46"/>
      <c r="N452" s="46"/>
      <c r="O452" s="46"/>
      <c r="P452" s="46"/>
      <c r="Q452" s="46"/>
      <c r="R452" s="46"/>
      <c r="S452" s="46"/>
      <c r="T452" s="46"/>
      <c r="U452" s="46"/>
      <c r="V452" s="46"/>
      <c r="W452" s="46"/>
    </row>
    <row r="453">
      <c r="A453" s="44"/>
      <c r="B453" s="44"/>
      <c r="C453" s="30"/>
      <c r="D453" s="30"/>
      <c r="E453" s="55"/>
      <c r="F453" s="55"/>
      <c r="G453" s="55"/>
      <c r="H453" s="55"/>
      <c r="I453" s="56"/>
      <c r="J453" s="46"/>
      <c r="K453" s="46"/>
      <c r="L453" s="46"/>
      <c r="M453" s="46"/>
      <c r="N453" s="46"/>
      <c r="O453" s="46"/>
      <c r="P453" s="46"/>
      <c r="Q453" s="46"/>
      <c r="R453" s="46"/>
      <c r="S453" s="46"/>
      <c r="T453" s="46"/>
      <c r="U453" s="46"/>
      <c r="V453" s="46"/>
      <c r="W453" s="46"/>
    </row>
    <row r="454">
      <c r="A454" s="44"/>
      <c r="B454" s="44"/>
      <c r="C454" s="30"/>
      <c r="D454" s="30"/>
      <c r="E454" s="55"/>
      <c r="F454" s="55"/>
      <c r="G454" s="55"/>
      <c r="H454" s="55"/>
      <c r="I454" s="56"/>
      <c r="J454" s="46"/>
      <c r="K454" s="46"/>
      <c r="L454" s="46"/>
      <c r="M454" s="46"/>
      <c r="N454" s="46"/>
      <c r="O454" s="46"/>
      <c r="P454" s="46"/>
      <c r="Q454" s="46"/>
      <c r="R454" s="46"/>
      <c r="S454" s="46"/>
      <c r="T454" s="46"/>
      <c r="U454" s="46"/>
      <c r="V454" s="46"/>
      <c r="W454" s="46"/>
    </row>
    <row r="455">
      <c r="A455" s="44"/>
      <c r="B455" s="44"/>
      <c r="C455" s="30"/>
      <c r="D455" s="30"/>
      <c r="E455" s="55"/>
      <c r="F455" s="55"/>
      <c r="G455" s="55"/>
      <c r="H455" s="55"/>
      <c r="I455" s="56"/>
      <c r="J455" s="46"/>
      <c r="K455" s="46"/>
      <c r="L455" s="46"/>
      <c r="M455" s="46"/>
      <c r="N455" s="46"/>
      <c r="O455" s="46"/>
      <c r="P455" s="46"/>
      <c r="Q455" s="46"/>
      <c r="R455" s="46"/>
      <c r="S455" s="46"/>
      <c r="T455" s="46"/>
      <c r="U455" s="46"/>
      <c r="V455" s="46"/>
      <c r="W455" s="46"/>
    </row>
    <row r="456">
      <c r="A456" s="44"/>
      <c r="B456" s="44"/>
      <c r="C456" s="30"/>
      <c r="D456" s="30"/>
      <c r="E456" s="55"/>
      <c r="F456" s="55"/>
      <c r="G456" s="55"/>
      <c r="H456" s="55"/>
      <c r="I456" s="56"/>
      <c r="J456" s="46"/>
      <c r="K456" s="46"/>
      <c r="L456" s="46"/>
      <c r="M456" s="46"/>
      <c r="N456" s="46"/>
      <c r="O456" s="46"/>
      <c r="P456" s="46"/>
      <c r="Q456" s="46"/>
      <c r="R456" s="46"/>
      <c r="S456" s="46"/>
      <c r="T456" s="46"/>
      <c r="U456" s="46"/>
      <c r="V456" s="46"/>
      <c r="W456" s="46"/>
    </row>
    <row r="457">
      <c r="A457" s="44"/>
      <c r="B457" s="44"/>
      <c r="C457" s="30"/>
      <c r="D457" s="30"/>
      <c r="E457" s="55"/>
      <c r="F457" s="55"/>
      <c r="G457" s="55"/>
      <c r="H457" s="55"/>
      <c r="I457" s="56"/>
      <c r="J457" s="46"/>
      <c r="K457" s="46"/>
      <c r="L457" s="46"/>
      <c r="M457" s="46"/>
      <c r="N457" s="46"/>
      <c r="O457" s="46"/>
      <c r="P457" s="46"/>
      <c r="Q457" s="46"/>
      <c r="R457" s="46"/>
      <c r="S457" s="46"/>
      <c r="T457" s="46"/>
      <c r="U457" s="46"/>
      <c r="V457" s="46"/>
      <c r="W457" s="46"/>
    </row>
    <row r="458">
      <c r="A458" s="44"/>
      <c r="B458" s="44"/>
      <c r="C458" s="30"/>
      <c r="D458" s="30"/>
      <c r="E458" s="55"/>
      <c r="F458" s="55"/>
      <c r="G458" s="55"/>
      <c r="H458" s="55"/>
      <c r="I458" s="56"/>
      <c r="J458" s="46"/>
      <c r="K458" s="46"/>
      <c r="L458" s="46"/>
      <c r="M458" s="46"/>
      <c r="N458" s="46"/>
      <c r="O458" s="46"/>
      <c r="P458" s="46"/>
      <c r="Q458" s="46"/>
      <c r="R458" s="46"/>
      <c r="S458" s="46"/>
      <c r="T458" s="46"/>
      <c r="U458" s="46"/>
      <c r="V458" s="46"/>
      <c r="W458" s="46"/>
    </row>
    <row r="459">
      <c r="A459" s="44"/>
      <c r="B459" s="44"/>
      <c r="C459" s="30"/>
      <c r="D459" s="30"/>
      <c r="E459" s="55"/>
      <c r="F459" s="55"/>
      <c r="G459" s="55"/>
      <c r="H459" s="55"/>
      <c r="I459" s="56"/>
      <c r="J459" s="46"/>
      <c r="K459" s="46"/>
      <c r="L459" s="46"/>
      <c r="M459" s="46"/>
      <c r="N459" s="46"/>
      <c r="O459" s="46"/>
      <c r="P459" s="46"/>
      <c r="Q459" s="46"/>
      <c r="R459" s="46"/>
      <c r="S459" s="46"/>
      <c r="T459" s="46"/>
      <c r="U459" s="46"/>
      <c r="V459" s="46"/>
      <c r="W459" s="46"/>
    </row>
    <row r="460">
      <c r="A460" s="44"/>
      <c r="B460" s="44"/>
      <c r="C460" s="30"/>
      <c r="D460" s="30"/>
      <c r="E460" s="55"/>
      <c r="F460" s="55"/>
      <c r="G460" s="55"/>
      <c r="H460" s="55"/>
      <c r="I460" s="56"/>
      <c r="J460" s="46"/>
      <c r="K460" s="46"/>
      <c r="L460" s="46"/>
      <c r="M460" s="46"/>
      <c r="N460" s="46"/>
      <c r="O460" s="46"/>
      <c r="P460" s="46"/>
      <c r="Q460" s="46"/>
      <c r="R460" s="46"/>
      <c r="S460" s="46"/>
      <c r="T460" s="46"/>
      <c r="U460" s="46"/>
      <c r="V460" s="46"/>
      <c r="W460" s="46"/>
    </row>
    <row r="461">
      <c r="A461" s="44"/>
      <c r="B461" s="44"/>
      <c r="C461" s="30"/>
      <c r="D461" s="30"/>
      <c r="E461" s="55"/>
      <c r="F461" s="55"/>
      <c r="G461" s="55"/>
      <c r="H461" s="55"/>
      <c r="I461" s="56"/>
      <c r="J461" s="46"/>
      <c r="K461" s="46"/>
      <c r="L461" s="46"/>
      <c r="M461" s="46"/>
      <c r="N461" s="46"/>
      <c r="O461" s="46"/>
      <c r="P461" s="46"/>
      <c r="Q461" s="46"/>
      <c r="R461" s="46"/>
      <c r="S461" s="46"/>
      <c r="T461" s="46"/>
      <c r="U461" s="46"/>
      <c r="V461" s="46"/>
      <c r="W461" s="46"/>
    </row>
    <row r="462">
      <c r="A462" s="44"/>
      <c r="B462" s="44"/>
      <c r="C462" s="30"/>
      <c r="D462" s="30"/>
      <c r="E462" s="55"/>
      <c r="F462" s="55"/>
      <c r="G462" s="55"/>
      <c r="H462" s="55"/>
      <c r="I462" s="56"/>
      <c r="J462" s="46"/>
      <c r="K462" s="46"/>
      <c r="L462" s="46"/>
      <c r="M462" s="46"/>
      <c r="N462" s="46"/>
      <c r="O462" s="46"/>
      <c r="P462" s="46"/>
      <c r="Q462" s="46"/>
      <c r="R462" s="46"/>
      <c r="S462" s="46"/>
      <c r="T462" s="46"/>
      <c r="U462" s="46"/>
      <c r="V462" s="46"/>
      <c r="W462" s="46"/>
    </row>
    <row r="463">
      <c r="A463" s="44"/>
      <c r="B463" s="44"/>
      <c r="C463" s="30"/>
      <c r="D463" s="30"/>
      <c r="E463" s="55"/>
      <c r="F463" s="55"/>
      <c r="G463" s="55"/>
      <c r="H463" s="55"/>
      <c r="I463" s="56"/>
      <c r="J463" s="46"/>
      <c r="K463" s="46"/>
      <c r="L463" s="46"/>
      <c r="M463" s="46"/>
      <c r="N463" s="46"/>
      <c r="O463" s="46"/>
      <c r="P463" s="46"/>
      <c r="Q463" s="46"/>
      <c r="R463" s="46"/>
      <c r="S463" s="46"/>
      <c r="T463" s="46"/>
      <c r="U463" s="46"/>
      <c r="V463" s="46"/>
      <c r="W463" s="46"/>
    </row>
    <row r="464">
      <c r="A464" s="44"/>
      <c r="B464" s="44"/>
      <c r="C464" s="30"/>
      <c r="D464" s="30"/>
      <c r="E464" s="55"/>
      <c r="F464" s="55"/>
      <c r="G464" s="55"/>
      <c r="H464" s="55"/>
      <c r="I464" s="56"/>
      <c r="J464" s="46"/>
      <c r="K464" s="46"/>
      <c r="L464" s="46"/>
      <c r="M464" s="46"/>
      <c r="N464" s="46"/>
      <c r="O464" s="46"/>
      <c r="P464" s="46"/>
      <c r="Q464" s="46"/>
      <c r="R464" s="46"/>
      <c r="S464" s="46"/>
      <c r="T464" s="46"/>
      <c r="U464" s="46"/>
      <c r="V464" s="46"/>
      <c r="W464" s="46"/>
    </row>
    <row r="465">
      <c r="A465" s="44"/>
      <c r="B465" s="44"/>
      <c r="C465" s="30"/>
      <c r="D465" s="30"/>
      <c r="E465" s="55"/>
      <c r="F465" s="55"/>
      <c r="G465" s="55"/>
      <c r="H465" s="55"/>
      <c r="I465" s="56"/>
      <c r="J465" s="46"/>
      <c r="K465" s="46"/>
      <c r="L465" s="46"/>
      <c r="M465" s="46"/>
      <c r="N465" s="46"/>
      <c r="O465" s="46"/>
      <c r="P465" s="46"/>
      <c r="Q465" s="46"/>
      <c r="R465" s="46"/>
      <c r="S465" s="46"/>
      <c r="T465" s="46"/>
      <c r="U465" s="46"/>
      <c r="V465" s="46"/>
      <c r="W465" s="46"/>
    </row>
    <row r="466">
      <c r="A466" s="44"/>
      <c r="B466" s="44"/>
      <c r="C466" s="30"/>
      <c r="D466" s="30"/>
      <c r="E466" s="55"/>
      <c r="F466" s="55"/>
      <c r="G466" s="55"/>
      <c r="H466" s="55"/>
      <c r="I466" s="56"/>
      <c r="J466" s="46"/>
      <c r="K466" s="46"/>
      <c r="L466" s="46"/>
      <c r="M466" s="46"/>
      <c r="N466" s="46"/>
      <c r="O466" s="46"/>
      <c r="P466" s="46"/>
      <c r="Q466" s="46"/>
      <c r="R466" s="46"/>
      <c r="S466" s="46"/>
      <c r="T466" s="46"/>
      <c r="U466" s="46"/>
      <c r="V466" s="46"/>
      <c r="W466" s="46"/>
    </row>
    <row r="467">
      <c r="A467" s="44"/>
      <c r="B467" s="44"/>
      <c r="C467" s="30"/>
      <c r="D467" s="30"/>
      <c r="E467" s="55"/>
      <c r="F467" s="55"/>
      <c r="G467" s="55"/>
      <c r="H467" s="55"/>
      <c r="I467" s="56"/>
      <c r="J467" s="46"/>
      <c r="K467" s="46"/>
      <c r="L467" s="46"/>
      <c r="M467" s="46"/>
      <c r="N467" s="46"/>
      <c r="O467" s="46"/>
      <c r="P467" s="46"/>
      <c r="Q467" s="46"/>
      <c r="R467" s="46"/>
      <c r="S467" s="46"/>
      <c r="T467" s="46"/>
      <c r="U467" s="46"/>
      <c r="V467" s="46"/>
      <c r="W467" s="46"/>
    </row>
    <row r="468">
      <c r="A468" s="44"/>
      <c r="B468" s="44"/>
      <c r="C468" s="30"/>
      <c r="D468" s="30"/>
      <c r="E468" s="55"/>
      <c r="F468" s="55"/>
      <c r="G468" s="55"/>
      <c r="H468" s="55"/>
      <c r="I468" s="56"/>
      <c r="J468" s="46"/>
      <c r="K468" s="46"/>
      <c r="L468" s="46"/>
      <c r="M468" s="46"/>
      <c r="N468" s="46"/>
      <c r="O468" s="46"/>
      <c r="P468" s="46"/>
      <c r="Q468" s="46"/>
      <c r="R468" s="46"/>
      <c r="S468" s="46"/>
      <c r="T468" s="46"/>
      <c r="U468" s="46"/>
      <c r="V468" s="46"/>
      <c r="W468" s="46"/>
    </row>
    <row r="469">
      <c r="A469" s="44"/>
      <c r="B469" s="44"/>
      <c r="C469" s="30"/>
      <c r="D469" s="30"/>
      <c r="E469" s="55"/>
      <c r="F469" s="55"/>
      <c r="G469" s="55"/>
      <c r="H469" s="55"/>
      <c r="I469" s="56"/>
      <c r="J469" s="46"/>
      <c r="K469" s="46"/>
      <c r="L469" s="46"/>
      <c r="M469" s="46"/>
      <c r="N469" s="46"/>
      <c r="O469" s="46"/>
      <c r="P469" s="46"/>
      <c r="Q469" s="46"/>
      <c r="R469" s="46"/>
      <c r="S469" s="46"/>
      <c r="T469" s="46"/>
      <c r="U469" s="46"/>
      <c r="V469" s="46"/>
      <c r="W469" s="46"/>
    </row>
    <row r="470">
      <c r="A470" s="44"/>
      <c r="B470" s="44"/>
      <c r="C470" s="30"/>
      <c r="D470" s="30"/>
      <c r="E470" s="55"/>
      <c r="F470" s="55"/>
      <c r="G470" s="55"/>
      <c r="H470" s="55"/>
      <c r="I470" s="56"/>
      <c r="J470" s="46"/>
      <c r="K470" s="46"/>
      <c r="L470" s="46"/>
      <c r="M470" s="46"/>
      <c r="N470" s="46"/>
      <c r="O470" s="46"/>
      <c r="P470" s="46"/>
      <c r="Q470" s="46"/>
      <c r="R470" s="46"/>
      <c r="S470" s="46"/>
      <c r="T470" s="46"/>
      <c r="U470" s="46"/>
      <c r="V470" s="46"/>
      <c r="W470" s="46"/>
    </row>
    <row r="471">
      <c r="A471" s="44"/>
      <c r="B471" s="44"/>
      <c r="C471" s="30"/>
      <c r="D471" s="30"/>
      <c r="E471" s="55"/>
      <c r="F471" s="55"/>
      <c r="G471" s="55"/>
      <c r="H471" s="55"/>
      <c r="I471" s="56"/>
      <c r="J471" s="46"/>
      <c r="K471" s="46"/>
      <c r="L471" s="46"/>
      <c r="M471" s="46"/>
      <c r="N471" s="46"/>
      <c r="O471" s="46"/>
      <c r="P471" s="46"/>
      <c r="Q471" s="46"/>
      <c r="R471" s="46"/>
      <c r="S471" s="46"/>
      <c r="T471" s="46"/>
      <c r="U471" s="46"/>
      <c r="V471" s="46"/>
      <c r="W471" s="46"/>
    </row>
    <row r="472">
      <c r="A472" s="44"/>
      <c r="B472" s="44"/>
      <c r="C472" s="30"/>
      <c r="D472" s="30"/>
      <c r="E472" s="55"/>
      <c r="F472" s="55"/>
      <c r="G472" s="55"/>
      <c r="H472" s="55"/>
      <c r="I472" s="56"/>
      <c r="J472" s="46"/>
      <c r="K472" s="46"/>
      <c r="L472" s="46"/>
      <c r="M472" s="46"/>
      <c r="N472" s="46"/>
      <c r="O472" s="46"/>
      <c r="P472" s="46"/>
      <c r="Q472" s="46"/>
      <c r="R472" s="46"/>
      <c r="S472" s="46"/>
      <c r="T472" s="46"/>
      <c r="U472" s="46"/>
      <c r="V472" s="46"/>
      <c r="W472" s="46"/>
    </row>
    <row r="473">
      <c r="A473" s="44"/>
      <c r="B473" s="44"/>
      <c r="C473" s="30"/>
      <c r="D473" s="30"/>
      <c r="E473" s="55"/>
      <c r="F473" s="55"/>
      <c r="G473" s="55"/>
      <c r="H473" s="55"/>
      <c r="I473" s="56"/>
      <c r="J473" s="46"/>
      <c r="K473" s="46"/>
      <c r="L473" s="46"/>
      <c r="M473" s="46"/>
      <c r="N473" s="46"/>
      <c r="O473" s="46"/>
      <c r="P473" s="46"/>
      <c r="Q473" s="46"/>
      <c r="R473" s="46"/>
      <c r="S473" s="46"/>
      <c r="T473" s="46"/>
      <c r="U473" s="46"/>
      <c r="V473" s="46"/>
      <c r="W473" s="46"/>
    </row>
    <row r="474">
      <c r="A474" s="44"/>
      <c r="B474" s="44"/>
      <c r="C474" s="30"/>
      <c r="D474" s="30"/>
      <c r="E474" s="55"/>
      <c r="F474" s="55"/>
      <c r="G474" s="55"/>
      <c r="H474" s="55"/>
      <c r="I474" s="56"/>
      <c r="J474" s="46"/>
      <c r="K474" s="46"/>
      <c r="L474" s="46"/>
      <c r="M474" s="46"/>
      <c r="N474" s="46"/>
      <c r="O474" s="46"/>
      <c r="P474" s="46"/>
      <c r="Q474" s="46"/>
      <c r="R474" s="46"/>
      <c r="S474" s="46"/>
      <c r="T474" s="46"/>
      <c r="U474" s="46"/>
      <c r="V474" s="46"/>
      <c r="W474" s="46"/>
    </row>
    <row r="475">
      <c r="A475" s="44"/>
      <c r="B475" s="44"/>
      <c r="C475" s="30"/>
      <c r="D475" s="30"/>
      <c r="E475" s="55"/>
      <c r="F475" s="55"/>
      <c r="G475" s="55"/>
      <c r="H475" s="55"/>
      <c r="I475" s="56"/>
      <c r="J475" s="46"/>
      <c r="K475" s="46"/>
      <c r="L475" s="46"/>
      <c r="M475" s="46"/>
      <c r="N475" s="46"/>
      <c r="O475" s="46"/>
      <c r="P475" s="46"/>
      <c r="Q475" s="46"/>
      <c r="R475" s="46"/>
      <c r="S475" s="46"/>
      <c r="T475" s="46"/>
      <c r="U475" s="46"/>
      <c r="V475" s="46"/>
      <c r="W475" s="46"/>
    </row>
    <row r="476">
      <c r="A476" s="44"/>
      <c r="B476" s="44"/>
      <c r="C476" s="30"/>
      <c r="D476" s="30"/>
      <c r="E476" s="55"/>
      <c r="F476" s="55"/>
      <c r="G476" s="55"/>
      <c r="H476" s="55"/>
      <c r="I476" s="56"/>
      <c r="J476" s="46"/>
      <c r="K476" s="46"/>
      <c r="L476" s="46"/>
      <c r="M476" s="46"/>
      <c r="N476" s="46"/>
      <c r="O476" s="46"/>
      <c r="P476" s="46"/>
      <c r="Q476" s="46"/>
      <c r="R476" s="46"/>
      <c r="S476" s="46"/>
      <c r="T476" s="46"/>
      <c r="U476" s="46"/>
      <c r="V476" s="46"/>
      <c r="W476" s="46"/>
    </row>
    <row r="477">
      <c r="A477" s="44"/>
      <c r="B477" s="44"/>
      <c r="C477" s="30"/>
      <c r="D477" s="30"/>
      <c r="E477" s="55"/>
      <c r="F477" s="55"/>
      <c r="G477" s="55"/>
      <c r="H477" s="55"/>
      <c r="I477" s="56"/>
      <c r="J477" s="46"/>
      <c r="K477" s="46"/>
      <c r="L477" s="46"/>
      <c r="M477" s="46"/>
      <c r="N477" s="46"/>
      <c r="O477" s="46"/>
      <c r="P477" s="46"/>
      <c r="Q477" s="46"/>
      <c r="R477" s="46"/>
      <c r="S477" s="46"/>
      <c r="T477" s="46"/>
      <c r="U477" s="46"/>
      <c r="V477" s="46"/>
      <c r="W477" s="46"/>
    </row>
    <row r="478">
      <c r="A478" s="44"/>
      <c r="B478" s="44"/>
      <c r="C478" s="30"/>
      <c r="D478" s="30"/>
      <c r="E478" s="55"/>
      <c r="F478" s="55"/>
      <c r="G478" s="55"/>
      <c r="H478" s="55"/>
      <c r="I478" s="56"/>
      <c r="J478" s="46"/>
      <c r="K478" s="46"/>
      <c r="L478" s="46"/>
      <c r="M478" s="46"/>
      <c r="N478" s="46"/>
      <c r="O478" s="46"/>
      <c r="P478" s="46"/>
      <c r="Q478" s="46"/>
      <c r="R478" s="46"/>
      <c r="S478" s="46"/>
      <c r="T478" s="46"/>
      <c r="U478" s="46"/>
      <c r="V478" s="46"/>
      <c r="W478" s="46"/>
    </row>
    <row r="479">
      <c r="A479" s="44"/>
      <c r="B479" s="44"/>
      <c r="C479" s="30"/>
      <c r="D479" s="30"/>
      <c r="E479" s="55"/>
      <c r="F479" s="55"/>
      <c r="G479" s="55"/>
      <c r="H479" s="55"/>
      <c r="I479" s="56"/>
      <c r="J479" s="46"/>
      <c r="K479" s="46"/>
      <c r="L479" s="46"/>
      <c r="M479" s="46"/>
      <c r="N479" s="46"/>
      <c r="O479" s="46"/>
      <c r="P479" s="46"/>
      <c r="Q479" s="46"/>
      <c r="R479" s="46"/>
      <c r="S479" s="46"/>
      <c r="T479" s="46"/>
      <c r="U479" s="46"/>
      <c r="V479" s="46"/>
      <c r="W479" s="46"/>
    </row>
    <row r="480">
      <c r="A480" s="44"/>
      <c r="B480" s="44"/>
      <c r="C480" s="30"/>
      <c r="D480" s="30"/>
      <c r="E480" s="55"/>
      <c r="F480" s="55"/>
      <c r="G480" s="55"/>
      <c r="H480" s="55"/>
      <c r="I480" s="56"/>
      <c r="J480" s="46"/>
      <c r="K480" s="46"/>
      <c r="L480" s="46"/>
      <c r="M480" s="46"/>
      <c r="N480" s="46"/>
      <c r="O480" s="46"/>
      <c r="P480" s="46"/>
      <c r="Q480" s="46"/>
      <c r="R480" s="46"/>
      <c r="S480" s="46"/>
      <c r="T480" s="46"/>
      <c r="U480" s="46"/>
      <c r="V480" s="46"/>
      <c r="W480" s="46"/>
    </row>
    <row r="481">
      <c r="A481" s="44"/>
      <c r="B481" s="44"/>
      <c r="C481" s="30"/>
      <c r="D481" s="30"/>
      <c r="E481" s="55"/>
      <c r="F481" s="55"/>
      <c r="G481" s="55"/>
      <c r="H481" s="55"/>
      <c r="I481" s="56"/>
      <c r="J481" s="46"/>
      <c r="K481" s="46"/>
      <c r="L481" s="46"/>
      <c r="M481" s="46"/>
      <c r="N481" s="46"/>
      <c r="O481" s="46"/>
      <c r="P481" s="46"/>
      <c r="Q481" s="46"/>
      <c r="R481" s="46"/>
      <c r="S481" s="46"/>
      <c r="T481" s="46"/>
      <c r="U481" s="46"/>
      <c r="V481" s="46"/>
      <c r="W481" s="46"/>
    </row>
    <row r="482">
      <c r="A482" s="44"/>
      <c r="B482" s="44"/>
      <c r="C482" s="30"/>
      <c r="D482" s="30"/>
      <c r="E482" s="55"/>
      <c r="F482" s="55"/>
      <c r="G482" s="55"/>
      <c r="H482" s="55"/>
      <c r="I482" s="56"/>
      <c r="J482" s="46"/>
      <c r="K482" s="46"/>
      <c r="L482" s="46"/>
      <c r="M482" s="46"/>
      <c r="N482" s="46"/>
      <c r="O482" s="46"/>
      <c r="P482" s="46"/>
      <c r="Q482" s="46"/>
      <c r="R482" s="46"/>
      <c r="S482" s="46"/>
      <c r="T482" s="46"/>
      <c r="U482" s="46"/>
      <c r="V482" s="46"/>
      <c r="W482" s="46"/>
    </row>
    <row r="483">
      <c r="A483" s="44"/>
      <c r="B483" s="44"/>
      <c r="C483" s="30"/>
      <c r="D483" s="30"/>
      <c r="E483" s="55"/>
      <c r="F483" s="55"/>
      <c r="G483" s="55"/>
      <c r="H483" s="55"/>
      <c r="I483" s="56"/>
      <c r="J483" s="46"/>
      <c r="K483" s="46"/>
      <c r="L483" s="46"/>
      <c r="M483" s="46"/>
      <c r="N483" s="46"/>
      <c r="O483" s="46"/>
      <c r="P483" s="46"/>
      <c r="Q483" s="46"/>
      <c r="R483" s="46"/>
      <c r="S483" s="46"/>
      <c r="T483" s="46"/>
      <c r="U483" s="46"/>
      <c r="V483" s="46"/>
      <c r="W483" s="46"/>
    </row>
    <row r="484">
      <c r="A484" s="44"/>
      <c r="B484" s="44"/>
      <c r="C484" s="30"/>
      <c r="D484" s="30"/>
      <c r="E484" s="55"/>
      <c r="F484" s="55"/>
      <c r="G484" s="55"/>
      <c r="H484" s="55"/>
      <c r="I484" s="56"/>
      <c r="J484" s="46"/>
      <c r="K484" s="46"/>
      <c r="L484" s="46"/>
      <c r="M484" s="46"/>
      <c r="N484" s="46"/>
      <c r="O484" s="46"/>
      <c r="P484" s="46"/>
      <c r="Q484" s="46"/>
      <c r="R484" s="46"/>
      <c r="S484" s="46"/>
      <c r="T484" s="46"/>
      <c r="U484" s="46"/>
      <c r="V484" s="46"/>
      <c r="W484" s="46"/>
    </row>
    <row r="485">
      <c r="A485" s="44"/>
      <c r="B485" s="44"/>
      <c r="C485" s="30"/>
      <c r="D485" s="30"/>
      <c r="E485" s="55"/>
      <c r="F485" s="55"/>
      <c r="G485" s="55"/>
      <c r="H485" s="55"/>
      <c r="I485" s="56"/>
      <c r="J485" s="46"/>
      <c r="K485" s="46"/>
      <c r="L485" s="46"/>
      <c r="M485" s="46"/>
      <c r="N485" s="46"/>
      <c r="O485" s="46"/>
      <c r="P485" s="46"/>
      <c r="Q485" s="46"/>
      <c r="R485" s="46"/>
      <c r="S485" s="46"/>
      <c r="T485" s="46"/>
      <c r="U485" s="46"/>
      <c r="V485" s="46"/>
      <c r="W485" s="46"/>
    </row>
    <row r="486">
      <c r="A486" s="44"/>
      <c r="B486" s="44"/>
      <c r="C486" s="30"/>
      <c r="D486" s="30"/>
      <c r="E486" s="55"/>
      <c r="F486" s="55"/>
      <c r="G486" s="55"/>
      <c r="H486" s="55"/>
      <c r="I486" s="56"/>
      <c r="J486" s="46"/>
      <c r="K486" s="46"/>
      <c r="L486" s="46"/>
      <c r="M486" s="46"/>
      <c r="N486" s="46"/>
      <c r="O486" s="46"/>
      <c r="P486" s="46"/>
      <c r="Q486" s="46"/>
      <c r="R486" s="46"/>
      <c r="S486" s="46"/>
      <c r="T486" s="46"/>
      <c r="U486" s="46"/>
      <c r="V486" s="46"/>
      <c r="W486" s="46"/>
    </row>
    <row r="487">
      <c r="A487" s="44"/>
      <c r="B487" s="44"/>
      <c r="C487" s="30"/>
      <c r="D487" s="30"/>
      <c r="E487" s="55"/>
      <c r="F487" s="55"/>
      <c r="G487" s="55"/>
      <c r="H487" s="55"/>
      <c r="I487" s="56"/>
      <c r="J487" s="46"/>
      <c r="K487" s="46"/>
      <c r="L487" s="46"/>
      <c r="M487" s="46"/>
      <c r="N487" s="46"/>
      <c r="O487" s="46"/>
      <c r="P487" s="46"/>
      <c r="Q487" s="46"/>
      <c r="R487" s="46"/>
      <c r="S487" s="46"/>
      <c r="T487" s="46"/>
      <c r="U487" s="46"/>
      <c r="V487" s="46"/>
      <c r="W487" s="46"/>
    </row>
    <row r="488">
      <c r="A488" s="44"/>
      <c r="B488" s="44"/>
      <c r="C488" s="30"/>
      <c r="D488" s="30"/>
      <c r="E488" s="55"/>
      <c r="F488" s="55"/>
      <c r="G488" s="55"/>
      <c r="H488" s="55"/>
      <c r="I488" s="56"/>
      <c r="J488" s="46"/>
      <c r="K488" s="46"/>
      <c r="L488" s="46"/>
      <c r="M488" s="46"/>
      <c r="N488" s="46"/>
      <c r="O488" s="46"/>
      <c r="P488" s="46"/>
      <c r="Q488" s="46"/>
      <c r="R488" s="46"/>
      <c r="S488" s="46"/>
      <c r="T488" s="46"/>
      <c r="U488" s="46"/>
      <c r="V488" s="46"/>
      <c r="W488" s="46"/>
    </row>
    <row r="489">
      <c r="A489" s="44"/>
      <c r="B489" s="44"/>
      <c r="C489" s="30"/>
      <c r="D489" s="30"/>
      <c r="E489" s="55"/>
      <c r="F489" s="55"/>
      <c r="G489" s="55"/>
      <c r="H489" s="55"/>
      <c r="I489" s="56"/>
      <c r="J489" s="46"/>
      <c r="K489" s="46"/>
      <c r="L489" s="46"/>
      <c r="M489" s="46"/>
      <c r="N489" s="46"/>
      <c r="O489" s="46"/>
      <c r="P489" s="46"/>
      <c r="Q489" s="46"/>
      <c r="R489" s="46"/>
      <c r="S489" s="46"/>
      <c r="T489" s="46"/>
      <c r="U489" s="46"/>
      <c r="V489" s="46"/>
      <c r="W489" s="46"/>
    </row>
    <row r="490">
      <c r="A490" s="44"/>
      <c r="B490" s="44"/>
      <c r="C490" s="30"/>
      <c r="D490" s="30"/>
      <c r="E490" s="55"/>
      <c r="F490" s="55"/>
      <c r="G490" s="55"/>
      <c r="H490" s="55"/>
      <c r="I490" s="56"/>
      <c r="J490" s="46"/>
      <c r="K490" s="46"/>
      <c r="L490" s="46"/>
      <c r="M490" s="46"/>
      <c r="N490" s="46"/>
      <c r="O490" s="46"/>
      <c r="P490" s="46"/>
      <c r="Q490" s="46"/>
      <c r="R490" s="46"/>
      <c r="S490" s="46"/>
      <c r="T490" s="46"/>
      <c r="U490" s="46"/>
      <c r="V490" s="46"/>
      <c r="W490" s="46"/>
    </row>
    <row r="491">
      <c r="A491" s="44"/>
      <c r="B491" s="44"/>
      <c r="C491" s="30"/>
      <c r="D491" s="30"/>
      <c r="E491" s="55"/>
      <c r="F491" s="55"/>
      <c r="G491" s="55"/>
      <c r="H491" s="55"/>
      <c r="I491" s="56"/>
      <c r="J491" s="46"/>
      <c r="K491" s="46"/>
      <c r="L491" s="46"/>
      <c r="M491" s="46"/>
      <c r="N491" s="46"/>
      <c r="O491" s="46"/>
      <c r="P491" s="46"/>
      <c r="Q491" s="46"/>
      <c r="R491" s="46"/>
      <c r="S491" s="46"/>
      <c r="T491" s="46"/>
      <c r="U491" s="46"/>
      <c r="V491" s="46"/>
      <c r="W491" s="46"/>
    </row>
    <row r="492">
      <c r="A492" s="44"/>
      <c r="B492" s="44"/>
      <c r="C492" s="30"/>
      <c r="D492" s="30"/>
      <c r="E492" s="55"/>
      <c r="F492" s="55"/>
      <c r="G492" s="55"/>
      <c r="H492" s="55"/>
      <c r="I492" s="56"/>
      <c r="J492" s="46"/>
      <c r="K492" s="46"/>
      <c r="L492" s="46"/>
      <c r="M492" s="46"/>
      <c r="N492" s="46"/>
      <c r="O492" s="46"/>
      <c r="P492" s="46"/>
      <c r="Q492" s="46"/>
      <c r="R492" s="46"/>
      <c r="S492" s="46"/>
      <c r="T492" s="46"/>
      <c r="U492" s="46"/>
      <c r="V492" s="46"/>
      <c r="W492" s="46"/>
    </row>
    <row r="493">
      <c r="A493" s="44"/>
      <c r="B493" s="44"/>
      <c r="C493" s="30"/>
      <c r="D493" s="30"/>
      <c r="E493" s="55"/>
      <c r="F493" s="55"/>
      <c r="G493" s="55"/>
      <c r="H493" s="55"/>
      <c r="I493" s="56"/>
      <c r="J493" s="46"/>
      <c r="K493" s="46"/>
      <c r="L493" s="46"/>
      <c r="M493" s="46"/>
      <c r="N493" s="46"/>
      <c r="O493" s="46"/>
      <c r="P493" s="46"/>
      <c r="Q493" s="46"/>
      <c r="R493" s="46"/>
      <c r="S493" s="46"/>
      <c r="T493" s="46"/>
      <c r="U493" s="46"/>
      <c r="V493" s="46"/>
      <c r="W493" s="46"/>
    </row>
    <row r="494">
      <c r="A494" s="44"/>
      <c r="B494" s="44"/>
      <c r="C494" s="30"/>
      <c r="D494" s="30"/>
      <c r="E494" s="55"/>
      <c r="F494" s="55"/>
      <c r="G494" s="55"/>
      <c r="H494" s="55"/>
      <c r="I494" s="56"/>
      <c r="J494" s="46"/>
      <c r="K494" s="46"/>
      <c r="L494" s="46"/>
      <c r="M494" s="46"/>
      <c r="N494" s="46"/>
      <c r="O494" s="46"/>
      <c r="P494" s="46"/>
      <c r="Q494" s="46"/>
      <c r="R494" s="46"/>
      <c r="S494" s="46"/>
      <c r="T494" s="46"/>
      <c r="U494" s="46"/>
      <c r="V494" s="46"/>
      <c r="W494" s="46"/>
    </row>
    <row r="495">
      <c r="A495" s="44"/>
      <c r="B495" s="44"/>
      <c r="C495" s="30"/>
      <c r="D495" s="30"/>
      <c r="E495" s="55"/>
      <c r="F495" s="55"/>
      <c r="G495" s="55"/>
      <c r="H495" s="55"/>
      <c r="I495" s="56"/>
      <c r="J495" s="46"/>
      <c r="K495" s="46"/>
      <c r="L495" s="46"/>
      <c r="M495" s="46"/>
      <c r="N495" s="46"/>
      <c r="O495" s="46"/>
      <c r="P495" s="46"/>
      <c r="Q495" s="46"/>
      <c r="R495" s="46"/>
      <c r="S495" s="46"/>
      <c r="T495" s="46"/>
      <c r="U495" s="46"/>
      <c r="V495" s="46"/>
      <c r="W495" s="46"/>
    </row>
    <row r="496">
      <c r="A496" s="44"/>
      <c r="B496" s="44"/>
      <c r="C496" s="30"/>
      <c r="D496" s="30"/>
      <c r="E496" s="55"/>
      <c r="F496" s="55"/>
      <c r="G496" s="55"/>
      <c r="H496" s="55"/>
      <c r="I496" s="56"/>
      <c r="J496" s="46"/>
      <c r="K496" s="46"/>
      <c r="L496" s="46"/>
      <c r="M496" s="46"/>
      <c r="N496" s="46"/>
      <c r="O496" s="46"/>
      <c r="P496" s="46"/>
      <c r="Q496" s="46"/>
      <c r="R496" s="46"/>
      <c r="S496" s="46"/>
      <c r="T496" s="46"/>
      <c r="U496" s="46"/>
      <c r="V496" s="46"/>
      <c r="W496" s="46"/>
    </row>
    <row r="497">
      <c r="A497" s="44"/>
      <c r="B497" s="44"/>
      <c r="C497" s="30"/>
      <c r="D497" s="30"/>
      <c r="E497" s="55"/>
      <c r="F497" s="55"/>
      <c r="G497" s="55"/>
      <c r="H497" s="55"/>
      <c r="I497" s="56"/>
      <c r="J497" s="46"/>
      <c r="K497" s="46"/>
      <c r="L497" s="46"/>
      <c r="M497" s="46"/>
      <c r="N497" s="46"/>
      <c r="O497" s="46"/>
      <c r="P497" s="46"/>
      <c r="Q497" s="46"/>
      <c r="R497" s="46"/>
      <c r="S497" s="46"/>
      <c r="T497" s="46"/>
      <c r="U497" s="46"/>
      <c r="V497" s="46"/>
      <c r="W497" s="46"/>
    </row>
    <row r="498">
      <c r="A498" s="44"/>
      <c r="B498" s="44"/>
      <c r="C498" s="30"/>
      <c r="D498" s="30"/>
      <c r="E498" s="55"/>
      <c r="F498" s="55"/>
      <c r="G498" s="55"/>
      <c r="H498" s="55"/>
      <c r="I498" s="56"/>
      <c r="J498" s="46"/>
      <c r="K498" s="46"/>
      <c r="L498" s="46"/>
      <c r="M498" s="46"/>
      <c r="N498" s="46"/>
      <c r="O498" s="46"/>
      <c r="P498" s="46"/>
      <c r="Q498" s="46"/>
      <c r="R498" s="46"/>
      <c r="S498" s="46"/>
      <c r="T498" s="46"/>
      <c r="U498" s="46"/>
      <c r="V498" s="46"/>
      <c r="W498" s="46"/>
    </row>
    <row r="499">
      <c r="A499" s="44"/>
      <c r="B499" s="44"/>
      <c r="C499" s="30"/>
      <c r="D499" s="30"/>
      <c r="E499" s="55"/>
      <c r="F499" s="55"/>
      <c r="G499" s="55"/>
      <c r="H499" s="55"/>
      <c r="I499" s="56"/>
      <c r="J499" s="46"/>
      <c r="K499" s="46"/>
      <c r="L499" s="46"/>
      <c r="M499" s="46"/>
      <c r="N499" s="46"/>
      <c r="O499" s="46"/>
      <c r="P499" s="46"/>
      <c r="Q499" s="46"/>
      <c r="R499" s="46"/>
      <c r="S499" s="46"/>
      <c r="T499" s="46"/>
      <c r="U499" s="46"/>
      <c r="V499" s="46"/>
      <c r="W499" s="46"/>
    </row>
    <row r="500">
      <c r="A500" s="44"/>
      <c r="B500" s="44"/>
      <c r="C500" s="30"/>
      <c r="D500" s="30"/>
      <c r="E500" s="55"/>
      <c r="F500" s="55"/>
      <c r="G500" s="55"/>
      <c r="H500" s="55"/>
      <c r="I500" s="56"/>
      <c r="J500" s="46"/>
      <c r="K500" s="46"/>
      <c r="L500" s="46"/>
      <c r="M500" s="46"/>
      <c r="N500" s="46"/>
      <c r="O500" s="46"/>
      <c r="P500" s="46"/>
      <c r="Q500" s="46"/>
      <c r="R500" s="46"/>
      <c r="S500" s="46"/>
      <c r="T500" s="46"/>
      <c r="U500" s="46"/>
      <c r="V500" s="46"/>
      <c r="W500" s="46"/>
    </row>
    <row r="501">
      <c r="A501" s="44"/>
      <c r="B501" s="44"/>
      <c r="C501" s="30"/>
      <c r="D501" s="30"/>
      <c r="E501" s="55"/>
      <c r="F501" s="55"/>
      <c r="G501" s="55"/>
      <c r="H501" s="55"/>
      <c r="I501" s="56"/>
      <c r="J501" s="46"/>
      <c r="K501" s="46"/>
      <c r="L501" s="46"/>
      <c r="M501" s="46"/>
      <c r="N501" s="46"/>
      <c r="O501" s="46"/>
      <c r="P501" s="46"/>
      <c r="Q501" s="46"/>
      <c r="R501" s="46"/>
      <c r="S501" s="46"/>
      <c r="T501" s="46"/>
      <c r="U501" s="46"/>
      <c r="V501" s="46"/>
      <c r="W501" s="46"/>
    </row>
    <row r="502">
      <c r="A502" s="44"/>
      <c r="B502" s="44"/>
      <c r="C502" s="30"/>
      <c r="D502" s="30"/>
      <c r="E502" s="55"/>
      <c r="F502" s="55"/>
      <c r="G502" s="55"/>
      <c r="H502" s="55"/>
      <c r="I502" s="56"/>
      <c r="J502" s="46"/>
      <c r="K502" s="46"/>
      <c r="L502" s="46"/>
      <c r="M502" s="46"/>
      <c r="N502" s="46"/>
      <c r="O502" s="46"/>
      <c r="P502" s="46"/>
      <c r="Q502" s="46"/>
      <c r="R502" s="46"/>
      <c r="S502" s="46"/>
      <c r="T502" s="46"/>
      <c r="U502" s="46"/>
      <c r="V502" s="46"/>
      <c r="W502" s="46"/>
    </row>
    <row r="503">
      <c r="A503" s="44"/>
      <c r="B503" s="44"/>
      <c r="C503" s="30"/>
      <c r="D503" s="30"/>
      <c r="E503" s="55"/>
      <c r="F503" s="55"/>
      <c r="G503" s="55"/>
      <c r="H503" s="55"/>
      <c r="I503" s="56"/>
      <c r="J503" s="46"/>
      <c r="K503" s="46"/>
      <c r="L503" s="46"/>
      <c r="M503" s="46"/>
      <c r="N503" s="46"/>
      <c r="O503" s="46"/>
      <c r="P503" s="46"/>
      <c r="Q503" s="46"/>
      <c r="R503" s="46"/>
      <c r="S503" s="46"/>
      <c r="T503" s="46"/>
      <c r="U503" s="46"/>
      <c r="V503" s="46"/>
      <c r="W503" s="46"/>
    </row>
    <row r="504">
      <c r="A504" s="44"/>
      <c r="B504" s="44"/>
      <c r="C504" s="30"/>
      <c r="D504" s="30"/>
      <c r="E504" s="55"/>
      <c r="F504" s="55"/>
      <c r="G504" s="55"/>
      <c r="H504" s="55"/>
      <c r="I504" s="56"/>
      <c r="J504" s="46"/>
      <c r="K504" s="46"/>
      <c r="L504" s="46"/>
      <c r="M504" s="46"/>
      <c r="N504" s="46"/>
      <c r="O504" s="46"/>
      <c r="P504" s="46"/>
      <c r="Q504" s="46"/>
      <c r="R504" s="46"/>
      <c r="S504" s="46"/>
      <c r="T504" s="46"/>
      <c r="U504" s="46"/>
      <c r="V504" s="46"/>
      <c r="W504" s="46"/>
    </row>
    <row r="505">
      <c r="A505" s="44"/>
      <c r="B505" s="44"/>
      <c r="C505" s="30"/>
      <c r="D505" s="30"/>
      <c r="E505" s="55"/>
      <c r="F505" s="55"/>
      <c r="G505" s="55"/>
      <c r="H505" s="55"/>
      <c r="I505" s="56"/>
      <c r="J505" s="46"/>
      <c r="K505" s="46"/>
      <c r="L505" s="46"/>
      <c r="M505" s="46"/>
      <c r="N505" s="46"/>
      <c r="O505" s="46"/>
      <c r="P505" s="46"/>
      <c r="Q505" s="46"/>
      <c r="R505" s="46"/>
      <c r="S505" s="46"/>
      <c r="T505" s="46"/>
      <c r="U505" s="46"/>
      <c r="V505" s="46"/>
      <c r="W505" s="46"/>
    </row>
    <row r="506">
      <c r="A506" s="44"/>
      <c r="B506" s="44"/>
      <c r="C506" s="30"/>
      <c r="D506" s="30"/>
      <c r="E506" s="55"/>
      <c r="F506" s="55"/>
      <c r="G506" s="55"/>
      <c r="H506" s="55"/>
      <c r="I506" s="56"/>
      <c r="J506" s="46"/>
      <c r="K506" s="46"/>
      <c r="L506" s="46"/>
      <c r="M506" s="46"/>
      <c r="N506" s="46"/>
      <c r="O506" s="46"/>
      <c r="P506" s="46"/>
      <c r="Q506" s="46"/>
      <c r="R506" s="46"/>
      <c r="S506" s="46"/>
      <c r="T506" s="46"/>
      <c r="U506" s="46"/>
      <c r="V506" s="46"/>
      <c r="W506" s="46"/>
    </row>
    <row r="507">
      <c r="A507" s="44"/>
      <c r="B507" s="44"/>
      <c r="C507" s="30"/>
      <c r="D507" s="30"/>
      <c r="E507" s="55"/>
      <c r="F507" s="55"/>
      <c r="G507" s="55"/>
      <c r="H507" s="55"/>
      <c r="I507" s="56"/>
      <c r="J507" s="46"/>
      <c r="K507" s="46"/>
      <c r="L507" s="46"/>
      <c r="M507" s="46"/>
      <c r="N507" s="46"/>
      <c r="O507" s="46"/>
      <c r="P507" s="46"/>
      <c r="Q507" s="46"/>
      <c r="R507" s="46"/>
      <c r="S507" s="46"/>
      <c r="T507" s="46"/>
      <c r="U507" s="46"/>
      <c r="V507" s="46"/>
      <c r="W507" s="46"/>
    </row>
    <row r="508">
      <c r="A508" s="44"/>
      <c r="B508" s="44"/>
      <c r="C508" s="30"/>
      <c r="D508" s="30"/>
      <c r="E508" s="55"/>
      <c r="F508" s="55"/>
      <c r="G508" s="55"/>
      <c r="H508" s="55"/>
      <c r="I508" s="56"/>
      <c r="J508" s="46"/>
      <c r="K508" s="46"/>
      <c r="L508" s="46"/>
      <c r="M508" s="46"/>
      <c r="N508" s="46"/>
      <c r="O508" s="46"/>
      <c r="P508" s="46"/>
      <c r="Q508" s="46"/>
      <c r="R508" s="46"/>
      <c r="S508" s="46"/>
      <c r="T508" s="46"/>
      <c r="U508" s="46"/>
      <c r="V508" s="46"/>
      <c r="W508" s="46"/>
    </row>
    <row r="509">
      <c r="A509" s="44"/>
      <c r="B509" s="44"/>
      <c r="C509" s="30"/>
      <c r="D509" s="30"/>
      <c r="E509" s="55"/>
      <c r="F509" s="55"/>
      <c r="G509" s="55"/>
      <c r="H509" s="55"/>
      <c r="I509" s="56"/>
      <c r="J509" s="46"/>
      <c r="K509" s="46"/>
      <c r="L509" s="46"/>
      <c r="M509" s="46"/>
      <c r="N509" s="46"/>
      <c r="O509" s="46"/>
      <c r="P509" s="46"/>
      <c r="Q509" s="46"/>
      <c r="R509" s="46"/>
      <c r="S509" s="46"/>
      <c r="T509" s="46"/>
      <c r="U509" s="46"/>
      <c r="V509" s="46"/>
      <c r="W509" s="46"/>
    </row>
    <row r="510">
      <c r="A510" s="44"/>
      <c r="B510" s="44"/>
      <c r="C510" s="30"/>
      <c r="D510" s="30"/>
      <c r="E510" s="55"/>
      <c r="F510" s="55"/>
      <c r="G510" s="55"/>
      <c r="H510" s="55"/>
      <c r="I510" s="56"/>
      <c r="J510" s="46"/>
      <c r="K510" s="46"/>
      <c r="L510" s="46"/>
      <c r="M510" s="46"/>
      <c r="N510" s="46"/>
      <c r="O510" s="46"/>
      <c r="P510" s="46"/>
      <c r="Q510" s="46"/>
      <c r="R510" s="46"/>
      <c r="S510" s="46"/>
      <c r="T510" s="46"/>
      <c r="U510" s="46"/>
      <c r="V510" s="46"/>
      <c r="W510" s="46"/>
    </row>
    <row r="511">
      <c r="A511" s="44"/>
      <c r="B511" s="44"/>
      <c r="C511" s="30"/>
      <c r="D511" s="30"/>
      <c r="E511" s="55"/>
      <c r="F511" s="55"/>
      <c r="G511" s="55"/>
      <c r="H511" s="55"/>
      <c r="I511" s="56"/>
      <c r="J511" s="46"/>
      <c r="K511" s="46"/>
      <c r="L511" s="46"/>
      <c r="M511" s="46"/>
      <c r="N511" s="46"/>
      <c r="O511" s="46"/>
      <c r="P511" s="46"/>
      <c r="Q511" s="46"/>
      <c r="R511" s="46"/>
      <c r="S511" s="46"/>
      <c r="T511" s="46"/>
      <c r="U511" s="46"/>
      <c r="V511" s="46"/>
      <c r="W511" s="46"/>
    </row>
    <row r="512">
      <c r="A512" s="44"/>
      <c r="B512" s="44"/>
      <c r="C512" s="30"/>
      <c r="D512" s="30"/>
      <c r="E512" s="55"/>
      <c r="F512" s="55"/>
      <c r="G512" s="55"/>
      <c r="H512" s="55"/>
      <c r="I512" s="56"/>
      <c r="J512" s="46"/>
      <c r="K512" s="46"/>
      <c r="L512" s="46"/>
      <c r="M512" s="46"/>
      <c r="N512" s="46"/>
      <c r="O512" s="46"/>
      <c r="P512" s="46"/>
      <c r="Q512" s="46"/>
      <c r="R512" s="46"/>
      <c r="S512" s="46"/>
      <c r="T512" s="46"/>
      <c r="U512" s="46"/>
      <c r="V512" s="46"/>
      <c r="W512" s="46"/>
    </row>
    <row r="513">
      <c r="A513" s="44"/>
      <c r="B513" s="44"/>
      <c r="C513" s="30"/>
      <c r="D513" s="30"/>
      <c r="E513" s="55"/>
      <c r="F513" s="55"/>
      <c r="G513" s="55"/>
      <c r="H513" s="55"/>
      <c r="I513" s="56"/>
      <c r="J513" s="46"/>
      <c r="K513" s="46"/>
      <c r="L513" s="46"/>
      <c r="M513" s="46"/>
      <c r="N513" s="46"/>
      <c r="O513" s="46"/>
      <c r="P513" s="46"/>
      <c r="Q513" s="46"/>
      <c r="R513" s="46"/>
      <c r="S513" s="46"/>
      <c r="T513" s="46"/>
      <c r="U513" s="46"/>
      <c r="V513" s="46"/>
      <c r="W513" s="46"/>
    </row>
    <row r="514">
      <c r="A514" s="44"/>
      <c r="B514" s="44"/>
      <c r="C514" s="30"/>
      <c r="D514" s="30"/>
      <c r="E514" s="55"/>
      <c r="F514" s="55"/>
      <c r="G514" s="55"/>
      <c r="H514" s="55"/>
      <c r="I514" s="56"/>
      <c r="J514" s="46"/>
      <c r="K514" s="46"/>
      <c r="L514" s="46"/>
      <c r="M514" s="46"/>
      <c r="N514" s="46"/>
      <c r="O514" s="46"/>
      <c r="P514" s="46"/>
      <c r="Q514" s="46"/>
      <c r="R514" s="46"/>
      <c r="S514" s="46"/>
      <c r="T514" s="46"/>
      <c r="U514" s="46"/>
      <c r="V514" s="46"/>
      <c r="W514" s="46"/>
    </row>
    <row r="515">
      <c r="A515" s="44"/>
      <c r="B515" s="44"/>
      <c r="C515" s="30"/>
      <c r="D515" s="30"/>
      <c r="E515" s="55"/>
      <c r="F515" s="55"/>
      <c r="G515" s="55"/>
      <c r="H515" s="55"/>
      <c r="I515" s="56"/>
      <c r="J515" s="46"/>
      <c r="K515" s="46"/>
      <c r="L515" s="46"/>
      <c r="M515" s="46"/>
      <c r="N515" s="46"/>
      <c r="O515" s="46"/>
      <c r="P515" s="46"/>
      <c r="Q515" s="46"/>
      <c r="R515" s="46"/>
      <c r="S515" s="46"/>
      <c r="T515" s="46"/>
      <c r="U515" s="46"/>
      <c r="V515" s="46"/>
      <c r="W515" s="46"/>
    </row>
    <row r="516">
      <c r="A516" s="44"/>
      <c r="B516" s="44"/>
      <c r="C516" s="30"/>
      <c r="D516" s="30"/>
      <c r="E516" s="55"/>
      <c r="F516" s="55"/>
      <c r="G516" s="55"/>
      <c r="H516" s="55"/>
      <c r="I516" s="56"/>
      <c r="J516" s="46"/>
      <c r="K516" s="46"/>
      <c r="L516" s="46"/>
      <c r="M516" s="46"/>
      <c r="N516" s="46"/>
      <c r="O516" s="46"/>
      <c r="P516" s="46"/>
      <c r="Q516" s="46"/>
      <c r="R516" s="46"/>
      <c r="S516" s="46"/>
      <c r="T516" s="46"/>
      <c r="U516" s="46"/>
      <c r="V516" s="46"/>
      <c r="W516" s="46"/>
    </row>
    <row r="517">
      <c r="A517" s="44"/>
      <c r="B517" s="44"/>
      <c r="C517" s="30"/>
      <c r="D517" s="30"/>
      <c r="E517" s="55"/>
      <c r="F517" s="55"/>
      <c r="G517" s="55"/>
      <c r="H517" s="55"/>
      <c r="I517" s="56"/>
      <c r="J517" s="46"/>
      <c r="K517" s="46"/>
      <c r="L517" s="46"/>
      <c r="M517" s="46"/>
      <c r="N517" s="46"/>
      <c r="O517" s="46"/>
      <c r="P517" s="46"/>
      <c r="Q517" s="46"/>
      <c r="R517" s="46"/>
      <c r="S517" s="46"/>
      <c r="T517" s="46"/>
      <c r="U517" s="46"/>
      <c r="V517" s="46"/>
      <c r="W517" s="46"/>
    </row>
    <row r="518">
      <c r="A518" s="44"/>
      <c r="B518" s="44"/>
      <c r="C518" s="30"/>
      <c r="D518" s="30"/>
      <c r="E518" s="55"/>
      <c r="F518" s="55"/>
      <c r="G518" s="55"/>
      <c r="H518" s="55"/>
      <c r="I518" s="56"/>
      <c r="J518" s="46"/>
      <c r="K518" s="46"/>
      <c r="L518" s="46"/>
      <c r="M518" s="46"/>
      <c r="N518" s="46"/>
      <c r="O518" s="46"/>
      <c r="P518" s="46"/>
      <c r="Q518" s="46"/>
      <c r="R518" s="46"/>
      <c r="S518" s="46"/>
      <c r="T518" s="46"/>
      <c r="U518" s="46"/>
      <c r="V518" s="46"/>
      <c r="W518" s="46"/>
    </row>
    <row r="519">
      <c r="A519" s="44"/>
      <c r="B519" s="44"/>
      <c r="C519" s="30"/>
      <c r="D519" s="30"/>
      <c r="E519" s="55"/>
      <c r="F519" s="55"/>
      <c r="G519" s="55"/>
      <c r="H519" s="55"/>
      <c r="I519" s="56"/>
      <c r="J519" s="46"/>
      <c r="K519" s="46"/>
      <c r="L519" s="46"/>
      <c r="M519" s="46"/>
      <c r="N519" s="46"/>
      <c r="O519" s="46"/>
      <c r="P519" s="46"/>
      <c r="Q519" s="46"/>
      <c r="R519" s="46"/>
      <c r="S519" s="46"/>
      <c r="T519" s="46"/>
      <c r="U519" s="46"/>
      <c r="V519" s="46"/>
      <c r="W519" s="46"/>
    </row>
    <row r="520">
      <c r="A520" s="44"/>
      <c r="B520" s="44"/>
      <c r="C520" s="30"/>
      <c r="D520" s="30"/>
      <c r="E520" s="55"/>
      <c r="F520" s="55"/>
      <c r="G520" s="55"/>
      <c r="H520" s="55"/>
      <c r="I520" s="56"/>
      <c r="J520" s="46"/>
      <c r="K520" s="46"/>
      <c r="L520" s="46"/>
      <c r="M520" s="46"/>
      <c r="N520" s="46"/>
      <c r="O520" s="46"/>
      <c r="P520" s="46"/>
      <c r="Q520" s="46"/>
      <c r="R520" s="46"/>
      <c r="S520" s="46"/>
      <c r="T520" s="46"/>
      <c r="U520" s="46"/>
      <c r="V520" s="46"/>
      <c r="W520" s="46"/>
    </row>
    <row r="521">
      <c r="A521" s="44"/>
      <c r="B521" s="44"/>
      <c r="C521" s="30"/>
      <c r="D521" s="30"/>
      <c r="E521" s="55"/>
      <c r="F521" s="55"/>
      <c r="G521" s="55"/>
      <c r="H521" s="55"/>
      <c r="I521" s="56"/>
      <c r="J521" s="46"/>
      <c r="K521" s="46"/>
      <c r="L521" s="46"/>
      <c r="M521" s="46"/>
      <c r="N521" s="46"/>
      <c r="O521" s="46"/>
      <c r="P521" s="46"/>
      <c r="Q521" s="46"/>
      <c r="R521" s="46"/>
      <c r="S521" s="46"/>
      <c r="T521" s="46"/>
      <c r="U521" s="46"/>
      <c r="V521" s="46"/>
      <c r="W521" s="46"/>
    </row>
    <row r="522">
      <c r="A522" s="44"/>
      <c r="B522" s="44"/>
      <c r="C522" s="30"/>
      <c r="D522" s="30"/>
      <c r="E522" s="55"/>
      <c r="F522" s="55"/>
      <c r="G522" s="55"/>
      <c r="H522" s="55"/>
      <c r="I522" s="56"/>
      <c r="J522" s="46"/>
      <c r="K522" s="46"/>
      <c r="L522" s="46"/>
      <c r="M522" s="46"/>
      <c r="N522" s="46"/>
      <c r="O522" s="46"/>
      <c r="P522" s="46"/>
      <c r="Q522" s="46"/>
      <c r="R522" s="46"/>
      <c r="S522" s="46"/>
      <c r="T522" s="46"/>
      <c r="U522" s="46"/>
      <c r="V522" s="46"/>
      <c r="W522" s="46"/>
    </row>
    <row r="523">
      <c r="A523" s="44"/>
      <c r="B523" s="44"/>
      <c r="C523" s="30"/>
      <c r="D523" s="30"/>
      <c r="E523" s="55"/>
      <c r="F523" s="55"/>
      <c r="G523" s="55"/>
      <c r="H523" s="55"/>
      <c r="I523" s="56"/>
      <c r="J523" s="46"/>
      <c r="K523" s="46"/>
      <c r="L523" s="46"/>
      <c r="M523" s="46"/>
      <c r="N523" s="46"/>
      <c r="O523" s="46"/>
      <c r="P523" s="46"/>
      <c r="Q523" s="46"/>
      <c r="R523" s="46"/>
      <c r="S523" s="46"/>
      <c r="T523" s="46"/>
      <c r="U523" s="46"/>
      <c r="V523" s="46"/>
      <c r="W523" s="46"/>
    </row>
    <row r="524">
      <c r="A524" s="44"/>
      <c r="B524" s="44"/>
      <c r="C524" s="30"/>
      <c r="D524" s="30"/>
      <c r="E524" s="55"/>
      <c r="F524" s="55"/>
      <c r="G524" s="55"/>
      <c r="H524" s="55"/>
      <c r="I524" s="56"/>
      <c r="J524" s="46"/>
      <c r="K524" s="46"/>
      <c r="L524" s="46"/>
      <c r="M524" s="46"/>
      <c r="N524" s="46"/>
      <c r="O524" s="46"/>
      <c r="P524" s="46"/>
      <c r="Q524" s="46"/>
      <c r="R524" s="46"/>
      <c r="S524" s="46"/>
      <c r="T524" s="46"/>
      <c r="U524" s="46"/>
      <c r="V524" s="46"/>
      <c r="W524" s="46"/>
    </row>
    <row r="525">
      <c r="A525" s="44"/>
      <c r="B525" s="44"/>
      <c r="C525" s="30"/>
      <c r="D525" s="30"/>
      <c r="E525" s="55"/>
      <c r="F525" s="55"/>
      <c r="G525" s="55"/>
      <c r="H525" s="55"/>
      <c r="I525" s="56"/>
      <c r="J525" s="46"/>
      <c r="K525" s="46"/>
      <c r="L525" s="46"/>
      <c r="M525" s="46"/>
      <c r="N525" s="46"/>
      <c r="O525" s="46"/>
      <c r="P525" s="46"/>
      <c r="Q525" s="46"/>
      <c r="R525" s="46"/>
      <c r="S525" s="46"/>
      <c r="T525" s="46"/>
      <c r="U525" s="46"/>
      <c r="V525" s="46"/>
      <c r="W525" s="46"/>
    </row>
    <row r="526">
      <c r="A526" s="44"/>
      <c r="B526" s="44"/>
      <c r="C526" s="30"/>
      <c r="D526" s="30"/>
      <c r="E526" s="55"/>
      <c r="F526" s="55"/>
      <c r="G526" s="55"/>
      <c r="H526" s="55"/>
      <c r="I526" s="56"/>
      <c r="J526" s="46"/>
      <c r="K526" s="46"/>
      <c r="L526" s="46"/>
      <c r="M526" s="46"/>
      <c r="N526" s="46"/>
      <c r="O526" s="46"/>
      <c r="P526" s="46"/>
      <c r="Q526" s="46"/>
      <c r="R526" s="46"/>
      <c r="S526" s="46"/>
      <c r="T526" s="46"/>
      <c r="U526" s="46"/>
      <c r="V526" s="46"/>
      <c r="W526" s="46"/>
    </row>
    <row r="527">
      <c r="A527" s="44"/>
      <c r="B527" s="44"/>
      <c r="C527" s="30"/>
      <c r="D527" s="30"/>
      <c r="E527" s="55"/>
      <c r="F527" s="55"/>
      <c r="G527" s="55"/>
      <c r="H527" s="55"/>
      <c r="I527" s="56"/>
      <c r="J527" s="46"/>
      <c r="K527" s="46"/>
      <c r="L527" s="46"/>
      <c r="M527" s="46"/>
      <c r="N527" s="46"/>
      <c r="O527" s="46"/>
      <c r="P527" s="46"/>
      <c r="Q527" s="46"/>
      <c r="R527" s="46"/>
      <c r="S527" s="46"/>
      <c r="T527" s="46"/>
      <c r="U527" s="46"/>
      <c r="V527" s="46"/>
      <c r="W527" s="46"/>
    </row>
    <row r="528">
      <c r="A528" s="44"/>
      <c r="B528" s="44"/>
      <c r="C528" s="30"/>
      <c r="D528" s="30"/>
      <c r="E528" s="55"/>
      <c r="F528" s="55"/>
      <c r="G528" s="55"/>
      <c r="H528" s="55"/>
      <c r="I528" s="56"/>
      <c r="J528" s="46"/>
      <c r="K528" s="46"/>
      <c r="L528" s="46"/>
      <c r="M528" s="46"/>
      <c r="N528" s="46"/>
      <c r="O528" s="46"/>
      <c r="P528" s="46"/>
      <c r="Q528" s="46"/>
      <c r="R528" s="46"/>
      <c r="S528" s="46"/>
      <c r="T528" s="46"/>
      <c r="U528" s="46"/>
      <c r="V528" s="46"/>
      <c r="W528" s="46"/>
    </row>
    <row r="529">
      <c r="A529" s="44"/>
      <c r="B529" s="44"/>
      <c r="C529" s="30"/>
      <c r="D529" s="30"/>
      <c r="E529" s="55"/>
      <c r="F529" s="55"/>
      <c r="G529" s="55"/>
      <c r="H529" s="55"/>
      <c r="I529" s="56"/>
      <c r="J529" s="46"/>
      <c r="K529" s="46"/>
      <c r="L529" s="46"/>
      <c r="M529" s="46"/>
      <c r="N529" s="46"/>
      <c r="O529" s="46"/>
      <c r="P529" s="46"/>
      <c r="Q529" s="46"/>
      <c r="R529" s="46"/>
      <c r="S529" s="46"/>
      <c r="T529" s="46"/>
      <c r="U529" s="46"/>
      <c r="V529" s="46"/>
      <c r="W529" s="46"/>
    </row>
    <row r="530">
      <c r="A530" s="44"/>
      <c r="B530" s="44"/>
      <c r="C530" s="30"/>
      <c r="D530" s="30"/>
      <c r="E530" s="55"/>
      <c r="F530" s="55"/>
      <c r="G530" s="55"/>
      <c r="H530" s="55"/>
      <c r="I530" s="56"/>
      <c r="J530" s="46"/>
      <c r="K530" s="46"/>
      <c r="L530" s="46"/>
      <c r="M530" s="46"/>
      <c r="N530" s="46"/>
      <c r="O530" s="46"/>
      <c r="P530" s="46"/>
      <c r="Q530" s="46"/>
      <c r="R530" s="46"/>
      <c r="S530" s="46"/>
      <c r="T530" s="46"/>
      <c r="U530" s="46"/>
      <c r="V530" s="46"/>
      <c r="W530" s="46"/>
    </row>
    <row r="531">
      <c r="A531" s="44"/>
      <c r="B531" s="44"/>
      <c r="C531" s="30"/>
      <c r="D531" s="30"/>
      <c r="E531" s="55"/>
      <c r="F531" s="55"/>
      <c r="G531" s="55"/>
      <c r="H531" s="55"/>
      <c r="I531" s="56"/>
      <c r="J531" s="46"/>
      <c r="K531" s="46"/>
      <c r="L531" s="46"/>
      <c r="M531" s="46"/>
      <c r="N531" s="46"/>
      <c r="O531" s="46"/>
      <c r="P531" s="46"/>
      <c r="Q531" s="46"/>
      <c r="R531" s="46"/>
      <c r="S531" s="46"/>
      <c r="T531" s="46"/>
      <c r="U531" s="46"/>
      <c r="V531" s="46"/>
      <c r="W531" s="46"/>
    </row>
    <row r="532">
      <c r="A532" s="44"/>
      <c r="B532" s="44"/>
      <c r="C532" s="30"/>
      <c r="D532" s="30"/>
      <c r="E532" s="55"/>
      <c r="F532" s="55"/>
      <c r="G532" s="55"/>
      <c r="H532" s="55"/>
      <c r="I532" s="56"/>
      <c r="J532" s="46"/>
      <c r="K532" s="46"/>
      <c r="L532" s="46"/>
      <c r="M532" s="46"/>
      <c r="N532" s="46"/>
      <c r="O532" s="46"/>
      <c r="P532" s="46"/>
      <c r="Q532" s="46"/>
      <c r="R532" s="46"/>
      <c r="S532" s="46"/>
      <c r="T532" s="46"/>
      <c r="U532" s="46"/>
      <c r="V532" s="46"/>
      <c r="W532" s="46"/>
    </row>
    <row r="533">
      <c r="A533" s="44"/>
      <c r="B533" s="44"/>
      <c r="C533" s="30"/>
      <c r="D533" s="30"/>
      <c r="E533" s="55"/>
      <c r="F533" s="55"/>
      <c r="G533" s="55"/>
      <c r="H533" s="55"/>
      <c r="I533" s="56"/>
      <c r="J533" s="46"/>
      <c r="K533" s="46"/>
      <c r="L533" s="46"/>
      <c r="M533" s="46"/>
      <c r="N533" s="46"/>
      <c r="O533" s="46"/>
      <c r="P533" s="46"/>
      <c r="Q533" s="46"/>
      <c r="R533" s="46"/>
      <c r="S533" s="46"/>
      <c r="T533" s="46"/>
      <c r="U533" s="46"/>
      <c r="V533" s="46"/>
      <c r="W533" s="46"/>
    </row>
    <row r="534">
      <c r="A534" s="44"/>
      <c r="B534" s="44"/>
      <c r="C534" s="30"/>
      <c r="D534" s="30"/>
      <c r="E534" s="55"/>
      <c r="F534" s="55"/>
      <c r="G534" s="55"/>
      <c r="H534" s="55"/>
      <c r="I534" s="56"/>
      <c r="J534" s="46"/>
      <c r="K534" s="46"/>
      <c r="L534" s="46"/>
      <c r="M534" s="46"/>
      <c r="N534" s="46"/>
      <c r="O534" s="46"/>
      <c r="P534" s="46"/>
      <c r="Q534" s="46"/>
      <c r="R534" s="46"/>
      <c r="S534" s="46"/>
      <c r="T534" s="46"/>
      <c r="U534" s="46"/>
      <c r="V534" s="46"/>
      <c r="W534" s="46"/>
    </row>
    <row r="535">
      <c r="A535" s="44"/>
      <c r="B535" s="44"/>
      <c r="C535" s="30"/>
      <c r="D535" s="30"/>
      <c r="E535" s="55"/>
      <c r="F535" s="55"/>
      <c r="G535" s="55"/>
      <c r="H535" s="55"/>
      <c r="I535" s="56"/>
      <c r="J535" s="46"/>
      <c r="K535" s="46"/>
      <c r="L535" s="46"/>
      <c r="M535" s="46"/>
      <c r="N535" s="46"/>
      <c r="O535" s="46"/>
      <c r="P535" s="46"/>
      <c r="Q535" s="46"/>
      <c r="R535" s="46"/>
      <c r="S535" s="46"/>
      <c r="T535" s="46"/>
      <c r="U535" s="46"/>
      <c r="V535" s="46"/>
      <c r="W535" s="46"/>
    </row>
    <row r="536">
      <c r="A536" s="44"/>
      <c r="B536" s="44"/>
      <c r="C536" s="30"/>
      <c r="D536" s="30"/>
      <c r="E536" s="55"/>
      <c r="F536" s="55"/>
      <c r="G536" s="55"/>
      <c r="H536" s="55"/>
      <c r="I536" s="56"/>
      <c r="J536" s="46"/>
      <c r="K536" s="46"/>
      <c r="L536" s="46"/>
      <c r="M536" s="46"/>
      <c r="N536" s="46"/>
      <c r="O536" s="46"/>
      <c r="P536" s="46"/>
      <c r="Q536" s="46"/>
      <c r="R536" s="46"/>
      <c r="S536" s="46"/>
      <c r="T536" s="46"/>
      <c r="U536" s="46"/>
      <c r="V536" s="46"/>
      <c r="W536" s="46"/>
    </row>
    <row r="537">
      <c r="A537" s="44"/>
      <c r="B537" s="44"/>
      <c r="C537" s="30"/>
      <c r="D537" s="30"/>
      <c r="E537" s="55"/>
      <c r="F537" s="55"/>
      <c r="G537" s="55"/>
      <c r="H537" s="55"/>
      <c r="I537" s="56"/>
      <c r="J537" s="46"/>
      <c r="K537" s="46"/>
      <c r="L537" s="46"/>
      <c r="M537" s="46"/>
      <c r="N537" s="46"/>
      <c r="O537" s="46"/>
      <c r="P537" s="46"/>
      <c r="Q537" s="46"/>
      <c r="R537" s="46"/>
      <c r="S537" s="46"/>
      <c r="T537" s="46"/>
      <c r="U537" s="46"/>
      <c r="V537" s="46"/>
      <c r="W537" s="46"/>
    </row>
    <row r="538">
      <c r="A538" s="44"/>
      <c r="B538" s="44"/>
      <c r="C538" s="30"/>
      <c r="D538" s="30"/>
      <c r="E538" s="55"/>
      <c r="F538" s="55"/>
      <c r="G538" s="55"/>
      <c r="H538" s="55"/>
      <c r="I538" s="56"/>
      <c r="J538" s="46"/>
      <c r="K538" s="46"/>
      <c r="L538" s="46"/>
      <c r="M538" s="46"/>
      <c r="N538" s="46"/>
      <c r="O538" s="46"/>
      <c r="P538" s="46"/>
      <c r="Q538" s="46"/>
      <c r="R538" s="46"/>
      <c r="S538" s="46"/>
      <c r="T538" s="46"/>
      <c r="U538" s="46"/>
      <c r="V538" s="46"/>
      <c r="W538" s="46"/>
    </row>
    <row r="539">
      <c r="A539" s="44"/>
      <c r="B539" s="44"/>
      <c r="C539" s="30"/>
      <c r="D539" s="30"/>
      <c r="E539" s="55"/>
      <c r="F539" s="55"/>
      <c r="G539" s="55"/>
      <c r="H539" s="55"/>
      <c r="I539" s="56"/>
      <c r="J539" s="46"/>
      <c r="K539" s="46"/>
      <c r="L539" s="46"/>
      <c r="M539" s="46"/>
      <c r="N539" s="46"/>
      <c r="O539" s="46"/>
      <c r="P539" s="46"/>
      <c r="Q539" s="46"/>
      <c r="R539" s="46"/>
      <c r="S539" s="46"/>
      <c r="T539" s="46"/>
      <c r="U539" s="46"/>
      <c r="V539" s="46"/>
      <c r="W539" s="46"/>
    </row>
    <row r="540">
      <c r="A540" s="44"/>
      <c r="B540" s="44"/>
      <c r="C540" s="30"/>
      <c r="D540" s="30"/>
      <c r="E540" s="55"/>
      <c r="F540" s="55"/>
      <c r="G540" s="55"/>
      <c r="H540" s="55"/>
      <c r="I540" s="56"/>
      <c r="J540" s="46"/>
      <c r="K540" s="46"/>
      <c r="L540" s="46"/>
      <c r="M540" s="46"/>
      <c r="N540" s="46"/>
      <c r="O540" s="46"/>
      <c r="P540" s="46"/>
      <c r="Q540" s="46"/>
      <c r="R540" s="46"/>
      <c r="S540" s="46"/>
      <c r="T540" s="46"/>
      <c r="U540" s="46"/>
      <c r="V540" s="46"/>
      <c r="W540" s="46"/>
    </row>
    <row r="541">
      <c r="A541" s="44"/>
      <c r="B541" s="44"/>
      <c r="C541" s="30"/>
      <c r="D541" s="30"/>
      <c r="E541" s="55"/>
      <c r="F541" s="55"/>
      <c r="G541" s="55"/>
      <c r="H541" s="55"/>
      <c r="I541" s="56"/>
      <c r="J541" s="46"/>
      <c r="K541" s="46"/>
      <c r="L541" s="46"/>
      <c r="M541" s="46"/>
      <c r="N541" s="46"/>
      <c r="O541" s="46"/>
      <c r="P541" s="46"/>
      <c r="Q541" s="46"/>
      <c r="R541" s="46"/>
      <c r="S541" s="46"/>
      <c r="T541" s="46"/>
      <c r="U541" s="46"/>
      <c r="V541" s="46"/>
      <c r="W541" s="46"/>
    </row>
    <row r="542">
      <c r="A542" s="44"/>
      <c r="B542" s="44"/>
      <c r="C542" s="30"/>
      <c r="D542" s="30"/>
      <c r="E542" s="55"/>
      <c r="F542" s="55"/>
      <c r="G542" s="55"/>
      <c r="H542" s="55"/>
      <c r="I542" s="56"/>
      <c r="J542" s="46"/>
      <c r="K542" s="46"/>
      <c r="L542" s="46"/>
      <c r="M542" s="46"/>
      <c r="N542" s="46"/>
      <c r="O542" s="46"/>
      <c r="P542" s="46"/>
      <c r="Q542" s="46"/>
      <c r="R542" s="46"/>
      <c r="S542" s="46"/>
      <c r="T542" s="46"/>
      <c r="U542" s="46"/>
      <c r="V542" s="46"/>
      <c r="W542" s="46"/>
    </row>
    <row r="543">
      <c r="A543" s="44"/>
      <c r="B543" s="44"/>
      <c r="C543" s="30"/>
      <c r="D543" s="30"/>
      <c r="E543" s="55"/>
      <c r="F543" s="55"/>
      <c r="G543" s="55"/>
      <c r="H543" s="55"/>
      <c r="I543" s="56"/>
      <c r="J543" s="46"/>
      <c r="K543" s="46"/>
      <c r="L543" s="46"/>
      <c r="M543" s="46"/>
      <c r="N543" s="46"/>
      <c r="O543" s="46"/>
      <c r="P543" s="46"/>
      <c r="Q543" s="46"/>
      <c r="R543" s="46"/>
      <c r="S543" s="46"/>
      <c r="T543" s="46"/>
      <c r="U543" s="46"/>
      <c r="V543" s="46"/>
      <c r="W543" s="46"/>
    </row>
    <row r="544">
      <c r="A544" s="44"/>
      <c r="B544" s="44"/>
      <c r="C544" s="30"/>
      <c r="D544" s="30"/>
      <c r="E544" s="55"/>
      <c r="F544" s="55"/>
      <c r="G544" s="55"/>
      <c r="H544" s="55"/>
      <c r="I544" s="56"/>
      <c r="J544" s="46"/>
      <c r="K544" s="46"/>
      <c r="L544" s="46"/>
      <c r="M544" s="46"/>
      <c r="N544" s="46"/>
      <c r="O544" s="46"/>
      <c r="P544" s="46"/>
      <c r="Q544" s="46"/>
      <c r="R544" s="46"/>
      <c r="S544" s="46"/>
      <c r="T544" s="46"/>
      <c r="U544" s="46"/>
      <c r="V544" s="46"/>
      <c r="W544" s="46"/>
    </row>
    <row r="545">
      <c r="A545" s="44"/>
      <c r="B545" s="44"/>
      <c r="C545" s="30"/>
      <c r="D545" s="30"/>
      <c r="E545" s="55"/>
      <c r="F545" s="55"/>
      <c r="G545" s="55"/>
      <c r="H545" s="55"/>
      <c r="I545" s="56"/>
      <c r="J545" s="46"/>
      <c r="K545" s="46"/>
      <c r="L545" s="46"/>
      <c r="M545" s="46"/>
      <c r="N545" s="46"/>
      <c r="O545" s="46"/>
      <c r="P545" s="46"/>
      <c r="Q545" s="46"/>
      <c r="R545" s="46"/>
      <c r="S545" s="46"/>
      <c r="T545" s="46"/>
      <c r="U545" s="46"/>
      <c r="V545" s="46"/>
      <c r="W545" s="46"/>
    </row>
    <row r="546">
      <c r="A546" s="44"/>
      <c r="B546" s="44"/>
      <c r="C546" s="30"/>
      <c r="D546" s="30"/>
      <c r="E546" s="55"/>
      <c r="F546" s="55"/>
      <c r="G546" s="55"/>
      <c r="H546" s="55"/>
      <c r="I546" s="56"/>
      <c r="J546" s="46"/>
      <c r="K546" s="46"/>
      <c r="L546" s="46"/>
      <c r="M546" s="46"/>
      <c r="N546" s="46"/>
      <c r="O546" s="46"/>
      <c r="P546" s="46"/>
      <c r="Q546" s="46"/>
      <c r="R546" s="46"/>
      <c r="S546" s="46"/>
      <c r="T546" s="46"/>
      <c r="U546" s="46"/>
      <c r="V546" s="46"/>
      <c r="W546" s="46"/>
    </row>
    <row r="547">
      <c r="A547" s="44"/>
      <c r="B547" s="44"/>
      <c r="C547" s="30"/>
      <c r="D547" s="30"/>
      <c r="E547" s="55"/>
      <c r="F547" s="55"/>
      <c r="G547" s="55"/>
      <c r="H547" s="55"/>
      <c r="I547" s="56"/>
      <c r="J547" s="46"/>
      <c r="K547" s="46"/>
      <c r="L547" s="46"/>
      <c r="M547" s="46"/>
      <c r="N547" s="46"/>
      <c r="O547" s="46"/>
      <c r="P547" s="46"/>
      <c r="Q547" s="46"/>
      <c r="R547" s="46"/>
      <c r="S547" s="46"/>
      <c r="T547" s="46"/>
      <c r="U547" s="46"/>
      <c r="V547" s="46"/>
      <c r="W547" s="46"/>
    </row>
    <row r="548">
      <c r="A548" s="44"/>
      <c r="B548" s="44"/>
      <c r="C548" s="30"/>
      <c r="D548" s="30"/>
      <c r="E548" s="55"/>
      <c r="F548" s="55"/>
      <c r="G548" s="55"/>
      <c r="H548" s="55"/>
      <c r="I548" s="56"/>
      <c r="J548" s="46"/>
      <c r="K548" s="46"/>
      <c r="L548" s="46"/>
      <c r="M548" s="46"/>
      <c r="N548" s="46"/>
      <c r="O548" s="46"/>
      <c r="P548" s="46"/>
      <c r="Q548" s="46"/>
      <c r="R548" s="46"/>
      <c r="S548" s="46"/>
      <c r="T548" s="46"/>
      <c r="U548" s="46"/>
      <c r="V548" s="46"/>
      <c r="W548" s="46"/>
    </row>
    <row r="549">
      <c r="A549" s="44"/>
      <c r="B549" s="44"/>
      <c r="C549" s="30"/>
      <c r="D549" s="30"/>
      <c r="E549" s="55"/>
      <c r="F549" s="55"/>
      <c r="G549" s="55"/>
      <c r="H549" s="55"/>
      <c r="I549" s="56"/>
      <c r="J549" s="46"/>
      <c r="K549" s="46"/>
      <c r="L549" s="46"/>
      <c r="M549" s="46"/>
      <c r="N549" s="46"/>
      <c r="O549" s="46"/>
      <c r="P549" s="46"/>
      <c r="Q549" s="46"/>
      <c r="R549" s="46"/>
      <c r="S549" s="46"/>
      <c r="T549" s="46"/>
      <c r="U549" s="46"/>
      <c r="V549" s="46"/>
      <c r="W549" s="46"/>
    </row>
    <row r="550">
      <c r="A550" s="44"/>
      <c r="B550" s="44"/>
      <c r="C550" s="30"/>
      <c r="D550" s="30"/>
      <c r="E550" s="55"/>
      <c r="F550" s="55"/>
      <c r="G550" s="55"/>
      <c r="H550" s="55"/>
      <c r="I550" s="56"/>
      <c r="J550" s="46"/>
      <c r="K550" s="46"/>
      <c r="L550" s="46"/>
      <c r="M550" s="46"/>
      <c r="N550" s="46"/>
      <c r="O550" s="46"/>
      <c r="P550" s="46"/>
      <c r="Q550" s="46"/>
      <c r="R550" s="46"/>
      <c r="S550" s="46"/>
      <c r="T550" s="46"/>
      <c r="U550" s="46"/>
      <c r="V550" s="46"/>
      <c r="W550" s="46"/>
    </row>
    <row r="551">
      <c r="A551" s="44"/>
      <c r="B551" s="44"/>
      <c r="C551" s="30"/>
      <c r="D551" s="30"/>
      <c r="E551" s="55"/>
      <c r="F551" s="55"/>
      <c r="G551" s="55"/>
      <c r="H551" s="55"/>
      <c r="I551" s="56"/>
      <c r="J551" s="46"/>
      <c r="K551" s="46"/>
      <c r="L551" s="46"/>
      <c r="M551" s="46"/>
      <c r="N551" s="46"/>
      <c r="O551" s="46"/>
      <c r="P551" s="46"/>
      <c r="Q551" s="46"/>
      <c r="R551" s="46"/>
      <c r="S551" s="46"/>
      <c r="T551" s="46"/>
      <c r="U551" s="46"/>
      <c r="V551" s="46"/>
      <c r="W551" s="46"/>
    </row>
    <row r="552">
      <c r="A552" s="44"/>
      <c r="B552" s="44"/>
      <c r="C552" s="30"/>
      <c r="D552" s="30"/>
      <c r="E552" s="55"/>
      <c r="F552" s="55"/>
      <c r="G552" s="55"/>
      <c r="H552" s="55"/>
      <c r="I552" s="56"/>
      <c r="J552" s="46"/>
      <c r="K552" s="46"/>
      <c r="L552" s="46"/>
      <c r="M552" s="46"/>
      <c r="N552" s="46"/>
      <c r="O552" s="46"/>
      <c r="P552" s="46"/>
      <c r="Q552" s="46"/>
      <c r="R552" s="46"/>
      <c r="S552" s="46"/>
      <c r="T552" s="46"/>
      <c r="U552" s="46"/>
      <c r="V552" s="46"/>
      <c r="W552" s="46"/>
    </row>
    <row r="553">
      <c r="A553" s="44"/>
      <c r="B553" s="44"/>
      <c r="C553" s="30"/>
      <c r="D553" s="30"/>
      <c r="E553" s="55"/>
      <c r="F553" s="55"/>
      <c r="G553" s="55"/>
      <c r="H553" s="55"/>
      <c r="I553" s="56"/>
      <c r="J553" s="46"/>
      <c r="K553" s="46"/>
      <c r="L553" s="46"/>
      <c r="M553" s="46"/>
      <c r="N553" s="46"/>
      <c r="O553" s="46"/>
      <c r="P553" s="46"/>
      <c r="Q553" s="46"/>
      <c r="R553" s="46"/>
      <c r="S553" s="46"/>
      <c r="T553" s="46"/>
      <c r="U553" s="46"/>
      <c r="V553" s="46"/>
      <c r="W553" s="46"/>
    </row>
    <row r="554">
      <c r="A554" s="44"/>
      <c r="B554" s="44"/>
      <c r="C554" s="30"/>
      <c r="D554" s="30"/>
      <c r="E554" s="55"/>
      <c r="F554" s="55"/>
      <c r="G554" s="55"/>
      <c r="H554" s="55"/>
      <c r="I554" s="56"/>
      <c r="J554" s="46"/>
      <c r="K554" s="46"/>
      <c r="L554" s="46"/>
      <c r="M554" s="46"/>
      <c r="N554" s="46"/>
      <c r="O554" s="46"/>
      <c r="P554" s="46"/>
      <c r="Q554" s="46"/>
      <c r="R554" s="46"/>
      <c r="S554" s="46"/>
      <c r="T554" s="46"/>
      <c r="U554" s="46"/>
      <c r="V554" s="46"/>
      <c r="W554" s="46"/>
    </row>
    <row r="555">
      <c r="A555" s="44"/>
      <c r="B555" s="44"/>
      <c r="C555" s="30"/>
      <c r="D555" s="30"/>
      <c r="E555" s="55"/>
      <c r="F555" s="55"/>
      <c r="G555" s="55"/>
      <c r="H555" s="55"/>
      <c r="I555" s="56"/>
      <c r="J555" s="46"/>
      <c r="K555" s="46"/>
      <c r="L555" s="46"/>
      <c r="M555" s="46"/>
      <c r="N555" s="46"/>
      <c r="O555" s="46"/>
      <c r="P555" s="46"/>
      <c r="Q555" s="46"/>
      <c r="R555" s="46"/>
      <c r="S555" s="46"/>
      <c r="T555" s="46"/>
      <c r="U555" s="46"/>
      <c r="V555" s="46"/>
      <c r="W555" s="46"/>
    </row>
    <row r="556">
      <c r="A556" s="44"/>
      <c r="B556" s="44"/>
      <c r="C556" s="30"/>
      <c r="D556" s="30"/>
      <c r="E556" s="55"/>
      <c r="F556" s="55"/>
      <c r="G556" s="55"/>
      <c r="H556" s="55"/>
      <c r="I556" s="56"/>
      <c r="J556" s="46"/>
      <c r="K556" s="46"/>
      <c r="L556" s="46"/>
      <c r="M556" s="46"/>
      <c r="N556" s="46"/>
      <c r="O556" s="46"/>
      <c r="P556" s="46"/>
      <c r="Q556" s="46"/>
      <c r="R556" s="46"/>
      <c r="S556" s="46"/>
      <c r="T556" s="46"/>
      <c r="U556" s="46"/>
      <c r="V556" s="46"/>
      <c r="W556" s="46"/>
    </row>
    <row r="557">
      <c r="A557" s="44"/>
      <c r="B557" s="44"/>
      <c r="C557" s="30"/>
      <c r="D557" s="30"/>
      <c r="E557" s="55"/>
      <c r="F557" s="55"/>
      <c r="G557" s="55"/>
      <c r="H557" s="55"/>
      <c r="I557" s="56"/>
      <c r="J557" s="46"/>
      <c r="K557" s="46"/>
      <c r="L557" s="46"/>
      <c r="M557" s="46"/>
      <c r="N557" s="46"/>
      <c r="O557" s="46"/>
      <c r="P557" s="46"/>
      <c r="Q557" s="46"/>
      <c r="R557" s="46"/>
      <c r="S557" s="46"/>
      <c r="T557" s="46"/>
      <c r="U557" s="46"/>
      <c r="V557" s="46"/>
      <c r="W557" s="46"/>
    </row>
    <row r="558">
      <c r="A558" s="44"/>
      <c r="B558" s="44"/>
      <c r="C558" s="30"/>
      <c r="D558" s="30"/>
      <c r="E558" s="55"/>
      <c r="F558" s="55"/>
      <c r="G558" s="55"/>
      <c r="H558" s="55"/>
      <c r="I558" s="56"/>
      <c r="J558" s="46"/>
      <c r="K558" s="46"/>
      <c r="L558" s="46"/>
      <c r="M558" s="46"/>
      <c r="N558" s="46"/>
      <c r="O558" s="46"/>
      <c r="P558" s="46"/>
      <c r="Q558" s="46"/>
      <c r="R558" s="46"/>
      <c r="S558" s="46"/>
      <c r="T558" s="46"/>
      <c r="U558" s="46"/>
      <c r="V558" s="46"/>
      <c r="W558" s="46"/>
    </row>
    <row r="559">
      <c r="A559" s="44"/>
      <c r="B559" s="44"/>
      <c r="C559" s="30"/>
      <c r="D559" s="30"/>
      <c r="E559" s="55"/>
      <c r="F559" s="55"/>
      <c r="G559" s="55"/>
      <c r="H559" s="55"/>
      <c r="I559" s="56"/>
      <c r="J559" s="46"/>
      <c r="K559" s="46"/>
      <c r="L559" s="46"/>
      <c r="M559" s="46"/>
      <c r="N559" s="46"/>
      <c r="O559" s="46"/>
      <c r="P559" s="46"/>
      <c r="Q559" s="46"/>
      <c r="R559" s="46"/>
      <c r="S559" s="46"/>
      <c r="T559" s="46"/>
      <c r="U559" s="46"/>
      <c r="V559" s="46"/>
      <c r="W559" s="46"/>
    </row>
    <row r="560">
      <c r="A560" s="44"/>
      <c r="B560" s="44"/>
      <c r="C560" s="30"/>
      <c r="D560" s="30"/>
      <c r="E560" s="55"/>
      <c r="F560" s="55"/>
      <c r="G560" s="55"/>
      <c r="H560" s="55"/>
      <c r="I560" s="56"/>
      <c r="J560" s="46"/>
      <c r="K560" s="46"/>
      <c r="L560" s="46"/>
      <c r="M560" s="46"/>
      <c r="N560" s="46"/>
      <c r="O560" s="46"/>
      <c r="P560" s="46"/>
      <c r="Q560" s="46"/>
      <c r="R560" s="46"/>
      <c r="S560" s="46"/>
      <c r="T560" s="46"/>
      <c r="U560" s="46"/>
      <c r="V560" s="46"/>
      <c r="W560" s="46"/>
    </row>
    <row r="561">
      <c r="A561" s="44"/>
      <c r="B561" s="44"/>
      <c r="C561" s="30"/>
      <c r="D561" s="30"/>
      <c r="E561" s="55"/>
      <c r="F561" s="55"/>
      <c r="G561" s="55"/>
      <c r="H561" s="55"/>
      <c r="I561" s="56"/>
      <c r="J561" s="46"/>
      <c r="K561" s="46"/>
      <c r="L561" s="46"/>
      <c r="M561" s="46"/>
      <c r="N561" s="46"/>
      <c r="O561" s="46"/>
      <c r="P561" s="46"/>
      <c r="Q561" s="46"/>
      <c r="R561" s="46"/>
      <c r="S561" s="46"/>
      <c r="T561" s="46"/>
      <c r="U561" s="46"/>
      <c r="V561" s="46"/>
      <c r="W561" s="46"/>
    </row>
    <row r="562">
      <c r="A562" s="44"/>
      <c r="B562" s="44"/>
      <c r="C562" s="30"/>
      <c r="D562" s="30"/>
      <c r="E562" s="55"/>
      <c r="F562" s="55"/>
      <c r="G562" s="55"/>
      <c r="H562" s="55"/>
      <c r="I562" s="56"/>
      <c r="J562" s="46"/>
      <c r="K562" s="46"/>
      <c r="L562" s="46"/>
      <c r="M562" s="46"/>
      <c r="N562" s="46"/>
      <c r="O562" s="46"/>
      <c r="P562" s="46"/>
      <c r="Q562" s="46"/>
      <c r="R562" s="46"/>
      <c r="S562" s="46"/>
      <c r="T562" s="46"/>
      <c r="U562" s="46"/>
      <c r="V562" s="46"/>
      <c r="W562" s="46"/>
    </row>
    <row r="563">
      <c r="A563" s="44"/>
      <c r="B563" s="44"/>
      <c r="C563" s="30"/>
      <c r="D563" s="30"/>
      <c r="E563" s="55"/>
      <c r="F563" s="55"/>
      <c r="G563" s="55"/>
      <c r="H563" s="55"/>
      <c r="I563" s="56"/>
      <c r="J563" s="46"/>
      <c r="K563" s="46"/>
      <c r="L563" s="46"/>
      <c r="M563" s="46"/>
      <c r="N563" s="46"/>
      <c r="O563" s="46"/>
      <c r="P563" s="46"/>
      <c r="Q563" s="46"/>
      <c r="R563" s="46"/>
      <c r="S563" s="46"/>
      <c r="T563" s="46"/>
      <c r="U563" s="46"/>
      <c r="V563" s="46"/>
      <c r="W563" s="46"/>
    </row>
    <row r="564">
      <c r="A564" s="44"/>
      <c r="B564" s="44"/>
      <c r="C564" s="30"/>
      <c r="D564" s="30"/>
      <c r="E564" s="55"/>
      <c r="F564" s="55"/>
      <c r="G564" s="55"/>
      <c r="H564" s="55"/>
      <c r="I564" s="56"/>
      <c r="J564" s="46"/>
      <c r="K564" s="46"/>
      <c r="L564" s="46"/>
      <c r="M564" s="46"/>
      <c r="N564" s="46"/>
      <c r="O564" s="46"/>
      <c r="P564" s="46"/>
      <c r="Q564" s="46"/>
      <c r="R564" s="46"/>
      <c r="S564" s="46"/>
      <c r="T564" s="46"/>
      <c r="U564" s="46"/>
      <c r="V564" s="46"/>
      <c r="W564" s="46"/>
    </row>
    <row r="565">
      <c r="A565" s="44"/>
      <c r="B565" s="44"/>
      <c r="C565" s="30"/>
      <c r="D565" s="30"/>
      <c r="E565" s="55"/>
      <c r="F565" s="55"/>
      <c r="G565" s="55"/>
      <c r="H565" s="55"/>
      <c r="I565" s="56"/>
      <c r="J565" s="46"/>
      <c r="K565" s="46"/>
      <c r="L565" s="46"/>
      <c r="M565" s="46"/>
      <c r="N565" s="46"/>
      <c r="O565" s="46"/>
      <c r="P565" s="46"/>
      <c r="Q565" s="46"/>
      <c r="R565" s="46"/>
      <c r="S565" s="46"/>
      <c r="T565" s="46"/>
      <c r="U565" s="46"/>
      <c r="V565" s="46"/>
      <c r="W565" s="46"/>
    </row>
    <row r="566">
      <c r="A566" s="44"/>
      <c r="B566" s="44"/>
      <c r="C566" s="30"/>
      <c r="D566" s="30"/>
      <c r="E566" s="55"/>
      <c r="F566" s="55"/>
      <c r="G566" s="55"/>
      <c r="H566" s="55"/>
      <c r="I566" s="56"/>
      <c r="J566" s="46"/>
      <c r="K566" s="46"/>
      <c r="L566" s="46"/>
      <c r="M566" s="46"/>
      <c r="N566" s="46"/>
      <c r="O566" s="46"/>
      <c r="P566" s="46"/>
      <c r="Q566" s="46"/>
      <c r="R566" s="46"/>
      <c r="S566" s="46"/>
      <c r="T566" s="46"/>
      <c r="U566" s="46"/>
      <c r="V566" s="46"/>
      <c r="W566" s="46"/>
    </row>
    <row r="567">
      <c r="A567" s="44"/>
      <c r="B567" s="44"/>
      <c r="C567" s="30"/>
      <c r="D567" s="30"/>
      <c r="E567" s="55"/>
      <c r="F567" s="55"/>
      <c r="G567" s="55"/>
      <c r="H567" s="55"/>
      <c r="I567" s="56"/>
      <c r="J567" s="46"/>
      <c r="K567" s="46"/>
      <c r="L567" s="46"/>
      <c r="M567" s="46"/>
      <c r="N567" s="46"/>
      <c r="O567" s="46"/>
      <c r="P567" s="46"/>
      <c r="Q567" s="46"/>
      <c r="R567" s="46"/>
      <c r="S567" s="46"/>
      <c r="T567" s="46"/>
      <c r="U567" s="46"/>
      <c r="V567" s="46"/>
      <c r="W567" s="46"/>
    </row>
    <row r="568">
      <c r="A568" s="44"/>
      <c r="B568" s="44"/>
      <c r="C568" s="30"/>
      <c r="D568" s="30"/>
      <c r="E568" s="55"/>
      <c r="F568" s="55"/>
      <c r="G568" s="55"/>
      <c r="H568" s="55"/>
      <c r="I568" s="56"/>
      <c r="J568" s="46"/>
      <c r="K568" s="46"/>
      <c r="L568" s="46"/>
      <c r="M568" s="46"/>
      <c r="N568" s="46"/>
      <c r="O568" s="46"/>
      <c r="P568" s="46"/>
      <c r="Q568" s="46"/>
      <c r="R568" s="46"/>
      <c r="S568" s="46"/>
      <c r="T568" s="46"/>
      <c r="U568" s="46"/>
      <c r="V568" s="46"/>
      <c r="W568" s="46"/>
    </row>
    <row r="569">
      <c r="A569" s="44"/>
      <c r="B569" s="44"/>
      <c r="C569" s="30"/>
      <c r="D569" s="30"/>
      <c r="E569" s="55"/>
      <c r="F569" s="55"/>
      <c r="G569" s="55"/>
      <c r="H569" s="55"/>
      <c r="I569" s="56"/>
      <c r="J569" s="46"/>
      <c r="K569" s="46"/>
      <c r="L569" s="46"/>
      <c r="M569" s="46"/>
      <c r="N569" s="46"/>
      <c r="O569" s="46"/>
      <c r="P569" s="46"/>
      <c r="Q569" s="46"/>
      <c r="R569" s="46"/>
      <c r="S569" s="46"/>
      <c r="T569" s="46"/>
      <c r="U569" s="46"/>
      <c r="V569" s="46"/>
      <c r="W569" s="46"/>
    </row>
    <row r="570">
      <c r="A570" s="44"/>
      <c r="B570" s="44"/>
      <c r="C570" s="30"/>
      <c r="D570" s="30"/>
      <c r="E570" s="55"/>
      <c r="F570" s="55"/>
      <c r="G570" s="55"/>
      <c r="H570" s="55"/>
      <c r="I570" s="56"/>
      <c r="J570" s="46"/>
      <c r="K570" s="46"/>
      <c r="L570" s="46"/>
      <c r="M570" s="46"/>
      <c r="N570" s="46"/>
      <c r="O570" s="46"/>
      <c r="P570" s="46"/>
      <c r="Q570" s="46"/>
      <c r="R570" s="46"/>
      <c r="S570" s="46"/>
      <c r="T570" s="46"/>
      <c r="U570" s="46"/>
      <c r="V570" s="46"/>
      <c r="W570" s="46"/>
    </row>
    <row r="571">
      <c r="A571" s="44"/>
      <c r="B571" s="44"/>
      <c r="C571" s="30"/>
      <c r="D571" s="30"/>
      <c r="E571" s="55"/>
      <c r="F571" s="55"/>
      <c r="G571" s="55"/>
      <c r="H571" s="55"/>
      <c r="I571" s="56"/>
      <c r="J571" s="46"/>
      <c r="K571" s="46"/>
      <c r="L571" s="46"/>
      <c r="M571" s="46"/>
      <c r="N571" s="46"/>
      <c r="O571" s="46"/>
      <c r="P571" s="46"/>
      <c r="Q571" s="46"/>
      <c r="R571" s="46"/>
      <c r="S571" s="46"/>
      <c r="T571" s="46"/>
      <c r="U571" s="46"/>
      <c r="V571" s="46"/>
      <c r="W571" s="46"/>
    </row>
    <row r="572">
      <c r="A572" s="44"/>
      <c r="B572" s="44"/>
      <c r="C572" s="30"/>
      <c r="D572" s="30"/>
      <c r="E572" s="55"/>
      <c r="F572" s="55"/>
      <c r="G572" s="55"/>
      <c r="H572" s="55"/>
      <c r="I572" s="56"/>
      <c r="J572" s="46"/>
      <c r="K572" s="46"/>
      <c r="L572" s="46"/>
      <c r="M572" s="46"/>
      <c r="N572" s="46"/>
      <c r="O572" s="46"/>
      <c r="P572" s="46"/>
      <c r="Q572" s="46"/>
      <c r="R572" s="46"/>
      <c r="S572" s="46"/>
      <c r="T572" s="46"/>
      <c r="U572" s="46"/>
      <c r="V572" s="46"/>
      <c r="W572" s="46"/>
    </row>
    <row r="573">
      <c r="A573" s="44"/>
      <c r="B573" s="44"/>
      <c r="C573" s="30"/>
      <c r="D573" s="30"/>
      <c r="E573" s="55"/>
      <c r="F573" s="55"/>
      <c r="G573" s="55"/>
      <c r="H573" s="55"/>
      <c r="I573" s="56"/>
      <c r="J573" s="46"/>
      <c r="K573" s="46"/>
      <c r="L573" s="46"/>
      <c r="M573" s="46"/>
      <c r="N573" s="46"/>
      <c r="O573" s="46"/>
      <c r="P573" s="46"/>
      <c r="Q573" s="46"/>
      <c r="R573" s="46"/>
      <c r="S573" s="46"/>
      <c r="T573" s="46"/>
      <c r="U573" s="46"/>
      <c r="V573" s="46"/>
      <c r="W573" s="46"/>
    </row>
    <row r="574">
      <c r="A574" s="44"/>
      <c r="B574" s="44"/>
      <c r="C574" s="30"/>
      <c r="D574" s="30"/>
      <c r="E574" s="55"/>
      <c r="F574" s="55"/>
      <c r="G574" s="55"/>
      <c r="H574" s="55"/>
      <c r="I574" s="56"/>
      <c r="J574" s="46"/>
      <c r="K574" s="46"/>
      <c r="L574" s="46"/>
      <c r="M574" s="46"/>
      <c r="N574" s="46"/>
      <c r="O574" s="46"/>
      <c r="P574" s="46"/>
      <c r="Q574" s="46"/>
      <c r="R574" s="46"/>
      <c r="S574" s="46"/>
      <c r="T574" s="46"/>
      <c r="U574" s="46"/>
      <c r="V574" s="46"/>
      <c r="W574" s="46"/>
    </row>
    <row r="575">
      <c r="A575" s="44"/>
      <c r="B575" s="44"/>
      <c r="C575" s="30"/>
      <c r="D575" s="30"/>
      <c r="E575" s="55"/>
      <c r="F575" s="55"/>
      <c r="G575" s="55"/>
      <c r="H575" s="55"/>
      <c r="I575" s="56"/>
      <c r="J575" s="46"/>
      <c r="K575" s="46"/>
      <c r="L575" s="46"/>
      <c r="M575" s="46"/>
      <c r="N575" s="46"/>
      <c r="O575" s="46"/>
      <c r="P575" s="46"/>
      <c r="Q575" s="46"/>
      <c r="R575" s="46"/>
      <c r="S575" s="46"/>
      <c r="T575" s="46"/>
      <c r="U575" s="46"/>
      <c r="V575" s="46"/>
      <c r="W575" s="46"/>
    </row>
    <row r="576">
      <c r="A576" s="44"/>
      <c r="B576" s="44"/>
      <c r="C576" s="30"/>
      <c r="D576" s="30"/>
      <c r="E576" s="55"/>
      <c r="F576" s="55"/>
      <c r="G576" s="55"/>
      <c r="H576" s="55"/>
      <c r="I576" s="56"/>
      <c r="J576" s="46"/>
      <c r="K576" s="46"/>
      <c r="L576" s="46"/>
      <c r="M576" s="46"/>
      <c r="N576" s="46"/>
      <c r="O576" s="46"/>
      <c r="P576" s="46"/>
      <c r="Q576" s="46"/>
      <c r="R576" s="46"/>
      <c r="S576" s="46"/>
      <c r="T576" s="46"/>
      <c r="U576" s="46"/>
      <c r="V576" s="46"/>
      <c r="W576" s="46"/>
    </row>
    <row r="577">
      <c r="A577" s="44"/>
      <c r="B577" s="44"/>
      <c r="C577" s="30"/>
      <c r="D577" s="30"/>
      <c r="E577" s="55"/>
      <c r="F577" s="55"/>
      <c r="G577" s="55"/>
      <c r="H577" s="55"/>
      <c r="I577" s="56"/>
      <c r="J577" s="46"/>
      <c r="K577" s="46"/>
      <c r="L577" s="46"/>
      <c r="M577" s="46"/>
      <c r="N577" s="46"/>
      <c r="O577" s="46"/>
      <c r="P577" s="46"/>
      <c r="Q577" s="46"/>
      <c r="R577" s="46"/>
      <c r="S577" s="46"/>
      <c r="T577" s="46"/>
      <c r="U577" s="46"/>
      <c r="V577" s="46"/>
      <c r="W577" s="46"/>
    </row>
    <row r="578">
      <c r="A578" s="44"/>
      <c r="B578" s="44"/>
      <c r="C578" s="30"/>
      <c r="D578" s="30"/>
      <c r="E578" s="55"/>
      <c r="F578" s="55"/>
      <c r="G578" s="55"/>
      <c r="H578" s="55"/>
      <c r="I578" s="56"/>
      <c r="J578" s="46"/>
      <c r="K578" s="46"/>
      <c r="L578" s="46"/>
      <c r="M578" s="46"/>
      <c r="N578" s="46"/>
      <c r="O578" s="46"/>
      <c r="P578" s="46"/>
      <c r="Q578" s="46"/>
      <c r="R578" s="46"/>
      <c r="S578" s="46"/>
      <c r="T578" s="46"/>
      <c r="U578" s="46"/>
      <c r="V578" s="46"/>
      <c r="W578" s="46"/>
    </row>
    <row r="579">
      <c r="A579" s="44"/>
      <c r="B579" s="44"/>
      <c r="C579" s="30"/>
      <c r="D579" s="30"/>
      <c r="E579" s="55"/>
      <c r="F579" s="55"/>
      <c r="G579" s="55"/>
      <c r="H579" s="55"/>
      <c r="I579" s="56"/>
      <c r="J579" s="46"/>
      <c r="K579" s="46"/>
      <c r="L579" s="46"/>
      <c r="M579" s="46"/>
      <c r="N579" s="46"/>
      <c r="O579" s="46"/>
      <c r="P579" s="46"/>
      <c r="Q579" s="46"/>
      <c r="R579" s="46"/>
      <c r="S579" s="46"/>
      <c r="T579" s="46"/>
      <c r="U579" s="46"/>
      <c r="V579" s="46"/>
      <c r="W579" s="46"/>
    </row>
    <row r="580">
      <c r="A580" s="44"/>
      <c r="B580" s="44"/>
      <c r="C580" s="30"/>
      <c r="D580" s="30"/>
      <c r="E580" s="55"/>
      <c r="F580" s="55"/>
      <c r="G580" s="55"/>
      <c r="H580" s="55"/>
      <c r="I580" s="56"/>
      <c r="J580" s="46"/>
      <c r="K580" s="46"/>
      <c r="L580" s="46"/>
      <c r="M580" s="46"/>
      <c r="N580" s="46"/>
      <c r="O580" s="46"/>
      <c r="P580" s="46"/>
      <c r="Q580" s="46"/>
      <c r="R580" s="46"/>
      <c r="S580" s="46"/>
      <c r="T580" s="46"/>
      <c r="U580" s="46"/>
      <c r="V580" s="46"/>
      <c r="W580" s="46"/>
    </row>
    <row r="581">
      <c r="A581" s="44"/>
      <c r="B581" s="44"/>
      <c r="C581" s="30"/>
      <c r="D581" s="30"/>
      <c r="E581" s="55"/>
      <c r="F581" s="55"/>
      <c r="G581" s="55"/>
      <c r="H581" s="55"/>
      <c r="I581" s="56"/>
      <c r="J581" s="46"/>
      <c r="K581" s="46"/>
      <c r="L581" s="46"/>
      <c r="M581" s="46"/>
      <c r="N581" s="46"/>
      <c r="O581" s="46"/>
      <c r="P581" s="46"/>
      <c r="Q581" s="46"/>
      <c r="R581" s="46"/>
      <c r="S581" s="46"/>
      <c r="T581" s="46"/>
      <c r="U581" s="46"/>
      <c r="V581" s="46"/>
      <c r="W581" s="46"/>
    </row>
    <row r="582">
      <c r="A582" s="44"/>
      <c r="B582" s="44"/>
      <c r="C582" s="30"/>
      <c r="D582" s="30"/>
      <c r="E582" s="55"/>
      <c r="F582" s="55"/>
      <c r="G582" s="55"/>
      <c r="H582" s="55"/>
      <c r="I582" s="56"/>
      <c r="J582" s="46"/>
      <c r="K582" s="46"/>
      <c r="L582" s="46"/>
      <c r="M582" s="46"/>
      <c r="N582" s="46"/>
      <c r="O582" s="46"/>
      <c r="P582" s="46"/>
      <c r="Q582" s="46"/>
      <c r="R582" s="46"/>
      <c r="S582" s="46"/>
      <c r="T582" s="46"/>
      <c r="U582" s="46"/>
      <c r="V582" s="46"/>
      <c r="W582" s="46"/>
    </row>
    <row r="583">
      <c r="A583" s="44"/>
      <c r="B583" s="44"/>
      <c r="C583" s="30"/>
      <c r="D583" s="30"/>
      <c r="E583" s="55"/>
      <c r="F583" s="55"/>
      <c r="G583" s="55"/>
      <c r="H583" s="55"/>
      <c r="I583" s="56"/>
      <c r="J583" s="46"/>
      <c r="K583" s="46"/>
      <c r="L583" s="46"/>
      <c r="M583" s="46"/>
      <c r="N583" s="46"/>
      <c r="O583" s="46"/>
      <c r="P583" s="46"/>
      <c r="Q583" s="46"/>
      <c r="R583" s="46"/>
      <c r="S583" s="46"/>
      <c r="T583" s="46"/>
      <c r="U583" s="46"/>
      <c r="V583" s="46"/>
      <c r="W583" s="46"/>
    </row>
    <row r="584">
      <c r="A584" s="44"/>
      <c r="B584" s="44"/>
      <c r="C584" s="30"/>
      <c r="D584" s="30"/>
      <c r="E584" s="55"/>
      <c r="F584" s="55"/>
      <c r="G584" s="55"/>
      <c r="H584" s="55"/>
      <c r="I584" s="56"/>
      <c r="J584" s="46"/>
      <c r="K584" s="46"/>
      <c r="L584" s="46"/>
      <c r="M584" s="46"/>
      <c r="N584" s="46"/>
      <c r="O584" s="46"/>
      <c r="P584" s="46"/>
      <c r="Q584" s="46"/>
      <c r="R584" s="46"/>
      <c r="S584" s="46"/>
      <c r="T584" s="46"/>
      <c r="U584" s="46"/>
      <c r="V584" s="46"/>
      <c r="W584" s="46"/>
    </row>
    <row r="585">
      <c r="A585" s="44"/>
      <c r="B585" s="44"/>
      <c r="C585" s="30"/>
      <c r="D585" s="30"/>
      <c r="E585" s="55"/>
      <c r="F585" s="55"/>
      <c r="G585" s="55"/>
      <c r="H585" s="55"/>
      <c r="I585" s="56"/>
      <c r="J585" s="46"/>
      <c r="K585" s="46"/>
      <c r="L585" s="46"/>
      <c r="M585" s="46"/>
      <c r="N585" s="46"/>
      <c r="O585" s="46"/>
      <c r="P585" s="46"/>
      <c r="Q585" s="46"/>
      <c r="R585" s="46"/>
      <c r="S585" s="46"/>
      <c r="T585" s="46"/>
      <c r="U585" s="46"/>
      <c r="V585" s="46"/>
      <c r="W585" s="46"/>
    </row>
    <row r="586">
      <c r="A586" s="44"/>
      <c r="B586" s="44"/>
      <c r="C586" s="30"/>
      <c r="D586" s="30"/>
      <c r="E586" s="55"/>
      <c r="F586" s="55"/>
      <c r="G586" s="55"/>
      <c r="H586" s="55"/>
      <c r="I586" s="56"/>
      <c r="J586" s="46"/>
      <c r="K586" s="46"/>
      <c r="L586" s="46"/>
      <c r="M586" s="46"/>
      <c r="N586" s="46"/>
      <c r="O586" s="46"/>
      <c r="P586" s="46"/>
      <c r="Q586" s="46"/>
      <c r="R586" s="46"/>
      <c r="S586" s="46"/>
      <c r="T586" s="46"/>
      <c r="U586" s="46"/>
      <c r="V586" s="46"/>
      <c r="W586" s="46"/>
    </row>
    <row r="587">
      <c r="A587" s="44"/>
      <c r="B587" s="44"/>
      <c r="C587" s="30"/>
      <c r="D587" s="30"/>
      <c r="E587" s="55"/>
      <c r="F587" s="55"/>
      <c r="G587" s="55"/>
      <c r="H587" s="55"/>
      <c r="I587" s="56"/>
      <c r="J587" s="46"/>
      <c r="K587" s="46"/>
      <c r="L587" s="46"/>
      <c r="M587" s="46"/>
      <c r="N587" s="46"/>
      <c r="O587" s="46"/>
      <c r="P587" s="46"/>
      <c r="Q587" s="46"/>
      <c r="R587" s="46"/>
      <c r="S587" s="46"/>
      <c r="T587" s="46"/>
      <c r="U587" s="46"/>
      <c r="V587" s="46"/>
      <c r="W587" s="46"/>
    </row>
    <row r="588">
      <c r="A588" s="44"/>
      <c r="B588" s="44"/>
      <c r="C588" s="30"/>
      <c r="D588" s="30"/>
      <c r="E588" s="55"/>
      <c r="F588" s="55"/>
      <c r="G588" s="55"/>
      <c r="H588" s="55"/>
      <c r="I588" s="56"/>
      <c r="J588" s="46"/>
      <c r="K588" s="46"/>
      <c r="L588" s="46"/>
      <c r="M588" s="46"/>
      <c r="N588" s="46"/>
      <c r="O588" s="46"/>
      <c r="P588" s="46"/>
      <c r="Q588" s="46"/>
      <c r="R588" s="46"/>
      <c r="S588" s="46"/>
      <c r="T588" s="46"/>
      <c r="U588" s="46"/>
      <c r="V588" s="46"/>
      <c r="W588" s="46"/>
    </row>
    <row r="589">
      <c r="A589" s="44"/>
      <c r="B589" s="44"/>
      <c r="C589" s="30"/>
      <c r="D589" s="30"/>
      <c r="E589" s="55"/>
      <c r="F589" s="55"/>
      <c r="G589" s="55"/>
      <c r="H589" s="55"/>
      <c r="I589" s="56"/>
      <c r="J589" s="46"/>
      <c r="K589" s="46"/>
      <c r="L589" s="46"/>
      <c r="M589" s="46"/>
      <c r="N589" s="46"/>
      <c r="O589" s="46"/>
      <c r="P589" s="46"/>
      <c r="Q589" s="46"/>
      <c r="R589" s="46"/>
      <c r="S589" s="46"/>
      <c r="T589" s="46"/>
      <c r="U589" s="46"/>
      <c r="V589" s="46"/>
      <c r="W589" s="46"/>
    </row>
    <row r="590">
      <c r="A590" s="44"/>
      <c r="B590" s="44"/>
      <c r="C590" s="30"/>
      <c r="D590" s="30"/>
      <c r="E590" s="55"/>
      <c r="F590" s="55"/>
      <c r="G590" s="55"/>
      <c r="H590" s="55"/>
      <c r="I590" s="56"/>
      <c r="J590" s="46"/>
      <c r="K590" s="46"/>
      <c r="L590" s="46"/>
      <c r="M590" s="46"/>
      <c r="N590" s="46"/>
      <c r="O590" s="46"/>
      <c r="P590" s="46"/>
      <c r="Q590" s="46"/>
      <c r="R590" s="46"/>
      <c r="S590" s="46"/>
      <c r="T590" s="46"/>
      <c r="U590" s="46"/>
      <c r="V590" s="46"/>
      <c r="W590" s="46"/>
    </row>
    <row r="591">
      <c r="A591" s="44"/>
      <c r="B591" s="44"/>
      <c r="C591" s="30"/>
      <c r="D591" s="30"/>
      <c r="E591" s="55"/>
      <c r="F591" s="55"/>
      <c r="G591" s="55"/>
      <c r="H591" s="55"/>
      <c r="I591" s="56"/>
      <c r="J591" s="46"/>
      <c r="K591" s="46"/>
      <c r="L591" s="46"/>
      <c r="M591" s="46"/>
      <c r="N591" s="46"/>
      <c r="O591" s="46"/>
      <c r="P591" s="46"/>
      <c r="Q591" s="46"/>
      <c r="R591" s="46"/>
      <c r="S591" s="46"/>
      <c r="T591" s="46"/>
      <c r="U591" s="46"/>
      <c r="V591" s="46"/>
      <c r="W591" s="46"/>
    </row>
    <row r="592">
      <c r="A592" s="44"/>
      <c r="B592" s="44"/>
      <c r="C592" s="30"/>
      <c r="D592" s="30"/>
      <c r="E592" s="55"/>
      <c r="F592" s="55"/>
      <c r="G592" s="55"/>
      <c r="H592" s="55"/>
      <c r="I592" s="56"/>
      <c r="J592" s="46"/>
      <c r="K592" s="46"/>
      <c r="L592" s="46"/>
      <c r="M592" s="46"/>
      <c r="N592" s="46"/>
      <c r="O592" s="46"/>
      <c r="P592" s="46"/>
      <c r="Q592" s="46"/>
      <c r="R592" s="46"/>
      <c r="S592" s="46"/>
      <c r="T592" s="46"/>
      <c r="U592" s="46"/>
      <c r="V592" s="46"/>
      <c r="W592" s="46"/>
    </row>
    <row r="593">
      <c r="A593" s="44"/>
      <c r="B593" s="44"/>
      <c r="C593" s="30"/>
      <c r="D593" s="30"/>
      <c r="E593" s="55"/>
      <c r="F593" s="55"/>
      <c r="G593" s="55"/>
      <c r="H593" s="55"/>
      <c r="I593" s="56"/>
      <c r="J593" s="46"/>
      <c r="K593" s="46"/>
      <c r="L593" s="46"/>
      <c r="M593" s="46"/>
      <c r="N593" s="46"/>
      <c r="O593" s="46"/>
      <c r="P593" s="46"/>
      <c r="Q593" s="46"/>
      <c r="R593" s="46"/>
      <c r="S593" s="46"/>
      <c r="T593" s="46"/>
      <c r="U593" s="46"/>
      <c r="V593" s="46"/>
      <c r="W593" s="46"/>
    </row>
    <row r="594">
      <c r="A594" s="44"/>
      <c r="B594" s="44"/>
      <c r="C594" s="30"/>
      <c r="D594" s="30"/>
      <c r="E594" s="55"/>
      <c r="F594" s="55"/>
      <c r="G594" s="55"/>
      <c r="H594" s="55"/>
      <c r="I594" s="56"/>
      <c r="J594" s="46"/>
      <c r="K594" s="46"/>
      <c r="L594" s="46"/>
      <c r="M594" s="46"/>
      <c r="N594" s="46"/>
      <c r="O594" s="46"/>
      <c r="P594" s="46"/>
      <c r="Q594" s="46"/>
      <c r="R594" s="46"/>
      <c r="S594" s="46"/>
      <c r="T594" s="46"/>
      <c r="U594" s="46"/>
      <c r="V594" s="46"/>
      <c r="W594" s="46"/>
    </row>
    <row r="595">
      <c r="A595" s="44"/>
      <c r="B595" s="44"/>
      <c r="C595" s="30"/>
      <c r="D595" s="30"/>
      <c r="E595" s="55"/>
      <c r="F595" s="55"/>
      <c r="G595" s="55"/>
      <c r="H595" s="55"/>
      <c r="I595" s="56"/>
      <c r="J595" s="46"/>
      <c r="K595" s="46"/>
      <c r="L595" s="46"/>
      <c r="M595" s="46"/>
      <c r="N595" s="46"/>
      <c r="O595" s="46"/>
      <c r="P595" s="46"/>
      <c r="Q595" s="46"/>
      <c r="R595" s="46"/>
      <c r="S595" s="46"/>
      <c r="T595" s="46"/>
      <c r="U595" s="46"/>
      <c r="V595" s="46"/>
      <c r="W595" s="46"/>
    </row>
    <row r="596">
      <c r="A596" s="44"/>
      <c r="B596" s="44"/>
      <c r="C596" s="30"/>
      <c r="D596" s="30"/>
      <c r="E596" s="55"/>
      <c r="F596" s="55"/>
      <c r="G596" s="55"/>
      <c r="H596" s="55"/>
      <c r="I596" s="56"/>
      <c r="J596" s="46"/>
      <c r="K596" s="46"/>
      <c r="L596" s="46"/>
      <c r="M596" s="46"/>
      <c r="N596" s="46"/>
      <c r="O596" s="46"/>
      <c r="P596" s="46"/>
      <c r="Q596" s="46"/>
      <c r="R596" s="46"/>
      <c r="S596" s="46"/>
      <c r="T596" s="46"/>
      <c r="U596" s="46"/>
      <c r="V596" s="46"/>
      <c r="W596" s="46"/>
    </row>
    <row r="597">
      <c r="A597" s="44"/>
      <c r="B597" s="44"/>
      <c r="C597" s="30"/>
      <c r="D597" s="30"/>
      <c r="E597" s="55"/>
      <c r="F597" s="55"/>
      <c r="G597" s="55"/>
      <c r="H597" s="55"/>
      <c r="I597" s="56"/>
      <c r="J597" s="46"/>
      <c r="K597" s="46"/>
      <c r="L597" s="46"/>
      <c r="M597" s="46"/>
      <c r="N597" s="46"/>
      <c r="O597" s="46"/>
      <c r="P597" s="46"/>
      <c r="Q597" s="46"/>
      <c r="R597" s="46"/>
      <c r="S597" s="46"/>
      <c r="T597" s="46"/>
      <c r="U597" s="46"/>
      <c r="V597" s="46"/>
      <c r="W597" s="46"/>
    </row>
    <row r="598">
      <c r="A598" s="44"/>
      <c r="B598" s="44"/>
      <c r="C598" s="30"/>
      <c r="D598" s="30"/>
      <c r="E598" s="55"/>
      <c r="F598" s="55"/>
      <c r="G598" s="55"/>
      <c r="H598" s="55"/>
      <c r="I598" s="56"/>
      <c r="J598" s="46"/>
      <c r="K598" s="46"/>
      <c r="L598" s="46"/>
      <c r="M598" s="46"/>
      <c r="N598" s="46"/>
      <c r="O598" s="46"/>
      <c r="P598" s="46"/>
      <c r="Q598" s="46"/>
      <c r="R598" s="46"/>
      <c r="S598" s="46"/>
      <c r="T598" s="46"/>
      <c r="U598" s="46"/>
      <c r="V598" s="46"/>
      <c r="W598" s="46"/>
    </row>
    <row r="599">
      <c r="A599" s="44"/>
      <c r="B599" s="44"/>
      <c r="C599" s="30"/>
      <c r="D599" s="30"/>
      <c r="E599" s="55"/>
      <c r="F599" s="55"/>
      <c r="G599" s="55"/>
      <c r="H599" s="55"/>
      <c r="I599" s="56"/>
      <c r="J599" s="46"/>
      <c r="K599" s="46"/>
      <c r="L599" s="46"/>
      <c r="M599" s="46"/>
      <c r="N599" s="46"/>
      <c r="O599" s="46"/>
      <c r="P599" s="46"/>
      <c r="Q599" s="46"/>
      <c r="R599" s="46"/>
      <c r="S599" s="46"/>
      <c r="T599" s="46"/>
      <c r="U599" s="46"/>
      <c r="V599" s="46"/>
      <c r="W599" s="46"/>
    </row>
    <row r="600">
      <c r="A600" s="44"/>
      <c r="B600" s="44"/>
      <c r="C600" s="30"/>
      <c r="D600" s="30"/>
      <c r="E600" s="55"/>
      <c r="F600" s="55"/>
      <c r="G600" s="55"/>
      <c r="H600" s="55"/>
      <c r="I600" s="56"/>
      <c r="J600" s="46"/>
      <c r="K600" s="46"/>
      <c r="L600" s="46"/>
      <c r="M600" s="46"/>
      <c r="N600" s="46"/>
      <c r="O600" s="46"/>
      <c r="P600" s="46"/>
      <c r="Q600" s="46"/>
      <c r="R600" s="46"/>
      <c r="S600" s="46"/>
      <c r="T600" s="46"/>
      <c r="U600" s="46"/>
      <c r="V600" s="46"/>
      <c r="W600" s="46"/>
    </row>
    <row r="601">
      <c r="A601" s="44"/>
      <c r="B601" s="44"/>
      <c r="C601" s="30"/>
      <c r="D601" s="30"/>
      <c r="E601" s="55"/>
      <c r="F601" s="55"/>
      <c r="G601" s="55"/>
      <c r="H601" s="55"/>
      <c r="I601" s="56"/>
      <c r="J601" s="46"/>
      <c r="K601" s="46"/>
      <c r="L601" s="46"/>
      <c r="M601" s="46"/>
      <c r="N601" s="46"/>
      <c r="O601" s="46"/>
      <c r="P601" s="46"/>
      <c r="Q601" s="46"/>
      <c r="R601" s="46"/>
      <c r="S601" s="46"/>
      <c r="T601" s="46"/>
      <c r="U601" s="46"/>
      <c r="V601" s="46"/>
      <c r="W601" s="46"/>
    </row>
    <row r="602">
      <c r="A602" s="44"/>
      <c r="B602" s="44"/>
      <c r="C602" s="30"/>
      <c r="D602" s="30"/>
      <c r="E602" s="55"/>
      <c r="F602" s="55"/>
      <c r="G602" s="55"/>
      <c r="H602" s="55"/>
      <c r="I602" s="56"/>
      <c r="J602" s="46"/>
      <c r="K602" s="46"/>
      <c r="L602" s="46"/>
      <c r="M602" s="46"/>
      <c r="N602" s="46"/>
      <c r="O602" s="46"/>
      <c r="P602" s="46"/>
      <c r="Q602" s="46"/>
      <c r="R602" s="46"/>
      <c r="S602" s="46"/>
      <c r="T602" s="46"/>
      <c r="U602" s="46"/>
      <c r="V602" s="46"/>
      <c r="W602" s="46"/>
    </row>
    <row r="603">
      <c r="A603" s="44"/>
      <c r="B603" s="44"/>
      <c r="C603" s="30"/>
      <c r="D603" s="30"/>
      <c r="E603" s="55"/>
      <c r="F603" s="55"/>
      <c r="G603" s="55"/>
      <c r="H603" s="55"/>
      <c r="I603" s="56"/>
      <c r="J603" s="46"/>
      <c r="K603" s="46"/>
      <c r="L603" s="46"/>
      <c r="M603" s="46"/>
      <c r="N603" s="46"/>
      <c r="O603" s="46"/>
      <c r="P603" s="46"/>
      <c r="Q603" s="46"/>
      <c r="R603" s="46"/>
      <c r="S603" s="46"/>
      <c r="T603" s="46"/>
      <c r="U603" s="46"/>
      <c r="V603" s="46"/>
      <c r="W603" s="46"/>
    </row>
    <row r="604">
      <c r="A604" s="44"/>
      <c r="B604" s="44"/>
      <c r="C604" s="30"/>
      <c r="D604" s="30"/>
      <c r="E604" s="55"/>
      <c r="F604" s="55"/>
      <c r="G604" s="55"/>
      <c r="H604" s="55"/>
      <c r="I604" s="56"/>
      <c r="J604" s="46"/>
      <c r="K604" s="46"/>
      <c r="L604" s="46"/>
      <c r="M604" s="46"/>
      <c r="N604" s="46"/>
      <c r="O604" s="46"/>
      <c r="P604" s="46"/>
      <c r="Q604" s="46"/>
      <c r="R604" s="46"/>
      <c r="S604" s="46"/>
      <c r="T604" s="46"/>
      <c r="U604" s="46"/>
      <c r="V604" s="46"/>
      <c r="W604" s="46"/>
    </row>
    <row r="605">
      <c r="A605" s="44"/>
      <c r="B605" s="44"/>
      <c r="C605" s="30"/>
      <c r="D605" s="30"/>
      <c r="E605" s="55"/>
      <c r="F605" s="55"/>
      <c r="G605" s="55"/>
      <c r="H605" s="55"/>
      <c r="I605" s="56"/>
      <c r="J605" s="46"/>
      <c r="K605" s="46"/>
      <c r="L605" s="46"/>
      <c r="M605" s="46"/>
      <c r="N605" s="46"/>
      <c r="O605" s="46"/>
      <c r="P605" s="46"/>
      <c r="Q605" s="46"/>
      <c r="R605" s="46"/>
      <c r="S605" s="46"/>
      <c r="T605" s="46"/>
      <c r="U605" s="46"/>
      <c r="V605" s="46"/>
      <c r="W605" s="46"/>
    </row>
    <row r="606">
      <c r="A606" s="44"/>
      <c r="B606" s="44"/>
      <c r="C606" s="30"/>
      <c r="D606" s="30"/>
      <c r="E606" s="55"/>
      <c r="F606" s="55"/>
      <c r="G606" s="55"/>
      <c r="H606" s="55"/>
      <c r="I606" s="56"/>
      <c r="J606" s="46"/>
      <c r="K606" s="46"/>
      <c r="L606" s="46"/>
      <c r="M606" s="46"/>
      <c r="N606" s="46"/>
      <c r="O606" s="46"/>
      <c r="P606" s="46"/>
      <c r="Q606" s="46"/>
      <c r="R606" s="46"/>
      <c r="S606" s="46"/>
      <c r="T606" s="46"/>
      <c r="U606" s="46"/>
      <c r="V606" s="46"/>
      <c r="W606" s="46"/>
    </row>
    <row r="607">
      <c r="A607" s="44"/>
      <c r="B607" s="44"/>
      <c r="C607" s="30"/>
      <c r="D607" s="30"/>
      <c r="E607" s="55"/>
      <c r="F607" s="55"/>
      <c r="G607" s="55"/>
      <c r="H607" s="55"/>
      <c r="I607" s="56"/>
      <c r="J607" s="46"/>
      <c r="K607" s="46"/>
      <c r="L607" s="46"/>
      <c r="M607" s="46"/>
      <c r="N607" s="46"/>
      <c r="O607" s="46"/>
      <c r="P607" s="46"/>
      <c r="Q607" s="46"/>
      <c r="R607" s="46"/>
      <c r="S607" s="46"/>
      <c r="T607" s="46"/>
      <c r="U607" s="46"/>
      <c r="V607" s="46"/>
      <c r="W607" s="46"/>
    </row>
    <row r="608">
      <c r="A608" s="44"/>
      <c r="B608" s="44"/>
      <c r="C608" s="30"/>
      <c r="D608" s="30"/>
      <c r="E608" s="55"/>
      <c r="F608" s="55"/>
      <c r="G608" s="55"/>
      <c r="H608" s="55"/>
      <c r="I608" s="56"/>
      <c r="J608" s="46"/>
      <c r="K608" s="46"/>
      <c r="L608" s="46"/>
      <c r="M608" s="46"/>
      <c r="N608" s="46"/>
      <c r="O608" s="46"/>
      <c r="P608" s="46"/>
      <c r="Q608" s="46"/>
      <c r="R608" s="46"/>
      <c r="S608" s="46"/>
      <c r="T608" s="46"/>
      <c r="U608" s="46"/>
      <c r="V608" s="46"/>
      <c r="W608" s="46"/>
    </row>
    <row r="609">
      <c r="A609" s="44"/>
      <c r="B609" s="44"/>
      <c r="C609" s="30"/>
      <c r="D609" s="30"/>
      <c r="E609" s="55"/>
      <c r="F609" s="55"/>
      <c r="G609" s="55"/>
      <c r="H609" s="55"/>
      <c r="I609" s="56"/>
      <c r="J609" s="46"/>
      <c r="K609" s="46"/>
      <c r="L609" s="46"/>
      <c r="M609" s="46"/>
      <c r="N609" s="46"/>
      <c r="O609" s="46"/>
      <c r="P609" s="46"/>
      <c r="Q609" s="46"/>
      <c r="R609" s="46"/>
      <c r="S609" s="46"/>
      <c r="T609" s="46"/>
      <c r="U609" s="46"/>
      <c r="V609" s="46"/>
      <c r="W609" s="46"/>
    </row>
    <row r="610">
      <c r="A610" s="44"/>
      <c r="B610" s="44"/>
      <c r="C610" s="30"/>
      <c r="D610" s="30"/>
      <c r="E610" s="55"/>
      <c r="F610" s="55"/>
      <c r="G610" s="55"/>
      <c r="H610" s="55"/>
      <c r="I610" s="56"/>
      <c r="J610" s="46"/>
      <c r="K610" s="46"/>
      <c r="L610" s="46"/>
      <c r="M610" s="46"/>
      <c r="N610" s="46"/>
      <c r="O610" s="46"/>
      <c r="P610" s="46"/>
      <c r="Q610" s="46"/>
      <c r="R610" s="46"/>
      <c r="S610" s="46"/>
      <c r="T610" s="46"/>
      <c r="U610" s="46"/>
      <c r="V610" s="46"/>
      <c r="W610" s="46"/>
    </row>
    <row r="611">
      <c r="A611" s="44"/>
      <c r="B611" s="44"/>
      <c r="C611" s="30"/>
      <c r="D611" s="30"/>
      <c r="E611" s="55"/>
      <c r="F611" s="55"/>
      <c r="G611" s="55"/>
      <c r="H611" s="55"/>
      <c r="I611" s="56"/>
      <c r="J611" s="46"/>
      <c r="K611" s="46"/>
      <c r="L611" s="46"/>
      <c r="M611" s="46"/>
      <c r="N611" s="46"/>
      <c r="O611" s="46"/>
      <c r="P611" s="46"/>
      <c r="Q611" s="46"/>
      <c r="R611" s="46"/>
      <c r="S611" s="46"/>
      <c r="T611" s="46"/>
      <c r="U611" s="46"/>
      <c r="V611" s="46"/>
      <c r="W611" s="46"/>
    </row>
    <row r="612">
      <c r="A612" s="44"/>
      <c r="B612" s="44"/>
      <c r="C612" s="30"/>
      <c r="D612" s="30"/>
      <c r="E612" s="55"/>
      <c r="F612" s="55"/>
      <c r="G612" s="55"/>
      <c r="H612" s="55"/>
      <c r="I612" s="56"/>
      <c r="J612" s="46"/>
      <c r="K612" s="46"/>
      <c r="L612" s="46"/>
      <c r="M612" s="46"/>
      <c r="N612" s="46"/>
      <c r="O612" s="46"/>
      <c r="P612" s="46"/>
      <c r="Q612" s="46"/>
      <c r="R612" s="46"/>
      <c r="S612" s="46"/>
      <c r="T612" s="46"/>
      <c r="U612" s="46"/>
      <c r="V612" s="46"/>
      <c r="W612" s="46"/>
    </row>
    <row r="613">
      <c r="A613" s="44"/>
      <c r="B613" s="44"/>
      <c r="C613" s="30"/>
      <c r="D613" s="30"/>
      <c r="E613" s="55"/>
      <c r="F613" s="55"/>
      <c r="G613" s="55"/>
      <c r="H613" s="55"/>
      <c r="I613" s="56"/>
      <c r="J613" s="46"/>
      <c r="K613" s="46"/>
      <c r="L613" s="46"/>
      <c r="M613" s="46"/>
      <c r="N613" s="46"/>
      <c r="O613" s="46"/>
      <c r="P613" s="46"/>
      <c r="Q613" s="46"/>
      <c r="R613" s="46"/>
      <c r="S613" s="46"/>
      <c r="T613" s="46"/>
      <c r="U613" s="46"/>
      <c r="V613" s="46"/>
      <c r="W613" s="46"/>
    </row>
    <row r="614">
      <c r="A614" s="44"/>
      <c r="B614" s="44"/>
      <c r="C614" s="30"/>
      <c r="D614" s="30"/>
      <c r="E614" s="55"/>
      <c r="F614" s="55"/>
      <c r="G614" s="55"/>
      <c r="H614" s="55"/>
      <c r="I614" s="56"/>
      <c r="J614" s="46"/>
      <c r="K614" s="46"/>
      <c r="L614" s="46"/>
      <c r="M614" s="46"/>
      <c r="N614" s="46"/>
      <c r="O614" s="46"/>
      <c r="P614" s="46"/>
      <c r="Q614" s="46"/>
      <c r="R614" s="46"/>
      <c r="S614" s="46"/>
      <c r="T614" s="46"/>
      <c r="U614" s="46"/>
      <c r="V614" s="46"/>
      <c r="W614" s="46"/>
    </row>
    <row r="615">
      <c r="A615" s="44"/>
      <c r="B615" s="44"/>
      <c r="C615" s="30"/>
      <c r="D615" s="30"/>
      <c r="E615" s="55"/>
      <c r="F615" s="55"/>
      <c r="G615" s="55"/>
      <c r="H615" s="55"/>
      <c r="I615" s="56"/>
      <c r="J615" s="46"/>
      <c r="K615" s="46"/>
      <c r="L615" s="46"/>
      <c r="M615" s="46"/>
      <c r="N615" s="46"/>
      <c r="O615" s="46"/>
      <c r="P615" s="46"/>
      <c r="Q615" s="46"/>
      <c r="R615" s="46"/>
      <c r="S615" s="46"/>
      <c r="T615" s="46"/>
      <c r="U615" s="46"/>
      <c r="V615" s="46"/>
      <c r="W615" s="46"/>
    </row>
    <row r="616">
      <c r="A616" s="44"/>
      <c r="B616" s="44"/>
      <c r="C616" s="30"/>
      <c r="D616" s="30"/>
      <c r="E616" s="55"/>
      <c r="F616" s="55"/>
      <c r="G616" s="55"/>
      <c r="H616" s="55"/>
      <c r="I616" s="56"/>
      <c r="J616" s="46"/>
      <c r="K616" s="46"/>
      <c r="L616" s="46"/>
      <c r="M616" s="46"/>
      <c r="N616" s="46"/>
      <c r="O616" s="46"/>
      <c r="P616" s="46"/>
      <c r="Q616" s="46"/>
      <c r="R616" s="46"/>
      <c r="S616" s="46"/>
      <c r="T616" s="46"/>
      <c r="U616" s="46"/>
      <c r="V616" s="46"/>
      <c r="W616" s="46"/>
    </row>
    <row r="617">
      <c r="A617" s="44"/>
      <c r="B617" s="44"/>
      <c r="C617" s="30"/>
      <c r="D617" s="30"/>
      <c r="E617" s="55"/>
      <c r="F617" s="55"/>
      <c r="G617" s="55"/>
      <c r="H617" s="55"/>
      <c r="I617" s="56"/>
      <c r="J617" s="46"/>
      <c r="K617" s="46"/>
      <c r="L617" s="46"/>
      <c r="M617" s="46"/>
      <c r="N617" s="46"/>
      <c r="O617" s="46"/>
      <c r="P617" s="46"/>
      <c r="Q617" s="46"/>
      <c r="R617" s="46"/>
      <c r="S617" s="46"/>
      <c r="T617" s="46"/>
      <c r="U617" s="46"/>
      <c r="V617" s="46"/>
      <c r="W617" s="46"/>
    </row>
    <row r="618">
      <c r="A618" s="44"/>
      <c r="B618" s="44"/>
      <c r="C618" s="30"/>
      <c r="D618" s="30"/>
      <c r="E618" s="55"/>
      <c r="F618" s="55"/>
      <c r="G618" s="55"/>
      <c r="H618" s="55"/>
      <c r="I618" s="56"/>
      <c r="J618" s="46"/>
      <c r="K618" s="46"/>
      <c r="L618" s="46"/>
      <c r="M618" s="46"/>
      <c r="N618" s="46"/>
      <c r="O618" s="46"/>
      <c r="P618" s="46"/>
      <c r="Q618" s="46"/>
      <c r="R618" s="46"/>
      <c r="S618" s="46"/>
      <c r="T618" s="46"/>
      <c r="U618" s="46"/>
      <c r="V618" s="46"/>
      <c r="W618" s="46"/>
    </row>
    <row r="619">
      <c r="A619" s="44"/>
      <c r="B619" s="44"/>
      <c r="C619" s="30"/>
      <c r="D619" s="30"/>
      <c r="E619" s="55"/>
      <c r="F619" s="55"/>
      <c r="G619" s="55"/>
      <c r="H619" s="55"/>
      <c r="I619" s="56"/>
      <c r="J619" s="46"/>
      <c r="K619" s="46"/>
      <c r="L619" s="46"/>
      <c r="M619" s="46"/>
      <c r="N619" s="46"/>
      <c r="O619" s="46"/>
      <c r="P619" s="46"/>
      <c r="Q619" s="46"/>
      <c r="R619" s="46"/>
      <c r="S619" s="46"/>
      <c r="T619" s="46"/>
      <c r="U619" s="46"/>
      <c r="V619" s="46"/>
      <c r="W619" s="46"/>
    </row>
    <row r="620">
      <c r="A620" s="44"/>
      <c r="B620" s="44"/>
      <c r="C620" s="30"/>
      <c r="D620" s="30"/>
      <c r="E620" s="55"/>
      <c r="F620" s="55"/>
      <c r="G620" s="55"/>
      <c r="H620" s="55"/>
      <c r="I620" s="56"/>
      <c r="J620" s="46"/>
      <c r="K620" s="46"/>
      <c r="L620" s="46"/>
      <c r="M620" s="46"/>
      <c r="N620" s="46"/>
      <c r="O620" s="46"/>
      <c r="P620" s="46"/>
      <c r="Q620" s="46"/>
      <c r="R620" s="46"/>
      <c r="S620" s="46"/>
      <c r="T620" s="46"/>
      <c r="U620" s="46"/>
      <c r="V620" s="46"/>
      <c r="W620" s="46"/>
    </row>
    <row r="621">
      <c r="A621" s="44"/>
      <c r="B621" s="44"/>
      <c r="C621" s="30"/>
      <c r="D621" s="30"/>
      <c r="E621" s="55"/>
      <c r="F621" s="55"/>
      <c r="G621" s="55"/>
      <c r="H621" s="55"/>
      <c r="I621" s="56"/>
      <c r="J621" s="46"/>
      <c r="K621" s="46"/>
      <c r="L621" s="46"/>
      <c r="M621" s="46"/>
      <c r="N621" s="46"/>
      <c r="O621" s="46"/>
      <c r="P621" s="46"/>
      <c r="Q621" s="46"/>
      <c r="R621" s="46"/>
      <c r="S621" s="46"/>
      <c r="T621" s="46"/>
      <c r="U621" s="46"/>
      <c r="V621" s="46"/>
      <c r="W621" s="46"/>
    </row>
    <row r="622">
      <c r="A622" s="44"/>
      <c r="B622" s="44"/>
      <c r="C622" s="30"/>
      <c r="D622" s="30"/>
      <c r="E622" s="55"/>
      <c r="F622" s="55"/>
      <c r="G622" s="55"/>
      <c r="H622" s="55"/>
      <c r="I622" s="56"/>
      <c r="J622" s="46"/>
      <c r="K622" s="46"/>
      <c r="L622" s="46"/>
      <c r="M622" s="46"/>
      <c r="N622" s="46"/>
      <c r="O622" s="46"/>
      <c r="P622" s="46"/>
      <c r="Q622" s="46"/>
      <c r="R622" s="46"/>
      <c r="S622" s="46"/>
      <c r="T622" s="46"/>
      <c r="U622" s="46"/>
      <c r="V622" s="46"/>
      <c r="W622" s="46"/>
    </row>
    <row r="623">
      <c r="A623" s="44"/>
      <c r="B623" s="44"/>
      <c r="C623" s="30"/>
      <c r="D623" s="30"/>
      <c r="E623" s="55"/>
      <c r="F623" s="55"/>
      <c r="G623" s="55"/>
      <c r="H623" s="55"/>
      <c r="I623" s="56"/>
      <c r="J623" s="46"/>
      <c r="K623" s="46"/>
      <c r="L623" s="46"/>
      <c r="M623" s="46"/>
      <c r="N623" s="46"/>
      <c r="O623" s="46"/>
      <c r="P623" s="46"/>
      <c r="Q623" s="46"/>
      <c r="R623" s="46"/>
      <c r="S623" s="46"/>
      <c r="T623" s="46"/>
      <c r="U623" s="46"/>
      <c r="V623" s="46"/>
      <c r="W623" s="46"/>
    </row>
    <row r="624">
      <c r="A624" s="44"/>
      <c r="B624" s="44"/>
      <c r="C624" s="30"/>
      <c r="D624" s="30"/>
      <c r="E624" s="55"/>
      <c r="F624" s="55"/>
      <c r="G624" s="55"/>
      <c r="H624" s="55"/>
      <c r="I624" s="56"/>
      <c r="J624" s="46"/>
      <c r="K624" s="46"/>
      <c r="L624" s="46"/>
      <c r="M624" s="46"/>
      <c r="N624" s="46"/>
      <c r="O624" s="46"/>
      <c r="P624" s="46"/>
      <c r="Q624" s="46"/>
      <c r="R624" s="46"/>
      <c r="S624" s="46"/>
      <c r="T624" s="46"/>
      <c r="U624" s="46"/>
      <c r="V624" s="46"/>
      <c r="W624" s="46"/>
    </row>
    <row r="625">
      <c r="A625" s="44"/>
      <c r="B625" s="44"/>
      <c r="C625" s="30"/>
      <c r="D625" s="30"/>
      <c r="E625" s="55"/>
      <c r="F625" s="55"/>
      <c r="G625" s="55"/>
      <c r="H625" s="55"/>
      <c r="I625" s="56"/>
      <c r="J625" s="46"/>
      <c r="K625" s="46"/>
      <c r="L625" s="46"/>
      <c r="M625" s="46"/>
      <c r="N625" s="46"/>
      <c r="O625" s="46"/>
      <c r="P625" s="46"/>
      <c r="Q625" s="46"/>
      <c r="R625" s="46"/>
      <c r="S625" s="46"/>
      <c r="T625" s="46"/>
      <c r="U625" s="46"/>
      <c r="V625" s="46"/>
      <c r="W625" s="46"/>
    </row>
    <row r="626">
      <c r="A626" s="44"/>
      <c r="B626" s="44"/>
      <c r="C626" s="30"/>
      <c r="D626" s="30"/>
      <c r="E626" s="55"/>
      <c r="F626" s="55"/>
      <c r="G626" s="55"/>
      <c r="H626" s="55"/>
      <c r="I626" s="56"/>
      <c r="J626" s="46"/>
      <c r="K626" s="46"/>
      <c r="L626" s="46"/>
      <c r="M626" s="46"/>
      <c r="N626" s="46"/>
      <c r="O626" s="46"/>
      <c r="P626" s="46"/>
      <c r="Q626" s="46"/>
      <c r="R626" s="46"/>
      <c r="S626" s="46"/>
      <c r="T626" s="46"/>
      <c r="U626" s="46"/>
      <c r="V626" s="46"/>
      <c r="W626" s="46"/>
    </row>
    <row r="627">
      <c r="A627" s="44"/>
      <c r="B627" s="44"/>
      <c r="C627" s="30"/>
      <c r="D627" s="30"/>
      <c r="E627" s="55"/>
      <c r="F627" s="55"/>
      <c r="G627" s="55"/>
      <c r="H627" s="55"/>
      <c r="I627" s="56"/>
      <c r="J627" s="46"/>
      <c r="K627" s="46"/>
      <c r="L627" s="46"/>
      <c r="M627" s="46"/>
      <c r="N627" s="46"/>
      <c r="O627" s="46"/>
      <c r="P627" s="46"/>
      <c r="Q627" s="46"/>
      <c r="R627" s="46"/>
      <c r="S627" s="46"/>
      <c r="T627" s="46"/>
      <c r="U627" s="46"/>
      <c r="V627" s="46"/>
      <c r="W627" s="46"/>
    </row>
    <row r="628">
      <c r="A628" s="44"/>
      <c r="B628" s="44"/>
      <c r="C628" s="30"/>
      <c r="D628" s="30"/>
      <c r="E628" s="55"/>
      <c r="F628" s="55"/>
      <c r="G628" s="55"/>
      <c r="H628" s="55"/>
      <c r="I628" s="56"/>
      <c r="J628" s="46"/>
      <c r="K628" s="46"/>
      <c r="L628" s="46"/>
      <c r="M628" s="46"/>
      <c r="N628" s="46"/>
      <c r="O628" s="46"/>
      <c r="P628" s="46"/>
      <c r="Q628" s="46"/>
      <c r="R628" s="46"/>
      <c r="S628" s="46"/>
      <c r="T628" s="46"/>
      <c r="U628" s="46"/>
      <c r="V628" s="46"/>
      <c r="W628" s="46"/>
    </row>
    <row r="629">
      <c r="A629" s="44"/>
      <c r="B629" s="44"/>
      <c r="C629" s="30"/>
      <c r="D629" s="30"/>
      <c r="E629" s="55"/>
      <c r="F629" s="55"/>
      <c r="G629" s="55"/>
      <c r="H629" s="55"/>
      <c r="I629" s="56"/>
      <c r="J629" s="46"/>
      <c r="K629" s="46"/>
      <c r="L629" s="46"/>
      <c r="M629" s="46"/>
      <c r="N629" s="46"/>
      <c r="O629" s="46"/>
      <c r="P629" s="46"/>
      <c r="Q629" s="46"/>
      <c r="R629" s="46"/>
      <c r="S629" s="46"/>
      <c r="T629" s="46"/>
      <c r="U629" s="46"/>
      <c r="V629" s="46"/>
      <c r="W629" s="46"/>
    </row>
    <row r="630">
      <c r="A630" s="44"/>
      <c r="B630" s="44"/>
      <c r="C630" s="30"/>
      <c r="D630" s="30"/>
      <c r="E630" s="55"/>
      <c r="F630" s="55"/>
      <c r="G630" s="55"/>
      <c r="H630" s="55"/>
      <c r="I630" s="56"/>
      <c r="J630" s="46"/>
      <c r="K630" s="46"/>
      <c r="L630" s="46"/>
      <c r="M630" s="46"/>
      <c r="N630" s="46"/>
      <c r="O630" s="46"/>
      <c r="P630" s="46"/>
      <c r="Q630" s="46"/>
      <c r="R630" s="46"/>
      <c r="S630" s="46"/>
      <c r="T630" s="46"/>
      <c r="U630" s="46"/>
      <c r="V630" s="46"/>
      <c r="W630" s="46"/>
    </row>
    <row r="631">
      <c r="A631" s="44"/>
      <c r="B631" s="44"/>
      <c r="C631" s="30"/>
      <c r="D631" s="30"/>
      <c r="E631" s="55"/>
      <c r="F631" s="55"/>
      <c r="G631" s="55"/>
      <c r="H631" s="55"/>
      <c r="I631" s="56"/>
      <c r="J631" s="46"/>
      <c r="K631" s="46"/>
      <c r="L631" s="46"/>
      <c r="M631" s="46"/>
      <c r="N631" s="46"/>
      <c r="O631" s="46"/>
      <c r="P631" s="46"/>
      <c r="Q631" s="46"/>
      <c r="R631" s="46"/>
      <c r="S631" s="46"/>
      <c r="T631" s="46"/>
      <c r="U631" s="46"/>
      <c r="V631" s="46"/>
      <c r="W631" s="46"/>
    </row>
    <row r="632">
      <c r="A632" s="44"/>
      <c r="B632" s="44"/>
      <c r="C632" s="30"/>
      <c r="D632" s="30"/>
      <c r="E632" s="55"/>
      <c r="F632" s="55"/>
      <c r="G632" s="55"/>
      <c r="H632" s="55"/>
      <c r="I632" s="56"/>
      <c r="J632" s="46"/>
      <c r="K632" s="46"/>
      <c r="L632" s="46"/>
      <c r="M632" s="46"/>
      <c r="N632" s="46"/>
      <c r="O632" s="46"/>
      <c r="P632" s="46"/>
      <c r="Q632" s="46"/>
      <c r="R632" s="46"/>
      <c r="S632" s="46"/>
      <c r="T632" s="46"/>
      <c r="U632" s="46"/>
      <c r="V632" s="46"/>
      <c r="W632" s="46"/>
    </row>
    <row r="633">
      <c r="A633" s="44"/>
      <c r="B633" s="44"/>
      <c r="C633" s="30"/>
      <c r="D633" s="30"/>
      <c r="E633" s="55"/>
      <c r="F633" s="55"/>
      <c r="G633" s="55"/>
      <c r="H633" s="55"/>
      <c r="I633" s="56"/>
      <c r="J633" s="46"/>
      <c r="K633" s="46"/>
      <c r="L633" s="46"/>
      <c r="M633" s="46"/>
      <c r="N633" s="46"/>
      <c r="O633" s="46"/>
      <c r="P633" s="46"/>
      <c r="Q633" s="46"/>
      <c r="R633" s="46"/>
      <c r="S633" s="46"/>
      <c r="T633" s="46"/>
      <c r="U633" s="46"/>
      <c r="V633" s="46"/>
      <c r="W633" s="46"/>
    </row>
    <row r="634">
      <c r="A634" s="44"/>
      <c r="B634" s="44"/>
      <c r="C634" s="30"/>
      <c r="D634" s="30"/>
      <c r="E634" s="55"/>
      <c r="F634" s="55"/>
      <c r="G634" s="55"/>
      <c r="H634" s="55"/>
      <c r="I634" s="56"/>
      <c r="J634" s="46"/>
      <c r="K634" s="46"/>
      <c r="L634" s="46"/>
      <c r="M634" s="46"/>
      <c r="N634" s="46"/>
      <c r="O634" s="46"/>
      <c r="P634" s="46"/>
      <c r="Q634" s="46"/>
      <c r="R634" s="46"/>
      <c r="S634" s="46"/>
      <c r="T634" s="46"/>
      <c r="U634" s="46"/>
      <c r="V634" s="46"/>
      <c r="W634" s="46"/>
    </row>
    <row r="635">
      <c r="A635" s="44"/>
      <c r="B635" s="44"/>
      <c r="C635" s="30"/>
      <c r="D635" s="30"/>
      <c r="E635" s="55"/>
      <c r="F635" s="55"/>
      <c r="G635" s="55"/>
      <c r="H635" s="55"/>
      <c r="I635" s="56"/>
      <c r="J635" s="46"/>
      <c r="K635" s="46"/>
      <c r="L635" s="46"/>
      <c r="M635" s="46"/>
      <c r="N635" s="46"/>
      <c r="O635" s="46"/>
      <c r="P635" s="46"/>
      <c r="Q635" s="46"/>
      <c r="R635" s="46"/>
      <c r="S635" s="46"/>
      <c r="T635" s="46"/>
      <c r="U635" s="46"/>
      <c r="V635" s="46"/>
      <c r="W635" s="46"/>
    </row>
    <row r="636">
      <c r="A636" s="44"/>
      <c r="B636" s="44"/>
      <c r="C636" s="30"/>
      <c r="D636" s="30"/>
      <c r="E636" s="55"/>
      <c r="F636" s="55"/>
      <c r="G636" s="55"/>
      <c r="H636" s="55"/>
      <c r="I636" s="56"/>
      <c r="J636" s="46"/>
      <c r="K636" s="46"/>
      <c r="L636" s="46"/>
      <c r="M636" s="46"/>
      <c r="N636" s="46"/>
      <c r="O636" s="46"/>
      <c r="P636" s="46"/>
      <c r="Q636" s="46"/>
      <c r="R636" s="46"/>
      <c r="S636" s="46"/>
      <c r="T636" s="46"/>
      <c r="U636" s="46"/>
      <c r="V636" s="46"/>
      <c r="W636" s="46"/>
    </row>
    <row r="637">
      <c r="A637" s="44"/>
      <c r="B637" s="44"/>
      <c r="C637" s="30"/>
      <c r="D637" s="30"/>
      <c r="E637" s="55"/>
      <c r="F637" s="55"/>
      <c r="G637" s="55"/>
      <c r="H637" s="55"/>
      <c r="I637" s="56"/>
      <c r="J637" s="46"/>
      <c r="K637" s="46"/>
      <c r="L637" s="46"/>
      <c r="M637" s="46"/>
      <c r="N637" s="46"/>
      <c r="O637" s="46"/>
      <c r="P637" s="46"/>
      <c r="Q637" s="46"/>
      <c r="R637" s="46"/>
      <c r="S637" s="46"/>
      <c r="T637" s="46"/>
      <c r="U637" s="46"/>
      <c r="V637" s="46"/>
      <c r="W637" s="46"/>
    </row>
    <row r="638">
      <c r="A638" s="44"/>
      <c r="B638" s="44"/>
      <c r="C638" s="30"/>
      <c r="D638" s="30"/>
      <c r="E638" s="55"/>
      <c r="F638" s="55"/>
      <c r="G638" s="55"/>
      <c r="H638" s="55"/>
      <c r="I638" s="56"/>
      <c r="J638" s="46"/>
      <c r="K638" s="46"/>
      <c r="L638" s="46"/>
      <c r="M638" s="46"/>
      <c r="N638" s="46"/>
      <c r="O638" s="46"/>
      <c r="P638" s="46"/>
      <c r="Q638" s="46"/>
      <c r="R638" s="46"/>
      <c r="S638" s="46"/>
      <c r="T638" s="46"/>
      <c r="U638" s="46"/>
      <c r="V638" s="46"/>
      <c r="W638" s="46"/>
    </row>
    <row r="639">
      <c r="A639" s="44"/>
      <c r="B639" s="44"/>
      <c r="C639" s="30"/>
      <c r="D639" s="30"/>
      <c r="E639" s="55"/>
      <c r="F639" s="55"/>
      <c r="G639" s="55"/>
      <c r="H639" s="55"/>
      <c r="I639" s="56"/>
      <c r="J639" s="46"/>
      <c r="K639" s="46"/>
      <c r="L639" s="46"/>
      <c r="M639" s="46"/>
      <c r="N639" s="46"/>
      <c r="O639" s="46"/>
      <c r="P639" s="46"/>
      <c r="Q639" s="46"/>
      <c r="R639" s="46"/>
      <c r="S639" s="46"/>
      <c r="T639" s="46"/>
      <c r="U639" s="46"/>
      <c r="V639" s="46"/>
      <c r="W639" s="46"/>
    </row>
    <row r="640">
      <c r="A640" s="44"/>
      <c r="B640" s="44"/>
      <c r="C640" s="30"/>
      <c r="D640" s="30"/>
      <c r="E640" s="55"/>
      <c r="F640" s="55"/>
      <c r="G640" s="55"/>
      <c r="H640" s="55"/>
      <c r="I640" s="56"/>
      <c r="J640" s="46"/>
      <c r="K640" s="46"/>
      <c r="L640" s="46"/>
      <c r="M640" s="46"/>
      <c r="N640" s="46"/>
      <c r="O640" s="46"/>
      <c r="P640" s="46"/>
      <c r="Q640" s="46"/>
      <c r="R640" s="46"/>
      <c r="S640" s="46"/>
      <c r="T640" s="46"/>
      <c r="U640" s="46"/>
      <c r="V640" s="46"/>
      <c r="W640" s="46"/>
    </row>
    <row r="641">
      <c r="A641" s="44"/>
      <c r="B641" s="44"/>
      <c r="C641" s="30"/>
      <c r="D641" s="30"/>
      <c r="E641" s="55"/>
      <c r="F641" s="55"/>
      <c r="G641" s="55"/>
      <c r="H641" s="55"/>
      <c r="I641" s="56"/>
      <c r="J641" s="46"/>
      <c r="K641" s="46"/>
      <c r="L641" s="46"/>
      <c r="M641" s="46"/>
      <c r="N641" s="46"/>
      <c r="O641" s="46"/>
      <c r="P641" s="46"/>
      <c r="Q641" s="46"/>
      <c r="R641" s="46"/>
      <c r="S641" s="46"/>
      <c r="T641" s="46"/>
      <c r="U641" s="46"/>
      <c r="V641" s="46"/>
      <c r="W641" s="46"/>
    </row>
    <row r="642">
      <c r="A642" s="44"/>
      <c r="B642" s="44"/>
      <c r="C642" s="30"/>
      <c r="D642" s="30"/>
      <c r="E642" s="55"/>
      <c r="F642" s="55"/>
      <c r="G642" s="55"/>
      <c r="H642" s="55"/>
      <c r="I642" s="56"/>
      <c r="J642" s="46"/>
      <c r="K642" s="46"/>
      <c r="L642" s="46"/>
      <c r="M642" s="46"/>
      <c r="N642" s="46"/>
      <c r="O642" s="46"/>
      <c r="P642" s="46"/>
      <c r="Q642" s="46"/>
      <c r="R642" s="46"/>
      <c r="S642" s="46"/>
      <c r="T642" s="46"/>
      <c r="U642" s="46"/>
      <c r="V642" s="46"/>
      <c r="W642" s="46"/>
    </row>
    <row r="643">
      <c r="A643" s="44"/>
      <c r="B643" s="44"/>
      <c r="C643" s="30"/>
      <c r="D643" s="30"/>
      <c r="E643" s="55"/>
      <c r="F643" s="55"/>
      <c r="G643" s="55"/>
      <c r="H643" s="55"/>
      <c r="I643" s="56"/>
      <c r="J643" s="46"/>
      <c r="K643" s="46"/>
      <c r="L643" s="46"/>
      <c r="M643" s="46"/>
      <c r="N643" s="46"/>
      <c r="O643" s="46"/>
      <c r="P643" s="46"/>
      <c r="Q643" s="46"/>
      <c r="R643" s="46"/>
      <c r="S643" s="46"/>
      <c r="T643" s="46"/>
      <c r="U643" s="46"/>
      <c r="V643" s="46"/>
      <c r="W643" s="46"/>
    </row>
    <row r="644">
      <c r="A644" s="44"/>
      <c r="B644" s="44"/>
      <c r="C644" s="30"/>
      <c r="D644" s="30"/>
      <c r="E644" s="55"/>
      <c r="F644" s="55"/>
      <c r="G644" s="55"/>
      <c r="H644" s="55"/>
      <c r="I644" s="56"/>
      <c r="J644" s="46"/>
      <c r="K644" s="46"/>
      <c r="L644" s="46"/>
      <c r="M644" s="46"/>
      <c r="N644" s="46"/>
      <c r="O644" s="46"/>
      <c r="P644" s="46"/>
      <c r="Q644" s="46"/>
      <c r="R644" s="46"/>
      <c r="S644" s="46"/>
      <c r="T644" s="46"/>
      <c r="U644" s="46"/>
      <c r="V644" s="46"/>
      <c r="W644" s="46"/>
    </row>
    <row r="645">
      <c r="A645" s="44"/>
      <c r="B645" s="44"/>
      <c r="C645" s="30"/>
      <c r="D645" s="30"/>
      <c r="E645" s="55"/>
      <c r="F645" s="55"/>
      <c r="G645" s="55"/>
      <c r="H645" s="55"/>
      <c r="I645" s="56"/>
      <c r="J645" s="46"/>
      <c r="K645" s="46"/>
      <c r="L645" s="46"/>
      <c r="M645" s="46"/>
      <c r="N645" s="46"/>
      <c r="O645" s="46"/>
      <c r="P645" s="46"/>
      <c r="Q645" s="46"/>
      <c r="R645" s="46"/>
      <c r="S645" s="46"/>
      <c r="T645" s="46"/>
      <c r="U645" s="46"/>
      <c r="V645" s="46"/>
      <c r="W645" s="46"/>
    </row>
    <row r="646">
      <c r="A646" s="44"/>
      <c r="B646" s="44"/>
      <c r="C646" s="30"/>
      <c r="D646" s="30"/>
      <c r="E646" s="55"/>
      <c r="F646" s="55"/>
      <c r="G646" s="55"/>
      <c r="H646" s="55"/>
      <c r="I646" s="56"/>
      <c r="J646" s="46"/>
      <c r="K646" s="46"/>
      <c r="L646" s="46"/>
      <c r="M646" s="46"/>
      <c r="N646" s="46"/>
      <c r="O646" s="46"/>
      <c r="P646" s="46"/>
      <c r="Q646" s="46"/>
      <c r="R646" s="46"/>
      <c r="S646" s="46"/>
      <c r="T646" s="46"/>
      <c r="U646" s="46"/>
      <c r="V646" s="46"/>
      <c r="W646" s="46"/>
    </row>
    <row r="647">
      <c r="A647" s="44"/>
      <c r="B647" s="44"/>
      <c r="C647" s="30"/>
      <c r="D647" s="30"/>
      <c r="E647" s="55"/>
      <c r="F647" s="55"/>
      <c r="G647" s="55"/>
      <c r="H647" s="55"/>
      <c r="I647" s="56"/>
      <c r="J647" s="46"/>
      <c r="K647" s="46"/>
      <c r="L647" s="46"/>
      <c r="M647" s="46"/>
      <c r="N647" s="46"/>
      <c r="O647" s="46"/>
      <c r="P647" s="46"/>
      <c r="Q647" s="46"/>
      <c r="R647" s="46"/>
      <c r="S647" s="46"/>
      <c r="T647" s="46"/>
      <c r="U647" s="46"/>
      <c r="V647" s="46"/>
      <c r="W647" s="46"/>
    </row>
    <row r="648">
      <c r="A648" s="44"/>
      <c r="B648" s="44"/>
      <c r="C648" s="30"/>
      <c r="D648" s="30"/>
      <c r="E648" s="55"/>
      <c r="F648" s="55"/>
      <c r="G648" s="55"/>
      <c r="H648" s="55"/>
      <c r="I648" s="56"/>
      <c r="J648" s="46"/>
      <c r="K648" s="46"/>
      <c r="L648" s="46"/>
      <c r="M648" s="46"/>
      <c r="N648" s="46"/>
      <c r="O648" s="46"/>
      <c r="P648" s="46"/>
      <c r="Q648" s="46"/>
      <c r="R648" s="46"/>
      <c r="S648" s="46"/>
      <c r="T648" s="46"/>
      <c r="U648" s="46"/>
      <c r="V648" s="46"/>
      <c r="W648" s="46"/>
    </row>
    <row r="649">
      <c r="A649" s="44"/>
      <c r="B649" s="44"/>
      <c r="C649" s="30"/>
      <c r="D649" s="30"/>
      <c r="E649" s="55"/>
      <c r="F649" s="55"/>
      <c r="G649" s="55"/>
      <c r="H649" s="55"/>
      <c r="I649" s="56"/>
      <c r="J649" s="46"/>
      <c r="K649" s="46"/>
      <c r="L649" s="46"/>
      <c r="M649" s="46"/>
      <c r="N649" s="46"/>
      <c r="O649" s="46"/>
      <c r="P649" s="46"/>
      <c r="Q649" s="46"/>
      <c r="R649" s="46"/>
      <c r="S649" s="46"/>
      <c r="T649" s="46"/>
      <c r="U649" s="46"/>
      <c r="V649" s="46"/>
      <c r="W649" s="46"/>
    </row>
    <row r="650">
      <c r="A650" s="44"/>
      <c r="B650" s="44"/>
      <c r="C650" s="30"/>
      <c r="D650" s="30"/>
      <c r="E650" s="55"/>
      <c r="F650" s="55"/>
      <c r="G650" s="55"/>
      <c r="H650" s="55"/>
      <c r="I650" s="56"/>
      <c r="J650" s="46"/>
      <c r="K650" s="46"/>
      <c r="L650" s="46"/>
      <c r="M650" s="46"/>
      <c r="N650" s="46"/>
      <c r="O650" s="46"/>
      <c r="P650" s="46"/>
      <c r="Q650" s="46"/>
      <c r="R650" s="46"/>
      <c r="S650" s="46"/>
      <c r="T650" s="46"/>
      <c r="U650" s="46"/>
      <c r="V650" s="46"/>
      <c r="W650" s="46"/>
    </row>
    <row r="651">
      <c r="A651" s="44"/>
      <c r="B651" s="44"/>
      <c r="C651" s="30"/>
      <c r="D651" s="30"/>
      <c r="E651" s="55"/>
      <c r="F651" s="55"/>
      <c r="G651" s="55"/>
      <c r="H651" s="55"/>
      <c r="I651" s="56"/>
      <c r="J651" s="46"/>
      <c r="K651" s="46"/>
      <c r="L651" s="46"/>
      <c r="M651" s="46"/>
      <c r="N651" s="46"/>
      <c r="O651" s="46"/>
      <c r="P651" s="46"/>
      <c r="Q651" s="46"/>
      <c r="R651" s="46"/>
      <c r="S651" s="46"/>
      <c r="T651" s="46"/>
      <c r="U651" s="46"/>
      <c r="V651" s="46"/>
      <c r="W651" s="46"/>
    </row>
    <row r="652">
      <c r="A652" s="44"/>
      <c r="B652" s="44"/>
      <c r="C652" s="30"/>
      <c r="D652" s="30"/>
      <c r="E652" s="55"/>
      <c r="F652" s="55"/>
      <c r="G652" s="55"/>
      <c r="H652" s="55"/>
      <c r="I652" s="56"/>
      <c r="J652" s="46"/>
      <c r="K652" s="46"/>
      <c r="L652" s="46"/>
      <c r="M652" s="46"/>
      <c r="N652" s="46"/>
      <c r="O652" s="46"/>
      <c r="P652" s="46"/>
      <c r="Q652" s="46"/>
      <c r="R652" s="46"/>
      <c r="S652" s="46"/>
      <c r="T652" s="46"/>
      <c r="U652" s="46"/>
      <c r="V652" s="46"/>
      <c r="W652" s="46"/>
    </row>
    <row r="653">
      <c r="A653" s="44"/>
      <c r="B653" s="44"/>
      <c r="C653" s="30"/>
      <c r="D653" s="30"/>
      <c r="E653" s="55"/>
      <c r="F653" s="55"/>
      <c r="G653" s="55"/>
      <c r="H653" s="55"/>
      <c r="I653" s="56"/>
      <c r="J653" s="46"/>
      <c r="K653" s="46"/>
      <c r="L653" s="46"/>
      <c r="M653" s="46"/>
      <c r="N653" s="46"/>
      <c r="O653" s="46"/>
      <c r="P653" s="46"/>
      <c r="Q653" s="46"/>
      <c r="R653" s="46"/>
      <c r="S653" s="46"/>
      <c r="T653" s="46"/>
      <c r="U653" s="46"/>
      <c r="V653" s="46"/>
      <c r="W653" s="46"/>
    </row>
    <row r="654">
      <c r="A654" s="44"/>
      <c r="B654" s="44"/>
      <c r="C654" s="30"/>
      <c r="D654" s="30"/>
      <c r="E654" s="55"/>
      <c r="F654" s="55"/>
      <c r="G654" s="55"/>
      <c r="H654" s="55"/>
      <c r="I654" s="56"/>
      <c r="J654" s="46"/>
      <c r="K654" s="46"/>
      <c r="L654" s="46"/>
      <c r="M654" s="46"/>
      <c r="N654" s="46"/>
      <c r="O654" s="46"/>
      <c r="P654" s="46"/>
      <c r="Q654" s="46"/>
      <c r="R654" s="46"/>
      <c r="S654" s="46"/>
      <c r="T654" s="46"/>
      <c r="U654" s="46"/>
      <c r="V654" s="46"/>
      <c r="W654" s="46"/>
    </row>
    <row r="655">
      <c r="A655" s="44"/>
      <c r="B655" s="44"/>
      <c r="C655" s="30"/>
      <c r="D655" s="30"/>
      <c r="E655" s="55"/>
      <c r="F655" s="55"/>
      <c r="G655" s="55"/>
      <c r="H655" s="55"/>
      <c r="I655" s="56"/>
      <c r="J655" s="46"/>
      <c r="K655" s="46"/>
      <c r="L655" s="46"/>
      <c r="M655" s="46"/>
      <c r="N655" s="46"/>
      <c r="O655" s="46"/>
      <c r="P655" s="46"/>
      <c r="Q655" s="46"/>
      <c r="R655" s="46"/>
      <c r="S655" s="46"/>
      <c r="T655" s="46"/>
      <c r="U655" s="46"/>
      <c r="V655" s="46"/>
      <c r="W655" s="46"/>
    </row>
    <row r="656">
      <c r="A656" s="44"/>
      <c r="B656" s="44"/>
      <c r="C656" s="30"/>
      <c r="D656" s="30"/>
      <c r="E656" s="55"/>
      <c r="F656" s="55"/>
      <c r="G656" s="55"/>
      <c r="H656" s="55"/>
      <c r="I656" s="56"/>
      <c r="J656" s="46"/>
      <c r="K656" s="46"/>
      <c r="L656" s="46"/>
      <c r="M656" s="46"/>
      <c r="N656" s="46"/>
      <c r="O656" s="46"/>
      <c r="P656" s="46"/>
      <c r="Q656" s="46"/>
      <c r="R656" s="46"/>
      <c r="S656" s="46"/>
      <c r="T656" s="46"/>
      <c r="U656" s="46"/>
      <c r="V656" s="46"/>
      <c r="W656" s="46"/>
    </row>
    <row r="657">
      <c r="A657" s="44"/>
      <c r="B657" s="44"/>
      <c r="C657" s="30"/>
      <c r="D657" s="30"/>
      <c r="E657" s="55"/>
      <c r="F657" s="55"/>
      <c r="G657" s="55"/>
      <c r="H657" s="55"/>
      <c r="I657" s="56"/>
      <c r="J657" s="46"/>
      <c r="K657" s="46"/>
      <c r="L657" s="46"/>
      <c r="M657" s="46"/>
      <c r="N657" s="46"/>
      <c r="O657" s="46"/>
      <c r="P657" s="46"/>
      <c r="Q657" s="46"/>
      <c r="R657" s="46"/>
      <c r="S657" s="46"/>
      <c r="T657" s="46"/>
      <c r="U657" s="46"/>
      <c r="V657" s="46"/>
      <c r="W657" s="46"/>
    </row>
    <row r="658">
      <c r="A658" s="44"/>
      <c r="B658" s="44"/>
      <c r="C658" s="30"/>
      <c r="D658" s="30"/>
      <c r="E658" s="55"/>
      <c r="F658" s="55"/>
      <c r="G658" s="55"/>
      <c r="H658" s="55"/>
      <c r="I658" s="56"/>
      <c r="J658" s="46"/>
      <c r="K658" s="46"/>
      <c r="L658" s="46"/>
      <c r="M658" s="46"/>
      <c r="N658" s="46"/>
      <c r="O658" s="46"/>
      <c r="P658" s="46"/>
      <c r="Q658" s="46"/>
      <c r="R658" s="46"/>
      <c r="S658" s="46"/>
      <c r="T658" s="46"/>
      <c r="U658" s="46"/>
      <c r="V658" s="46"/>
      <c r="W658" s="46"/>
    </row>
    <row r="659">
      <c r="A659" s="44"/>
      <c r="B659" s="44"/>
      <c r="C659" s="30"/>
      <c r="D659" s="30"/>
      <c r="E659" s="55"/>
      <c r="F659" s="55"/>
      <c r="G659" s="55"/>
      <c r="H659" s="55"/>
      <c r="I659" s="56"/>
      <c r="J659" s="46"/>
      <c r="K659" s="46"/>
      <c r="L659" s="46"/>
      <c r="M659" s="46"/>
      <c r="N659" s="46"/>
      <c r="O659" s="46"/>
      <c r="P659" s="46"/>
      <c r="Q659" s="46"/>
      <c r="R659" s="46"/>
      <c r="S659" s="46"/>
      <c r="T659" s="46"/>
      <c r="U659" s="46"/>
      <c r="V659" s="46"/>
      <c r="W659" s="46"/>
    </row>
    <row r="660">
      <c r="A660" s="44"/>
      <c r="B660" s="44"/>
      <c r="C660" s="30"/>
      <c r="D660" s="30"/>
      <c r="E660" s="55"/>
      <c r="F660" s="55"/>
      <c r="G660" s="55"/>
      <c r="H660" s="55"/>
      <c r="I660" s="56"/>
      <c r="J660" s="46"/>
      <c r="K660" s="46"/>
      <c r="L660" s="46"/>
      <c r="M660" s="46"/>
      <c r="N660" s="46"/>
      <c r="O660" s="46"/>
      <c r="P660" s="46"/>
      <c r="Q660" s="46"/>
      <c r="R660" s="46"/>
      <c r="S660" s="46"/>
      <c r="T660" s="46"/>
      <c r="U660" s="46"/>
      <c r="V660" s="46"/>
      <c r="W660" s="46"/>
    </row>
    <row r="661">
      <c r="A661" s="44"/>
      <c r="B661" s="44"/>
      <c r="C661" s="30"/>
      <c r="D661" s="30"/>
      <c r="E661" s="55"/>
      <c r="F661" s="55"/>
      <c r="G661" s="55"/>
      <c r="H661" s="55"/>
      <c r="I661" s="56"/>
      <c r="J661" s="46"/>
      <c r="K661" s="46"/>
      <c r="L661" s="46"/>
      <c r="M661" s="46"/>
      <c r="N661" s="46"/>
      <c r="O661" s="46"/>
      <c r="P661" s="46"/>
      <c r="Q661" s="46"/>
      <c r="R661" s="46"/>
      <c r="S661" s="46"/>
      <c r="T661" s="46"/>
      <c r="U661" s="46"/>
      <c r="V661" s="46"/>
      <c r="W661" s="46"/>
    </row>
    <row r="662">
      <c r="A662" s="44"/>
      <c r="B662" s="44"/>
      <c r="C662" s="30"/>
      <c r="D662" s="30"/>
      <c r="E662" s="55"/>
      <c r="F662" s="55"/>
      <c r="G662" s="55"/>
      <c r="H662" s="55"/>
      <c r="I662" s="56"/>
      <c r="J662" s="46"/>
      <c r="K662" s="46"/>
      <c r="L662" s="46"/>
      <c r="M662" s="46"/>
      <c r="N662" s="46"/>
      <c r="O662" s="46"/>
      <c r="P662" s="46"/>
      <c r="Q662" s="46"/>
      <c r="R662" s="46"/>
      <c r="S662" s="46"/>
      <c r="T662" s="46"/>
      <c r="U662" s="46"/>
      <c r="V662" s="46"/>
      <c r="W662" s="46"/>
    </row>
    <row r="663">
      <c r="A663" s="44"/>
      <c r="B663" s="44"/>
      <c r="C663" s="30"/>
      <c r="D663" s="30"/>
      <c r="E663" s="55"/>
      <c r="F663" s="55"/>
      <c r="G663" s="55"/>
      <c r="H663" s="55"/>
      <c r="I663" s="56"/>
      <c r="J663" s="46"/>
      <c r="K663" s="46"/>
      <c r="L663" s="46"/>
      <c r="M663" s="46"/>
      <c r="N663" s="46"/>
      <c r="O663" s="46"/>
      <c r="P663" s="46"/>
      <c r="Q663" s="46"/>
      <c r="R663" s="46"/>
      <c r="S663" s="46"/>
      <c r="T663" s="46"/>
      <c r="U663" s="46"/>
      <c r="V663" s="46"/>
      <c r="W663" s="46"/>
    </row>
    <row r="664">
      <c r="A664" s="44"/>
      <c r="B664" s="44"/>
      <c r="C664" s="30"/>
      <c r="D664" s="30"/>
      <c r="E664" s="55"/>
      <c r="F664" s="55"/>
      <c r="G664" s="55"/>
      <c r="H664" s="55"/>
      <c r="I664" s="56"/>
      <c r="J664" s="46"/>
      <c r="K664" s="46"/>
      <c r="L664" s="46"/>
      <c r="M664" s="46"/>
      <c r="N664" s="46"/>
      <c r="O664" s="46"/>
      <c r="P664" s="46"/>
      <c r="Q664" s="46"/>
      <c r="R664" s="46"/>
      <c r="S664" s="46"/>
      <c r="T664" s="46"/>
      <c r="U664" s="46"/>
      <c r="V664" s="46"/>
      <c r="W664" s="46"/>
    </row>
    <row r="665">
      <c r="A665" s="44"/>
      <c r="B665" s="44"/>
      <c r="C665" s="30"/>
      <c r="D665" s="30"/>
      <c r="E665" s="55"/>
      <c r="F665" s="55"/>
      <c r="G665" s="55"/>
      <c r="H665" s="55"/>
      <c r="I665" s="56"/>
      <c r="J665" s="46"/>
      <c r="K665" s="46"/>
      <c r="L665" s="46"/>
      <c r="M665" s="46"/>
      <c r="N665" s="46"/>
      <c r="O665" s="46"/>
      <c r="P665" s="46"/>
      <c r="Q665" s="46"/>
      <c r="R665" s="46"/>
      <c r="S665" s="46"/>
      <c r="T665" s="46"/>
      <c r="U665" s="46"/>
      <c r="V665" s="46"/>
      <c r="W665" s="46"/>
    </row>
    <row r="666">
      <c r="A666" s="44"/>
      <c r="B666" s="44"/>
      <c r="C666" s="30"/>
      <c r="D666" s="30"/>
      <c r="E666" s="55"/>
      <c r="F666" s="55"/>
      <c r="G666" s="55"/>
      <c r="H666" s="55"/>
      <c r="I666" s="56"/>
      <c r="J666" s="46"/>
      <c r="K666" s="46"/>
      <c r="L666" s="46"/>
      <c r="M666" s="46"/>
      <c r="N666" s="46"/>
      <c r="O666" s="46"/>
      <c r="P666" s="46"/>
      <c r="Q666" s="46"/>
      <c r="R666" s="46"/>
      <c r="S666" s="46"/>
      <c r="T666" s="46"/>
      <c r="U666" s="46"/>
      <c r="V666" s="46"/>
      <c r="W666" s="46"/>
    </row>
    <row r="667">
      <c r="A667" s="44"/>
      <c r="B667" s="44"/>
      <c r="C667" s="30"/>
      <c r="D667" s="30"/>
      <c r="E667" s="55"/>
      <c r="F667" s="55"/>
      <c r="G667" s="55"/>
      <c r="H667" s="55"/>
      <c r="I667" s="56"/>
      <c r="J667" s="46"/>
      <c r="K667" s="46"/>
      <c r="L667" s="46"/>
      <c r="M667" s="46"/>
      <c r="N667" s="46"/>
      <c r="O667" s="46"/>
      <c r="P667" s="46"/>
      <c r="Q667" s="46"/>
      <c r="R667" s="46"/>
      <c r="S667" s="46"/>
      <c r="T667" s="46"/>
      <c r="U667" s="46"/>
      <c r="V667" s="46"/>
      <c r="W667" s="46"/>
    </row>
    <row r="668">
      <c r="A668" s="44"/>
      <c r="B668" s="44"/>
      <c r="C668" s="30"/>
      <c r="D668" s="30"/>
      <c r="E668" s="55"/>
      <c r="F668" s="55"/>
      <c r="G668" s="55"/>
      <c r="H668" s="55"/>
      <c r="I668" s="56"/>
      <c r="J668" s="46"/>
      <c r="K668" s="46"/>
      <c r="L668" s="46"/>
      <c r="M668" s="46"/>
      <c r="N668" s="46"/>
      <c r="O668" s="46"/>
      <c r="P668" s="46"/>
      <c r="Q668" s="46"/>
      <c r="R668" s="46"/>
      <c r="S668" s="46"/>
      <c r="T668" s="46"/>
      <c r="U668" s="46"/>
      <c r="V668" s="46"/>
      <c r="W668" s="46"/>
    </row>
    <row r="669">
      <c r="A669" s="44"/>
      <c r="B669" s="44"/>
      <c r="C669" s="30"/>
      <c r="D669" s="30"/>
      <c r="E669" s="55"/>
      <c r="F669" s="55"/>
      <c r="G669" s="55"/>
      <c r="H669" s="55"/>
      <c r="I669" s="56"/>
      <c r="J669" s="46"/>
      <c r="K669" s="46"/>
      <c r="L669" s="46"/>
      <c r="M669" s="46"/>
      <c r="N669" s="46"/>
      <c r="O669" s="46"/>
      <c r="P669" s="46"/>
      <c r="Q669" s="46"/>
      <c r="R669" s="46"/>
      <c r="S669" s="46"/>
      <c r="T669" s="46"/>
      <c r="U669" s="46"/>
      <c r="V669" s="46"/>
      <c r="W669" s="46"/>
    </row>
    <row r="670">
      <c r="A670" s="44"/>
      <c r="B670" s="44"/>
      <c r="C670" s="30"/>
      <c r="D670" s="30"/>
      <c r="E670" s="55"/>
      <c r="F670" s="55"/>
      <c r="G670" s="55"/>
      <c r="H670" s="55"/>
      <c r="I670" s="56"/>
      <c r="J670" s="46"/>
      <c r="K670" s="46"/>
      <c r="L670" s="46"/>
      <c r="M670" s="46"/>
      <c r="N670" s="46"/>
      <c r="O670" s="46"/>
      <c r="P670" s="46"/>
      <c r="Q670" s="46"/>
      <c r="R670" s="46"/>
      <c r="S670" s="46"/>
      <c r="T670" s="46"/>
      <c r="U670" s="46"/>
      <c r="V670" s="46"/>
      <c r="W670" s="46"/>
    </row>
    <row r="671">
      <c r="A671" s="44"/>
      <c r="B671" s="44"/>
      <c r="C671" s="30"/>
      <c r="D671" s="30"/>
      <c r="E671" s="55"/>
      <c r="F671" s="55"/>
      <c r="G671" s="55"/>
      <c r="H671" s="55"/>
      <c r="I671" s="56"/>
      <c r="J671" s="46"/>
      <c r="K671" s="46"/>
      <c r="L671" s="46"/>
      <c r="M671" s="46"/>
      <c r="N671" s="46"/>
      <c r="O671" s="46"/>
      <c r="P671" s="46"/>
      <c r="Q671" s="46"/>
      <c r="R671" s="46"/>
      <c r="S671" s="46"/>
      <c r="T671" s="46"/>
      <c r="U671" s="46"/>
      <c r="V671" s="46"/>
      <c r="W671" s="46"/>
    </row>
    <row r="672">
      <c r="A672" s="44"/>
      <c r="B672" s="44"/>
      <c r="C672" s="30"/>
      <c r="D672" s="30"/>
      <c r="E672" s="55"/>
      <c r="F672" s="55"/>
      <c r="G672" s="55"/>
      <c r="H672" s="55"/>
      <c r="I672" s="56"/>
      <c r="J672" s="46"/>
      <c r="K672" s="46"/>
      <c r="L672" s="46"/>
      <c r="M672" s="46"/>
      <c r="N672" s="46"/>
      <c r="O672" s="46"/>
      <c r="P672" s="46"/>
      <c r="Q672" s="46"/>
      <c r="R672" s="46"/>
      <c r="S672" s="46"/>
      <c r="T672" s="46"/>
      <c r="U672" s="46"/>
      <c r="V672" s="46"/>
      <c r="W672" s="46"/>
    </row>
    <row r="673">
      <c r="A673" s="44"/>
      <c r="B673" s="44"/>
      <c r="C673" s="30"/>
      <c r="D673" s="30"/>
      <c r="E673" s="55"/>
      <c r="F673" s="55"/>
      <c r="G673" s="55"/>
      <c r="H673" s="55"/>
      <c r="I673" s="56"/>
      <c r="J673" s="46"/>
      <c r="K673" s="46"/>
      <c r="L673" s="46"/>
      <c r="M673" s="46"/>
      <c r="N673" s="46"/>
      <c r="O673" s="46"/>
      <c r="P673" s="46"/>
      <c r="Q673" s="46"/>
      <c r="R673" s="46"/>
      <c r="S673" s="46"/>
      <c r="T673" s="46"/>
      <c r="U673" s="46"/>
      <c r="V673" s="46"/>
      <c r="W673" s="46"/>
    </row>
    <row r="674">
      <c r="A674" s="44"/>
      <c r="B674" s="44"/>
      <c r="C674" s="30"/>
      <c r="D674" s="30"/>
      <c r="E674" s="55"/>
      <c r="F674" s="55"/>
      <c r="G674" s="55"/>
      <c r="H674" s="55"/>
      <c r="I674" s="56"/>
      <c r="J674" s="46"/>
      <c r="K674" s="46"/>
      <c r="L674" s="46"/>
      <c r="M674" s="46"/>
      <c r="N674" s="46"/>
      <c r="O674" s="46"/>
      <c r="P674" s="46"/>
      <c r="Q674" s="46"/>
      <c r="R674" s="46"/>
      <c r="S674" s="46"/>
      <c r="T674" s="46"/>
      <c r="U674" s="46"/>
      <c r="V674" s="46"/>
      <c r="W674" s="46"/>
    </row>
    <row r="675">
      <c r="A675" s="44"/>
      <c r="B675" s="44"/>
      <c r="C675" s="30"/>
      <c r="D675" s="30"/>
      <c r="E675" s="55"/>
      <c r="F675" s="55"/>
      <c r="G675" s="55"/>
      <c r="H675" s="55"/>
      <c r="I675" s="56"/>
      <c r="J675" s="46"/>
      <c r="K675" s="46"/>
      <c r="L675" s="46"/>
      <c r="M675" s="46"/>
      <c r="N675" s="46"/>
      <c r="O675" s="46"/>
      <c r="P675" s="46"/>
      <c r="Q675" s="46"/>
      <c r="R675" s="46"/>
      <c r="S675" s="46"/>
      <c r="T675" s="46"/>
      <c r="U675" s="46"/>
      <c r="V675" s="46"/>
      <c r="W675" s="46"/>
    </row>
    <row r="676">
      <c r="A676" s="44"/>
      <c r="B676" s="44"/>
      <c r="C676" s="30"/>
      <c r="D676" s="30"/>
      <c r="E676" s="55"/>
      <c r="F676" s="55"/>
      <c r="G676" s="55"/>
      <c r="H676" s="55"/>
      <c r="I676" s="56"/>
      <c r="J676" s="46"/>
      <c r="K676" s="46"/>
      <c r="L676" s="46"/>
      <c r="M676" s="46"/>
      <c r="N676" s="46"/>
      <c r="O676" s="46"/>
      <c r="P676" s="46"/>
      <c r="Q676" s="46"/>
      <c r="R676" s="46"/>
      <c r="S676" s="46"/>
      <c r="T676" s="46"/>
      <c r="U676" s="46"/>
      <c r="V676" s="46"/>
      <c r="W676" s="46"/>
    </row>
    <row r="677">
      <c r="A677" s="44"/>
      <c r="B677" s="44"/>
      <c r="C677" s="30"/>
      <c r="D677" s="30"/>
      <c r="E677" s="55"/>
      <c r="F677" s="55"/>
      <c r="G677" s="55"/>
      <c r="H677" s="55"/>
      <c r="I677" s="56"/>
      <c r="J677" s="46"/>
      <c r="K677" s="46"/>
      <c r="L677" s="46"/>
      <c r="M677" s="46"/>
      <c r="N677" s="46"/>
      <c r="O677" s="46"/>
      <c r="P677" s="46"/>
      <c r="Q677" s="46"/>
      <c r="R677" s="46"/>
      <c r="S677" s="46"/>
      <c r="T677" s="46"/>
      <c r="U677" s="46"/>
      <c r="V677" s="46"/>
      <c r="W677" s="46"/>
    </row>
    <row r="678">
      <c r="A678" s="44"/>
      <c r="B678" s="44"/>
      <c r="C678" s="30"/>
      <c r="D678" s="30"/>
      <c r="E678" s="55"/>
      <c r="F678" s="55"/>
      <c r="G678" s="55"/>
      <c r="H678" s="55"/>
      <c r="I678" s="56"/>
      <c r="J678" s="46"/>
      <c r="K678" s="46"/>
      <c r="L678" s="46"/>
      <c r="M678" s="46"/>
      <c r="N678" s="46"/>
      <c r="O678" s="46"/>
      <c r="P678" s="46"/>
      <c r="Q678" s="46"/>
      <c r="R678" s="46"/>
      <c r="S678" s="46"/>
      <c r="T678" s="46"/>
      <c r="U678" s="46"/>
      <c r="V678" s="46"/>
      <c r="W678" s="46"/>
    </row>
    <row r="679">
      <c r="A679" s="44"/>
      <c r="B679" s="44"/>
      <c r="C679" s="30"/>
      <c r="D679" s="30"/>
      <c r="E679" s="55"/>
      <c r="F679" s="55"/>
      <c r="G679" s="55"/>
      <c r="H679" s="55"/>
      <c r="I679" s="56"/>
      <c r="J679" s="46"/>
      <c r="K679" s="46"/>
      <c r="L679" s="46"/>
      <c r="M679" s="46"/>
      <c r="N679" s="46"/>
      <c r="O679" s="46"/>
      <c r="P679" s="46"/>
      <c r="Q679" s="46"/>
      <c r="R679" s="46"/>
      <c r="S679" s="46"/>
      <c r="T679" s="46"/>
      <c r="U679" s="46"/>
      <c r="V679" s="46"/>
      <c r="W679" s="46"/>
    </row>
    <row r="680">
      <c r="A680" s="44"/>
      <c r="B680" s="44"/>
      <c r="C680" s="30"/>
      <c r="D680" s="30"/>
      <c r="E680" s="55"/>
      <c r="F680" s="55"/>
      <c r="G680" s="55"/>
      <c r="H680" s="55"/>
      <c r="I680" s="56"/>
      <c r="J680" s="46"/>
      <c r="K680" s="46"/>
      <c r="L680" s="46"/>
      <c r="M680" s="46"/>
      <c r="N680" s="46"/>
      <c r="O680" s="46"/>
      <c r="P680" s="46"/>
      <c r="Q680" s="46"/>
      <c r="R680" s="46"/>
      <c r="S680" s="46"/>
      <c r="T680" s="46"/>
      <c r="U680" s="46"/>
      <c r="V680" s="46"/>
      <c r="W680" s="46"/>
    </row>
    <row r="681">
      <c r="A681" s="44"/>
      <c r="B681" s="44"/>
      <c r="C681" s="30"/>
      <c r="D681" s="30"/>
      <c r="E681" s="55"/>
      <c r="F681" s="55"/>
      <c r="G681" s="55"/>
      <c r="H681" s="55"/>
      <c r="I681" s="56"/>
      <c r="J681" s="46"/>
      <c r="K681" s="46"/>
      <c r="L681" s="46"/>
      <c r="M681" s="46"/>
      <c r="N681" s="46"/>
      <c r="O681" s="46"/>
      <c r="P681" s="46"/>
      <c r="Q681" s="46"/>
      <c r="R681" s="46"/>
      <c r="S681" s="46"/>
      <c r="T681" s="46"/>
      <c r="U681" s="46"/>
      <c r="V681" s="46"/>
      <c r="W681" s="46"/>
    </row>
    <row r="682">
      <c r="A682" s="44"/>
      <c r="B682" s="44"/>
      <c r="C682" s="30"/>
      <c r="D682" s="30"/>
      <c r="E682" s="55"/>
      <c r="F682" s="55"/>
      <c r="G682" s="55"/>
      <c r="H682" s="55"/>
      <c r="I682" s="56"/>
      <c r="J682" s="46"/>
      <c r="K682" s="46"/>
      <c r="L682" s="46"/>
      <c r="M682" s="46"/>
      <c r="N682" s="46"/>
      <c r="O682" s="46"/>
      <c r="P682" s="46"/>
      <c r="Q682" s="46"/>
      <c r="R682" s="46"/>
      <c r="S682" s="46"/>
      <c r="T682" s="46"/>
      <c r="U682" s="46"/>
      <c r="V682" s="46"/>
      <c r="W682" s="46"/>
    </row>
    <row r="683">
      <c r="A683" s="44"/>
      <c r="B683" s="44"/>
      <c r="C683" s="30"/>
      <c r="D683" s="30"/>
      <c r="E683" s="55"/>
      <c r="F683" s="55"/>
      <c r="G683" s="55"/>
      <c r="H683" s="55"/>
      <c r="I683" s="56"/>
      <c r="J683" s="46"/>
      <c r="K683" s="46"/>
      <c r="L683" s="46"/>
      <c r="M683" s="46"/>
      <c r="N683" s="46"/>
      <c r="O683" s="46"/>
      <c r="P683" s="46"/>
      <c r="Q683" s="46"/>
      <c r="R683" s="46"/>
      <c r="S683" s="46"/>
      <c r="T683" s="46"/>
      <c r="U683" s="46"/>
      <c r="V683" s="46"/>
      <c r="W683" s="46"/>
    </row>
    <row r="684">
      <c r="A684" s="44"/>
      <c r="B684" s="44"/>
      <c r="C684" s="30"/>
      <c r="D684" s="30"/>
      <c r="E684" s="55"/>
      <c r="F684" s="55"/>
      <c r="G684" s="55"/>
      <c r="H684" s="55"/>
      <c r="I684" s="56"/>
      <c r="J684" s="46"/>
      <c r="K684" s="46"/>
      <c r="L684" s="46"/>
      <c r="M684" s="46"/>
      <c r="N684" s="46"/>
      <c r="O684" s="46"/>
      <c r="P684" s="46"/>
      <c r="Q684" s="46"/>
      <c r="R684" s="46"/>
      <c r="S684" s="46"/>
      <c r="T684" s="46"/>
      <c r="U684" s="46"/>
      <c r="V684" s="46"/>
      <c r="W684" s="46"/>
    </row>
    <row r="685">
      <c r="A685" s="44"/>
      <c r="B685" s="44"/>
      <c r="C685" s="30"/>
      <c r="D685" s="30"/>
      <c r="E685" s="55"/>
      <c r="F685" s="55"/>
      <c r="G685" s="55"/>
      <c r="H685" s="55"/>
      <c r="I685" s="56"/>
      <c r="J685" s="46"/>
      <c r="K685" s="46"/>
      <c r="L685" s="46"/>
      <c r="M685" s="46"/>
      <c r="N685" s="46"/>
      <c r="O685" s="46"/>
      <c r="P685" s="46"/>
      <c r="Q685" s="46"/>
      <c r="R685" s="46"/>
      <c r="S685" s="46"/>
      <c r="T685" s="46"/>
      <c r="U685" s="46"/>
      <c r="V685" s="46"/>
      <c r="W685" s="46"/>
    </row>
    <row r="686">
      <c r="A686" s="44"/>
      <c r="B686" s="44"/>
      <c r="C686" s="30"/>
      <c r="D686" s="30"/>
      <c r="E686" s="55"/>
      <c r="F686" s="55"/>
      <c r="G686" s="55"/>
      <c r="H686" s="55"/>
      <c r="I686" s="56"/>
      <c r="J686" s="46"/>
      <c r="K686" s="46"/>
      <c r="L686" s="46"/>
      <c r="M686" s="46"/>
      <c r="N686" s="46"/>
      <c r="O686" s="46"/>
      <c r="P686" s="46"/>
      <c r="Q686" s="46"/>
      <c r="R686" s="46"/>
      <c r="S686" s="46"/>
      <c r="T686" s="46"/>
      <c r="U686" s="46"/>
      <c r="V686" s="46"/>
      <c r="W686" s="46"/>
    </row>
    <row r="687">
      <c r="A687" s="44"/>
      <c r="B687" s="44"/>
      <c r="C687" s="30"/>
      <c r="D687" s="30"/>
      <c r="E687" s="55"/>
      <c r="F687" s="55"/>
      <c r="G687" s="55"/>
      <c r="H687" s="55"/>
      <c r="I687" s="56"/>
      <c r="J687" s="46"/>
      <c r="K687" s="46"/>
      <c r="L687" s="46"/>
      <c r="M687" s="46"/>
      <c r="N687" s="46"/>
      <c r="O687" s="46"/>
      <c r="P687" s="46"/>
      <c r="Q687" s="46"/>
      <c r="R687" s="46"/>
      <c r="S687" s="46"/>
      <c r="T687" s="46"/>
      <c r="U687" s="46"/>
      <c r="V687" s="46"/>
      <c r="W687" s="46"/>
    </row>
    <row r="688">
      <c r="A688" s="44"/>
      <c r="B688" s="44"/>
      <c r="C688" s="30"/>
      <c r="D688" s="30"/>
      <c r="E688" s="55"/>
      <c r="F688" s="55"/>
      <c r="G688" s="55"/>
      <c r="H688" s="55"/>
      <c r="I688" s="56"/>
      <c r="J688" s="46"/>
      <c r="K688" s="46"/>
      <c r="L688" s="46"/>
      <c r="M688" s="46"/>
      <c r="N688" s="46"/>
      <c r="O688" s="46"/>
      <c r="P688" s="46"/>
      <c r="Q688" s="46"/>
      <c r="R688" s="46"/>
      <c r="S688" s="46"/>
      <c r="T688" s="46"/>
      <c r="U688" s="46"/>
      <c r="V688" s="46"/>
      <c r="W688" s="46"/>
    </row>
    <row r="689">
      <c r="A689" s="44"/>
      <c r="B689" s="44"/>
      <c r="C689" s="30"/>
      <c r="D689" s="30"/>
      <c r="E689" s="55"/>
      <c r="F689" s="55"/>
      <c r="G689" s="55"/>
      <c r="H689" s="55"/>
      <c r="I689" s="56"/>
      <c r="J689" s="46"/>
      <c r="K689" s="46"/>
      <c r="L689" s="46"/>
      <c r="M689" s="46"/>
      <c r="N689" s="46"/>
      <c r="O689" s="46"/>
      <c r="P689" s="46"/>
      <c r="Q689" s="46"/>
      <c r="R689" s="46"/>
      <c r="S689" s="46"/>
      <c r="T689" s="46"/>
      <c r="U689" s="46"/>
      <c r="V689" s="46"/>
      <c r="W689" s="46"/>
    </row>
    <row r="690">
      <c r="A690" s="44"/>
      <c r="B690" s="44"/>
      <c r="C690" s="30"/>
      <c r="D690" s="30"/>
      <c r="E690" s="55"/>
      <c r="F690" s="55"/>
      <c r="G690" s="55"/>
      <c r="H690" s="55"/>
      <c r="I690" s="56"/>
      <c r="J690" s="46"/>
      <c r="K690" s="46"/>
      <c r="L690" s="46"/>
      <c r="M690" s="46"/>
      <c r="N690" s="46"/>
      <c r="O690" s="46"/>
      <c r="P690" s="46"/>
      <c r="Q690" s="46"/>
      <c r="R690" s="46"/>
      <c r="S690" s="46"/>
      <c r="T690" s="46"/>
      <c r="U690" s="46"/>
      <c r="V690" s="46"/>
      <c r="W690" s="46"/>
    </row>
    <row r="691">
      <c r="A691" s="44"/>
      <c r="B691" s="44"/>
      <c r="C691" s="30"/>
      <c r="D691" s="30"/>
      <c r="E691" s="55"/>
      <c r="F691" s="55"/>
      <c r="G691" s="55"/>
      <c r="H691" s="55"/>
      <c r="I691" s="56"/>
      <c r="J691" s="46"/>
      <c r="K691" s="46"/>
      <c r="L691" s="46"/>
      <c r="M691" s="46"/>
      <c r="N691" s="46"/>
      <c r="O691" s="46"/>
      <c r="P691" s="46"/>
      <c r="Q691" s="46"/>
      <c r="R691" s="46"/>
      <c r="S691" s="46"/>
      <c r="T691" s="46"/>
      <c r="U691" s="46"/>
      <c r="V691" s="46"/>
      <c r="W691" s="46"/>
    </row>
    <row r="692">
      <c r="A692" s="44"/>
      <c r="B692" s="44"/>
      <c r="C692" s="30"/>
      <c r="D692" s="30"/>
      <c r="E692" s="55"/>
      <c r="F692" s="55"/>
      <c r="G692" s="55"/>
      <c r="H692" s="55"/>
      <c r="I692" s="56"/>
      <c r="J692" s="46"/>
      <c r="K692" s="46"/>
      <c r="L692" s="46"/>
      <c r="M692" s="46"/>
      <c r="N692" s="46"/>
      <c r="O692" s="46"/>
      <c r="P692" s="46"/>
      <c r="Q692" s="46"/>
      <c r="R692" s="46"/>
      <c r="S692" s="46"/>
      <c r="T692" s="46"/>
      <c r="U692" s="46"/>
      <c r="V692" s="46"/>
      <c r="W692" s="46"/>
    </row>
    <row r="693">
      <c r="A693" s="44"/>
      <c r="B693" s="44"/>
      <c r="C693" s="30"/>
      <c r="D693" s="30"/>
      <c r="E693" s="55"/>
      <c r="F693" s="55"/>
      <c r="G693" s="55"/>
      <c r="H693" s="55"/>
      <c r="I693" s="56"/>
      <c r="J693" s="46"/>
      <c r="K693" s="46"/>
      <c r="L693" s="46"/>
      <c r="M693" s="46"/>
      <c r="N693" s="46"/>
      <c r="O693" s="46"/>
      <c r="P693" s="46"/>
      <c r="Q693" s="46"/>
      <c r="R693" s="46"/>
      <c r="S693" s="46"/>
      <c r="T693" s="46"/>
      <c r="U693" s="46"/>
      <c r="V693" s="46"/>
      <c r="W693" s="46"/>
    </row>
    <row r="694">
      <c r="A694" s="44"/>
      <c r="B694" s="44"/>
      <c r="C694" s="30"/>
      <c r="D694" s="30"/>
      <c r="E694" s="55"/>
      <c r="F694" s="55"/>
      <c r="G694" s="55"/>
      <c r="H694" s="55"/>
      <c r="I694" s="56"/>
      <c r="J694" s="46"/>
      <c r="K694" s="46"/>
      <c r="L694" s="46"/>
      <c r="M694" s="46"/>
      <c r="N694" s="46"/>
      <c r="O694" s="46"/>
      <c r="P694" s="46"/>
      <c r="Q694" s="46"/>
      <c r="R694" s="46"/>
      <c r="S694" s="46"/>
      <c r="T694" s="46"/>
      <c r="U694" s="46"/>
      <c r="V694" s="46"/>
      <c r="W694" s="46"/>
    </row>
    <row r="695">
      <c r="A695" s="44"/>
      <c r="B695" s="44"/>
      <c r="C695" s="30"/>
      <c r="D695" s="30"/>
      <c r="E695" s="55"/>
      <c r="F695" s="55"/>
      <c r="G695" s="55"/>
      <c r="H695" s="55"/>
      <c r="I695" s="56"/>
      <c r="J695" s="46"/>
      <c r="K695" s="46"/>
      <c r="L695" s="46"/>
      <c r="M695" s="46"/>
      <c r="N695" s="46"/>
      <c r="O695" s="46"/>
      <c r="P695" s="46"/>
      <c r="Q695" s="46"/>
      <c r="R695" s="46"/>
      <c r="S695" s="46"/>
      <c r="T695" s="46"/>
      <c r="U695" s="46"/>
      <c r="V695" s="46"/>
      <c r="W695" s="46"/>
    </row>
    <row r="696">
      <c r="A696" s="44"/>
      <c r="B696" s="44"/>
      <c r="C696" s="30"/>
      <c r="D696" s="30"/>
      <c r="E696" s="55"/>
      <c r="F696" s="55"/>
      <c r="G696" s="55"/>
      <c r="H696" s="55"/>
      <c r="I696" s="56"/>
      <c r="J696" s="46"/>
      <c r="K696" s="46"/>
      <c r="L696" s="46"/>
      <c r="M696" s="46"/>
      <c r="N696" s="46"/>
      <c r="O696" s="46"/>
      <c r="P696" s="46"/>
      <c r="Q696" s="46"/>
      <c r="R696" s="46"/>
      <c r="S696" s="46"/>
      <c r="T696" s="46"/>
      <c r="U696" s="46"/>
      <c r="V696" s="46"/>
      <c r="W696" s="46"/>
    </row>
    <row r="697">
      <c r="A697" s="44"/>
      <c r="B697" s="44"/>
      <c r="C697" s="30"/>
      <c r="D697" s="30"/>
      <c r="E697" s="55"/>
      <c r="F697" s="55"/>
      <c r="G697" s="55"/>
      <c r="H697" s="55"/>
      <c r="I697" s="56"/>
      <c r="J697" s="46"/>
      <c r="K697" s="46"/>
      <c r="L697" s="46"/>
      <c r="M697" s="46"/>
      <c r="N697" s="46"/>
      <c r="O697" s="46"/>
      <c r="P697" s="46"/>
      <c r="Q697" s="46"/>
      <c r="R697" s="46"/>
      <c r="S697" s="46"/>
      <c r="T697" s="46"/>
      <c r="U697" s="46"/>
      <c r="V697" s="46"/>
      <c r="W697" s="46"/>
    </row>
    <row r="698">
      <c r="A698" s="44"/>
      <c r="B698" s="44"/>
      <c r="C698" s="30"/>
      <c r="D698" s="30"/>
      <c r="E698" s="55"/>
      <c r="F698" s="55"/>
      <c r="G698" s="55"/>
      <c r="H698" s="55"/>
      <c r="I698" s="56"/>
      <c r="J698" s="46"/>
      <c r="K698" s="46"/>
      <c r="L698" s="46"/>
      <c r="M698" s="46"/>
      <c r="N698" s="46"/>
      <c r="O698" s="46"/>
      <c r="P698" s="46"/>
      <c r="Q698" s="46"/>
      <c r="R698" s="46"/>
      <c r="S698" s="46"/>
      <c r="T698" s="46"/>
      <c r="U698" s="46"/>
      <c r="V698" s="46"/>
      <c r="W698" s="46"/>
    </row>
    <row r="699">
      <c r="A699" s="44"/>
      <c r="B699" s="44"/>
      <c r="C699" s="30"/>
      <c r="D699" s="30"/>
      <c r="E699" s="55"/>
      <c r="F699" s="55"/>
      <c r="G699" s="55"/>
      <c r="H699" s="55"/>
      <c r="I699" s="56"/>
      <c r="J699" s="46"/>
      <c r="K699" s="46"/>
      <c r="L699" s="46"/>
      <c r="M699" s="46"/>
      <c r="N699" s="46"/>
      <c r="O699" s="46"/>
      <c r="P699" s="46"/>
      <c r="Q699" s="46"/>
      <c r="R699" s="46"/>
      <c r="S699" s="46"/>
      <c r="T699" s="46"/>
      <c r="U699" s="46"/>
      <c r="V699" s="46"/>
      <c r="W699" s="46"/>
    </row>
    <row r="700">
      <c r="A700" s="44"/>
      <c r="B700" s="44"/>
      <c r="C700" s="30"/>
      <c r="D700" s="30"/>
      <c r="E700" s="55"/>
      <c r="F700" s="55"/>
      <c r="G700" s="55"/>
      <c r="H700" s="55"/>
      <c r="I700" s="56"/>
      <c r="J700" s="46"/>
      <c r="K700" s="46"/>
      <c r="L700" s="46"/>
      <c r="M700" s="46"/>
      <c r="N700" s="46"/>
      <c r="O700" s="46"/>
      <c r="P700" s="46"/>
      <c r="Q700" s="46"/>
      <c r="R700" s="46"/>
      <c r="S700" s="46"/>
      <c r="T700" s="46"/>
      <c r="U700" s="46"/>
      <c r="V700" s="46"/>
      <c r="W700" s="46"/>
    </row>
    <row r="701">
      <c r="A701" s="44"/>
      <c r="B701" s="44"/>
      <c r="C701" s="30"/>
      <c r="D701" s="30"/>
      <c r="E701" s="55"/>
      <c r="F701" s="55"/>
      <c r="G701" s="55"/>
      <c r="H701" s="55"/>
      <c r="I701" s="56"/>
      <c r="J701" s="46"/>
      <c r="K701" s="46"/>
      <c r="L701" s="46"/>
      <c r="M701" s="46"/>
      <c r="N701" s="46"/>
      <c r="O701" s="46"/>
      <c r="P701" s="46"/>
      <c r="Q701" s="46"/>
      <c r="R701" s="46"/>
      <c r="S701" s="46"/>
      <c r="T701" s="46"/>
      <c r="U701" s="46"/>
      <c r="V701" s="46"/>
      <c r="W701" s="46"/>
    </row>
    <row r="702">
      <c r="A702" s="44"/>
      <c r="B702" s="44"/>
      <c r="C702" s="30"/>
      <c r="D702" s="30"/>
      <c r="E702" s="55"/>
      <c r="F702" s="55"/>
      <c r="G702" s="55"/>
      <c r="H702" s="55"/>
      <c r="I702" s="56"/>
      <c r="J702" s="46"/>
      <c r="K702" s="46"/>
      <c r="L702" s="46"/>
      <c r="M702" s="46"/>
      <c r="N702" s="46"/>
      <c r="O702" s="46"/>
      <c r="P702" s="46"/>
      <c r="Q702" s="46"/>
      <c r="R702" s="46"/>
      <c r="S702" s="46"/>
      <c r="T702" s="46"/>
      <c r="U702" s="46"/>
      <c r="V702" s="46"/>
      <c r="W702" s="46"/>
    </row>
    <row r="703">
      <c r="A703" s="44"/>
      <c r="B703" s="44"/>
      <c r="C703" s="30"/>
      <c r="D703" s="30"/>
      <c r="E703" s="55"/>
      <c r="F703" s="55"/>
      <c r="G703" s="55"/>
      <c r="H703" s="55"/>
      <c r="I703" s="56"/>
      <c r="J703" s="46"/>
      <c r="K703" s="46"/>
      <c r="L703" s="46"/>
      <c r="M703" s="46"/>
      <c r="N703" s="46"/>
      <c r="O703" s="46"/>
      <c r="P703" s="46"/>
      <c r="Q703" s="46"/>
      <c r="R703" s="46"/>
      <c r="S703" s="46"/>
      <c r="T703" s="46"/>
      <c r="U703" s="46"/>
      <c r="V703" s="46"/>
      <c r="W703" s="46"/>
    </row>
    <row r="704">
      <c r="A704" s="44"/>
      <c r="B704" s="44"/>
      <c r="C704" s="30"/>
      <c r="D704" s="30"/>
      <c r="E704" s="55"/>
      <c r="F704" s="55"/>
      <c r="G704" s="55"/>
      <c r="H704" s="55"/>
      <c r="I704" s="56"/>
      <c r="J704" s="46"/>
      <c r="K704" s="46"/>
      <c r="L704" s="46"/>
      <c r="M704" s="46"/>
      <c r="N704" s="46"/>
      <c r="O704" s="46"/>
      <c r="P704" s="46"/>
      <c r="Q704" s="46"/>
      <c r="R704" s="46"/>
      <c r="S704" s="46"/>
      <c r="T704" s="46"/>
      <c r="U704" s="46"/>
      <c r="V704" s="46"/>
      <c r="W704" s="46"/>
    </row>
    <row r="705">
      <c r="A705" s="44"/>
      <c r="B705" s="44"/>
      <c r="C705" s="30"/>
      <c r="D705" s="30"/>
      <c r="E705" s="55"/>
      <c r="F705" s="55"/>
      <c r="G705" s="55"/>
      <c r="H705" s="55"/>
      <c r="I705" s="56"/>
      <c r="J705" s="46"/>
      <c r="K705" s="46"/>
      <c r="L705" s="46"/>
      <c r="M705" s="46"/>
      <c r="N705" s="46"/>
      <c r="O705" s="46"/>
      <c r="P705" s="46"/>
      <c r="Q705" s="46"/>
      <c r="R705" s="46"/>
      <c r="S705" s="46"/>
      <c r="T705" s="46"/>
      <c r="U705" s="46"/>
      <c r="V705" s="46"/>
      <c r="W705" s="46"/>
    </row>
    <row r="706">
      <c r="A706" s="44"/>
      <c r="B706" s="44"/>
      <c r="C706" s="30"/>
      <c r="D706" s="30"/>
      <c r="E706" s="55"/>
      <c r="F706" s="55"/>
      <c r="G706" s="55"/>
      <c r="H706" s="55"/>
      <c r="I706" s="56"/>
      <c r="J706" s="46"/>
      <c r="K706" s="46"/>
      <c r="L706" s="46"/>
      <c r="M706" s="46"/>
      <c r="N706" s="46"/>
      <c r="O706" s="46"/>
      <c r="P706" s="46"/>
      <c r="Q706" s="46"/>
      <c r="R706" s="46"/>
      <c r="S706" s="46"/>
      <c r="T706" s="46"/>
      <c r="U706" s="46"/>
      <c r="V706" s="46"/>
      <c r="W706" s="46"/>
    </row>
    <row r="707">
      <c r="A707" s="44"/>
      <c r="B707" s="44"/>
      <c r="C707" s="30"/>
      <c r="D707" s="30"/>
      <c r="E707" s="55"/>
      <c r="F707" s="55"/>
      <c r="G707" s="55"/>
      <c r="H707" s="55"/>
      <c r="I707" s="56"/>
      <c r="J707" s="46"/>
      <c r="K707" s="46"/>
      <c r="L707" s="46"/>
      <c r="M707" s="46"/>
      <c r="N707" s="46"/>
      <c r="O707" s="46"/>
      <c r="P707" s="46"/>
      <c r="Q707" s="46"/>
      <c r="R707" s="46"/>
      <c r="S707" s="46"/>
      <c r="T707" s="46"/>
      <c r="U707" s="46"/>
      <c r="V707" s="46"/>
      <c r="W707" s="46"/>
    </row>
    <row r="708">
      <c r="A708" s="44"/>
      <c r="B708" s="44"/>
      <c r="C708" s="30"/>
      <c r="D708" s="30"/>
      <c r="E708" s="55"/>
      <c r="F708" s="55"/>
      <c r="G708" s="55"/>
      <c r="H708" s="55"/>
      <c r="I708" s="56"/>
      <c r="J708" s="46"/>
      <c r="K708" s="46"/>
      <c r="L708" s="46"/>
      <c r="M708" s="46"/>
      <c r="N708" s="46"/>
      <c r="O708" s="46"/>
      <c r="P708" s="46"/>
      <c r="Q708" s="46"/>
      <c r="R708" s="46"/>
      <c r="S708" s="46"/>
      <c r="T708" s="46"/>
      <c r="U708" s="46"/>
      <c r="V708" s="46"/>
      <c r="W708" s="46"/>
    </row>
    <row r="709">
      <c r="A709" s="44"/>
      <c r="B709" s="44"/>
      <c r="C709" s="30"/>
      <c r="D709" s="30"/>
      <c r="E709" s="55"/>
      <c r="F709" s="55"/>
      <c r="G709" s="55"/>
      <c r="H709" s="55"/>
      <c r="I709" s="56"/>
      <c r="J709" s="46"/>
      <c r="K709" s="46"/>
      <c r="L709" s="46"/>
      <c r="M709" s="46"/>
      <c r="N709" s="46"/>
      <c r="O709" s="46"/>
      <c r="P709" s="46"/>
      <c r="Q709" s="46"/>
      <c r="R709" s="46"/>
      <c r="S709" s="46"/>
      <c r="T709" s="46"/>
      <c r="U709" s="46"/>
      <c r="V709" s="46"/>
      <c r="W709" s="46"/>
    </row>
    <row r="710">
      <c r="A710" s="44"/>
      <c r="B710" s="44"/>
      <c r="C710" s="30"/>
      <c r="D710" s="30"/>
      <c r="E710" s="55"/>
      <c r="F710" s="55"/>
      <c r="G710" s="55"/>
      <c r="H710" s="55"/>
      <c r="I710" s="56"/>
      <c r="J710" s="46"/>
      <c r="K710" s="46"/>
      <c r="L710" s="46"/>
      <c r="M710" s="46"/>
      <c r="N710" s="46"/>
      <c r="O710" s="46"/>
      <c r="P710" s="46"/>
      <c r="Q710" s="46"/>
      <c r="R710" s="46"/>
      <c r="S710" s="46"/>
      <c r="T710" s="46"/>
      <c r="U710" s="46"/>
      <c r="V710" s="46"/>
      <c r="W710" s="46"/>
    </row>
    <row r="711">
      <c r="A711" s="44"/>
      <c r="B711" s="44"/>
      <c r="C711" s="30"/>
      <c r="D711" s="30"/>
      <c r="E711" s="55"/>
      <c r="F711" s="55"/>
      <c r="G711" s="55"/>
      <c r="H711" s="55"/>
      <c r="I711" s="56"/>
      <c r="J711" s="46"/>
      <c r="K711" s="46"/>
      <c r="L711" s="46"/>
      <c r="M711" s="46"/>
      <c r="N711" s="46"/>
      <c r="O711" s="46"/>
      <c r="P711" s="46"/>
      <c r="Q711" s="46"/>
      <c r="R711" s="46"/>
      <c r="S711" s="46"/>
      <c r="T711" s="46"/>
      <c r="U711" s="46"/>
      <c r="V711" s="46"/>
      <c r="W711" s="46"/>
    </row>
    <row r="712">
      <c r="A712" s="44"/>
      <c r="B712" s="44"/>
      <c r="C712" s="30"/>
      <c r="D712" s="30"/>
      <c r="E712" s="55"/>
      <c r="F712" s="55"/>
      <c r="G712" s="55"/>
      <c r="H712" s="55"/>
      <c r="I712" s="56"/>
      <c r="J712" s="46"/>
      <c r="K712" s="46"/>
      <c r="L712" s="46"/>
      <c r="M712" s="46"/>
      <c r="N712" s="46"/>
      <c r="O712" s="46"/>
      <c r="P712" s="46"/>
      <c r="Q712" s="46"/>
      <c r="R712" s="46"/>
      <c r="S712" s="46"/>
      <c r="T712" s="46"/>
      <c r="U712" s="46"/>
      <c r="V712" s="46"/>
      <c r="W712" s="46"/>
    </row>
    <row r="713">
      <c r="A713" s="44"/>
      <c r="B713" s="44"/>
      <c r="C713" s="30"/>
      <c r="D713" s="30"/>
      <c r="E713" s="55"/>
      <c r="F713" s="55"/>
      <c r="G713" s="55"/>
      <c r="H713" s="55"/>
      <c r="I713" s="56"/>
      <c r="J713" s="46"/>
      <c r="K713" s="46"/>
      <c r="L713" s="46"/>
      <c r="M713" s="46"/>
      <c r="N713" s="46"/>
      <c r="O713" s="46"/>
      <c r="P713" s="46"/>
      <c r="Q713" s="46"/>
      <c r="R713" s="46"/>
      <c r="S713" s="46"/>
      <c r="T713" s="46"/>
      <c r="U713" s="46"/>
      <c r="V713" s="46"/>
      <c r="W713" s="46"/>
    </row>
    <row r="714">
      <c r="A714" s="44"/>
      <c r="B714" s="44"/>
      <c r="C714" s="30"/>
      <c r="D714" s="30"/>
      <c r="E714" s="55"/>
      <c r="F714" s="55"/>
      <c r="G714" s="55"/>
      <c r="H714" s="55"/>
      <c r="I714" s="56"/>
      <c r="J714" s="46"/>
      <c r="K714" s="46"/>
      <c r="L714" s="46"/>
      <c r="M714" s="46"/>
      <c r="N714" s="46"/>
      <c r="O714" s="46"/>
      <c r="P714" s="46"/>
      <c r="Q714" s="46"/>
      <c r="R714" s="46"/>
      <c r="S714" s="46"/>
      <c r="T714" s="46"/>
      <c r="U714" s="46"/>
      <c r="V714" s="46"/>
      <c r="W714" s="46"/>
    </row>
    <row r="715">
      <c r="A715" s="44"/>
      <c r="B715" s="44"/>
      <c r="C715" s="30"/>
      <c r="D715" s="30"/>
      <c r="E715" s="55"/>
      <c r="F715" s="55"/>
      <c r="G715" s="55"/>
      <c r="H715" s="55"/>
      <c r="I715" s="56"/>
      <c r="J715" s="46"/>
      <c r="K715" s="46"/>
      <c r="L715" s="46"/>
      <c r="M715" s="46"/>
      <c r="N715" s="46"/>
      <c r="O715" s="46"/>
      <c r="P715" s="46"/>
      <c r="Q715" s="46"/>
      <c r="R715" s="46"/>
      <c r="S715" s="46"/>
      <c r="T715" s="46"/>
      <c r="U715" s="46"/>
      <c r="V715" s="46"/>
      <c r="W715" s="46"/>
    </row>
    <row r="716">
      <c r="A716" s="44"/>
      <c r="B716" s="44"/>
      <c r="C716" s="30"/>
      <c r="D716" s="30"/>
      <c r="E716" s="55"/>
      <c r="F716" s="55"/>
      <c r="G716" s="55"/>
      <c r="H716" s="55"/>
      <c r="I716" s="56"/>
      <c r="J716" s="46"/>
      <c r="K716" s="46"/>
      <c r="L716" s="46"/>
      <c r="M716" s="46"/>
      <c r="N716" s="46"/>
      <c r="O716" s="46"/>
      <c r="P716" s="46"/>
      <c r="Q716" s="46"/>
      <c r="R716" s="46"/>
      <c r="S716" s="46"/>
      <c r="T716" s="46"/>
      <c r="U716" s="46"/>
      <c r="V716" s="46"/>
      <c r="W716" s="46"/>
    </row>
    <row r="717">
      <c r="A717" s="44"/>
      <c r="B717" s="44"/>
      <c r="C717" s="30"/>
      <c r="D717" s="30"/>
      <c r="E717" s="55"/>
      <c r="F717" s="55"/>
      <c r="G717" s="55"/>
      <c r="H717" s="55"/>
      <c r="I717" s="56"/>
      <c r="J717" s="46"/>
      <c r="K717" s="46"/>
      <c r="L717" s="46"/>
      <c r="M717" s="46"/>
      <c r="N717" s="46"/>
      <c r="O717" s="46"/>
      <c r="P717" s="46"/>
      <c r="Q717" s="46"/>
      <c r="R717" s="46"/>
      <c r="S717" s="46"/>
      <c r="T717" s="46"/>
      <c r="U717" s="46"/>
      <c r="V717" s="46"/>
      <c r="W717" s="46"/>
    </row>
    <row r="718">
      <c r="A718" s="44"/>
      <c r="B718" s="44"/>
      <c r="C718" s="30"/>
      <c r="D718" s="30"/>
      <c r="E718" s="55"/>
      <c r="F718" s="55"/>
      <c r="G718" s="55"/>
      <c r="H718" s="55"/>
      <c r="I718" s="56"/>
      <c r="J718" s="46"/>
      <c r="K718" s="46"/>
      <c r="L718" s="46"/>
      <c r="M718" s="46"/>
      <c r="N718" s="46"/>
      <c r="O718" s="46"/>
      <c r="P718" s="46"/>
      <c r="Q718" s="46"/>
      <c r="R718" s="46"/>
      <c r="S718" s="46"/>
      <c r="T718" s="46"/>
      <c r="U718" s="46"/>
      <c r="V718" s="46"/>
      <c r="W718" s="46"/>
    </row>
    <row r="719">
      <c r="A719" s="44"/>
      <c r="B719" s="44"/>
      <c r="C719" s="30"/>
      <c r="D719" s="30"/>
      <c r="E719" s="55"/>
      <c r="F719" s="55"/>
      <c r="G719" s="55"/>
      <c r="H719" s="55"/>
      <c r="I719" s="56"/>
      <c r="J719" s="46"/>
      <c r="K719" s="46"/>
      <c r="L719" s="46"/>
      <c r="M719" s="46"/>
      <c r="N719" s="46"/>
      <c r="O719" s="46"/>
      <c r="P719" s="46"/>
      <c r="Q719" s="46"/>
      <c r="R719" s="46"/>
      <c r="S719" s="46"/>
      <c r="T719" s="46"/>
      <c r="U719" s="46"/>
      <c r="V719" s="46"/>
      <c r="W719" s="46"/>
    </row>
    <row r="720">
      <c r="A720" s="44"/>
      <c r="B720" s="44"/>
      <c r="C720" s="30"/>
      <c r="D720" s="30"/>
      <c r="E720" s="55"/>
      <c r="F720" s="55"/>
      <c r="G720" s="55"/>
      <c r="H720" s="55"/>
      <c r="I720" s="56"/>
      <c r="J720" s="46"/>
      <c r="K720" s="46"/>
      <c r="L720" s="46"/>
      <c r="M720" s="46"/>
      <c r="N720" s="46"/>
      <c r="O720" s="46"/>
      <c r="P720" s="46"/>
      <c r="Q720" s="46"/>
      <c r="R720" s="46"/>
      <c r="S720" s="46"/>
      <c r="T720" s="46"/>
      <c r="U720" s="46"/>
      <c r="V720" s="46"/>
      <c r="W720" s="46"/>
    </row>
    <row r="721">
      <c r="A721" s="44"/>
      <c r="B721" s="44"/>
      <c r="C721" s="30"/>
      <c r="D721" s="30"/>
      <c r="E721" s="55"/>
      <c r="F721" s="55"/>
      <c r="G721" s="55"/>
      <c r="H721" s="55"/>
      <c r="I721" s="56"/>
      <c r="J721" s="46"/>
      <c r="K721" s="46"/>
      <c r="L721" s="46"/>
      <c r="M721" s="46"/>
      <c r="N721" s="46"/>
      <c r="O721" s="46"/>
      <c r="P721" s="46"/>
      <c r="Q721" s="46"/>
      <c r="R721" s="46"/>
      <c r="S721" s="46"/>
      <c r="T721" s="46"/>
      <c r="U721" s="46"/>
      <c r="V721" s="46"/>
      <c r="W721" s="46"/>
    </row>
    <row r="722">
      <c r="A722" s="44"/>
      <c r="B722" s="44"/>
      <c r="C722" s="30"/>
      <c r="D722" s="30"/>
      <c r="E722" s="55"/>
      <c r="F722" s="55"/>
      <c r="G722" s="55"/>
      <c r="H722" s="55"/>
      <c r="I722" s="56"/>
      <c r="J722" s="46"/>
      <c r="K722" s="46"/>
      <c r="L722" s="46"/>
      <c r="M722" s="46"/>
      <c r="N722" s="46"/>
      <c r="O722" s="46"/>
      <c r="P722" s="46"/>
      <c r="Q722" s="46"/>
      <c r="R722" s="46"/>
      <c r="S722" s="46"/>
      <c r="T722" s="46"/>
      <c r="U722" s="46"/>
      <c r="V722" s="46"/>
      <c r="W722" s="46"/>
    </row>
    <row r="723">
      <c r="A723" s="44"/>
      <c r="B723" s="44"/>
      <c r="C723" s="30"/>
      <c r="D723" s="30"/>
      <c r="E723" s="55"/>
      <c r="F723" s="55"/>
      <c r="G723" s="55"/>
      <c r="H723" s="55"/>
      <c r="I723" s="56"/>
      <c r="J723" s="46"/>
      <c r="K723" s="46"/>
      <c r="L723" s="46"/>
      <c r="M723" s="46"/>
      <c r="N723" s="46"/>
      <c r="O723" s="46"/>
      <c r="P723" s="46"/>
      <c r="Q723" s="46"/>
      <c r="R723" s="46"/>
      <c r="S723" s="46"/>
      <c r="T723" s="46"/>
      <c r="U723" s="46"/>
      <c r="V723" s="46"/>
      <c r="W723" s="46"/>
    </row>
    <row r="724">
      <c r="A724" s="44"/>
      <c r="B724" s="44"/>
      <c r="C724" s="30"/>
      <c r="D724" s="30"/>
      <c r="E724" s="55"/>
      <c r="F724" s="55"/>
      <c r="G724" s="55"/>
      <c r="H724" s="55"/>
      <c r="I724" s="56"/>
      <c r="J724" s="46"/>
      <c r="K724" s="46"/>
      <c r="L724" s="46"/>
      <c r="M724" s="46"/>
      <c r="N724" s="46"/>
      <c r="O724" s="46"/>
      <c r="P724" s="46"/>
      <c r="Q724" s="46"/>
      <c r="R724" s="46"/>
      <c r="S724" s="46"/>
      <c r="T724" s="46"/>
      <c r="U724" s="46"/>
      <c r="V724" s="46"/>
      <c r="W724" s="46"/>
    </row>
    <row r="725">
      <c r="A725" s="44"/>
      <c r="B725" s="44"/>
      <c r="C725" s="30"/>
      <c r="D725" s="30"/>
      <c r="E725" s="55"/>
      <c r="F725" s="55"/>
      <c r="G725" s="55"/>
      <c r="H725" s="55"/>
      <c r="I725" s="56"/>
      <c r="J725" s="46"/>
      <c r="K725" s="46"/>
      <c r="L725" s="46"/>
      <c r="M725" s="46"/>
      <c r="N725" s="46"/>
      <c r="O725" s="46"/>
      <c r="P725" s="46"/>
      <c r="Q725" s="46"/>
      <c r="R725" s="46"/>
      <c r="S725" s="46"/>
      <c r="T725" s="46"/>
      <c r="U725" s="46"/>
      <c r="V725" s="46"/>
      <c r="W725" s="46"/>
    </row>
    <row r="726">
      <c r="A726" s="44"/>
      <c r="B726" s="44"/>
      <c r="C726" s="30"/>
      <c r="D726" s="30"/>
      <c r="E726" s="55"/>
      <c r="F726" s="55"/>
      <c r="G726" s="55"/>
      <c r="H726" s="55"/>
      <c r="I726" s="56"/>
      <c r="J726" s="46"/>
      <c r="K726" s="46"/>
      <c r="L726" s="46"/>
      <c r="M726" s="46"/>
      <c r="N726" s="46"/>
      <c r="O726" s="46"/>
      <c r="P726" s="46"/>
      <c r="Q726" s="46"/>
      <c r="R726" s="46"/>
      <c r="S726" s="46"/>
      <c r="T726" s="46"/>
      <c r="U726" s="46"/>
      <c r="V726" s="46"/>
      <c r="W726" s="46"/>
    </row>
    <row r="727">
      <c r="A727" s="44"/>
      <c r="B727" s="44"/>
      <c r="C727" s="30"/>
      <c r="D727" s="30"/>
      <c r="E727" s="55"/>
      <c r="F727" s="55"/>
      <c r="G727" s="55"/>
      <c r="H727" s="55"/>
      <c r="I727" s="56"/>
      <c r="J727" s="46"/>
      <c r="K727" s="46"/>
      <c r="L727" s="46"/>
      <c r="M727" s="46"/>
      <c r="N727" s="46"/>
      <c r="O727" s="46"/>
      <c r="P727" s="46"/>
      <c r="Q727" s="46"/>
      <c r="R727" s="46"/>
      <c r="S727" s="46"/>
      <c r="T727" s="46"/>
      <c r="U727" s="46"/>
      <c r="V727" s="46"/>
      <c r="W727" s="46"/>
    </row>
    <row r="728">
      <c r="A728" s="44"/>
      <c r="B728" s="44"/>
      <c r="C728" s="30"/>
      <c r="D728" s="30"/>
      <c r="E728" s="55"/>
      <c r="F728" s="55"/>
      <c r="G728" s="55"/>
      <c r="H728" s="55"/>
      <c r="I728" s="56"/>
      <c r="J728" s="46"/>
      <c r="K728" s="46"/>
      <c r="L728" s="46"/>
      <c r="M728" s="46"/>
      <c r="N728" s="46"/>
      <c r="O728" s="46"/>
      <c r="P728" s="46"/>
      <c r="Q728" s="46"/>
      <c r="R728" s="46"/>
      <c r="S728" s="46"/>
      <c r="T728" s="46"/>
      <c r="U728" s="46"/>
      <c r="V728" s="46"/>
      <c r="W728" s="46"/>
    </row>
    <row r="729">
      <c r="A729" s="44"/>
      <c r="B729" s="44"/>
      <c r="C729" s="30"/>
      <c r="D729" s="30"/>
      <c r="E729" s="55"/>
      <c r="F729" s="55"/>
      <c r="G729" s="55"/>
      <c r="H729" s="55"/>
      <c r="I729" s="56"/>
      <c r="J729" s="46"/>
      <c r="K729" s="46"/>
      <c r="L729" s="46"/>
      <c r="M729" s="46"/>
      <c r="N729" s="46"/>
      <c r="O729" s="46"/>
      <c r="P729" s="46"/>
      <c r="Q729" s="46"/>
      <c r="R729" s="46"/>
      <c r="S729" s="46"/>
      <c r="T729" s="46"/>
      <c r="U729" s="46"/>
      <c r="V729" s="46"/>
      <c r="W729" s="46"/>
    </row>
    <row r="730">
      <c r="A730" s="44"/>
      <c r="B730" s="44"/>
      <c r="C730" s="30"/>
      <c r="D730" s="30"/>
      <c r="E730" s="55"/>
      <c r="F730" s="55"/>
      <c r="G730" s="55"/>
      <c r="H730" s="55"/>
      <c r="I730" s="56"/>
      <c r="J730" s="46"/>
      <c r="K730" s="46"/>
      <c r="L730" s="46"/>
      <c r="M730" s="46"/>
      <c r="N730" s="46"/>
      <c r="O730" s="46"/>
      <c r="P730" s="46"/>
      <c r="Q730" s="46"/>
      <c r="R730" s="46"/>
      <c r="S730" s="46"/>
      <c r="T730" s="46"/>
      <c r="U730" s="46"/>
      <c r="V730" s="46"/>
      <c r="W730" s="46"/>
    </row>
    <row r="731">
      <c r="A731" s="44"/>
      <c r="B731" s="44"/>
      <c r="C731" s="30"/>
      <c r="D731" s="30"/>
      <c r="E731" s="55"/>
      <c r="F731" s="55"/>
      <c r="G731" s="55"/>
      <c r="H731" s="55"/>
      <c r="I731" s="56"/>
      <c r="J731" s="46"/>
      <c r="K731" s="46"/>
      <c r="L731" s="46"/>
      <c r="M731" s="46"/>
      <c r="N731" s="46"/>
      <c r="O731" s="46"/>
      <c r="P731" s="46"/>
      <c r="Q731" s="46"/>
      <c r="R731" s="46"/>
      <c r="S731" s="46"/>
      <c r="T731" s="46"/>
      <c r="U731" s="46"/>
      <c r="V731" s="46"/>
      <c r="W731" s="46"/>
    </row>
    <row r="732">
      <c r="A732" s="44"/>
      <c r="B732" s="44"/>
      <c r="C732" s="30"/>
      <c r="D732" s="30"/>
      <c r="E732" s="55"/>
      <c r="F732" s="55"/>
      <c r="G732" s="55"/>
      <c r="H732" s="55"/>
      <c r="I732" s="56"/>
      <c r="J732" s="46"/>
      <c r="K732" s="46"/>
      <c r="L732" s="46"/>
      <c r="M732" s="46"/>
      <c r="N732" s="46"/>
      <c r="O732" s="46"/>
      <c r="P732" s="46"/>
      <c r="Q732" s="46"/>
      <c r="R732" s="46"/>
      <c r="S732" s="46"/>
      <c r="T732" s="46"/>
      <c r="U732" s="46"/>
      <c r="V732" s="46"/>
      <c r="W732" s="46"/>
    </row>
    <row r="733">
      <c r="A733" s="44"/>
      <c r="B733" s="44"/>
      <c r="C733" s="30"/>
      <c r="D733" s="30"/>
      <c r="E733" s="55"/>
      <c r="F733" s="55"/>
      <c r="G733" s="55"/>
      <c r="H733" s="55"/>
      <c r="I733" s="56"/>
      <c r="J733" s="46"/>
      <c r="K733" s="46"/>
      <c r="L733" s="46"/>
      <c r="M733" s="46"/>
      <c r="N733" s="46"/>
      <c r="O733" s="46"/>
      <c r="P733" s="46"/>
      <c r="Q733" s="46"/>
      <c r="R733" s="46"/>
      <c r="S733" s="46"/>
      <c r="T733" s="46"/>
      <c r="U733" s="46"/>
      <c r="V733" s="46"/>
      <c r="W733" s="46"/>
    </row>
    <row r="734">
      <c r="A734" s="44"/>
      <c r="B734" s="44"/>
      <c r="C734" s="30"/>
      <c r="D734" s="30"/>
      <c r="E734" s="55"/>
      <c r="F734" s="55"/>
      <c r="G734" s="55"/>
      <c r="H734" s="55"/>
      <c r="I734" s="56"/>
      <c r="J734" s="46"/>
      <c r="K734" s="46"/>
      <c r="L734" s="46"/>
      <c r="M734" s="46"/>
      <c r="N734" s="46"/>
      <c r="O734" s="46"/>
      <c r="P734" s="46"/>
      <c r="Q734" s="46"/>
      <c r="R734" s="46"/>
      <c r="S734" s="46"/>
      <c r="T734" s="46"/>
      <c r="U734" s="46"/>
      <c r="V734" s="46"/>
      <c r="W734" s="46"/>
    </row>
    <row r="735">
      <c r="A735" s="44"/>
      <c r="B735" s="44"/>
      <c r="C735" s="30"/>
      <c r="D735" s="30"/>
      <c r="E735" s="55"/>
      <c r="F735" s="55"/>
      <c r="G735" s="55"/>
      <c r="H735" s="55"/>
      <c r="I735" s="56"/>
      <c r="J735" s="46"/>
      <c r="K735" s="46"/>
      <c r="L735" s="46"/>
      <c r="M735" s="46"/>
      <c r="N735" s="46"/>
      <c r="O735" s="46"/>
      <c r="P735" s="46"/>
      <c r="Q735" s="46"/>
      <c r="R735" s="46"/>
      <c r="S735" s="46"/>
      <c r="T735" s="46"/>
      <c r="U735" s="46"/>
      <c r="V735" s="46"/>
      <c r="W735" s="46"/>
    </row>
    <row r="736">
      <c r="A736" s="44"/>
      <c r="B736" s="44"/>
      <c r="C736" s="30"/>
      <c r="D736" s="30"/>
      <c r="E736" s="55"/>
      <c r="F736" s="55"/>
      <c r="G736" s="55"/>
      <c r="H736" s="55"/>
      <c r="I736" s="56"/>
      <c r="J736" s="46"/>
      <c r="K736" s="46"/>
      <c r="L736" s="46"/>
      <c r="M736" s="46"/>
      <c r="N736" s="46"/>
      <c r="O736" s="46"/>
      <c r="P736" s="46"/>
      <c r="Q736" s="46"/>
      <c r="R736" s="46"/>
      <c r="S736" s="46"/>
      <c r="T736" s="46"/>
      <c r="U736" s="46"/>
      <c r="V736" s="46"/>
      <c r="W736" s="46"/>
    </row>
    <row r="737">
      <c r="A737" s="44"/>
      <c r="B737" s="44"/>
      <c r="C737" s="30"/>
      <c r="D737" s="30"/>
      <c r="E737" s="55"/>
      <c r="F737" s="55"/>
      <c r="G737" s="55"/>
      <c r="H737" s="55"/>
      <c r="I737" s="56"/>
      <c r="J737" s="46"/>
      <c r="K737" s="46"/>
      <c r="L737" s="46"/>
      <c r="M737" s="46"/>
      <c r="N737" s="46"/>
      <c r="O737" s="46"/>
      <c r="P737" s="46"/>
      <c r="Q737" s="46"/>
      <c r="R737" s="46"/>
      <c r="S737" s="46"/>
      <c r="T737" s="46"/>
      <c r="U737" s="46"/>
      <c r="V737" s="46"/>
      <c r="W737" s="46"/>
    </row>
    <row r="738">
      <c r="A738" s="44"/>
      <c r="B738" s="44"/>
      <c r="C738" s="30"/>
      <c r="D738" s="30"/>
      <c r="E738" s="55"/>
      <c r="F738" s="55"/>
      <c r="G738" s="55"/>
      <c r="H738" s="55"/>
      <c r="I738" s="56"/>
      <c r="J738" s="46"/>
      <c r="K738" s="46"/>
      <c r="L738" s="46"/>
      <c r="M738" s="46"/>
      <c r="N738" s="46"/>
      <c r="O738" s="46"/>
      <c r="P738" s="46"/>
      <c r="Q738" s="46"/>
      <c r="R738" s="46"/>
      <c r="S738" s="46"/>
      <c r="T738" s="46"/>
      <c r="U738" s="46"/>
      <c r="V738" s="46"/>
      <c r="W738" s="46"/>
    </row>
    <row r="739">
      <c r="A739" s="44"/>
      <c r="B739" s="44"/>
      <c r="C739" s="30"/>
      <c r="D739" s="30"/>
      <c r="E739" s="55"/>
      <c r="F739" s="55"/>
      <c r="G739" s="55"/>
      <c r="H739" s="55"/>
      <c r="I739" s="56"/>
      <c r="J739" s="46"/>
      <c r="K739" s="46"/>
      <c r="L739" s="46"/>
      <c r="M739" s="46"/>
      <c r="N739" s="46"/>
      <c r="O739" s="46"/>
      <c r="P739" s="46"/>
      <c r="Q739" s="46"/>
      <c r="R739" s="46"/>
      <c r="S739" s="46"/>
      <c r="T739" s="46"/>
      <c r="U739" s="46"/>
      <c r="V739" s="46"/>
      <c r="W739" s="46"/>
    </row>
    <row r="740">
      <c r="A740" s="44"/>
      <c r="B740" s="44"/>
      <c r="C740" s="30"/>
      <c r="D740" s="30"/>
      <c r="E740" s="55"/>
      <c r="F740" s="55"/>
      <c r="G740" s="55"/>
      <c r="H740" s="55"/>
      <c r="I740" s="56"/>
      <c r="J740" s="46"/>
      <c r="K740" s="46"/>
      <c r="L740" s="46"/>
      <c r="M740" s="46"/>
      <c r="N740" s="46"/>
      <c r="O740" s="46"/>
      <c r="P740" s="46"/>
      <c r="Q740" s="46"/>
      <c r="R740" s="46"/>
      <c r="S740" s="46"/>
      <c r="T740" s="46"/>
      <c r="U740" s="46"/>
      <c r="V740" s="46"/>
      <c r="W740" s="46"/>
    </row>
    <row r="741">
      <c r="A741" s="44"/>
      <c r="B741" s="44"/>
      <c r="C741" s="30"/>
      <c r="D741" s="30"/>
      <c r="E741" s="55"/>
      <c r="F741" s="55"/>
      <c r="G741" s="55"/>
      <c r="H741" s="55"/>
      <c r="I741" s="56"/>
      <c r="J741" s="46"/>
      <c r="K741" s="46"/>
      <c r="L741" s="46"/>
      <c r="M741" s="46"/>
      <c r="N741" s="46"/>
      <c r="O741" s="46"/>
      <c r="P741" s="46"/>
      <c r="Q741" s="46"/>
      <c r="R741" s="46"/>
      <c r="S741" s="46"/>
      <c r="T741" s="46"/>
      <c r="U741" s="46"/>
      <c r="V741" s="46"/>
      <c r="W741" s="46"/>
    </row>
    <row r="742">
      <c r="A742" s="44"/>
      <c r="B742" s="44"/>
      <c r="C742" s="30"/>
      <c r="D742" s="30"/>
      <c r="E742" s="55"/>
      <c r="F742" s="55"/>
      <c r="G742" s="55"/>
      <c r="H742" s="55"/>
      <c r="I742" s="56"/>
      <c r="J742" s="46"/>
      <c r="K742" s="46"/>
      <c r="L742" s="46"/>
      <c r="M742" s="46"/>
      <c r="N742" s="46"/>
      <c r="O742" s="46"/>
      <c r="P742" s="46"/>
      <c r="Q742" s="46"/>
      <c r="R742" s="46"/>
      <c r="S742" s="46"/>
      <c r="T742" s="46"/>
      <c r="U742" s="46"/>
      <c r="V742" s="46"/>
      <c r="W742" s="46"/>
    </row>
    <row r="743">
      <c r="A743" s="44"/>
      <c r="B743" s="44"/>
      <c r="C743" s="30"/>
      <c r="D743" s="30"/>
      <c r="E743" s="55"/>
      <c r="F743" s="55"/>
      <c r="G743" s="55"/>
      <c r="H743" s="55"/>
      <c r="I743" s="56"/>
      <c r="J743" s="46"/>
      <c r="K743" s="46"/>
      <c r="L743" s="46"/>
      <c r="M743" s="46"/>
      <c r="N743" s="46"/>
      <c r="O743" s="46"/>
      <c r="P743" s="46"/>
      <c r="Q743" s="46"/>
      <c r="R743" s="46"/>
      <c r="S743" s="46"/>
      <c r="T743" s="46"/>
      <c r="U743" s="46"/>
      <c r="V743" s="46"/>
      <c r="W743" s="46"/>
    </row>
    <row r="744">
      <c r="A744" s="44"/>
      <c r="B744" s="44"/>
      <c r="C744" s="30"/>
      <c r="D744" s="30"/>
      <c r="E744" s="55"/>
      <c r="F744" s="55"/>
      <c r="G744" s="55"/>
      <c r="H744" s="55"/>
      <c r="I744" s="56"/>
      <c r="J744" s="46"/>
      <c r="K744" s="46"/>
      <c r="L744" s="46"/>
      <c r="M744" s="46"/>
      <c r="N744" s="46"/>
      <c r="O744" s="46"/>
      <c r="P744" s="46"/>
      <c r="Q744" s="46"/>
      <c r="R744" s="46"/>
      <c r="S744" s="46"/>
      <c r="T744" s="46"/>
      <c r="U744" s="46"/>
      <c r="V744" s="46"/>
      <c r="W744" s="46"/>
    </row>
    <row r="745">
      <c r="A745" s="44"/>
      <c r="B745" s="44"/>
      <c r="C745" s="30"/>
      <c r="D745" s="30"/>
      <c r="E745" s="55"/>
      <c r="F745" s="55"/>
      <c r="G745" s="55"/>
      <c r="H745" s="55"/>
      <c r="I745" s="56"/>
      <c r="J745" s="46"/>
      <c r="K745" s="46"/>
      <c r="L745" s="46"/>
      <c r="M745" s="46"/>
      <c r="N745" s="46"/>
      <c r="O745" s="46"/>
      <c r="P745" s="46"/>
      <c r="Q745" s="46"/>
      <c r="R745" s="46"/>
      <c r="S745" s="46"/>
      <c r="T745" s="46"/>
      <c r="U745" s="46"/>
      <c r="V745" s="46"/>
      <c r="W745" s="46"/>
    </row>
    <row r="746">
      <c r="A746" s="44"/>
      <c r="B746" s="44"/>
      <c r="C746" s="30"/>
      <c r="D746" s="30"/>
      <c r="E746" s="55"/>
      <c r="F746" s="55"/>
      <c r="G746" s="55"/>
      <c r="H746" s="55"/>
      <c r="I746" s="56"/>
      <c r="J746" s="46"/>
      <c r="K746" s="46"/>
      <c r="L746" s="46"/>
      <c r="M746" s="46"/>
      <c r="N746" s="46"/>
      <c r="O746" s="46"/>
      <c r="P746" s="46"/>
      <c r="Q746" s="46"/>
      <c r="R746" s="46"/>
      <c r="S746" s="46"/>
      <c r="T746" s="46"/>
      <c r="U746" s="46"/>
      <c r="V746" s="46"/>
      <c r="W746" s="46"/>
    </row>
    <row r="747">
      <c r="A747" s="44"/>
      <c r="B747" s="44"/>
      <c r="C747" s="30"/>
      <c r="D747" s="30"/>
      <c r="E747" s="55"/>
      <c r="F747" s="55"/>
      <c r="G747" s="55"/>
      <c r="H747" s="55"/>
      <c r="I747" s="56"/>
      <c r="J747" s="46"/>
      <c r="K747" s="46"/>
      <c r="L747" s="46"/>
      <c r="M747" s="46"/>
      <c r="N747" s="46"/>
      <c r="O747" s="46"/>
      <c r="P747" s="46"/>
      <c r="Q747" s="46"/>
      <c r="R747" s="46"/>
      <c r="S747" s="46"/>
      <c r="T747" s="46"/>
      <c r="U747" s="46"/>
      <c r="V747" s="46"/>
      <c r="W747" s="46"/>
    </row>
    <row r="748">
      <c r="A748" s="44"/>
      <c r="B748" s="44"/>
      <c r="C748" s="30"/>
      <c r="D748" s="30"/>
      <c r="E748" s="55"/>
      <c r="F748" s="55"/>
      <c r="G748" s="55"/>
      <c r="H748" s="55"/>
      <c r="I748" s="56"/>
      <c r="J748" s="46"/>
      <c r="K748" s="46"/>
      <c r="L748" s="46"/>
      <c r="M748" s="46"/>
      <c r="N748" s="46"/>
      <c r="O748" s="46"/>
      <c r="P748" s="46"/>
      <c r="Q748" s="46"/>
      <c r="R748" s="46"/>
      <c r="S748" s="46"/>
      <c r="T748" s="46"/>
      <c r="U748" s="46"/>
      <c r="V748" s="46"/>
      <c r="W748" s="46"/>
    </row>
    <row r="749">
      <c r="A749" s="44"/>
      <c r="B749" s="44"/>
      <c r="C749" s="30"/>
      <c r="D749" s="30"/>
      <c r="E749" s="55"/>
      <c r="F749" s="55"/>
      <c r="G749" s="55"/>
      <c r="H749" s="55"/>
      <c r="I749" s="56"/>
      <c r="J749" s="46"/>
      <c r="K749" s="46"/>
      <c r="L749" s="46"/>
      <c r="M749" s="46"/>
      <c r="N749" s="46"/>
      <c r="O749" s="46"/>
      <c r="P749" s="46"/>
      <c r="Q749" s="46"/>
      <c r="R749" s="46"/>
      <c r="S749" s="46"/>
      <c r="T749" s="46"/>
      <c r="U749" s="46"/>
      <c r="V749" s="46"/>
      <c r="W749" s="46"/>
    </row>
    <row r="750">
      <c r="A750" s="44"/>
      <c r="B750" s="44"/>
      <c r="C750" s="30"/>
      <c r="D750" s="30"/>
      <c r="E750" s="55"/>
      <c r="F750" s="55"/>
      <c r="G750" s="55"/>
      <c r="H750" s="55"/>
      <c r="I750" s="56"/>
      <c r="J750" s="46"/>
      <c r="K750" s="46"/>
      <c r="L750" s="46"/>
      <c r="M750" s="46"/>
      <c r="N750" s="46"/>
      <c r="O750" s="46"/>
      <c r="P750" s="46"/>
      <c r="Q750" s="46"/>
      <c r="R750" s="46"/>
      <c r="S750" s="46"/>
      <c r="T750" s="46"/>
      <c r="U750" s="46"/>
      <c r="V750" s="46"/>
      <c r="W750" s="46"/>
    </row>
    <row r="751">
      <c r="A751" s="44"/>
      <c r="B751" s="44"/>
      <c r="C751" s="30"/>
      <c r="D751" s="30"/>
      <c r="E751" s="55"/>
      <c r="F751" s="55"/>
      <c r="G751" s="55"/>
      <c r="H751" s="55"/>
      <c r="I751" s="56"/>
      <c r="J751" s="46"/>
      <c r="K751" s="46"/>
      <c r="L751" s="46"/>
      <c r="M751" s="46"/>
      <c r="N751" s="46"/>
      <c r="O751" s="46"/>
      <c r="P751" s="46"/>
      <c r="Q751" s="46"/>
      <c r="R751" s="46"/>
      <c r="S751" s="46"/>
      <c r="T751" s="46"/>
      <c r="U751" s="46"/>
      <c r="V751" s="46"/>
      <c r="W751" s="46"/>
    </row>
    <row r="752">
      <c r="A752" s="44"/>
      <c r="B752" s="44"/>
      <c r="C752" s="30"/>
      <c r="D752" s="30"/>
      <c r="E752" s="55"/>
      <c r="F752" s="55"/>
      <c r="G752" s="55"/>
      <c r="H752" s="55"/>
      <c r="I752" s="56"/>
      <c r="J752" s="46"/>
      <c r="K752" s="46"/>
      <c r="L752" s="46"/>
      <c r="M752" s="46"/>
      <c r="N752" s="46"/>
      <c r="O752" s="46"/>
      <c r="P752" s="46"/>
      <c r="Q752" s="46"/>
      <c r="R752" s="46"/>
      <c r="S752" s="46"/>
      <c r="T752" s="46"/>
      <c r="U752" s="46"/>
      <c r="V752" s="46"/>
      <c r="W752" s="46"/>
    </row>
    <row r="753">
      <c r="A753" s="44"/>
      <c r="B753" s="44"/>
      <c r="C753" s="30"/>
      <c r="D753" s="30"/>
      <c r="E753" s="55"/>
      <c r="F753" s="55"/>
      <c r="G753" s="55"/>
      <c r="H753" s="55"/>
      <c r="I753" s="56"/>
      <c r="J753" s="46"/>
      <c r="K753" s="46"/>
      <c r="L753" s="46"/>
      <c r="M753" s="46"/>
      <c r="N753" s="46"/>
      <c r="O753" s="46"/>
      <c r="P753" s="46"/>
      <c r="Q753" s="46"/>
      <c r="R753" s="46"/>
      <c r="S753" s="46"/>
      <c r="T753" s="46"/>
      <c r="U753" s="46"/>
      <c r="V753" s="46"/>
      <c r="W753" s="46"/>
    </row>
    <row r="754">
      <c r="A754" s="44"/>
      <c r="B754" s="44"/>
      <c r="C754" s="30"/>
      <c r="D754" s="30"/>
      <c r="E754" s="55"/>
      <c r="F754" s="55"/>
      <c r="G754" s="55"/>
      <c r="H754" s="55"/>
      <c r="I754" s="56"/>
      <c r="J754" s="46"/>
      <c r="K754" s="46"/>
      <c r="L754" s="46"/>
      <c r="M754" s="46"/>
      <c r="N754" s="46"/>
      <c r="O754" s="46"/>
      <c r="P754" s="46"/>
      <c r="Q754" s="46"/>
      <c r="R754" s="46"/>
      <c r="S754" s="46"/>
      <c r="T754" s="46"/>
      <c r="U754" s="46"/>
      <c r="V754" s="46"/>
      <c r="W754" s="46"/>
    </row>
    <row r="755">
      <c r="A755" s="44"/>
      <c r="B755" s="44"/>
      <c r="C755" s="30"/>
      <c r="D755" s="30"/>
      <c r="E755" s="55"/>
      <c r="F755" s="55"/>
      <c r="G755" s="55"/>
      <c r="H755" s="55"/>
      <c r="I755" s="56"/>
      <c r="J755" s="46"/>
      <c r="K755" s="46"/>
      <c r="L755" s="46"/>
      <c r="M755" s="46"/>
      <c r="N755" s="46"/>
      <c r="O755" s="46"/>
      <c r="P755" s="46"/>
      <c r="Q755" s="46"/>
      <c r="R755" s="46"/>
      <c r="S755" s="46"/>
      <c r="T755" s="46"/>
      <c r="U755" s="46"/>
      <c r="V755" s="46"/>
      <c r="W755" s="46"/>
    </row>
    <row r="756">
      <c r="A756" s="44"/>
      <c r="B756" s="44"/>
      <c r="C756" s="30"/>
      <c r="D756" s="30"/>
      <c r="E756" s="55"/>
      <c r="F756" s="55"/>
      <c r="G756" s="55"/>
      <c r="H756" s="55"/>
      <c r="I756" s="56"/>
      <c r="J756" s="46"/>
      <c r="K756" s="46"/>
      <c r="L756" s="46"/>
      <c r="M756" s="46"/>
      <c r="N756" s="46"/>
      <c r="O756" s="46"/>
      <c r="P756" s="46"/>
      <c r="Q756" s="46"/>
      <c r="R756" s="46"/>
      <c r="S756" s="46"/>
      <c r="T756" s="46"/>
      <c r="U756" s="46"/>
      <c r="V756" s="46"/>
      <c r="W756" s="46"/>
    </row>
    <row r="757">
      <c r="A757" s="44"/>
      <c r="B757" s="44"/>
      <c r="C757" s="30"/>
      <c r="D757" s="30"/>
      <c r="E757" s="55"/>
      <c r="F757" s="55"/>
      <c r="G757" s="55"/>
      <c r="H757" s="55"/>
      <c r="I757" s="56"/>
      <c r="J757" s="46"/>
      <c r="K757" s="46"/>
      <c r="L757" s="46"/>
      <c r="M757" s="46"/>
      <c r="N757" s="46"/>
      <c r="O757" s="46"/>
      <c r="P757" s="46"/>
      <c r="Q757" s="46"/>
      <c r="R757" s="46"/>
      <c r="S757" s="46"/>
      <c r="T757" s="46"/>
      <c r="U757" s="46"/>
      <c r="V757" s="46"/>
      <c r="W757" s="46"/>
    </row>
    <row r="758">
      <c r="A758" s="44"/>
      <c r="B758" s="44"/>
      <c r="C758" s="30"/>
      <c r="D758" s="30"/>
      <c r="E758" s="55"/>
      <c r="F758" s="55"/>
      <c r="G758" s="55"/>
      <c r="H758" s="55"/>
      <c r="I758" s="56"/>
      <c r="J758" s="46"/>
      <c r="K758" s="46"/>
      <c r="L758" s="46"/>
      <c r="M758" s="46"/>
      <c r="N758" s="46"/>
      <c r="O758" s="46"/>
      <c r="P758" s="46"/>
      <c r="Q758" s="46"/>
      <c r="R758" s="46"/>
      <c r="S758" s="46"/>
      <c r="T758" s="46"/>
      <c r="U758" s="46"/>
      <c r="V758" s="46"/>
      <c r="W758" s="46"/>
    </row>
    <row r="759">
      <c r="A759" s="44"/>
      <c r="B759" s="44"/>
      <c r="C759" s="30"/>
      <c r="D759" s="30"/>
      <c r="E759" s="55"/>
      <c r="F759" s="55"/>
      <c r="G759" s="55"/>
      <c r="H759" s="55"/>
      <c r="I759" s="56"/>
      <c r="J759" s="46"/>
      <c r="K759" s="46"/>
      <c r="L759" s="46"/>
      <c r="M759" s="46"/>
      <c r="N759" s="46"/>
      <c r="O759" s="46"/>
      <c r="P759" s="46"/>
      <c r="Q759" s="46"/>
      <c r="R759" s="46"/>
      <c r="S759" s="46"/>
      <c r="T759" s="46"/>
      <c r="U759" s="46"/>
      <c r="V759" s="46"/>
      <c r="W759" s="46"/>
    </row>
    <row r="760">
      <c r="A760" s="44"/>
      <c r="B760" s="44"/>
      <c r="C760" s="30"/>
      <c r="D760" s="30"/>
      <c r="E760" s="55"/>
      <c r="F760" s="55"/>
      <c r="G760" s="55"/>
      <c r="H760" s="55"/>
      <c r="I760" s="56"/>
      <c r="J760" s="46"/>
      <c r="K760" s="46"/>
      <c r="L760" s="46"/>
      <c r="M760" s="46"/>
      <c r="N760" s="46"/>
      <c r="O760" s="46"/>
      <c r="P760" s="46"/>
      <c r="Q760" s="46"/>
      <c r="R760" s="46"/>
      <c r="S760" s="46"/>
      <c r="T760" s="46"/>
      <c r="U760" s="46"/>
      <c r="V760" s="46"/>
      <c r="W760" s="46"/>
    </row>
    <row r="761">
      <c r="A761" s="44"/>
      <c r="B761" s="44"/>
      <c r="C761" s="30"/>
      <c r="D761" s="30"/>
      <c r="E761" s="55"/>
      <c r="F761" s="55"/>
      <c r="G761" s="55"/>
      <c r="H761" s="55"/>
      <c r="I761" s="56"/>
      <c r="J761" s="46"/>
      <c r="K761" s="46"/>
      <c r="L761" s="46"/>
      <c r="M761" s="46"/>
      <c r="N761" s="46"/>
      <c r="O761" s="46"/>
      <c r="P761" s="46"/>
      <c r="Q761" s="46"/>
      <c r="R761" s="46"/>
      <c r="S761" s="46"/>
      <c r="T761" s="46"/>
      <c r="U761" s="46"/>
      <c r="V761" s="46"/>
      <c r="W761" s="46"/>
    </row>
    <row r="762">
      <c r="A762" s="44"/>
      <c r="B762" s="44"/>
      <c r="C762" s="30"/>
      <c r="D762" s="30"/>
      <c r="E762" s="55"/>
      <c r="F762" s="55"/>
      <c r="G762" s="55"/>
      <c r="H762" s="55"/>
      <c r="I762" s="56"/>
      <c r="J762" s="46"/>
      <c r="K762" s="46"/>
      <c r="L762" s="46"/>
      <c r="M762" s="46"/>
      <c r="N762" s="46"/>
      <c r="O762" s="46"/>
      <c r="P762" s="46"/>
      <c r="Q762" s="46"/>
      <c r="R762" s="46"/>
      <c r="S762" s="46"/>
      <c r="T762" s="46"/>
      <c r="U762" s="46"/>
      <c r="V762" s="46"/>
      <c r="W762" s="46"/>
    </row>
    <row r="763">
      <c r="A763" s="44"/>
      <c r="B763" s="44"/>
      <c r="C763" s="30"/>
      <c r="D763" s="30"/>
      <c r="E763" s="55"/>
      <c r="F763" s="55"/>
      <c r="G763" s="55"/>
      <c r="H763" s="55"/>
      <c r="I763" s="56"/>
      <c r="J763" s="46"/>
      <c r="K763" s="46"/>
      <c r="L763" s="46"/>
      <c r="M763" s="46"/>
      <c r="N763" s="46"/>
      <c r="O763" s="46"/>
      <c r="P763" s="46"/>
      <c r="Q763" s="46"/>
      <c r="R763" s="46"/>
      <c r="S763" s="46"/>
      <c r="T763" s="46"/>
      <c r="U763" s="46"/>
      <c r="V763" s="46"/>
      <c r="W763" s="46"/>
    </row>
    <row r="764">
      <c r="A764" s="44"/>
      <c r="B764" s="44"/>
      <c r="C764" s="30"/>
      <c r="D764" s="30"/>
      <c r="E764" s="55"/>
      <c r="F764" s="55"/>
      <c r="G764" s="55"/>
      <c r="H764" s="55"/>
      <c r="I764" s="56"/>
      <c r="J764" s="46"/>
      <c r="K764" s="46"/>
      <c r="L764" s="46"/>
      <c r="M764" s="46"/>
      <c r="N764" s="46"/>
      <c r="O764" s="46"/>
      <c r="P764" s="46"/>
      <c r="Q764" s="46"/>
      <c r="R764" s="46"/>
      <c r="S764" s="46"/>
      <c r="T764" s="46"/>
      <c r="U764" s="46"/>
      <c r="V764" s="46"/>
      <c r="W764" s="46"/>
    </row>
    <row r="765">
      <c r="A765" s="44"/>
      <c r="B765" s="44"/>
      <c r="C765" s="30"/>
      <c r="D765" s="30"/>
      <c r="E765" s="55"/>
      <c r="F765" s="55"/>
      <c r="G765" s="55"/>
      <c r="H765" s="55"/>
      <c r="I765" s="56"/>
      <c r="J765" s="46"/>
      <c r="K765" s="46"/>
      <c r="L765" s="46"/>
      <c r="M765" s="46"/>
      <c r="N765" s="46"/>
      <c r="O765" s="46"/>
      <c r="P765" s="46"/>
      <c r="Q765" s="46"/>
      <c r="R765" s="46"/>
      <c r="S765" s="46"/>
      <c r="T765" s="46"/>
      <c r="U765" s="46"/>
      <c r="V765" s="46"/>
      <c r="W765" s="46"/>
    </row>
    <row r="766">
      <c r="A766" s="44"/>
      <c r="B766" s="44"/>
      <c r="C766" s="30"/>
      <c r="D766" s="30"/>
      <c r="E766" s="55"/>
      <c r="F766" s="55"/>
      <c r="G766" s="55"/>
      <c r="H766" s="55"/>
      <c r="I766" s="56"/>
      <c r="J766" s="46"/>
      <c r="K766" s="46"/>
      <c r="L766" s="46"/>
      <c r="M766" s="46"/>
      <c r="N766" s="46"/>
      <c r="O766" s="46"/>
      <c r="P766" s="46"/>
      <c r="Q766" s="46"/>
      <c r="R766" s="46"/>
      <c r="S766" s="46"/>
      <c r="T766" s="46"/>
      <c r="U766" s="46"/>
      <c r="V766" s="46"/>
      <c r="W766" s="46"/>
    </row>
    <row r="767">
      <c r="A767" s="44"/>
      <c r="B767" s="44"/>
      <c r="C767" s="30"/>
      <c r="D767" s="30"/>
      <c r="E767" s="55"/>
      <c r="F767" s="55"/>
      <c r="G767" s="55"/>
      <c r="H767" s="55"/>
      <c r="I767" s="56"/>
      <c r="J767" s="46"/>
      <c r="K767" s="46"/>
      <c r="L767" s="46"/>
      <c r="M767" s="46"/>
      <c r="N767" s="46"/>
      <c r="O767" s="46"/>
      <c r="P767" s="46"/>
      <c r="Q767" s="46"/>
      <c r="R767" s="46"/>
      <c r="S767" s="46"/>
      <c r="T767" s="46"/>
      <c r="U767" s="46"/>
      <c r="V767" s="46"/>
      <c r="W767" s="46"/>
    </row>
    <row r="768">
      <c r="A768" s="44"/>
      <c r="B768" s="44"/>
      <c r="C768" s="30"/>
      <c r="D768" s="30"/>
      <c r="E768" s="55"/>
      <c r="F768" s="55"/>
      <c r="G768" s="55"/>
      <c r="H768" s="55"/>
      <c r="I768" s="56"/>
      <c r="J768" s="46"/>
      <c r="K768" s="46"/>
      <c r="L768" s="46"/>
      <c r="M768" s="46"/>
      <c r="N768" s="46"/>
      <c r="O768" s="46"/>
      <c r="P768" s="46"/>
      <c r="Q768" s="46"/>
      <c r="R768" s="46"/>
      <c r="S768" s="46"/>
      <c r="T768" s="46"/>
      <c r="U768" s="46"/>
      <c r="V768" s="46"/>
      <c r="W768" s="46"/>
    </row>
    <row r="769">
      <c r="A769" s="44"/>
      <c r="B769" s="44"/>
      <c r="C769" s="30"/>
      <c r="D769" s="30"/>
      <c r="E769" s="55"/>
      <c r="F769" s="55"/>
      <c r="G769" s="55"/>
      <c r="H769" s="55"/>
      <c r="I769" s="56"/>
      <c r="J769" s="46"/>
      <c r="K769" s="46"/>
      <c r="L769" s="46"/>
      <c r="M769" s="46"/>
      <c r="N769" s="46"/>
      <c r="O769" s="46"/>
      <c r="P769" s="46"/>
      <c r="Q769" s="46"/>
      <c r="R769" s="46"/>
      <c r="S769" s="46"/>
      <c r="T769" s="46"/>
      <c r="U769" s="46"/>
      <c r="V769" s="46"/>
      <c r="W769" s="46"/>
    </row>
    <row r="770">
      <c r="A770" s="44"/>
      <c r="B770" s="44"/>
      <c r="C770" s="30"/>
      <c r="D770" s="30"/>
      <c r="E770" s="55"/>
      <c r="F770" s="55"/>
      <c r="G770" s="55"/>
      <c r="H770" s="55"/>
      <c r="I770" s="56"/>
      <c r="J770" s="46"/>
      <c r="K770" s="46"/>
      <c r="L770" s="46"/>
      <c r="M770" s="46"/>
      <c r="N770" s="46"/>
      <c r="O770" s="46"/>
      <c r="P770" s="46"/>
      <c r="Q770" s="46"/>
      <c r="R770" s="46"/>
      <c r="S770" s="46"/>
      <c r="T770" s="46"/>
      <c r="U770" s="46"/>
      <c r="V770" s="46"/>
      <c r="W770" s="46"/>
    </row>
    <row r="771">
      <c r="A771" s="44"/>
      <c r="B771" s="44"/>
      <c r="C771" s="30"/>
      <c r="D771" s="30"/>
      <c r="E771" s="55"/>
      <c r="F771" s="55"/>
      <c r="G771" s="55"/>
      <c r="H771" s="55"/>
      <c r="I771" s="56"/>
      <c r="J771" s="46"/>
      <c r="K771" s="46"/>
      <c r="L771" s="46"/>
      <c r="M771" s="46"/>
      <c r="N771" s="46"/>
      <c r="O771" s="46"/>
      <c r="P771" s="46"/>
      <c r="Q771" s="46"/>
      <c r="R771" s="46"/>
      <c r="S771" s="46"/>
      <c r="T771" s="46"/>
      <c r="U771" s="46"/>
      <c r="V771" s="46"/>
      <c r="W771" s="46"/>
    </row>
    <row r="772">
      <c r="A772" s="44"/>
      <c r="B772" s="44"/>
      <c r="C772" s="30"/>
      <c r="D772" s="30"/>
      <c r="E772" s="55"/>
      <c r="F772" s="55"/>
      <c r="G772" s="55"/>
      <c r="H772" s="55"/>
      <c r="I772" s="56"/>
      <c r="J772" s="46"/>
      <c r="K772" s="46"/>
      <c r="L772" s="46"/>
      <c r="M772" s="46"/>
      <c r="N772" s="46"/>
      <c r="O772" s="46"/>
      <c r="P772" s="46"/>
      <c r="Q772" s="46"/>
      <c r="R772" s="46"/>
      <c r="S772" s="46"/>
      <c r="T772" s="46"/>
      <c r="U772" s="46"/>
      <c r="V772" s="46"/>
      <c r="W772" s="46"/>
    </row>
    <row r="773">
      <c r="A773" s="44"/>
      <c r="B773" s="44"/>
      <c r="C773" s="30"/>
      <c r="D773" s="30"/>
      <c r="E773" s="55"/>
      <c r="F773" s="55"/>
      <c r="G773" s="55"/>
      <c r="H773" s="55"/>
      <c r="I773" s="56"/>
      <c r="J773" s="46"/>
      <c r="K773" s="46"/>
      <c r="L773" s="46"/>
      <c r="M773" s="46"/>
      <c r="N773" s="46"/>
      <c r="O773" s="46"/>
      <c r="P773" s="46"/>
      <c r="Q773" s="46"/>
      <c r="R773" s="46"/>
      <c r="S773" s="46"/>
      <c r="T773" s="46"/>
      <c r="U773" s="46"/>
      <c r="V773" s="46"/>
      <c r="W773" s="46"/>
    </row>
    <row r="774">
      <c r="A774" s="44"/>
      <c r="B774" s="44"/>
      <c r="C774" s="30"/>
      <c r="D774" s="30"/>
      <c r="E774" s="55"/>
      <c r="F774" s="55"/>
      <c r="G774" s="55"/>
      <c r="H774" s="55"/>
      <c r="I774" s="56"/>
      <c r="J774" s="46"/>
      <c r="K774" s="46"/>
      <c r="L774" s="46"/>
      <c r="M774" s="46"/>
      <c r="N774" s="46"/>
      <c r="O774" s="46"/>
      <c r="P774" s="46"/>
      <c r="Q774" s="46"/>
      <c r="R774" s="46"/>
      <c r="S774" s="46"/>
      <c r="T774" s="46"/>
      <c r="U774" s="46"/>
      <c r="V774" s="46"/>
      <c r="W774" s="46"/>
    </row>
    <row r="775">
      <c r="A775" s="44"/>
      <c r="B775" s="44"/>
      <c r="C775" s="30"/>
      <c r="D775" s="30"/>
      <c r="E775" s="55"/>
      <c r="F775" s="55"/>
      <c r="G775" s="55"/>
      <c r="H775" s="55"/>
      <c r="I775" s="56"/>
      <c r="J775" s="46"/>
      <c r="K775" s="46"/>
      <c r="L775" s="46"/>
      <c r="M775" s="46"/>
      <c r="N775" s="46"/>
      <c r="O775" s="46"/>
      <c r="P775" s="46"/>
      <c r="Q775" s="46"/>
      <c r="R775" s="46"/>
      <c r="S775" s="46"/>
      <c r="T775" s="46"/>
      <c r="U775" s="46"/>
      <c r="V775" s="46"/>
      <c r="W775" s="46"/>
    </row>
    <row r="776">
      <c r="A776" s="44"/>
      <c r="B776" s="44"/>
      <c r="C776" s="30"/>
      <c r="D776" s="30"/>
      <c r="E776" s="55"/>
      <c r="F776" s="55"/>
      <c r="G776" s="55"/>
      <c r="H776" s="55"/>
      <c r="I776" s="56"/>
      <c r="J776" s="46"/>
      <c r="K776" s="46"/>
      <c r="L776" s="46"/>
      <c r="M776" s="46"/>
      <c r="N776" s="46"/>
      <c r="O776" s="46"/>
      <c r="P776" s="46"/>
      <c r="Q776" s="46"/>
      <c r="R776" s="46"/>
      <c r="S776" s="46"/>
      <c r="T776" s="46"/>
      <c r="U776" s="46"/>
      <c r="V776" s="46"/>
      <c r="W776" s="46"/>
    </row>
    <row r="777">
      <c r="A777" s="44"/>
      <c r="B777" s="44"/>
      <c r="C777" s="30"/>
      <c r="D777" s="30"/>
      <c r="E777" s="55"/>
      <c r="F777" s="55"/>
      <c r="G777" s="55"/>
      <c r="H777" s="55"/>
      <c r="I777" s="56"/>
      <c r="J777" s="46"/>
      <c r="K777" s="46"/>
      <c r="L777" s="46"/>
      <c r="M777" s="46"/>
      <c r="N777" s="46"/>
      <c r="O777" s="46"/>
      <c r="P777" s="46"/>
      <c r="Q777" s="46"/>
      <c r="R777" s="46"/>
      <c r="S777" s="46"/>
      <c r="T777" s="46"/>
      <c r="U777" s="46"/>
      <c r="V777" s="46"/>
      <c r="W777" s="46"/>
    </row>
    <row r="778">
      <c r="A778" s="44"/>
      <c r="B778" s="44"/>
      <c r="C778" s="30"/>
      <c r="D778" s="30"/>
      <c r="E778" s="55"/>
      <c r="F778" s="55"/>
      <c r="G778" s="55"/>
      <c r="H778" s="55"/>
      <c r="I778" s="56"/>
      <c r="J778" s="46"/>
      <c r="K778" s="46"/>
      <c r="L778" s="46"/>
      <c r="M778" s="46"/>
      <c r="N778" s="46"/>
      <c r="O778" s="46"/>
      <c r="P778" s="46"/>
      <c r="Q778" s="46"/>
      <c r="R778" s="46"/>
      <c r="S778" s="46"/>
      <c r="T778" s="46"/>
      <c r="U778" s="46"/>
      <c r="V778" s="46"/>
      <c r="W778" s="46"/>
    </row>
    <row r="779">
      <c r="A779" s="44"/>
      <c r="B779" s="44"/>
      <c r="C779" s="30"/>
      <c r="D779" s="30"/>
      <c r="E779" s="55"/>
      <c r="F779" s="55"/>
      <c r="G779" s="55"/>
      <c r="H779" s="55"/>
      <c r="I779" s="56"/>
      <c r="J779" s="46"/>
      <c r="K779" s="46"/>
      <c r="L779" s="46"/>
      <c r="M779" s="46"/>
      <c r="N779" s="46"/>
      <c r="O779" s="46"/>
      <c r="P779" s="46"/>
      <c r="Q779" s="46"/>
      <c r="R779" s="46"/>
      <c r="S779" s="46"/>
      <c r="T779" s="46"/>
      <c r="U779" s="46"/>
      <c r="V779" s="46"/>
      <c r="W779" s="46"/>
    </row>
    <row r="780">
      <c r="A780" s="44"/>
      <c r="B780" s="44"/>
      <c r="C780" s="30"/>
      <c r="D780" s="30"/>
      <c r="E780" s="55"/>
      <c r="F780" s="55"/>
      <c r="G780" s="55"/>
      <c r="H780" s="55"/>
      <c r="I780" s="56"/>
      <c r="J780" s="46"/>
      <c r="K780" s="46"/>
      <c r="L780" s="46"/>
      <c r="M780" s="46"/>
      <c r="N780" s="46"/>
      <c r="O780" s="46"/>
      <c r="P780" s="46"/>
      <c r="Q780" s="46"/>
      <c r="R780" s="46"/>
      <c r="S780" s="46"/>
      <c r="T780" s="46"/>
      <c r="U780" s="46"/>
      <c r="V780" s="46"/>
      <c r="W780" s="46"/>
    </row>
    <row r="781">
      <c r="A781" s="44"/>
      <c r="B781" s="44"/>
      <c r="C781" s="30"/>
      <c r="D781" s="30"/>
      <c r="E781" s="55"/>
      <c r="F781" s="55"/>
      <c r="G781" s="55"/>
      <c r="H781" s="55"/>
      <c r="I781" s="56"/>
      <c r="J781" s="46"/>
      <c r="K781" s="46"/>
      <c r="L781" s="46"/>
      <c r="M781" s="46"/>
      <c r="N781" s="46"/>
      <c r="O781" s="46"/>
      <c r="P781" s="46"/>
      <c r="Q781" s="46"/>
      <c r="R781" s="46"/>
      <c r="S781" s="46"/>
      <c r="T781" s="46"/>
      <c r="U781" s="46"/>
      <c r="V781" s="46"/>
      <c r="W781" s="46"/>
    </row>
    <row r="782">
      <c r="A782" s="44"/>
      <c r="B782" s="44"/>
      <c r="C782" s="30"/>
      <c r="D782" s="30"/>
      <c r="E782" s="55"/>
      <c r="F782" s="55"/>
      <c r="G782" s="55"/>
      <c r="H782" s="55"/>
      <c r="I782" s="56"/>
      <c r="J782" s="46"/>
      <c r="K782" s="46"/>
      <c r="L782" s="46"/>
      <c r="M782" s="46"/>
      <c r="N782" s="46"/>
      <c r="O782" s="46"/>
      <c r="P782" s="46"/>
      <c r="Q782" s="46"/>
      <c r="R782" s="46"/>
      <c r="S782" s="46"/>
      <c r="T782" s="46"/>
      <c r="U782" s="46"/>
      <c r="V782" s="46"/>
      <c r="W782" s="46"/>
    </row>
    <row r="783">
      <c r="A783" s="44"/>
      <c r="B783" s="44"/>
      <c r="C783" s="30"/>
      <c r="D783" s="30"/>
      <c r="E783" s="55"/>
      <c r="F783" s="55"/>
      <c r="G783" s="55"/>
      <c r="H783" s="55"/>
      <c r="I783" s="56"/>
      <c r="J783" s="46"/>
      <c r="K783" s="46"/>
      <c r="L783" s="46"/>
      <c r="M783" s="46"/>
      <c r="N783" s="46"/>
      <c r="O783" s="46"/>
      <c r="P783" s="46"/>
      <c r="Q783" s="46"/>
      <c r="R783" s="46"/>
      <c r="S783" s="46"/>
      <c r="T783" s="46"/>
      <c r="U783" s="46"/>
      <c r="V783" s="46"/>
      <c r="W783" s="46"/>
    </row>
    <row r="784">
      <c r="A784" s="44"/>
      <c r="B784" s="44"/>
      <c r="C784" s="30"/>
      <c r="D784" s="30"/>
      <c r="E784" s="55"/>
      <c r="F784" s="55"/>
      <c r="G784" s="55"/>
      <c r="H784" s="55"/>
      <c r="I784" s="56"/>
      <c r="J784" s="46"/>
      <c r="K784" s="46"/>
      <c r="L784" s="46"/>
      <c r="M784" s="46"/>
      <c r="N784" s="46"/>
      <c r="O784" s="46"/>
      <c r="P784" s="46"/>
      <c r="Q784" s="46"/>
      <c r="R784" s="46"/>
      <c r="S784" s="46"/>
      <c r="T784" s="46"/>
      <c r="U784" s="46"/>
      <c r="V784" s="46"/>
      <c r="W784" s="46"/>
    </row>
    <row r="785">
      <c r="A785" s="44"/>
      <c r="B785" s="44"/>
      <c r="C785" s="30"/>
      <c r="D785" s="30"/>
      <c r="E785" s="55"/>
      <c r="F785" s="55"/>
      <c r="G785" s="55"/>
      <c r="H785" s="55"/>
      <c r="I785" s="56"/>
      <c r="J785" s="46"/>
      <c r="K785" s="46"/>
      <c r="L785" s="46"/>
      <c r="M785" s="46"/>
      <c r="N785" s="46"/>
      <c r="O785" s="46"/>
      <c r="P785" s="46"/>
      <c r="Q785" s="46"/>
      <c r="R785" s="46"/>
      <c r="S785" s="46"/>
      <c r="T785" s="46"/>
      <c r="U785" s="46"/>
      <c r="V785" s="46"/>
      <c r="W785" s="46"/>
    </row>
    <row r="786">
      <c r="A786" s="44"/>
      <c r="B786" s="44"/>
      <c r="C786" s="30"/>
      <c r="D786" s="30"/>
      <c r="E786" s="55"/>
      <c r="F786" s="55"/>
      <c r="G786" s="55"/>
      <c r="H786" s="55"/>
      <c r="I786" s="56"/>
      <c r="J786" s="46"/>
      <c r="K786" s="46"/>
      <c r="L786" s="46"/>
      <c r="M786" s="46"/>
      <c r="N786" s="46"/>
      <c r="O786" s="46"/>
      <c r="P786" s="46"/>
      <c r="Q786" s="46"/>
      <c r="R786" s="46"/>
      <c r="S786" s="46"/>
      <c r="T786" s="46"/>
      <c r="U786" s="46"/>
      <c r="V786" s="46"/>
      <c r="W786" s="46"/>
    </row>
    <row r="787">
      <c r="A787" s="44"/>
      <c r="B787" s="44"/>
      <c r="C787" s="30"/>
      <c r="D787" s="30"/>
      <c r="E787" s="55"/>
      <c r="F787" s="55"/>
      <c r="G787" s="55"/>
      <c r="H787" s="55"/>
      <c r="I787" s="56"/>
      <c r="J787" s="46"/>
      <c r="K787" s="46"/>
      <c r="L787" s="46"/>
      <c r="M787" s="46"/>
      <c r="N787" s="46"/>
      <c r="O787" s="46"/>
      <c r="P787" s="46"/>
      <c r="Q787" s="46"/>
      <c r="R787" s="46"/>
      <c r="S787" s="46"/>
      <c r="T787" s="46"/>
      <c r="U787" s="46"/>
      <c r="V787" s="46"/>
      <c r="W787" s="46"/>
    </row>
    <row r="788">
      <c r="A788" s="44"/>
      <c r="B788" s="44"/>
      <c r="C788" s="30"/>
      <c r="D788" s="30"/>
      <c r="E788" s="55"/>
      <c r="F788" s="55"/>
      <c r="G788" s="55"/>
      <c r="H788" s="55"/>
      <c r="I788" s="56"/>
      <c r="J788" s="46"/>
      <c r="K788" s="46"/>
      <c r="L788" s="46"/>
      <c r="M788" s="46"/>
      <c r="N788" s="46"/>
      <c r="O788" s="46"/>
      <c r="P788" s="46"/>
      <c r="Q788" s="46"/>
      <c r="R788" s="46"/>
      <c r="S788" s="46"/>
      <c r="T788" s="46"/>
      <c r="U788" s="46"/>
      <c r="V788" s="46"/>
      <c r="W788" s="46"/>
    </row>
    <row r="789">
      <c r="A789" s="44"/>
      <c r="B789" s="44"/>
      <c r="C789" s="30"/>
      <c r="D789" s="30"/>
      <c r="E789" s="55"/>
      <c r="F789" s="55"/>
      <c r="G789" s="55"/>
      <c r="H789" s="55"/>
      <c r="I789" s="56"/>
      <c r="J789" s="46"/>
      <c r="K789" s="46"/>
      <c r="L789" s="46"/>
      <c r="M789" s="46"/>
      <c r="N789" s="46"/>
      <c r="O789" s="46"/>
      <c r="P789" s="46"/>
      <c r="Q789" s="46"/>
      <c r="R789" s="46"/>
      <c r="S789" s="46"/>
      <c r="T789" s="46"/>
      <c r="U789" s="46"/>
      <c r="V789" s="46"/>
      <c r="W789" s="46"/>
    </row>
    <row r="790">
      <c r="A790" s="44"/>
      <c r="B790" s="44"/>
      <c r="C790" s="30"/>
      <c r="D790" s="30"/>
      <c r="E790" s="55"/>
      <c r="F790" s="55"/>
      <c r="G790" s="55"/>
      <c r="H790" s="55"/>
      <c r="I790" s="56"/>
      <c r="J790" s="46"/>
      <c r="K790" s="46"/>
      <c r="L790" s="46"/>
      <c r="M790" s="46"/>
      <c r="N790" s="46"/>
      <c r="O790" s="46"/>
      <c r="P790" s="46"/>
      <c r="Q790" s="46"/>
      <c r="R790" s="46"/>
      <c r="S790" s="46"/>
      <c r="T790" s="46"/>
      <c r="U790" s="46"/>
      <c r="V790" s="46"/>
      <c r="W790" s="46"/>
    </row>
    <row r="791">
      <c r="A791" s="44"/>
      <c r="B791" s="44"/>
      <c r="C791" s="30"/>
      <c r="D791" s="30"/>
      <c r="E791" s="55"/>
      <c r="F791" s="55"/>
      <c r="G791" s="55"/>
      <c r="H791" s="55"/>
      <c r="I791" s="56"/>
      <c r="J791" s="46"/>
      <c r="K791" s="46"/>
      <c r="L791" s="46"/>
      <c r="M791" s="46"/>
      <c r="N791" s="46"/>
      <c r="O791" s="46"/>
      <c r="P791" s="46"/>
      <c r="Q791" s="46"/>
      <c r="R791" s="46"/>
      <c r="S791" s="46"/>
      <c r="T791" s="46"/>
      <c r="U791" s="46"/>
      <c r="V791" s="46"/>
      <c r="W791" s="46"/>
    </row>
    <row r="792">
      <c r="A792" s="44"/>
      <c r="B792" s="44"/>
      <c r="C792" s="30"/>
      <c r="D792" s="30"/>
      <c r="E792" s="55"/>
      <c r="F792" s="55"/>
      <c r="G792" s="55"/>
      <c r="H792" s="55"/>
      <c r="I792" s="56"/>
      <c r="J792" s="46"/>
      <c r="K792" s="46"/>
      <c r="L792" s="46"/>
      <c r="M792" s="46"/>
      <c r="N792" s="46"/>
      <c r="O792" s="46"/>
      <c r="P792" s="46"/>
      <c r="Q792" s="46"/>
      <c r="R792" s="46"/>
      <c r="S792" s="46"/>
      <c r="T792" s="46"/>
      <c r="U792" s="46"/>
      <c r="V792" s="46"/>
      <c r="W792" s="46"/>
    </row>
    <row r="793">
      <c r="A793" s="44"/>
      <c r="B793" s="44"/>
      <c r="C793" s="30"/>
      <c r="D793" s="30"/>
      <c r="E793" s="55"/>
      <c r="F793" s="55"/>
      <c r="G793" s="55"/>
      <c r="H793" s="55"/>
      <c r="I793" s="56"/>
      <c r="J793" s="46"/>
      <c r="K793" s="46"/>
      <c r="L793" s="46"/>
      <c r="M793" s="46"/>
      <c r="N793" s="46"/>
      <c r="O793" s="46"/>
      <c r="P793" s="46"/>
      <c r="Q793" s="46"/>
      <c r="R793" s="46"/>
      <c r="S793" s="46"/>
      <c r="T793" s="46"/>
      <c r="U793" s="46"/>
      <c r="V793" s="46"/>
      <c r="W793" s="46"/>
    </row>
    <row r="794">
      <c r="A794" s="44"/>
      <c r="B794" s="44"/>
      <c r="C794" s="30"/>
      <c r="D794" s="30"/>
      <c r="E794" s="55"/>
      <c r="F794" s="55"/>
      <c r="G794" s="55"/>
      <c r="H794" s="55"/>
      <c r="I794" s="56"/>
      <c r="J794" s="46"/>
      <c r="K794" s="46"/>
      <c r="L794" s="46"/>
      <c r="M794" s="46"/>
      <c r="N794" s="46"/>
      <c r="O794" s="46"/>
      <c r="P794" s="46"/>
      <c r="Q794" s="46"/>
      <c r="R794" s="46"/>
      <c r="S794" s="46"/>
      <c r="T794" s="46"/>
      <c r="U794" s="46"/>
      <c r="V794" s="46"/>
      <c r="W794" s="46"/>
    </row>
    <row r="795">
      <c r="A795" s="44"/>
      <c r="B795" s="44"/>
      <c r="C795" s="30"/>
      <c r="D795" s="30"/>
      <c r="E795" s="55"/>
      <c r="F795" s="55"/>
      <c r="G795" s="55"/>
      <c r="H795" s="55"/>
      <c r="I795" s="56"/>
      <c r="J795" s="46"/>
      <c r="K795" s="46"/>
      <c r="L795" s="46"/>
      <c r="M795" s="46"/>
      <c r="N795" s="46"/>
      <c r="O795" s="46"/>
      <c r="P795" s="46"/>
      <c r="Q795" s="46"/>
      <c r="R795" s="46"/>
      <c r="S795" s="46"/>
      <c r="T795" s="46"/>
      <c r="U795" s="46"/>
      <c r="V795" s="46"/>
      <c r="W795" s="46"/>
    </row>
    <row r="796">
      <c r="A796" s="44"/>
      <c r="B796" s="44"/>
      <c r="C796" s="30"/>
      <c r="D796" s="30"/>
      <c r="E796" s="55"/>
      <c r="F796" s="55"/>
      <c r="G796" s="55"/>
      <c r="H796" s="55"/>
      <c r="I796" s="56"/>
      <c r="J796" s="46"/>
      <c r="K796" s="46"/>
      <c r="L796" s="46"/>
      <c r="M796" s="46"/>
      <c r="N796" s="46"/>
      <c r="O796" s="46"/>
      <c r="P796" s="46"/>
      <c r="Q796" s="46"/>
      <c r="R796" s="46"/>
      <c r="S796" s="46"/>
      <c r="T796" s="46"/>
      <c r="U796" s="46"/>
      <c r="V796" s="46"/>
      <c r="W796" s="46"/>
    </row>
    <row r="797">
      <c r="A797" s="44"/>
      <c r="B797" s="44"/>
      <c r="C797" s="30"/>
      <c r="D797" s="30"/>
      <c r="E797" s="55"/>
      <c r="F797" s="55"/>
      <c r="G797" s="55"/>
      <c r="H797" s="55"/>
      <c r="I797" s="56"/>
      <c r="J797" s="46"/>
      <c r="K797" s="46"/>
      <c r="L797" s="46"/>
      <c r="M797" s="46"/>
      <c r="N797" s="46"/>
      <c r="O797" s="46"/>
      <c r="P797" s="46"/>
      <c r="Q797" s="46"/>
      <c r="R797" s="46"/>
      <c r="S797" s="46"/>
      <c r="T797" s="46"/>
      <c r="U797" s="46"/>
      <c r="V797" s="46"/>
      <c r="W797" s="46"/>
    </row>
    <row r="798">
      <c r="A798" s="44"/>
      <c r="B798" s="44"/>
      <c r="C798" s="30"/>
      <c r="D798" s="30"/>
      <c r="E798" s="55"/>
      <c r="F798" s="55"/>
      <c r="G798" s="55"/>
      <c r="H798" s="55"/>
      <c r="I798" s="56"/>
      <c r="J798" s="46"/>
      <c r="K798" s="46"/>
      <c r="L798" s="46"/>
      <c r="M798" s="46"/>
      <c r="N798" s="46"/>
      <c r="O798" s="46"/>
      <c r="P798" s="46"/>
      <c r="Q798" s="46"/>
      <c r="R798" s="46"/>
      <c r="S798" s="46"/>
      <c r="T798" s="46"/>
      <c r="U798" s="46"/>
      <c r="V798" s="46"/>
      <c r="W798" s="46"/>
    </row>
    <row r="799">
      <c r="A799" s="44"/>
      <c r="B799" s="44"/>
      <c r="C799" s="30"/>
      <c r="D799" s="30"/>
      <c r="E799" s="55"/>
      <c r="F799" s="55"/>
      <c r="G799" s="55"/>
      <c r="H799" s="55"/>
      <c r="I799" s="56"/>
      <c r="J799" s="46"/>
      <c r="K799" s="46"/>
      <c r="L799" s="46"/>
      <c r="M799" s="46"/>
      <c r="N799" s="46"/>
      <c r="O799" s="46"/>
      <c r="P799" s="46"/>
      <c r="Q799" s="46"/>
      <c r="R799" s="46"/>
      <c r="S799" s="46"/>
      <c r="T799" s="46"/>
      <c r="U799" s="46"/>
      <c r="V799" s="46"/>
      <c r="W799" s="46"/>
    </row>
    <row r="800">
      <c r="A800" s="44"/>
      <c r="B800" s="44"/>
      <c r="C800" s="30"/>
      <c r="D800" s="30"/>
      <c r="E800" s="55"/>
      <c r="F800" s="55"/>
      <c r="G800" s="55"/>
      <c r="H800" s="55"/>
      <c r="I800" s="56"/>
      <c r="J800" s="46"/>
      <c r="K800" s="46"/>
      <c r="L800" s="46"/>
      <c r="M800" s="46"/>
      <c r="N800" s="46"/>
      <c r="O800" s="46"/>
      <c r="P800" s="46"/>
      <c r="Q800" s="46"/>
      <c r="R800" s="46"/>
      <c r="S800" s="46"/>
      <c r="T800" s="46"/>
      <c r="U800" s="46"/>
      <c r="V800" s="46"/>
      <c r="W800" s="46"/>
    </row>
    <row r="801">
      <c r="A801" s="44"/>
      <c r="B801" s="44"/>
      <c r="C801" s="30"/>
      <c r="D801" s="30"/>
      <c r="E801" s="55"/>
      <c r="F801" s="55"/>
      <c r="G801" s="55"/>
      <c r="H801" s="55"/>
      <c r="I801" s="56"/>
      <c r="J801" s="46"/>
      <c r="K801" s="46"/>
      <c r="L801" s="46"/>
      <c r="M801" s="46"/>
      <c r="N801" s="46"/>
      <c r="O801" s="46"/>
      <c r="P801" s="46"/>
      <c r="Q801" s="46"/>
      <c r="R801" s="46"/>
      <c r="S801" s="46"/>
      <c r="T801" s="46"/>
      <c r="U801" s="46"/>
      <c r="V801" s="46"/>
      <c r="W801" s="46"/>
    </row>
    <row r="802">
      <c r="A802" s="44"/>
      <c r="B802" s="44"/>
      <c r="C802" s="30"/>
      <c r="D802" s="30"/>
      <c r="E802" s="55"/>
      <c r="F802" s="55"/>
      <c r="G802" s="55"/>
      <c r="H802" s="55"/>
      <c r="I802" s="56"/>
      <c r="J802" s="46"/>
      <c r="K802" s="46"/>
      <c r="L802" s="46"/>
      <c r="M802" s="46"/>
      <c r="N802" s="46"/>
      <c r="O802" s="46"/>
      <c r="P802" s="46"/>
      <c r="Q802" s="46"/>
      <c r="R802" s="46"/>
      <c r="S802" s="46"/>
      <c r="T802" s="46"/>
      <c r="U802" s="46"/>
      <c r="V802" s="46"/>
      <c r="W802" s="46"/>
    </row>
    <row r="803">
      <c r="A803" s="44"/>
      <c r="B803" s="44"/>
      <c r="C803" s="30"/>
      <c r="D803" s="30"/>
      <c r="E803" s="55"/>
      <c r="F803" s="55"/>
      <c r="G803" s="55"/>
      <c r="H803" s="55"/>
      <c r="I803" s="56"/>
      <c r="J803" s="46"/>
      <c r="K803" s="46"/>
      <c r="L803" s="46"/>
      <c r="M803" s="46"/>
      <c r="N803" s="46"/>
      <c r="O803" s="46"/>
      <c r="P803" s="46"/>
      <c r="Q803" s="46"/>
      <c r="R803" s="46"/>
      <c r="S803" s="46"/>
      <c r="T803" s="46"/>
      <c r="U803" s="46"/>
      <c r="V803" s="46"/>
      <c r="W803" s="46"/>
    </row>
    <row r="804">
      <c r="A804" s="44"/>
      <c r="B804" s="44"/>
      <c r="C804" s="30"/>
      <c r="D804" s="30"/>
      <c r="E804" s="55"/>
      <c r="F804" s="55"/>
      <c r="G804" s="55"/>
      <c r="H804" s="55"/>
      <c r="I804" s="56"/>
      <c r="J804" s="46"/>
      <c r="K804" s="46"/>
      <c r="L804" s="46"/>
      <c r="M804" s="46"/>
      <c r="N804" s="46"/>
      <c r="O804" s="46"/>
      <c r="P804" s="46"/>
      <c r="Q804" s="46"/>
      <c r="R804" s="46"/>
      <c r="S804" s="46"/>
      <c r="T804" s="46"/>
      <c r="U804" s="46"/>
      <c r="V804" s="46"/>
      <c r="W804" s="46"/>
    </row>
    <row r="805">
      <c r="A805" s="44"/>
      <c r="B805" s="44"/>
      <c r="C805" s="30"/>
      <c r="D805" s="30"/>
      <c r="E805" s="55"/>
      <c r="F805" s="55"/>
      <c r="G805" s="55"/>
      <c r="H805" s="55"/>
      <c r="I805" s="56"/>
      <c r="J805" s="46"/>
      <c r="K805" s="46"/>
      <c r="L805" s="46"/>
      <c r="M805" s="46"/>
      <c r="N805" s="46"/>
      <c r="O805" s="46"/>
      <c r="P805" s="46"/>
      <c r="Q805" s="46"/>
      <c r="R805" s="46"/>
      <c r="S805" s="46"/>
      <c r="T805" s="46"/>
      <c r="U805" s="46"/>
      <c r="V805" s="46"/>
      <c r="W805" s="46"/>
    </row>
    <row r="806">
      <c r="A806" s="44"/>
      <c r="B806" s="44"/>
      <c r="C806" s="30"/>
      <c r="D806" s="30"/>
      <c r="E806" s="55"/>
      <c r="F806" s="55"/>
      <c r="G806" s="55"/>
      <c r="H806" s="55"/>
      <c r="I806" s="56"/>
      <c r="J806" s="46"/>
      <c r="K806" s="46"/>
      <c r="L806" s="46"/>
      <c r="M806" s="46"/>
      <c r="N806" s="46"/>
      <c r="O806" s="46"/>
      <c r="P806" s="46"/>
      <c r="Q806" s="46"/>
      <c r="R806" s="46"/>
      <c r="S806" s="46"/>
      <c r="T806" s="46"/>
      <c r="U806" s="46"/>
      <c r="V806" s="46"/>
      <c r="W806" s="46"/>
    </row>
    <row r="807">
      <c r="A807" s="44"/>
      <c r="B807" s="44"/>
      <c r="C807" s="30"/>
      <c r="D807" s="30"/>
      <c r="E807" s="55"/>
      <c r="F807" s="55"/>
      <c r="G807" s="55"/>
      <c r="H807" s="55"/>
      <c r="I807" s="56"/>
      <c r="J807" s="46"/>
      <c r="K807" s="46"/>
      <c r="L807" s="46"/>
      <c r="M807" s="46"/>
      <c r="N807" s="46"/>
      <c r="O807" s="46"/>
      <c r="P807" s="46"/>
      <c r="Q807" s="46"/>
      <c r="R807" s="46"/>
      <c r="S807" s="46"/>
      <c r="T807" s="46"/>
      <c r="U807" s="46"/>
      <c r="V807" s="46"/>
      <c r="W807" s="46"/>
    </row>
    <row r="808">
      <c r="A808" s="44"/>
      <c r="B808" s="44"/>
      <c r="C808" s="30"/>
      <c r="D808" s="30"/>
      <c r="E808" s="55"/>
      <c r="F808" s="55"/>
      <c r="G808" s="55"/>
      <c r="H808" s="55"/>
      <c r="I808" s="56"/>
      <c r="J808" s="46"/>
      <c r="K808" s="46"/>
      <c r="L808" s="46"/>
      <c r="M808" s="46"/>
      <c r="N808" s="46"/>
      <c r="O808" s="46"/>
      <c r="P808" s="46"/>
      <c r="Q808" s="46"/>
      <c r="R808" s="46"/>
      <c r="S808" s="46"/>
      <c r="T808" s="46"/>
      <c r="U808" s="46"/>
      <c r="V808" s="46"/>
      <c r="W808" s="46"/>
    </row>
    <row r="809">
      <c r="A809" s="44"/>
      <c r="B809" s="44"/>
      <c r="C809" s="30"/>
      <c r="D809" s="30"/>
      <c r="E809" s="55"/>
      <c r="F809" s="55"/>
      <c r="G809" s="55"/>
      <c r="H809" s="55"/>
      <c r="I809" s="56"/>
      <c r="J809" s="46"/>
      <c r="K809" s="46"/>
      <c r="L809" s="46"/>
      <c r="M809" s="46"/>
      <c r="N809" s="46"/>
      <c r="O809" s="46"/>
      <c r="P809" s="46"/>
      <c r="Q809" s="46"/>
      <c r="R809" s="46"/>
      <c r="S809" s="46"/>
      <c r="T809" s="46"/>
      <c r="U809" s="46"/>
      <c r="V809" s="46"/>
      <c r="W809" s="46"/>
    </row>
    <row r="810">
      <c r="A810" s="44"/>
      <c r="B810" s="44"/>
      <c r="C810" s="30"/>
      <c r="D810" s="30"/>
      <c r="E810" s="55"/>
      <c r="F810" s="55"/>
      <c r="G810" s="55"/>
      <c r="H810" s="55"/>
      <c r="I810" s="56"/>
      <c r="J810" s="46"/>
      <c r="K810" s="46"/>
      <c r="L810" s="46"/>
      <c r="M810" s="46"/>
      <c r="N810" s="46"/>
      <c r="O810" s="46"/>
      <c r="P810" s="46"/>
      <c r="Q810" s="46"/>
      <c r="R810" s="46"/>
      <c r="S810" s="46"/>
      <c r="T810" s="46"/>
      <c r="U810" s="46"/>
      <c r="V810" s="46"/>
      <c r="W810" s="46"/>
    </row>
    <row r="811">
      <c r="A811" s="44"/>
      <c r="B811" s="44"/>
      <c r="C811" s="30"/>
      <c r="D811" s="30"/>
      <c r="E811" s="55"/>
      <c r="F811" s="55"/>
      <c r="G811" s="55"/>
      <c r="H811" s="55"/>
      <c r="I811" s="56"/>
      <c r="J811" s="46"/>
      <c r="K811" s="46"/>
      <c r="L811" s="46"/>
      <c r="M811" s="46"/>
      <c r="N811" s="46"/>
      <c r="O811" s="46"/>
      <c r="P811" s="46"/>
      <c r="Q811" s="46"/>
      <c r="R811" s="46"/>
      <c r="S811" s="46"/>
      <c r="T811" s="46"/>
      <c r="U811" s="46"/>
      <c r="V811" s="46"/>
      <c r="W811" s="46"/>
    </row>
    <row r="812">
      <c r="A812" s="44"/>
      <c r="B812" s="44"/>
      <c r="C812" s="30"/>
      <c r="D812" s="30"/>
      <c r="E812" s="55"/>
      <c r="F812" s="55"/>
      <c r="G812" s="55"/>
      <c r="H812" s="55"/>
      <c r="I812" s="56"/>
      <c r="J812" s="46"/>
      <c r="K812" s="46"/>
      <c r="L812" s="46"/>
      <c r="M812" s="46"/>
      <c r="N812" s="46"/>
      <c r="O812" s="46"/>
      <c r="P812" s="46"/>
      <c r="Q812" s="46"/>
      <c r="R812" s="46"/>
      <c r="S812" s="46"/>
      <c r="T812" s="46"/>
      <c r="U812" s="46"/>
      <c r="V812" s="46"/>
      <c r="W812" s="46"/>
    </row>
    <row r="813">
      <c r="A813" s="44"/>
      <c r="B813" s="44"/>
      <c r="C813" s="30"/>
      <c r="D813" s="30"/>
      <c r="E813" s="55"/>
      <c r="F813" s="55"/>
      <c r="G813" s="55"/>
      <c r="H813" s="55"/>
      <c r="I813" s="56"/>
      <c r="J813" s="46"/>
      <c r="K813" s="46"/>
      <c r="L813" s="46"/>
      <c r="M813" s="46"/>
      <c r="N813" s="46"/>
      <c r="O813" s="46"/>
      <c r="P813" s="46"/>
      <c r="Q813" s="46"/>
      <c r="R813" s="46"/>
      <c r="S813" s="46"/>
      <c r="T813" s="46"/>
      <c r="U813" s="46"/>
      <c r="V813" s="46"/>
      <c r="W813" s="46"/>
    </row>
    <row r="814">
      <c r="A814" s="44"/>
      <c r="B814" s="44"/>
      <c r="C814" s="30"/>
      <c r="D814" s="30"/>
      <c r="E814" s="55"/>
      <c r="F814" s="55"/>
      <c r="G814" s="55"/>
      <c r="H814" s="55"/>
      <c r="I814" s="56"/>
      <c r="J814" s="46"/>
      <c r="K814" s="46"/>
      <c r="L814" s="46"/>
      <c r="M814" s="46"/>
      <c r="N814" s="46"/>
      <c r="O814" s="46"/>
      <c r="P814" s="46"/>
      <c r="Q814" s="46"/>
      <c r="R814" s="46"/>
      <c r="S814" s="46"/>
      <c r="T814" s="46"/>
      <c r="U814" s="46"/>
      <c r="V814" s="46"/>
      <c r="W814" s="46"/>
    </row>
    <row r="815">
      <c r="A815" s="44"/>
      <c r="B815" s="44"/>
      <c r="C815" s="30"/>
      <c r="D815" s="30"/>
      <c r="E815" s="55"/>
      <c r="F815" s="55"/>
      <c r="G815" s="55"/>
      <c r="H815" s="55"/>
      <c r="I815" s="56"/>
      <c r="J815" s="46"/>
      <c r="K815" s="46"/>
      <c r="L815" s="46"/>
      <c r="M815" s="46"/>
      <c r="N815" s="46"/>
      <c r="O815" s="46"/>
      <c r="P815" s="46"/>
      <c r="Q815" s="46"/>
      <c r="R815" s="46"/>
      <c r="S815" s="46"/>
      <c r="T815" s="46"/>
      <c r="U815" s="46"/>
      <c r="V815" s="46"/>
      <c r="W815" s="46"/>
    </row>
    <row r="816">
      <c r="A816" s="44"/>
      <c r="B816" s="44"/>
      <c r="C816" s="30"/>
      <c r="D816" s="30"/>
      <c r="E816" s="55"/>
      <c r="F816" s="55"/>
      <c r="G816" s="55"/>
      <c r="H816" s="55"/>
      <c r="I816" s="56"/>
      <c r="J816" s="46"/>
      <c r="K816" s="46"/>
      <c r="L816" s="46"/>
      <c r="M816" s="46"/>
      <c r="N816" s="46"/>
      <c r="O816" s="46"/>
      <c r="P816" s="46"/>
      <c r="Q816" s="46"/>
      <c r="R816" s="46"/>
      <c r="S816" s="46"/>
      <c r="T816" s="46"/>
      <c r="U816" s="46"/>
      <c r="V816" s="46"/>
      <c r="W816" s="46"/>
    </row>
    <row r="817">
      <c r="A817" s="44"/>
      <c r="B817" s="44"/>
      <c r="C817" s="30"/>
      <c r="D817" s="30"/>
      <c r="E817" s="55"/>
      <c r="F817" s="55"/>
      <c r="G817" s="55"/>
      <c r="H817" s="55"/>
      <c r="I817" s="56"/>
      <c r="J817" s="46"/>
      <c r="K817" s="46"/>
      <c r="L817" s="46"/>
      <c r="M817" s="46"/>
      <c r="N817" s="46"/>
      <c r="O817" s="46"/>
      <c r="P817" s="46"/>
      <c r="Q817" s="46"/>
      <c r="R817" s="46"/>
      <c r="S817" s="46"/>
      <c r="T817" s="46"/>
      <c r="U817" s="46"/>
      <c r="V817" s="46"/>
      <c r="W817" s="46"/>
    </row>
    <row r="818">
      <c r="A818" s="44"/>
      <c r="B818" s="44"/>
      <c r="C818" s="30"/>
      <c r="D818" s="30"/>
      <c r="E818" s="55"/>
      <c r="F818" s="55"/>
      <c r="G818" s="55"/>
      <c r="H818" s="55"/>
      <c r="I818" s="56"/>
      <c r="J818" s="46"/>
      <c r="K818" s="46"/>
      <c r="L818" s="46"/>
      <c r="M818" s="46"/>
      <c r="N818" s="46"/>
      <c r="O818" s="46"/>
      <c r="P818" s="46"/>
      <c r="Q818" s="46"/>
      <c r="R818" s="46"/>
      <c r="S818" s="46"/>
      <c r="T818" s="46"/>
      <c r="U818" s="46"/>
      <c r="V818" s="46"/>
      <c r="W818" s="46"/>
    </row>
    <row r="819">
      <c r="A819" s="44"/>
      <c r="B819" s="44"/>
      <c r="C819" s="30"/>
      <c r="D819" s="30"/>
      <c r="E819" s="55"/>
      <c r="F819" s="55"/>
      <c r="G819" s="55"/>
      <c r="H819" s="55"/>
      <c r="I819" s="56"/>
      <c r="J819" s="46"/>
      <c r="K819" s="46"/>
      <c r="L819" s="46"/>
      <c r="M819" s="46"/>
      <c r="N819" s="46"/>
      <c r="O819" s="46"/>
      <c r="P819" s="46"/>
      <c r="Q819" s="46"/>
      <c r="R819" s="46"/>
      <c r="S819" s="46"/>
      <c r="T819" s="46"/>
      <c r="U819" s="46"/>
      <c r="V819" s="46"/>
      <c r="W819" s="46"/>
    </row>
    <row r="820">
      <c r="A820" s="44"/>
      <c r="B820" s="44"/>
      <c r="C820" s="30"/>
      <c r="D820" s="30"/>
      <c r="E820" s="55"/>
      <c r="F820" s="55"/>
      <c r="G820" s="55"/>
      <c r="H820" s="55"/>
      <c r="I820" s="56"/>
      <c r="J820" s="46"/>
      <c r="K820" s="46"/>
      <c r="L820" s="46"/>
      <c r="M820" s="46"/>
      <c r="N820" s="46"/>
      <c r="O820" s="46"/>
      <c r="P820" s="46"/>
      <c r="Q820" s="46"/>
      <c r="R820" s="46"/>
      <c r="S820" s="46"/>
      <c r="T820" s="46"/>
      <c r="U820" s="46"/>
      <c r="V820" s="46"/>
      <c r="W820" s="46"/>
    </row>
    <row r="821">
      <c r="A821" s="44"/>
      <c r="B821" s="44"/>
      <c r="C821" s="30"/>
      <c r="D821" s="30"/>
      <c r="E821" s="55"/>
      <c r="F821" s="55"/>
      <c r="G821" s="55"/>
      <c r="H821" s="55"/>
      <c r="I821" s="56"/>
      <c r="J821" s="46"/>
      <c r="K821" s="46"/>
      <c r="L821" s="46"/>
      <c r="M821" s="46"/>
      <c r="N821" s="46"/>
      <c r="O821" s="46"/>
      <c r="P821" s="46"/>
      <c r="Q821" s="46"/>
      <c r="R821" s="46"/>
      <c r="S821" s="46"/>
      <c r="T821" s="46"/>
      <c r="U821" s="46"/>
      <c r="V821" s="46"/>
      <c r="W821" s="46"/>
    </row>
    <row r="822">
      <c r="A822" s="44"/>
      <c r="B822" s="44"/>
      <c r="C822" s="30"/>
      <c r="D822" s="30"/>
      <c r="E822" s="55"/>
      <c r="F822" s="55"/>
      <c r="G822" s="55"/>
      <c r="H822" s="55"/>
      <c r="I822" s="56"/>
      <c r="J822" s="46"/>
      <c r="K822" s="46"/>
      <c r="L822" s="46"/>
      <c r="M822" s="46"/>
      <c r="N822" s="46"/>
      <c r="O822" s="46"/>
      <c r="P822" s="46"/>
      <c r="Q822" s="46"/>
      <c r="R822" s="46"/>
      <c r="S822" s="46"/>
      <c r="T822" s="46"/>
      <c r="U822" s="46"/>
      <c r="V822" s="46"/>
      <c r="W822" s="46"/>
    </row>
    <row r="823">
      <c r="A823" s="44"/>
      <c r="B823" s="44"/>
      <c r="C823" s="30"/>
      <c r="D823" s="30"/>
      <c r="E823" s="55"/>
      <c r="F823" s="55"/>
      <c r="G823" s="55"/>
      <c r="H823" s="55"/>
      <c r="I823" s="56"/>
      <c r="J823" s="46"/>
      <c r="K823" s="46"/>
      <c r="L823" s="46"/>
      <c r="M823" s="46"/>
      <c r="N823" s="46"/>
      <c r="O823" s="46"/>
      <c r="P823" s="46"/>
      <c r="Q823" s="46"/>
      <c r="R823" s="46"/>
      <c r="S823" s="46"/>
      <c r="T823" s="46"/>
      <c r="U823" s="46"/>
      <c r="V823" s="46"/>
      <c r="W823" s="46"/>
    </row>
    <row r="824">
      <c r="A824" s="44"/>
      <c r="B824" s="44"/>
      <c r="C824" s="30"/>
      <c r="D824" s="30"/>
      <c r="E824" s="55"/>
      <c r="F824" s="55"/>
      <c r="G824" s="55"/>
      <c r="H824" s="55"/>
      <c r="I824" s="56"/>
      <c r="J824" s="46"/>
      <c r="K824" s="46"/>
      <c r="L824" s="46"/>
      <c r="M824" s="46"/>
      <c r="N824" s="46"/>
      <c r="O824" s="46"/>
      <c r="P824" s="46"/>
      <c r="Q824" s="46"/>
      <c r="R824" s="46"/>
      <c r="S824" s="46"/>
      <c r="T824" s="46"/>
      <c r="U824" s="46"/>
      <c r="V824" s="46"/>
      <c r="W824" s="46"/>
    </row>
    <row r="825">
      <c r="A825" s="44"/>
      <c r="B825" s="44"/>
      <c r="C825" s="30"/>
      <c r="D825" s="30"/>
      <c r="E825" s="55"/>
      <c r="F825" s="55"/>
      <c r="G825" s="55"/>
      <c r="H825" s="55"/>
      <c r="I825" s="56"/>
      <c r="J825" s="46"/>
      <c r="K825" s="46"/>
      <c r="L825" s="46"/>
      <c r="M825" s="46"/>
      <c r="N825" s="46"/>
      <c r="O825" s="46"/>
      <c r="P825" s="46"/>
      <c r="Q825" s="46"/>
      <c r="R825" s="46"/>
      <c r="S825" s="46"/>
      <c r="T825" s="46"/>
      <c r="U825" s="46"/>
      <c r="V825" s="46"/>
      <c r="W825" s="46"/>
    </row>
    <row r="826">
      <c r="A826" s="44"/>
      <c r="B826" s="44"/>
      <c r="C826" s="30"/>
      <c r="D826" s="30"/>
      <c r="E826" s="55"/>
      <c r="F826" s="55"/>
      <c r="G826" s="55"/>
      <c r="H826" s="55"/>
      <c r="I826" s="56"/>
      <c r="J826" s="46"/>
      <c r="K826" s="46"/>
      <c r="L826" s="46"/>
      <c r="M826" s="46"/>
      <c r="N826" s="46"/>
      <c r="O826" s="46"/>
      <c r="P826" s="46"/>
      <c r="Q826" s="46"/>
      <c r="R826" s="46"/>
      <c r="S826" s="46"/>
      <c r="T826" s="46"/>
      <c r="U826" s="46"/>
      <c r="V826" s="46"/>
      <c r="W826" s="46"/>
    </row>
    <row r="827">
      <c r="A827" s="44"/>
      <c r="B827" s="44"/>
      <c r="C827" s="30"/>
      <c r="D827" s="30"/>
      <c r="E827" s="55"/>
      <c r="F827" s="55"/>
      <c r="G827" s="55"/>
      <c r="H827" s="55"/>
      <c r="I827" s="56"/>
      <c r="J827" s="46"/>
      <c r="K827" s="46"/>
      <c r="L827" s="46"/>
      <c r="M827" s="46"/>
      <c r="N827" s="46"/>
      <c r="O827" s="46"/>
      <c r="P827" s="46"/>
      <c r="Q827" s="46"/>
      <c r="R827" s="46"/>
      <c r="S827" s="46"/>
      <c r="T827" s="46"/>
      <c r="U827" s="46"/>
      <c r="V827" s="46"/>
      <c r="W827" s="46"/>
    </row>
    <row r="828">
      <c r="A828" s="44"/>
      <c r="B828" s="44"/>
      <c r="C828" s="30"/>
      <c r="D828" s="30"/>
      <c r="E828" s="55"/>
      <c r="F828" s="55"/>
      <c r="G828" s="55"/>
      <c r="H828" s="55"/>
      <c r="I828" s="56"/>
      <c r="J828" s="46"/>
      <c r="K828" s="46"/>
      <c r="L828" s="46"/>
      <c r="M828" s="46"/>
      <c r="N828" s="46"/>
      <c r="O828" s="46"/>
      <c r="P828" s="46"/>
      <c r="Q828" s="46"/>
      <c r="R828" s="46"/>
      <c r="S828" s="46"/>
      <c r="T828" s="46"/>
      <c r="U828" s="46"/>
      <c r="V828" s="46"/>
      <c r="W828" s="46"/>
    </row>
    <row r="829">
      <c r="A829" s="44"/>
      <c r="B829" s="44"/>
      <c r="C829" s="30"/>
      <c r="D829" s="30"/>
      <c r="E829" s="55"/>
      <c r="F829" s="55"/>
      <c r="G829" s="55"/>
      <c r="H829" s="55"/>
      <c r="I829" s="56"/>
      <c r="J829" s="46"/>
      <c r="K829" s="46"/>
      <c r="L829" s="46"/>
      <c r="M829" s="46"/>
      <c r="N829" s="46"/>
      <c r="O829" s="46"/>
      <c r="P829" s="46"/>
      <c r="Q829" s="46"/>
      <c r="R829" s="46"/>
      <c r="S829" s="46"/>
      <c r="T829" s="46"/>
      <c r="U829" s="46"/>
      <c r="V829" s="46"/>
      <c r="W829" s="46"/>
    </row>
    <row r="830">
      <c r="A830" s="44"/>
      <c r="B830" s="44"/>
      <c r="C830" s="30"/>
      <c r="D830" s="30"/>
      <c r="E830" s="55"/>
      <c r="F830" s="55"/>
      <c r="G830" s="55"/>
      <c r="H830" s="55"/>
      <c r="I830" s="56"/>
      <c r="J830" s="46"/>
      <c r="K830" s="46"/>
      <c r="L830" s="46"/>
      <c r="M830" s="46"/>
      <c r="N830" s="46"/>
      <c r="O830" s="46"/>
      <c r="P830" s="46"/>
      <c r="Q830" s="46"/>
      <c r="R830" s="46"/>
      <c r="S830" s="46"/>
      <c r="T830" s="46"/>
      <c r="U830" s="46"/>
      <c r="V830" s="46"/>
      <c r="W830" s="46"/>
    </row>
    <row r="831">
      <c r="A831" s="44"/>
      <c r="B831" s="44"/>
      <c r="C831" s="30"/>
      <c r="D831" s="30"/>
      <c r="E831" s="55"/>
      <c r="F831" s="55"/>
      <c r="G831" s="55"/>
      <c r="H831" s="55"/>
      <c r="I831" s="56"/>
      <c r="J831" s="46"/>
      <c r="K831" s="46"/>
      <c r="L831" s="46"/>
      <c r="M831" s="46"/>
      <c r="N831" s="46"/>
      <c r="O831" s="46"/>
      <c r="P831" s="46"/>
      <c r="Q831" s="46"/>
      <c r="R831" s="46"/>
      <c r="S831" s="46"/>
      <c r="T831" s="46"/>
      <c r="U831" s="46"/>
      <c r="V831" s="46"/>
      <c r="W831" s="46"/>
    </row>
    <row r="832">
      <c r="A832" s="44"/>
      <c r="B832" s="44"/>
      <c r="C832" s="30"/>
      <c r="D832" s="30"/>
      <c r="E832" s="55"/>
      <c r="F832" s="55"/>
      <c r="G832" s="55"/>
      <c r="H832" s="55"/>
      <c r="I832" s="56"/>
      <c r="J832" s="46"/>
      <c r="K832" s="46"/>
      <c r="L832" s="46"/>
      <c r="M832" s="46"/>
      <c r="N832" s="46"/>
      <c r="O832" s="46"/>
      <c r="P832" s="46"/>
      <c r="Q832" s="46"/>
      <c r="R832" s="46"/>
      <c r="S832" s="46"/>
      <c r="T832" s="46"/>
      <c r="U832" s="46"/>
      <c r="V832" s="46"/>
      <c r="W832" s="46"/>
    </row>
    <row r="833">
      <c r="A833" s="44"/>
      <c r="B833" s="44"/>
      <c r="C833" s="30"/>
      <c r="D833" s="30"/>
      <c r="E833" s="55"/>
      <c r="F833" s="55"/>
      <c r="G833" s="55"/>
      <c r="H833" s="55"/>
      <c r="I833" s="56"/>
      <c r="J833" s="46"/>
      <c r="K833" s="46"/>
      <c r="L833" s="46"/>
      <c r="M833" s="46"/>
      <c r="N833" s="46"/>
      <c r="O833" s="46"/>
      <c r="P833" s="46"/>
      <c r="Q833" s="46"/>
      <c r="R833" s="46"/>
      <c r="S833" s="46"/>
      <c r="T833" s="46"/>
      <c r="U833" s="46"/>
      <c r="V833" s="46"/>
      <c r="W833" s="46"/>
    </row>
    <row r="834">
      <c r="A834" s="44"/>
      <c r="B834" s="44"/>
      <c r="C834" s="30"/>
      <c r="D834" s="30"/>
      <c r="E834" s="55"/>
      <c r="F834" s="55"/>
      <c r="G834" s="55"/>
      <c r="H834" s="55"/>
      <c r="I834" s="56"/>
      <c r="J834" s="46"/>
      <c r="K834" s="46"/>
      <c r="L834" s="46"/>
      <c r="M834" s="46"/>
      <c r="N834" s="46"/>
      <c r="O834" s="46"/>
      <c r="P834" s="46"/>
      <c r="Q834" s="46"/>
      <c r="R834" s="46"/>
      <c r="S834" s="46"/>
      <c r="T834" s="46"/>
      <c r="U834" s="46"/>
      <c r="V834" s="46"/>
      <c r="W834" s="46"/>
    </row>
    <row r="835">
      <c r="A835" s="44"/>
      <c r="B835" s="44"/>
      <c r="C835" s="30"/>
      <c r="D835" s="30"/>
      <c r="E835" s="55"/>
      <c r="F835" s="55"/>
      <c r="G835" s="55"/>
      <c r="H835" s="55"/>
      <c r="I835" s="56"/>
      <c r="J835" s="46"/>
      <c r="K835" s="46"/>
      <c r="L835" s="46"/>
      <c r="M835" s="46"/>
      <c r="N835" s="46"/>
      <c r="O835" s="46"/>
      <c r="P835" s="46"/>
      <c r="Q835" s="46"/>
      <c r="R835" s="46"/>
      <c r="S835" s="46"/>
      <c r="T835" s="46"/>
      <c r="U835" s="46"/>
      <c r="V835" s="46"/>
      <c r="W835" s="46"/>
    </row>
    <row r="836">
      <c r="A836" s="44"/>
      <c r="B836" s="44"/>
      <c r="C836" s="30"/>
      <c r="D836" s="30"/>
      <c r="E836" s="55"/>
      <c r="F836" s="55"/>
      <c r="G836" s="55"/>
      <c r="H836" s="55"/>
      <c r="I836" s="56"/>
      <c r="J836" s="46"/>
      <c r="K836" s="46"/>
      <c r="L836" s="46"/>
      <c r="M836" s="46"/>
      <c r="N836" s="46"/>
      <c r="O836" s="46"/>
      <c r="P836" s="46"/>
      <c r="Q836" s="46"/>
      <c r="R836" s="46"/>
      <c r="S836" s="46"/>
      <c r="T836" s="46"/>
      <c r="U836" s="46"/>
      <c r="V836" s="46"/>
      <c r="W836" s="46"/>
    </row>
    <row r="837">
      <c r="A837" s="44"/>
      <c r="B837" s="44"/>
      <c r="C837" s="30"/>
      <c r="D837" s="30"/>
      <c r="E837" s="55"/>
      <c r="F837" s="55"/>
      <c r="G837" s="55"/>
      <c r="H837" s="55"/>
      <c r="I837" s="56"/>
      <c r="J837" s="46"/>
      <c r="K837" s="46"/>
      <c r="L837" s="46"/>
      <c r="M837" s="46"/>
      <c r="N837" s="46"/>
      <c r="O837" s="46"/>
      <c r="P837" s="46"/>
      <c r="Q837" s="46"/>
      <c r="R837" s="46"/>
      <c r="S837" s="46"/>
      <c r="T837" s="46"/>
      <c r="U837" s="46"/>
      <c r="V837" s="46"/>
      <c r="W837" s="46"/>
    </row>
    <row r="838">
      <c r="A838" s="44"/>
      <c r="B838" s="44"/>
      <c r="C838" s="30"/>
      <c r="D838" s="30"/>
      <c r="E838" s="55"/>
      <c r="F838" s="55"/>
      <c r="G838" s="55"/>
      <c r="H838" s="55"/>
      <c r="I838" s="56"/>
      <c r="J838" s="46"/>
      <c r="K838" s="46"/>
      <c r="L838" s="46"/>
      <c r="M838" s="46"/>
      <c r="N838" s="46"/>
      <c r="O838" s="46"/>
      <c r="P838" s="46"/>
      <c r="Q838" s="46"/>
      <c r="R838" s="46"/>
      <c r="S838" s="46"/>
      <c r="T838" s="46"/>
      <c r="U838" s="46"/>
      <c r="V838" s="46"/>
      <c r="W838" s="46"/>
    </row>
    <row r="839">
      <c r="A839" s="44"/>
      <c r="B839" s="44"/>
      <c r="C839" s="30"/>
      <c r="D839" s="30"/>
      <c r="E839" s="55"/>
      <c r="F839" s="55"/>
      <c r="G839" s="55"/>
      <c r="H839" s="55"/>
      <c r="I839" s="56"/>
      <c r="J839" s="46"/>
      <c r="K839" s="46"/>
      <c r="L839" s="46"/>
      <c r="M839" s="46"/>
      <c r="N839" s="46"/>
      <c r="O839" s="46"/>
      <c r="P839" s="46"/>
      <c r="Q839" s="46"/>
      <c r="R839" s="46"/>
      <c r="S839" s="46"/>
      <c r="T839" s="46"/>
      <c r="U839" s="46"/>
      <c r="V839" s="46"/>
      <c r="W839" s="46"/>
    </row>
    <row r="840">
      <c r="A840" s="44"/>
      <c r="B840" s="44"/>
      <c r="C840" s="30"/>
      <c r="D840" s="30"/>
      <c r="E840" s="55"/>
      <c r="F840" s="55"/>
      <c r="G840" s="55"/>
      <c r="H840" s="55"/>
      <c r="I840" s="56"/>
      <c r="J840" s="46"/>
      <c r="K840" s="46"/>
      <c r="L840" s="46"/>
      <c r="M840" s="46"/>
      <c r="N840" s="46"/>
      <c r="O840" s="46"/>
      <c r="P840" s="46"/>
      <c r="Q840" s="46"/>
      <c r="R840" s="46"/>
      <c r="S840" s="46"/>
      <c r="T840" s="46"/>
      <c r="U840" s="46"/>
      <c r="V840" s="46"/>
      <c r="W840" s="46"/>
    </row>
    <row r="841">
      <c r="A841" s="44"/>
      <c r="B841" s="44"/>
      <c r="C841" s="30"/>
      <c r="D841" s="30"/>
      <c r="E841" s="55"/>
      <c r="F841" s="55"/>
      <c r="G841" s="55"/>
      <c r="H841" s="55"/>
      <c r="I841" s="56"/>
      <c r="J841" s="46"/>
      <c r="K841" s="46"/>
      <c r="L841" s="46"/>
      <c r="M841" s="46"/>
      <c r="N841" s="46"/>
      <c r="O841" s="46"/>
      <c r="P841" s="46"/>
      <c r="Q841" s="46"/>
      <c r="R841" s="46"/>
      <c r="S841" s="46"/>
      <c r="T841" s="46"/>
      <c r="U841" s="46"/>
      <c r="V841" s="46"/>
      <c r="W841" s="46"/>
    </row>
    <row r="842">
      <c r="A842" s="44"/>
      <c r="B842" s="44"/>
      <c r="C842" s="30"/>
      <c r="D842" s="30"/>
      <c r="E842" s="55"/>
      <c r="F842" s="55"/>
      <c r="G842" s="55"/>
      <c r="H842" s="55"/>
      <c r="I842" s="56"/>
      <c r="J842" s="46"/>
      <c r="K842" s="46"/>
      <c r="L842" s="46"/>
      <c r="M842" s="46"/>
      <c r="N842" s="46"/>
      <c r="O842" s="46"/>
      <c r="P842" s="46"/>
      <c r="Q842" s="46"/>
      <c r="R842" s="46"/>
      <c r="S842" s="46"/>
      <c r="T842" s="46"/>
      <c r="U842" s="46"/>
      <c r="V842" s="46"/>
      <c r="W842" s="46"/>
    </row>
    <row r="843">
      <c r="A843" s="44"/>
      <c r="B843" s="44"/>
      <c r="C843" s="30"/>
      <c r="D843" s="30"/>
      <c r="E843" s="55"/>
      <c r="F843" s="55"/>
      <c r="G843" s="55"/>
      <c r="H843" s="55"/>
      <c r="I843" s="56"/>
      <c r="J843" s="46"/>
      <c r="K843" s="46"/>
      <c r="L843" s="46"/>
      <c r="M843" s="46"/>
      <c r="N843" s="46"/>
      <c r="O843" s="46"/>
      <c r="P843" s="46"/>
      <c r="Q843" s="46"/>
      <c r="R843" s="46"/>
      <c r="S843" s="46"/>
      <c r="T843" s="46"/>
      <c r="U843" s="46"/>
      <c r="V843" s="46"/>
      <c r="W843" s="46"/>
    </row>
    <row r="844">
      <c r="A844" s="44"/>
      <c r="B844" s="44"/>
      <c r="C844" s="30"/>
      <c r="D844" s="30"/>
      <c r="E844" s="55"/>
      <c r="F844" s="55"/>
      <c r="G844" s="55"/>
      <c r="H844" s="55"/>
      <c r="I844" s="56"/>
      <c r="J844" s="46"/>
      <c r="K844" s="46"/>
      <c r="L844" s="46"/>
      <c r="M844" s="46"/>
      <c r="N844" s="46"/>
      <c r="O844" s="46"/>
      <c r="P844" s="46"/>
      <c r="Q844" s="46"/>
      <c r="R844" s="46"/>
      <c r="S844" s="46"/>
      <c r="T844" s="46"/>
      <c r="U844" s="46"/>
      <c r="V844" s="46"/>
      <c r="W844" s="46"/>
    </row>
    <row r="845">
      <c r="A845" s="44"/>
      <c r="B845" s="44"/>
      <c r="C845" s="30"/>
      <c r="D845" s="30"/>
      <c r="E845" s="55"/>
      <c r="F845" s="55"/>
      <c r="G845" s="55"/>
      <c r="H845" s="55"/>
      <c r="I845" s="56"/>
      <c r="J845" s="46"/>
      <c r="K845" s="46"/>
      <c r="L845" s="46"/>
      <c r="M845" s="46"/>
      <c r="N845" s="46"/>
      <c r="O845" s="46"/>
      <c r="P845" s="46"/>
      <c r="Q845" s="46"/>
      <c r="R845" s="46"/>
      <c r="S845" s="46"/>
      <c r="T845" s="46"/>
      <c r="U845" s="46"/>
      <c r="V845" s="46"/>
      <c r="W845" s="46"/>
    </row>
    <row r="846">
      <c r="A846" s="44"/>
      <c r="B846" s="44"/>
      <c r="C846" s="30"/>
      <c r="D846" s="30"/>
      <c r="E846" s="55"/>
      <c r="F846" s="55"/>
      <c r="G846" s="55"/>
      <c r="H846" s="55"/>
      <c r="I846" s="56"/>
      <c r="J846" s="46"/>
      <c r="K846" s="46"/>
      <c r="L846" s="46"/>
      <c r="M846" s="46"/>
      <c r="N846" s="46"/>
      <c r="O846" s="46"/>
      <c r="P846" s="46"/>
      <c r="Q846" s="46"/>
      <c r="R846" s="46"/>
      <c r="S846" s="46"/>
      <c r="T846" s="46"/>
      <c r="U846" s="46"/>
      <c r="V846" s="46"/>
      <c r="W846" s="46"/>
    </row>
    <row r="847">
      <c r="A847" s="44"/>
      <c r="B847" s="44"/>
      <c r="C847" s="30"/>
      <c r="D847" s="30"/>
      <c r="E847" s="55"/>
      <c r="F847" s="55"/>
      <c r="G847" s="55"/>
      <c r="H847" s="55"/>
      <c r="I847" s="56"/>
      <c r="J847" s="46"/>
      <c r="K847" s="46"/>
      <c r="L847" s="46"/>
      <c r="M847" s="46"/>
      <c r="N847" s="46"/>
      <c r="O847" s="46"/>
      <c r="P847" s="46"/>
      <c r="Q847" s="46"/>
      <c r="R847" s="46"/>
      <c r="S847" s="46"/>
      <c r="T847" s="46"/>
      <c r="U847" s="46"/>
      <c r="V847" s="46"/>
      <c r="W847" s="46"/>
    </row>
    <row r="848">
      <c r="A848" s="44"/>
      <c r="B848" s="44"/>
      <c r="C848" s="30"/>
      <c r="D848" s="30"/>
      <c r="E848" s="55"/>
      <c r="F848" s="55"/>
      <c r="G848" s="55"/>
      <c r="H848" s="55"/>
      <c r="I848" s="56"/>
      <c r="J848" s="46"/>
      <c r="K848" s="46"/>
      <c r="L848" s="46"/>
      <c r="M848" s="46"/>
      <c r="N848" s="46"/>
      <c r="O848" s="46"/>
      <c r="P848" s="46"/>
      <c r="Q848" s="46"/>
      <c r="R848" s="46"/>
      <c r="S848" s="46"/>
      <c r="T848" s="46"/>
      <c r="U848" s="46"/>
      <c r="V848" s="46"/>
      <c r="W848" s="46"/>
    </row>
    <row r="849">
      <c r="A849" s="44"/>
      <c r="B849" s="44"/>
      <c r="C849" s="30"/>
      <c r="D849" s="30"/>
      <c r="E849" s="55"/>
      <c r="F849" s="55"/>
      <c r="G849" s="55"/>
      <c r="H849" s="55"/>
      <c r="I849" s="56"/>
      <c r="J849" s="46"/>
      <c r="K849" s="46"/>
      <c r="L849" s="46"/>
      <c r="M849" s="46"/>
      <c r="N849" s="46"/>
      <c r="O849" s="46"/>
      <c r="P849" s="46"/>
      <c r="Q849" s="46"/>
      <c r="R849" s="46"/>
      <c r="S849" s="46"/>
      <c r="T849" s="46"/>
      <c r="U849" s="46"/>
      <c r="V849" s="46"/>
      <c r="W849" s="46"/>
    </row>
    <row r="850">
      <c r="A850" s="44"/>
      <c r="B850" s="44"/>
      <c r="C850" s="30"/>
      <c r="D850" s="30"/>
      <c r="E850" s="55"/>
      <c r="F850" s="55"/>
      <c r="G850" s="55"/>
      <c r="H850" s="55"/>
      <c r="I850" s="56"/>
      <c r="J850" s="46"/>
      <c r="K850" s="46"/>
      <c r="L850" s="46"/>
      <c r="M850" s="46"/>
      <c r="N850" s="46"/>
      <c r="O850" s="46"/>
      <c r="P850" s="46"/>
      <c r="Q850" s="46"/>
      <c r="R850" s="46"/>
      <c r="S850" s="46"/>
      <c r="T850" s="46"/>
      <c r="U850" s="46"/>
      <c r="V850" s="46"/>
      <c r="W850" s="46"/>
    </row>
    <row r="851">
      <c r="A851" s="44"/>
      <c r="B851" s="44"/>
      <c r="C851" s="30"/>
      <c r="D851" s="30"/>
      <c r="E851" s="55"/>
      <c r="F851" s="55"/>
      <c r="G851" s="55"/>
      <c r="H851" s="55"/>
      <c r="I851" s="56"/>
      <c r="J851" s="46"/>
      <c r="K851" s="46"/>
      <c r="L851" s="46"/>
      <c r="M851" s="46"/>
      <c r="N851" s="46"/>
      <c r="O851" s="46"/>
      <c r="P851" s="46"/>
      <c r="Q851" s="46"/>
      <c r="R851" s="46"/>
      <c r="S851" s="46"/>
      <c r="T851" s="46"/>
      <c r="U851" s="46"/>
      <c r="V851" s="46"/>
      <c r="W851" s="46"/>
    </row>
    <row r="852">
      <c r="A852" s="44"/>
      <c r="B852" s="44"/>
      <c r="C852" s="30"/>
      <c r="D852" s="30"/>
      <c r="E852" s="55"/>
      <c r="F852" s="55"/>
      <c r="G852" s="55"/>
      <c r="H852" s="55"/>
      <c r="I852" s="56"/>
      <c r="J852" s="46"/>
      <c r="K852" s="46"/>
      <c r="L852" s="46"/>
      <c r="M852" s="46"/>
      <c r="N852" s="46"/>
      <c r="O852" s="46"/>
      <c r="P852" s="46"/>
      <c r="Q852" s="46"/>
      <c r="R852" s="46"/>
      <c r="S852" s="46"/>
      <c r="T852" s="46"/>
      <c r="U852" s="46"/>
      <c r="V852" s="46"/>
      <c r="W852" s="46"/>
    </row>
    <row r="853">
      <c r="A853" s="44"/>
      <c r="B853" s="44"/>
      <c r="C853" s="30"/>
      <c r="D853" s="30"/>
      <c r="E853" s="55"/>
      <c r="F853" s="55"/>
      <c r="G853" s="55"/>
      <c r="H853" s="55"/>
      <c r="I853" s="56"/>
      <c r="J853" s="46"/>
      <c r="K853" s="46"/>
      <c r="L853" s="46"/>
      <c r="M853" s="46"/>
      <c r="N853" s="46"/>
      <c r="O853" s="46"/>
      <c r="P853" s="46"/>
      <c r="Q853" s="46"/>
      <c r="R853" s="46"/>
      <c r="S853" s="46"/>
      <c r="T853" s="46"/>
      <c r="U853" s="46"/>
      <c r="V853" s="46"/>
      <c r="W853" s="46"/>
    </row>
    <row r="854">
      <c r="A854" s="44"/>
      <c r="B854" s="44"/>
      <c r="C854" s="30"/>
      <c r="D854" s="30"/>
      <c r="E854" s="55"/>
      <c r="F854" s="55"/>
      <c r="G854" s="55"/>
      <c r="H854" s="55"/>
      <c r="I854" s="56"/>
      <c r="J854" s="46"/>
      <c r="K854" s="46"/>
      <c r="L854" s="46"/>
      <c r="M854" s="46"/>
      <c r="N854" s="46"/>
      <c r="O854" s="46"/>
      <c r="P854" s="46"/>
      <c r="Q854" s="46"/>
      <c r="R854" s="46"/>
      <c r="S854" s="46"/>
      <c r="T854" s="46"/>
      <c r="U854" s="46"/>
      <c r="V854" s="46"/>
      <c r="W854" s="46"/>
    </row>
    <row r="855">
      <c r="A855" s="44"/>
      <c r="B855" s="44"/>
      <c r="C855" s="30"/>
      <c r="D855" s="30"/>
      <c r="E855" s="55"/>
      <c r="F855" s="55"/>
      <c r="G855" s="55"/>
      <c r="H855" s="55"/>
      <c r="I855" s="56"/>
      <c r="J855" s="46"/>
      <c r="K855" s="46"/>
      <c r="L855" s="46"/>
      <c r="M855" s="46"/>
      <c r="N855" s="46"/>
      <c r="O855" s="46"/>
      <c r="P855" s="46"/>
      <c r="Q855" s="46"/>
      <c r="R855" s="46"/>
      <c r="S855" s="46"/>
      <c r="T855" s="46"/>
      <c r="U855" s="46"/>
      <c r="V855" s="46"/>
      <c r="W855" s="46"/>
    </row>
    <row r="856">
      <c r="A856" s="44"/>
      <c r="B856" s="44"/>
      <c r="C856" s="30"/>
      <c r="D856" s="30"/>
      <c r="E856" s="55"/>
      <c r="F856" s="55"/>
      <c r="G856" s="55"/>
      <c r="H856" s="55"/>
      <c r="I856" s="56"/>
      <c r="J856" s="46"/>
      <c r="K856" s="46"/>
      <c r="L856" s="46"/>
      <c r="M856" s="46"/>
      <c r="N856" s="46"/>
      <c r="O856" s="46"/>
      <c r="P856" s="46"/>
      <c r="Q856" s="46"/>
      <c r="R856" s="46"/>
      <c r="S856" s="46"/>
      <c r="T856" s="46"/>
      <c r="U856" s="46"/>
      <c r="V856" s="46"/>
      <c r="W856" s="46"/>
    </row>
    <row r="857">
      <c r="A857" s="44"/>
      <c r="B857" s="44"/>
      <c r="C857" s="30"/>
      <c r="D857" s="30"/>
      <c r="E857" s="55"/>
      <c r="F857" s="55"/>
      <c r="G857" s="55"/>
      <c r="H857" s="55"/>
      <c r="I857" s="56"/>
      <c r="J857" s="46"/>
      <c r="K857" s="46"/>
      <c r="L857" s="46"/>
      <c r="M857" s="46"/>
      <c r="N857" s="46"/>
      <c r="O857" s="46"/>
      <c r="P857" s="46"/>
      <c r="Q857" s="46"/>
      <c r="R857" s="46"/>
      <c r="S857" s="46"/>
      <c r="T857" s="46"/>
      <c r="U857" s="46"/>
      <c r="V857" s="46"/>
      <c r="W857" s="46"/>
    </row>
    <row r="858">
      <c r="A858" s="44"/>
      <c r="B858" s="44"/>
      <c r="C858" s="30"/>
      <c r="D858" s="30"/>
      <c r="E858" s="55"/>
      <c r="F858" s="55"/>
      <c r="G858" s="55"/>
      <c r="H858" s="55"/>
      <c r="I858" s="56"/>
      <c r="J858" s="46"/>
      <c r="K858" s="46"/>
      <c r="L858" s="46"/>
      <c r="M858" s="46"/>
      <c r="N858" s="46"/>
      <c r="O858" s="46"/>
      <c r="P858" s="46"/>
      <c r="Q858" s="46"/>
      <c r="R858" s="46"/>
      <c r="S858" s="46"/>
      <c r="T858" s="46"/>
      <c r="U858" s="46"/>
      <c r="V858" s="46"/>
      <c r="W858" s="46"/>
    </row>
    <row r="859">
      <c r="A859" s="44"/>
      <c r="B859" s="44"/>
      <c r="C859" s="30"/>
      <c r="D859" s="30"/>
      <c r="E859" s="55"/>
      <c r="F859" s="55"/>
      <c r="G859" s="55"/>
      <c r="H859" s="55"/>
      <c r="I859" s="56"/>
      <c r="J859" s="46"/>
      <c r="K859" s="46"/>
      <c r="L859" s="46"/>
      <c r="M859" s="46"/>
      <c r="N859" s="46"/>
      <c r="O859" s="46"/>
      <c r="P859" s="46"/>
      <c r="Q859" s="46"/>
      <c r="R859" s="46"/>
      <c r="S859" s="46"/>
      <c r="T859" s="46"/>
      <c r="U859" s="46"/>
      <c r="V859" s="46"/>
      <c r="W859" s="46"/>
    </row>
    <row r="860">
      <c r="A860" s="44"/>
      <c r="B860" s="44"/>
      <c r="C860" s="30"/>
      <c r="D860" s="30"/>
      <c r="E860" s="55"/>
      <c r="F860" s="55"/>
      <c r="G860" s="55"/>
      <c r="H860" s="55"/>
      <c r="I860" s="56"/>
      <c r="J860" s="46"/>
      <c r="K860" s="46"/>
      <c r="L860" s="46"/>
      <c r="M860" s="46"/>
      <c r="N860" s="46"/>
      <c r="O860" s="46"/>
      <c r="P860" s="46"/>
      <c r="Q860" s="46"/>
      <c r="R860" s="46"/>
      <c r="S860" s="46"/>
      <c r="T860" s="46"/>
      <c r="U860" s="46"/>
      <c r="V860" s="46"/>
      <c r="W860" s="46"/>
    </row>
    <row r="861">
      <c r="A861" s="44"/>
      <c r="B861" s="44"/>
      <c r="C861" s="30"/>
      <c r="D861" s="30"/>
      <c r="E861" s="55"/>
      <c r="F861" s="55"/>
      <c r="G861" s="55"/>
      <c r="H861" s="55"/>
      <c r="I861" s="56"/>
      <c r="J861" s="46"/>
      <c r="K861" s="46"/>
      <c r="L861" s="46"/>
      <c r="M861" s="46"/>
      <c r="N861" s="46"/>
      <c r="O861" s="46"/>
      <c r="P861" s="46"/>
      <c r="Q861" s="46"/>
      <c r="R861" s="46"/>
      <c r="S861" s="46"/>
      <c r="T861" s="46"/>
      <c r="U861" s="46"/>
      <c r="V861" s="46"/>
      <c r="W861" s="46"/>
    </row>
    <row r="862">
      <c r="A862" s="44"/>
      <c r="B862" s="44"/>
      <c r="C862" s="30"/>
      <c r="D862" s="30"/>
      <c r="E862" s="55"/>
      <c r="F862" s="55"/>
      <c r="G862" s="55"/>
      <c r="H862" s="55"/>
      <c r="I862" s="56"/>
      <c r="J862" s="46"/>
      <c r="K862" s="46"/>
      <c r="L862" s="46"/>
      <c r="M862" s="46"/>
      <c r="N862" s="46"/>
      <c r="O862" s="46"/>
      <c r="P862" s="46"/>
      <c r="Q862" s="46"/>
      <c r="R862" s="46"/>
      <c r="S862" s="46"/>
      <c r="T862" s="46"/>
      <c r="U862" s="46"/>
      <c r="V862" s="46"/>
      <c r="W862" s="46"/>
    </row>
    <row r="863">
      <c r="A863" s="44"/>
      <c r="B863" s="44"/>
      <c r="C863" s="30"/>
      <c r="D863" s="30"/>
      <c r="E863" s="55"/>
      <c r="F863" s="55"/>
      <c r="G863" s="55"/>
      <c r="H863" s="55"/>
      <c r="I863" s="56"/>
      <c r="J863" s="46"/>
      <c r="K863" s="46"/>
      <c r="L863" s="46"/>
      <c r="M863" s="46"/>
      <c r="N863" s="46"/>
      <c r="O863" s="46"/>
      <c r="P863" s="46"/>
      <c r="Q863" s="46"/>
      <c r="R863" s="46"/>
      <c r="S863" s="46"/>
      <c r="T863" s="46"/>
      <c r="U863" s="46"/>
      <c r="V863" s="46"/>
      <c r="W863" s="46"/>
    </row>
    <row r="864">
      <c r="A864" s="44"/>
      <c r="B864" s="44"/>
      <c r="C864" s="30"/>
      <c r="D864" s="30"/>
      <c r="E864" s="55"/>
      <c r="F864" s="55"/>
      <c r="G864" s="55"/>
      <c r="H864" s="55"/>
      <c r="I864" s="56"/>
      <c r="J864" s="46"/>
      <c r="K864" s="46"/>
      <c r="L864" s="46"/>
      <c r="M864" s="46"/>
      <c r="N864" s="46"/>
      <c r="O864" s="46"/>
      <c r="P864" s="46"/>
      <c r="Q864" s="46"/>
      <c r="R864" s="46"/>
      <c r="S864" s="46"/>
      <c r="T864" s="46"/>
      <c r="U864" s="46"/>
      <c r="V864" s="46"/>
      <c r="W864" s="46"/>
    </row>
    <row r="865">
      <c r="A865" s="44"/>
      <c r="B865" s="44"/>
      <c r="C865" s="30"/>
      <c r="D865" s="30"/>
      <c r="E865" s="55"/>
      <c r="F865" s="55"/>
      <c r="G865" s="55"/>
      <c r="H865" s="55"/>
      <c r="I865" s="56"/>
      <c r="J865" s="46"/>
      <c r="K865" s="46"/>
      <c r="L865" s="46"/>
      <c r="M865" s="46"/>
      <c r="N865" s="46"/>
      <c r="O865" s="46"/>
      <c r="P865" s="46"/>
      <c r="Q865" s="46"/>
      <c r="R865" s="46"/>
      <c r="S865" s="46"/>
      <c r="T865" s="46"/>
      <c r="U865" s="46"/>
      <c r="V865" s="46"/>
      <c r="W865" s="46"/>
    </row>
    <row r="866">
      <c r="A866" s="44"/>
      <c r="B866" s="44"/>
      <c r="C866" s="30"/>
      <c r="D866" s="30"/>
      <c r="E866" s="55"/>
      <c r="F866" s="55"/>
      <c r="G866" s="55"/>
      <c r="H866" s="55"/>
      <c r="I866" s="56"/>
      <c r="J866" s="46"/>
      <c r="K866" s="46"/>
      <c r="L866" s="46"/>
      <c r="M866" s="46"/>
      <c r="N866" s="46"/>
      <c r="O866" s="46"/>
      <c r="P866" s="46"/>
      <c r="Q866" s="46"/>
      <c r="R866" s="46"/>
      <c r="S866" s="46"/>
      <c r="T866" s="46"/>
      <c r="U866" s="46"/>
      <c r="V866" s="46"/>
      <c r="W866" s="46"/>
    </row>
    <row r="867">
      <c r="A867" s="44"/>
      <c r="B867" s="44"/>
      <c r="C867" s="30"/>
      <c r="D867" s="30"/>
      <c r="E867" s="55"/>
      <c r="F867" s="55"/>
      <c r="G867" s="55"/>
      <c r="H867" s="55"/>
      <c r="I867" s="56"/>
      <c r="J867" s="46"/>
      <c r="K867" s="46"/>
      <c r="L867" s="46"/>
      <c r="M867" s="46"/>
      <c r="N867" s="46"/>
      <c r="O867" s="46"/>
      <c r="P867" s="46"/>
      <c r="Q867" s="46"/>
      <c r="R867" s="46"/>
      <c r="S867" s="46"/>
      <c r="T867" s="46"/>
      <c r="U867" s="46"/>
      <c r="V867" s="46"/>
      <c r="W867" s="46"/>
    </row>
    <row r="868">
      <c r="A868" s="44"/>
      <c r="B868" s="44"/>
      <c r="C868" s="30"/>
      <c r="D868" s="30"/>
      <c r="E868" s="55"/>
      <c r="F868" s="55"/>
      <c r="G868" s="55"/>
      <c r="H868" s="55"/>
      <c r="I868" s="56"/>
      <c r="J868" s="46"/>
      <c r="K868" s="46"/>
      <c r="L868" s="46"/>
      <c r="M868" s="46"/>
      <c r="N868" s="46"/>
      <c r="O868" s="46"/>
      <c r="P868" s="46"/>
      <c r="Q868" s="46"/>
      <c r="R868" s="46"/>
      <c r="S868" s="46"/>
      <c r="T868" s="46"/>
      <c r="U868" s="46"/>
      <c r="V868" s="46"/>
      <c r="W868" s="46"/>
    </row>
    <row r="869">
      <c r="A869" s="44"/>
      <c r="B869" s="44"/>
      <c r="C869" s="30"/>
      <c r="D869" s="30"/>
      <c r="E869" s="55"/>
      <c r="F869" s="55"/>
      <c r="G869" s="55"/>
      <c r="H869" s="55"/>
      <c r="I869" s="56"/>
      <c r="J869" s="46"/>
      <c r="K869" s="46"/>
      <c r="L869" s="46"/>
      <c r="M869" s="46"/>
      <c r="N869" s="46"/>
      <c r="O869" s="46"/>
      <c r="P869" s="46"/>
      <c r="Q869" s="46"/>
      <c r="R869" s="46"/>
      <c r="S869" s="46"/>
      <c r="T869" s="46"/>
      <c r="U869" s="46"/>
      <c r="V869" s="46"/>
      <c r="W869" s="46"/>
    </row>
    <row r="870">
      <c r="A870" s="44"/>
      <c r="B870" s="44"/>
      <c r="C870" s="30"/>
      <c r="D870" s="30"/>
      <c r="E870" s="55"/>
      <c r="F870" s="55"/>
      <c r="G870" s="55"/>
      <c r="H870" s="55"/>
      <c r="I870" s="56"/>
      <c r="J870" s="46"/>
      <c r="K870" s="46"/>
      <c r="L870" s="46"/>
      <c r="M870" s="46"/>
      <c r="N870" s="46"/>
      <c r="O870" s="46"/>
      <c r="P870" s="46"/>
      <c r="Q870" s="46"/>
      <c r="R870" s="46"/>
      <c r="S870" s="46"/>
      <c r="T870" s="46"/>
      <c r="U870" s="46"/>
      <c r="V870" s="46"/>
      <c r="W870" s="46"/>
    </row>
    <row r="871">
      <c r="A871" s="44"/>
      <c r="B871" s="44"/>
      <c r="C871" s="30"/>
      <c r="D871" s="30"/>
      <c r="E871" s="55"/>
      <c r="F871" s="55"/>
      <c r="G871" s="55"/>
      <c r="H871" s="55"/>
      <c r="I871" s="56"/>
      <c r="J871" s="46"/>
      <c r="K871" s="46"/>
      <c r="L871" s="46"/>
      <c r="M871" s="46"/>
      <c r="N871" s="46"/>
      <c r="O871" s="46"/>
      <c r="P871" s="46"/>
      <c r="Q871" s="46"/>
      <c r="R871" s="46"/>
      <c r="S871" s="46"/>
      <c r="T871" s="46"/>
      <c r="U871" s="46"/>
      <c r="V871" s="46"/>
      <c r="W871" s="46"/>
    </row>
    <row r="872">
      <c r="A872" s="44"/>
      <c r="B872" s="44"/>
      <c r="C872" s="30"/>
      <c r="D872" s="30"/>
      <c r="E872" s="55"/>
      <c r="F872" s="55"/>
      <c r="G872" s="55"/>
      <c r="H872" s="55"/>
      <c r="I872" s="56"/>
      <c r="J872" s="46"/>
      <c r="K872" s="46"/>
      <c r="L872" s="46"/>
      <c r="M872" s="46"/>
      <c r="N872" s="46"/>
      <c r="O872" s="46"/>
      <c r="P872" s="46"/>
      <c r="Q872" s="46"/>
      <c r="R872" s="46"/>
      <c r="S872" s="46"/>
      <c r="T872" s="46"/>
      <c r="U872" s="46"/>
      <c r="V872" s="46"/>
      <c r="W872" s="46"/>
    </row>
    <row r="873">
      <c r="A873" s="44"/>
      <c r="B873" s="44"/>
      <c r="C873" s="30"/>
      <c r="D873" s="30"/>
      <c r="E873" s="55"/>
      <c r="F873" s="55"/>
      <c r="G873" s="55"/>
      <c r="H873" s="55"/>
      <c r="I873" s="56"/>
      <c r="J873" s="46"/>
      <c r="K873" s="46"/>
      <c r="L873" s="46"/>
      <c r="M873" s="46"/>
      <c r="N873" s="46"/>
      <c r="O873" s="46"/>
      <c r="P873" s="46"/>
      <c r="Q873" s="46"/>
      <c r="R873" s="46"/>
      <c r="S873" s="46"/>
      <c r="T873" s="46"/>
      <c r="U873" s="46"/>
      <c r="V873" s="46"/>
      <c r="W873" s="46"/>
    </row>
    <row r="874">
      <c r="A874" s="44"/>
      <c r="B874" s="44"/>
      <c r="C874" s="30"/>
      <c r="D874" s="30"/>
      <c r="E874" s="55"/>
      <c r="F874" s="55"/>
      <c r="G874" s="55"/>
      <c r="H874" s="55"/>
      <c r="I874" s="56"/>
      <c r="J874" s="46"/>
      <c r="K874" s="46"/>
      <c r="L874" s="46"/>
      <c r="M874" s="46"/>
      <c r="N874" s="46"/>
      <c r="O874" s="46"/>
      <c r="P874" s="46"/>
      <c r="Q874" s="46"/>
      <c r="R874" s="46"/>
      <c r="S874" s="46"/>
      <c r="T874" s="46"/>
      <c r="U874" s="46"/>
      <c r="V874" s="46"/>
      <c r="W874" s="46"/>
    </row>
    <row r="875">
      <c r="A875" s="44"/>
      <c r="B875" s="44"/>
      <c r="C875" s="30"/>
      <c r="D875" s="30"/>
      <c r="E875" s="55"/>
      <c r="F875" s="55"/>
      <c r="G875" s="55"/>
      <c r="H875" s="55"/>
      <c r="I875" s="56"/>
      <c r="J875" s="46"/>
      <c r="K875" s="46"/>
      <c r="L875" s="46"/>
      <c r="M875" s="46"/>
      <c r="N875" s="46"/>
      <c r="O875" s="46"/>
      <c r="P875" s="46"/>
      <c r="Q875" s="46"/>
      <c r="R875" s="46"/>
      <c r="S875" s="46"/>
      <c r="T875" s="46"/>
      <c r="U875" s="46"/>
      <c r="V875" s="46"/>
      <c r="W875" s="46"/>
    </row>
    <row r="876">
      <c r="A876" s="44"/>
      <c r="B876" s="44"/>
      <c r="C876" s="30"/>
      <c r="D876" s="30"/>
      <c r="E876" s="55"/>
      <c r="F876" s="55"/>
      <c r="G876" s="55"/>
      <c r="H876" s="55"/>
      <c r="I876" s="56"/>
      <c r="J876" s="46"/>
      <c r="K876" s="46"/>
      <c r="L876" s="46"/>
      <c r="M876" s="46"/>
      <c r="N876" s="46"/>
      <c r="O876" s="46"/>
      <c r="P876" s="46"/>
      <c r="Q876" s="46"/>
      <c r="R876" s="46"/>
      <c r="S876" s="46"/>
      <c r="T876" s="46"/>
      <c r="U876" s="46"/>
      <c r="V876" s="46"/>
      <c r="W876" s="46"/>
    </row>
    <row r="877">
      <c r="A877" s="44"/>
      <c r="B877" s="44"/>
      <c r="C877" s="30"/>
      <c r="D877" s="30"/>
      <c r="E877" s="55"/>
      <c r="F877" s="55"/>
      <c r="G877" s="55"/>
      <c r="H877" s="55"/>
      <c r="I877" s="56"/>
      <c r="J877" s="46"/>
      <c r="K877" s="46"/>
      <c r="L877" s="46"/>
      <c r="M877" s="46"/>
      <c r="N877" s="46"/>
      <c r="O877" s="46"/>
      <c r="P877" s="46"/>
      <c r="Q877" s="46"/>
      <c r="R877" s="46"/>
      <c r="S877" s="46"/>
      <c r="T877" s="46"/>
      <c r="U877" s="46"/>
      <c r="V877" s="46"/>
      <c r="W877" s="46"/>
    </row>
    <row r="878">
      <c r="A878" s="44"/>
      <c r="B878" s="44"/>
      <c r="C878" s="30"/>
      <c r="D878" s="30"/>
      <c r="E878" s="55"/>
      <c r="F878" s="55"/>
      <c r="G878" s="55"/>
      <c r="H878" s="55"/>
      <c r="I878" s="56"/>
      <c r="J878" s="46"/>
      <c r="K878" s="46"/>
      <c r="L878" s="46"/>
      <c r="M878" s="46"/>
      <c r="N878" s="46"/>
      <c r="O878" s="46"/>
      <c r="P878" s="46"/>
      <c r="Q878" s="46"/>
      <c r="R878" s="46"/>
      <c r="S878" s="46"/>
      <c r="T878" s="46"/>
      <c r="U878" s="46"/>
      <c r="V878" s="46"/>
      <c r="W878" s="46"/>
    </row>
    <row r="879">
      <c r="A879" s="44"/>
      <c r="B879" s="44"/>
      <c r="C879" s="30"/>
      <c r="D879" s="30"/>
      <c r="E879" s="55"/>
      <c r="F879" s="55"/>
      <c r="G879" s="55"/>
      <c r="H879" s="55"/>
      <c r="I879" s="56"/>
      <c r="J879" s="46"/>
      <c r="K879" s="46"/>
      <c r="L879" s="46"/>
      <c r="M879" s="46"/>
      <c r="N879" s="46"/>
      <c r="O879" s="46"/>
      <c r="P879" s="46"/>
      <c r="Q879" s="46"/>
      <c r="R879" s="46"/>
      <c r="S879" s="46"/>
      <c r="T879" s="46"/>
      <c r="U879" s="46"/>
      <c r="V879" s="46"/>
      <c r="W879" s="46"/>
    </row>
    <row r="880">
      <c r="A880" s="44"/>
      <c r="B880" s="44"/>
      <c r="C880" s="30"/>
      <c r="D880" s="30"/>
      <c r="E880" s="55"/>
      <c r="F880" s="55"/>
      <c r="G880" s="55"/>
      <c r="H880" s="55"/>
      <c r="I880" s="56"/>
      <c r="J880" s="46"/>
      <c r="K880" s="46"/>
      <c r="L880" s="46"/>
      <c r="M880" s="46"/>
      <c r="N880" s="46"/>
      <c r="O880" s="46"/>
      <c r="P880" s="46"/>
      <c r="Q880" s="46"/>
      <c r="R880" s="46"/>
      <c r="S880" s="46"/>
      <c r="T880" s="46"/>
      <c r="U880" s="46"/>
      <c r="V880" s="46"/>
      <c r="W880" s="46"/>
    </row>
    <row r="881">
      <c r="A881" s="44"/>
      <c r="B881" s="44"/>
      <c r="C881" s="30"/>
      <c r="D881" s="30"/>
      <c r="E881" s="55"/>
      <c r="F881" s="55"/>
      <c r="G881" s="55"/>
      <c r="H881" s="55"/>
      <c r="I881" s="56"/>
      <c r="J881" s="46"/>
      <c r="K881" s="46"/>
      <c r="L881" s="46"/>
      <c r="M881" s="46"/>
      <c r="N881" s="46"/>
      <c r="O881" s="46"/>
      <c r="P881" s="46"/>
      <c r="Q881" s="46"/>
      <c r="R881" s="46"/>
      <c r="S881" s="46"/>
      <c r="T881" s="46"/>
      <c r="U881" s="46"/>
      <c r="V881" s="46"/>
      <c r="W881" s="46"/>
    </row>
    <row r="882">
      <c r="A882" s="44"/>
      <c r="B882" s="44"/>
      <c r="C882" s="30"/>
      <c r="D882" s="30"/>
      <c r="E882" s="55"/>
      <c r="F882" s="55"/>
      <c r="G882" s="55"/>
      <c r="H882" s="55"/>
      <c r="I882" s="56"/>
      <c r="J882" s="46"/>
      <c r="K882" s="46"/>
      <c r="L882" s="46"/>
      <c r="M882" s="46"/>
      <c r="N882" s="46"/>
      <c r="O882" s="46"/>
      <c r="P882" s="46"/>
      <c r="Q882" s="46"/>
      <c r="R882" s="46"/>
      <c r="S882" s="46"/>
      <c r="T882" s="46"/>
      <c r="U882" s="46"/>
      <c r="V882" s="46"/>
      <c r="W882" s="46"/>
    </row>
    <row r="883">
      <c r="A883" s="44"/>
      <c r="B883" s="44"/>
      <c r="C883" s="30"/>
      <c r="D883" s="30"/>
      <c r="E883" s="55"/>
      <c r="F883" s="55"/>
      <c r="G883" s="55"/>
      <c r="H883" s="55"/>
      <c r="I883" s="56"/>
      <c r="J883" s="46"/>
      <c r="K883" s="46"/>
      <c r="L883" s="46"/>
      <c r="M883" s="46"/>
      <c r="N883" s="46"/>
      <c r="O883" s="46"/>
      <c r="P883" s="46"/>
      <c r="Q883" s="46"/>
      <c r="R883" s="46"/>
      <c r="S883" s="46"/>
      <c r="T883" s="46"/>
      <c r="U883" s="46"/>
      <c r="V883" s="46"/>
      <c r="W883" s="46"/>
    </row>
    <row r="884">
      <c r="A884" s="44"/>
      <c r="B884" s="44"/>
      <c r="C884" s="30"/>
      <c r="D884" s="30"/>
      <c r="E884" s="55"/>
      <c r="F884" s="55"/>
      <c r="G884" s="55"/>
      <c r="H884" s="55"/>
      <c r="I884" s="56"/>
      <c r="J884" s="46"/>
      <c r="K884" s="46"/>
      <c r="L884" s="46"/>
      <c r="M884" s="46"/>
      <c r="N884" s="46"/>
      <c r="O884" s="46"/>
      <c r="P884" s="46"/>
      <c r="Q884" s="46"/>
      <c r="R884" s="46"/>
      <c r="S884" s="46"/>
      <c r="T884" s="46"/>
      <c r="U884" s="46"/>
      <c r="V884" s="46"/>
      <c r="W884" s="46"/>
    </row>
    <row r="885">
      <c r="A885" s="44"/>
      <c r="B885" s="44"/>
      <c r="C885" s="30"/>
      <c r="D885" s="30"/>
      <c r="E885" s="55"/>
      <c r="F885" s="55"/>
      <c r="G885" s="55"/>
      <c r="H885" s="55"/>
      <c r="I885" s="56"/>
      <c r="J885" s="46"/>
      <c r="K885" s="46"/>
      <c r="L885" s="46"/>
      <c r="M885" s="46"/>
      <c r="N885" s="46"/>
      <c r="O885" s="46"/>
      <c r="P885" s="46"/>
      <c r="Q885" s="46"/>
      <c r="R885" s="46"/>
      <c r="S885" s="46"/>
      <c r="T885" s="46"/>
      <c r="U885" s="46"/>
      <c r="V885" s="46"/>
      <c r="W885" s="46"/>
    </row>
    <row r="886">
      <c r="A886" s="44"/>
      <c r="B886" s="44"/>
      <c r="C886" s="30"/>
      <c r="D886" s="30"/>
      <c r="E886" s="55"/>
      <c r="F886" s="55"/>
      <c r="G886" s="55"/>
      <c r="H886" s="55"/>
      <c r="I886" s="56"/>
      <c r="J886" s="46"/>
      <c r="K886" s="46"/>
      <c r="L886" s="46"/>
      <c r="M886" s="46"/>
      <c r="N886" s="46"/>
      <c r="O886" s="46"/>
      <c r="P886" s="46"/>
      <c r="Q886" s="46"/>
      <c r="R886" s="46"/>
      <c r="S886" s="46"/>
      <c r="T886" s="46"/>
      <c r="U886" s="46"/>
      <c r="V886" s="46"/>
      <c r="W886" s="46"/>
    </row>
    <row r="887">
      <c r="A887" s="44"/>
      <c r="B887" s="44"/>
      <c r="C887" s="30"/>
      <c r="D887" s="30"/>
      <c r="E887" s="55"/>
      <c r="F887" s="55"/>
      <c r="G887" s="55"/>
      <c r="H887" s="55"/>
      <c r="I887" s="56"/>
      <c r="J887" s="46"/>
      <c r="K887" s="46"/>
      <c r="L887" s="46"/>
      <c r="M887" s="46"/>
      <c r="N887" s="46"/>
      <c r="O887" s="46"/>
      <c r="P887" s="46"/>
      <c r="Q887" s="46"/>
      <c r="R887" s="46"/>
      <c r="S887" s="46"/>
      <c r="T887" s="46"/>
      <c r="U887" s="46"/>
      <c r="V887" s="46"/>
      <c r="W887" s="46"/>
    </row>
    <row r="888">
      <c r="A888" s="44"/>
      <c r="B888" s="44"/>
      <c r="C888" s="30"/>
      <c r="D888" s="30"/>
      <c r="E888" s="55"/>
      <c r="F888" s="55"/>
      <c r="G888" s="55"/>
      <c r="H888" s="55"/>
      <c r="I888" s="56"/>
      <c r="J888" s="46"/>
      <c r="K888" s="46"/>
      <c r="L888" s="46"/>
      <c r="M888" s="46"/>
      <c r="N888" s="46"/>
      <c r="O888" s="46"/>
      <c r="P888" s="46"/>
      <c r="Q888" s="46"/>
      <c r="R888" s="46"/>
      <c r="S888" s="46"/>
      <c r="T888" s="46"/>
      <c r="U888" s="46"/>
      <c r="V888" s="46"/>
      <c r="W888" s="46"/>
    </row>
    <row r="889">
      <c r="A889" s="44"/>
      <c r="B889" s="44"/>
      <c r="C889" s="30"/>
      <c r="D889" s="30"/>
      <c r="E889" s="55"/>
      <c r="F889" s="55"/>
      <c r="G889" s="55"/>
      <c r="H889" s="55"/>
      <c r="I889" s="56"/>
      <c r="J889" s="46"/>
      <c r="K889" s="46"/>
      <c r="L889" s="46"/>
      <c r="M889" s="46"/>
      <c r="N889" s="46"/>
      <c r="O889" s="46"/>
      <c r="P889" s="46"/>
      <c r="Q889" s="46"/>
      <c r="R889" s="46"/>
      <c r="S889" s="46"/>
      <c r="T889" s="46"/>
      <c r="U889" s="46"/>
      <c r="V889" s="46"/>
      <c r="W889" s="46"/>
    </row>
    <row r="890">
      <c r="A890" s="44"/>
      <c r="B890" s="44"/>
      <c r="C890" s="30"/>
      <c r="D890" s="30"/>
      <c r="E890" s="55"/>
      <c r="F890" s="55"/>
      <c r="G890" s="55"/>
      <c r="H890" s="55"/>
      <c r="I890" s="56"/>
      <c r="J890" s="46"/>
      <c r="K890" s="46"/>
      <c r="L890" s="46"/>
      <c r="M890" s="46"/>
      <c r="N890" s="46"/>
      <c r="O890" s="46"/>
      <c r="P890" s="46"/>
      <c r="Q890" s="46"/>
      <c r="R890" s="46"/>
      <c r="S890" s="46"/>
      <c r="T890" s="46"/>
      <c r="U890" s="46"/>
      <c r="V890" s="46"/>
      <c r="W890" s="46"/>
    </row>
    <row r="891">
      <c r="A891" s="44"/>
      <c r="B891" s="44"/>
      <c r="C891" s="30"/>
      <c r="D891" s="30"/>
      <c r="E891" s="55"/>
      <c r="F891" s="55"/>
      <c r="G891" s="55"/>
      <c r="H891" s="55"/>
      <c r="I891" s="56"/>
      <c r="J891" s="46"/>
      <c r="K891" s="46"/>
      <c r="L891" s="46"/>
      <c r="M891" s="46"/>
      <c r="N891" s="46"/>
      <c r="O891" s="46"/>
      <c r="P891" s="46"/>
      <c r="Q891" s="46"/>
      <c r="R891" s="46"/>
      <c r="S891" s="46"/>
      <c r="T891" s="46"/>
      <c r="U891" s="46"/>
      <c r="V891" s="46"/>
      <c r="W891" s="46"/>
    </row>
    <row r="892">
      <c r="A892" s="44"/>
      <c r="B892" s="44"/>
      <c r="C892" s="30"/>
      <c r="D892" s="30"/>
      <c r="E892" s="55"/>
      <c r="F892" s="55"/>
      <c r="G892" s="55"/>
      <c r="H892" s="55"/>
      <c r="I892" s="56"/>
      <c r="J892" s="46"/>
      <c r="K892" s="46"/>
      <c r="L892" s="46"/>
      <c r="M892" s="46"/>
      <c r="N892" s="46"/>
      <c r="O892" s="46"/>
      <c r="P892" s="46"/>
      <c r="Q892" s="46"/>
      <c r="R892" s="46"/>
      <c r="S892" s="46"/>
      <c r="T892" s="46"/>
      <c r="U892" s="46"/>
      <c r="V892" s="46"/>
      <c r="W892" s="46"/>
    </row>
    <row r="893">
      <c r="A893" s="44"/>
      <c r="B893" s="44"/>
      <c r="C893" s="30"/>
      <c r="D893" s="30"/>
      <c r="E893" s="55"/>
      <c r="F893" s="55"/>
      <c r="G893" s="55"/>
      <c r="H893" s="55"/>
      <c r="I893" s="56"/>
      <c r="J893" s="46"/>
      <c r="K893" s="46"/>
      <c r="L893" s="46"/>
      <c r="M893" s="46"/>
      <c r="N893" s="46"/>
      <c r="O893" s="46"/>
      <c r="P893" s="46"/>
      <c r="Q893" s="46"/>
      <c r="R893" s="46"/>
      <c r="S893" s="46"/>
      <c r="T893" s="46"/>
      <c r="U893" s="46"/>
      <c r="V893" s="46"/>
      <c r="W893" s="46"/>
    </row>
    <row r="894">
      <c r="A894" s="44"/>
      <c r="B894" s="44"/>
      <c r="C894" s="30"/>
      <c r="D894" s="30"/>
      <c r="E894" s="55"/>
      <c r="F894" s="55"/>
      <c r="G894" s="55"/>
      <c r="H894" s="55"/>
      <c r="I894" s="56"/>
      <c r="J894" s="46"/>
      <c r="K894" s="46"/>
      <c r="L894" s="46"/>
      <c r="M894" s="46"/>
      <c r="N894" s="46"/>
      <c r="O894" s="46"/>
      <c r="P894" s="46"/>
      <c r="Q894" s="46"/>
      <c r="R894" s="46"/>
      <c r="S894" s="46"/>
      <c r="T894" s="46"/>
      <c r="U894" s="46"/>
      <c r="V894" s="46"/>
      <c r="W894" s="46"/>
    </row>
    <row r="895">
      <c r="A895" s="44"/>
      <c r="B895" s="44"/>
      <c r="C895" s="30"/>
      <c r="D895" s="30"/>
      <c r="E895" s="55"/>
      <c r="F895" s="55"/>
      <c r="G895" s="55"/>
      <c r="H895" s="55"/>
      <c r="I895" s="56"/>
      <c r="J895" s="46"/>
      <c r="K895" s="46"/>
      <c r="L895" s="46"/>
      <c r="M895" s="46"/>
      <c r="N895" s="46"/>
      <c r="O895" s="46"/>
      <c r="P895" s="46"/>
      <c r="Q895" s="46"/>
      <c r="R895" s="46"/>
      <c r="S895" s="46"/>
      <c r="T895" s="46"/>
      <c r="U895" s="46"/>
      <c r="V895" s="46"/>
      <c r="W895" s="46"/>
    </row>
    <row r="896">
      <c r="A896" s="44"/>
      <c r="B896" s="44"/>
      <c r="C896" s="30"/>
      <c r="D896" s="30"/>
      <c r="E896" s="55"/>
      <c r="F896" s="55"/>
      <c r="G896" s="55"/>
      <c r="H896" s="55"/>
      <c r="I896" s="56"/>
      <c r="J896" s="46"/>
      <c r="K896" s="46"/>
      <c r="L896" s="46"/>
      <c r="M896" s="46"/>
      <c r="N896" s="46"/>
      <c r="O896" s="46"/>
      <c r="P896" s="46"/>
      <c r="Q896" s="46"/>
      <c r="R896" s="46"/>
      <c r="S896" s="46"/>
      <c r="T896" s="46"/>
      <c r="U896" s="46"/>
      <c r="V896" s="46"/>
      <c r="W896" s="46"/>
    </row>
    <row r="897">
      <c r="A897" s="44"/>
      <c r="B897" s="44"/>
      <c r="C897" s="30"/>
      <c r="D897" s="30"/>
      <c r="E897" s="55"/>
      <c r="F897" s="55"/>
      <c r="G897" s="55"/>
      <c r="H897" s="55"/>
      <c r="I897" s="56"/>
      <c r="J897" s="46"/>
      <c r="K897" s="46"/>
      <c r="L897" s="46"/>
      <c r="M897" s="46"/>
      <c r="N897" s="46"/>
      <c r="O897" s="46"/>
      <c r="P897" s="46"/>
      <c r="Q897" s="46"/>
      <c r="R897" s="46"/>
      <c r="S897" s="46"/>
      <c r="T897" s="46"/>
      <c r="U897" s="46"/>
      <c r="V897" s="46"/>
      <c r="W897" s="46"/>
    </row>
    <row r="898">
      <c r="A898" s="44"/>
      <c r="B898" s="44"/>
      <c r="C898" s="30"/>
      <c r="D898" s="30"/>
      <c r="E898" s="55"/>
      <c r="F898" s="55"/>
      <c r="G898" s="55"/>
      <c r="H898" s="55"/>
      <c r="I898" s="56"/>
      <c r="J898" s="46"/>
      <c r="K898" s="46"/>
      <c r="L898" s="46"/>
      <c r="M898" s="46"/>
      <c r="N898" s="46"/>
      <c r="O898" s="46"/>
      <c r="P898" s="46"/>
      <c r="Q898" s="46"/>
      <c r="R898" s="46"/>
      <c r="S898" s="46"/>
      <c r="T898" s="46"/>
      <c r="U898" s="46"/>
      <c r="V898" s="46"/>
      <c r="W898" s="46"/>
    </row>
    <row r="899">
      <c r="A899" s="44"/>
      <c r="B899" s="44"/>
      <c r="C899" s="30"/>
      <c r="D899" s="30"/>
      <c r="E899" s="55"/>
      <c r="F899" s="55"/>
      <c r="G899" s="55"/>
      <c r="H899" s="55"/>
      <c r="I899" s="56"/>
      <c r="J899" s="46"/>
      <c r="K899" s="46"/>
      <c r="L899" s="46"/>
      <c r="M899" s="46"/>
      <c r="N899" s="46"/>
      <c r="O899" s="46"/>
      <c r="P899" s="46"/>
      <c r="Q899" s="46"/>
      <c r="R899" s="46"/>
      <c r="S899" s="46"/>
      <c r="T899" s="46"/>
      <c r="U899" s="46"/>
      <c r="V899" s="46"/>
      <c r="W899" s="46"/>
    </row>
    <row r="900">
      <c r="A900" s="44"/>
      <c r="B900" s="44"/>
      <c r="C900" s="30"/>
      <c r="D900" s="30"/>
      <c r="E900" s="55"/>
      <c r="F900" s="55"/>
      <c r="G900" s="55"/>
      <c r="H900" s="55"/>
      <c r="I900" s="56"/>
      <c r="J900" s="46"/>
      <c r="K900" s="46"/>
      <c r="L900" s="46"/>
      <c r="M900" s="46"/>
      <c r="N900" s="46"/>
      <c r="O900" s="46"/>
      <c r="P900" s="46"/>
      <c r="Q900" s="46"/>
      <c r="R900" s="46"/>
      <c r="S900" s="46"/>
      <c r="T900" s="46"/>
      <c r="U900" s="46"/>
      <c r="V900" s="46"/>
      <c r="W900" s="46"/>
    </row>
    <row r="901">
      <c r="A901" s="44"/>
      <c r="B901" s="44"/>
      <c r="C901" s="30"/>
      <c r="D901" s="30"/>
      <c r="E901" s="55"/>
      <c r="F901" s="55"/>
      <c r="G901" s="55"/>
      <c r="H901" s="55"/>
      <c r="I901" s="56"/>
      <c r="J901" s="46"/>
      <c r="K901" s="46"/>
      <c r="L901" s="46"/>
      <c r="M901" s="46"/>
      <c r="N901" s="46"/>
      <c r="O901" s="46"/>
      <c r="P901" s="46"/>
      <c r="Q901" s="46"/>
      <c r="R901" s="46"/>
      <c r="S901" s="46"/>
      <c r="T901" s="46"/>
      <c r="U901" s="46"/>
      <c r="V901" s="46"/>
      <c r="W901" s="46"/>
    </row>
    <row r="902">
      <c r="A902" s="44"/>
      <c r="B902" s="44"/>
      <c r="C902" s="30"/>
      <c r="D902" s="30"/>
      <c r="E902" s="55"/>
      <c r="F902" s="55"/>
      <c r="G902" s="55"/>
      <c r="H902" s="55"/>
      <c r="I902" s="56"/>
      <c r="J902" s="46"/>
      <c r="K902" s="46"/>
      <c r="L902" s="46"/>
      <c r="M902" s="46"/>
      <c r="N902" s="46"/>
      <c r="O902" s="46"/>
      <c r="P902" s="46"/>
      <c r="Q902" s="46"/>
      <c r="R902" s="46"/>
      <c r="S902" s="46"/>
      <c r="T902" s="46"/>
      <c r="U902" s="46"/>
      <c r="V902" s="46"/>
      <c r="W902" s="46"/>
    </row>
    <row r="903">
      <c r="A903" s="44"/>
      <c r="B903" s="44"/>
      <c r="C903" s="30"/>
      <c r="D903" s="30"/>
      <c r="E903" s="55"/>
      <c r="F903" s="55"/>
      <c r="G903" s="55"/>
      <c r="H903" s="55"/>
      <c r="I903" s="56"/>
      <c r="J903" s="46"/>
      <c r="K903" s="46"/>
      <c r="L903" s="46"/>
      <c r="M903" s="46"/>
      <c r="N903" s="46"/>
      <c r="O903" s="46"/>
      <c r="P903" s="46"/>
      <c r="Q903" s="46"/>
      <c r="R903" s="46"/>
      <c r="S903" s="46"/>
      <c r="T903" s="46"/>
      <c r="U903" s="46"/>
      <c r="V903" s="46"/>
      <c r="W903" s="46"/>
    </row>
    <row r="904">
      <c r="A904" s="44"/>
      <c r="B904" s="44"/>
      <c r="C904" s="30"/>
      <c r="D904" s="30"/>
      <c r="E904" s="55"/>
      <c r="F904" s="55"/>
      <c r="G904" s="55"/>
      <c r="H904" s="55"/>
      <c r="I904" s="56"/>
      <c r="J904" s="46"/>
      <c r="K904" s="46"/>
      <c r="L904" s="46"/>
      <c r="M904" s="46"/>
      <c r="N904" s="46"/>
      <c r="O904" s="46"/>
      <c r="P904" s="46"/>
      <c r="Q904" s="46"/>
      <c r="R904" s="46"/>
      <c r="S904" s="46"/>
      <c r="T904" s="46"/>
      <c r="U904" s="46"/>
      <c r="V904" s="46"/>
      <c r="W904" s="46"/>
    </row>
    <row r="905">
      <c r="A905" s="44"/>
      <c r="B905" s="44"/>
      <c r="C905" s="30"/>
      <c r="D905" s="30"/>
      <c r="E905" s="55"/>
      <c r="F905" s="55"/>
      <c r="G905" s="55"/>
      <c r="H905" s="55"/>
      <c r="I905" s="56"/>
      <c r="J905" s="46"/>
      <c r="K905" s="46"/>
      <c r="L905" s="46"/>
      <c r="M905" s="46"/>
      <c r="N905" s="46"/>
      <c r="O905" s="46"/>
      <c r="P905" s="46"/>
      <c r="Q905" s="46"/>
      <c r="R905" s="46"/>
      <c r="S905" s="46"/>
      <c r="T905" s="46"/>
      <c r="U905" s="46"/>
      <c r="V905" s="46"/>
      <c r="W905" s="46"/>
    </row>
    <row r="906">
      <c r="A906" s="44"/>
      <c r="B906" s="44"/>
      <c r="C906" s="30"/>
      <c r="D906" s="30"/>
      <c r="E906" s="55"/>
      <c r="F906" s="55"/>
      <c r="G906" s="55"/>
      <c r="H906" s="55"/>
      <c r="I906" s="56"/>
      <c r="J906" s="46"/>
      <c r="K906" s="46"/>
      <c r="L906" s="46"/>
      <c r="M906" s="46"/>
      <c r="N906" s="46"/>
      <c r="O906" s="46"/>
      <c r="P906" s="46"/>
      <c r="Q906" s="46"/>
      <c r="R906" s="46"/>
      <c r="S906" s="46"/>
      <c r="T906" s="46"/>
      <c r="U906" s="46"/>
      <c r="V906" s="46"/>
      <c r="W906" s="46"/>
    </row>
    <row r="907">
      <c r="A907" s="44"/>
      <c r="B907" s="44"/>
      <c r="C907" s="30"/>
      <c r="D907" s="30"/>
      <c r="E907" s="55"/>
      <c r="F907" s="55"/>
      <c r="G907" s="55"/>
      <c r="H907" s="55"/>
      <c r="I907" s="56"/>
      <c r="J907" s="46"/>
      <c r="K907" s="46"/>
      <c r="L907" s="46"/>
      <c r="M907" s="46"/>
      <c r="N907" s="46"/>
      <c r="O907" s="46"/>
      <c r="P907" s="46"/>
      <c r="Q907" s="46"/>
      <c r="R907" s="46"/>
      <c r="S907" s="46"/>
      <c r="T907" s="46"/>
      <c r="U907" s="46"/>
      <c r="V907" s="46"/>
      <c r="W907" s="46"/>
    </row>
    <row r="908">
      <c r="A908" s="44"/>
      <c r="B908" s="44"/>
      <c r="C908" s="30"/>
      <c r="D908" s="30"/>
      <c r="E908" s="55"/>
      <c r="F908" s="55"/>
      <c r="G908" s="55"/>
      <c r="H908" s="55"/>
      <c r="I908" s="56"/>
      <c r="J908" s="46"/>
      <c r="K908" s="46"/>
      <c r="L908" s="46"/>
      <c r="M908" s="46"/>
      <c r="N908" s="46"/>
      <c r="O908" s="46"/>
      <c r="P908" s="46"/>
      <c r="Q908" s="46"/>
      <c r="R908" s="46"/>
      <c r="S908" s="46"/>
      <c r="T908" s="46"/>
      <c r="U908" s="46"/>
      <c r="V908" s="46"/>
      <c r="W908" s="46"/>
    </row>
    <row r="909">
      <c r="A909" s="44"/>
      <c r="B909" s="44"/>
      <c r="C909" s="30"/>
      <c r="D909" s="30"/>
      <c r="E909" s="55"/>
      <c r="F909" s="55"/>
      <c r="G909" s="55"/>
      <c r="H909" s="55"/>
      <c r="I909" s="56"/>
      <c r="J909" s="46"/>
      <c r="K909" s="46"/>
      <c r="L909" s="46"/>
      <c r="M909" s="46"/>
      <c r="N909" s="46"/>
      <c r="O909" s="46"/>
      <c r="P909" s="46"/>
      <c r="Q909" s="46"/>
      <c r="R909" s="46"/>
      <c r="S909" s="46"/>
      <c r="T909" s="46"/>
      <c r="U909" s="46"/>
      <c r="V909" s="46"/>
      <c r="W909" s="46"/>
    </row>
    <row r="910">
      <c r="A910" s="44"/>
      <c r="B910" s="44"/>
      <c r="C910" s="30"/>
      <c r="D910" s="30"/>
      <c r="E910" s="55"/>
      <c r="F910" s="55"/>
      <c r="G910" s="55"/>
      <c r="H910" s="55"/>
      <c r="I910" s="56"/>
      <c r="J910" s="46"/>
      <c r="K910" s="46"/>
      <c r="L910" s="46"/>
      <c r="M910" s="46"/>
      <c r="N910" s="46"/>
      <c r="O910" s="46"/>
      <c r="P910" s="46"/>
      <c r="Q910" s="46"/>
      <c r="R910" s="46"/>
      <c r="S910" s="46"/>
      <c r="T910" s="46"/>
      <c r="U910" s="46"/>
      <c r="V910" s="46"/>
      <c r="W910" s="46"/>
    </row>
    <row r="911">
      <c r="A911" s="44"/>
      <c r="B911" s="44"/>
      <c r="C911" s="30"/>
      <c r="D911" s="30"/>
      <c r="E911" s="55"/>
      <c r="F911" s="55"/>
      <c r="G911" s="55"/>
      <c r="H911" s="55"/>
      <c r="I911" s="56"/>
      <c r="J911" s="46"/>
      <c r="K911" s="46"/>
      <c r="L911" s="46"/>
      <c r="M911" s="46"/>
      <c r="N911" s="46"/>
      <c r="O911" s="46"/>
      <c r="P911" s="46"/>
      <c r="Q911" s="46"/>
      <c r="R911" s="46"/>
      <c r="S911" s="46"/>
      <c r="T911" s="46"/>
      <c r="U911" s="46"/>
      <c r="V911" s="46"/>
      <c r="W911" s="46"/>
    </row>
    <row r="912">
      <c r="A912" s="44"/>
      <c r="B912" s="44"/>
      <c r="C912" s="30"/>
      <c r="D912" s="30"/>
      <c r="E912" s="55"/>
      <c r="F912" s="55"/>
      <c r="G912" s="55"/>
      <c r="H912" s="55"/>
      <c r="I912" s="56"/>
      <c r="J912" s="46"/>
      <c r="K912" s="46"/>
      <c r="L912" s="46"/>
      <c r="M912" s="46"/>
      <c r="N912" s="46"/>
      <c r="O912" s="46"/>
      <c r="P912" s="46"/>
      <c r="Q912" s="46"/>
      <c r="R912" s="46"/>
      <c r="S912" s="46"/>
      <c r="T912" s="46"/>
      <c r="U912" s="46"/>
      <c r="V912" s="46"/>
      <c r="W912" s="46"/>
    </row>
    <row r="913">
      <c r="A913" s="44"/>
      <c r="B913" s="44"/>
      <c r="C913" s="30"/>
      <c r="D913" s="30"/>
      <c r="E913" s="55"/>
      <c r="F913" s="55"/>
      <c r="G913" s="55"/>
      <c r="H913" s="55"/>
      <c r="I913" s="56"/>
      <c r="J913" s="46"/>
      <c r="K913" s="46"/>
      <c r="L913" s="46"/>
      <c r="M913" s="46"/>
      <c r="N913" s="46"/>
      <c r="O913" s="46"/>
      <c r="P913" s="46"/>
      <c r="Q913" s="46"/>
      <c r="R913" s="46"/>
      <c r="S913" s="46"/>
      <c r="T913" s="46"/>
      <c r="U913" s="46"/>
      <c r="V913" s="46"/>
      <c r="W913" s="46"/>
    </row>
    <row r="914">
      <c r="A914" s="44"/>
      <c r="B914" s="44"/>
      <c r="C914" s="30"/>
      <c r="D914" s="30"/>
      <c r="E914" s="55"/>
      <c r="F914" s="55"/>
      <c r="G914" s="55"/>
      <c r="H914" s="55"/>
      <c r="I914" s="56"/>
      <c r="J914" s="46"/>
      <c r="K914" s="46"/>
      <c r="L914" s="46"/>
      <c r="M914" s="46"/>
      <c r="N914" s="46"/>
      <c r="O914" s="46"/>
      <c r="P914" s="46"/>
      <c r="Q914" s="46"/>
      <c r="R914" s="46"/>
      <c r="S914" s="46"/>
      <c r="T914" s="46"/>
      <c r="U914" s="46"/>
      <c r="V914" s="46"/>
      <c r="W914" s="46"/>
    </row>
    <row r="915">
      <c r="A915" s="44"/>
      <c r="B915" s="44"/>
      <c r="C915" s="30"/>
      <c r="D915" s="30"/>
      <c r="E915" s="55"/>
      <c r="F915" s="55"/>
      <c r="G915" s="55"/>
      <c r="H915" s="55"/>
      <c r="I915" s="56"/>
      <c r="J915" s="46"/>
      <c r="K915" s="46"/>
      <c r="L915" s="46"/>
      <c r="M915" s="46"/>
      <c r="N915" s="46"/>
      <c r="O915" s="46"/>
      <c r="P915" s="46"/>
      <c r="Q915" s="46"/>
      <c r="R915" s="46"/>
      <c r="S915" s="46"/>
      <c r="T915" s="46"/>
      <c r="U915" s="46"/>
      <c r="V915" s="46"/>
      <c r="W915" s="46"/>
    </row>
    <row r="916">
      <c r="A916" s="44"/>
      <c r="B916" s="44"/>
      <c r="C916" s="30"/>
      <c r="D916" s="30"/>
      <c r="E916" s="55"/>
      <c r="F916" s="55"/>
      <c r="G916" s="55"/>
      <c r="H916" s="55"/>
      <c r="I916" s="56"/>
      <c r="J916" s="46"/>
      <c r="K916" s="46"/>
      <c r="L916" s="46"/>
      <c r="M916" s="46"/>
      <c r="N916" s="46"/>
      <c r="O916" s="46"/>
      <c r="P916" s="46"/>
      <c r="Q916" s="46"/>
      <c r="R916" s="46"/>
      <c r="S916" s="46"/>
      <c r="T916" s="46"/>
      <c r="U916" s="46"/>
      <c r="V916" s="46"/>
      <c r="W916" s="46"/>
    </row>
    <row r="917">
      <c r="A917" s="44"/>
      <c r="B917" s="44"/>
      <c r="C917" s="30"/>
      <c r="D917" s="30"/>
      <c r="E917" s="55"/>
      <c r="F917" s="55"/>
      <c r="G917" s="55"/>
      <c r="H917" s="55"/>
      <c r="I917" s="56"/>
      <c r="J917" s="46"/>
      <c r="K917" s="46"/>
      <c r="L917" s="46"/>
      <c r="M917" s="46"/>
      <c r="N917" s="46"/>
      <c r="O917" s="46"/>
      <c r="P917" s="46"/>
      <c r="Q917" s="46"/>
      <c r="R917" s="46"/>
      <c r="S917" s="46"/>
      <c r="T917" s="46"/>
      <c r="U917" s="46"/>
      <c r="V917" s="46"/>
      <c r="W917" s="46"/>
    </row>
    <row r="918">
      <c r="A918" s="44"/>
      <c r="B918" s="44"/>
      <c r="C918" s="30"/>
      <c r="D918" s="30"/>
      <c r="E918" s="55"/>
      <c r="F918" s="55"/>
      <c r="G918" s="55"/>
      <c r="H918" s="55"/>
      <c r="I918" s="56"/>
      <c r="J918" s="46"/>
      <c r="K918" s="46"/>
      <c r="L918" s="46"/>
      <c r="M918" s="46"/>
      <c r="N918" s="46"/>
      <c r="O918" s="46"/>
      <c r="P918" s="46"/>
      <c r="Q918" s="46"/>
      <c r="R918" s="46"/>
      <c r="S918" s="46"/>
      <c r="T918" s="46"/>
      <c r="U918" s="46"/>
      <c r="V918" s="46"/>
      <c r="W918" s="46"/>
    </row>
    <row r="919">
      <c r="A919" s="44"/>
      <c r="B919" s="44"/>
      <c r="C919" s="30"/>
      <c r="D919" s="30"/>
      <c r="E919" s="55"/>
      <c r="F919" s="55"/>
      <c r="G919" s="55"/>
      <c r="H919" s="55"/>
      <c r="I919" s="56"/>
      <c r="J919" s="46"/>
      <c r="K919" s="46"/>
      <c r="L919" s="46"/>
      <c r="M919" s="46"/>
      <c r="N919" s="46"/>
      <c r="O919" s="46"/>
      <c r="P919" s="46"/>
      <c r="Q919" s="46"/>
      <c r="R919" s="46"/>
      <c r="S919" s="46"/>
      <c r="T919" s="46"/>
      <c r="U919" s="46"/>
      <c r="V919" s="46"/>
      <c r="W919" s="46"/>
    </row>
    <row r="920">
      <c r="A920" s="44"/>
      <c r="B920" s="44"/>
      <c r="C920" s="30"/>
      <c r="D920" s="30"/>
      <c r="E920" s="55"/>
      <c r="F920" s="55"/>
      <c r="G920" s="55"/>
      <c r="H920" s="55"/>
      <c r="I920" s="56"/>
      <c r="J920" s="46"/>
      <c r="K920" s="46"/>
      <c r="L920" s="46"/>
      <c r="M920" s="46"/>
      <c r="N920" s="46"/>
      <c r="O920" s="46"/>
      <c r="P920" s="46"/>
      <c r="Q920" s="46"/>
      <c r="R920" s="46"/>
      <c r="S920" s="46"/>
      <c r="T920" s="46"/>
      <c r="U920" s="46"/>
      <c r="V920" s="46"/>
      <c r="W920" s="46"/>
    </row>
    <row r="921">
      <c r="A921" s="44"/>
      <c r="B921" s="44"/>
      <c r="C921" s="30"/>
      <c r="D921" s="30"/>
      <c r="E921" s="55"/>
      <c r="F921" s="55"/>
      <c r="G921" s="55"/>
      <c r="H921" s="55"/>
      <c r="I921" s="56"/>
      <c r="J921" s="46"/>
      <c r="K921" s="46"/>
      <c r="L921" s="46"/>
      <c r="M921" s="46"/>
      <c r="N921" s="46"/>
      <c r="O921" s="46"/>
      <c r="P921" s="46"/>
      <c r="Q921" s="46"/>
      <c r="R921" s="46"/>
      <c r="S921" s="46"/>
      <c r="T921" s="46"/>
      <c r="U921" s="46"/>
      <c r="V921" s="46"/>
      <c r="W921" s="46"/>
    </row>
    <row r="922">
      <c r="A922" s="44"/>
      <c r="B922" s="44"/>
      <c r="C922" s="30"/>
      <c r="D922" s="30"/>
      <c r="E922" s="55"/>
      <c r="F922" s="55"/>
      <c r="G922" s="55"/>
      <c r="H922" s="55"/>
      <c r="I922" s="56"/>
      <c r="J922" s="46"/>
      <c r="K922" s="46"/>
      <c r="L922" s="46"/>
      <c r="M922" s="46"/>
      <c r="N922" s="46"/>
      <c r="O922" s="46"/>
      <c r="P922" s="46"/>
      <c r="Q922" s="46"/>
      <c r="R922" s="46"/>
      <c r="S922" s="46"/>
      <c r="T922" s="46"/>
      <c r="U922" s="46"/>
      <c r="V922" s="46"/>
      <c r="W922" s="46"/>
    </row>
    <row r="923">
      <c r="A923" s="44"/>
      <c r="B923" s="44"/>
      <c r="C923" s="30"/>
      <c r="D923" s="30"/>
      <c r="E923" s="55"/>
      <c r="F923" s="55"/>
      <c r="G923" s="55"/>
      <c r="H923" s="55"/>
      <c r="I923" s="56"/>
      <c r="J923" s="46"/>
      <c r="K923" s="46"/>
      <c r="L923" s="46"/>
      <c r="M923" s="46"/>
      <c r="N923" s="46"/>
      <c r="O923" s="46"/>
      <c r="P923" s="46"/>
      <c r="Q923" s="46"/>
      <c r="R923" s="46"/>
      <c r="S923" s="46"/>
      <c r="T923" s="46"/>
      <c r="U923" s="46"/>
      <c r="V923" s="46"/>
      <c r="W923" s="46"/>
    </row>
    <row r="924">
      <c r="A924" s="44"/>
      <c r="B924" s="44"/>
      <c r="C924" s="30"/>
      <c r="D924" s="30"/>
      <c r="E924" s="55"/>
      <c r="F924" s="55"/>
      <c r="G924" s="55"/>
      <c r="H924" s="55"/>
      <c r="I924" s="56"/>
      <c r="J924" s="46"/>
      <c r="K924" s="46"/>
      <c r="L924" s="46"/>
      <c r="M924" s="46"/>
      <c r="N924" s="46"/>
      <c r="O924" s="46"/>
      <c r="P924" s="46"/>
      <c r="Q924" s="46"/>
      <c r="R924" s="46"/>
      <c r="S924" s="46"/>
      <c r="T924" s="46"/>
      <c r="U924" s="46"/>
      <c r="V924" s="46"/>
      <c r="W924" s="46"/>
    </row>
    <row r="925">
      <c r="A925" s="44"/>
      <c r="B925" s="44"/>
      <c r="C925" s="30"/>
      <c r="D925" s="30"/>
      <c r="E925" s="55"/>
      <c r="F925" s="55"/>
      <c r="G925" s="55"/>
      <c r="H925" s="55"/>
      <c r="I925" s="56"/>
      <c r="J925" s="46"/>
      <c r="K925" s="46"/>
      <c r="L925" s="46"/>
      <c r="M925" s="46"/>
      <c r="N925" s="46"/>
      <c r="O925" s="46"/>
      <c r="P925" s="46"/>
      <c r="Q925" s="46"/>
      <c r="R925" s="46"/>
      <c r="S925" s="46"/>
      <c r="T925" s="46"/>
      <c r="U925" s="46"/>
      <c r="V925" s="46"/>
      <c r="W925" s="46"/>
    </row>
    <row r="926">
      <c r="A926" s="44"/>
      <c r="B926" s="44"/>
      <c r="C926" s="30"/>
      <c r="D926" s="30"/>
      <c r="E926" s="55"/>
      <c r="F926" s="55"/>
      <c r="G926" s="55"/>
      <c r="H926" s="55"/>
      <c r="I926" s="56"/>
      <c r="J926" s="46"/>
      <c r="K926" s="46"/>
      <c r="L926" s="46"/>
      <c r="M926" s="46"/>
      <c r="N926" s="46"/>
      <c r="O926" s="46"/>
      <c r="P926" s="46"/>
      <c r="Q926" s="46"/>
      <c r="R926" s="46"/>
      <c r="S926" s="46"/>
      <c r="T926" s="46"/>
      <c r="U926" s="46"/>
      <c r="V926" s="46"/>
      <c r="W926" s="46"/>
    </row>
    <row r="927">
      <c r="A927" s="44"/>
      <c r="B927" s="44"/>
      <c r="C927" s="30"/>
      <c r="D927" s="30"/>
      <c r="E927" s="55"/>
      <c r="F927" s="55"/>
      <c r="G927" s="55"/>
      <c r="H927" s="55"/>
      <c r="I927" s="56"/>
      <c r="J927" s="46"/>
      <c r="K927" s="46"/>
      <c r="L927" s="46"/>
      <c r="M927" s="46"/>
      <c r="N927" s="46"/>
      <c r="O927" s="46"/>
      <c r="P927" s="46"/>
      <c r="Q927" s="46"/>
      <c r="R927" s="46"/>
      <c r="S927" s="46"/>
      <c r="T927" s="46"/>
      <c r="U927" s="46"/>
      <c r="V927" s="46"/>
      <c r="W927" s="46"/>
    </row>
    <row r="928">
      <c r="A928" s="44"/>
      <c r="B928" s="44"/>
      <c r="C928" s="30"/>
      <c r="D928" s="30"/>
      <c r="E928" s="55"/>
      <c r="F928" s="55"/>
      <c r="G928" s="55"/>
      <c r="H928" s="55"/>
      <c r="I928" s="56"/>
      <c r="J928" s="46"/>
      <c r="K928" s="46"/>
      <c r="L928" s="46"/>
      <c r="M928" s="46"/>
      <c r="N928" s="46"/>
      <c r="O928" s="46"/>
      <c r="P928" s="46"/>
      <c r="Q928" s="46"/>
      <c r="R928" s="46"/>
      <c r="S928" s="46"/>
      <c r="T928" s="46"/>
      <c r="U928" s="46"/>
      <c r="V928" s="46"/>
      <c r="W928" s="46"/>
    </row>
    <row r="929">
      <c r="A929" s="44"/>
      <c r="B929" s="44"/>
      <c r="C929" s="30"/>
      <c r="D929" s="30"/>
      <c r="E929" s="55"/>
      <c r="F929" s="55"/>
      <c r="G929" s="55"/>
      <c r="H929" s="55"/>
      <c r="I929" s="56"/>
      <c r="J929" s="46"/>
      <c r="K929" s="46"/>
      <c r="L929" s="46"/>
      <c r="M929" s="46"/>
      <c r="N929" s="46"/>
      <c r="O929" s="46"/>
      <c r="P929" s="46"/>
      <c r="Q929" s="46"/>
      <c r="R929" s="46"/>
      <c r="S929" s="46"/>
      <c r="T929" s="46"/>
      <c r="U929" s="46"/>
      <c r="V929" s="46"/>
      <c r="W929" s="46"/>
    </row>
    <row r="930">
      <c r="A930" s="44"/>
      <c r="B930" s="44"/>
      <c r="C930" s="30"/>
      <c r="D930" s="30"/>
      <c r="E930" s="55"/>
      <c r="F930" s="55"/>
      <c r="G930" s="55"/>
      <c r="H930" s="55"/>
      <c r="I930" s="56"/>
      <c r="J930" s="46"/>
      <c r="K930" s="46"/>
      <c r="L930" s="46"/>
      <c r="M930" s="46"/>
      <c r="N930" s="46"/>
      <c r="O930" s="46"/>
      <c r="P930" s="46"/>
      <c r="Q930" s="46"/>
      <c r="R930" s="46"/>
      <c r="S930" s="46"/>
      <c r="T930" s="46"/>
      <c r="U930" s="46"/>
      <c r="V930" s="46"/>
      <c r="W930" s="46"/>
    </row>
    <row r="931">
      <c r="A931" s="44"/>
      <c r="B931" s="44"/>
      <c r="C931" s="30"/>
      <c r="D931" s="30"/>
      <c r="E931" s="55"/>
      <c r="F931" s="55"/>
      <c r="G931" s="55"/>
      <c r="H931" s="55"/>
      <c r="I931" s="56"/>
      <c r="J931" s="46"/>
      <c r="K931" s="46"/>
      <c r="L931" s="46"/>
      <c r="M931" s="46"/>
      <c r="N931" s="46"/>
      <c r="O931" s="46"/>
      <c r="P931" s="46"/>
      <c r="Q931" s="46"/>
      <c r="R931" s="46"/>
      <c r="S931" s="46"/>
      <c r="T931" s="46"/>
      <c r="U931" s="46"/>
      <c r="V931" s="46"/>
      <c r="W931" s="46"/>
    </row>
    <row r="932">
      <c r="A932" s="44"/>
      <c r="B932" s="44"/>
      <c r="C932" s="30"/>
      <c r="D932" s="30"/>
      <c r="E932" s="55"/>
      <c r="F932" s="55"/>
      <c r="G932" s="55"/>
      <c r="H932" s="55"/>
      <c r="I932" s="56"/>
      <c r="J932" s="46"/>
      <c r="K932" s="46"/>
      <c r="L932" s="46"/>
      <c r="M932" s="46"/>
      <c r="N932" s="46"/>
      <c r="O932" s="46"/>
      <c r="P932" s="46"/>
      <c r="Q932" s="46"/>
      <c r="R932" s="46"/>
      <c r="S932" s="46"/>
      <c r="T932" s="46"/>
      <c r="U932" s="46"/>
      <c r="V932" s="46"/>
      <c r="W932" s="46"/>
    </row>
    <row r="933">
      <c r="A933" s="44"/>
      <c r="B933" s="44"/>
      <c r="C933" s="30"/>
      <c r="D933" s="30"/>
      <c r="E933" s="55"/>
      <c r="F933" s="55"/>
      <c r="G933" s="55"/>
      <c r="H933" s="55"/>
      <c r="I933" s="56"/>
      <c r="J933" s="46"/>
      <c r="K933" s="46"/>
      <c r="L933" s="46"/>
      <c r="M933" s="46"/>
      <c r="N933" s="46"/>
      <c r="O933" s="46"/>
      <c r="P933" s="46"/>
      <c r="Q933" s="46"/>
      <c r="R933" s="46"/>
      <c r="S933" s="46"/>
      <c r="T933" s="46"/>
      <c r="U933" s="46"/>
      <c r="V933" s="46"/>
      <c r="W933" s="46"/>
    </row>
    <row r="934">
      <c r="A934" s="44"/>
      <c r="B934" s="44"/>
      <c r="C934" s="30"/>
      <c r="D934" s="30"/>
      <c r="E934" s="55"/>
      <c r="F934" s="55"/>
      <c r="G934" s="55"/>
      <c r="H934" s="55"/>
      <c r="I934" s="56"/>
      <c r="J934" s="46"/>
      <c r="K934" s="46"/>
      <c r="L934" s="46"/>
      <c r="M934" s="46"/>
      <c r="N934" s="46"/>
      <c r="O934" s="46"/>
      <c r="P934" s="46"/>
      <c r="Q934" s="46"/>
      <c r="R934" s="46"/>
      <c r="S934" s="46"/>
      <c r="T934" s="46"/>
      <c r="U934" s="46"/>
      <c r="V934" s="46"/>
      <c r="W934" s="46"/>
    </row>
    <row r="935">
      <c r="A935" s="44"/>
      <c r="B935" s="44"/>
      <c r="C935" s="30"/>
      <c r="D935" s="30"/>
      <c r="E935" s="55"/>
      <c r="F935" s="55"/>
      <c r="G935" s="55"/>
      <c r="H935" s="55"/>
      <c r="I935" s="56"/>
      <c r="J935" s="46"/>
      <c r="K935" s="46"/>
      <c r="L935" s="46"/>
      <c r="M935" s="46"/>
      <c r="N935" s="46"/>
      <c r="O935" s="46"/>
      <c r="P935" s="46"/>
      <c r="Q935" s="46"/>
      <c r="R935" s="46"/>
      <c r="S935" s="46"/>
      <c r="T935" s="46"/>
      <c r="U935" s="46"/>
      <c r="V935" s="46"/>
      <c r="W935" s="46"/>
    </row>
    <row r="936">
      <c r="A936" s="44"/>
      <c r="B936" s="44"/>
      <c r="C936" s="30"/>
      <c r="D936" s="30"/>
      <c r="E936" s="55"/>
      <c r="F936" s="55"/>
      <c r="G936" s="55"/>
      <c r="H936" s="55"/>
      <c r="I936" s="56"/>
      <c r="J936" s="46"/>
      <c r="K936" s="46"/>
      <c r="L936" s="46"/>
      <c r="M936" s="46"/>
      <c r="N936" s="46"/>
      <c r="O936" s="46"/>
      <c r="P936" s="46"/>
      <c r="Q936" s="46"/>
      <c r="R936" s="46"/>
      <c r="S936" s="46"/>
      <c r="T936" s="46"/>
      <c r="U936" s="46"/>
      <c r="V936" s="46"/>
      <c r="W936" s="46"/>
    </row>
    <row r="937">
      <c r="A937" s="44"/>
      <c r="B937" s="44"/>
      <c r="C937" s="30"/>
      <c r="D937" s="30"/>
      <c r="E937" s="55"/>
      <c r="F937" s="55"/>
      <c r="G937" s="55"/>
      <c r="H937" s="55"/>
      <c r="I937" s="56"/>
      <c r="J937" s="46"/>
      <c r="K937" s="46"/>
      <c r="L937" s="46"/>
      <c r="M937" s="46"/>
      <c r="N937" s="46"/>
      <c r="O937" s="46"/>
      <c r="P937" s="46"/>
      <c r="Q937" s="46"/>
      <c r="R937" s="46"/>
      <c r="S937" s="46"/>
      <c r="T937" s="46"/>
      <c r="U937" s="46"/>
      <c r="V937" s="46"/>
      <c r="W937" s="46"/>
    </row>
    <row r="938">
      <c r="A938" s="44"/>
      <c r="B938" s="44"/>
      <c r="C938" s="30"/>
      <c r="D938" s="30"/>
      <c r="E938" s="55"/>
      <c r="F938" s="55"/>
      <c r="G938" s="55"/>
      <c r="H938" s="55"/>
      <c r="I938" s="56"/>
      <c r="J938" s="46"/>
      <c r="K938" s="46"/>
      <c r="L938" s="46"/>
      <c r="M938" s="46"/>
      <c r="N938" s="46"/>
      <c r="O938" s="46"/>
      <c r="P938" s="46"/>
      <c r="Q938" s="46"/>
      <c r="R938" s="46"/>
      <c r="S938" s="46"/>
      <c r="T938" s="46"/>
      <c r="U938" s="46"/>
      <c r="V938" s="46"/>
      <c r="W938" s="46"/>
    </row>
    <row r="939">
      <c r="A939" s="44"/>
      <c r="B939" s="44"/>
      <c r="C939" s="30"/>
      <c r="D939" s="30"/>
      <c r="E939" s="55"/>
      <c r="F939" s="55"/>
      <c r="G939" s="55"/>
      <c r="H939" s="55"/>
      <c r="I939" s="56"/>
      <c r="J939" s="46"/>
      <c r="K939" s="46"/>
      <c r="L939" s="46"/>
      <c r="M939" s="46"/>
      <c r="N939" s="46"/>
      <c r="O939" s="46"/>
      <c r="P939" s="46"/>
      <c r="Q939" s="46"/>
      <c r="R939" s="46"/>
      <c r="S939" s="46"/>
      <c r="T939" s="46"/>
      <c r="U939" s="46"/>
      <c r="V939" s="46"/>
      <c r="W939" s="46"/>
    </row>
    <row r="940">
      <c r="A940" s="44"/>
      <c r="B940" s="44"/>
      <c r="C940" s="30"/>
      <c r="D940" s="30"/>
      <c r="E940" s="55"/>
      <c r="F940" s="55"/>
      <c r="G940" s="55"/>
      <c r="H940" s="55"/>
      <c r="I940" s="56"/>
      <c r="J940" s="46"/>
      <c r="K940" s="46"/>
      <c r="L940" s="46"/>
      <c r="M940" s="46"/>
      <c r="N940" s="46"/>
      <c r="O940" s="46"/>
      <c r="P940" s="46"/>
      <c r="Q940" s="46"/>
      <c r="R940" s="46"/>
      <c r="S940" s="46"/>
      <c r="T940" s="46"/>
      <c r="U940" s="46"/>
      <c r="V940" s="46"/>
      <c r="W940" s="46"/>
    </row>
    <row r="941">
      <c r="A941" s="44"/>
      <c r="B941" s="44"/>
      <c r="C941" s="30"/>
      <c r="D941" s="30"/>
      <c r="E941" s="55"/>
      <c r="F941" s="55"/>
      <c r="G941" s="55"/>
      <c r="H941" s="55"/>
      <c r="I941" s="56"/>
      <c r="J941" s="46"/>
      <c r="K941" s="46"/>
      <c r="L941" s="46"/>
      <c r="M941" s="46"/>
      <c r="N941" s="46"/>
      <c r="O941" s="46"/>
      <c r="P941" s="46"/>
      <c r="Q941" s="46"/>
      <c r="R941" s="46"/>
      <c r="S941" s="46"/>
      <c r="T941" s="46"/>
      <c r="U941" s="46"/>
      <c r="V941" s="46"/>
      <c r="W941" s="46"/>
    </row>
    <row r="942">
      <c r="A942" s="44"/>
      <c r="B942" s="44"/>
      <c r="C942" s="30"/>
      <c r="D942" s="30"/>
      <c r="E942" s="55"/>
      <c r="F942" s="55"/>
      <c r="G942" s="55"/>
      <c r="H942" s="55"/>
      <c r="I942" s="56"/>
      <c r="J942" s="46"/>
      <c r="K942" s="46"/>
      <c r="L942" s="46"/>
      <c r="M942" s="46"/>
      <c r="N942" s="46"/>
      <c r="O942" s="46"/>
      <c r="P942" s="46"/>
      <c r="Q942" s="46"/>
      <c r="R942" s="46"/>
      <c r="S942" s="46"/>
      <c r="T942" s="46"/>
      <c r="U942" s="46"/>
      <c r="V942" s="46"/>
      <c r="W942" s="46"/>
    </row>
    <row r="943">
      <c r="A943" s="44"/>
      <c r="B943" s="44"/>
      <c r="C943" s="30"/>
      <c r="D943" s="30"/>
      <c r="E943" s="55"/>
      <c r="F943" s="55"/>
      <c r="G943" s="55"/>
      <c r="H943" s="55"/>
      <c r="I943" s="56"/>
      <c r="J943" s="46"/>
      <c r="K943" s="46"/>
      <c r="L943" s="46"/>
      <c r="M943" s="46"/>
      <c r="N943" s="46"/>
      <c r="O943" s="46"/>
      <c r="P943" s="46"/>
      <c r="Q943" s="46"/>
      <c r="R943" s="46"/>
      <c r="S943" s="46"/>
      <c r="T943" s="46"/>
      <c r="U943" s="46"/>
      <c r="V943" s="46"/>
      <c r="W943" s="46"/>
    </row>
    <row r="944">
      <c r="A944" s="44"/>
      <c r="B944" s="44"/>
      <c r="C944" s="30"/>
      <c r="D944" s="30"/>
      <c r="E944" s="55"/>
      <c r="F944" s="55"/>
      <c r="G944" s="55"/>
      <c r="H944" s="55"/>
      <c r="I944" s="56"/>
      <c r="J944" s="46"/>
      <c r="K944" s="46"/>
      <c r="L944" s="46"/>
      <c r="M944" s="46"/>
      <c r="N944" s="46"/>
      <c r="O944" s="46"/>
      <c r="P944" s="46"/>
      <c r="Q944" s="46"/>
      <c r="R944" s="46"/>
      <c r="S944" s="46"/>
      <c r="T944" s="46"/>
      <c r="U944" s="46"/>
      <c r="V944" s="46"/>
      <c r="W944" s="46"/>
    </row>
    <row r="945">
      <c r="A945" s="44"/>
      <c r="B945" s="44"/>
      <c r="C945" s="30"/>
      <c r="D945" s="30"/>
      <c r="E945" s="55"/>
      <c r="F945" s="55"/>
      <c r="G945" s="55"/>
      <c r="H945" s="55"/>
      <c r="I945" s="56"/>
      <c r="J945" s="46"/>
      <c r="K945" s="46"/>
      <c r="L945" s="46"/>
      <c r="M945" s="46"/>
      <c r="N945" s="46"/>
      <c r="O945" s="46"/>
      <c r="P945" s="46"/>
      <c r="Q945" s="46"/>
      <c r="R945" s="46"/>
      <c r="S945" s="46"/>
      <c r="T945" s="46"/>
      <c r="U945" s="46"/>
      <c r="V945" s="46"/>
      <c r="W945" s="46"/>
    </row>
    <row r="946">
      <c r="A946" s="44"/>
      <c r="B946" s="44"/>
      <c r="C946" s="30"/>
      <c r="D946" s="30"/>
      <c r="E946" s="55"/>
      <c r="F946" s="55"/>
      <c r="G946" s="55"/>
      <c r="H946" s="55"/>
      <c r="I946" s="56"/>
      <c r="J946" s="46"/>
      <c r="K946" s="46"/>
      <c r="L946" s="46"/>
      <c r="M946" s="46"/>
      <c r="N946" s="46"/>
      <c r="O946" s="46"/>
      <c r="P946" s="46"/>
      <c r="Q946" s="46"/>
      <c r="R946" s="46"/>
      <c r="S946" s="46"/>
      <c r="T946" s="46"/>
      <c r="U946" s="46"/>
      <c r="V946" s="46"/>
      <c r="W946" s="46"/>
    </row>
    <row r="947">
      <c r="A947" s="44"/>
      <c r="B947" s="44"/>
      <c r="C947" s="30"/>
      <c r="D947" s="30"/>
      <c r="E947" s="55"/>
      <c r="F947" s="55"/>
      <c r="G947" s="55"/>
      <c r="H947" s="55"/>
      <c r="I947" s="56"/>
      <c r="J947" s="46"/>
      <c r="K947" s="46"/>
      <c r="L947" s="46"/>
      <c r="M947" s="46"/>
      <c r="N947" s="46"/>
      <c r="O947" s="46"/>
      <c r="P947" s="46"/>
      <c r="Q947" s="46"/>
      <c r="R947" s="46"/>
      <c r="S947" s="46"/>
      <c r="T947" s="46"/>
      <c r="U947" s="46"/>
      <c r="V947" s="46"/>
      <c r="W947" s="46"/>
    </row>
    <row r="948">
      <c r="A948" s="44"/>
      <c r="B948" s="44"/>
      <c r="C948" s="30"/>
      <c r="D948" s="30"/>
      <c r="E948" s="55"/>
      <c r="F948" s="55"/>
      <c r="G948" s="55"/>
      <c r="H948" s="55"/>
      <c r="I948" s="56"/>
      <c r="J948" s="46"/>
      <c r="K948" s="46"/>
      <c r="L948" s="46"/>
      <c r="M948" s="46"/>
      <c r="N948" s="46"/>
      <c r="O948" s="46"/>
      <c r="P948" s="46"/>
      <c r="Q948" s="46"/>
      <c r="R948" s="46"/>
      <c r="S948" s="46"/>
      <c r="T948" s="46"/>
      <c r="U948" s="46"/>
      <c r="V948" s="46"/>
      <c r="W948" s="46"/>
    </row>
    <row r="949">
      <c r="A949" s="44"/>
      <c r="B949" s="44"/>
      <c r="C949" s="30"/>
      <c r="D949" s="30"/>
      <c r="E949" s="55"/>
      <c r="F949" s="55"/>
      <c r="G949" s="55"/>
      <c r="H949" s="55"/>
      <c r="I949" s="56"/>
      <c r="J949" s="46"/>
      <c r="K949" s="46"/>
      <c r="L949" s="46"/>
      <c r="M949" s="46"/>
      <c r="N949" s="46"/>
      <c r="O949" s="46"/>
      <c r="P949" s="46"/>
      <c r="Q949" s="46"/>
      <c r="R949" s="46"/>
      <c r="S949" s="46"/>
      <c r="T949" s="46"/>
      <c r="U949" s="46"/>
      <c r="V949" s="46"/>
      <c r="W949" s="46"/>
    </row>
    <row r="950">
      <c r="A950" s="44"/>
      <c r="B950" s="44"/>
      <c r="C950" s="30"/>
      <c r="D950" s="30"/>
      <c r="E950" s="55"/>
      <c r="F950" s="55"/>
      <c r="G950" s="55"/>
      <c r="H950" s="55"/>
      <c r="I950" s="56"/>
      <c r="J950" s="46"/>
      <c r="K950" s="46"/>
      <c r="L950" s="46"/>
      <c r="M950" s="46"/>
      <c r="N950" s="46"/>
      <c r="O950" s="46"/>
      <c r="P950" s="46"/>
      <c r="Q950" s="46"/>
      <c r="R950" s="46"/>
      <c r="S950" s="46"/>
      <c r="T950" s="46"/>
      <c r="U950" s="46"/>
      <c r="V950" s="46"/>
      <c r="W950" s="46"/>
    </row>
    <row r="951">
      <c r="A951" s="44"/>
      <c r="B951" s="44"/>
      <c r="C951" s="30"/>
      <c r="D951" s="30"/>
      <c r="E951" s="55"/>
      <c r="F951" s="55"/>
      <c r="G951" s="55"/>
      <c r="H951" s="55"/>
      <c r="I951" s="56"/>
      <c r="J951" s="46"/>
      <c r="K951" s="46"/>
      <c r="L951" s="46"/>
      <c r="M951" s="46"/>
      <c r="N951" s="46"/>
      <c r="O951" s="46"/>
      <c r="P951" s="46"/>
      <c r="Q951" s="46"/>
      <c r="R951" s="46"/>
      <c r="S951" s="46"/>
      <c r="T951" s="46"/>
      <c r="U951" s="46"/>
      <c r="V951" s="46"/>
      <c r="W951" s="46"/>
    </row>
    <row r="952">
      <c r="A952" s="44"/>
      <c r="B952" s="44"/>
      <c r="C952" s="30"/>
      <c r="D952" s="30"/>
      <c r="E952" s="55"/>
      <c r="F952" s="55"/>
      <c r="G952" s="55"/>
      <c r="H952" s="55"/>
      <c r="I952" s="56"/>
      <c r="J952" s="46"/>
      <c r="K952" s="46"/>
      <c r="L952" s="46"/>
      <c r="M952" s="46"/>
      <c r="N952" s="46"/>
      <c r="O952" s="46"/>
      <c r="P952" s="46"/>
      <c r="Q952" s="46"/>
      <c r="R952" s="46"/>
      <c r="S952" s="46"/>
      <c r="T952" s="46"/>
      <c r="U952" s="46"/>
      <c r="V952" s="46"/>
      <c r="W952" s="46"/>
    </row>
    <row r="953">
      <c r="A953" s="44"/>
      <c r="B953" s="44"/>
      <c r="C953" s="30"/>
      <c r="D953" s="30"/>
      <c r="E953" s="55"/>
      <c r="F953" s="55"/>
      <c r="G953" s="55"/>
      <c r="H953" s="55"/>
      <c r="I953" s="56"/>
      <c r="J953" s="46"/>
      <c r="K953" s="46"/>
      <c r="L953" s="46"/>
      <c r="M953" s="46"/>
      <c r="N953" s="46"/>
      <c r="O953" s="46"/>
      <c r="P953" s="46"/>
      <c r="Q953" s="46"/>
      <c r="R953" s="46"/>
      <c r="S953" s="46"/>
      <c r="T953" s="46"/>
      <c r="U953" s="46"/>
      <c r="V953" s="46"/>
      <c r="W953" s="46"/>
    </row>
    <row r="954">
      <c r="A954" s="44"/>
      <c r="B954" s="44"/>
      <c r="C954" s="30"/>
      <c r="D954" s="30"/>
      <c r="E954" s="55"/>
      <c r="F954" s="55"/>
      <c r="G954" s="55"/>
      <c r="H954" s="55"/>
      <c r="I954" s="56"/>
      <c r="J954" s="46"/>
      <c r="K954" s="46"/>
      <c r="L954" s="46"/>
      <c r="M954" s="46"/>
      <c r="N954" s="46"/>
      <c r="O954" s="46"/>
      <c r="P954" s="46"/>
      <c r="Q954" s="46"/>
      <c r="R954" s="46"/>
      <c r="S954" s="46"/>
      <c r="T954" s="46"/>
      <c r="U954" s="46"/>
      <c r="V954" s="46"/>
      <c r="W954" s="46"/>
    </row>
    <row r="955">
      <c r="A955" s="44"/>
      <c r="B955" s="44"/>
      <c r="C955" s="30"/>
      <c r="D955" s="30"/>
      <c r="E955" s="55"/>
      <c r="F955" s="55"/>
      <c r="G955" s="55"/>
      <c r="H955" s="55"/>
      <c r="I955" s="56"/>
      <c r="J955" s="46"/>
      <c r="K955" s="46"/>
      <c r="L955" s="46"/>
      <c r="M955" s="46"/>
      <c r="N955" s="46"/>
      <c r="O955" s="46"/>
      <c r="P955" s="46"/>
      <c r="Q955" s="46"/>
      <c r="R955" s="46"/>
      <c r="S955" s="46"/>
      <c r="T955" s="46"/>
      <c r="U955" s="46"/>
      <c r="V955" s="46"/>
      <c r="W955" s="46"/>
    </row>
    <row r="956">
      <c r="A956" s="44"/>
      <c r="B956" s="44"/>
      <c r="C956" s="30"/>
      <c r="D956" s="30"/>
      <c r="E956" s="55"/>
      <c r="F956" s="55"/>
      <c r="G956" s="55"/>
      <c r="H956" s="55"/>
      <c r="I956" s="56"/>
      <c r="J956" s="46"/>
      <c r="K956" s="46"/>
      <c r="L956" s="46"/>
      <c r="M956" s="46"/>
      <c r="N956" s="46"/>
      <c r="O956" s="46"/>
      <c r="P956" s="46"/>
      <c r="Q956" s="46"/>
      <c r="R956" s="46"/>
      <c r="S956" s="46"/>
      <c r="T956" s="46"/>
      <c r="U956" s="46"/>
      <c r="V956" s="46"/>
      <c r="W956" s="46"/>
    </row>
    <row r="957">
      <c r="A957" s="44"/>
      <c r="B957" s="44"/>
      <c r="C957" s="30"/>
      <c r="D957" s="30"/>
      <c r="E957" s="55"/>
      <c r="F957" s="55"/>
      <c r="G957" s="55"/>
      <c r="H957" s="55"/>
      <c r="I957" s="56"/>
      <c r="J957" s="46"/>
      <c r="K957" s="46"/>
      <c r="L957" s="46"/>
      <c r="M957" s="46"/>
      <c r="N957" s="46"/>
      <c r="O957" s="46"/>
      <c r="P957" s="46"/>
      <c r="Q957" s="46"/>
      <c r="R957" s="46"/>
      <c r="S957" s="46"/>
      <c r="T957" s="46"/>
      <c r="U957" s="46"/>
      <c r="V957" s="46"/>
      <c r="W957" s="46"/>
    </row>
    <row r="958">
      <c r="A958" s="44"/>
      <c r="B958" s="44"/>
      <c r="C958" s="30"/>
      <c r="D958" s="30"/>
      <c r="E958" s="55"/>
      <c r="F958" s="55"/>
      <c r="G958" s="55"/>
      <c r="H958" s="55"/>
      <c r="I958" s="56"/>
      <c r="J958" s="46"/>
      <c r="K958" s="46"/>
      <c r="L958" s="46"/>
      <c r="M958" s="46"/>
      <c r="N958" s="46"/>
      <c r="O958" s="46"/>
      <c r="P958" s="46"/>
      <c r="Q958" s="46"/>
      <c r="R958" s="46"/>
      <c r="S958" s="46"/>
      <c r="T958" s="46"/>
      <c r="U958" s="46"/>
      <c r="V958" s="46"/>
      <c r="W958" s="46"/>
    </row>
    <row r="959">
      <c r="A959" s="44"/>
      <c r="B959" s="44"/>
      <c r="C959" s="30"/>
      <c r="D959" s="30"/>
      <c r="E959" s="55"/>
      <c r="F959" s="55"/>
      <c r="G959" s="55"/>
      <c r="H959" s="55"/>
      <c r="I959" s="56"/>
      <c r="J959" s="46"/>
      <c r="K959" s="46"/>
      <c r="L959" s="46"/>
      <c r="M959" s="46"/>
      <c r="N959" s="46"/>
      <c r="O959" s="46"/>
      <c r="P959" s="46"/>
      <c r="Q959" s="46"/>
      <c r="R959" s="46"/>
      <c r="S959" s="46"/>
      <c r="T959" s="46"/>
      <c r="U959" s="46"/>
      <c r="V959" s="46"/>
      <c r="W959" s="46"/>
    </row>
    <row r="960">
      <c r="A960" s="44"/>
      <c r="B960" s="44"/>
      <c r="C960" s="30"/>
      <c r="D960" s="30"/>
      <c r="E960" s="55"/>
      <c r="F960" s="55"/>
      <c r="G960" s="55"/>
      <c r="H960" s="55"/>
      <c r="I960" s="56"/>
      <c r="J960" s="46"/>
      <c r="K960" s="46"/>
      <c r="L960" s="46"/>
      <c r="M960" s="46"/>
      <c r="N960" s="46"/>
      <c r="O960" s="46"/>
      <c r="P960" s="46"/>
      <c r="Q960" s="46"/>
      <c r="R960" s="46"/>
      <c r="S960" s="46"/>
      <c r="T960" s="46"/>
      <c r="U960" s="46"/>
      <c r="V960" s="46"/>
      <c r="W960" s="46"/>
    </row>
    <row r="961">
      <c r="A961" s="44"/>
      <c r="B961" s="44"/>
      <c r="C961" s="30"/>
      <c r="D961" s="30"/>
      <c r="E961" s="55"/>
      <c r="F961" s="55"/>
      <c r="G961" s="55"/>
      <c r="H961" s="55"/>
      <c r="I961" s="56"/>
      <c r="J961" s="46"/>
      <c r="K961" s="46"/>
      <c r="L961" s="46"/>
      <c r="M961" s="46"/>
      <c r="N961" s="46"/>
      <c r="O961" s="46"/>
      <c r="P961" s="46"/>
      <c r="Q961" s="46"/>
      <c r="R961" s="46"/>
      <c r="S961" s="46"/>
      <c r="T961" s="46"/>
      <c r="U961" s="46"/>
      <c r="V961" s="46"/>
      <c r="W961" s="46"/>
    </row>
    <row r="962">
      <c r="A962" s="44"/>
      <c r="B962" s="44"/>
      <c r="C962" s="30"/>
      <c r="D962" s="30"/>
      <c r="E962" s="55"/>
      <c r="F962" s="55"/>
      <c r="G962" s="55"/>
      <c r="H962" s="55"/>
      <c r="I962" s="56"/>
      <c r="J962" s="46"/>
      <c r="K962" s="46"/>
      <c r="L962" s="46"/>
      <c r="M962" s="46"/>
      <c r="N962" s="46"/>
      <c r="O962" s="46"/>
      <c r="P962" s="46"/>
      <c r="Q962" s="46"/>
      <c r="R962" s="46"/>
      <c r="S962" s="46"/>
      <c r="T962" s="46"/>
      <c r="U962" s="46"/>
      <c r="V962" s="46"/>
      <c r="W962" s="46"/>
    </row>
    <row r="963">
      <c r="A963" s="44"/>
      <c r="B963" s="44"/>
      <c r="C963" s="30"/>
      <c r="D963" s="30"/>
      <c r="E963" s="55"/>
      <c r="F963" s="55"/>
      <c r="G963" s="55"/>
      <c r="H963" s="55"/>
      <c r="I963" s="56"/>
      <c r="J963" s="46"/>
      <c r="K963" s="46"/>
      <c r="L963" s="46"/>
      <c r="M963" s="46"/>
      <c r="N963" s="46"/>
      <c r="O963" s="46"/>
      <c r="P963" s="46"/>
      <c r="Q963" s="46"/>
      <c r="R963" s="46"/>
      <c r="S963" s="46"/>
      <c r="T963" s="46"/>
      <c r="U963" s="46"/>
      <c r="V963" s="46"/>
      <c r="W963" s="46"/>
    </row>
    <row r="964">
      <c r="A964" s="44"/>
      <c r="B964" s="44"/>
      <c r="C964" s="30"/>
      <c r="D964" s="30"/>
      <c r="E964" s="55"/>
      <c r="F964" s="55"/>
      <c r="G964" s="55"/>
      <c r="H964" s="55"/>
      <c r="I964" s="56"/>
      <c r="J964" s="46"/>
      <c r="K964" s="46"/>
      <c r="L964" s="46"/>
      <c r="M964" s="46"/>
      <c r="N964" s="46"/>
      <c r="O964" s="46"/>
      <c r="P964" s="46"/>
      <c r="Q964" s="46"/>
      <c r="R964" s="46"/>
      <c r="S964" s="46"/>
      <c r="T964" s="46"/>
      <c r="U964" s="46"/>
      <c r="V964" s="46"/>
      <c r="W964" s="46"/>
    </row>
    <row r="965">
      <c r="A965" s="44"/>
      <c r="B965" s="44"/>
      <c r="C965" s="30"/>
      <c r="D965" s="30"/>
      <c r="E965" s="55"/>
      <c r="F965" s="55"/>
      <c r="G965" s="55"/>
      <c r="H965" s="55"/>
      <c r="I965" s="56"/>
      <c r="J965" s="46"/>
      <c r="K965" s="46"/>
      <c r="L965" s="46"/>
      <c r="M965" s="46"/>
      <c r="N965" s="46"/>
      <c r="O965" s="46"/>
      <c r="P965" s="46"/>
      <c r="Q965" s="46"/>
      <c r="R965" s="46"/>
      <c r="S965" s="46"/>
      <c r="T965" s="46"/>
      <c r="U965" s="46"/>
      <c r="V965" s="46"/>
      <c r="W965" s="46"/>
    </row>
    <row r="966">
      <c r="A966" s="44"/>
      <c r="B966" s="44"/>
      <c r="C966" s="30"/>
      <c r="D966" s="30"/>
      <c r="E966" s="55"/>
      <c r="F966" s="55"/>
      <c r="G966" s="55"/>
      <c r="H966" s="55"/>
      <c r="I966" s="56"/>
      <c r="J966" s="46"/>
      <c r="K966" s="46"/>
      <c r="L966" s="46"/>
      <c r="M966" s="46"/>
      <c r="N966" s="46"/>
      <c r="O966" s="46"/>
      <c r="P966" s="46"/>
      <c r="Q966" s="46"/>
      <c r="R966" s="46"/>
      <c r="S966" s="46"/>
      <c r="T966" s="46"/>
      <c r="U966" s="46"/>
      <c r="V966" s="46"/>
      <c r="W966" s="46"/>
    </row>
    <row r="967">
      <c r="A967" s="44"/>
      <c r="B967" s="44"/>
      <c r="C967" s="30"/>
      <c r="D967" s="30"/>
      <c r="E967" s="55"/>
      <c r="F967" s="55"/>
      <c r="G967" s="55"/>
      <c r="H967" s="55"/>
      <c r="I967" s="56"/>
      <c r="J967" s="46"/>
      <c r="K967" s="46"/>
      <c r="L967" s="46"/>
      <c r="M967" s="46"/>
      <c r="N967" s="46"/>
      <c r="O967" s="46"/>
      <c r="P967" s="46"/>
      <c r="Q967" s="46"/>
      <c r="R967" s="46"/>
      <c r="S967" s="46"/>
      <c r="T967" s="46"/>
      <c r="U967" s="46"/>
      <c r="V967" s="46"/>
      <c r="W967" s="46"/>
    </row>
    <row r="968">
      <c r="A968" s="44"/>
      <c r="B968" s="44"/>
      <c r="C968" s="30"/>
      <c r="D968" s="30"/>
      <c r="E968" s="55"/>
      <c r="F968" s="55"/>
      <c r="G968" s="55"/>
      <c r="H968" s="55"/>
      <c r="I968" s="56"/>
      <c r="J968" s="46"/>
      <c r="K968" s="46"/>
      <c r="L968" s="46"/>
      <c r="M968" s="46"/>
      <c r="N968" s="46"/>
      <c r="O968" s="46"/>
      <c r="P968" s="46"/>
      <c r="Q968" s="46"/>
      <c r="R968" s="46"/>
      <c r="S968" s="46"/>
      <c r="T968" s="46"/>
      <c r="U968" s="46"/>
      <c r="V968" s="46"/>
      <c r="W968" s="46"/>
    </row>
    <row r="969">
      <c r="A969" s="44"/>
      <c r="B969" s="44"/>
      <c r="C969" s="30"/>
      <c r="D969" s="30"/>
      <c r="E969" s="55"/>
      <c r="F969" s="55"/>
      <c r="G969" s="55"/>
      <c r="H969" s="55"/>
      <c r="I969" s="56"/>
      <c r="J969" s="46"/>
      <c r="K969" s="46"/>
      <c r="L969" s="46"/>
      <c r="M969" s="46"/>
      <c r="N969" s="46"/>
      <c r="O969" s="46"/>
      <c r="P969" s="46"/>
      <c r="Q969" s="46"/>
      <c r="R969" s="46"/>
      <c r="S969" s="46"/>
      <c r="T969" s="46"/>
      <c r="U969" s="46"/>
      <c r="V969" s="46"/>
      <c r="W969" s="46"/>
    </row>
    <row r="970">
      <c r="A970" s="44"/>
      <c r="B970" s="44"/>
      <c r="C970" s="30"/>
      <c r="D970" s="30"/>
      <c r="E970" s="55"/>
      <c r="F970" s="55"/>
      <c r="G970" s="55"/>
      <c r="H970" s="55"/>
      <c r="I970" s="56"/>
      <c r="J970" s="46"/>
      <c r="K970" s="46"/>
      <c r="L970" s="46"/>
      <c r="M970" s="46"/>
      <c r="N970" s="46"/>
      <c r="O970" s="46"/>
      <c r="P970" s="46"/>
      <c r="Q970" s="46"/>
      <c r="R970" s="46"/>
      <c r="S970" s="46"/>
      <c r="T970" s="46"/>
      <c r="U970" s="46"/>
      <c r="V970" s="46"/>
      <c r="W970" s="46"/>
    </row>
    <row r="971">
      <c r="A971" s="44"/>
      <c r="B971" s="44"/>
      <c r="C971" s="30"/>
      <c r="D971" s="30"/>
      <c r="E971" s="55"/>
      <c r="F971" s="55"/>
      <c r="G971" s="55"/>
      <c r="H971" s="55"/>
      <c r="I971" s="56"/>
      <c r="J971" s="46"/>
      <c r="K971" s="46"/>
      <c r="L971" s="46"/>
      <c r="M971" s="46"/>
      <c r="N971" s="46"/>
      <c r="O971" s="46"/>
      <c r="P971" s="46"/>
      <c r="Q971" s="46"/>
      <c r="R971" s="46"/>
      <c r="S971" s="46"/>
      <c r="T971" s="46"/>
      <c r="U971" s="46"/>
      <c r="V971" s="46"/>
      <c r="W971" s="46"/>
    </row>
    <row r="972">
      <c r="A972" s="44"/>
      <c r="B972" s="44"/>
      <c r="C972" s="30"/>
      <c r="D972" s="30"/>
      <c r="E972" s="55"/>
      <c r="F972" s="55"/>
      <c r="G972" s="55"/>
      <c r="H972" s="55"/>
      <c r="I972" s="56"/>
      <c r="J972" s="46"/>
      <c r="K972" s="46"/>
      <c r="L972" s="46"/>
      <c r="M972" s="46"/>
      <c r="N972" s="46"/>
      <c r="O972" s="46"/>
      <c r="P972" s="46"/>
      <c r="Q972" s="46"/>
      <c r="R972" s="46"/>
      <c r="S972" s="46"/>
      <c r="T972" s="46"/>
      <c r="U972" s="46"/>
      <c r="V972" s="46"/>
      <c r="W972" s="46"/>
    </row>
    <row r="973">
      <c r="A973" s="44"/>
      <c r="B973" s="44"/>
      <c r="C973" s="30"/>
      <c r="D973" s="30"/>
      <c r="E973" s="55"/>
      <c r="F973" s="55"/>
      <c r="G973" s="55"/>
      <c r="H973" s="55"/>
      <c r="I973" s="56"/>
      <c r="J973" s="46"/>
      <c r="K973" s="46"/>
      <c r="L973" s="46"/>
      <c r="M973" s="46"/>
      <c r="N973" s="46"/>
      <c r="O973" s="46"/>
      <c r="P973" s="46"/>
      <c r="Q973" s="46"/>
      <c r="R973" s="46"/>
      <c r="S973" s="46"/>
      <c r="T973" s="46"/>
      <c r="U973" s="46"/>
      <c r="V973" s="46"/>
      <c r="W973" s="46"/>
    </row>
    <row r="974">
      <c r="A974" s="44"/>
      <c r="B974" s="44"/>
      <c r="C974" s="30"/>
      <c r="D974" s="30"/>
      <c r="E974" s="55"/>
      <c r="F974" s="55"/>
      <c r="G974" s="55"/>
      <c r="H974" s="55"/>
      <c r="I974" s="56"/>
      <c r="J974" s="46"/>
      <c r="K974" s="46"/>
      <c r="L974" s="46"/>
      <c r="M974" s="46"/>
      <c r="N974" s="46"/>
      <c r="O974" s="46"/>
      <c r="P974" s="46"/>
      <c r="Q974" s="46"/>
      <c r="R974" s="46"/>
      <c r="S974" s="46"/>
      <c r="T974" s="46"/>
      <c r="U974" s="46"/>
      <c r="V974" s="46"/>
      <c r="W974" s="46"/>
    </row>
    <row r="975">
      <c r="A975" s="44"/>
      <c r="B975" s="44"/>
      <c r="C975" s="30"/>
      <c r="D975" s="30"/>
      <c r="E975" s="55"/>
      <c r="F975" s="55"/>
      <c r="G975" s="55"/>
      <c r="H975" s="55"/>
      <c r="I975" s="56"/>
      <c r="J975" s="46"/>
      <c r="K975" s="46"/>
      <c r="L975" s="46"/>
      <c r="M975" s="46"/>
      <c r="N975" s="46"/>
      <c r="O975" s="46"/>
      <c r="P975" s="46"/>
      <c r="Q975" s="46"/>
      <c r="R975" s="46"/>
      <c r="S975" s="46"/>
      <c r="T975" s="46"/>
      <c r="U975" s="46"/>
      <c r="V975" s="46"/>
      <c r="W975" s="46"/>
    </row>
    <row r="976">
      <c r="A976" s="44"/>
      <c r="B976" s="44"/>
      <c r="C976" s="30"/>
      <c r="D976" s="30"/>
      <c r="E976" s="55"/>
      <c r="F976" s="55"/>
      <c r="G976" s="55"/>
      <c r="H976" s="55"/>
      <c r="I976" s="56"/>
      <c r="J976" s="46"/>
      <c r="K976" s="46"/>
      <c r="L976" s="46"/>
      <c r="M976" s="46"/>
      <c r="N976" s="46"/>
      <c r="O976" s="46"/>
      <c r="P976" s="46"/>
      <c r="Q976" s="46"/>
      <c r="R976" s="46"/>
      <c r="S976" s="46"/>
      <c r="T976" s="46"/>
      <c r="U976" s="46"/>
      <c r="V976" s="46"/>
      <c r="W976" s="46"/>
    </row>
    <row r="977">
      <c r="A977" s="44"/>
      <c r="B977" s="44"/>
      <c r="C977" s="30"/>
      <c r="D977" s="30"/>
      <c r="E977" s="55"/>
      <c r="F977" s="55"/>
      <c r="G977" s="55"/>
      <c r="H977" s="55"/>
      <c r="I977" s="56"/>
      <c r="J977" s="46"/>
      <c r="K977" s="46"/>
      <c r="L977" s="46"/>
      <c r="M977" s="46"/>
      <c r="N977" s="46"/>
      <c r="O977" s="46"/>
      <c r="P977" s="46"/>
      <c r="Q977" s="46"/>
      <c r="R977" s="46"/>
      <c r="S977" s="46"/>
      <c r="T977" s="46"/>
      <c r="U977" s="46"/>
      <c r="V977" s="46"/>
      <c r="W977" s="46"/>
    </row>
    <row r="978">
      <c r="A978" s="44"/>
      <c r="B978" s="44"/>
      <c r="C978" s="30"/>
      <c r="D978" s="30"/>
      <c r="E978" s="55"/>
      <c r="F978" s="55"/>
      <c r="G978" s="55"/>
      <c r="H978" s="55"/>
      <c r="I978" s="56"/>
      <c r="J978" s="46"/>
      <c r="K978" s="46"/>
      <c r="L978" s="46"/>
      <c r="M978" s="46"/>
      <c r="N978" s="46"/>
      <c r="O978" s="46"/>
      <c r="P978" s="46"/>
      <c r="Q978" s="46"/>
      <c r="R978" s="46"/>
      <c r="S978" s="46"/>
      <c r="T978" s="46"/>
      <c r="U978" s="46"/>
      <c r="V978" s="46"/>
      <c r="W978" s="46"/>
    </row>
    <row r="979">
      <c r="A979" s="44"/>
      <c r="B979" s="44"/>
      <c r="C979" s="30"/>
      <c r="D979" s="30"/>
      <c r="E979" s="55"/>
      <c r="F979" s="55"/>
      <c r="G979" s="55"/>
      <c r="H979" s="55"/>
      <c r="I979" s="56"/>
      <c r="J979" s="46"/>
      <c r="K979" s="46"/>
      <c r="L979" s="46"/>
      <c r="M979" s="46"/>
      <c r="N979" s="46"/>
      <c r="O979" s="46"/>
      <c r="P979" s="46"/>
      <c r="Q979" s="46"/>
      <c r="R979" s="46"/>
      <c r="S979" s="46"/>
      <c r="T979" s="46"/>
      <c r="U979" s="46"/>
      <c r="V979" s="46"/>
      <c r="W979" s="46"/>
    </row>
    <row r="980">
      <c r="A980" s="44"/>
      <c r="B980" s="44"/>
      <c r="C980" s="30"/>
      <c r="D980" s="30"/>
      <c r="E980" s="55"/>
      <c r="F980" s="55"/>
      <c r="G980" s="55"/>
      <c r="H980" s="55"/>
      <c r="I980" s="56"/>
      <c r="J980" s="46"/>
      <c r="K980" s="46"/>
      <c r="L980" s="46"/>
      <c r="M980" s="46"/>
      <c r="N980" s="46"/>
      <c r="O980" s="46"/>
      <c r="P980" s="46"/>
      <c r="Q980" s="46"/>
      <c r="R980" s="46"/>
      <c r="S980" s="46"/>
      <c r="T980" s="46"/>
      <c r="U980" s="46"/>
      <c r="V980" s="46"/>
      <c r="W980" s="46"/>
    </row>
    <row r="981">
      <c r="A981" s="44"/>
      <c r="B981" s="44"/>
      <c r="C981" s="30"/>
      <c r="D981" s="30"/>
      <c r="E981" s="55"/>
      <c r="F981" s="55"/>
      <c r="G981" s="55"/>
      <c r="H981" s="55"/>
      <c r="I981" s="56"/>
      <c r="J981" s="46"/>
      <c r="K981" s="46"/>
      <c r="L981" s="46"/>
      <c r="M981" s="46"/>
      <c r="N981" s="46"/>
      <c r="O981" s="46"/>
      <c r="P981" s="46"/>
      <c r="Q981" s="46"/>
      <c r="R981" s="46"/>
      <c r="S981" s="46"/>
      <c r="T981" s="46"/>
      <c r="U981" s="46"/>
      <c r="V981" s="46"/>
      <c r="W981" s="46"/>
    </row>
    <row r="982">
      <c r="A982" s="44"/>
      <c r="B982" s="44"/>
      <c r="C982" s="30"/>
      <c r="D982" s="30"/>
      <c r="E982" s="55"/>
      <c r="F982" s="55"/>
      <c r="G982" s="55"/>
      <c r="H982" s="55"/>
      <c r="I982" s="56"/>
      <c r="J982" s="46"/>
      <c r="K982" s="46"/>
      <c r="L982" s="46"/>
      <c r="M982" s="46"/>
      <c r="N982" s="46"/>
      <c r="O982" s="46"/>
      <c r="P982" s="46"/>
      <c r="Q982" s="46"/>
      <c r="R982" s="46"/>
      <c r="S982" s="46"/>
      <c r="T982" s="46"/>
      <c r="U982" s="46"/>
      <c r="V982" s="46"/>
      <c r="W982" s="46"/>
    </row>
    <row r="983">
      <c r="A983" s="44"/>
      <c r="B983" s="44"/>
      <c r="C983" s="30"/>
      <c r="D983" s="30"/>
      <c r="E983" s="55"/>
      <c r="F983" s="55"/>
      <c r="G983" s="55"/>
      <c r="H983" s="55"/>
      <c r="I983" s="56"/>
      <c r="J983" s="46"/>
      <c r="K983" s="46"/>
      <c r="L983" s="46"/>
      <c r="M983" s="46"/>
      <c r="N983" s="46"/>
      <c r="O983" s="46"/>
      <c r="P983" s="46"/>
      <c r="Q983" s="46"/>
      <c r="R983" s="46"/>
      <c r="S983" s="46"/>
      <c r="T983" s="46"/>
      <c r="U983" s="46"/>
      <c r="V983" s="46"/>
      <c r="W983" s="46"/>
    </row>
    <row r="984">
      <c r="A984" s="44"/>
      <c r="B984" s="44"/>
      <c r="C984" s="30"/>
      <c r="D984" s="30"/>
      <c r="E984" s="55"/>
      <c r="F984" s="55"/>
      <c r="G984" s="55"/>
      <c r="H984" s="55"/>
      <c r="I984" s="56"/>
      <c r="J984" s="46"/>
      <c r="K984" s="46"/>
      <c r="L984" s="46"/>
      <c r="M984" s="46"/>
      <c r="N984" s="46"/>
      <c r="O984" s="46"/>
      <c r="P984" s="46"/>
      <c r="Q984" s="46"/>
      <c r="R984" s="46"/>
      <c r="S984" s="46"/>
      <c r="T984" s="46"/>
      <c r="U984" s="46"/>
      <c r="V984" s="46"/>
      <c r="W984" s="46"/>
    </row>
    <row r="985">
      <c r="A985" s="44"/>
      <c r="B985" s="44"/>
      <c r="C985" s="30"/>
      <c r="D985" s="30"/>
      <c r="E985" s="55"/>
      <c r="F985" s="55"/>
      <c r="G985" s="55"/>
      <c r="H985" s="55"/>
      <c r="I985" s="56"/>
      <c r="J985" s="46"/>
      <c r="K985" s="46"/>
      <c r="L985" s="46"/>
      <c r="M985" s="46"/>
      <c r="N985" s="46"/>
      <c r="O985" s="46"/>
      <c r="P985" s="46"/>
      <c r="Q985" s="46"/>
      <c r="R985" s="46"/>
      <c r="S985" s="46"/>
      <c r="T985" s="46"/>
      <c r="U985" s="46"/>
      <c r="V985" s="46"/>
      <c r="W985" s="46"/>
    </row>
    <row r="986">
      <c r="A986" s="44"/>
      <c r="B986" s="44"/>
      <c r="C986" s="30"/>
      <c r="D986" s="30"/>
      <c r="E986" s="55"/>
      <c r="F986" s="55"/>
      <c r="G986" s="55"/>
      <c r="H986" s="55"/>
      <c r="I986" s="56"/>
      <c r="J986" s="46"/>
      <c r="K986" s="46"/>
      <c r="L986" s="46"/>
      <c r="M986" s="46"/>
      <c r="N986" s="46"/>
      <c r="O986" s="46"/>
      <c r="P986" s="46"/>
      <c r="Q986" s="46"/>
      <c r="R986" s="46"/>
      <c r="S986" s="46"/>
      <c r="T986" s="46"/>
      <c r="U986" s="46"/>
      <c r="V986" s="46"/>
      <c r="W986" s="46"/>
    </row>
    <row r="987">
      <c r="A987" s="44"/>
      <c r="B987" s="44"/>
      <c r="C987" s="30"/>
      <c r="D987" s="30"/>
      <c r="E987" s="55"/>
      <c r="F987" s="55"/>
      <c r="G987" s="55"/>
      <c r="H987" s="55"/>
      <c r="I987" s="56"/>
      <c r="J987" s="46"/>
      <c r="K987" s="46"/>
      <c r="L987" s="46"/>
      <c r="M987" s="46"/>
      <c r="N987" s="46"/>
      <c r="O987" s="46"/>
      <c r="P987" s="46"/>
      <c r="Q987" s="46"/>
      <c r="R987" s="46"/>
      <c r="S987" s="46"/>
      <c r="T987" s="46"/>
      <c r="U987" s="46"/>
      <c r="V987" s="46"/>
      <c r="W987" s="46"/>
    </row>
    <row r="988">
      <c r="A988" s="44"/>
      <c r="B988" s="44"/>
      <c r="C988" s="30"/>
      <c r="D988" s="30"/>
      <c r="E988" s="55"/>
      <c r="F988" s="55"/>
      <c r="G988" s="55"/>
      <c r="H988" s="55"/>
      <c r="I988" s="56"/>
      <c r="J988" s="46"/>
      <c r="K988" s="46"/>
      <c r="L988" s="46"/>
      <c r="M988" s="46"/>
      <c r="N988" s="46"/>
      <c r="O988" s="46"/>
      <c r="P988" s="46"/>
      <c r="Q988" s="46"/>
      <c r="R988" s="46"/>
      <c r="S988" s="46"/>
      <c r="T988" s="46"/>
      <c r="U988" s="46"/>
      <c r="V988" s="46"/>
      <c r="W988" s="46"/>
    </row>
    <row r="989">
      <c r="A989" s="44"/>
      <c r="B989" s="44"/>
      <c r="C989" s="30"/>
      <c r="D989" s="30"/>
      <c r="E989" s="55"/>
      <c r="F989" s="55"/>
      <c r="G989" s="55"/>
      <c r="H989" s="55"/>
      <c r="I989" s="56"/>
      <c r="J989" s="46"/>
      <c r="K989" s="46"/>
      <c r="L989" s="46"/>
      <c r="M989" s="46"/>
      <c r="N989" s="46"/>
      <c r="O989" s="46"/>
      <c r="P989" s="46"/>
      <c r="Q989" s="46"/>
      <c r="R989" s="46"/>
      <c r="S989" s="46"/>
      <c r="T989" s="46"/>
      <c r="U989" s="46"/>
      <c r="V989" s="46"/>
      <c r="W989" s="46"/>
    </row>
    <row r="990">
      <c r="A990" s="44"/>
      <c r="B990" s="44"/>
      <c r="C990" s="30"/>
      <c r="D990" s="30"/>
      <c r="E990" s="55"/>
      <c r="F990" s="55"/>
      <c r="G990" s="55"/>
      <c r="H990" s="55"/>
      <c r="I990" s="56"/>
      <c r="J990" s="46"/>
      <c r="K990" s="46"/>
      <c r="L990" s="46"/>
      <c r="M990" s="46"/>
      <c r="N990" s="46"/>
      <c r="O990" s="46"/>
      <c r="P990" s="46"/>
      <c r="Q990" s="46"/>
      <c r="R990" s="46"/>
      <c r="S990" s="46"/>
      <c r="T990" s="46"/>
      <c r="U990" s="46"/>
      <c r="V990" s="46"/>
      <c r="W990" s="46"/>
    </row>
    <row r="991">
      <c r="A991" s="44"/>
      <c r="B991" s="44"/>
      <c r="C991" s="30"/>
      <c r="D991" s="30"/>
      <c r="E991" s="55"/>
      <c r="F991" s="55"/>
      <c r="G991" s="55"/>
      <c r="H991" s="55"/>
      <c r="I991" s="56"/>
      <c r="J991" s="46"/>
      <c r="K991" s="46"/>
      <c r="L991" s="46"/>
      <c r="M991" s="46"/>
      <c r="N991" s="46"/>
      <c r="O991" s="46"/>
      <c r="P991" s="46"/>
      <c r="Q991" s="46"/>
      <c r="R991" s="46"/>
      <c r="S991" s="46"/>
      <c r="T991" s="46"/>
      <c r="U991" s="46"/>
      <c r="V991" s="46"/>
      <c r="W991" s="46"/>
    </row>
    <row r="992">
      <c r="A992" s="44"/>
      <c r="B992" s="44"/>
      <c r="C992" s="30"/>
      <c r="D992" s="30"/>
      <c r="E992" s="55"/>
      <c r="F992" s="55"/>
      <c r="G992" s="55"/>
      <c r="H992" s="55"/>
      <c r="I992" s="56"/>
      <c r="J992" s="46"/>
      <c r="K992" s="46"/>
      <c r="L992" s="46"/>
      <c r="M992" s="46"/>
      <c r="N992" s="46"/>
      <c r="O992" s="46"/>
      <c r="P992" s="46"/>
      <c r="Q992" s="46"/>
      <c r="R992" s="46"/>
      <c r="S992" s="46"/>
      <c r="T992" s="46"/>
      <c r="U992" s="46"/>
      <c r="V992" s="46"/>
      <c r="W992" s="46"/>
    </row>
    <row r="993">
      <c r="A993" s="44"/>
      <c r="B993" s="44"/>
      <c r="C993" s="30"/>
      <c r="D993" s="30"/>
      <c r="E993" s="55"/>
      <c r="F993" s="55"/>
      <c r="G993" s="55"/>
      <c r="H993" s="55"/>
      <c r="I993" s="56"/>
      <c r="J993" s="46"/>
      <c r="K993" s="46"/>
      <c r="L993" s="46"/>
      <c r="M993" s="46"/>
      <c r="N993" s="46"/>
      <c r="O993" s="46"/>
      <c r="P993" s="46"/>
      <c r="Q993" s="46"/>
      <c r="R993" s="46"/>
      <c r="S993" s="46"/>
      <c r="T993" s="46"/>
      <c r="U993" s="46"/>
      <c r="V993" s="46"/>
      <c r="W993" s="46"/>
    </row>
    <row r="994">
      <c r="A994" s="44"/>
      <c r="B994" s="44"/>
      <c r="C994" s="30"/>
      <c r="D994" s="30"/>
      <c r="E994" s="55"/>
      <c r="F994" s="55"/>
      <c r="G994" s="55"/>
      <c r="H994" s="55"/>
      <c r="I994" s="56"/>
      <c r="J994" s="46"/>
      <c r="K994" s="46"/>
      <c r="L994" s="46"/>
      <c r="M994" s="46"/>
      <c r="N994" s="46"/>
      <c r="O994" s="46"/>
      <c r="P994" s="46"/>
      <c r="Q994" s="46"/>
      <c r="R994" s="46"/>
      <c r="S994" s="46"/>
      <c r="T994" s="46"/>
      <c r="U994" s="46"/>
      <c r="V994" s="46"/>
      <c r="W994" s="46"/>
    </row>
    <row r="995">
      <c r="A995" s="44"/>
      <c r="B995" s="44"/>
      <c r="C995" s="30"/>
      <c r="D995" s="30"/>
      <c r="E995" s="55"/>
      <c r="F995" s="55"/>
      <c r="G995" s="55"/>
      <c r="H995" s="55"/>
      <c r="I995" s="56"/>
      <c r="J995" s="46"/>
      <c r="K995" s="46"/>
      <c r="L995" s="46"/>
      <c r="M995" s="46"/>
      <c r="N995" s="46"/>
      <c r="O995" s="46"/>
      <c r="P995" s="46"/>
      <c r="Q995" s="46"/>
      <c r="R995" s="46"/>
      <c r="S995" s="46"/>
      <c r="T995" s="46"/>
      <c r="U995" s="46"/>
      <c r="V995" s="46"/>
      <c r="W995" s="46"/>
    </row>
    <row r="996">
      <c r="A996" s="44"/>
      <c r="B996" s="44"/>
      <c r="C996" s="30"/>
      <c r="D996" s="30"/>
      <c r="E996" s="55"/>
      <c r="F996" s="55"/>
      <c r="G996" s="55"/>
      <c r="H996" s="55"/>
      <c r="I996" s="56"/>
      <c r="J996" s="46"/>
      <c r="K996" s="46"/>
      <c r="L996" s="46"/>
      <c r="M996" s="46"/>
      <c r="N996" s="46"/>
      <c r="O996" s="46"/>
      <c r="P996" s="46"/>
      <c r="Q996" s="46"/>
      <c r="R996" s="46"/>
      <c r="S996" s="46"/>
      <c r="T996" s="46"/>
      <c r="U996" s="46"/>
      <c r="V996" s="46"/>
      <c r="W996" s="46"/>
    </row>
    <row r="997">
      <c r="A997" s="44"/>
      <c r="B997" s="44"/>
      <c r="C997" s="30"/>
      <c r="D997" s="30"/>
      <c r="E997" s="55"/>
      <c r="F997" s="55"/>
      <c r="G997" s="55"/>
      <c r="H997" s="55"/>
      <c r="I997" s="56"/>
      <c r="J997" s="46"/>
      <c r="K997" s="46"/>
      <c r="L997" s="46"/>
      <c r="M997" s="46"/>
      <c r="N997" s="46"/>
      <c r="O997" s="46"/>
      <c r="P997" s="46"/>
      <c r="Q997" s="46"/>
      <c r="R997" s="46"/>
      <c r="S997" s="46"/>
      <c r="T997" s="46"/>
      <c r="U997" s="46"/>
      <c r="V997" s="46"/>
      <c r="W997" s="46"/>
    </row>
    <row r="998">
      <c r="A998" s="44"/>
      <c r="B998" s="44"/>
      <c r="C998" s="30"/>
      <c r="D998" s="30"/>
      <c r="E998" s="55"/>
      <c r="F998" s="55"/>
      <c r="G998" s="55"/>
      <c r="H998" s="55"/>
      <c r="I998" s="56"/>
      <c r="J998" s="46"/>
      <c r="K998" s="46"/>
      <c r="L998" s="46"/>
      <c r="M998" s="46"/>
      <c r="N998" s="46"/>
      <c r="O998" s="46"/>
      <c r="P998" s="46"/>
      <c r="Q998" s="46"/>
      <c r="R998" s="46"/>
      <c r="S998" s="46"/>
      <c r="T998" s="46"/>
      <c r="U998" s="46"/>
      <c r="V998" s="46"/>
      <c r="W998" s="46"/>
    </row>
    <row r="999">
      <c r="A999" s="44"/>
      <c r="B999" s="44"/>
      <c r="C999" s="30"/>
      <c r="D999" s="30"/>
      <c r="E999" s="55"/>
      <c r="F999" s="55"/>
      <c r="G999" s="55"/>
      <c r="H999" s="55"/>
      <c r="I999" s="56"/>
      <c r="J999" s="46"/>
      <c r="K999" s="46"/>
      <c r="L999" s="46"/>
      <c r="M999" s="46"/>
      <c r="N999" s="46"/>
      <c r="O999" s="46"/>
      <c r="P999" s="46"/>
      <c r="Q999" s="46"/>
      <c r="R999" s="46"/>
      <c r="S999" s="46"/>
      <c r="T999" s="46"/>
      <c r="U999" s="46"/>
      <c r="V999" s="46"/>
      <c r="W999" s="46"/>
    </row>
    <row r="1000">
      <c r="A1000" s="44"/>
      <c r="B1000" s="44"/>
      <c r="C1000" s="30"/>
      <c r="D1000" s="30"/>
      <c r="E1000" s="55"/>
      <c r="F1000" s="55"/>
      <c r="G1000" s="55"/>
      <c r="H1000" s="55"/>
      <c r="I1000" s="56"/>
      <c r="J1000" s="46"/>
      <c r="K1000" s="46"/>
      <c r="L1000" s="46"/>
      <c r="M1000" s="46"/>
      <c r="N1000" s="46"/>
      <c r="O1000" s="46"/>
      <c r="P1000" s="46"/>
      <c r="Q1000" s="46"/>
      <c r="R1000" s="46"/>
      <c r="S1000" s="46"/>
      <c r="T1000" s="46"/>
      <c r="U1000" s="46"/>
      <c r="V1000" s="46"/>
      <c r="W1000" s="46"/>
    </row>
    <row r="1001">
      <c r="A1001" s="44"/>
      <c r="B1001" s="44"/>
      <c r="C1001" s="30"/>
      <c r="D1001" s="30"/>
      <c r="E1001" s="55"/>
      <c r="F1001" s="55"/>
      <c r="G1001" s="55"/>
      <c r="H1001" s="55"/>
      <c r="I1001" s="56"/>
      <c r="J1001" s="46"/>
      <c r="K1001" s="46"/>
      <c r="L1001" s="46"/>
      <c r="M1001" s="46"/>
      <c r="N1001" s="46"/>
      <c r="O1001" s="46"/>
      <c r="P1001" s="46"/>
      <c r="Q1001" s="46"/>
      <c r="R1001" s="46"/>
      <c r="S1001" s="46"/>
      <c r="T1001" s="46"/>
      <c r="U1001" s="46"/>
      <c r="V1001" s="46"/>
      <c r="W1001" s="46"/>
    </row>
    <row r="1002">
      <c r="A1002" s="44"/>
      <c r="B1002" s="44"/>
      <c r="C1002" s="30"/>
      <c r="D1002" s="30"/>
      <c r="E1002" s="55"/>
      <c r="F1002" s="55"/>
      <c r="G1002" s="55"/>
      <c r="H1002" s="55"/>
      <c r="I1002" s="56"/>
      <c r="J1002" s="46"/>
      <c r="K1002" s="46"/>
      <c r="L1002" s="46"/>
      <c r="M1002" s="46"/>
      <c r="N1002" s="46"/>
      <c r="O1002" s="46"/>
      <c r="P1002" s="46"/>
      <c r="Q1002" s="46"/>
      <c r="R1002" s="46"/>
      <c r="S1002" s="46"/>
      <c r="T1002" s="46"/>
      <c r="U1002" s="46"/>
      <c r="V1002" s="46"/>
      <c r="W1002" s="46"/>
    </row>
    <row r="1003">
      <c r="A1003" s="44"/>
      <c r="B1003" s="44"/>
      <c r="C1003" s="30"/>
      <c r="D1003" s="30"/>
      <c r="E1003" s="55"/>
      <c r="F1003" s="55"/>
      <c r="G1003" s="55"/>
      <c r="H1003" s="55"/>
      <c r="I1003" s="56"/>
      <c r="J1003" s="46"/>
      <c r="K1003" s="46"/>
      <c r="L1003" s="46"/>
      <c r="M1003" s="46"/>
      <c r="N1003" s="46"/>
      <c r="O1003" s="46"/>
      <c r="P1003" s="46"/>
      <c r="Q1003" s="46"/>
      <c r="R1003" s="46"/>
      <c r="S1003" s="46"/>
      <c r="T1003" s="46"/>
      <c r="U1003" s="46"/>
      <c r="V1003" s="46"/>
      <c r="W1003" s="46"/>
    </row>
    <row r="1004">
      <c r="A1004" s="44"/>
      <c r="B1004" s="44"/>
      <c r="C1004" s="30"/>
      <c r="D1004" s="30"/>
      <c r="E1004" s="55"/>
      <c r="F1004" s="55"/>
      <c r="G1004" s="55"/>
      <c r="H1004" s="55"/>
      <c r="I1004" s="56"/>
      <c r="J1004" s="46"/>
      <c r="K1004" s="46"/>
      <c r="L1004" s="46"/>
      <c r="M1004" s="46"/>
      <c r="N1004" s="46"/>
      <c r="O1004" s="46"/>
      <c r="P1004" s="46"/>
      <c r="Q1004" s="46"/>
      <c r="R1004" s="46"/>
      <c r="S1004" s="46"/>
      <c r="T1004" s="46"/>
      <c r="U1004" s="46"/>
      <c r="V1004" s="46"/>
      <c r="W1004" s="46"/>
    </row>
    <row r="1005">
      <c r="A1005" s="44"/>
      <c r="B1005" s="44"/>
      <c r="C1005" s="30"/>
      <c r="D1005" s="30"/>
      <c r="E1005" s="55"/>
      <c r="F1005" s="55"/>
      <c r="G1005" s="55"/>
      <c r="H1005" s="55"/>
      <c r="I1005" s="56"/>
      <c r="J1005" s="46"/>
      <c r="K1005" s="46"/>
      <c r="L1005" s="46"/>
      <c r="M1005" s="46"/>
      <c r="N1005" s="46"/>
      <c r="O1005" s="46"/>
      <c r="P1005" s="46"/>
      <c r="Q1005" s="46"/>
      <c r="R1005" s="46"/>
      <c r="S1005" s="46"/>
      <c r="T1005" s="46"/>
      <c r="U1005" s="46"/>
      <c r="V1005" s="46"/>
      <c r="W1005" s="46"/>
    </row>
    <row r="1006">
      <c r="A1006" s="44"/>
      <c r="B1006" s="44"/>
      <c r="C1006" s="30"/>
      <c r="D1006" s="30"/>
      <c r="E1006" s="55"/>
      <c r="F1006" s="55"/>
      <c r="G1006" s="55"/>
      <c r="H1006" s="55"/>
      <c r="I1006" s="56"/>
      <c r="J1006" s="46"/>
      <c r="K1006" s="46"/>
      <c r="L1006" s="46"/>
      <c r="M1006" s="46"/>
      <c r="N1006" s="46"/>
      <c r="O1006" s="46"/>
      <c r="P1006" s="46"/>
      <c r="Q1006" s="46"/>
      <c r="R1006" s="46"/>
      <c r="S1006" s="46"/>
      <c r="T1006" s="46"/>
      <c r="U1006" s="46"/>
      <c r="V1006" s="46"/>
      <c r="W1006" s="46"/>
    </row>
    <row r="1007">
      <c r="A1007" s="44"/>
      <c r="B1007" s="44"/>
      <c r="C1007" s="30"/>
      <c r="D1007" s="30"/>
      <c r="E1007" s="55"/>
      <c r="F1007" s="55"/>
      <c r="G1007" s="55"/>
      <c r="H1007" s="55"/>
      <c r="I1007" s="56"/>
      <c r="J1007" s="46"/>
      <c r="K1007" s="46"/>
      <c r="L1007" s="46"/>
      <c r="M1007" s="46"/>
      <c r="N1007" s="46"/>
      <c r="O1007" s="46"/>
      <c r="P1007" s="46"/>
      <c r="Q1007" s="46"/>
      <c r="R1007" s="46"/>
      <c r="S1007" s="46"/>
      <c r="T1007" s="46"/>
      <c r="U1007" s="46"/>
      <c r="V1007" s="46"/>
      <c r="W1007" s="46"/>
    </row>
    <row r="1008">
      <c r="A1008" s="44"/>
      <c r="B1008" s="44"/>
      <c r="C1008" s="30"/>
      <c r="D1008" s="30"/>
      <c r="E1008" s="55"/>
      <c r="F1008" s="55"/>
      <c r="G1008" s="55"/>
      <c r="H1008" s="55"/>
      <c r="I1008" s="56"/>
      <c r="J1008" s="46"/>
      <c r="K1008" s="46"/>
      <c r="L1008" s="46"/>
      <c r="M1008" s="46"/>
      <c r="N1008" s="46"/>
      <c r="O1008" s="46"/>
      <c r="P1008" s="46"/>
      <c r="Q1008" s="46"/>
      <c r="R1008" s="46"/>
      <c r="S1008" s="46"/>
      <c r="T1008" s="46"/>
      <c r="U1008" s="46"/>
      <c r="V1008" s="46"/>
      <c r="W1008" s="46"/>
    </row>
    <row r="1009">
      <c r="A1009" s="44"/>
      <c r="B1009" s="44"/>
      <c r="C1009" s="30"/>
      <c r="D1009" s="30"/>
      <c r="E1009" s="55"/>
      <c r="F1009" s="55"/>
      <c r="G1009" s="55"/>
      <c r="H1009" s="55"/>
      <c r="I1009" s="56"/>
      <c r="J1009" s="46"/>
      <c r="K1009" s="46"/>
      <c r="L1009" s="46"/>
      <c r="M1009" s="46"/>
      <c r="N1009" s="46"/>
      <c r="O1009" s="46"/>
      <c r="P1009" s="46"/>
      <c r="Q1009" s="46"/>
      <c r="R1009" s="46"/>
      <c r="S1009" s="46"/>
      <c r="T1009" s="46"/>
      <c r="U1009" s="46"/>
      <c r="V1009" s="46"/>
      <c r="W1009" s="46"/>
    </row>
    <row r="1010">
      <c r="A1010" s="44"/>
      <c r="B1010" s="44"/>
      <c r="C1010" s="30"/>
      <c r="D1010" s="30"/>
      <c r="E1010" s="55"/>
      <c r="F1010" s="55"/>
      <c r="G1010" s="55"/>
      <c r="H1010" s="55"/>
      <c r="I1010" s="56"/>
      <c r="J1010" s="46"/>
      <c r="K1010" s="46"/>
      <c r="L1010" s="46"/>
      <c r="M1010" s="46"/>
      <c r="N1010" s="46"/>
      <c r="O1010" s="46"/>
      <c r="P1010" s="46"/>
      <c r="Q1010" s="46"/>
      <c r="R1010" s="46"/>
      <c r="S1010" s="46"/>
      <c r="T1010" s="46"/>
      <c r="U1010" s="46"/>
      <c r="V1010" s="46"/>
      <c r="W1010" s="46"/>
    </row>
    <row r="1011">
      <c r="A1011" s="44"/>
      <c r="B1011" s="44"/>
      <c r="C1011" s="30"/>
      <c r="D1011" s="30"/>
      <c r="E1011" s="55"/>
      <c r="F1011" s="55"/>
      <c r="G1011" s="55"/>
      <c r="H1011" s="55"/>
      <c r="I1011" s="56"/>
      <c r="J1011" s="46"/>
      <c r="K1011" s="46"/>
      <c r="L1011" s="46"/>
      <c r="M1011" s="46"/>
      <c r="N1011" s="46"/>
      <c r="O1011" s="46"/>
      <c r="P1011" s="46"/>
      <c r="Q1011" s="46"/>
      <c r="R1011" s="46"/>
      <c r="S1011" s="46"/>
      <c r="T1011" s="46"/>
      <c r="U1011" s="46"/>
      <c r="V1011" s="46"/>
      <c r="W1011" s="46"/>
    </row>
    <row r="1012">
      <c r="A1012" s="44"/>
      <c r="B1012" s="44"/>
      <c r="C1012" s="30"/>
      <c r="D1012" s="30"/>
      <c r="E1012" s="55"/>
      <c r="F1012" s="55"/>
      <c r="G1012" s="55"/>
      <c r="H1012" s="55"/>
      <c r="I1012" s="56"/>
      <c r="J1012" s="46"/>
      <c r="K1012" s="46"/>
      <c r="L1012" s="46"/>
      <c r="M1012" s="46"/>
      <c r="N1012" s="46"/>
      <c r="O1012" s="46"/>
      <c r="P1012" s="46"/>
      <c r="Q1012" s="46"/>
      <c r="R1012" s="46"/>
      <c r="S1012" s="46"/>
      <c r="T1012" s="46"/>
      <c r="U1012" s="46"/>
      <c r="V1012" s="46"/>
      <c r="W1012" s="46"/>
    </row>
    <row r="1013">
      <c r="A1013" s="44"/>
      <c r="B1013" s="44"/>
      <c r="C1013" s="30"/>
      <c r="D1013" s="30"/>
      <c r="E1013" s="55"/>
      <c r="F1013" s="55"/>
      <c r="G1013" s="55"/>
      <c r="H1013" s="55"/>
      <c r="I1013" s="30"/>
      <c r="J1013" s="46"/>
      <c r="K1013" s="46"/>
      <c r="L1013" s="46"/>
      <c r="M1013" s="46"/>
      <c r="N1013" s="46"/>
      <c r="O1013" s="46"/>
      <c r="P1013" s="46"/>
      <c r="Q1013" s="46"/>
      <c r="R1013" s="46"/>
      <c r="S1013" s="46"/>
      <c r="T1013" s="46"/>
      <c r="U1013" s="46"/>
      <c r="V1013" s="46"/>
      <c r="W1013" s="46"/>
    </row>
    <row r="1014">
      <c r="A1014" s="44"/>
      <c r="B1014" s="44"/>
      <c r="C1014" s="30"/>
      <c r="D1014" s="30"/>
      <c r="E1014" s="55"/>
      <c r="F1014" s="55"/>
      <c r="G1014" s="55"/>
      <c r="H1014" s="55"/>
      <c r="I1014" s="30"/>
      <c r="J1014" s="46"/>
      <c r="K1014" s="46"/>
      <c r="L1014" s="46"/>
      <c r="M1014" s="46"/>
      <c r="N1014" s="46"/>
      <c r="O1014" s="46"/>
      <c r="P1014" s="46"/>
      <c r="Q1014" s="46"/>
      <c r="R1014" s="46"/>
      <c r="S1014" s="46"/>
      <c r="T1014" s="46"/>
      <c r="U1014" s="46"/>
      <c r="V1014" s="46"/>
      <c r="W1014" s="46"/>
    </row>
    <row r="1015">
      <c r="A1015" s="44"/>
      <c r="B1015" s="44"/>
      <c r="C1015" s="30"/>
      <c r="D1015" s="30"/>
      <c r="E1015" s="55"/>
      <c r="F1015" s="55"/>
      <c r="G1015" s="55"/>
      <c r="H1015" s="55"/>
      <c r="I1015" s="30"/>
      <c r="J1015" s="46"/>
      <c r="K1015" s="46"/>
      <c r="L1015" s="46"/>
      <c r="M1015" s="46"/>
      <c r="N1015" s="46"/>
      <c r="O1015" s="46"/>
      <c r="P1015" s="46"/>
      <c r="Q1015" s="46"/>
      <c r="R1015" s="46"/>
      <c r="S1015" s="46"/>
      <c r="T1015" s="46"/>
      <c r="U1015" s="46"/>
      <c r="V1015" s="46"/>
      <c r="W1015" s="46"/>
    </row>
    <row r="1016">
      <c r="A1016" s="44"/>
      <c r="B1016" s="44"/>
      <c r="C1016" s="30"/>
      <c r="D1016" s="30"/>
      <c r="E1016" s="55"/>
      <c r="F1016" s="55"/>
      <c r="G1016" s="55"/>
      <c r="H1016" s="55"/>
      <c r="I1016" s="30"/>
      <c r="J1016" s="46"/>
      <c r="K1016" s="46"/>
      <c r="L1016" s="46"/>
      <c r="M1016" s="46"/>
      <c r="N1016" s="46"/>
      <c r="O1016" s="46"/>
      <c r="P1016" s="46"/>
      <c r="Q1016" s="46"/>
      <c r="R1016" s="46"/>
      <c r="S1016" s="46"/>
      <c r="T1016" s="46"/>
      <c r="U1016" s="46"/>
      <c r="V1016" s="46"/>
      <c r="W1016" s="46"/>
    </row>
    <row r="1017">
      <c r="A1017" s="44"/>
      <c r="B1017" s="44"/>
      <c r="C1017" s="30"/>
      <c r="D1017" s="30"/>
      <c r="E1017" s="55"/>
      <c r="F1017" s="55"/>
      <c r="G1017" s="55"/>
      <c r="H1017" s="55"/>
      <c r="I1017" s="30"/>
      <c r="J1017" s="46"/>
      <c r="K1017" s="46"/>
      <c r="L1017" s="46"/>
      <c r="M1017" s="46"/>
      <c r="N1017" s="46"/>
      <c r="O1017" s="46"/>
      <c r="P1017" s="46"/>
      <c r="Q1017" s="46"/>
      <c r="R1017" s="46"/>
      <c r="S1017" s="46"/>
      <c r="T1017" s="46"/>
      <c r="U1017" s="46"/>
      <c r="V1017" s="46"/>
      <c r="W1017" s="46"/>
    </row>
    <row r="1018">
      <c r="A1018" s="44"/>
      <c r="B1018" s="44"/>
      <c r="C1018" s="30"/>
      <c r="D1018" s="30"/>
      <c r="E1018" s="55"/>
      <c r="F1018" s="55"/>
      <c r="G1018" s="55"/>
      <c r="H1018" s="55"/>
      <c r="I1018" s="30"/>
      <c r="J1018" s="46"/>
      <c r="K1018" s="46"/>
      <c r="L1018" s="46"/>
      <c r="M1018" s="46"/>
      <c r="N1018" s="46"/>
      <c r="O1018" s="46"/>
      <c r="P1018" s="46"/>
      <c r="Q1018" s="46"/>
      <c r="R1018" s="46"/>
      <c r="S1018" s="46"/>
      <c r="T1018" s="46"/>
      <c r="U1018" s="46"/>
      <c r="V1018" s="46"/>
      <c r="W1018" s="46"/>
    </row>
    <row r="1019">
      <c r="A1019" s="44"/>
      <c r="B1019" s="44"/>
      <c r="C1019" s="30"/>
      <c r="D1019" s="30"/>
      <c r="E1019" s="55"/>
      <c r="F1019" s="55"/>
      <c r="G1019" s="55"/>
      <c r="H1019" s="55"/>
      <c r="I1019" s="30"/>
      <c r="J1019" s="46"/>
      <c r="K1019" s="46"/>
      <c r="L1019" s="46"/>
      <c r="M1019" s="46"/>
      <c r="N1019" s="46"/>
      <c r="O1019" s="46"/>
      <c r="P1019" s="46"/>
      <c r="Q1019" s="46"/>
      <c r="R1019" s="46"/>
      <c r="S1019" s="46"/>
      <c r="T1019" s="46"/>
      <c r="U1019" s="46"/>
      <c r="V1019" s="46"/>
      <c r="W1019" s="46"/>
    </row>
    <row r="1020">
      <c r="A1020" s="44"/>
      <c r="B1020" s="44"/>
      <c r="C1020" s="30"/>
      <c r="D1020" s="30"/>
      <c r="E1020" s="55"/>
      <c r="F1020" s="55"/>
      <c r="G1020" s="55"/>
      <c r="H1020" s="55"/>
      <c r="I1020" s="30"/>
      <c r="J1020" s="46"/>
      <c r="K1020" s="46"/>
      <c r="L1020" s="46"/>
      <c r="M1020" s="46"/>
      <c r="N1020" s="46"/>
      <c r="O1020" s="46"/>
      <c r="P1020" s="46"/>
      <c r="Q1020" s="46"/>
      <c r="R1020" s="46"/>
      <c r="S1020" s="46"/>
      <c r="T1020" s="46"/>
      <c r="U1020" s="46"/>
      <c r="V1020" s="46"/>
      <c r="W1020" s="46"/>
    </row>
    <row r="1021">
      <c r="A1021" s="44"/>
      <c r="B1021" s="44"/>
      <c r="C1021" s="30"/>
      <c r="D1021" s="30"/>
      <c r="E1021" s="55"/>
      <c r="F1021" s="55"/>
      <c r="G1021" s="55"/>
      <c r="H1021" s="55"/>
      <c r="I1021" s="30"/>
      <c r="J1021" s="46"/>
      <c r="K1021" s="46"/>
      <c r="L1021" s="46"/>
      <c r="M1021" s="46"/>
      <c r="N1021" s="46"/>
      <c r="O1021" s="46"/>
      <c r="P1021" s="46"/>
      <c r="Q1021" s="46"/>
      <c r="R1021" s="46"/>
      <c r="S1021" s="46"/>
      <c r="T1021" s="46"/>
      <c r="U1021" s="46"/>
      <c r="V1021" s="46"/>
      <c r="W1021" s="46"/>
    </row>
    <row r="1022">
      <c r="A1022" s="44"/>
      <c r="B1022" s="44"/>
      <c r="C1022" s="30"/>
      <c r="D1022" s="30"/>
      <c r="E1022" s="55"/>
      <c r="F1022" s="55"/>
      <c r="G1022" s="55"/>
      <c r="H1022" s="55"/>
      <c r="I1022" s="30"/>
      <c r="J1022" s="46"/>
      <c r="K1022" s="46"/>
      <c r="L1022" s="46"/>
      <c r="M1022" s="46"/>
      <c r="N1022" s="46"/>
      <c r="O1022" s="46"/>
      <c r="P1022" s="46"/>
      <c r="Q1022" s="46"/>
      <c r="R1022" s="46"/>
      <c r="S1022" s="46"/>
      <c r="T1022" s="46"/>
      <c r="U1022" s="46"/>
      <c r="V1022" s="46"/>
      <c r="W1022" s="46"/>
    </row>
    <row r="1023">
      <c r="A1023" s="44"/>
      <c r="B1023" s="44"/>
      <c r="C1023" s="30"/>
      <c r="D1023" s="30"/>
      <c r="E1023" s="55"/>
      <c r="F1023" s="55"/>
      <c r="G1023" s="55"/>
      <c r="H1023" s="55"/>
      <c r="I1023" s="30"/>
      <c r="J1023" s="46"/>
      <c r="K1023" s="46"/>
      <c r="L1023" s="46"/>
      <c r="M1023" s="46"/>
      <c r="N1023" s="46"/>
      <c r="O1023" s="46"/>
      <c r="P1023" s="46"/>
      <c r="Q1023" s="46"/>
      <c r="R1023" s="46"/>
      <c r="S1023" s="46"/>
      <c r="T1023" s="46"/>
      <c r="U1023" s="46"/>
      <c r="V1023" s="46"/>
      <c r="W1023" s="46"/>
    </row>
    <row r="1024">
      <c r="A1024" s="44"/>
      <c r="B1024" s="44"/>
      <c r="C1024" s="30"/>
      <c r="D1024" s="30"/>
      <c r="E1024" s="55"/>
      <c r="F1024" s="55"/>
      <c r="G1024" s="55"/>
      <c r="H1024" s="55"/>
      <c r="I1024" s="30"/>
      <c r="J1024" s="46"/>
      <c r="K1024" s="46"/>
      <c r="L1024" s="46"/>
      <c r="M1024" s="46"/>
      <c r="N1024" s="46"/>
      <c r="O1024" s="46"/>
      <c r="P1024" s="46"/>
      <c r="Q1024" s="46"/>
      <c r="R1024" s="46"/>
      <c r="S1024" s="46"/>
      <c r="T1024" s="46"/>
      <c r="U1024" s="46"/>
      <c r="V1024" s="46"/>
      <c r="W1024" s="46"/>
    </row>
    <row r="1025">
      <c r="A1025" s="44"/>
      <c r="B1025" s="44"/>
      <c r="C1025" s="30"/>
      <c r="D1025" s="30"/>
      <c r="E1025" s="55"/>
      <c r="F1025" s="55"/>
      <c r="G1025" s="55"/>
      <c r="H1025" s="55"/>
      <c r="I1025" s="30"/>
      <c r="J1025" s="46"/>
      <c r="K1025" s="46"/>
      <c r="L1025" s="46"/>
      <c r="M1025" s="46"/>
      <c r="N1025" s="46"/>
      <c r="O1025" s="46"/>
      <c r="P1025" s="46"/>
      <c r="Q1025" s="46"/>
      <c r="R1025" s="46"/>
      <c r="S1025" s="46"/>
      <c r="T1025" s="46"/>
      <c r="U1025" s="46"/>
      <c r="V1025" s="46"/>
      <c r="W1025" s="46"/>
    </row>
    <row r="1026">
      <c r="A1026" s="44"/>
      <c r="B1026" s="44"/>
      <c r="C1026" s="30"/>
      <c r="D1026" s="30"/>
      <c r="E1026" s="55"/>
      <c r="F1026" s="55"/>
      <c r="G1026" s="55"/>
      <c r="H1026" s="55"/>
      <c r="I1026" s="30"/>
      <c r="J1026" s="46"/>
      <c r="K1026" s="46"/>
      <c r="L1026" s="46"/>
      <c r="M1026" s="46"/>
      <c r="N1026" s="46"/>
      <c r="O1026" s="46"/>
      <c r="P1026" s="46"/>
      <c r="Q1026" s="46"/>
      <c r="R1026" s="46"/>
      <c r="S1026" s="46"/>
      <c r="T1026" s="46"/>
      <c r="U1026" s="46"/>
      <c r="V1026" s="46"/>
      <c r="W1026" s="46"/>
    </row>
    <row r="1027">
      <c r="A1027" s="44"/>
      <c r="B1027" s="44"/>
      <c r="C1027" s="30"/>
      <c r="D1027" s="30"/>
      <c r="E1027" s="55"/>
      <c r="F1027" s="55"/>
      <c r="G1027" s="55"/>
      <c r="H1027" s="55"/>
      <c r="I1027" s="30"/>
      <c r="J1027" s="46"/>
      <c r="K1027" s="46"/>
      <c r="L1027" s="46"/>
      <c r="M1027" s="46"/>
      <c r="N1027" s="46"/>
      <c r="O1027" s="46"/>
      <c r="P1027" s="46"/>
      <c r="Q1027" s="46"/>
      <c r="R1027" s="46"/>
      <c r="S1027" s="46"/>
      <c r="T1027" s="46"/>
      <c r="U1027" s="46"/>
      <c r="V1027" s="46"/>
      <c r="W1027" s="46"/>
    </row>
    <row r="1028">
      <c r="A1028" s="44"/>
      <c r="B1028" s="44"/>
      <c r="C1028" s="30"/>
      <c r="D1028" s="30"/>
      <c r="E1028" s="55"/>
      <c r="F1028" s="55"/>
      <c r="G1028" s="55"/>
      <c r="H1028" s="55"/>
      <c r="I1028" s="30"/>
      <c r="J1028" s="46"/>
      <c r="K1028" s="46"/>
      <c r="L1028" s="46"/>
      <c r="M1028" s="46"/>
      <c r="N1028" s="46"/>
      <c r="O1028" s="46"/>
      <c r="P1028" s="46"/>
      <c r="Q1028" s="46"/>
      <c r="R1028" s="46"/>
      <c r="S1028" s="46"/>
      <c r="T1028" s="46"/>
      <c r="U1028" s="46"/>
      <c r="V1028" s="46"/>
      <c r="W1028" s="46"/>
    </row>
    <row r="1029">
      <c r="A1029" s="44"/>
      <c r="B1029" s="44"/>
      <c r="C1029" s="30"/>
      <c r="D1029" s="30"/>
      <c r="E1029" s="55"/>
      <c r="F1029" s="55"/>
      <c r="G1029" s="55"/>
      <c r="H1029" s="55"/>
      <c r="I1029" s="30"/>
      <c r="J1029" s="46"/>
      <c r="K1029" s="46"/>
      <c r="L1029" s="46"/>
      <c r="M1029" s="46"/>
      <c r="N1029" s="46"/>
      <c r="O1029" s="46"/>
      <c r="P1029" s="46"/>
      <c r="Q1029" s="46"/>
      <c r="R1029" s="46"/>
      <c r="S1029" s="46"/>
      <c r="T1029" s="46"/>
      <c r="U1029" s="46"/>
      <c r="V1029" s="46"/>
      <c r="W1029" s="46"/>
    </row>
    <row r="1030">
      <c r="A1030" s="44"/>
      <c r="B1030" s="44"/>
      <c r="C1030" s="30"/>
      <c r="D1030" s="30"/>
      <c r="E1030" s="55"/>
      <c r="F1030" s="55"/>
      <c r="G1030" s="55"/>
      <c r="H1030" s="55"/>
      <c r="I1030" s="30"/>
      <c r="J1030" s="46"/>
      <c r="K1030" s="46"/>
      <c r="L1030" s="46"/>
      <c r="M1030" s="46"/>
      <c r="N1030" s="46"/>
      <c r="O1030" s="46"/>
      <c r="P1030" s="46"/>
      <c r="Q1030" s="46"/>
      <c r="R1030" s="46"/>
      <c r="S1030" s="46"/>
      <c r="T1030" s="46"/>
      <c r="U1030" s="46"/>
      <c r="V1030" s="46"/>
      <c r="W1030" s="46"/>
    </row>
    <row r="1031">
      <c r="A1031" s="44"/>
      <c r="B1031" s="44"/>
      <c r="C1031" s="30"/>
      <c r="D1031" s="30"/>
      <c r="E1031" s="55"/>
      <c r="F1031" s="55"/>
      <c r="G1031" s="55"/>
      <c r="H1031" s="55"/>
      <c r="I1031" s="30"/>
      <c r="J1031" s="46"/>
      <c r="K1031" s="46"/>
      <c r="L1031" s="46"/>
      <c r="M1031" s="46"/>
      <c r="N1031" s="46"/>
      <c r="O1031" s="46"/>
      <c r="P1031" s="46"/>
      <c r="Q1031" s="46"/>
      <c r="R1031" s="46"/>
      <c r="S1031" s="46"/>
      <c r="T1031" s="46"/>
      <c r="U1031" s="46"/>
      <c r="V1031" s="46"/>
      <c r="W1031" s="46"/>
    </row>
    <row r="1032">
      <c r="A1032" s="44"/>
      <c r="B1032" s="44"/>
      <c r="C1032" s="30"/>
      <c r="D1032" s="30"/>
      <c r="E1032" s="55"/>
      <c r="F1032" s="55"/>
      <c r="G1032" s="55"/>
      <c r="H1032" s="55"/>
      <c r="I1032" s="30"/>
      <c r="J1032" s="46"/>
      <c r="K1032" s="46"/>
      <c r="L1032" s="46"/>
      <c r="M1032" s="46"/>
      <c r="N1032" s="46"/>
      <c r="O1032" s="46"/>
      <c r="P1032" s="46"/>
      <c r="Q1032" s="46"/>
      <c r="R1032" s="46"/>
      <c r="S1032" s="46"/>
      <c r="T1032" s="46"/>
      <c r="U1032" s="46"/>
      <c r="V1032" s="46"/>
      <c r="W1032" s="46"/>
    </row>
    <row r="1033">
      <c r="A1033" s="44"/>
      <c r="B1033" s="44"/>
      <c r="C1033" s="30"/>
      <c r="D1033" s="30"/>
      <c r="E1033" s="55"/>
      <c r="F1033" s="55"/>
      <c r="G1033" s="55"/>
      <c r="H1033" s="55"/>
      <c r="I1033" s="30"/>
      <c r="J1033" s="46"/>
      <c r="K1033" s="46"/>
      <c r="L1033" s="46"/>
      <c r="M1033" s="46"/>
      <c r="N1033" s="46"/>
      <c r="O1033" s="46"/>
      <c r="P1033" s="46"/>
      <c r="Q1033" s="46"/>
      <c r="R1033" s="46"/>
      <c r="S1033" s="46"/>
      <c r="T1033" s="46"/>
      <c r="U1033" s="46"/>
      <c r="V1033" s="46"/>
      <c r="W1033" s="46"/>
    </row>
    <row r="1034">
      <c r="A1034" s="44"/>
      <c r="B1034" s="44"/>
      <c r="C1034" s="30"/>
      <c r="D1034" s="30"/>
      <c r="E1034" s="55"/>
      <c r="F1034" s="55"/>
      <c r="G1034" s="55"/>
      <c r="H1034" s="55"/>
      <c r="I1034" s="30"/>
      <c r="J1034" s="46"/>
      <c r="K1034" s="46"/>
      <c r="L1034" s="46"/>
      <c r="M1034" s="46"/>
      <c r="N1034" s="46"/>
      <c r="O1034" s="46"/>
      <c r="P1034" s="46"/>
      <c r="Q1034" s="46"/>
      <c r="R1034" s="46"/>
      <c r="S1034" s="46"/>
      <c r="T1034" s="46"/>
      <c r="U1034" s="46"/>
      <c r="V1034" s="46"/>
      <c r="W1034" s="46"/>
    </row>
    <row r="1035">
      <c r="A1035" s="44"/>
      <c r="B1035" s="44"/>
      <c r="C1035" s="30"/>
      <c r="D1035" s="30"/>
      <c r="E1035" s="55"/>
      <c r="F1035" s="55"/>
      <c r="G1035" s="55"/>
      <c r="H1035" s="55"/>
      <c r="I1035" s="30"/>
      <c r="J1035" s="46"/>
      <c r="K1035" s="46"/>
      <c r="L1035" s="46"/>
      <c r="M1035" s="46"/>
      <c r="N1035" s="46"/>
      <c r="O1035" s="46"/>
      <c r="P1035" s="46"/>
      <c r="Q1035" s="46"/>
      <c r="R1035" s="46"/>
      <c r="S1035" s="46"/>
      <c r="T1035" s="46"/>
      <c r="U1035" s="46"/>
      <c r="V1035" s="46"/>
      <c r="W1035" s="46"/>
    </row>
    <row r="1036">
      <c r="A1036" s="44"/>
      <c r="B1036" s="44"/>
      <c r="C1036" s="30"/>
      <c r="D1036" s="30"/>
      <c r="E1036" s="55"/>
      <c r="F1036" s="55"/>
      <c r="G1036" s="55"/>
      <c r="H1036" s="55"/>
      <c r="I1036" s="30"/>
      <c r="J1036" s="46"/>
      <c r="K1036" s="46"/>
      <c r="L1036" s="46"/>
      <c r="M1036" s="46"/>
      <c r="N1036" s="46"/>
      <c r="O1036" s="46"/>
      <c r="P1036" s="46"/>
      <c r="Q1036" s="46"/>
      <c r="R1036" s="46"/>
      <c r="S1036" s="46"/>
      <c r="T1036" s="46"/>
      <c r="U1036" s="46"/>
      <c r="V1036" s="46"/>
      <c r="W1036" s="46"/>
    </row>
    <row r="1037">
      <c r="A1037" s="44"/>
      <c r="B1037" s="44"/>
      <c r="C1037" s="30"/>
      <c r="D1037" s="30"/>
      <c r="E1037" s="55"/>
      <c r="F1037" s="55"/>
      <c r="G1037" s="55"/>
      <c r="H1037" s="55"/>
      <c r="I1037" s="30"/>
      <c r="J1037" s="46"/>
      <c r="K1037" s="46"/>
      <c r="L1037" s="46"/>
      <c r="M1037" s="46"/>
      <c r="N1037" s="46"/>
      <c r="O1037" s="46"/>
      <c r="P1037" s="46"/>
      <c r="Q1037" s="46"/>
      <c r="R1037" s="46"/>
      <c r="S1037" s="46"/>
      <c r="T1037" s="46"/>
      <c r="U1037" s="46"/>
      <c r="V1037" s="46"/>
      <c r="W1037" s="46"/>
    </row>
    <row r="1038">
      <c r="A1038" s="44"/>
      <c r="B1038" s="44"/>
      <c r="C1038" s="30"/>
      <c r="D1038" s="30"/>
      <c r="E1038" s="55"/>
      <c r="F1038" s="55"/>
      <c r="G1038" s="55"/>
      <c r="H1038" s="55"/>
      <c r="I1038" s="30"/>
      <c r="J1038" s="46"/>
      <c r="K1038" s="46"/>
      <c r="L1038" s="46"/>
      <c r="M1038" s="46"/>
      <c r="N1038" s="46"/>
      <c r="O1038" s="46"/>
      <c r="P1038" s="46"/>
      <c r="Q1038" s="46"/>
      <c r="R1038" s="46"/>
      <c r="S1038" s="46"/>
      <c r="T1038" s="46"/>
      <c r="U1038" s="46"/>
      <c r="V1038" s="46"/>
      <c r="W1038" s="46"/>
    </row>
    <row r="1039">
      <c r="A1039" s="44"/>
      <c r="B1039" s="44"/>
      <c r="C1039" s="30"/>
      <c r="D1039" s="30"/>
      <c r="E1039" s="55"/>
      <c r="F1039" s="55"/>
      <c r="G1039" s="55"/>
      <c r="H1039" s="55"/>
      <c r="I1039" s="30"/>
      <c r="J1039" s="46"/>
      <c r="K1039" s="46"/>
      <c r="L1039" s="46"/>
      <c r="M1039" s="46"/>
      <c r="N1039" s="46"/>
      <c r="O1039" s="46"/>
      <c r="P1039" s="46"/>
      <c r="Q1039" s="46"/>
      <c r="R1039" s="46"/>
      <c r="S1039" s="46"/>
      <c r="T1039" s="46"/>
      <c r="U1039" s="46"/>
      <c r="V1039" s="46"/>
      <c r="W1039" s="46"/>
    </row>
    <row r="1040">
      <c r="A1040" s="44"/>
      <c r="B1040" s="44"/>
      <c r="C1040" s="30"/>
      <c r="D1040" s="30"/>
      <c r="E1040" s="55"/>
      <c r="F1040" s="55"/>
      <c r="G1040" s="55"/>
      <c r="H1040" s="55"/>
      <c r="I1040" s="30"/>
      <c r="J1040" s="46"/>
      <c r="K1040" s="46"/>
      <c r="L1040" s="46"/>
      <c r="M1040" s="46"/>
      <c r="N1040" s="46"/>
      <c r="O1040" s="46"/>
      <c r="P1040" s="46"/>
      <c r="Q1040" s="46"/>
      <c r="R1040" s="46"/>
      <c r="S1040" s="46"/>
      <c r="T1040" s="46"/>
      <c r="U1040" s="46"/>
      <c r="V1040" s="46"/>
      <c r="W1040" s="46"/>
    </row>
    <row r="1041">
      <c r="A1041" s="44"/>
      <c r="B1041" s="44"/>
      <c r="C1041" s="30"/>
      <c r="D1041" s="30"/>
      <c r="E1041" s="55"/>
      <c r="F1041" s="55"/>
      <c r="G1041" s="55"/>
      <c r="H1041" s="55"/>
      <c r="I1041" s="30"/>
      <c r="J1041" s="46"/>
      <c r="K1041" s="46"/>
      <c r="L1041" s="46"/>
      <c r="M1041" s="46"/>
      <c r="N1041" s="46"/>
      <c r="O1041" s="46"/>
      <c r="P1041" s="46"/>
      <c r="Q1041" s="46"/>
      <c r="R1041" s="46"/>
      <c r="S1041" s="46"/>
      <c r="T1041" s="46"/>
      <c r="U1041" s="46"/>
      <c r="V1041" s="46"/>
      <c r="W1041" s="46"/>
    </row>
    <row r="1042">
      <c r="A1042" s="44"/>
      <c r="B1042" s="44"/>
      <c r="C1042" s="30"/>
      <c r="D1042" s="30"/>
      <c r="E1042" s="55"/>
      <c r="F1042" s="55"/>
      <c r="G1042" s="55"/>
      <c r="H1042" s="55"/>
      <c r="I1042" s="30"/>
      <c r="J1042" s="46"/>
      <c r="K1042" s="46"/>
      <c r="L1042" s="46"/>
      <c r="M1042" s="46"/>
      <c r="N1042" s="46"/>
      <c r="O1042" s="46"/>
      <c r="P1042" s="46"/>
      <c r="Q1042" s="46"/>
      <c r="R1042" s="46"/>
      <c r="S1042" s="46"/>
      <c r="T1042" s="46"/>
      <c r="U1042" s="46"/>
      <c r="V1042" s="46"/>
      <c r="W1042" s="46"/>
    </row>
    <row r="1043">
      <c r="A1043" s="44"/>
      <c r="B1043" s="44"/>
      <c r="C1043" s="30"/>
      <c r="D1043" s="30"/>
      <c r="E1043" s="55"/>
      <c r="F1043" s="55"/>
      <c r="G1043" s="55"/>
      <c r="H1043" s="55"/>
      <c r="I1043" s="30"/>
      <c r="J1043" s="46"/>
      <c r="K1043" s="46"/>
      <c r="L1043" s="46"/>
      <c r="M1043" s="46"/>
      <c r="N1043" s="46"/>
      <c r="O1043" s="46"/>
      <c r="P1043" s="46"/>
      <c r="Q1043" s="46"/>
      <c r="R1043" s="46"/>
      <c r="S1043" s="46"/>
      <c r="T1043" s="46"/>
      <c r="U1043" s="46"/>
      <c r="V1043" s="46"/>
      <c r="W1043" s="46"/>
    </row>
    <row r="1044">
      <c r="A1044" s="44"/>
      <c r="B1044" s="44"/>
      <c r="C1044" s="30"/>
      <c r="D1044" s="30"/>
      <c r="E1044" s="55"/>
      <c r="F1044" s="55"/>
      <c r="G1044" s="55"/>
      <c r="H1044" s="55"/>
      <c r="I1044" s="30"/>
      <c r="J1044" s="46"/>
      <c r="K1044" s="46"/>
      <c r="L1044" s="46"/>
      <c r="M1044" s="46"/>
      <c r="N1044" s="46"/>
      <c r="O1044" s="46"/>
      <c r="P1044" s="46"/>
      <c r="Q1044" s="46"/>
      <c r="R1044" s="46"/>
      <c r="S1044" s="46"/>
      <c r="T1044" s="46"/>
      <c r="U1044" s="46"/>
      <c r="V1044" s="46"/>
      <c r="W1044" s="46"/>
    </row>
    <row r="1045">
      <c r="A1045" s="44"/>
      <c r="B1045" s="44"/>
      <c r="C1045" s="30"/>
      <c r="D1045" s="30"/>
      <c r="E1045" s="55"/>
      <c r="F1045" s="55"/>
      <c r="G1045" s="55"/>
      <c r="H1045" s="55"/>
      <c r="I1045" s="30"/>
      <c r="J1045" s="46"/>
      <c r="K1045" s="46"/>
      <c r="L1045" s="46"/>
      <c r="M1045" s="46"/>
      <c r="N1045" s="46"/>
      <c r="O1045" s="46"/>
      <c r="P1045" s="46"/>
      <c r="Q1045" s="46"/>
      <c r="R1045" s="46"/>
      <c r="S1045" s="46"/>
      <c r="T1045" s="46"/>
      <c r="U1045" s="46"/>
      <c r="V1045" s="46"/>
      <c r="W1045" s="46"/>
    </row>
    <row r="1046">
      <c r="A1046" s="44"/>
      <c r="B1046" s="44"/>
      <c r="C1046" s="30"/>
      <c r="D1046" s="30"/>
      <c r="E1046" s="55"/>
      <c r="F1046" s="55"/>
      <c r="G1046" s="55"/>
      <c r="H1046" s="55"/>
      <c r="I1046" s="30"/>
      <c r="J1046" s="46"/>
      <c r="K1046" s="46"/>
      <c r="L1046" s="46"/>
      <c r="M1046" s="46"/>
      <c r="N1046" s="46"/>
      <c r="O1046" s="46"/>
      <c r="P1046" s="46"/>
      <c r="Q1046" s="46"/>
      <c r="R1046" s="46"/>
      <c r="S1046" s="46"/>
      <c r="T1046" s="46"/>
      <c r="U1046" s="46"/>
      <c r="V1046" s="46"/>
      <c r="W1046" s="46"/>
    </row>
    <row r="1047">
      <c r="A1047" s="44"/>
      <c r="B1047" s="44"/>
      <c r="C1047" s="30"/>
      <c r="D1047" s="30"/>
      <c r="E1047" s="55"/>
      <c r="F1047" s="55"/>
      <c r="G1047" s="55"/>
      <c r="H1047" s="55"/>
      <c r="I1047" s="30"/>
      <c r="J1047" s="46"/>
      <c r="K1047" s="46"/>
      <c r="L1047" s="46"/>
      <c r="M1047" s="46"/>
      <c r="N1047" s="46"/>
      <c r="O1047" s="46"/>
      <c r="P1047" s="46"/>
      <c r="Q1047" s="46"/>
      <c r="R1047" s="46"/>
      <c r="S1047" s="46"/>
      <c r="T1047" s="46"/>
      <c r="U1047" s="46"/>
      <c r="V1047" s="46"/>
      <c r="W1047" s="46"/>
    </row>
    <row r="1048">
      <c r="A1048" s="44"/>
      <c r="B1048" s="44"/>
      <c r="C1048" s="30"/>
      <c r="D1048" s="30"/>
      <c r="E1048" s="55"/>
      <c r="F1048" s="55"/>
      <c r="G1048" s="55"/>
      <c r="H1048" s="55"/>
      <c r="I1048" s="30"/>
      <c r="J1048" s="46"/>
      <c r="K1048" s="46"/>
      <c r="L1048" s="46"/>
      <c r="M1048" s="46"/>
      <c r="N1048" s="46"/>
      <c r="O1048" s="46"/>
      <c r="P1048" s="46"/>
      <c r="Q1048" s="46"/>
      <c r="R1048" s="46"/>
      <c r="S1048" s="46"/>
      <c r="T1048" s="46"/>
      <c r="U1048" s="46"/>
      <c r="V1048" s="46"/>
      <c r="W1048" s="46"/>
    </row>
    <row r="1049">
      <c r="A1049" s="44"/>
      <c r="B1049" s="44"/>
      <c r="C1049" s="30"/>
      <c r="D1049" s="30"/>
      <c r="E1049" s="55"/>
      <c r="F1049" s="55"/>
      <c r="G1049" s="55"/>
      <c r="H1049" s="55"/>
      <c r="I1049" s="30"/>
      <c r="J1049" s="46"/>
      <c r="K1049" s="46"/>
      <c r="L1049" s="46"/>
      <c r="M1049" s="46"/>
      <c r="N1049" s="46"/>
      <c r="O1049" s="46"/>
      <c r="P1049" s="46"/>
      <c r="Q1049" s="46"/>
      <c r="R1049" s="46"/>
      <c r="S1049" s="46"/>
      <c r="T1049" s="46"/>
      <c r="U1049" s="46"/>
      <c r="V1049" s="46"/>
      <c r="W1049" s="46"/>
    </row>
    <row r="1050">
      <c r="A1050" s="44"/>
      <c r="B1050" s="44"/>
      <c r="C1050" s="30"/>
      <c r="D1050" s="30"/>
      <c r="E1050" s="55"/>
      <c r="F1050" s="55"/>
      <c r="G1050" s="55"/>
      <c r="H1050" s="55"/>
      <c r="I1050" s="30"/>
      <c r="J1050" s="46"/>
      <c r="K1050" s="46"/>
      <c r="L1050" s="46"/>
      <c r="M1050" s="46"/>
      <c r="N1050" s="46"/>
      <c r="O1050" s="46"/>
      <c r="P1050" s="46"/>
      <c r="Q1050" s="46"/>
      <c r="R1050" s="46"/>
      <c r="S1050" s="46"/>
      <c r="T1050" s="46"/>
      <c r="U1050" s="46"/>
      <c r="V1050" s="46"/>
      <c r="W1050" s="46"/>
    </row>
    <row r="1051">
      <c r="A1051" s="44"/>
      <c r="B1051" s="44"/>
      <c r="C1051" s="30"/>
      <c r="D1051" s="30"/>
      <c r="E1051" s="55"/>
      <c r="F1051" s="55"/>
      <c r="G1051" s="55"/>
      <c r="H1051" s="55"/>
      <c r="I1051" s="30"/>
      <c r="J1051" s="46"/>
      <c r="K1051" s="46"/>
      <c r="L1051" s="46"/>
      <c r="M1051" s="46"/>
      <c r="N1051" s="46"/>
      <c r="O1051" s="46"/>
      <c r="P1051" s="46"/>
      <c r="Q1051" s="46"/>
      <c r="R1051" s="46"/>
      <c r="S1051" s="46"/>
      <c r="T1051" s="46"/>
      <c r="U1051" s="46"/>
      <c r="V1051" s="46"/>
      <c r="W1051" s="46"/>
    </row>
    <row r="1052">
      <c r="A1052" s="44"/>
      <c r="B1052" s="44"/>
      <c r="C1052" s="30"/>
      <c r="D1052" s="30"/>
      <c r="E1052" s="55"/>
      <c r="F1052" s="55"/>
      <c r="G1052" s="55"/>
      <c r="H1052" s="55"/>
      <c r="I1052" s="30"/>
      <c r="J1052" s="46"/>
      <c r="K1052" s="46"/>
      <c r="L1052" s="46"/>
      <c r="M1052" s="46"/>
      <c r="N1052" s="46"/>
      <c r="O1052" s="46"/>
      <c r="P1052" s="46"/>
      <c r="Q1052" s="46"/>
      <c r="R1052" s="46"/>
      <c r="S1052" s="46"/>
      <c r="T1052" s="46"/>
      <c r="U1052" s="46"/>
      <c r="V1052" s="46"/>
      <c r="W1052" s="46"/>
    </row>
    <row r="1053">
      <c r="A1053" s="44"/>
      <c r="B1053" s="44"/>
      <c r="C1053" s="30"/>
      <c r="D1053" s="30"/>
      <c r="E1053" s="55"/>
      <c r="F1053" s="55"/>
      <c r="G1053" s="55"/>
      <c r="H1053" s="55"/>
      <c r="I1053" s="30"/>
      <c r="J1053" s="46"/>
      <c r="K1053" s="46"/>
      <c r="L1053" s="46"/>
      <c r="M1053" s="46"/>
      <c r="N1053" s="46"/>
      <c r="O1053" s="46"/>
      <c r="P1053" s="46"/>
      <c r="Q1053" s="46"/>
      <c r="R1053" s="46"/>
      <c r="S1053" s="46"/>
      <c r="T1053" s="46"/>
      <c r="U1053" s="46"/>
      <c r="V1053" s="46"/>
      <c r="W1053" s="46"/>
    </row>
    <row r="1054">
      <c r="A1054" s="44"/>
      <c r="B1054" s="44"/>
      <c r="C1054" s="30"/>
      <c r="D1054" s="30"/>
      <c r="E1054" s="55"/>
      <c r="F1054" s="55"/>
      <c r="G1054" s="55"/>
      <c r="H1054" s="55"/>
      <c r="I1054" s="30"/>
      <c r="J1054" s="46"/>
      <c r="K1054" s="46"/>
      <c r="L1054" s="46"/>
      <c r="M1054" s="46"/>
      <c r="N1054" s="46"/>
      <c r="O1054" s="46"/>
      <c r="P1054" s="46"/>
      <c r="Q1054" s="46"/>
      <c r="R1054" s="46"/>
      <c r="S1054" s="46"/>
      <c r="T1054" s="46"/>
      <c r="U1054" s="46"/>
      <c r="V1054" s="46"/>
      <c r="W1054" s="46"/>
    </row>
    <row r="1055">
      <c r="A1055" s="44"/>
      <c r="B1055" s="44"/>
      <c r="C1055" s="30"/>
      <c r="D1055" s="30"/>
      <c r="E1055" s="55"/>
      <c r="F1055" s="55"/>
      <c r="G1055" s="55"/>
      <c r="H1055" s="55"/>
      <c r="I1055" s="30"/>
      <c r="J1055" s="46"/>
      <c r="K1055" s="46"/>
      <c r="L1055" s="46"/>
      <c r="M1055" s="46"/>
      <c r="N1055" s="46"/>
      <c r="O1055" s="46"/>
      <c r="P1055" s="46"/>
      <c r="Q1055" s="46"/>
      <c r="R1055" s="46"/>
      <c r="S1055" s="46"/>
      <c r="T1055" s="46"/>
      <c r="U1055" s="46"/>
      <c r="V1055" s="46"/>
      <c r="W1055" s="46"/>
    </row>
    <row r="1056">
      <c r="A1056" s="44"/>
      <c r="B1056" s="44"/>
      <c r="C1056" s="30"/>
      <c r="D1056" s="30"/>
      <c r="E1056" s="55"/>
      <c r="F1056" s="55"/>
      <c r="G1056" s="55"/>
      <c r="H1056" s="55"/>
      <c r="I1056" s="30"/>
      <c r="J1056" s="46"/>
      <c r="K1056" s="46"/>
      <c r="L1056" s="46"/>
      <c r="M1056" s="46"/>
      <c r="N1056" s="46"/>
      <c r="O1056" s="46"/>
      <c r="P1056" s="46"/>
      <c r="Q1056" s="46"/>
      <c r="R1056" s="46"/>
      <c r="S1056" s="46"/>
      <c r="T1056" s="46"/>
      <c r="U1056" s="46"/>
      <c r="V1056" s="46"/>
      <c r="W1056" s="46"/>
    </row>
    <row r="1057">
      <c r="A1057" s="44"/>
      <c r="B1057" s="44"/>
      <c r="C1057" s="30"/>
      <c r="D1057" s="30"/>
      <c r="E1057" s="55"/>
      <c r="F1057" s="55"/>
      <c r="G1057" s="55"/>
      <c r="H1057" s="55"/>
      <c r="I1057" s="30"/>
      <c r="J1057" s="46"/>
      <c r="K1057" s="46"/>
      <c r="L1057" s="46"/>
      <c r="M1057" s="46"/>
      <c r="N1057" s="46"/>
      <c r="O1057" s="46"/>
      <c r="P1057" s="46"/>
      <c r="Q1057" s="46"/>
      <c r="R1057" s="46"/>
      <c r="S1057" s="46"/>
      <c r="T1057" s="46"/>
      <c r="U1057" s="46"/>
      <c r="V1057" s="46"/>
      <c r="W1057" s="46"/>
    </row>
    <row r="1058">
      <c r="A1058" s="44"/>
      <c r="B1058" s="44"/>
      <c r="C1058" s="30"/>
      <c r="D1058" s="30"/>
      <c r="E1058" s="55"/>
      <c r="F1058" s="55"/>
      <c r="G1058" s="55"/>
      <c r="H1058" s="55"/>
      <c r="I1058" s="30"/>
      <c r="J1058" s="46"/>
      <c r="K1058" s="46"/>
      <c r="L1058" s="46"/>
      <c r="M1058" s="46"/>
      <c r="N1058" s="46"/>
      <c r="O1058" s="46"/>
      <c r="P1058" s="46"/>
      <c r="Q1058" s="46"/>
      <c r="R1058" s="46"/>
      <c r="S1058" s="46"/>
      <c r="T1058" s="46"/>
      <c r="U1058" s="46"/>
      <c r="V1058" s="46"/>
      <c r="W1058" s="46"/>
    </row>
    <row r="1059">
      <c r="A1059" s="44"/>
      <c r="B1059" s="44"/>
      <c r="C1059" s="30"/>
      <c r="D1059" s="30"/>
      <c r="E1059" s="55"/>
      <c r="F1059" s="55"/>
      <c r="G1059" s="55"/>
      <c r="H1059" s="55"/>
      <c r="I1059" s="30"/>
      <c r="J1059" s="46"/>
      <c r="K1059" s="46"/>
      <c r="L1059" s="46"/>
      <c r="M1059" s="46"/>
      <c r="N1059" s="46"/>
      <c r="O1059" s="46"/>
      <c r="P1059" s="46"/>
      <c r="Q1059" s="46"/>
      <c r="R1059" s="46"/>
      <c r="S1059" s="46"/>
      <c r="T1059" s="46"/>
      <c r="U1059" s="46"/>
      <c r="V1059" s="46"/>
      <c r="W1059" s="46"/>
    </row>
    <row r="1060">
      <c r="A1060" s="44"/>
      <c r="B1060" s="44"/>
      <c r="C1060" s="30"/>
      <c r="D1060" s="30"/>
      <c r="E1060" s="55"/>
      <c r="F1060" s="55"/>
      <c r="G1060" s="55"/>
      <c r="H1060" s="55"/>
      <c r="I1060" s="30"/>
      <c r="J1060" s="46"/>
      <c r="K1060" s="46"/>
      <c r="L1060" s="46"/>
      <c r="M1060" s="46"/>
      <c r="N1060" s="46"/>
      <c r="O1060" s="46"/>
      <c r="P1060" s="46"/>
      <c r="Q1060" s="46"/>
      <c r="R1060" s="46"/>
      <c r="S1060" s="46"/>
      <c r="T1060" s="46"/>
      <c r="U1060" s="46"/>
      <c r="V1060" s="46"/>
      <c r="W1060" s="46"/>
    </row>
    <row r="1061">
      <c r="A1061" s="44"/>
      <c r="B1061" s="44"/>
      <c r="C1061" s="30"/>
      <c r="D1061" s="30"/>
      <c r="E1061" s="55"/>
      <c r="F1061" s="55"/>
      <c r="G1061" s="55"/>
      <c r="H1061" s="55"/>
      <c r="I1061" s="30"/>
      <c r="J1061" s="46"/>
      <c r="K1061" s="46"/>
      <c r="L1061" s="46"/>
      <c r="M1061" s="46"/>
      <c r="N1061" s="46"/>
      <c r="O1061" s="46"/>
      <c r="P1061" s="46"/>
      <c r="Q1061" s="46"/>
      <c r="R1061" s="46"/>
      <c r="S1061" s="46"/>
      <c r="T1061" s="46"/>
      <c r="U1061" s="46"/>
      <c r="V1061" s="46"/>
      <c r="W1061" s="46"/>
    </row>
    <row r="1062">
      <c r="A1062" s="44"/>
      <c r="B1062" s="44"/>
      <c r="C1062" s="30"/>
      <c r="D1062" s="30"/>
      <c r="E1062" s="55"/>
      <c r="F1062" s="55"/>
      <c r="G1062" s="55"/>
      <c r="H1062" s="55"/>
      <c r="I1062" s="30"/>
      <c r="J1062" s="46"/>
      <c r="K1062" s="46"/>
      <c r="L1062" s="46"/>
      <c r="M1062" s="46"/>
      <c r="N1062" s="46"/>
      <c r="O1062" s="46"/>
      <c r="P1062" s="46"/>
      <c r="Q1062" s="46"/>
      <c r="R1062" s="46"/>
      <c r="S1062" s="46"/>
      <c r="T1062" s="46"/>
      <c r="U1062" s="46"/>
      <c r="V1062" s="46"/>
      <c r="W1062" s="46"/>
    </row>
    <row r="1063">
      <c r="A1063" s="44"/>
      <c r="B1063" s="44"/>
      <c r="C1063" s="30"/>
      <c r="D1063" s="30"/>
      <c r="E1063" s="55"/>
      <c r="F1063" s="55"/>
      <c r="G1063" s="55"/>
      <c r="H1063" s="55"/>
      <c r="I1063" s="30"/>
      <c r="J1063" s="46"/>
      <c r="K1063" s="46"/>
      <c r="L1063" s="46"/>
      <c r="M1063" s="46"/>
      <c r="N1063" s="46"/>
      <c r="O1063" s="46"/>
      <c r="P1063" s="46"/>
      <c r="Q1063" s="46"/>
      <c r="R1063" s="46"/>
      <c r="S1063" s="46"/>
      <c r="T1063" s="46"/>
      <c r="U1063" s="46"/>
      <c r="V1063" s="46"/>
      <c r="W1063" s="46"/>
    </row>
    <row r="1064">
      <c r="A1064" s="44"/>
      <c r="B1064" s="44"/>
      <c r="C1064" s="30"/>
      <c r="D1064" s="30"/>
      <c r="E1064" s="55"/>
      <c r="F1064" s="55"/>
      <c r="G1064" s="55"/>
      <c r="H1064" s="55"/>
      <c r="I1064" s="30"/>
      <c r="J1064" s="46"/>
      <c r="K1064" s="46"/>
      <c r="L1064" s="46"/>
      <c r="M1064" s="46"/>
      <c r="N1064" s="46"/>
      <c r="O1064" s="46"/>
      <c r="P1064" s="46"/>
      <c r="Q1064" s="46"/>
      <c r="R1064" s="46"/>
      <c r="S1064" s="46"/>
      <c r="T1064" s="46"/>
      <c r="U1064" s="46"/>
      <c r="V1064" s="46"/>
      <c r="W1064" s="46"/>
    </row>
    <row r="1065">
      <c r="A1065" s="44"/>
      <c r="B1065" s="44"/>
      <c r="C1065" s="30"/>
      <c r="D1065" s="30"/>
      <c r="E1065" s="55"/>
      <c r="F1065" s="55"/>
      <c r="G1065" s="55"/>
      <c r="H1065" s="55"/>
      <c r="I1065" s="30"/>
      <c r="J1065" s="46"/>
      <c r="K1065" s="46"/>
      <c r="L1065" s="46"/>
      <c r="M1065" s="46"/>
      <c r="N1065" s="46"/>
      <c r="O1065" s="46"/>
      <c r="P1065" s="46"/>
      <c r="Q1065" s="46"/>
      <c r="R1065" s="46"/>
      <c r="S1065" s="46"/>
      <c r="T1065" s="46"/>
      <c r="U1065" s="46"/>
      <c r="V1065" s="46"/>
      <c r="W1065" s="46"/>
    </row>
    <row r="1066">
      <c r="A1066" s="44"/>
      <c r="B1066" s="44"/>
      <c r="C1066" s="30"/>
      <c r="D1066" s="30"/>
      <c r="E1066" s="55"/>
      <c r="F1066" s="55"/>
      <c r="G1066" s="55"/>
      <c r="H1066" s="55"/>
      <c r="I1066" s="30"/>
      <c r="J1066" s="46"/>
      <c r="K1066" s="46"/>
      <c r="L1066" s="46"/>
      <c r="M1066" s="46"/>
      <c r="N1066" s="46"/>
      <c r="O1066" s="46"/>
      <c r="P1066" s="46"/>
      <c r="Q1066" s="46"/>
      <c r="R1066" s="46"/>
      <c r="S1066" s="46"/>
      <c r="T1066" s="46"/>
      <c r="U1066" s="46"/>
      <c r="V1066" s="46"/>
      <c r="W1066" s="46"/>
    </row>
    <row r="1067">
      <c r="A1067" s="44"/>
      <c r="B1067" s="44"/>
      <c r="C1067" s="30"/>
      <c r="D1067" s="30"/>
      <c r="E1067" s="55"/>
      <c r="F1067" s="55"/>
      <c r="G1067" s="55"/>
      <c r="H1067" s="55"/>
      <c r="I1067" s="30"/>
      <c r="J1067" s="46"/>
      <c r="K1067" s="46"/>
      <c r="L1067" s="46"/>
      <c r="M1067" s="46"/>
      <c r="N1067" s="46"/>
      <c r="O1067" s="46"/>
      <c r="P1067" s="46"/>
      <c r="Q1067" s="46"/>
      <c r="R1067" s="46"/>
      <c r="S1067" s="46"/>
      <c r="T1067" s="46"/>
      <c r="U1067" s="46"/>
      <c r="V1067" s="46"/>
      <c r="W1067" s="46"/>
    </row>
    <row r="1068">
      <c r="A1068" s="44"/>
      <c r="B1068" s="44"/>
      <c r="C1068" s="30"/>
      <c r="D1068" s="30"/>
      <c r="E1068" s="55"/>
      <c r="F1068" s="55"/>
      <c r="G1068" s="55"/>
      <c r="H1068" s="55"/>
      <c r="I1068" s="30"/>
      <c r="J1068" s="46"/>
      <c r="K1068" s="46"/>
      <c r="L1068" s="46"/>
      <c r="M1068" s="46"/>
      <c r="N1068" s="46"/>
      <c r="O1068" s="46"/>
      <c r="P1068" s="46"/>
      <c r="Q1068" s="46"/>
      <c r="R1068" s="46"/>
      <c r="S1068" s="46"/>
      <c r="T1068" s="46"/>
      <c r="U1068" s="46"/>
      <c r="V1068" s="46"/>
      <c r="W1068" s="46"/>
    </row>
    <row r="1069">
      <c r="A1069" s="44"/>
      <c r="B1069" s="44"/>
      <c r="C1069" s="30"/>
      <c r="D1069" s="30"/>
      <c r="E1069" s="55"/>
      <c r="F1069" s="55"/>
      <c r="G1069" s="55"/>
      <c r="H1069" s="55"/>
      <c r="I1069" s="30"/>
      <c r="J1069" s="46"/>
      <c r="K1069" s="46"/>
      <c r="L1069" s="46"/>
      <c r="M1069" s="46"/>
      <c r="N1069" s="46"/>
      <c r="O1069" s="46"/>
      <c r="P1069" s="46"/>
      <c r="Q1069" s="46"/>
      <c r="R1069" s="46"/>
      <c r="S1069" s="46"/>
      <c r="T1069" s="46"/>
      <c r="U1069" s="46"/>
      <c r="V1069" s="46"/>
      <c r="W1069" s="46"/>
    </row>
    <row r="1070">
      <c r="A1070" s="44"/>
      <c r="B1070" s="44"/>
      <c r="C1070" s="30"/>
      <c r="D1070" s="30"/>
      <c r="E1070" s="55"/>
      <c r="F1070" s="55"/>
      <c r="G1070" s="55"/>
      <c r="H1070" s="55"/>
      <c r="I1070" s="30"/>
      <c r="J1070" s="46"/>
      <c r="K1070" s="46"/>
      <c r="L1070" s="46"/>
      <c r="M1070" s="46"/>
      <c r="N1070" s="46"/>
      <c r="O1070" s="46"/>
      <c r="P1070" s="46"/>
      <c r="Q1070" s="46"/>
      <c r="R1070" s="46"/>
      <c r="S1070" s="46"/>
      <c r="T1070" s="46"/>
      <c r="U1070" s="46"/>
      <c r="V1070" s="46"/>
      <c r="W1070" s="46"/>
    </row>
    <row r="1071">
      <c r="A1071" s="44"/>
      <c r="B1071" s="44"/>
      <c r="C1071" s="30"/>
      <c r="D1071" s="30"/>
      <c r="E1071" s="55"/>
      <c r="F1071" s="55"/>
      <c r="G1071" s="55"/>
      <c r="H1071" s="55"/>
      <c r="I1071" s="30"/>
      <c r="J1071" s="46"/>
      <c r="K1071" s="46"/>
      <c r="L1071" s="46"/>
      <c r="M1071" s="46"/>
      <c r="N1071" s="46"/>
      <c r="O1071" s="46"/>
      <c r="P1071" s="46"/>
      <c r="Q1071" s="46"/>
      <c r="R1071" s="46"/>
      <c r="S1071" s="46"/>
      <c r="T1071" s="46"/>
      <c r="U1071" s="46"/>
      <c r="V1071" s="46"/>
      <c r="W1071" s="46"/>
    </row>
    <row r="1072">
      <c r="A1072" s="44"/>
      <c r="B1072" s="44"/>
      <c r="C1072" s="30"/>
      <c r="D1072" s="30"/>
      <c r="E1072" s="55"/>
      <c r="F1072" s="55"/>
      <c r="G1072" s="55"/>
      <c r="H1072" s="55"/>
      <c r="I1072" s="30"/>
      <c r="J1072" s="46"/>
      <c r="K1072" s="46"/>
      <c r="L1072" s="46"/>
      <c r="M1072" s="46"/>
      <c r="N1072" s="46"/>
      <c r="O1072" s="46"/>
      <c r="P1072" s="46"/>
      <c r="Q1072" s="46"/>
      <c r="R1072" s="46"/>
      <c r="S1072" s="46"/>
      <c r="T1072" s="46"/>
      <c r="U1072" s="46"/>
      <c r="V1072" s="46"/>
      <c r="W1072" s="46"/>
    </row>
    <row r="1073">
      <c r="A1073" s="44"/>
      <c r="B1073" s="44"/>
      <c r="C1073" s="30"/>
      <c r="D1073" s="30"/>
      <c r="E1073" s="55"/>
      <c r="F1073" s="55"/>
      <c r="G1073" s="55"/>
      <c r="H1073" s="55"/>
      <c r="I1073" s="30"/>
      <c r="J1073" s="46"/>
      <c r="K1073" s="46"/>
      <c r="L1073" s="46"/>
      <c r="M1073" s="46"/>
      <c r="N1073" s="46"/>
      <c r="O1073" s="46"/>
      <c r="P1073" s="46"/>
      <c r="Q1073" s="46"/>
      <c r="R1073" s="46"/>
      <c r="S1073" s="46"/>
      <c r="T1073" s="46"/>
      <c r="U1073" s="46"/>
      <c r="V1073" s="46"/>
      <c r="W1073" s="46"/>
    </row>
    <row r="1074">
      <c r="A1074" s="44"/>
      <c r="B1074" s="44"/>
      <c r="C1074" s="30"/>
      <c r="D1074" s="30"/>
      <c r="E1074" s="55"/>
      <c r="F1074" s="55"/>
      <c r="G1074" s="55"/>
      <c r="H1074" s="55"/>
      <c r="I1074" s="30"/>
      <c r="J1074" s="46"/>
      <c r="K1074" s="46"/>
      <c r="L1074" s="46"/>
      <c r="M1074" s="46"/>
      <c r="N1074" s="46"/>
      <c r="O1074" s="46"/>
      <c r="P1074" s="46"/>
      <c r="Q1074" s="46"/>
      <c r="R1074" s="46"/>
      <c r="S1074" s="46"/>
      <c r="T1074" s="46"/>
      <c r="U1074" s="46"/>
      <c r="V1074" s="46"/>
      <c r="W1074" s="46"/>
    </row>
    <row r="1075">
      <c r="A1075" s="44"/>
      <c r="B1075" s="44"/>
      <c r="C1075" s="30"/>
      <c r="D1075" s="30"/>
      <c r="E1075" s="55"/>
      <c r="F1075" s="55"/>
      <c r="G1075" s="55"/>
      <c r="H1075" s="55"/>
      <c r="I1075" s="30"/>
      <c r="J1075" s="46"/>
      <c r="K1075" s="46"/>
      <c r="L1075" s="46"/>
      <c r="M1075" s="46"/>
      <c r="N1075" s="46"/>
      <c r="O1075" s="46"/>
      <c r="P1075" s="46"/>
      <c r="Q1075" s="46"/>
      <c r="R1075" s="46"/>
      <c r="S1075" s="46"/>
      <c r="T1075" s="46"/>
      <c r="U1075" s="46"/>
      <c r="V1075" s="46"/>
      <c r="W1075" s="46"/>
    </row>
    <row r="1076">
      <c r="A1076" s="44"/>
      <c r="B1076" s="44"/>
      <c r="C1076" s="30"/>
      <c r="D1076" s="30"/>
      <c r="E1076" s="55"/>
      <c r="F1076" s="55"/>
      <c r="G1076" s="55"/>
      <c r="H1076" s="55"/>
      <c r="I1076" s="30"/>
      <c r="J1076" s="46"/>
      <c r="K1076" s="46"/>
      <c r="L1076" s="46"/>
      <c r="M1076" s="46"/>
      <c r="N1076" s="46"/>
      <c r="O1076" s="46"/>
      <c r="P1076" s="46"/>
      <c r="Q1076" s="46"/>
      <c r="R1076" s="46"/>
      <c r="S1076" s="46"/>
      <c r="T1076" s="46"/>
      <c r="U1076" s="46"/>
      <c r="V1076" s="46"/>
      <c r="W1076" s="46"/>
    </row>
    <row r="1077">
      <c r="A1077" s="44"/>
      <c r="B1077" s="44"/>
      <c r="C1077" s="30"/>
      <c r="D1077" s="30"/>
      <c r="E1077" s="55"/>
      <c r="F1077" s="55"/>
      <c r="G1077" s="55"/>
      <c r="H1077" s="55"/>
      <c r="I1077" s="30"/>
      <c r="J1077" s="46"/>
      <c r="K1077" s="46"/>
      <c r="L1077" s="46"/>
      <c r="M1077" s="46"/>
      <c r="N1077" s="46"/>
      <c r="O1077" s="46"/>
      <c r="P1077" s="46"/>
      <c r="Q1077" s="46"/>
      <c r="R1077" s="46"/>
      <c r="S1077" s="46"/>
      <c r="T1077" s="46"/>
      <c r="U1077" s="46"/>
      <c r="V1077" s="46"/>
      <c r="W1077" s="46"/>
    </row>
    <row r="1078">
      <c r="A1078" s="44"/>
      <c r="B1078" s="44"/>
      <c r="C1078" s="30"/>
      <c r="D1078" s="30"/>
      <c r="E1078" s="55"/>
      <c r="F1078" s="55"/>
      <c r="G1078" s="55"/>
      <c r="H1078" s="55"/>
      <c r="I1078" s="30"/>
      <c r="J1078" s="46"/>
      <c r="K1078" s="46"/>
      <c r="L1078" s="46"/>
      <c r="M1078" s="46"/>
      <c r="N1078" s="46"/>
      <c r="O1078" s="46"/>
      <c r="P1078" s="46"/>
      <c r="Q1078" s="46"/>
      <c r="R1078" s="46"/>
      <c r="S1078" s="46"/>
      <c r="T1078" s="46"/>
      <c r="U1078" s="46"/>
      <c r="V1078" s="46"/>
      <c r="W1078" s="46"/>
    </row>
    <row r="1079">
      <c r="A1079" s="44"/>
      <c r="B1079" s="44"/>
      <c r="C1079" s="30"/>
      <c r="D1079" s="30"/>
      <c r="E1079" s="55"/>
      <c r="F1079" s="55"/>
      <c r="G1079" s="55"/>
      <c r="H1079" s="55"/>
      <c r="I1079" s="30"/>
      <c r="J1079" s="46"/>
      <c r="K1079" s="46"/>
      <c r="L1079" s="46"/>
      <c r="M1079" s="46"/>
      <c r="N1079" s="46"/>
      <c r="O1079" s="46"/>
      <c r="P1079" s="46"/>
      <c r="Q1079" s="46"/>
      <c r="R1079" s="46"/>
      <c r="S1079" s="46"/>
      <c r="T1079" s="46"/>
      <c r="U1079" s="46"/>
      <c r="V1079" s="46"/>
      <c r="W1079" s="46"/>
    </row>
    <row r="1080">
      <c r="A1080" s="44"/>
      <c r="B1080" s="44"/>
      <c r="C1080" s="30"/>
      <c r="D1080" s="30"/>
      <c r="E1080" s="55"/>
      <c r="F1080" s="55"/>
      <c r="G1080" s="55"/>
      <c r="H1080" s="55"/>
      <c r="I1080" s="30"/>
      <c r="J1080" s="46"/>
      <c r="K1080" s="46"/>
      <c r="L1080" s="46"/>
      <c r="M1080" s="46"/>
      <c r="N1080" s="46"/>
      <c r="O1080" s="46"/>
      <c r="P1080" s="46"/>
      <c r="Q1080" s="46"/>
      <c r="R1080" s="46"/>
      <c r="S1080" s="46"/>
      <c r="T1080" s="46"/>
      <c r="U1080" s="46"/>
      <c r="V1080" s="46"/>
      <c r="W1080" s="46"/>
    </row>
    <row r="1081">
      <c r="A1081" s="44"/>
      <c r="B1081" s="44"/>
      <c r="C1081" s="30"/>
      <c r="D1081" s="30"/>
      <c r="E1081" s="55"/>
      <c r="F1081" s="55"/>
      <c r="G1081" s="55"/>
      <c r="H1081" s="55"/>
      <c r="I1081" s="30"/>
      <c r="J1081" s="46"/>
      <c r="K1081" s="46"/>
      <c r="L1081" s="46"/>
      <c r="M1081" s="46"/>
      <c r="N1081" s="46"/>
      <c r="O1081" s="46"/>
      <c r="P1081" s="46"/>
      <c r="Q1081" s="46"/>
      <c r="R1081" s="46"/>
      <c r="S1081" s="46"/>
      <c r="T1081" s="46"/>
      <c r="U1081" s="46"/>
      <c r="V1081" s="46"/>
      <c r="W1081" s="46"/>
    </row>
    <row r="1082">
      <c r="A1082" s="44"/>
      <c r="B1082" s="44"/>
      <c r="C1082" s="30"/>
      <c r="D1082" s="30"/>
      <c r="E1082" s="55"/>
      <c r="F1082" s="55"/>
      <c r="G1082" s="55"/>
      <c r="H1082" s="55"/>
      <c r="I1082" s="30"/>
      <c r="J1082" s="46"/>
      <c r="K1082" s="46"/>
      <c r="L1082" s="46"/>
      <c r="M1082" s="46"/>
      <c r="N1082" s="46"/>
      <c r="O1082" s="46"/>
      <c r="P1082" s="46"/>
      <c r="Q1082" s="46"/>
      <c r="R1082" s="46"/>
      <c r="S1082" s="46"/>
      <c r="T1082" s="46"/>
      <c r="U1082" s="46"/>
      <c r="V1082" s="46"/>
      <c r="W1082" s="46"/>
    </row>
    <row r="1083">
      <c r="A1083" s="44"/>
      <c r="B1083" s="44"/>
      <c r="C1083" s="30"/>
      <c r="D1083" s="30"/>
      <c r="E1083" s="55"/>
      <c r="F1083" s="55"/>
      <c r="G1083" s="55"/>
      <c r="H1083" s="55"/>
      <c r="I1083" s="30"/>
      <c r="J1083" s="46"/>
      <c r="K1083" s="46"/>
      <c r="L1083" s="46"/>
      <c r="M1083" s="46"/>
      <c r="N1083" s="46"/>
      <c r="O1083" s="46"/>
      <c r="P1083" s="46"/>
      <c r="Q1083" s="46"/>
      <c r="R1083" s="46"/>
      <c r="S1083" s="46"/>
      <c r="T1083" s="46"/>
      <c r="U1083" s="46"/>
      <c r="V1083" s="46"/>
      <c r="W1083" s="46"/>
    </row>
    <row r="1084">
      <c r="A1084" s="44"/>
      <c r="B1084" s="44"/>
      <c r="C1084" s="30"/>
      <c r="D1084" s="30"/>
      <c r="E1084" s="55"/>
      <c r="F1084" s="55"/>
      <c r="G1084" s="55"/>
      <c r="H1084" s="55"/>
      <c r="I1084" s="30"/>
      <c r="J1084" s="46"/>
      <c r="K1084" s="46"/>
      <c r="L1084" s="46"/>
      <c r="M1084" s="46"/>
      <c r="N1084" s="46"/>
      <c r="O1084" s="46"/>
      <c r="P1084" s="46"/>
      <c r="Q1084" s="46"/>
      <c r="R1084" s="46"/>
      <c r="S1084" s="46"/>
      <c r="T1084" s="46"/>
      <c r="U1084" s="46"/>
      <c r="V1084" s="46"/>
      <c r="W1084" s="46"/>
    </row>
    <row r="1085">
      <c r="A1085" s="44"/>
      <c r="B1085" s="44"/>
      <c r="C1085" s="30"/>
      <c r="D1085" s="30"/>
      <c r="E1085" s="55"/>
      <c r="F1085" s="55"/>
      <c r="G1085" s="55"/>
      <c r="H1085" s="55"/>
      <c r="I1085" s="30"/>
      <c r="J1085" s="46"/>
      <c r="K1085" s="46"/>
      <c r="L1085" s="46"/>
      <c r="M1085" s="46"/>
      <c r="N1085" s="46"/>
      <c r="O1085" s="46"/>
      <c r="P1085" s="46"/>
      <c r="Q1085" s="46"/>
      <c r="R1085" s="46"/>
      <c r="S1085" s="46"/>
      <c r="T1085" s="46"/>
      <c r="U1085" s="46"/>
      <c r="V1085" s="46"/>
      <c r="W1085" s="46"/>
    </row>
    <row r="1086">
      <c r="A1086" s="44"/>
      <c r="B1086" s="44"/>
      <c r="C1086" s="30"/>
      <c r="D1086" s="30"/>
      <c r="E1086" s="55"/>
      <c r="F1086" s="55"/>
      <c r="G1086" s="55"/>
      <c r="H1086" s="55"/>
      <c r="I1086" s="30"/>
      <c r="J1086" s="46"/>
      <c r="K1086" s="46"/>
      <c r="L1086" s="46"/>
      <c r="M1086" s="46"/>
      <c r="N1086" s="46"/>
      <c r="O1086" s="46"/>
      <c r="P1086" s="46"/>
      <c r="Q1086" s="46"/>
      <c r="R1086" s="46"/>
      <c r="S1086" s="46"/>
      <c r="T1086" s="46"/>
      <c r="U1086" s="46"/>
      <c r="V1086" s="46"/>
      <c r="W1086" s="46"/>
    </row>
    <row r="1087">
      <c r="A1087" s="44"/>
      <c r="B1087" s="44"/>
      <c r="C1087" s="30"/>
      <c r="D1087" s="30"/>
      <c r="E1087" s="55"/>
      <c r="F1087" s="55"/>
      <c r="G1087" s="55"/>
      <c r="H1087" s="55"/>
      <c r="I1087" s="30"/>
      <c r="J1087" s="46"/>
      <c r="K1087" s="46"/>
      <c r="L1087" s="46"/>
      <c r="M1087" s="46"/>
      <c r="N1087" s="46"/>
      <c r="O1087" s="46"/>
      <c r="P1087" s="46"/>
      <c r="Q1087" s="46"/>
      <c r="R1087" s="46"/>
      <c r="S1087" s="46"/>
      <c r="T1087" s="46"/>
      <c r="U1087" s="46"/>
      <c r="V1087" s="46"/>
      <c r="W1087" s="46"/>
    </row>
    <row r="1088">
      <c r="A1088" s="44"/>
      <c r="B1088" s="44"/>
      <c r="C1088" s="30"/>
      <c r="D1088" s="30"/>
      <c r="E1088" s="55"/>
      <c r="F1088" s="55"/>
      <c r="G1088" s="55"/>
      <c r="H1088" s="55"/>
      <c r="I1088" s="30"/>
      <c r="J1088" s="46"/>
      <c r="K1088" s="46"/>
      <c r="L1088" s="46"/>
      <c r="M1088" s="46"/>
      <c r="N1088" s="46"/>
      <c r="O1088" s="46"/>
      <c r="P1088" s="46"/>
      <c r="Q1088" s="46"/>
      <c r="R1088" s="46"/>
      <c r="S1088" s="46"/>
      <c r="T1088" s="46"/>
      <c r="U1088" s="46"/>
      <c r="V1088" s="46"/>
      <c r="W1088" s="46"/>
    </row>
    <row r="1089">
      <c r="A1089" s="44"/>
      <c r="B1089" s="44"/>
      <c r="C1089" s="30"/>
      <c r="D1089" s="30"/>
      <c r="E1089" s="55"/>
      <c r="F1089" s="55"/>
      <c r="G1089" s="55"/>
      <c r="H1089" s="55"/>
      <c r="I1089" s="30"/>
      <c r="J1089" s="46"/>
      <c r="K1089" s="46"/>
      <c r="L1089" s="46"/>
      <c r="M1089" s="46"/>
      <c r="N1089" s="46"/>
      <c r="O1089" s="46"/>
      <c r="P1089" s="46"/>
      <c r="Q1089" s="46"/>
      <c r="R1089" s="46"/>
      <c r="S1089" s="46"/>
      <c r="T1089" s="46"/>
      <c r="U1089" s="46"/>
      <c r="V1089" s="46"/>
      <c r="W1089" s="46"/>
    </row>
    <row r="1090">
      <c r="A1090" s="44"/>
      <c r="B1090" s="44"/>
      <c r="C1090" s="30"/>
      <c r="D1090" s="30"/>
      <c r="E1090" s="55"/>
      <c r="F1090" s="55"/>
      <c r="G1090" s="55"/>
      <c r="H1090" s="55"/>
      <c r="I1090" s="30"/>
      <c r="J1090" s="46"/>
      <c r="K1090" s="46"/>
      <c r="L1090" s="46"/>
      <c r="M1090" s="46"/>
      <c r="N1090" s="46"/>
      <c r="O1090" s="46"/>
      <c r="P1090" s="46"/>
      <c r="Q1090" s="46"/>
      <c r="R1090" s="46"/>
      <c r="S1090" s="46"/>
      <c r="T1090" s="46"/>
      <c r="U1090" s="46"/>
      <c r="V1090" s="46"/>
      <c r="W1090" s="46"/>
    </row>
    <row r="1091">
      <c r="A1091" s="44"/>
      <c r="B1091" s="44"/>
      <c r="C1091" s="30"/>
      <c r="D1091" s="30"/>
      <c r="E1091" s="55"/>
      <c r="F1091" s="55"/>
      <c r="G1091" s="55"/>
      <c r="H1091" s="55"/>
      <c r="I1091" s="30"/>
      <c r="J1091" s="46"/>
      <c r="K1091" s="46"/>
      <c r="L1091" s="46"/>
      <c r="M1091" s="46"/>
      <c r="N1091" s="46"/>
      <c r="O1091" s="46"/>
      <c r="P1091" s="46"/>
      <c r="Q1091" s="46"/>
      <c r="R1091" s="46"/>
      <c r="S1091" s="46"/>
      <c r="T1091" s="46"/>
      <c r="U1091" s="46"/>
      <c r="V1091" s="46"/>
      <c r="W1091" s="46"/>
    </row>
    <row r="1092">
      <c r="A1092" s="44"/>
      <c r="B1092" s="44"/>
      <c r="C1092" s="30"/>
      <c r="D1092" s="30"/>
      <c r="E1092" s="55"/>
      <c r="F1092" s="55"/>
      <c r="G1092" s="55"/>
      <c r="H1092" s="55"/>
      <c r="I1092" s="30"/>
      <c r="J1092" s="46"/>
      <c r="K1092" s="46"/>
      <c r="L1092" s="46"/>
      <c r="M1092" s="46"/>
      <c r="N1092" s="46"/>
      <c r="O1092" s="46"/>
      <c r="P1092" s="46"/>
      <c r="Q1092" s="46"/>
      <c r="R1092" s="46"/>
      <c r="S1092" s="46"/>
      <c r="T1092" s="46"/>
      <c r="U1092" s="46"/>
      <c r="V1092" s="46"/>
      <c r="W1092" s="46"/>
    </row>
    <row r="1093">
      <c r="A1093" s="44"/>
      <c r="B1093" s="44"/>
      <c r="C1093" s="30"/>
      <c r="D1093" s="30"/>
      <c r="E1093" s="55"/>
      <c r="F1093" s="55"/>
      <c r="G1093" s="55"/>
      <c r="H1093" s="55"/>
      <c r="I1093" s="30"/>
      <c r="J1093" s="46"/>
      <c r="K1093" s="46"/>
      <c r="L1093" s="46"/>
      <c r="M1093" s="46"/>
      <c r="N1093" s="46"/>
      <c r="O1093" s="46"/>
      <c r="P1093" s="46"/>
      <c r="Q1093" s="46"/>
      <c r="R1093" s="46"/>
      <c r="S1093" s="46"/>
      <c r="T1093" s="46"/>
      <c r="U1093" s="46"/>
      <c r="V1093" s="46"/>
      <c r="W1093" s="46"/>
    </row>
    <row r="1094">
      <c r="A1094" s="44"/>
      <c r="B1094" s="44"/>
      <c r="C1094" s="30"/>
      <c r="D1094" s="30"/>
      <c r="E1094" s="55"/>
      <c r="F1094" s="55"/>
      <c r="G1094" s="55"/>
      <c r="H1094" s="55"/>
      <c r="I1094" s="30"/>
      <c r="J1094" s="46"/>
      <c r="K1094" s="46"/>
      <c r="L1094" s="46"/>
      <c r="M1094" s="46"/>
      <c r="N1094" s="46"/>
      <c r="O1094" s="46"/>
      <c r="P1094" s="46"/>
      <c r="Q1094" s="46"/>
      <c r="R1094" s="46"/>
      <c r="S1094" s="46"/>
      <c r="T1094" s="46"/>
      <c r="U1094" s="46"/>
      <c r="V1094" s="46"/>
      <c r="W1094" s="46"/>
    </row>
    <row r="1095">
      <c r="A1095" s="44"/>
      <c r="B1095" s="44"/>
      <c r="C1095" s="30"/>
      <c r="D1095" s="30"/>
      <c r="E1095" s="55"/>
      <c r="F1095" s="55"/>
      <c r="G1095" s="55"/>
      <c r="H1095" s="55"/>
      <c r="I1095" s="30"/>
      <c r="J1095" s="46"/>
      <c r="K1095" s="46"/>
      <c r="L1095" s="46"/>
      <c r="M1095" s="46"/>
      <c r="N1095" s="46"/>
      <c r="O1095" s="46"/>
      <c r="P1095" s="46"/>
      <c r="Q1095" s="46"/>
      <c r="R1095" s="46"/>
      <c r="S1095" s="46"/>
      <c r="T1095" s="46"/>
      <c r="U1095" s="46"/>
      <c r="V1095" s="46"/>
      <c r="W1095" s="46"/>
    </row>
    <row r="1096">
      <c r="A1096" s="44"/>
      <c r="B1096" s="44"/>
      <c r="C1096" s="30"/>
      <c r="D1096" s="30"/>
      <c r="E1096" s="55"/>
      <c r="F1096" s="55"/>
      <c r="G1096" s="55"/>
      <c r="H1096" s="55"/>
      <c r="I1096" s="30"/>
      <c r="J1096" s="46"/>
      <c r="K1096" s="46"/>
      <c r="L1096" s="46"/>
      <c r="M1096" s="46"/>
      <c r="N1096" s="46"/>
      <c r="O1096" s="46"/>
      <c r="P1096" s="46"/>
      <c r="Q1096" s="46"/>
      <c r="R1096" s="46"/>
      <c r="S1096" s="46"/>
      <c r="T1096" s="46"/>
      <c r="U1096" s="46"/>
      <c r="V1096" s="46"/>
      <c r="W1096" s="46"/>
    </row>
    <row r="1097">
      <c r="A1097" s="44"/>
      <c r="B1097" s="44"/>
      <c r="C1097" s="30"/>
      <c r="D1097" s="30"/>
      <c r="E1097" s="55"/>
      <c r="F1097" s="55"/>
      <c r="G1097" s="55"/>
      <c r="H1097" s="55"/>
      <c r="I1097" s="30"/>
      <c r="J1097" s="46"/>
      <c r="K1097" s="46"/>
      <c r="L1097" s="46"/>
      <c r="M1097" s="46"/>
      <c r="N1097" s="46"/>
      <c r="O1097" s="46"/>
      <c r="P1097" s="46"/>
      <c r="Q1097" s="46"/>
      <c r="R1097" s="46"/>
      <c r="S1097" s="46"/>
      <c r="T1097" s="46"/>
      <c r="U1097" s="46"/>
      <c r="V1097" s="46"/>
      <c r="W1097" s="46"/>
    </row>
    <row r="1098">
      <c r="A1098" s="44"/>
      <c r="B1098" s="44"/>
      <c r="C1098" s="30"/>
      <c r="D1098" s="30"/>
      <c r="E1098" s="55"/>
      <c r="F1098" s="55"/>
      <c r="G1098" s="55"/>
      <c r="H1098" s="55"/>
      <c r="I1098" s="30"/>
      <c r="J1098" s="46"/>
      <c r="K1098" s="46"/>
      <c r="L1098" s="46"/>
      <c r="M1098" s="46"/>
      <c r="N1098" s="46"/>
      <c r="O1098" s="46"/>
      <c r="P1098" s="46"/>
      <c r="Q1098" s="46"/>
      <c r="R1098" s="46"/>
      <c r="S1098" s="46"/>
      <c r="T1098" s="46"/>
      <c r="U1098" s="46"/>
      <c r="V1098" s="46"/>
      <c r="W1098" s="46"/>
    </row>
    <row r="1099">
      <c r="A1099" s="44"/>
      <c r="B1099" s="44"/>
      <c r="C1099" s="30"/>
      <c r="D1099" s="30"/>
      <c r="E1099" s="55"/>
      <c r="F1099" s="55"/>
      <c r="G1099" s="55"/>
      <c r="H1099" s="55"/>
      <c r="I1099" s="30"/>
      <c r="J1099" s="46"/>
      <c r="K1099" s="46"/>
      <c r="L1099" s="46"/>
      <c r="M1099" s="46"/>
      <c r="N1099" s="46"/>
      <c r="O1099" s="46"/>
      <c r="P1099" s="46"/>
      <c r="Q1099" s="46"/>
      <c r="R1099" s="46"/>
      <c r="S1099" s="46"/>
      <c r="T1099" s="46"/>
      <c r="U1099" s="46"/>
      <c r="V1099" s="46"/>
      <c r="W1099" s="46"/>
    </row>
    <row r="1100">
      <c r="A1100" s="44"/>
      <c r="B1100" s="44"/>
      <c r="C1100" s="30"/>
      <c r="D1100" s="30"/>
      <c r="E1100" s="55"/>
      <c r="F1100" s="55"/>
      <c r="G1100" s="55"/>
      <c r="H1100" s="55"/>
      <c r="I1100" s="30"/>
      <c r="J1100" s="46"/>
      <c r="K1100" s="46"/>
      <c r="L1100" s="46"/>
      <c r="M1100" s="46"/>
      <c r="N1100" s="46"/>
      <c r="O1100" s="46"/>
      <c r="P1100" s="46"/>
      <c r="Q1100" s="46"/>
      <c r="R1100" s="46"/>
      <c r="S1100" s="46"/>
      <c r="T1100" s="46"/>
      <c r="U1100" s="46"/>
      <c r="V1100" s="46"/>
      <c r="W1100" s="46"/>
    </row>
    <row r="1101">
      <c r="A1101" s="44"/>
      <c r="B1101" s="44"/>
      <c r="C1101" s="30"/>
      <c r="D1101" s="30"/>
      <c r="E1101" s="55"/>
      <c r="F1101" s="55"/>
      <c r="G1101" s="55"/>
      <c r="H1101" s="55"/>
      <c r="I1101" s="30"/>
      <c r="J1101" s="46"/>
      <c r="K1101" s="46"/>
      <c r="L1101" s="46"/>
      <c r="M1101" s="46"/>
      <c r="N1101" s="46"/>
      <c r="O1101" s="46"/>
      <c r="P1101" s="46"/>
      <c r="Q1101" s="46"/>
      <c r="R1101" s="46"/>
      <c r="S1101" s="46"/>
      <c r="T1101" s="46"/>
      <c r="U1101" s="46"/>
      <c r="V1101" s="46"/>
      <c r="W1101" s="46"/>
    </row>
    <row r="1102">
      <c r="A1102" s="44"/>
      <c r="B1102" s="44"/>
      <c r="C1102" s="30"/>
      <c r="D1102" s="30"/>
      <c r="E1102" s="55"/>
      <c r="F1102" s="55"/>
      <c r="G1102" s="55"/>
      <c r="H1102" s="55"/>
      <c r="I1102" s="30"/>
      <c r="J1102" s="46"/>
      <c r="K1102" s="46"/>
      <c r="L1102" s="46"/>
      <c r="M1102" s="46"/>
      <c r="N1102" s="46"/>
      <c r="O1102" s="46"/>
      <c r="P1102" s="46"/>
      <c r="Q1102" s="46"/>
      <c r="R1102" s="46"/>
      <c r="S1102" s="46"/>
      <c r="T1102" s="46"/>
      <c r="U1102" s="46"/>
      <c r="V1102" s="46"/>
      <c r="W1102" s="46"/>
    </row>
    <row r="1103">
      <c r="A1103" s="44"/>
      <c r="B1103" s="44"/>
      <c r="C1103" s="30"/>
      <c r="D1103" s="30"/>
      <c r="E1103" s="55"/>
      <c r="F1103" s="55"/>
      <c r="G1103" s="55"/>
      <c r="H1103" s="55"/>
      <c r="I1103" s="30"/>
      <c r="J1103" s="46"/>
      <c r="K1103" s="46"/>
      <c r="L1103" s="46"/>
      <c r="M1103" s="46"/>
      <c r="N1103" s="46"/>
      <c r="O1103" s="46"/>
      <c r="P1103" s="46"/>
      <c r="Q1103" s="46"/>
      <c r="R1103" s="46"/>
      <c r="S1103" s="46"/>
      <c r="T1103" s="46"/>
      <c r="U1103" s="46"/>
      <c r="V1103" s="46"/>
      <c r="W1103" s="46"/>
    </row>
    <row r="1104">
      <c r="A1104" s="44"/>
      <c r="B1104" s="44"/>
      <c r="C1104" s="30"/>
      <c r="D1104" s="30"/>
      <c r="E1104" s="55"/>
      <c r="F1104" s="55"/>
      <c r="G1104" s="55"/>
      <c r="H1104" s="55"/>
      <c r="I1104" s="30"/>
      <c r="J1104" s="46"/>
      <c r="K1104" s="46"/>
      <c r="L1104" s="46"/>
      <c r="M1104" s="46"/>
      <c r="N1104" s="46"/>
      <c r="O1104" s="46"/>
      <c r="P1104" s="46"/>
      <c r="Q1104" s="46"/>
      <c r="R1104" s="46"/>
      <c r="S1104" s="46"/>
      <c r="T1104" s="46"/>
      <c r="U1104" s="46"/>
      <c r="V1104" s="46"/>
      <c r="W1104" s="46"/>
    </row>
    <row r="1105">
      <c r="A1105" s="44"/>
      <c r="B1105" s="44"/>
      <c r="C1105" s="30"/>
      <c r="D1105" s="30"/>
      <c r="E1105" s="55"/>
      <c r="F1105" s="55"/>
      <c r="G1105" s="55"/>
      <c r="H1105" s="55"/>
      <c r="I1105" s="30"/>
      <c r="J1105" s="46"/>
      <c r="K1105" s="46"/>
      <c r="L1105" s="46"/>
      <c r="M1105" s="46"/>
      <c r="N1105" s="46"/>
      <c r="O1105" s="46"/>
      <c r="P1105" s="46"/>
      <c r="Q1105" s="46"/>
      <c r="R1105" s="46"/>
      <c r="S1105" s="46"/>
      <c r="T1105" s="46"/>
      <c r="U1105" s="46"/>
      <c r="V1105" s="46"/>
      <c r="W1105" s="46"/>
    </row>
    <row r="1106">
      <c r="A1106" s="44"/>
      <c r="B1106" s="44"/>
      <c r="C1106" s="30"/>
      <c r="D1106" s="30"/>
      <c r="E1106" s="55"/>
      <c r="F1106" s="55"/>
      <c r="G1106" s="55"/>
      <c r="H1106" s="55"/>
      <c r="I1106" s="30"/>
      <c r="J1106" s="46"/>
      <c r="K1106" s="46"/>
      <c r="L1106" s="46"/>
      <c r="M1106" s="46"/>
      <c r="N1106" s="46"/>
      <c r="O1106" s="46"/>
      <c r="P1106" s="46"/>
      <c r="Q1106" s="46"/>
      <c r="R1106" s="46"/>
      <c r="S1106" s="46"/>
      <c r="T1106" s="46"/>
      <c r="U1106" s="46"/>
      <c r="V1106" s="46"/>
      <c r="W1106" s="46"/>
    </row>
    <row r="1107">
      <c r="A1107" s="44"/>
      <c r="B1107" s="44"/>
      <c r="C1107" s="30"/>
      <c r="D1107" s="30"/>
      <c r="E1107" s="55"/>
      <c r="F1107" s="55"/>
      <c r="G1107" s="55"/>
      <c r="H1107" s="55"/>
      <c r="I1107" s="30"/>
      <c r="J1107" s="46"/>
      <c r="K1107" s="46"/>
      <c r="L1107" s="46"/>
      <c r="M1107" s="46"/>
      <c r="N1107" s="46"/>
      <c r="O1107" s="46"/>
      <c r="P1107" s="46"/>
      <c r="Q1107" s="46"/>
      <c r="R1107" s="46"/>
      <c r="S1107" s="46"/>
      <c r="T1107" s="46"/>
      <c r="U1107" s="46"/>
      <c r="V1107" s="46"/>
      <c r="W1107" s="46"/>
    </row>
    <row r="1108">
      <c r="A1108" s="44"/>
      <c r="B1108" s="44"/>
      <c r="C1108" s="30"/>
      <c r="D1108" s="30"/>
      <c r="E1108" s="55"/>
      <c r="F1108" s="55"/>
      <c r="G1108" s="55"/>
      <c r="H1108" s="55"/>
      <c r="I1108" s="30"/>
      <c r="J1108" s="46"/>
      <c r="K1108" s="46"/>
      <c r="L1108" s="46"/>
      <c r="M1108" s="46"/>
      <c r="N1108" s="46"/>
      <c r="O1108" s="46"/>
      <c r="P1108" s="46"/>
      <c r="Q1108" s="46"/>
      <c r="R1108" s="46"/>
      <c r="S1108" s="46"/>
      <c r="T1108" s="46"/>
      <c r="U1108" s="46"/>
      <c r="V1108" s="46"/>
      <c r="W1108" s="46"/>
    </row>
    <row r="1109">
      <c r="A1109" s="44"/>
      <c r="B1109" s="44"/>
      <c r="C1109" s="30"/>
      <c r="D1109" s="30"/>
      <c r="E1109" s="55"/>
      <c r="F1109" s="55"/>
      <c r="G1109" s="55"/>
      <c r="H1109" s="55"/>
      <c r="I1109" s="30"/>
      <c r="J1109" s="46"/>
      <c r="K1109" s="46"/>
      <c r="L1109" s="46"/>
      <c r="M1109" s="46"/>
      <c r="N1109" s="46"/>
      <c r="O1109" s="46"/>
      <c r="P1109" s="46"/>
      <c r="Q1109" s="46"/>
      <c r="R1109" s="46"/>
      <c r="S1109" s="46"/>
      <c r="T1109" s="46"/>
      <c r="U1109" s="46"/>
      <c r="V1109" s="46"/>
      <c r="W1109" s="46"/>
    </row>
    <row r="1110">
      <c r="A1110" s="44"/>
      <c r="B1110" s="44"/>
      <c r="C1110" s="30"/>
      <c r="D1110" s="30"/>
      <c r="E1110" s="55"/>
      <c r="F1110" s="55"/>
      <c r="G1110" s="55"/>
      <c r="H1110" s="55"/>
      <c r="I1110" s="30"/>
      <c r="J1110" s="46"/>
      <c r="K1110" s="46"/>
      <c r="L1110" s="46"/>
      <c r="M1110" s="46"/>
      <c r="N1110" s="46"/>
      <c r="O1110" s="46"/>
      <c r="P1110" s="46"/>
      <c r="Q1110" s="46"/>
      <c r="R1110" s="46"/>
      <c r="S1110" s="46"/>
      <c r="T1110" s="46"/>
      <c r="U1110" s="46"/>
      <c r="V1110" s="46"/>
      <c r="W1110" s="46"/>
    </row>
    <row r="1111">
      <c r="A1111" s="44"/>
      <c r="B1111" s="44"/>
      <c r="C1111" s="30"/>
      <c r="D1111" s="30"/>
      <c r="E1111" s="55"/>
      <c r="F1111" s="55"/>
      <c r="G1111" s="55"/>
      <c r="H1111" s="55"/>
      <c r="I1111" s="30"/>
      <c r="J1111" s="46"/>
      <c r="K1111" s="46"/>
      <c r="L1111" s="46"/>
      <c r="M1111" s="46"/>
      <c r="N1111" s="46"/>
      <c r="O1111" s="46"/>
      <c r="P1111" s="46"/>
      <c r="Q1111" s="46"/>
      <c r="R1111" s="46"/>
      <c r="S1111" s="46"/>
      <c r="T1111" s="46"/>
      <c r="U1111" s="46"/>
      <c r="V1111" s="46"/>
      <c r="W1111" s="46"/>
    </row>
    <row r="1112">
      <c r="A1112" s="44"/>
      <c r="B1112" s="44"/>
      <c r="C1112" s="30"/>
      <c r="D1112" s="30"/>
      <c r="E1112" s="55"/>
      <c r="F1112" s="55"/>
      <c r="G1112" s="55"/>
      <c r="H1112" s="55"/>
      <c r="I1112" s="30"/>
      <c r="J1112" s="46"/>
      <c r="K1112" s="46"/>
      <c r="L1112" s="46"/>
      <c r="M1112" s="46"/>
      <c r="N1112" s="46"/>
      <c r="O1112" s="46"/>
      <c r="P1112" s="46"/>
      <c r="Q1112" s="46"/>
      <c r="R1112" s="46"/>
      <c r="S1112" s="46"/>
      <c r="T1112" s="46"/>
      <c r="U1112" s="46"/>
      <c r="V1112" s="46"/>
      <c r="W1112" s="46"/>
    </row>
  </sheetData>
  <hyperlinks>
    <hyperlink r:id="rId2" ref="A1"/>
    <hyperlink r:id="rId3" ref="H1"/>
    <hyperlink r:id="rId4" ref="A8"/>
    <hyperlink r:id="rId5" ref="I8"/>
    <hyperlink r:id="rId6" ref="A9"/>
    <hyperlink r:id="rId7" ref="B9"/>
    <hyperlink r:id="rId8" ref="C9"/>
    <hyperlink r:id="rId9" ref="D9"/>
    <hyperlink r:id="rId10" ref="E9"/>
    <hyperlink r:id="rId11" ref="F9"/>
    <hyperlink r:id="rId12" ref="G9"/>
    <hyperlink r:id="rId13" ref="H9"/>
    <hyperlink r:id="rId14" ref="I9"/>
    <hyperlink r:id="rId15" ref="A10"/>
    <hyperlink r:id="rId16" ref="B10"/>
    <hyperlink r:id="rId17" ref="C10"/>
    <hyperlink r:id="rId18" ref="D10"/>
    <hyperlink r:id="rId19" ref="E10"/>
    <hyperlink r:id="rId20" ref="F10"/>
    <hyperlink r:id="rId21" ref="G10"/>
    <hyperlink r:id="rId22" ref="H10"/>
    <hyperlink r:id="rId23" ref="I10"/>
    <hyperlink r:id="rId24" ref="A11"/>
    <hyperlink r:id="rId25" ref="B11"/>
    <hyperlink r:id="rId26" ref="C11"/>
    <hyperlink r:id="rId27" ref="D11"/>
    <hyperlink r:id="rId28" ref="E11"/>
    <hyperlink r:id="rId29" ref="F11"/>
    <hyperlink r:id="rId30" ref="G11"/>
    <hyperlink r:id="rId31" ref="H11"/>
    <hyperlink r:id="rId32" ref="I11"/>
    <hyperlink r:id="rId33" ref="A12"/>
    <hyperlink r:id="rId34" ref="B12"/>
    <hyperlink r:id="rId35" ref="C12"/>
    <hyperlink r:id="rId36" ref="D12"/>
    <hyperlink r:id="rId37" ref="E12"/>
    <hyperlink r:id="rId38" ref="F12"/>
    <hyperlink r:id="rId39" ref="G12"/>
    <hyperlink r:id="rId40" ref="H12"/>
    <hyperlink r:id="rId41" ref="I12"/>
    <hyperlink r:id="rId42" ref="A13"/>
    <hyperlink r:id="rId43" ref="B13"/>
    <hyperlink r:id="rId44" ref="C13"/>
    <hyperlink r:id="rId45" ref="D13"/>
    <hyperlink r:id="rId46" ref="E13"/>
    <hyperlink r:id="rId47" ref="F13"/>
    <hyperlink r:id="rId48" ref="G13"/>
    <hyperlink r:id="rId49" ref="H13"/>
    <hyperlink r:id="rId50" ref="I13"/>
    <hyperlink r:id="rId51" ref="A16"/>
    <hyperlink display="谷歌文件永远是第一时间更新，可以通过梯子进行查询。&#10;腾讯文件仅用在转载，不具有任何的编辑功能。但腾讯文件因需要等转载人空闲时进行转档和网站发布审查，因此不会得到立即更新&#10;谷歌原始文件网址：&#10;https://docs.google.com/spreadsheets/d/1fDTga-dhWarmZjoPLGN9X85UqCQwDj1L9NpInVcVVLE/edit?gid=1857835699#gid=1857835699" location="'公告-Notice'!A1" ref="D16"/>
  </hyperlinks>
  <drawing r:id="rId52"/>
  <legacyDrawing r:id="rId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38"/>
    <col customWidth="1" min="2" max="2" width="18.5"/>
    <col customWidth="1" min="3" max="3" width="45.63"/>
    <col customWidth="1" min="4" max="4" width="23.75"/>
    <col customWidth="1" min="5" max="5" width="5.38"/>
    <col customWidth="1" min="6" max="6" width="18.5"/>
    <col customWidth="1" min="7" max="7" width="45.63"/>
    <col customWidth="1" min="8" max="8" width="24.88"/>
    <col customWidth="1" min="9" max="9" width="5.38"/>
    <col customWidth="1" min="10" max="10" width="18.5"/>
    <col customWidth="1" min="11" max="11" width="45.63"/>
    <col customWidth="1" min="12" max="12" width="29.0"/>
    <col customWidth="1" min="13" max="13" width="5.38"/>
    <col customWidth="1" min="14" max="14" width="18.5"/>
    <col customWidth="1" min="15" max="15" width="45.63"/>
    <col customWidth="1" min="16" max="16" width="27.63"/>
    <col customWidth="1" min="17" max="17" width="6.0"/>
    <col customWidth="1" min="18" max="18" width="18.5"/>
    <col customWidth="1" min="19" max="19" width="45.63"/>
    <col customWidth="1" min="20" max="20" width="33.63"/>
    <col customWidth="1" min="21" max="21" width="6.0"/>
    <col customWidth="1" min="22" max="22" width="18.5"/>
    <col customWidth="1" min="23" max="23" width="45.63"/>
    <col customWidth="1" min="24" max="24" width="33.63"/>
    <col customWidth="1" min="25" max="25" width="5.38"/>
    <col customWidth="1" min="26" max="26" width="18.5"/>
    <col customWidth="1" min="27" max="27" width="45.63"/>
    <col customWidth="1" min="28" max="28" width="33.63"/>
    <col customWidth="1" min="29" max="29" width="5.38"/>
    <col customWidth="1" min="30" max="30" width="18.5"/>
    <col customWidth="1" min="31" max="31" width="45.63"/>
    <col customWidth="1" min="32" max="32" width="33.63"/>
    <col customWidth="1" min="33" max="33" width="5.38"/>
    <col customWidth="1" min="34" max="34" width="18.5"/>
    <col customWidth="1" min="35" max="35" width="45.63"/>
    <col customWidth="1" min="36" max="41" width="23.75"/>
  </cols>
  <sheetData>
    <row r="1" ht="34.5" customHeight="1">
      <c r="A1" s="57" t="s">
        <v>213</v>
      </c>
      <c r="E1" s="57" t="s">
        <v>213</v>
      </c>
      <c r="I1" s="57" t="s">
        <v>214</v>
      </c>
      <c r="M1" s="5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Q1" s="58"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U1" s="59" t="str">
        <f>IFERROR(__xludf.DUMMYFUNCTION("GOOGLETRANSLATE(M1,""zh-tw"",""KO"")"),"공식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Y1" s="60" t="s">
        <v>215</v>
      </c>
      <c r="AC1" s="59"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AG1" s="61" t="s">
        <v>216</v>
      </c>
      <c r="AK1" s="57"/>
      <c r="AL1" s="57"/>
      <c r="AM1" s="57"/>
      <c r="AN1" s="57"/>
      <c r="AO1" s="57"/>
    </row>
    <row r="2" ht="34.5" customHeight="1">
      <c r="AK2" s="57"/>
      <c r="AL2" s="57"/>
      <c r="AM2" s="57"/>
      <c r="AN2" s="57"/>
      <c r="AO2" s="57"/>
    </row>
    <row r="3">
      <c r="A3" s="62" t="s">
        <v>217</v>
      </c>
      <c r="B3" s="63" t="s">
        <v>218</v>
      </c>
      <c r="C3" s="64" t="s">
        <v>219</v>
      </c>
      <c r="D3" s="65" t="s">
        <v>220</v>
      </c>
      <c r="E3" s="62" t="s">
        <v>217</v>
      </c>
      <c r="F3" s="63" t="str">
        <f>IFERROR(__xludf.DUMMYFUNCTION("GOOGLETRANSLATE(B3,""zh-tw"",""ja"")"),"SLG事件")</f>
        <v>SLG事件</v>
      </c>
      <c r="G3" s="64" t="str">
        <f>IFERROR(__xludf.DUMMYFUNCTION("GOOGLETRANSLATE(C3,""zh-tw"",""ja"")"),"説明する")</f>
        <v>説明する</v>
      </c>
      <c r="H3" s="65" t="str">
        <f>IFERROR(__xludf.DUMMYFUNCTION("GOOGLETRANSLATE(D3,""zh-tw"",""ja"")"),"結果")</f>
        <v>結果</v>
      </c>
      <c r="I3" s="62" t="s">
        <v>217</v>
      </c>
      <c r="J3" s="63" t="s">
        <v>221</v>
      </c>
      <c r="K3" s="64" t="s">
        <v>222</v>
      </c>
      <c r="L3" s="65" t="s">
        <v>223</v>
      </c>
      <c r="M3" s="66" t="str">
        <f>IFERROR(__xludf.DUMMYFUNCTION("GOOGLETRANSLATE(E3,""zh-tw"",""en"")"),"NO.")</f>
        <v>NO.</v>
      </c>
      <c r="N3" s="67" t="str">
        <f>IFERROR(__xludf.DUMMYFUNCTION("GOOGLETRANSLATE(B3,""zh-tw"",""zh"")"),"SLG事件")</f>
        <v>SLG事件</v>
      </c>
      <c r="O3" s="68" t="str">
        <f>IFERROR(__xludf.DUMMYFUNCTION("GOOGLETRANSLATE(C3,""zh-tw"",""zh"")"),"说明")</f>
        <v>说明</v>
      </c>
      <c r="P3" s="69" t="str">
        <f>IFERROR(__xludf.DUMMYFUNCTION("GOOGLETRANSLATE(D3,""zh-tw"",""zh"")"),"结果")</f>
        <v>结果</v>
      </c>
      <c r="Q3" s="66" t="s">
        <v>217</v>
      </c>
      <c r="R3" s="70" t="s">
        <v>224</v>
      </c>
      <c r="S3" s="71" t="s">
        <v>225</v>
      </c>
      <c r="T3" s="72" t="s">
        <v>226</v>
      </c>
      <c r="U3" s="66" t="s">
        <v>217</v>
      </c>
      <c r="V3" s="67" t="str">
        <f>IFERROR(__xludf.DUMMYFUNCTION("GOOGLETRANSLATE(B3,""zh-tw"",""KO"")"),"SLG 사건")</f>
        <v>SLG 사건</v>
      </c>
      <c r="W3" s="68" t="str">
        <f>IFERROR(__xludf.DUMMYFUNCTION("GOOGLETRANSLATE(C3,""zh-tw"",""KO"")"),"설명하다")</f>
        <v>설명하다</v>
      </c>
      <c r="X3" s="69" t="str">
        <f>IFERROR(__xludf.DUMMYFUNCTION("GOOGLETRANSLATE(D3,""zh-tw"",""KO"")"),"결과")</f>
        <v>결과</v>
      </c>
      <c r="Y3" s="62" t="s">
        <v>217</v>
      </c>
      <c r="Z3" s="63" t="s">
        <v>227</v>
      </c>
      <c r="AA3" s="64" t="s">
        <v>228</v>
      </c>
      <c r="AB3" s="65" t="s">
        <v>229</v>
      </c>
      <c r="AC3" s="62" t="s">
        <v>217</v>
      </c>
      <c r="AD3" s="70" t="s">
        <v>230</v>
      </c>
      <c r="AE3" s="64" t="s">
        <v>231</v>
      </c>
      <c r="AF3" s="72" t="s">
        <v>232</v>
      </c>
      <c r="AG3" s="73" t="s">
        <v>233</v>
      </c>
      <c r="AH3" s="74" t="s">
        <v>234</v>
      </c>
      <c r="AI3" s="75" t="s">
        <v>235</v>
      </c>
      <c r="AJ3" s="76" t="s">
        <v>236</v>
      </c>
      <c r="AK3" s="65"/>
      <c r="AL3" s="65"/>
      <c r="AM3" s="65"/>
      <c r="AN3" s="65"/>
      <c r="AO3" s="65"/>
    </row>
    <row r="4">
      <c r="A4" s="77"/>
      <c r="B4" s="78"/>
      <c r="C4" s="78"/>
      <c r="D4" s="78"/>
      <c r="E4" s="77"/>
      <c r="F4" s="78"/>
      <c r="G4" s="78"/>
      <c r="H4" s="78"/>
      <c r="I4" s="77"/>
      <c r="J4" s="78"/>
      <c r="K4" s="78"/>
      <c r="L4" s="78"/>
      <c r="M4" s="17"/>
      <c r="N4" s="46"/>
      <c r="O4" s="46"/>
      <c r="P4" s="78"/>
      <c r="Q4" s="46"/>
      <c r="R4" s="78"/>
      <c r="S4" s="46"/>
      <c r="T4" s="46"/>
      <c r="U4" s="46"/>
      <c r="V4" s="78"/>
      <c r="W4" s="78"/>
      <c r="X4" s="78"/>
      <c r="Y4" s="78"/>
      <c r="Z4" s="78"/>
      <c r="AA4" s="78"/>
      <c r="AB4" s="78"/>
      <c r="AC4" s="78"/>
      <c r="AD4" s="78"/>
      <c r="AE4" s="78"/>
      <c r="AF4" s="78"/>
      <c r="AG4" s="79"/>
      <c r="AH4" s="79"/>
      <c r="AI4" s="79"/>
      <c r="AJ4" s="79"/>
      <c r="AK4" s="78"/>
      <c r="AL4" s="78"/>
      <c r="AM4" s="78"/>
      <c r="AN4" s="78"/>
      <c r="AO4" s="78"/>
    </row>
    <row r="5">
      <c r="A5" s="80" t="s">
        <v>237</v>
      </c>
      <c r="B5" s="81" t="s">
        <v>238</v>
      </c>
      <c r="E5" s="80" t="s">
        <v>237</v>
      </c>
      <c r="F5" s="80" t="s">
        <v>239</v>
      </c>
      <c r="I5" s="80" t="s">
        <v>237</v>
      </c>
      <c r="J5" s="80" t="s">
        <v>240</v>
      </c>
      <c r="M5" s="80" t="s">
        <v>237</v>
      </c>
      <c r="N5" s="81" t="str">
        <f>IFERROR(__xludf.DUMMYFUNCTION("GOOGLETRANSLATE(B5,""zh-tw"",""zh"")"),"平时相关")</f>
        <v>平时相关</v>
      </c>
      <c r="Q5" s="80" t="s">
        <v>237</v>
      </c>
      <c r="R5" s="80" t="s">
        <v>241</v>
      </c>
      <c r="U5" s="80" t="s">
        <v>237</v>
      </c>
      <c r="V5" s="80" t="s">
        <v>242</v>
      </c>
      <c r="Y5" s="80" t="s">
        <v>237</v>
      </c>
      <c r="Z5" s="80" t="s">
        <v>243</v>
      </c>
      <c r="AC5" s="80" t="s">
        <v>237</v>
      </c>
      <c r="AD5" s="80" t="s">
        <v>244</v>
      </c>
      <c r="AG5" s="82" t="s">
        <v>237</v>
      </c>
      <c r="AH5" s="83" t="s">
        <v>245</v>
      </c>
      <c r="AK5" s="81"/>
      <c r="AL5" s="81"/>
      <c r="AM5" s="81"/>
      <c r="AN5" s="81"/>
      <c r="AO5" s="81"/>
    </row>
    <row r="6">
      <c r="A6" s="84">
        <v>1.0</v>
      </c>
      <c r="B6" s="85" t="s">
        <v>246</v>
      </c>
      <c r="C6" s="86" t="s">
        <v>247</v>
      </c>
      <c r="D6" s="87" t="s">
        <v>248</v>
      </c>
      <c r="E6" s="84">
        <v>1.0</v>
      </c>
      <c r="F6" s="85" t="s">
        <v>249</v>
      </c>
      <c r="G6" s="86" t="str">
        <f>IFERROR(__xludf.DUMMYFUNCTION("GOOGLETRANSLATE(C6,""zh-tw"",""ja"")"),"妹を抱きしめて")</f>
        <v>妹を抱きしめて</v>
      </c>
      <c r="H6" s="87" t="s">
        <v>250</v>
      </c>
      <c r="I6" s="84">
        <v>1.0</v>
      </c>
      <c r="J6" s="85" t="s">
        <v>251</v>
      </c>
      <c r="K6" s="86" t="s">
        <v>252</v>
      </c>
      <c r="L6" s="87" t="s">
        <v>253</v>
      </c>
      <c r="M6" s="84">
        <v>1.0</v>
      </c>
      <c r="N6" s="88" t="str">
        <f>IFERROR(__xludf.DUMMYFUNCTION("GOOGLETRANSLATE(B6,""zh-tw"",""zh"")"),"开局选项")</f>
        <v>开局选项</v>
      </c>
      <c r="O6" s="89" t="str">
        <f>IFERROR(__xludf.DUMMYFUNCTION("GOOGLETRANSLATE(C6,""zh-tw"",""zh"")"),"抱住妹妹")</f>
        <v>抱住妹妹</v>
      </c>
      <c r="P6" s="55" t="s">
        <v>254</v>
      </c>
      <c r="Q6" s="84">
        <v>1.0</v>
      </c>
      <c r="R6" s="85" t="s">
        <v>255</v>
      </c>
      <c r="S6" s="89" t="str">
        <f>IFERROR(__xludf.DUMMYFUNCTION("GOOGLETRANSLATE(C6,""zh-tw"",""es-MX"")"),"Abraza a mi hermana")</f>
        <v>Abraza a mi hermana</v>
      </c>
      <c r="T6" s="52" t="s">
        <v>256</v>
      </c>
      <c r="U6" s="84">
        <v>1.0</v>
      </c>
      <c r="V6" s="85" t="s">
        <v>257</v>
      </c>
      <c r="W6" s="86" t="s">
        <v>258</v>
      </c>
      <c r="X6" s="87" t="s">
        <v>259</v>
      </c>
      <c r="Y6" s="84">
        <v>1.0</v>
      </c>
      <c r="Z6" s="90" t="s">
        <v>260</v>
      </c>
      <c r="AA6" s="91" t="s">
        <v>261</v>
      </c>
      <c r="AB6" s="43" t="s">
        <v>262</v>
      </c>
      <c r="AC6" s="84">
        <v>1.0</v>
      </c>
      <c r="AD6" s="85" t="s">
        <v>263</v>
      </c>
      <c r="AE6" s="86" t="s">
        <v>264</v>
      </c>
      <c r="AF6" s="87" t="s">
        <v>265</v>
      </c>
      <c r="AG6" s="84">
        <v>1.0</v>
      </c>
      <c r="AH6" s="92" t="s">
        <v>266</v>
      </c>
      <c r="AI6" s="93" t="s">
        <v>267</v>
      </c>
      <c r="AJ6" s="94" t="s">
        <v>268</v>
      </c>
      <c r="AK6" s="87"/>
      <c r="AL6" s="87"/>
      <c r="AM6" s="87"/>
      <c r="AN6" s="87"/>
      <c r="AO6" s="87"/>
    </row>
    <row r="7">
      <c r="C7" s="86" t="s">
        <v>269</v>
      </c>
      <c r="D7" s="87" t="s">
        <v>270</v>
      </c>
      <c r="G7" s="86" t="s">
        <v>271</v>
      </c>
      <c r="H7" s="87" t="s">
        <v>272</v>
      </c>
      <c r="K7" s="86" t="s">
        <v>273</v>
      </c>
      <c r="L7" s="87" t="s">
        <v>274</v>
      </c>
      <c r="O7" s="89" t="str">
        <f>IFERROR(__xludf.DUMMYFUNCTION("GOOGLETRANSLATE(C7,""zh-tw"",""zh"")"),"没事-&gt;小时候")</f>
        <v>没事-&gt;小时候</v>
      </c>
      <c r="P7" s="55" t="str">
        <f>IFERROR(__xludf.DUMMYFUNCTION("GOOGLETRANSLATE(D7,""zh-tw"",""zh"")"),"获得随机部分武器")</f>
        <v>获得随机部分武器</v>
      </c>
      <c r="S7" s="89" t="str">
        <f>IFERROR(__xludf.DUMMYFUNCTION("GOOGLETRANSLATE(C7,""zh-tw"",""es-MX"")"),"Está bien -&gt; cuando era niño")</f>
        <v>Está bien -&gt; cuando era niño</v>
      </c>
      <c r="T7" s="52" t="s">
        <v>275</v>
      </c>
      <c r="W7" s="95" t="s">
        <v>276</v>
      </c>
      <c r="X7" s="52" t="s">
        <v>277</v>
      </c>
      <c r="AA7" s="91" t="s">
        <v>278</v>
      </c>
      <c r="AB7" s="43" t="s">
        <v>279</v>
      </c>
      <c r="AE7" s="86" t="s">
        <v>280</v>
      </c>
      <c r="AF7" s="87" t="s">
        <v>281</v>
      </c>
      <c r="AI7" s="93" t="s">
        <v>282</v>
      </c>
      <c r="AJ7" s="94" t="s">
        <v>283</v>
      </c>
      <c r="AK7" s="87"/>
      <c r="AL7" s="87"/>
      <c r="AM7" s="87"/>
      <c r="AN7" s="87"/>
      <c r="AO7" s="87"/>
    </row>
    <row r="8">
      <c r="C8" s="86" t="s">
        <v>284</v>
      </c>
      <c r="D8" s="87" t="s">
        <v>285</v>
      </c>
      <c r="G8" s="86" t="s">
        <v>286</v>
      </c>
      <c r="H8" s="87" t="s">
        <v>287</v>
      </c>
      <c r="K8" s="86" t="s">
        <v>288</v>
      </c>
      <c r="L8" s="87" t="s">
        <v>289</v>
      </c>
      <c r="O8" s="89" t="str">
        <f>IFERROR(__xludf.DUMMYFUNCTION("GOOGLETRANSLATE(C8,""zh-tw"",""zh"")"),"没事-&gt;牛排餐")</f>
        <v>没事-&gt;牛排餐</v>
      </c>
      <c r="P8" s="55" t="str">
        <f>IFERROR(__xludf.DUMMYFUNCTION("GOOGLETRANSLATE(D8,""zh-tw"",""zh"")"),"约定:肉料理")</f>
        <v>约定:肉料理</v>
      </c>
      <c r="S8" s="89" t="str">
        <f>IFERROR(__xludf.DUMMYFUNCTION("GOOGLETRANSLATE(C8,""zh-tw"",""es-MX"")"),"Nada -&gt; Comida con bistec")</f>
        <v>Nada -&gt; Comida con bistec</v>
      </c>
      <c r="T8" s="52" t="s">
        <v>290</v>
      </c>
      <c r="W8" s="95" t="s">
        <v>291</v>
      </c>
      <c r="X8" s="52" t="s">
        <v>292</v>
      </c>
      <c r="AA8" s="91" t="s">
        <v>293</v>
      </c>
      <c r="AB8" s="43" t="s">
        <v>294</v>
      </c>
      <c r="AE8" s="86" t="s">
        <v>295</v>
      </c>
      <c r="AF8" s="87" t="s">
        <v>296</v>
      </c>
      <c r="AI8" s="93" t="s">
        <v>297</v>
      </c>
      <c r="AJ8" s="94" t="s">
        <v>298</v>
      </c>
      <c r="AK8" s="87"/>
      <c r="AL8" s="87"/>
      <c r="AM8" s="87"/>
      <c r="AN8" s="87"/>
      <c r="AO8" s="87"/>
    </row>
    <row r="9">
      <c r="C9" s="86" t="s">
        <v>299</v>
      </c>
      <c r="D9" s="87" t="s">
        <v>300</v>
      </c>
      <c r="G9" s="86" t="s">
        <v>301</v>
      </c>
      <c r="H9" s="87" t="s">
        <v>302</v>
      </c>
      <c r="K9" s="86" t="s">
        <v>303</v>
      </c>
      <c r="L9" s="87" t="s">
        <v>304</v>
      </c>
      <c r="O9" s="89" t="str">
        <f>IFERROR(__xludf.DUMMYFUNCTION("GOOGLETRANSLATE(C9,""zh-tw"",""zh"")"),"没事-&gt;忘光光")</f>
        <v>没事-&gt;忘光光</v>
      </c>
      <c r="P9" s="87" t="str">
        <f>IFERROR(__xludf.DUMMYFUNCTION("GOOGLETRANSLATE(D9,""zh-tw"",""zh"")"),"获得状态:总有一天会想起")</f>
        <v>获得状态:总有一天会想起</v>
      </c>
      <c r="S9" s="89" t="str">
        <f>IFERROR(__xludf.DUMMYFUNCTION("GOOGLETRANSLATE(C9,""zh-tw"",""es-MX"")"),"Está bien -&gt; Lo olvidé todo")</f>
        <v>Está bien -&gt; Lo olvidé todo</v>
      </c>
      <c r="T9" s="96" t="s">
        <v>305</v>
      </c>
      <c r="W9" s="95" t="s">
        <v>306</v>
      </c>
      <c r="X9" s="52" t="s">
        <v>307</v>
      </c>
      <c r="AA9" s="91" t="s">
        <v>308</v>
      </c>
      <c r="AB9" s="97" t="s">
        <v>309</v>
      </c>
      <c r="AE9" s="86" t="s">
        <v>310</v>
      </c>
      <c r="AF9" s="87" t="s">
        <v>311</v>
      </c>
      <c r="AI9" s="93" t="s">
        <v>312</v>
      </c>
      <c r="AJ9" s="94" t="s">
        <v>313</v>
      </c>
      <c r="AK9" s="87"/>
      <c r="AL9" s="87"/>
      <c r="AM9" s="87"/>
      <c r="AN9" s="87"/>
      <c r="AO9" s="87"/>
    </row>
    <row r="10">
      <c r="A10" s="84">
        <v>2.0</v>
      </c>
      <c r="B10" s="85" t="s">
        <v>314</v>
      </c>
      <c r="C10" s="86" t="s">
        <v>315</v>
      </c>
      <c r="D10" s="87" t="s">
        <v>316</v>
      </c>
      <c r="E10" s="84">
        <v>2.0</v>
      </c>
      <c r="F10" s="85" t="s">
        <v>317</v>
      </c>
      <c r="G10" s="86" t="s">
        <v>318</v>
      </c>
      <c r="H10" s="87" t="s">
        <v>319</v>
      </c>
      <c r="I10" s="84">
        <v>2.0</v>
      </c>
      <c r="J10" s="85" t="s">
        <v>320</v>
      </c>
      <c r="K10" s="86" t="s">
        <v>321</v>
      </c>
      <c r="L10" s="87" t="s">
        <v>322</v>
      </c>
      <c r="M10" s="84">
        <v>2.0</v>
      </c>
      <c r="N10" s="85" t="str">
        <f>IFERROR(__xludf.DUMMYFUNCTION("GOOGLETRANSLATE(B10,""zh-tw"",""zh"")"),"第一次的探险")</f>
        <v>第一次的探险</v>
      </c>
      <c r="O10" s="89" t="str">
        <f>IFERROR(__xludf.DUMMYFUNCTION("GOOGLETRANSLATE(C10,""zh-tw"",""zh"")"),"第一次开始探险时，妹妹会有特殊的对话")</f>
        <v>第一次开始探险时，妹妹会有特殊的对话</v>
      </c>
      <c r="P10" s="55" t="str">
        <f>IFERROR(__xludf.DUMMYFUNCTION("GOOGLETRANSLATE(D10,""zh-tw"",""zh"")"),"特殊对话")</f>
        <v>特殊对话</v>
      </c>
      <c r="Q10" s="84">
        <v>2.0</v>
      </c>
      <c r="R10" s="88" t="str">
        <f>IFERROR(__xludf.DUMMYFUNCTION("GOOGLETRANSLATE(B10,""zh-tw"",""es-MX"")"),"Primera expedición")</f>
        <v>Primera expedición</v>
      </c>
      <c r="S10" s="86" t="str">
        <f>IFERROR(__xludf.DUMMYFUNCTION("GOOGLETRANSLATE(C10,""zh-tw"",""es-MX"")"),"La hermana menor tendrá un diálogo especial cuando la aventura comience por primera vez.")</f>
        <v>La hermana menor tendrá un diálogo especial cuando la aventura comience por primera vez.</v>
      </c>
      <c r="T10" s="52" t="s">
        <v>323</v>
      </c>
      <c r="U10" s="84">
        <v>2.0</v>
      </c>
      <c r="V10" s="88" t="s">
        <v>324</v>
      </c>
      <c r="W10" s="95" t="s">
        <v>325</v>
      </c>
      <c r="X10" s="52" t="s">
        <v>326</v>
      </c>
      <c r="Y10" s="84">
        <v>2.0</v>
      </c>
      <c r="Z10" s="90" t="s">
        <v>327</v>
      </c>
      <c r="AA10" s="91" t="s">
        <v>328</v>
      </c>
      <c r="AB10" s="97" t="s">
        <v>329</v>
      </c>
      <c r="AC10" s="84">
        <v>2.0</v>
      </c>
      <c r="AD10" s="85" t="s">
        <v>330</v>
      </c>
      <c r="AE10" s="86" t="s">
        <v>331</v>
      </c>
      <c r="AF10" s="87" t="s">
        <v>332</v>
      </c>
      <c r="AG10" s="84">
        <v>2.0</v>
      </c>
      <c r="AH10" s="92" t="s">
        <v>333</v>
      </c>
      <c r="AI10" s="93" t="s">
        <v>334</v>
      </c>
      <c r="AJ10" s="94" t="s">
        <v>335</v>
      </c>
      <c r="AK10" s="87"/>
      <c r="AL10" s="87"/>
      <c r="AM10" s="87"/>
      <c r="AN10" s="87"/>
      <c r="AO10" s="87"/>
    </row>
    <row r="11">
      <c r="A11" s="84">
        <v>3.0</v>
      </c>
      <c r="B11" s="85" t="s">
        <v>285</v>
      </c>
      <c r="C11" s="86" t="s">
        <v>336</v>
      </c>
      <c r="D11" s="87" t="s">
        <v>337</v>
      </c>
      <c r="E11" s="84">
        <v>3.0</v>
      </c>
      <c r="F11" s="85" t="s">
        <v>338</v>
      </c>
      <c r="G11" s="86" t="s">
        <v>339</v>
      </c>
      <c r="H11" s="87" t="s">
        <v>340</v>
      </c>
      <c r="I11" s="84">
        <v>3.0</v>
      </c>
      <c r="J11" s="85" t="s">
        <v>341</v>
      </c>
      <c r="K11" s="86" t="s">
        <v>342</v>
      </c>
      <c r="L11" s="87" t="s">
        <v>343</v>
      </c>
      <c r="M11" s="84">
        <v>3.0</v>
      </c>
      <c r="N11" s="85" t="str">
        <f>IFERROR(__xludf.DUMMYFUNCTION("GOOGLETRANSLATE(B11,""zh-tw"",""zh"")"),"约定:肉料理")</f>
        <v>约定:肉料理</v>
      </c>
      <c r="O11" s="86" t="str">
        <f>IFERROR(__xludf.DUMMYFUNCTION("GOOGLETRANSLATE(C11,""zh-tw"",""zh"")"),"制作肉料理")</f>
        <v>制作肉料理</v>
      </c>
      <c r="P11" s="55" t="str">
        <f>IFERROR(__xludf.DUMMYFUNCTION("GOOGLETRANSLATE(D11,""zh-tw"",""zh"")"),"获得""少女的笑容""装备")</f>
        <v>获得"少女的笑容"装备</v>
      </c>
      <c r="Q11" s="84">
        <v>3.0</v>
      </c>
      <c r="R11" s="88" t="str">
        <f>IFERROR(__xludf.DUMMYFUNCTION("GOOGLETRANSLATE(B11,""zh-tw"",""es-MX"")"),"Acuerdo: Platos de carne")</f>
        <v>Acuerdo: Platos de carne</v>
      </c>
      <c r="S11" s="89" t="str">
        <f>IFERROR(__xludf.DUMMYFUNCTION("GOOGLETRANSLATE(C11,""zh-tw"",""es-MX"")"),"Prepara platos de carne")</f>
        <v>Prepara platos de carne</v>
      </c>
      <c r="T11" s="52" t="s">
        <v>344</v>
      </c>
      <c r="U11" s="84">
        <v>3.0</v>
      </c>
      <c r="V11" s="98" t="s">
        <v>345</v>
      </c>
      <c r="W11" s="95" t="s">
        <v>346</v>
      </c>
      <c r="X11" s="87" t="s">
        <v>347</v>
      </c>
      <c r="Y11" s="84">
        <v>3.0</v>
      </c>
      <c r="Z11" s="99" t="s">
        <v>348</v>
      </c>
      <c r="AA11" s="91" t="s">
        <v>349</v>
      </c>
      <c r="AB11" s="43" t="s">
        <v>350</v>
      </c>
      <c r="AC11" s="84">
        <v>3.0</v>
      </c>
      <c r="AD11" s="85" t="s">
        <v>351</v>
      </c>
      <c r="AE11" s="86" t="s">
        <v>352</v>
      </c>
      <c r="AF11" s="87" t="s">
        <v>353</v>
      </c>
      <c r="AG11" s="84">
        <v>3.0</v>
      </c>
      <c r="AH11" s="92" t="s">
        <v>354</v>
      </c>
      <c r="AI11" s="93" t="s">
        <v>355</v>
      </c>
      <c r="AJ11" s="94" t="s">
        <v>356</v>
      </c>
      <c r="AK11" s="87"/>
      <c r="AL11" s="87"/>
      <c r="AM11" s="87"/>
      <c r="AN11" s="87"/>
      <c r="AO11" s="87"/>
    </row>
    <row r="12">
      <c r="A12" s="84">
        <v>4.0</v>
      </c>
      <c r="B12" s="85" t="s">
        <v>357</v>
      </c>
      <c r="C12" s="86" t="s">
        <v>358</v>
      </c>
      <c r="D12" s="87" t="s">
        <v>359</v>
      </c>
      <c r="E12" s="84">
        <v>4.0</v>
      </c>
      <c r="F12" s="85" t="s">
        <v>360</v>
      </c>
      <c r="G12" s="86" t="str">
        <f>IFERROR(__xludf.DUMMYFUNCTION("GOOGLETRANSLATE(C12,""zh-tw"",""ja"")"),"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f>
        <v>30日以内に致命的なダメージ（死亡）を受けることはできません。ポータルを利用して早期帰還するか、期限切れ時に帰還する必要があります。マップ開始地点の下にある早期帰還リンクの使用は無効です。旅が中断された場合は、再度蓄積を開始する必要があります。</v>
      </c>
      <c r="H12" s="87" t="s">
        <v>361</v>
      </c>
      <c r="I12" s="84">
        <v>4.0</v>
      </c>
      <c r="J12" s="85" t="s">
        <v>362</v>
      </c>
      <c r="K12" s="86" t="s">
        <v>363</v>
      </c>
      <c r="L12" s="87" t="s">
        <v>364</v>
      </c>
      <c r="M12" s="84">
        <v>4.0</v>
      </c>
      <c r="N12" s="85" t="str">
        <f>IFERROR(__xludf.DUMMYFUNCTION("GOOGLETRANSLATE(B12,""zh-tw"",""zh"")"),"约定:别受伤")</f>
        <v>约定:别受伤</v>
      </c>
      <c r="O12" s="89" t="str">
        <f>IFERROR(__xludf.DUMMYFUNCTION("GOOGLETRANSLATE(C12,""zh-tw"",""zh"")"),"30天内不可受到致命伤害(死亡)，需使用传送门提前回家或时间到时回家，使用地图起始处下方的提前回家无效，若中断就须重新累计。")</f>
        <v>30天内不可受到致命伤害(死亡)，需使用传送门提前回家或时间到时回家，使用地图起始处下方的提前回家无效，若中断就须重新累计。</v>
      </c>
      <c r="P12" s="87" t="str">
        <f>IFERROR(__xludf.DUMMYFUNCTION("GOOGLETRANSLATE(D12,""zh-tw"",""zh"")"),"获得""什么都行券""道具
后续未实装")</f>
        <v>获得"什么都行券"道具
后续未实装</v>
      </c>
      <c r="Q12" s="84">
        <v>4.0</v>
      </c>
      <c r="R12" s="85" t="str">
        <f>IFERROR(__xludf.DUMMYFUNCTION("GOOGLETRANSLATE(B12,""zh-tw"",""es-MX"")"),"Acuerdo: No te lastimes")</f>
        <v>Acuerdo: No te lastimes</v>
      </c>
      <c r="S12" s="89" t="s">
        <v>365</v>
      </c>
      <c r="T12" s="52" t="s">
        <v>366</v>
      </c>
      <c r="U12" s="84">
        <v>4.0</v>
      </c>
      <c r="V12" s="85" t="str">
        <f>IFERROR(__xludf.DUMMYFUNCTION("GOOGLETRANSLATE(B12,""zh-tw"",""KO"")"),"동의: 다치지 마세요")</f>
        <v>동의: 다치지 마세요</v>
      </c>
      <c r="W12" s="86" t="s">
        <v>367</v>
      </c>
      <c r="X12" s="87" t="s">
        <v>368</v>
      </c>
      <c r="Y12" s="84">
        <v>4.0</v>
      </c>
      <c r="Z12" s="90" t="s">
        <v>369</v>
      </c>
      <c r="AA12" s="91" t="s">
        <v>370</v>
      </c>
      <c r="AB12" s="43" t="s">
        <v>371</v>
      </c>
      <c r="AC12" s="84">
        <v>4.0</v>
      </c>
      <c r="AD12" s="85" t="s">
        <v>372</v>
      </c>
      <c r="AE12" s="86" t="s">
        <v>373</v>
      </c>
      <c r="AF12" s="87" t="s">
        <v>374</v>
      </c>
      <c r="AG12" s="84">
        <v>4.0</v>
      </c>
      <c r="AH12" s="92" t="s">
        <v>375</v>
      </c>
      <c r="AI12" s="93" t="s">
        <v>376</v>
      </c>
      <c r="AJ12" s="94" t="s">
        <v>377</v>
      </c>
      <c r="AK12" s="87"/>
      <c r="AL12" s="87"/>
      <c r="AM12" s="87"/>
      <c r="AN12" s="87"/>
      <c r="AO12" s="87"/>
    </row>
    <row r="13">
      <c r="A13" s="84">
        <v>5.0</v>
      </c>
      <c r="B13" s="85" t="s">
        <v>378</v>
      </c>
      <c r="C13" s="86" t="s">
        <v>379</v>
      </c>
      <c r="D13" s="87" t="s">
        <v>380</v>
      </c>
      <c r="E13" s="84">
        <v>5.0</v>
      </c>
      <c r="F13" s="85" t="s">
        <v>381</v>
      </c>
      <c r="G13" s="86" t="s">
        <v>382</v>
      </c>
      <c r="H13" s="87" t="s">
        <v>383</v>
      </c>
      <c r="I13" s="84">
        <v>5.0</v>
      </c>
      <c r="J13" s="85" t="s">
        <v>384</v>
      </c>
      <c r="K13" s="95" t="s">
        <v>385</v>
      </c>
      <c r="L13" s="52" t="s">
        <v>386</v>
      </c>
      <c r="M13" s="84">
        <v>5.0</v>
      </c>
      <c r="N13" s="85" t="str">
        <f>IFERROR(__xludf.DUMMYFUNCTION("GOOGLETRANSLATE(B13,""zh-tw"",""zh"")"),"约定:草莓牛奶")</f>
        <v>约定:草莓牛奶</v>
      </c>
      <c r="O13" s="89" t="str">
        <f>IFERROR(__xludf.DUMMYFUNCTION("GOOGLETRANSLATE(C13,""zh-tw"",""zh"")"),"当想做出某些妹妹不想做的事情时，可以贿络妹妹1、10、100瓶草莓牛奶，数值越高妹妹越容易答应(此约定的机制类似于""什么都行券"")")</f>
        <v>当想做出某些妹妹不想做的事情时，可以贿络妹妹1、10、100瓶草莓牛奶，数值越高妹妹越容易答应(此约定的机制类似于"什么都行券")</v>
      </c>
      <c r="P13" s="87" t="str">
        <f>IFERROR(__xludf.DUMMYFUNCTION("GOOGLETRANSLATE(D13,""zh-tw"",""zh"")"),"需要在一日之内达成约定的承诺，否则妹妹的❤️ 会转为🖤
(未实装)")</f>
        <v>需要在一日之内达成约定的承诺，否则妹妹的❤️ 会转为🖤
(未实装)</v>
      </c>
      <c r="Q13" s="84">
        <v>5.0</v>
      </c>
      <c r="R13" s="85" t="s">
        <v>387</v>
      </c>
      <c r="S13" s="100" t="s">
        <v>388</v>
      </c>
      <c r="T13" s="101" t="s">
        <v>389</v>
      </c>
      <c r="U13" s="84">
        <v>5.0</v>
      </c>
      <c r="V13" s="88" t="str">
        <f>IFERROR(__xludf.DUMMYFUNCTION("GOOGLETRANSLATE(B13,""zh-tw"",""KO"")"),"계약: 딸기우유")</f>
        <v>계약: 딸기우유</v>
      </c>
      <c r="W13" s="89" t="str">
        <f>IFERROR(__xludf.DUMMYFUNCTION("GOOGLETRANSLATE(C13,""zh-tw"",""KO"")"),"언니가 하기 싫어하는 일을 해주고 싶을 때, 딸기우유 1병, 10병, 100병으로 뇌물을 줄 수 있습니다. 뇌물 액수가 높을수록 언니가 동의할 가능성이 높아집니다 (이 방식은 ""무엇이든 가능"" 쿠폰과 비슷합니다).")</f>
        <v>언니가 하기 싫어하는 일을 해주고 싶을 때, 딸기우유 1병, 10병, 100병으로 뇌물을 줄 수 있습니다. 뇌물 액수가 높을수록 언니가 동의할 가능성이 높아집니다 (이 방식은 "무엇이든 가능" 쿠폰과 비슷합니다).</v>
      </c>
      <c r="X13" s="55" t="str">
        <f>IFERROR(__xludf.DUMMYFUNCTION("GOOGLETRANSLATE(D13,""zh-tw"",""KO"")"),"약속한 것은 하루 안에 이루어져야 합니다. 그렇지 않으면 자매의 마음이 하트로 변할 것입니다.
(아직 구현되지 않음)")</f>
        <v>약속한 것은 하루 안에 이루어져야 합니다. 그렇지 않으면 자매의 마음이 하트로 변할 것입니다.
(아직 구현되지 않음)</v>
      </c>
      <c r="Y13" s="84">
        <v>5.0</v>
      </c>
      <c r="Z13" s="99" t="s">
        <v>390</v>
      </c>
      <c r="AA13" s="91" t="s">
        <v>391</v>
      </c>
      <c r="AB13" s="43" t="s">
        <v>392</v>
      </c>
      <c r="AC13" s="84">
        <v>5.0</v>
      </c>
      <c r="AD13" s="85" t="s">
        <v>393</v>
      </c>
      <c r="AE13" s="86" t="s">
        <v>394</v>
      </c>
      <c r="AF13" s="87" t="s">
        <v>395</v>
      </c>
      <c r="AG13" s="84">
        <v>5.0</v>
      </c>
      <c r="AH13" s="92" t="s">
        <v>396</v>
      </c>
      <c r="AI13" s="100" t="s">
        <v>397</v>
      </c>
      <c r="AJ13" s="94" t="s">
        <v>398</v>
      </c>
      <c r="AK13" s="87"/>
      <c r="AL13" s="87"/>
      <c r="AM13" s="87"/>
      <c r="AN13" s="87"/>
      <c r="AO13" s="87"/>
    </row>
    <row r="14" ht="69.0" customHeight="1">
      <c r="A14" s="84">
        <v>6.0</v>
      </c>
      <c r="B14" s="85" t="s">
        <v>399</v>
      </c>
      <c r="C14" s="86" t="s">
        <v>400</v>
      </c>
      <c r="D14" s="87" t="s">
        <v>401</v>
      </c>
      <c r="E14" s="84">
        <v>6.0</v>
      </c>
      <c r="F14" s="85" t="s">
        <v>402</v>
      </c>
      <c r="G14" s="86" t="s">
        <v>403</v>
      </c>
      <c r="H14" s="87" t="s">
        <v>404</v>
      </c>
      <c r="I14" s="84">
        <v>6.0</v>
      </c>
      <c r="J14" s="85" t="s">
        <v>405</v>
      </c>
      <c r="K14" s="86" t="s">
        <v>406</v>
      </c>
      <c r="L14" s="87" t="s">
        <v>407</v>
      </c>
      <c r="M14" s="84">
        <v>6.0</v>
      </c>
      <c r="N14" s="85" t="str">
        <f>IFERROR(__xludf.DUMMYFUNCTION("GOOGLETRANSLATE(B14,""zh-tw"",""zh"")"),"第一次带饮料")</f>
        <v>第一次带饮料</v>
      </c>
      <c r="O14" s="89" t="s">
        <v>408</v>
      </c>
      <c r="P14" s="55" t="str">
        <f>IFERROR(__xludf.DUMMYFUNCTION("GOOGLETRANSLATE(D14,""zh-tw"",""zh"")"),"解锁""喝点什么""选项")</f>
        <v>解锁"喝点什么"选项</v>
      </c>
      <c r="Q14" s="84">
        <v>6.0</v>
      </c>
      <c r="R14" s="88" t="str">
        <f>IFERROR(__xludf.DUMMYFUNCTION("GOOGLETRANSLATE(B14,""zh-tw"",""es-MX"")"),"Primera vez que traigo bebidas")</f>
        <v>Primera vez que traigo bebidas</v>
      </c>
      <c r="S14" s="89" t="str">
        <f>IFERROR(__xludf.DUMMYFUNCTION("GOOGLETRANSLATE(C14,""zh-tw"",""es-MX"")"),"Hay un diálogo especial cuando llevas una bebida a casa por primera vez. Hay otro diálogo si rompes accidentalmente la máquina expendedora.")</f>
        <v>Hay un diálogo especial cuando llevas una bebida a casa por primera vez. Hay otro diálogo si rompes accidentalmente la máquina expendedora.</v>
      </c>
      <c r="T14" s="52" t="s">
        <v>409</v>
      </c>
      <c r="U14" s="84">
        <v>6.0</v>
      </c>
      <c r="V14" s="85" t="s">
        <v>410</v>
      </c>
      <c r="W14" s="95" t="s">
        <v>411</v>
      </c>
      <c r="X14" s="87" t="s">
        <v>412</v>
      </c>
      <c r="Y14" s="84">
        <v>6.0</v>
      </c>
      <c r="Z14" s="99" t="s">
        <v>413</v>
      </c>
      <c r="AA14" s="102" t="s">
        <v>414</v>
      </c>
      <c r="AB14" s="44" t="s">
        <v>415</v>
      </c>
      <c r="AC14" s="84">
        <v>6.0</v>
      </c>
      <c r="AD14" s="85" t="s">
        <v>416</v>
      </c>
      <c r="AE14" s="86" t="s">
        <v>417</v>
      </c>
      <c r="AF14" s="87" t="s">
        <v>418</v>
      </c>
      <c r="AG14" s="84">
        <v>6.0</v>
      </c>
      <c r="AH14" s="92" t="s">
        <v>419</v>
      </c>
      <c r="AI14" s="93" t="s">
        <v>420</v>
      </c>
      <c r="AJ14" s="94" t="s">
        <v>421</v>
      </c>
      <c r="AK14" s="87"/>
      <c r="AL14" s="87"/>
      <c r="AM14" s="87"/>
      <c r="AN14" s="87"/>
      <c r="AO14" s="87"/>
    </row>
    <row r="15">
      <c r="A15" s="84">
        <v>7.0</v>
      </c>
      <c r="B15" s="85" t="s">
        <v>422</v>
      </c>
      <c r="C15" s="86" t="s">
        <v>423</v>
      </c>
      <c r="D15" s="87" t="s">
        <v>424</v>
      </c>
      <c r="E15" s="84">
        <v>7.0</v>
      </c>
      <c r="F15" s="85" t="s">
        <v>425</v>
      </c>
      <c r="G15" s="86" t="s">
        <v>426</v>
      </c>
      <c r="H15" s="87" t="s">
        <v>427</v>
      </c>
      <c r="I15" s="84">
        <v>7.0</v>
      </c>
      <c r="J15" s="85" t="s">
        <v>428</v>
      </c>
      <c r="K15" s="86" t="s">
        <v>429</v>
      </c>
      <c r="L15" s="87" t="s">
        <v>430</v>
      </c>
      <c r="M15" s="84">
        <v>7.0</v>
      </c>
      <c r="N15" s="85" t="str">
        <f>IFERROR(__xludf.DUMMYFUNCTION("GOOGLETRANSLATE(B15,""zh-tw"",""zh"")"),"第一次死亡")</f>
        <v>第一次死亡</v>
      </c>
      <c r="O15" s="86" t="str">
        <f>IFERROR(__xludf.DUMMYFUNCTION("GOOGLETRANSLATE(C15,""zh-tw"",""zh"")"),"第一次死亡后，吃到妹妹料理")</f>
        <v>第一次死亡后，吃到妹妹料理</v>
      </c>
      <c r="P15" s="55" t="s">
        <v>431</v>
      </c>
      <c r="Q15" s="84">
        <v>7.0</v>
      </c>
      <c r="R15" s="88" t="s">
        <v>432</v>
      </c>
      <c r="S15" s="89" t="str">
        <f>IFERROR(__xludf.DUMMYFUNCTION("GOOGLETRANSLATE(C15,""zh-tw"",""es-MX"")"),"Tras morir por primera vez, comí la comida de mi hermana.")</f>
        <v>Tras morir por primera vez, comí la comida de mi hermana.</v>
      </c>
      <c r="T15" s="55" t="str">
        <f>IFERROR(__xludf.DUMMYFUNCTION("GOOGLETRANSLATE(D15,""zh-tw"",""es-MX"")"),"*Evento único* Una secuencia onírica especial que te da la opción de pedirle a tu hermana que cocine para ti.")</f>
        <v>*Evento único* Una secuencia onírica especial que te da la opción de pedirle a tu hermana que cocine para ti.</v>
      </c>
      <c r="U15" s="84">
        <v>7.0</v>
      </c>
      <c r="V15" s="88" t="s">
        <v>433</v>
      </c>
      <c r="W15" s="95" t="s">
        <v>434</v>
      </c>
      <c r="X15" s="52" t="s">
        <v>435</v>
      </c>
      <c r="Y15" s="84">
        <v>7.0</v>
      </c>
      <c r="Z15" s="90" t="s">
        <v>436</v>
      </c>
      <c r="AA15" s="102" t="s">
        <v>437</v>
      </c>
      <c r="AB15" s="97" t="s">
        <v>438</v>
      </c>
      <c r="AC15" s="84">
        <v>7.0</v>
      </c>
      <c r="AD15" s="85" t="s">
        <v>439</v>
      </c>
      <c r="AE15" s="86" t="s">
        <v>440</v>
      </c>
      <c r="AF15" s="87" t="s">
        <v>441</v>
      </c>
      <c r="AG15" s="84">
        <v>7.0</v>
      </c>
      <c r="AH15" s="92" t="s">
        <v>442</v>
      </c>
      <c r="AI15" s="100" t="s">
        <v>443</v>
      </c>
      <c r="AJ15" s="94" t="s">
        <v>444</v>
      </c>
      <c r="AK15" s="87"/>
      <c r="AL15" s="87"/>
      <c r="AM15" s="87"/>
      <c r="AN15" s="87"/>
      <c r="AO15" s="87"/>
    </row>
    <row r="16">
      <c r="A16" s="84">
        <v>8.0</v>
      </c>
      <c r="B16" s="85" t="s">
        <v>445</v>
      </c>
      <c r="C16" s="86" t="s">
        <v>446</v>
      </c>
      <c r="D16" s="87" t="s">
        <v>447</v>
      </c>
      <c r="E16" s="84">
        <v>8.0</v>
      </c>
      <c r="F16" s="85" t="s">
        <v>448</v>
      </c>
      <c r="G16" s="86" t="s">
        <v>449</v>
      </c>
      <c r="H16" s="87" t="s">
        <v>450</v>
      </c>
      <c r="I16" s="84">
        <v>8.0</v>
      </c>
      <c r="J16" s="85" t="s">
        <v>451</v>
      </c>
      <c r="K16" s="86" t="s">
        <v>452</v>
      </c>
      <c r="L16" s="52" t="s">
        <v>453</v>
      </c>
      <c r="M16" s="84">
        <v>8.0</v>
      </c>
      <c r="N16" s="85" t="str">
        <f>IFERROR(__xludf.DUMMYFUNCTION("GOOGLETRANSLATE(B16,""zh-tw"",""zh"")"),"妹妹的料理")</f>
        <v>妹妹的料理</v>
      </c>
      <c r="O16" s="89" t="str">
        <f>IFERROR(__xludf.DUMMYFUNCTION("GOOGLETRANSLATE(C16,""zh-tw"",""zh"")"),"通过选项去优先抉择妹妹煮出来的食物种类。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f>
        <v>通过选项去优先抉择妹妹煮出来的食物种类。
并且另外有部分规则：
1.于剩余的食材中随机选择
2.妹妹不会选择辣椒和垃圾
3.一般情况下肉类优先度较高
4.参照平时的食谱产生对应的料理
5.机率发动"大奇迹术"：就是制作失败，也可能产生成功的料理
6.哥哥的幸运值能提高妹妹的"大奇迹术"发动率
7.妹妹心情差的时候不会做饭
8.高紫心状态，妹妹会偷偷加料(未实装)</v>
      </c>
      <c r="P16" s="87" t="str">
        <f>IFERROR(__xludf.DUMMYFUNCTION("GOOGLETRANSLATE(D16,""zh-tw"",""zh"")"),"产生料理
P.S.想要吃掉你的选项，未实装")</f>
        <v>产生料理
P.S.想要吃掉你的选项，未实装</v>
      </c>
      <c r="Q16" s="84">
        <v>8.0</v>
      </c>
      <c r="R16" s="88" t="str">
        <f>IFERROR(__xludf.DUMMYFUNCTION("GOOGLETRANSLATE(B16,""zh-tw"",""es-MX"")"),"La cocina de mi hermana")</f>
        <v>La cocina de mi hermana</v>
      </c>
      <c r="S16" s="89" t="str">
        <f>IFERROR(__xludf.DUMMYFUNCTION("GOOGLETRANSLATE(C16,""zh-tw"",""es-MX"")"),"La elección del plato que cocinará tu hermana depende de las opciones disponibles.
Además, existen algunas reglas:
1. Selección aleatoria de los ingredientes restantes.
2. Tu hermana no elegirá chiles ni comida chatarra.
3. La carne suele tener priori"&amp;"dad.
4. El plato se preparará según las recetas habituales.
5. Existe la posibilidad de que ocurra un ""Gran Milagro"": incluso si la cocción falla, el plato puede resultar exitoso.
6. La suerte de tu hermano aumenta la probabilidad de que tu hermana o"&amp;"curra un ""Gran Milagro"".
7. Tu hermana no cocinará si está de mal humor.
8. Cuando tenga muchos corazones morados, tu hermana añadirá ingredientes en secreto (función aún no implementada).")</f>
        <v>La elección del plato que cocinará tu hermana depende de las opciones disponibles.
Además, existen algunas reglas:
1. Selección aleatoria de los ingredientes restantes.
2. Tu hermana no elegirá chiles ni comida chatarra.
3. La carne suele tener prioridad.
4. El plato se preparará según las recetas habituales.
5. Existe la posibilidad de que ocurra un "Gran Milagro": incluso si la cocción falla, el plato puede resultar exitoso.
6. La suerte de tu hermano aumenta la probabilidad de que tu hermana ocurra un "Gran Milagro".
7. Tu hermana no cocinará si está de mal humor.
8. Cuando tenga muchos corazones morados, tu hermana añadirá ingredientes en secreto (función aún no implementada).</v>
      </c>
      <c r="T16" s="55" t="str">
        <f>IFERROR(__xludf.DUMMYFUNCTION("GOOGLETRANSLATE(D16,""zh-tw"",""es-MX"")"),"Se generará comida.
P. D.: La opción de ""querer comerte"" aún no está implementada.")</f>
        <v>Se generará comida.
P. D.: La opción de "querer comerte" aún no está implementada.</v>
      </c>
      <c r="U16" s="84">
        <v>8.0</v>
      </c>
      <c r="V16" s="88" t="str">
        <f>IFERROR(__xludf.DUMMYFUNCTION("GOOGLETRANSLATE(B16,""zh-tw"",""KO"")"),"언니가 요리해요")</f>
        <v>언니가 요리해요</v>
      </c>
      <c r="W16" s="89" t="str">
        <f>IFERROR(__xludf.DUMMYFUNCTION("GOOGLETRANSLATE(C16,""zh-tw"",""KO"")"),"여동생이 어떤 음식을 요리할지는 제공된 옵션에 따라 결정됩니다.
또한 몇 가지 규칙이 있습니다.
1. 남은 재료 중에서 무작위로 선택합니다.
2. 여동생은 고추나 정크 푸드를 선택하지 않습니다.
3. 일반적으로 고기가 더 높은 우선순위를 갖습니다.
4. 요리는 일반적인 레시피에 따라 준비됩니다.
5. ""대기적""이 발동될 가능성이 있습니다. 요리가 실패하더라도 요리가 성공할 수 있습니다.
6. 오빠의 행운 능력치는 여동생이 ""대기적""을"&amp;" 발동할 확률을 높입니다.
7. 여동생은 기분이 좋지 않을 때는 요리하지 않습니다.
8. 여동생의 퍼플 하트가 높으면 여동생이 몰래 재료를 추가합니다(아직 구현되지 않음).")</f>
        <v>여동생이 어떤 음식을 요리할지는 제공된 옵션에 따라 결정됩니다.
또한 몇 가지 규칙이 있습니다.
1. 남은 재료 중에서 무작위로 선택합니다.
2. 여동생은 고추나 정크 푸드를 선택하지 않습니다.
3. 일반적으로 고기가 더 높은 우선순위를 갖습니다.
4. 요리는 일반적인 레시피에 따라 준비됩니다.
5. "대기적"이 발동될 가능성이 있습니다. 요리가 실패하더라도 요리가 성공할 수 있습니다.
6. 오빠의 행운 능력치는 여동생이 "대기적"을 발동할 확률을 높입니다.
7. 여동생은 기분이 좋지 않을 때는 요리하지 않습니다.
8. 여동생의 퍼플 하트가 높으면 여동생이 몰래 재료를 추가합니다(아직 구현되지 않음).</v>
      </c>
      <c r="X16" s="55" t="str">
        <f>IFERROR(__xludf.DUMMYFUNCTION("GOOGLETRANSLATE(D16,""zh-tw"",""KO"")"),"음식이 생성됩니다.
추신: ""당신을 먹고 싶어"" 옵션은 아직 구현되지 않았습니다.")</f>
        <v>음식이 생성됩니다.
추신: "당신을 먹고 싶어" 옵션은 아직 구현되지 않았습니다.</v>
      </c>
      <c r="Y16" s="84">
        <v>8.0</v>
      </c>
      <c r="Z16" s="103" t="str">
        <f>IFERROR(__xludf.DUMMYFUNCTION("IF(J16="""", """", GOOGLETRANSLATE(
J16,""en"",""ru""))"),"Кулинария Имото")</f>
        <v>Кулинария Имото</v>
      </c>
      <c r="AA16" s="104" t="str">
        <f>IFERROR(__xludf.DUMMYFUNCTION("IF(K16="""", """", GOOGLETRANSLATE(K16,""en"",""RU""))"),"Когда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выз"&amp;"вать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"&amp;"ингредиент, если у неё много фиолетовых сердец.")</f>
        <v>Когда вы позволяете Имото готовить, она будет делать следующее:
1. Случайно выбирать любой доступный ингредиент.
2. Никогда не выбирать чили или вредные ингредиенты.
3. Отдавать предпочтение мясу.
4. Готовить еду по стандартным рецептам.
5. Имеет шанс вызвать «Великое чудо» при приготовлении, даже если ингредиенты предназначены для неудачного блюда.
6. Удача Онии-чана может увеличить шанс активации «Великого чуда».
7. Не будет готовить, если у неё плохое настроение.
8. Может тайно добавить дополнительный ингредиент, если у неё много фиолетовых сердец.</v>
      </c>
      <c r="AB16" s="44" t="str">
        <f>IFERROR(__xludf.DUMMYFUNCTION("IF(L16="""", """", GOOGLETRANSLATE(L16, ""en"", ""ru""))
"),"Пусть Имото готовит.
P.S.: Возможность выбора «Съесть тебя!» пока не реализована.")</f>
        <v>Пусть Имото готовит.
P.S.: Возможность выбора «Съесть тебя!» пока не реализована.</v>
      </c>
      <c r="AC16" s="84">
        <v>8.0</v>
      </c>
      <c r="AD16" s="85" t="s">
        <v>454</v>
      </c>
      <c r="AE16" s="86" t="s">
        <v>455</v>
      </c>
      <c r="AF16" s="87" t="s">
        <v>456</v>
      </c>
      <c r="AG16" s="84">
        <v>8.0</v>
      </c>
      <c r="AH16" s="105" t="s">
        <v>457</v>
      </c>
      <c r="AI16" s="93" t="s">
        <v>458</v>
      </c>
      <c r="AJ16" s="101" t="s">
        <v>459</v>
      </c>
      <c r="AK16" s="87"/>
      <c r="AL16" s="87"/>
      <c r="AM16" s="87"/>
      <c r="AN16" s="87"/>
      <c r="AO16" s="87"/>
    </row>
    <row r="17">
      <c r="A17" s="84">
        <v>9.0</v>
      </c>
      <c r="B17" s="85" t="s">
        <v>460</v>
      </c>
      <c r="C17" s="86" t="s">
        <v>461</v>
      </c>
      <c r="D17" s="87" t="s">
        <v>462</v>
      </c>
      <c r="E17" s="84">
        <v>9.0</v>
      </c>
      <c r="F17" s="85" t="s">
        <v>463</v>
      </c>
      <c r="G17" s="86" t="s">
        <v>464</v>
      </c>
      <c r="H17" s="87" t="s">
        <v>465</v>
      </c>
      <c r="I17" s="84">
        <v>9.0</v>
      </c>
      <c r="J17" s="85" t="s">
        <v>466</v>
      </c>
      <c r="K17" s="86" t="s">
        <v>467</v>
      </c>
      <c r="L17" s="87" t="s">
        <v>468</v>
      </c>
      <c r="M17" s="84">
        <v>9.0</v>
      </c>
      <c r="N17" s="85" t="str">
        <f>IFERROR(__xludf.DUMMYFUNCTION("GOOGLETRANSLATE(B17,""zh-tw"",""zh"")"),"制作辣料理")</f>
        <v>制作辣料理</v>
      </c>
      <c r="O17" s="89" t="str">
        <f>IFERROR(__xludf.DUMMYFUNCTION("GOOGLETRANSLATE(C17,""zh-tw"",""zh"")"),"妹妹被辣哭")</f>
        <v>妹妹被辣哭</v>
      </c>
      <c r="P17" s="87" t="str">
        <f>IFERROR(__xludf.DUMMYFUNCTION("GOOGLETRANSLATE(D17,""zh-tw"",""zh"")"),"触发被辣哭的剧情")</f>
        <v>触发被辣哭的剧情</v>
      </c>
      <c r="Q17" s="84">
        <v>9.0</v>
      </c>
      <c r="R17" s="85" t="s">
        <v>469</v>
      </c>
      <c r="S17" s="86" t="s">
        <v>470</v>
      </c>
      <c r="T17" s="55" t="s">
        <v>471</v>
      </c>
      <c r="U17" s="84">
        <v>9.0</v>
      </c>
      <c r="V17" s="88" t="str">
        <f>IFERROR(__xludf.DUMMYFUNCTION("GOOGLETRANSLATE(B17,""zh-tw"",""KO"")"),"매운 요리 만들기")</f>
        <v>매운 요리 만들기</v>
      </c>
      <c r="W17" s="89" t="str">
        <f>IFERROR(__xludf.DUMMYFUNCTION("GOOGLETRANSLATE(C17,""zh-tw"",""KO"")"),"언니는 매운맛 때문에 울었어요.")</f>
        <v>언니는 매운맛 때문에 울었어요.</v>
      </c>
      <c r="X17" s="55" t="str">
        <f>IFERROR(__xludf.DUMMYFUNCTION("GOOGLETRANSLATE(D17,""zh-tw"",""KO"")"),"매콤함에 울먹이는 장면이 연출됨")</f>
        <v>매콤함에 울먹이는 장면이 연출됨</v>
      </c>
      <c r="Y17" s="84">
        <v>9.0</v>
      </c>
      <c r="Z17" s="99" t="s">
        <v>472</v>
      </c>
      <c r="AA17" s="91" t="s">
        <v>473</v>
      </c>
      <c r="AB17" s="43" t="s">
        <v>474</v>
      </c>
      <c r="AC17" s="84">
        <v>9.0</v>
      </c>
      <c r="AD17" s="85" t="s">
        <v>475</v>
      </c>
      <c r="AE17" s="86" t="s">
        <v>476</v>
      </c>
      <c r="AF17" s="87" t="s">
        <v>477</v>
      </c>
      <c r="AG17" s="84">
        <v>9.0</v>
      </c>
      <c r="AH17" s="92" t="s">
        <v>478</v>
      </c>
      <c r="AI17" s="93" t="s">
        <v>479</v>
      </c>
      <c r="AJ17" s="94" t="s">
        <v>480</v>
      </c>
      <c r="AK17" s="87"/>
      <c r="AL17" s="87"/>
      <c r="AM17" s="87"/>
      <c r="AN17" s="87"/>
      <c r="AO17" s="87"/>
    </row>
    <row r="18">
      <c r="A18" s="84">
        <v>10.0</v>
      </c>
      <c r="B18" s="85" t="s">
        <v>481</v>
      </c>
      <c r="C18" s="95" t="s">
        <v>482</v>
      </c>
      <c r="D18" s="87" t="s">
        <v>483</v>
      </c>
      <c r="E18" s="84">
        <v>10.0</v>
      </c>
      <c r="F18" s="85" t="s">
        <v>484</v>
      </c>
      <c r="G18" s="86" t="s">
        <v>485</v>
      </c>
      <c r="H18" s="87" t="s">
        <v>486</v>
      </c>
      <c r="I18" s="84">
        <v>10.0</v>
      </c>
      <c r="J18" s="85" t="s">
        <v>487</v>
      </c>
      <c r="K18" s="86" t="s">
        <v>488</v>
      </c>
      <c r="L18" s="87" t="s">
        <v>489</v>
      </c>
      <c r="M18" s="84">
        <v>10.0</v>
      </c>
      <c r="N18" s="85" t="str">
        <f>IFERROR(__xludf.DUMMYFUNCTION("GOOGLETRANSLATE(B18,""zh-tw"",""zh"")"),"解除辣味危机")</f>
        <v>解除辣味危机</v>
      </c>
      <c r="O18" s="89" t="str">
        <f>IFERROR(__xludf.DUMMYFUNCTION("GOOGLETRANSLATE(C18,""zh-tw"",""zh"")"),"妹妹会被辣到趴在床上，需要解除辣味")</f>
        <v>妹妹会被辣到趴在床上，需要解除辣味</v>
      </c>
      <c r="P18" s="87" t="str">
        <f>IFERROR(__xludf.DUMMYFUNCTION("GOOGLETRANSLATE(D18,""zh-tw"",""zh"")"),"触发解除辣味的选项")</f>
        <v>触发解除辣味的选项</v>
      </c>
      <c r="Q18" s="84">
        <v>10.0</v>
      </c>
      <c r="R18" s="85" t="s">
        <v>490</v>
      </c>
      <c r="S18" s="86" t="s">
        <v>491</v>
      </c>
      <c r="T18" s="55" t="s">
        <v>492</v>
      </c>
      <c r="U18" s="84">
        <v>10.0</v>
      </c>
      <c r="V18" s="88" t="str">
        <f>IFERROR(__xludf.DUMMYFUNCTION("GOOGLETRANSLATE(B18,""zh-tw"",""KO"")"),"매운맛 위기를 없애다")</f>
        <v>매운맛 위기를 없애다</v>
      </c>
      <c r="W18" s="89" t="str">
        <f>IFERROR(__xludf.DUMMYFUNCTION("GOOGLETRANSLATE(C18,""zh-tw"",""KO"")"),"제 여동생은 너무 매운 음식을 좋아해서 침대에 누워서 식혀야 합니다.")</f>
        <v>제 여동생은 너무 매운 음식을 좋아해서 침대에 누워서 식혀야 합니다.</v>
      </c>
      <c r="X18" s="55" t="str">
        <f>IFERROR(__xludf.DUMMYFUNCTION("GOOGLETRANSLATE(D18,""zh-tw"",""KO"")"),"매운맛을 제거하는 옵션을 활성화합니다.")</f>
        <v>매운맛을 제거하는 옵션을 활성화합니다.</v>
      </c>
      <c r="Y18" s="84">
        <v>10.0</v>
      </c>
      <c r="Z18" s="99" t="s">
        <v>493</v>
      </c>
      <c r="AA18" s="91" t="s">
        <v>494</v>
      </c>
      <c r="AB18" s="43" t="s">
        <v>495</v>
      </c>
      <c r="AC18" s="84">
        <v>10.0</v>
      </c>
      <c r="AD18" s="85" t="s">
        <v>496</v>
      </c>
      <c r="AE18" s="86" t="s">
        <v>497</v>
      </c>
      <c r="AF18" s="87" t="s">
        <v>498</v>
      </c>
      <c r="AG18" s="84">
        <v>10.0</v>
      </c>
      <c r="AH18" s="92" t="s">
        <v>499</v>
      </c>
      <c r="AI18" s="93" t="s">
        <v>500</v>
      </c>
      <c r="AJ18" s="94" t="s">
        <v>501</v>
      </c>
      <c r="AK18" s="87"/>
      <c r="AL18" s="87"/>
      <c r="AM18" s="87"/>
      <c r="AN18" s="87"/>
      <c r="AO18" s="87"/>
    </row>
    <row r="19">
      <c r="A19" s="84">
        <v>11.0</v>
      </c>
      <c r="B19" s="85" t="s">
        <v>502</v>
      </c>
      <c r="C19" s="86" t="s">
        <v>503</v>
      </c>
      <c r="D19" s="87" t="s">
        <v>504</v>
      </c>
      <c r="E19" s="84">
        <v>11.0</v>
      </c>
      <c r="F19" s="85" t="s">
        <v>505</v>
      </c>
      <c r="G19" s="86" t="s">
        <v>506</v>
      </c>
      <c r="H19" s="87" t="s">
        <v>507</v>
      </c>
      <c r="I19" s="84">
        <v>11.0</v>
      </c>
      <c r="J19" s="85" t="s">
        <v>508</v>
      </c>
      <c r="K19" s="86" t="s">
        <v>509</v>
      </c>
      <c r="L19" s="87" t="s">
        <v>510</v>
      </c>
      <c r="M19" s="84">
        <v>11.0</v>
      </c>
      <c r="N19" s="85" t="str">
        <f>IFERROR(__xludf.DUMMYFUNCTION("GOOGLETRANSLATE(B19,""zh-tw"",""zh"")"),"红肿的小嘴-1")</f>
        <v>红肿的小嘴-1</v>
      </c>
      <c r="O19" s="89" t="str">
        <f>IFERROR(__xludf.DUMMYFUNCTION("GOOGLETRANSLATE(C19,""zh-tw"",""zh"")"),"解除了妹妹辣哭了状态后，可以进一步提出口腔检查请求，妹妹紫心低于3时会拒绝")</f>
        <v>解除了妹妹辣哭了状态后，可以进一步提出口腔检查请求，妹妹紫心低于3时会拒绝</v>
      </c>
      <c r="P19" s="87" t="str">
        <f>IFERROR(__xludf.DUMMYFUNCTION("GOOGLETRANSLATE(D19,""zh-tw"",""zh"")"),"触发被拒绝检查口腔的剧情")</f>
        <v>触发被拒绝检查口腔的剧情</v>
      </c>
      <c r="Q19" s="84">
        <v>11.0</v>
      </c>
      <c r="R19" s="85" t="s">
        <v>511</v>
      </c>
      <c r="S19" s="86" t="s">
        <v>512</v>
      </c>
      <c r="T19" s="55" t="s">
        <v>513</v>
      </c>
      <c r="U19" s="84">
        <v>11.0</v>
      </c>
      <c r="V19" s="88" t="str">
        <f>IFERROR(__xludf.DUMMYFUNCTION("GOOGLETRANSLATE(B19,""zh-tw"",""KO"")"),"부어오른 작은 입 - 1")</f>
        <v>부어오른 작은 입 - 1</v>
      </c>
      <c r="W19" s="89" t="str">
        <f>IFERROR(__xludf.DUMMYFUNCTION("GOOGLETRANSLATE(C19,""zh-tw"",""KO"")"),"언니가 매운맛 때문에 울음을 그치게 한 후, 구강 검진을 요청하실 수 있습니다. 단, 언니의 심박수가 3회 미만이면 검진 요청이 거부됩니다.")</f>
        <v>언니가 매운맛 때문에 울음을 그치게 한 후, 구강 검진을 요청하실 수 있습니다. 단, 언니의 심박수가 3회 미만이면 검진 요청이 거부됩니다.</v>
      </c>
      <c r="X19" s="55" t="str">
        <f>IFERROR(__xludf.DUMMYFUNCTION("GOOGLETRANSLATE(D19,""zh-tw"",""KO"")"),"치과 검진을 거부당하는 스토리를 시작하세요.")</f>
        <v>치과 검진을 거부당하는 스토리를 시작하세요.</v>
      </c>
      <c r="Y19" s="84">
        <v>11.0</v>
      </c>
      <c r="Z19" s="99" t="s">
        <v>514</v>
      </c>
      <c r="AA19" s="91" t="s">
        <v>515</v>
      </c>
      <c r="AB19" s="43" t="s">
        <v>516</v>
      </c>
      <c r="AC19" s="84">
        <v>11.0</v>
      </c>
      <c r="AD19" s="85" t="s">
        <v>517</v>
      </c>
      <c r="AE19" s="86" t="s">
        <v>518</v>
      </c>
      <c r="AF19" s="87" t="s">
        <v>519</v>
      </c>
      <c r="AG19" s="84">
        <v>11.0</v>
      </c>
      <c r="AH19" s="92" t="s">
        <v>520</v>
      </c>
      <c r="AI19" s="93" t="s">
        <v>521</v>
      </c>
      <c r="AJ19" s="94" t="s">
        <v>522</v>
      </c>
      <c r="AK19" s="87"/>
      <c r="AL19" s="87"/>
      <c r="AM19" s="87"/>
      <c r="AN19" s="87"/>
      <c r="AO19" s="87"/>
    </row>
    <row r="20">
      <c r="A20" s="84">
        <v>12.0</v>
      </c>
      <c r="B20" s="85" t="s">
        <v>523</v>
      </c>
      <c r="C20" s="86" t="s">
        <v>524</v>
      </c>
      <c r="D20" s="87" t="s">
        <v>525</v>
      </c>
      <c r="E20" s="84">
        <v>12.0</v>
      </c>
      <c r="F20" s="85" t="s">
        <v>526</v>
      </c>
      <c r="G20" s="86" t="s">
        <v>527</v>
      </c>
      <c r="H20" s="87" t="s">
        <v>528</v>
      </c>
      <c r="I20" s="84">
        <v>12.0</v>
      </c>
      <c r="J20" s="85" t="s">
        <v>529</v>
      </c>
      <c r="K20" s="86" t="s">
        <v>530</v>
      </c>
      <c r="L20" s="52" t="s">
        <v>531</v>
      </c>
      <c r="M20" s="84">
        <v>12.0</v>
      </c>
      <c r="N20" s="85" t="str">
        <f>IFERROR(__xludf.DUMMYFUNCTION("GOOGLETRANSLATE(B20,""zh-tw"",""zh"")"),"红肿的小嘴-2")</f>
        <v>红肿的小嘴-2</v>
      </c>
      <c r="O20" s="89" t="str">
        <f>IFERROR(__xludf.DUMMYFUNCTION("GOOGLETRANSLATE(C20,""zh-tw"",""zh"")"),"同上，妹妹紫心高于3时，可以触发口腔检查的后续剧情")</f>
        <v>同上，妹妹紫心高于3时，可以触发口腔检查的后续剧情</v>
      </c>
      <c r="P20" s="87" t="str">
        <f>IFERROR(__xludf.DUMMYFUNCTION("GOOGLETRANSLATE(D20,""zh-tw"",""zh"")"),"触发检查口腔的剧情")</f>
        <v>触发检查口腔的剧情</v>
      </c>
      <c r="Q20" s="84">
        <v>12.0</v>
      </c>
      <c r="R20" s="85" t="s">
        <v>532</v>
      </c>
      <c r="S20" s="86" t="s">
        <v>533</v>
      </c>
      <c r="T20" s="55" t="s">
        <v>534</v>
      </c>
      <c r="U20" s="84">
        <v>12.0</v>
      </c>
      <c r="V20" s="88" t="str">
        <f>IFERROR(__xludf.DUMMYFUNCTION("GOOGLETRANSLATE(B20,""zh-tw"",""KO"")"),"부어오른 작은 입 - 2")</f>
        <v>부어오른 작은 입 - 2</v>
      </c>
      <c r="W20" s="89" t="str">
        <f>IFERROR(__xludf.DUMMYFUNCTION("GOOGLETRANSLATE(C20,""zh-tw"",""KO"")"),"마찬가지로 여동생의 퍼플 하트 점수가 3점 이상이면, 이후 구두 시험의 줄거리가 발동될 수 있습니다.")</f>
        <v>마찬가지로 여동생의 퍼플 하트 점수가 3점 이상이면, 이후 구두 시험의 줄거리가 발동될 수 있습니다.</v>
      </c>
      <c r="X20" s="55" t="str">
        <f>IFERROR(__xludf.DUMMYFUNCTION("GOOGLETRANSLATE(D20,""zh-tw"",""KO"")"),"구강 검사 플롯을 트리거합니다.")</f>
        <v>구강 검사 플롯을 트리거합니다.</v>
      </c>
      <c r="Y20" s="84">
        <v>12.0</v>
      </c>
      <c r="Z20" s="99" t="s">
        <v>535</v>
      </c>
      <c r="AA20" s="91" t="s">
        <v>536</v>
      </c>
      <c r="AB20" s="43" t="s">
        <v>537</v>
      </c>
      <c r="AC20" s="84">
        <v>12.0</v>
      </c>
      <c r="AD20" s="85" t="s">
        <v>538</v>
      </c>
      <c r="AE20" s="86" t="s">
        <v>539</v>
      </c>
      <c r="AF20" s="87" t="s">
        <v>540</v>
      </c>
      <c r="AG20" s="84">
        <v>12.0</v>
      </c>
      <c r="AH20" s="92" t="s">
        <v>541</v>
      </c>
      <c r="AI20" s="93" t="s">
        <v>542</v>
      </c>
      <c r="AJ20" s="94" t="s">
        <v>543</v>
      </c>
      <c r="AK20" s="87"/>
      <c r="AL20" s="87"/>
      <c r="AM20" s="87"/>
      <c r="AN20" s="87"/>
      <c r="AO20" s="87"/>
    </row>
    <row r="21">
      <c r="A21" s="84">
        <v>13.0</v>
      </c>
      <c r="B21" s="85" t="s">
        <v>544</v>
      </c>
      <c r="C21" s="95" t="s">
        <v>545</v>
      </c>
      <c r="D21" s="87" t="s">
        <v>546</v>
      </c>
      <c r="E21" s="84">
        <v>13.0</v>
      </c>
      <c r="F21" s="85" t="s">
        <v>547</v>
      </c>
      <c r="G21" s="86" t="s">
        <v>548</v>
      </c>
      <c r="H21" s="87" t="s">
        <v>549</v>
      </c>
      <c r="I21" s="84">
        <v>13.0</v>
      </c>
      <c r="J21" s="85" t="s">
        <v>550</v>
      </c>
      <c r="K21" s="95" t="s">
        <v>551</v>
      </c>
      <c r="L21" s="87" t="s">
        <v>552</v>
      </c>
      <c r="M21" s="84">
        <v>13.0</v>
      </c>
      <c r="N21" s="85" t="str">
        <f>IFERROR(__xludf.DUMMYFUNCTION("GOOGLETRANSLATE(B21,""zh-tw"",""zh"")"),"呆毛")</f>
        <v>呆毛</v>
      </c>
      <c r="O21" s="89" t="str">
        <f>IFERROR(__xludf.DUMMYFUNCTION("GOOGLETRANSLATE(C21,""zh-tw"",""zh"")"),"每次亲密接触时，可以拔一次呆毛(每天最多两次)；隔天之后，与深渊的重置是同步进行的(例如下雨天或者使用塔罗牌等等)，重置后才可以继续拔呆毛。")</f>
        <v>每次亲密接触时，可以拔一次呆毛(每天最多两次)；隔天之后，与深渊的重置是同步进行的(例如下雨天或者使用塔罗牌等等)，重置后才可以继续拔呆毛。</v>
      </c>
      <c r="P21" s="55" t="s">
        <v>553</v>
      </c>
      <c r="Q21" s="84">
        <v>13.0</v>
      </c>
      <c r="R21" s="88" t="s">
        <v>550</v>
      </c>
      <c r="S21" s="89" t="s">
        <v>554</v>
      </c>
      <c r="T21" s="52" t="s">
        <v>555</v>
      </c>
      <c r="U21" s="84">
        <v>13.0</v>
      </c>
      <c r="V21" s="85" t="s">
        <v>556</v>
      </c>
      <c r="W21" s="95" t="s">
        <v>557</v>
      </c>
      <c r="X21" s="52" t="s">
        <v>558</v>
      </c>
      <c r="Y21" s="84">
        <v>13.0</v>
      </c>
      <c r="Z21" s="90" t="s">
        <v>559</v>
      </c>
      <c r="AA21" s="91" t="s">
        <v>560</v>
      </c>
      <c r="AB21" s="43" t="s">
        <v>561</v>
      </c>
      <c r="AC21" s="84">
        <v>13.0</v>
      </c>
      <c r="AD21" s="85" t="s">
        <v>562</v>
      </c>
      <c r="AE21" s="86" t="s">
        <v>563</v>
      </c>
      <c r="AF21" s="87" t="s">
        <v>564</v>
      </c>
      <c r="AG21" s="84">
        <v>13.0</v>
      </c>
      <c r="AH21" s="92" t="s">
        <v>550</v>
      </c>
      <c r="AI21" s="93" t="s">
        <v>565</v>
      </c>
      <c r="AJ21" s="94" t="s">
        <v>566</v>
      </c>
      <c r="AK21" s="87"/>
      <c r="AL21" s="87"/>
      <c r="AM21" s="87"/>
      <c r="AN21" s="87"/>
      <c r="AO21" s="87"/>
    </row>
    <row r="22">
      <c r="A22" s="84">
        <v>14.0</v>
      </c>
      <c r="B22" s="85" t="s">
        <v>567</v>
      </c>
      <c r="C22" s="86" t="s">
        <v>568</v>
      </c>
      <c r="D22" s="87" t="s">
        <v>569</v>
      </c>
      <c r="E22" s="84">
        <v>14.0</v>
      </c>
      <c r="F22" s="85" t="s">
        <v>570</v>
      </c>
      <c r="G22" s="86" t="s">
        <v>571</v>
      </c>
      <c r="H22" s="87" t="s">
        <v>572</v>
      </c>
      <c r="I22" s="84">
        <v>14.0</v>
      </c>
      <c r="J22" s="85" t="s">
        <v>573</v>
      </c>
      <c r="K22" s="86" t="s">
        <v>574</v>
      </c>
      <c r="L22" s="87" t="s">
        <v>575</v>
      </c>
      <c r="M22" s="84">
        <v>14.0</v>
      </c>
      <c r="N22" s="85" t="str">
        <f>IFERROR(__xludf.DUMMYFUNCTION("GOOGLETRANSLATE(B22,""zh-tw"",""zh"")"),"浑身恶臭-1")</f>
        <v>浑身恶臭-1</v>
      </c>
      <c r="O22" s="89" t="str">
        <f>IFERROR(__xludf.DUMMYFUNCTION("GOOGLETRANSLATE(C22,""zh-tw"",""zh"")"),"装备""臭鱼骨""回家时可触发")</f>
        <v>装备"臭鱼骨"回家时可触发</v>
      </c>
      <c r="P22" s="87" t="str">
        <f>IFERROR(__xludf.DUMMYFUNCTION("GOOGLETRANSLATE(D22,""zh-tw"",""zh"")"),"触发""哥哥好臭""事件")</f>
        <v>触发"哥哥好臭"事件</v>
      </c>
      <c r="Q22" s="84">
        <v>14.0</v>
      </c>
      <c r="R22" s="88" t="s">
        <v>576</v>
      </c>
      <c r="S22" s="89" t="str">
        <f>IFERROR(__xludf.DUMMYFUNCTION("GOOGLETRANSLATE(C22,""zh-tw"",""es-MX"")"),"Equiparse con ""Espina de pescado apestosa"" puede desencadenar un determinado evento al regresar a casa.")</f>
        <v>Equiparse con "Espina de pescado apestosa" puede desencadenar un determinado evento al regresar a casa.</v>
      </c>
      <c r="T22" s="55" t="str">
        <f>IFERROR(__xludf.DUMMYFUNCTION("GOOGLETRANSLATE(D22,""zh-tw"",""es-MX"")"),"Desencadenando el evento ""Mi hermano huele mal""")</f>
        <v>Desencadenando el evento "Mi hermano huele mal"</v>
      </c>
      <c r="U22" s="84">
        <v>14.0</v>
      </c>
      <c r="V22" s="98" t="s">
        <v>577</v>
      </c>
      <c r="W22" s="95" t="s">
        <v>578</v>
      </c>
      <c r="X22" s="52" t="s">
        <v>579</v>
      </c>
      <c r="Y22" s="84">
        <v>14.0</v>
      </c>
      <c r="Z22" s="90" t="s">
        <v>580</v>
      </c>
      <c r="AA22" s="91" t="s">
        <v>581</v>
      </c>
      <c r="AB22" s="43" t="s">
        <v>582</v>
      </c>
      <c r="AC22" s="84">
        <v>14.0</v>
      </c>
      <c r="AD22" s="85" t="s">
        <v>583</v>
      </c>
      <c r="AE22" s="86" t="s">
        <v>584</v>
      </c>
      <c r="AF22" s="87" t="s">
        <v>585</v>
      </c>
      <c r="AG22" s="84">
        <v>14.0</v>
      </c>
      <c r="AH22" s="92" t="s">
        <v>586</v>
      </c>
      <c r="AI22" s="93" t="s">
        <v>587</v>
      </c>
      <c r="AJ22" s="94" t="s">
        <v>588</v>
      </c>
      <c r="AK22" s="87"/>
      <c r="AL22" s="87"/>
      <c r="AM22" s="87"/>
      <c r="AN22" s="87"/>
      <c r="AO22" s="87"/>
    </row>
    <row r="23">
      <c r="A23" s="84">
        <v>15.0</v>
      </c>
      <c r="B23" s="85" t="s">
        <v>589</v>
      </c>
      <c r="C23" s="86" t="s">
        <v>590</v>
      </c>
      <c r="D23" s="87" t="s">
        <v>591</v>
      </c>
      <c r="E23" s="84">
        <v>15.0</v>
      </c>
      <c r="F23" s="85" t="s">
        <v>592</v>
      </c>
      <c r="G23" s="86" t="s">
        <v>593</v>
      </c>
      <c r="H23" s="87" t="s">
        <v>594</v>
      </c>
      <c r="I23" s="84">
        <v>15.0</v>
      </c>
      <c r="J23" s="85" t="s">
        <v>595</v>
      </c>
      <c r="K23" s="86" t="s">
        <v>596</v>
      </c>
      <c r="L23" s="87" t="s">
        <v>597</v>
      </c>
      <c r="M23" s="84">
        <v>15.0</v>
      </c>
      <c r="N23" s="85" t="str">
        <f>IFERROR(__xludf.DUMMYFUNCTION("GOOGLETRANSLATE(B23,""zh-tw"",""zh"")"),"浑身恶臭-2")</f>
        <v>浑身恶臭-2</v>
      </c>
      <c r="O23" s="89" t="str">
        <f>IFERROR(__xludf.DUMMYFUNCTION("GOOGLETRANSLATE(C23,""zh-tw"",""zh"")"),"哥哥不洗澡一段时间")</f>
        <v>哥哥不洗澡一段时间</v>
      </c>
      <c r="P23" s="55" t="str">
        <f>IFERROR(__xludf.DUMMYFUNCTION("GOOGLETRANSLATE(D23,""zh-tw"",""zh"")"),"未实装")</f>
        <v>未实装</v>
      </c>
      <c r="Q23" s="84">
        <v>15.0</v>
      </c>
      <c r="R23" s="85" t="s">
        <v>598</v>
      </c>
      <c r="S23" s="95" t="s">
        <v>599</v>
      </c>
      <c r="T23" s="52" t="s">
        <v>600</v>
      </c>
      <c r="U23" s="84">
        <v>15.0</v>
      </c>
      <c r="V23" s="98" t="s">
        <v>601</v>
      </c>
      <c r="W23" s="95" t="s">
        <v>602</v>
      </c>
      <c r="X23" s="106" t="s">
        <v>603</v>
      </c>
      <c r="Y23" s="84">
        <v>15.0</v>
      </c>
      <c r="Z23" s="90" t="s">
        <v>604</v>
      </c>
      <c r="AA23" s="102" t="s">
        <v>605</v>
      </c>
      <c r="AB23" s="43" t="s">
        <v>606</v>
      </c>
      <c r="AC23" s="84">
        <v>15.0</v>
      </c>
      <c r="AD23" s="85" t="s">
        <v>607</v>
      </c>
      <c r="AE23" s="86" t="s">
        <v>608</v>
      </c>
      <c r="AF23" s="87" t="s">
        <v>609</v>
      </c>
      <c r="AG23" s="84">
        <v>15.0</v>
      </c>
      <c r="AH23" s="92" t="s">
        <v>610</v>
      </c>
      <c r="AI23" s="93" t="s">
        <v>611</v>
      </c>
      <c r="AJ23" s="94" t="s">
        <v>612</v>
      </c>
      <c r="AK23" s="87"/>
      <c r="AL23" s="87"/>
      <c r="AM23" s="87"/>
      <c r="AN23" s="87"/>
      <c r="AO23" s="87"/>
    </row>
    <row r="24">
      <c r="A24" s="84">
        <v>16.0</v>
      </c>
      <c r="B24" s="85" t="s">
        <v>613</v>
      </c>
      <c r="C24" s="86" t="s">
        <v>614</v>
      </c>
      <c r="D24" s="87" t="s">
        <v>615</v>
      </c>
      <c r="E24" s="84">
        <v>16.0</v>
      </c>
      <c r="F24" s="85" t="s">
        <v>616</v>
      </c>
      <c r="G24" s="86" t="s">
        <v>617</v>
      </c>
      <c r="H24" s="87" t="s">
        <v>618</v>
      </c>
      <c r="I24" s="84">
        <v>16.0</v>
      </c>
      <c r="J24" s="85" t="s">
        <v>619</v>
      </c>
      <c r="K24" s="86" t="s">
        <v>620</v>
      </c>
      <c r="L24" s="87" t="s">
        <v>621</v>
      </c>
      <c r="M24" s="84">
        <v>16.0</v>
      </c>
      <c r="N24" s="85" t="str">
        <f>IFERROR(__xludf.DUMMYFUNCTION("GOOGLETRANSLATE(B24,""zh-tw"",""zh"")"),"洗完澡来喝点")</f>
        <v>洗完澡来喝点</v>
      </c>
      <c r="O24" s="89" t="str">
        <f>IFERROR(__xludf.DUMMYFUNCTION("GOOGLETRANSLATE(C24,""zh-tw"",""zh"")"),"当身上有牛奶时，洗澡后机率触发喝牛奶")</f>
        <v>当身上有牛奶时，洗澡后机率触发喝牛奶</v>
      </c>
      <c r="P24" s="55" t="str">
        <f>IFERROR(__xludf.DUMMYFUNCTION("GOOGLETRANSLATE(D24,""zh-tw"",""zh"")"),"特殊动画")</f>
        <v>特殊动画</v>
      </c>
      <c r="Q24" s="84">
        <v>16.0</v>
      </c>
      <c r="R24" s="98" t="s">
        <v>622</v>
      </c>
      <c r="S24" s="89" t="s">
        <v>623</v>
      </c>
      <c r="T24" s="52" t="s">
        <v>624</v>
      </c>
      <c r="U24" s="84">
        <v>16.0</v>
      </c>
      <c r="V24" s="98" t="s">
        <v>625</v>
      </c>
      <c r="W24" s="95" t="s">
        <v>626</v>
      </c>
      <c r="X24" s="52" t="s">
        <v>627</v>
      </c>
      <c r="Y24" s="84">
        <v>16.0</v>
      </c>
      <c r="Z24" s="90" t="s">
        <v>628</v>
      </c>
      <c r="AA24" s="91" t="s">
        <v>629</v>
      </c>
      <c r="AB24" s="43" t="s">
        <v>630</v>
      </c>
      <c r="AC24" s="84">
        <v>16.0</v>
      </c>
      <c r="AD24" s="85" t="s">
        <v>631</v>
      </c>
      <c r="AE24" s="86" t="s">
        <v>632</v>
      </c>
      <c r="AF24" s="87" t="s">
        <v>633</v>
      </c>
      <c r="AG24" s="84">
        <v>16.0</v>
      </c>
      <c r="AH24" s="92" t="s">
        <v>634</v>
      </c>
      <c r="AI24" s="93" t="s">
        <v>635</v>
      </c>
      <c r="AJ24" s="94" t="s">
        <v>636</v>
      </c>
      <c r="AK24" s="87"/>
      <c r="AL24" s="87"/>
      <c r="AM24" s="87"/>
      <c r="AN24" s="87"/>
      <c r="AO24" s="87"/>
    </row>
    <row r="25">
      <c r="A25" s="84">
        <v>17.0</v>
      </c>
      <c r="B25" s="85" t="s">
        <v>637</v>
      </c>
      <c r="C25" s="86" t="s">
        <v>638</v>
      </c>
      <c r="D25" s="87" t="s">
        <v>639</v>
      </c>
      <c r="E25" s="84">
        <v>17.0</v>
      </c>
      <c r="F25" s="85" t="s">
        <v>640</v>
      </c>
      <c r="G25" s="86" t="s">
        <v>641</v>
      </c>
      <c r="H25" s="87" t="s">
        <v>642</v>
      </c>
      <c r="I25" s="84">
        <v>17.0</v>
      </c>
      <c r="J25" s="85" t="s">
        <v>643</v>
      </c>
      <c r="K25" s="86" t="s">
        <v>644</v>
      </c>
      <c r="L25" s="87" t="s">
        <v>645</v>
      </c>
      <c r="M25" s="84">
        <v>17.0</v>
      </c>
      <c r="N25" s="85" t="str">
        <f>IFERROR(__xludf.DUMMYFUNCTION("GOOGLETRANSLATE(B25,""zh-tw"",""zh"")"),"喧嚣的风儿")</f>
        <v>喧嚣的风儿</v>
      </c>
      <c r="O25" s="89" t="str">
        <f>IFERROR(__xludf.DUMMYFUNCTION("GOOGLETRANSLATE(C25,""zh-tw"",""zh"")"),"第一次与妹妹共浴之后，可以帮妹妹吹头发")</f>
        <v>第一次与妹妹共浴之后，可以帮妹妹吹头发</v>
      </c>
      <c r="P25" s="87" t="str">
        <f>IFERROR(__xludf.DUMMYFUNCTION("GOOGLETRANSLATE(D25,""zh-tw"",""zh"")"),"解锁""吹头发""选项")</f>
        <v>解锁"吹头发"选项</v>
      </c>
      <c r="Q25" s="84">
        <v>17.0</v>
      </c>
      <c r="R25" s="85" t="s">
        <v>646</v>
      </c>
      <c r="S25" s="95" t="s">
        <v>647</v>
      </c>
      <c r="T25" s="52" t="s">
        <v>648</v>
      </c>
      <c r="U25" s="84">
        <v>17.0</v>
      </c>
      <c r="V25" s="107" t="s">
        <v>649</v>
      </c>
      <c r="W25" s="95" t="s">
        <v>650</v>
      </c>
      <c r="X25" s="52" t="s">
        <v>651</v>
      </c>
      <c r="Y25" s="84">
        <v>17.0</v>
      </c>
      <c r="Z25" s="90" t="s">
        <v>652</v>
      </c>
      <c r="AA25" s="102" t="s">
        <v>653</v>
      </c>
      <c r="AB25" s="43" t="s">
        <v>654</v>
      </c>
      <c r="AC25" s="84">
        <v>17.0</v>
      </c>
      <c r="AD25" s="85" t="s">
        <v>655</v>
      </c>
      <c r="AE25" s="86" t="s">
        <v>656</v>
      </c>
      <c r="AF25" s="87" t="s">
        <v>657</v>
      </c>
      <c r="AG25" s="84">
        <v>17.0</v>
      </c>
      <c r="AH25" s="92" t="s">
        <v>658</v>
      </c>
      <c r="AI25" s="93" t="s">
        <v>659</v>
      </c>
      <c r="AJ25" s="94" t="s">
        <v>660</v>
      </c>
      <c r="AK25" s="87"/>
      <c r="AL25" s="87"/>
      <c r="AM25" s="87"/>
      <c r="AN25" s="87"/>
      <c r="AO25" s="87"/>
    </row>
    <row r="26">
      <c r="A26" s="84">
        <v>18.0</v>
      </c>
      <c r="B26" s="85" t="s">
        <v>661</v>
      </c>
      <c r="C26" s="86" t="s">
        <v>662</v>
      </c>
      <c r="D26" s="87" t="s">
        <v>663</v>
      </c>
      <c r="E26" s="84">
        <v>18.0</v>
      </c>
      <c r="F26" s="85" t="s">
        <v>664</v>
      </c>
      <c r="G26" s="86" t="s">
        <v>665</v>
      </c>
      <c r="H26" s="87" t="s">
        <v>666</v>
      </c>
      <c r="I26" s="84">
        <v>18.0</v>
      </c>
      <c r="J26" s="85" t="s">
        <v>667</v>
      </c>
      <c r="K26" s="86" t="s">
        <v>668</v>
      </c>
      <c r="L26" s="52" t="s">
        <v>669</v>
      </c>
      <c r="M26" s="84">
        <v>18.0</v>
      </c>
      <c r="N26" s="85" t="str">
        <f>IFERROR(__xludf.DUMMYFUNCTION("GOOGLETRANSLATE(B26,""zh-tw"",""zh"")"),"哥困了")</f>
        <v>哥困了</v>
      </c>
      <c r="O26" s="89" t="str">
        <f>IFERROR(__xludf.DUMMYFUNCTION("GOOGLETRANSLATE(C26,""zh-tw"",""zh"")"),"提前睡觉")</f>
        <v>提前睡觉</v>
      </c>
      <c r="P26" s="55" t="s">
        <v>670</v>
      </c>
      <c r="Q26" s="84">
        <v>18.0</v>
      </c>
      <c r="R26" s="98" t="s">
        <v>671</v>
      </c>
      <c r="S26" s="95" t="s">
        <v>672</v>
      </c>
      <c r="T26" s="52" t="s">
        <v>673</v>
      </c>
      <c r="U26" s="84">
        <v>18.0</v>
      </c>
      <c r="V26" s="107" t="s">
        <v>674</v>
      </c>
      <c r="W26" s="95" t="s">
        <v>675</v>
      </c>
      <c r="X26" s="52" t="s">
        <v>676</v>
      </c>
      <c r="Y26" s="84">
        <v>18.0</v>
      </c>
      <c r="Z26" s="99" t="s">
        <v>677</v>
      </c>
      <c r="AA26" s="102" t="s">
        <v>678</v>
      </c>
      <c r="AB26" s="43" t="s">
        <v>679</v>
      </c>
      <c r="AC26" s="84">
        <v>18.0</v>
      </c>
      <c r="AD26" s="85" t="s">
        <v>680</v>
      </c>
      <c r="AE26" s="86" t="s">
        <v>681</v>
      </c>
      <c r="AF26" s="87" t="s">
        <v>682</v>
      </c>
      <c r="AG26" s="84">
        <v>18.0</v>
      </c>
      <c r="AH26" s="92" t="s">
        <v>683</v>
      </c>
      <c r="AI26" s="93" t="s">
        <v>684</v>
      </c>
      <c r="AJ26" s="94" t="s">
        <v>685</v>
      </c>
      <c r="AK26" s="87"/>
      <c r="AL26" s="87"/>
      <c r="AM26" s="87"/>
      <c r="AN26" s="87"/>
      <c r="AO26" s="87"/>
    </row>
    <row r="27">
      <c r="A27" s="84">
        <v>19.0</v>
      </c>
      <c r="B27" s="85" t="s">
        <v>686</v>
      </c>
      <c r="C27" s="86" t="s">
        <v>687</v>
      </c>
      <c r="D27" s="87" t="s">
        <v>688</v>
      </c>
      <c r="E27" s="84">
        <v>19.0</v>
      </c>
      <c r="F27" s="85" t="s">
        <v>689</v>
      </c>
      <c r="G27" s="86" t="s">
        <v>690</v>
      </c>
      <c r="H27" s="87" t="s">
        <v>691</v>
      </c>
      <c r="I27" s="84">
        <v>19.0</v>
      </c>
      <c r="J27" s="85" t="s">
        <v>692</v>
      </c>
      <c r="K27" s="86" t="s">
        <v>693</v>
      </c>
      <c r="L27" s="87" t="s">
        <v>694</v>
      </c>
      <c r="M27" s="84">
        <v>19.0</v>
      </c>
      <c r="N27" s="85" t="str">
        <f>IFERROR(__xludf.DUMMYFUNCTION("GOOGLETRANSLATE(B27,""zh-tw"",""zh"")"),"起床啰")</f>
        <v>起床啰</v>
      </c>
      <c r="O27" s="89" t="str">
        <f>IFERROR(__xludf.DUMMYFUNCTION("GOOGLETRANSLATE(C27,""zh-tw"",""zh"")"),"在没有喂过""红髓液""的情况下，早上起床时，可以使用叫醒妹妹，失败累积达到三次。第四次之后可以解锁""强行叫醒""")</f>
        <v>在没有喂过"红髓液"的情况下，早上起床时，可以使用叫醒妹妹，失败累积达到三次。第四次之后可以解锁"强行叫醒"</v>
      </c>
      <c r="P27" s="55" t="str">
        <f>IFERROR(__xludf.DUMMYFUNCTION("GOOGLETRANSLATE(D27,""zh-tw"",""zh"")"),"机率解锁""强行叫醒""动画
被强行叫醒的妹妹，不会彻底醒来，而是会重新回去睡")</f>
        <v>机率解锁"强行叫醒"动画
被强行叫醒的妹妹，不会彻底醒来，而是会重新回去睡</v>
      </c>
      <c r="Q27" s="84">
        <v>19.0</v>
      </c>
      <c r="R27" s="98" t="s">
        <v>695</v>
      </c>
      <c r="S27" s="89" t="s">
        <v>696</v>
      </c>
      <c r="T27" s="96" t="s">
        <v>697</v>
      </c>
      <c r="U27" s="84">
        <v>19.0</v>
      </c>
      <c r="V27" s="88" t="str">
        <f>IFERROR(__xludf.DUMMYFUNCTION("GOOGLETRANSLATE(B27,""zh-tw"",""KO"")"),"일어날 시간이에요!")</f>
        <v>일어날 시간이에요!</v>
      </c>
      <c r="W27" s="89" t="str">
        <f>IFERROR(__xludf.DUMMYFUNCTION("GOOGLETRANSLATE(C27,""zh-tw"",""KO"")"),"""붉은 골수액""을 먹이지 않고도 아침에 깨워보세요. 세 번 실패하면 ""강제 깨우기""를 해제할 수 있습니다.")</f>
        <v>"붉은 골수액"을 먹이지 않고도 아침에 깨워보세요. 세 번 실패하면 "강제 깨우기"를 해제할 수 있습니다.</v>
      </c>
      <c r="X27" s="55" t="str">
        <f>IFERROR(__xludf.DUMMYFUNCTION("GOOGLETRANSLATE(D27,""zh-tw"",""KO"")"),"""강제 깨우기"" 애니메이션 잠금 해제 기회
강제로 깨워진 여동생은 완전히 깨어나지 않고 다시 잠에 들게 됩니다.")</f>
        <v>"강제 깨우기" 애니메이션 잠금 해제 기회
강제로 깨워진 여동생은 완전히 깨어나지 않고 다시 잠에 들게 됩니다.</v>
      </c>
      <c r="Y27" s="84">
        <v>19.0</v>
      </c>
      <c r="Z27" s="90" t="s">
        <v>698</v>
      </c>
      <c r="AA27" s="91" t="s">
        <v>699</v>
      </c>
      <c r="AB27" s="43" t="s">
        <v>700</v>
      </c>
      <c r="AC27" s="84">
        <v>19.0</v>
      </c>
      <c r="AD27" s="85" t="s">
        <v>701</v>
      </c>
      <c r="AE27" s="86" t="s">
        <v>702</v>
      </c>
      <c r="AF27" s="87" t="s">
        <v>703</v>
      </c>
      <c r="AG27" s="84">
        <v>19.0</v>
      </c>
      <c r="AH27" s="92" t="s">
        <v>704</v>
      </c>
      <c r="AI27" s="93" t="s">
        <v>705</v>
      </c>
      <c r="AJ27" s="94" t="s">
        <v>706</v>
      </c>
      <c r="AK27" s="87"/>
      <c r="AL27" s="87"/>
      <c r="AM27" s="87"/>
      <c r="AN27" s="87"/>
      <c r="AO27" s="87"/>
    </row>
    <row r="28">
      <c r="A28" s="84">
        <v>20.0</v>
      </c>
      <c r="B28" s="85" t="s">
        <v>707</v>
      </c>
      <c r="C28" s="95" t="s">
        <v>708</v>
      </c>
      <c r="D28" s="87" t="s">
        <v>709</v>
      </c>
      <c r="E28" s="84">
        <v>20.0</v>
      </c>
      <c r="F28" s="85" t="str">
        <f>IFERROR(__xludf.DUMMYFUNCTION("GOOGLETRANSLATE(B28,""zh-tw"",""ja"")"),"最初の癒し")</f>
        <v>最初の癒し</v>
      </c>
      <c r="G28" s="95" t="s">
        <v>710</v>
      </c>
      <c r="H28" s="87" t="s">
        <v>711</v>
      </c>
      <c r="I28" s="84">
        <v>20.0</v>
      </c>
      <c r="J28" s="85" t="s">
        <v>712</v>
      </c>
      <c r="K28" s="95" t="s">
        <v>713</v>
      </c>
      <c r="L28" s="87" t="s">
        <v>714</v>
      </c>
      <c r="M28" s="84">
        <v>20.0</v>
      </c>
      <c r="N28" s="85" t="str">
        <f>IFERROR(__xludf.DUMMYFUNCTION("GOOGLETRANSLATE(B28,""zh-tw"",""zh"")"),"第一次治愈")</f>
        <v>第一次治愈</v>
      </c>
      <c r="O28" s="89" t="str">
        <f>IFERROR(__xludf.DUMMYFUNCTION("GOOGLETRANSLATE(C28,""zh-tw"",""zh"")"),"""喝点什么""
可以让妹妹喝下""红髓液""，进行治愈
P.S.只能治愈一次，请参考RPG事件")</f>
        <v>"喝点什么"
可以让妹妹喝下"红髓液"，进行治愈
P.S.只能治愈一次，请参考RPG事件</v>
      </c>
      <c r="P28" s="55" t="str">
        <f>IFERROR(__xludf.DUMMYFUNCTION("GOOGLETRANSLATE(D28,""zh-tw"",""zh"")"),"取消""强行叫醒""的机制
治愈后，早晨可以叫醒妹妹，进行剧情，第一次之后仍有机率失败")</f>
        <v>取消"强行叫醒"的机制
治愈后，早晨可以叫醒妹妹，进行剧情，第一次之后仍有机率失败</v>
      </c>
      <c r="Q28" s="84">
        <v>20.0</v>
      </c>
      <c r="R28" s="85" t="s">
        <v>715</v>
      </c>
      <c r="S28" s="89" t="str">
        <f>IFERROR(__xludf.DUMMYFUNCTION("GOOGLETRANSLATE(C28,""zh-tw"",""es-MX"")"),"¿Qué te gustaría beber? Esto le permite a tu hermana beber el Elixir de Médula Roja para curarse.
P. D.: Esta herida solo se puede curar una vez; consulta los eventos del juego de rol.")</f>
        <v>¿Qué te gustaría beber? Esto le permite a tu hermana beber el Elixir de Médula Roja para curarse.
P. D.: Esta herida solo se puede curar una vez; consulta los eventos del juego de rol.</v>
      </c>
      <c r="T28" s="55" t="str">
        <f>IFERROR(__xludf.DUMMYFUNCTION("GOOGLETRANSLATE(D28,""zh-tw"",""es-MX"")"),"Se ha eliminado el mecanismo de ""despertar forzado"".
Tras recuperarte, puedes despertar a tu hermana por la mañana para activar la trama. Aún existe la posibilidad de fallar la primera vez.")</f>
        <v>Se ha eliminado el mecanismo de "despertar forzado".
Tras recuperarte, puedes despertar a tu hermana por la mañana para activar la trama. Aún existe la posibilidad de fallar la primera vez.</v>
      </c>
      <c r="U28" s="84">
        <v>20.0</v>
      </c>
      <c r="V28" s="88" t="str">
        <f>IFERROR(__xludf.DUMMYFUNCTION("GOOGLETRANSLATE(B28,""zh-tw"",""KO"")"),"첫 번째 치유")</f>
        <v>첫 번째 치유</v>
      </c>
      <c r="W28" s="89" t="str">
        <f>IFERROR(__xludf.DUMMYFUNCTION("GOOGLETRANSLATE(C28,""zh-tw"",""KO"")"),"""뭐 마실래?"" 이렇게 하면 여동생이 ""붉은 골수 비약""을 마셔서 체력을 회복할 수 있습니다.
추신: 이 효과는 한 번만 회복됩니다. RPG 이벤트를 참고하세요.")</f>
        <v>"뭐 마실래?" 이렇게 하면 여동생이 "붉은 골수 비약"을 마셔서 체력을 회복할 수 있습니다.
추신: 이 효과는 한 번만 회복됩니다. RPG 이벤트를 참고하세요.</v>
      </c>
      <c r="X28" s="55" t="str">
        <f>IFERROR(__xludf.DUMMYFUNCTION("GOOGLETRANSLATE(D28,""zh-tw"",""KO"")"),"""강제 깨우기"" 메커니즘이 제거되었습니다.
회복 후 아침에 여동생을 깨우면 스토리가 시작됩니다. 첫 번째 시도 이후에는 실패할 가능성이 있습니다.")</f>
        <v>"강제 깨우기" 메커니즘이 제거되었습니다.
회복 후 아침에 여동생을 깨우면 스토리가 시작됩니다. 첫 번째 시도 이후에는 실패할 가능성이 있습니다.</v>
      </c>
      <c r="Y28" s="84">
        <v>20.0</v>
      </c>
      <c r="Z28" s="90" t="str">
        <f>IFERROR(__xludf.DUMMYFUNCTION("IF(J28="""", """", GOOGLETRANSLATE(
J28,""en"",""ru""))"),"Первое лекарство")</f>
        <v>Первое лекарство</v>
      </c>
      <c r="AA28" s="91" t="s">
        <v>716</v>
      </c>
      <c r="AB28" s="43" t="s">
        <v>717</v>
      </c>
      <c r="AC28" s="84">
        <v>20.0</v>
      </c>
      <c r="AD28" s="85" t="s">
        <v>718</v>
      </c>
      <c r="AE28" s="95" t="s">
        <v>719</v>
      </c>
      <c r="AF28" s="87" t="s">
        <v>720</v>
      </c>
      <c r="AG28" s="84">
        <v>20.0</v>
      </c>
      <c r="AH28" s="92" t="s">
        <v>721</v>
      </c>
      <c r="AI28" s="100" t="s">
        <v>722</v>
      </c>
      <c r="AJ28" s="94" t="s">
        <v>723</v>
      </c>
      <c r="AK28" s="87"/>
      <c r="AL28" s="87"/>
      <c r="AM28" s="87"/>
      <c r="AN28" s="87"/>
      <c r="AO28" s="87"/>
    </row>
    <row r="29">
      <c r="A29" s="84">
        <v>21.0</v>
      </c>
      <c r="B29" s="98" t="s">
        <v>724</v>
      </c>
      <c r="C29" s="86" t="s">
        <v>725</v>
      </c>
      <c r="D29" s="87" t="s">
        <v>591</v>
      </c>
      <c r="E29" s="84">
        <v>21.0</v>
      </c>
      <c r="F29" s="98" t="s">
        <v>724</v>
      </c>
      <c r="G29" s="86" t="s">
        <v>726</v>
      </c>
      <c r="H29" s="87" t="s">
        <v>594</v>
      </c>
      <c r="I29" s="84">
        <v>21.0</v>
      </c>
      <c r="J29" s="98" t="s">
        <v>724</v>
      </c>
      <c r="K29" s="86" t="s">
        <v>727</v>
      </c>
      <c r="L29" s="52" t="s">
        <v>728</v>
      </c>
      <c r="M29" s="84">
        <v>21.0</v>
      </c>
      <c r="N29" s="85" t="str">
        <f>IFERROR(__xludf.DUMMYFUNCTION("GOOGLETRANSLATE(B29,""zh-tw"",""zh"")"),"-")</f>
        <v>-</v>
      </c>
      <c r="O29" s="89" t="str">
        <f>IFERROR(__xludf.DUMMYFUNCTION("GOOGLETRANSLATE(C29,""zh-tw"",""zh"")"),"「喝点什么」给妹妹喂一颗""蓝色金平糖""和一颗""粉色金平糖""后，会使妹妹进入??状态")</f>
        <v>「喝点什么」给妹妹喂一颗"蓝色金平糖"和一颗"粉色金平糖"后，会使妹妹进入??状态</v>
      </c>
      <c r="P29" s="55" t="str">
        <f>IFERROR(__xludf.DUMMYFUNCTION("GOOGLETRANSLATE(D29,""zh-tw"",""zh"")"),"未实装")</f>
        <v>未实装</v>
      </c>
      <c r="Q29" s="84">
        <v>21.0</v>
      </c>
      <c r="R29" s="98" t="s">
        <v>724</v>
      </c>
      <c r="S29" s="89" t="str">
        <f>IFERROR(__xludf.DUMMYFUNCTION("GOOGLETRANSLATE(C29,""zh-tw"",""es-MX"")"),"Después de darle de comer a tu hermana menor un ""konpeito azul"" y un ""konpeito rosa"" con la opción ""¿Qué hay para beber?"", ella entrará en un estado ??.")</f>
        <v>Después de darle de comer a tu hermana menor un "konpeito azul" y un "konpeito rosa" con la opción "¿Qué hay para beber?", ella entrará en un estado ??.</v>
      </c>
      <c r="T29" s="55" t="str">
        <f>IFERROR(__xludf.DUMMYFUNCTION("GOOGLETRANSLATE(D29,""zh-tw"",""es-MX"")"),"No implementado")</f>
        <v>No implementado</v>
      </c>
      <c r="U29" s="84">
        <v>21.0</v>
      </c>
      <c r="V29" s="88" t="str">
        <f>IFERROR(__xludf.DUMMYFUNCTION("GOOGLETRANSLATE(B29,""zh-tw"",""KO"")"),"-")</f>
        <v>-</v>
      </c>
      <c r="W29" s="89" t="str">
        <f>IFERROR(__xludf.DUMMYFUNCTION("GOOGLETRANSLATE(C29,""zh-tw"",""KO"")"),"여동생에게 ""파란색 콘페이토""와 ""분홍색 콘페이토""를 먹이고 ""음료는 뭐 마실래?"" 옵션을 선택하면 여동생은 ?? 상태에 들어갑니다.")</f>
        <v>여동생에게 "파란색 콘페이토"와 "분홍색 콘페이토"를 먹이고 "음료는 뭐 마실래?" 옵션을 선택하면 여동생은 ?? 상태에 들어갑니다.</v>
      </c>
      <c r="X29" s="55" t="str">
        <f>IFERROR(__xludf.DUMMYFUNCTION("GOOGLETRANSLATE(D29,""zh-tw"",""KO"")"),"구현되지 않음")</f>
        <v>구현되지 않음</v>
      </c>
      <c r="Y29" s="84">
        <v>21.0</v>
      </c>
      <c r="Z29" s="99" t="s">
        <v>724</v>
      </c>
      <c r="AA29" s="102" t="s">
        <v>729</v>
      </c>
      <c r="AB29" s="43" t="s">
        <v>730</v>
      </c>
      <c r="AC29" s="84">
        <v>21.0</v>
      </c>
      <c r="AD29" s="98" t="s">
        <v>724</v>
      </c>
      <c r="AE29" s="86" t="s">
        <v>731</v>
      </c>
      <c r="AF29" s="87" t="s">
        <v>609</v>
      </c>
      <c r="AG29" s="84">
        <v>21.0</v>
      </c>
      <c r="AH29" s="92" t="s">
        <v>724</v>
      </c>
      <c r="AI29" s="93" t="s">
        <v>732</v>
      </c>
      <c r="AJ29" s="94" t="s">
        <v>733</v>
      </c>
      <c r="AK29" s="87"/>
      <c r="AL29" s="87"/>
      <c r="AM29" s="87"/>
      <c r="AN29" s="87"/>
      <c r="AO29" s="87"/>
    </row>
    <row r="30">
      <c r="A30" s="84">
        <v>22.0</v>
      </c>
      <c r="B30" s="85" t="s">
        <v>734</v>
      </c>
      <c r="C30" s="86" t="s">
        <v>735</v>
      </c>
      <c r="D30" s="87" t="s">
        <v>736</v>
      </c>
      <c r="E30" s="84">
        <v>22.0</v>
      </c>
      <c r="F30" s="85" t="s">
        <v>737</v>
      </c>
      <c r="G30" s="95" t="s">
        <v>738</v>
      </c>
      <c r="H30" s="87" t="s">
        <v>739</v>
      </c>
      <c r="I30" s="84">
        <v>22.0</v>
      </c>
      <c r="J30" s="85" t="s">
        <v>740</v>
      </c>
      <c r="K30" s="95" t="s">
        <v>741</v>
      </c>
      <c r="L30" s="87" t="s">
        <v>742</v>
      </c>
      <c r="M30" s="84">
        <v>22.0</v>
      </c>
      <c r="N30" s="85" t="str">
        <f>IFERROR(__xludf.DUMMYFUNCTION("GOOGLETRANSLATE(B30,""zh-tw"",""zh"")"),"恶梦")</f>
        <v>恶梦</v>
      </c>
      <c r="O30" s="89" t="str">
        <f>IFERROR(__xludf.DUMMYFUNCTION("GOOGLETRANSLATE(C30,""zh-tw"",""zh"")"),"当拔呆毛达到一定数量时，平时晚间睡觉时，可能触发做恶梦
(一天最多拔2次，隔天才能继续拔，累计拔到5次就会触发做恶梦)")</f>
        <v>当拔呆毛达到一定数量时，平时晚间睡觉时，可能触发做恶梦
(一天最多拔2次，隔天才能继续拔，累计拔到5次就会触发做恶梦)</v>
      </c>
      <c r="P30" s="55" t="str">
        <f>IFERROR(__xludf.DUMMYFUNCTION("GOOGLETRANSLATE(D30,""zh-tw"",""zh"")"),"触发恶梦动画")</f>
        <v>触发恶梦动画</v>
      </c>
      <c r="Q30" s="84">
        <v>22.0</v>
      </c>
      <c r="R30" s="88" t="s">
        <v>743</v>
      </c>
      <c r="S30" s="95" t="s">
        <v>744</v>
      </c>
      <c r="T30" s="55" t="s">
        <v>745</v>
      </c>
      <c r="U30" s="84">
        <v>22.0</v>
      </c>
      <c r="V30" s="98" t="s">
        <v>746</v>
      </c>
      <c r="W30" s="95" t="s">
        <v>747</v>
      </c>
      <c r="X30" s="52" t="s">
        <v>748</v>
      </c>
      <c r="Y30" s="84">
        <v>22.0</v>
      </c>
      <c r="Z30" s="99" t="s">
        <v>749</v>
      </c>
      <c r="AA30" s="91" t="s">
        <v>750</v>
      </c>
      <c r="AB30" s="43" t="s">
        <v>751</v>
      </c>
      <c r="AC30" s="84">
        <v>22.0</v>
      </c>
      <c r="AD30" s="85" t="s">
        <v>752</v>
      </c>
      <c r="AE30" s="95" t="s">
        <v>753</v>
      </c>
      <c r="AF30" s="52" t="s">
        <v>754</v>
      </c>
      <c r="AG30" s="84">
        <v>22.0</v>
      </c>
      <c r="AH30" s="92" t="s">
        <v>755</v>
      </c>
      <c r="AI30" s="93" t="s">
        <v>756</v>
      </c>
      <c r="AJ30" s="94" t="s">
        <v>757</v>
      </c>
      <c r="AK30" s="87"/>
      <c r="AL30" s="87"/>
      <c r="AM30" s="87"/>
      <c r="AN30" s="87"/>
      <c r="AO30" s="87"/>
    </row>
    <row r="31">
      <c r="A31" s="108">
        <v>23.0</v>
      </c>
      <c r="B31" s="98" t="s">
        <v>758</v>
      </c>
      <c r="C31" s="95" t="s">
        <v>759</v>
      </c>
      <c r="D31" s="52" t="s">
        <v>760</v>
      </c>
      <c r="E31" s="108">
        <v>23.0</v>
      </c>
      <c r="F31" s="98" t="s">
        <v>761</v>
      </c>
      <c r="G31" s="95" t="s">
        <v>762</v>
      </c>
      <c r="H31" s="52" t="s">
        <v>763</v>
      </c>
      <c r="I31" s="108">
        <v>23.0</v>
      </c>
      <c r="J31" s="98" t="s">
        <v>764</v>
      </c>
      <c r="K31" s="95" t="s">
        <v>765</v>
      </c>
      <c r="L31" s="52" t="s">
        <v>766</v>
      </c>
      <c r="M31" s="108">
        <v>23.0</v>
      </c>
      <c r="N31" s="85" t="str">
        <f>IFERROR(__xludf.DUMMYFUNCTION("GOOGLETRANSLATE(B31,""zh-tw"",""zh"")"),"和妹妹看电视")</f>
        <v>和妹妹看电视</v>
      </c>
      <c r="O31" s="89" t="str">
        <f>IFERROR(__xludf.DUMMYFUNCTION("GOOGLETRANSLATE(C31,""zh-tw"",""zh"")"),"关于客厅，必须游玩超过第5日后才会触发，每个档案都有一个随机值判定是礼拜几触发。
例如：存档的随机值是""每周六""，游戏内就是第6、13、20、27日可以触发。设定上大约于晚上8点期间可能触发")</f>
        <v>关于客厅，必须游玩超过第5日后才会触发，每个档案都有一个随机值判定是礼拜几触发。
例如：存档的随机值是"每周六"，游戏内就是第6、13、20、27日可以触发。设定上大约于晚上8点期间可能触发</v>
      </c>
      <c r="P31" s="55" t="str">
        <f>IFERROR(__xludf.DUMMYFUNCTION("GOOGLETRANSLATE(D31,""zh-tw"",""zh"")"),"观看电视
*大部分功能未实装")</f>
        <v>观看电视
*大部分功能未实装</v>
      </c>
      <c r="Q31" s="108">
        <v>23.0</v>
      </c>
      <c r="R31" s="88" t="str">
        <f>IFERROR(__xludf.DUMMYFUNCTION("GOOGLETRANSLATE(B31,""zh-tw"",""es-MX"")"),"Viendo la tele con mi hermana")</f>
        <v>Viendo la tele con mi hermana</v>
      </c>
      <c r="S31" s="89" t="str">
        <f>IFERROR(__xludf.DUMMYFUNCTION("GOOGLETRANSLATE(C31,""zh-tw"",""es-MX"")"),"En cuanto al salón, solo se activará tras jugar durante más de 5 días. Cada partida guardada tiene un valor aleatorio que determina qué día de la semana se activará.
Por ejemplo, si el valor aleatorio de la partida guardada es «todos los sábados», en el "&amp;"juego se activará los días 6, 13, 20 y 27. Está programado para activarse alrededor de las 20:00.")</f>
        <v>En cuanto al salón, solo se activará tras jugar durante más de 5 días. Cada partida guardada tiene un valor aleatorio que determina qué día de la semana se activará.
Por ejemplo, si el valor aleatorio de la partida guardada es «todos los sábados», en el juego se activará los días 6, 13, 20 y 27. Está programado para activarse alrededor de las 20:00.</v>
      </c>
      <c r="T31" s="55" t="str">
        <f>IFERROR(__xludf.DUMMYFUNCTION("GOOGLETRANSLATE(D31,""zh-tw"",""es-MX"")"),"Ver la televisión
*La mayoría de las funciones aún no están implementadas.")</f>
        <v>Ver la televisión
*La mayoría de las funciones aún no están implementadas.</v>
      </c>
      <c r="U31" s="108">
        <v>23.0</v>
      </c>
      <c r="V31" s="88" t="str">
        <f>IFERROR(__xludf.DUMMYFUNCTION("GOOGLETRANSLATE(B31,""zh-tw"",""KO"")"),"언니랑 같이 티비보며")</f>
        <v>언니랑 같이 티비보며</v>
      </c>
      <c r="W31" s="89" t="str">
        <f>IFERROR(__xludf.DUMMYFUNCTION("GOOGLETRANSLATE(C31,""zh-tw"",""KO"")"),"거실의 경우, 5일 이상 플레이한 후에만 활성화됩니다. 각 저장 파일에는 활성화될 요일을 결정하는 무작위 값이 있습니다.
예를 들어, 저장 파일의 무작위 값이 ""매주 토요일""이면 게임 내에서는 6일, 13일, 20일, 27일에 활성화될 수 있습니다. 저녁 8시경에 활성화되도록 설정되어 있습니다.")</f>
        <v>거실의 경우, 5일 이상 플레이한 후에만 활성화됩니다. 각 저장 파일에는 활성화될 요일을 결정하는 무작위 값이 있습니다.
예를 들어, 저장 파일의 무작위 값이 "매주 토요일"이면 게임 내에서는 6일, 13일, 20일, 27일에 활성화될 수 있습니다. 저녁 8시경에 활성화되도록 설정되어 있습니다.</v>
      </c>
      <c r="X31" s="55" t="str">
        <f>IFERROR(__xludf.DUMMYFUNCTION("GOOGLETRANSLATE(D31,""zh-tw"",""KO"")"),"TV 시청
*대부분의 기능은 아직 구현되지 않았습니다.")</f>
        <v>TV 시청
*대부분의 기능은 아직 구현되지 않았습니다.</v>
      </c>
      <c r="Y31" s="108">
        <v>23.0</v>
      </c>
      <c r="Z31" s="103" t="str">
        <f>IFERROR(__xludf.DUMMYFUNCTION("IF(J31="""", """", GOOGLETRANSLATE(
J31,""en"",""ru""))"),"Смотря телевизор")</f>
        <v>Смотря телевизор</v>
      </c>
      <c r="AA31" s="104" t="str">
        <f>IFERROR(__xludf.DUMMYFUNCTION("IF(K31="""", """", GOOGLETRANSLATE(K31,""en"",""RU""))"),"Событие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"&amp;"значит, что оно сработает на 6-й, 13-й, 20-й и т.д. день, и это событие чаще всего срабатывает около 20:00.")</f>
        <v>Событие «Гостиная» срабатывает только после 5-го дня. В каждом файле сохранения случайное значение определяет, в какой день недели это событие произойдёт. Например, моё значение в итоге указало «субботу» как день, когда произойдёт событие «Гостиная». Это значит, что оно сработает на 6-й, 13-й, 20-й и т.д. день, и это событие чаще всего срабатывает около 20:00.</v>
      </c>
      <c r="AB31" s="44" t="str">
        <f>IFERROR(__xludf.DUMMYFUNCTION("IF(L31="""", """", GOOGLETRANSLATE(L31, ""en"", ""ru""))
"),"Смотрит телевизор с помощью imouto
*Большинство функций пока не реализованы")</f>
        <v>Смотрит телевизор с помощью imouto
*Большинство функций пока не реализованы</v>
      </c>
      <c r="AC31" s="108">
        <v>23.0</v>
      </c>
      <c r="AD31" s="98" t="s">
        <v>767</v>
      </c>
      <c r="AE31" s="109" t="s">
        <v>768</v>
      </c>
      <c r="AF31" s="52" t="s">
        <v>769</v>
      </c>
      <c r="AG31" s="108">
        <v>23.0</v>
      </c>
      <c r="AH31" s="105" t="s">
        <v>770</v>
      </c>
      <c r="AI31" s="110" t="s">
        <v>771</v>
      </c>
      <c r="AJ31" s="101" t="s">
        <v>772</v>
      </c>
      <c r="AK31" s="87"/>
      <c r="AL31" s="87"/>
      <c r="AM31" s="87"/>
      <c r="AN31" s="87"/>
      <c r="AO31" s="87"/>
    </row>
    <row r="32">
      <c r="A32" s="108">
        <v>24.0</v>
      </c>
      <c r="B32" s="85" t="s">
        <v>773</v>
      </c>
      <c r="C32" s="86" t="s">
        <v>774</v>
      </c>
      <c r="D32" s="87" t="s">
        <v>775</v>
      </c>
      <c r="E32" s="108">
        <v>24.0</v>
      </c>
      <c r="F32" s="85" t="s">
        <v>776</v>
      </c>
      <c r="G32" s="86" t="s">
        <v>777</v>
      </c>
      <c r="H32" s="87" t="s">
        <v>778</v>
      </c>
      <c r="I32" s="108">
        <v>24.0</v>
      </c>
      <c r="J32" s="85" t="s">
        <v>779</v>
      </c>
      <c r="K32" s="86" t="s">
        <v>780</v>
      </c>
      <c r="L32" s="87" t="s">
        <v>781</v>
      </c>
      <c r="M32" s="108">
        <v>24.0</v>
      </c>
      <c r="N32" s="85" t="str">
        <f>IFERROR(__xludf.DUMMYFUNCTION("GOOGLETRANSLATE(B32,""zh-tw"",""zh"")"),"和妹妹撒娇")</f>
        <v>和妹妹撒娇</v>
      </c>
      <c r="O32" s="89" t="str">
        <f>IFERROR(__xludf.DUMMYFUNCTION("GOOGLETRANSLATE(C32,""zh-tw"",""zh"")"),"拥有""什么都行券""，平时要和""妹妹做点什么""时，会新增一个选项")</f>
        <v>拥有"什么都行券"，平时要和"妹妹做点什么"时，会新增一个选项</v>
      </c>
      <c r="P32" s="55" t="str">
        <f>IFERROR(__xludf.DUMMYFUNCTION("GOOGLETRANSLATE(D32,""zh-tw"",""zh"")"),"新增选项：向妹妹撒娇吧！
*目前尚无后续")</f>
        <v>新增选项：向妹妹撒娇吧！
*目前尚无后续</v>
      </c>
      <c r="Q32" s="108">
        <v>24.0</v>
      </c>
      <c r="R32" s="88" t="str">
        <f>IFERROR(__xludf.DUMMYFUNCTION("GOOGLETRANSLATE(B32,""zh-tw"",""es-MX"")"),"Haciéndome la tierna con mi hermana menor")</f>
        <v>Haciéndome la tierna con mi hermana menor</v>
      </c>
      <c r="S32" s="89" t="str">
        <f>IFERROR(__xludf.DUMMYFUNCTION("GOOGLETRANSLATE(C32,""zh-tw"",""es-MX"")"),"Tener el cupón ""Todo Vale"" añade una nueva opción cuando quieres ""hacer algo con tu hermana"".")</f>
        <v>Tener el cupón "Todo Vale" añade una nueva opción cuando quieres "hacer algo con tu hermana".</v>
      </c>
      <c r="T32" s="55" t="str">
        <f>IFERROR(__xludf.DUMMYFUNCTION("GOOGLETRANSLATE(D32,""zh-tw"",""es-MX"")"),"Nueva opción: ¡Demuestra cariño a tu hermana!
*Aún no hay más actualizaciones.")</f>
        <v>Nueva opción: ¡Demuestra cariño a tu hermana!
*Aún no hay más actualizaciones.</v>
      </c>
      <c r="U32" s="108">
        <v>24.0</v>
      </c>
      <c r="V32" s="88" t="str">
        <f>IFERROR(__xludf.DUMMYFUNCTION("GOOGLETRANSLATE(B32,""zh-tw"",""KO"")"),"여동생에게 귀엽게 행동하다")</f>
        <v>여동생에게 귀엽게 행동하다</v>
      </c>
      <c r="W32" s="89" t="str">
        <f>IFERROR(__xludf.DUMMYFUNCTION("GOOGLETRANSLATE(C32,""zh-tw"",""KO"")"),"""무엇이든 가능"" 쿠폰이 있으면 ""여동생과 함께 무언가를 하고 싶을 때"" 새로운 옵션이 추가됩니다.")</f>
        <v>"무엇이든 가능" 쿠폰이 있으면 "여동생과 함께 무언가를 하고 싶을 때" 새로운 옵션이 추가됩니다.</v>
      </c>
      <c r="X32" s="55" t="str">
        <f>IFERROR(__xludf.DUMMYFUNCTION("GOOGLETRANSLATE(D32,""zh-tw"",""KO"")"),"새로운 옵션: 여동생에게 애정을 표현하세요!
*아직 업데이트가 없습니다.")</f>
        <v>새로운 옵션: 여동생에게 애정을 표현하세요!
*아직 업데이트가 없습니다.</v>
      </c>
      <c r="Y32" s="108">
        <v>24.0</v>
      </c>
      <c r="Z32" s="103" t="str">
        <f>IFERROR(__xludf.DUMMYFUNCTION("IF(J32="""", """", GOOGLETRANSLATE(
J32,""en"",""ru""))"),"Побалуйте меня!")</f>
        <v>Побалуйте меня!</v>
      </c>
      <c r="AA32" s="104" t="str">
        <f>IFERROR(__xludf.DUMMYFUNCTION("IF(K32="""", """", GOOGLETRANSLATE(K32,""en"",""RU""))"),"Если у вас есть «Билет бесплатного прохода», вы можете использовать его при выборе пункта «Сделать что-нибудь» во время разговора с Имото в ее комнате.")</f>
        <v>Если у вас есть «Билет бесплатного прохода», вы можете использовать его при выборе пункта «Сделать что-нибудь» во время разговора с Имото в ее комнате.</v>
      </c>
      <c r="AB32" s="44" t="str">
        <f>IFERROR(__xludf.DUMMYFUNCTION("IF(L32="""", """", GOOGLETRANSLATE(L32, ""en"", ""ru""))
"),"Новая опция: Побалуйте меня!
Пока нет продолжения")</f>
        <v>Новая опция: Побалуйте меня!
Пока нет продолжения</v>
      </c>
      <c r="AC32" s="108">
        <v>24.0</v>
      </c>
      <c r="AD32" s="85" t="s">
        <v>782</v>
      </c>
      <c r="AE32" s="86" t="s">
        <v>783</v>
      </c>
      <c r="AF32" s="87" t="s">
        <v>784</v>
      </c>
      <c r="AG32" s="108">
        <v>24.0</v>
      </c>
      <c r="AH32" s="85" t="s">
        <v>785</v>
      </c>
      <c r="AI32" s="89" t="s">
        <v>786</v>
      </c>
      <c r="AJ32" s="87" t="s">
        <v>787</v>
      </c>
      <c r="AK32" s="87"/>
      <c r="AL32" s="87"/>
      <c r="AM32" s="87"/>
      <c r="AN32" s="87"/>
      <c r="AO32" s="87"/>
    </row>
    <row r="33">
      <c r="A33" s="77"/>
      <c r="B33" s="78"/>
      <c r="C33" s="78"/>
      <c r="D33" s="78"/>
      <c r="E33" s="77"/>
      <c r="F33" s="78"/>
      <c r="G33" s="78"/>
      <c r="H33" s="78"/>
      <c r="I33" s="77"/>
      <c r="J33" s="78"/>
      <c r="K33" s="78"/>
      <c r="L33" s="78"/>
      <c r="M33" s="77"/>
      <c r="N33" s="78"/>
      <c r="O33" s="46"/>
      <c r="P33" s="46"/>
      <c r="Q33" s="77"/>
      <c r="R33" s="46"/>
      <c r="S33" s="78"/>
      <c r="T33" s="46"/>
      <c r="U33" s="77"/>
      <c r="V33" s="46"/>
      <c r="W33" s="46"/>
      <c r="X33" s="46"/>
      <c r="Y33" s="77"/>
      <c r="Z33" s="78"/>
      <c r="AA33" s="78"/>
      <c r="AB33" s="78"/>
      <c r="AC33" s="77"/>
      <c r="AD33" s="78"/>
      <c r="AE33" s="78"/>
      <c r="AF33" s="78"/>
      <c r="AG33" s="77"/>
      <c r="AH33" s="79"/>
      <c r="AI33" s="79"/>
      <c r="AJ33" s="79"/>
      <c r="AK33" s="78"/>
      <c r="AL33" s="78"/>
      <c r="AM33" s="78"/>
      <c r="AN33" s="78"/>
      <c r="AO33" s="78"/>
    </row>
    <row r="34">
      <c r="A34" s="80" t="s">
        <v>788</v>
      </c>
      <c r="B34" s="81" t="s">
        <v>789</v>
      </c>
      <c r="E34" s="80" t="s">
        <v>788</v>
      </c>
      <c r="F34" s="80" t="s">
        <v>790</v>
      </c>
      <c r="I34" s="80" t="s">
        <v>788</v>
      </c>
      <c r="J34" s="80" t="s">
        <v>791</v>
      </c>
      <c r="M34" s="80" t="s">
        <v>788</v>
      </c>
      <c r="N34" s="81" t="str">
        <f>IFERROR(__xludf.DUMMYFUNCTION("GOOGLETRANSLATE(B34,""zh-tw"",""zh"")"),"厕所相关")</f>
        <v>厕所相关</v>
      </c>
      <c r="Q34" s="80" t="s">
        <v>788</v>
      </c>
      <c r="R34" s="80" t="s">
        <v>792</v>
      </c>
      <c r="U34" s="80" t="s">
        <v>788</v>
      </c>
      <c r="V34" s="80" t="s">
        <v>793</v>
      </c>
      <c r="Y34" s="80" t="s">
        <v>788</v>
      </c>
      <c r="Z34" s="80" t="s">
        <v>794</v>
      </c>
      <c r="AC34" s="80" t="s">
        <v>788</v>
      </c>
      <c r="AD34" s="80" t="s">
        <v>795</v>
      </c>
      <c r="AG34" s="80" t="s">
        <v>788</v>
      </c>
      <c r="AH34" s="83" t="s">
        <v>796</v>
      </c>
      <c r="AK34" s="81"/>
      <c r="AL34" s="81"/>
      <c r="AM34" s="81"/>
      <c r="AN34" s="81"/>
      <c r="AO34" s="81"/>
    </row>
    <row r="35">
      <c r="A35" s="84">
        <v>1.0</v>
      </c>
      <c r="B35" s="85" t="s">
        <v>797</v>
      </c>
      <c r="C35" s="86" t="s">
        <v>798</v>
      </c>
      <c r="D35" s="87" t="s">
        <v>799</v>
      </c>
      <c r="E35" s="84">
        <v>1.0</v>
      </c>
      <c r="F35" s="85" t="s">
        <v>800</v>
      </c>
      <c r="G35" s="86" t="s">
        <v>801</v>
      </c>
      <c r="H35" s="87" t="s">
        <v>802</v>
      </c>
      <c r="I35" s="84">
        <v>1.0</v>
      </c>
      <c r="J35" s="85" t="s">
        <v>803</v>
      </c>
      <c r="K35" s="86" t="s">
        <v>804</v>
      </c>
      <c r="L35" s="87" t="s">
        <v>805</v>
      </c>
      <c r="M35" s="84">
        <v>1.0</v>
      </c>
      <c r="N35" s="85" t="str">
        <f>IFERROR(__xludf.DUMMYFUNCTION("GOOGLETRANSLATE(B35,""zh-tw"",""zh"")"),"哥要加油")</f>
        <v>哥要加油</v>
      </c>
      <c r="O35" s="89" t="str">
        <f>IFERROR(__xludf.DUMMYFUNCTION("GOOGLETRANSLATE(C35,""zh-tw"",""zh"")"),"于厕所待的时间过长，并持续N天")</f>
        <v>于厕所待的时间过长，并持续N天</v>
      </c>
      <c r="P35" s="55" t="s">
        <v>806</v>
      </c>
      <c r="Q35" s="84">
        <v>1.0</v>
      </c>
      <c r="R35" s="85" t="s">
        <v>807</v>
      </c>
      <c r="S35" s="95" t="s">
        <v>808</v>
      </c>
      <c r="T35" s="55" t="str">
        <f>IFERROR(__xludf.DUMMYFUNCTION("GOOGLETRANSLATE(D35,""zh-tw"",""es-MX"")"),"Hacia el cuarto día, la hermana menor malinterpretará la situación y pensará que su hermano está enfermo. (No hay más detalles disponibles sobre la mecánica del juego).")</f>
        <v>Hacia el cuarto día, la hermana menor malinterpretará la situación y pensará que su hermano está enfermo. (No hay más detalles disponibles sobre la mecánica del juego).</v>
      </c>
      <c r="U35" s="84">
        <v>1.0</v>
      </c>
      <c r="V35" s="88" t="s">
        <v>809</v>
      </c>
      <c r="W35" s="89" t="s">
        <v>810</v>
      </c>
      <c r="X35" s="55" t="s">
        <v>811</v>
      </c>
      <c r="Y35" s="84">
        <v>1.0</v>
      </c>
      <c r="Z35" s="99" t="s">
        <v>812</v>
      </c>
      <c r="AA35" s="102" t="s">
        <v>813</v>
      </c>
      <c r="AB35" s="43" t="s">
        <v>814</v>
      </c>
      <c r="AC35" s="84">
        <v>1.0</v>
      </c>
      <c r="AD35" s="85" t="s">
        <v>815</v>
      </c>
      <c r="AE35" s="86" t="s">
        <v>816</v>
      </c>
      <c r="AF35" s="87" t="s">
        <v>817</v>
      </c>
      <c r="AG35" s="84">
        <v>1.0</v>
      </c>
      <c r="AH35" s="92" t="s">
        <v>818</v>
      </c>
      <c r="AI35" s="93" t="s">
        <v>819</v>
      </c>
      <c r="AJ35" s="94" t="s">
        <v>820</v>
      </c>
      <c r="AK35" s="87"/>
      <c r="AL35" s="87"/>
      <c r="AM35" s="87"/>
      <c r="AN35" s="87"/>
      <c r="AO35" s="87"/>
    </row>
    <row r="36">
      <c r="A36" s="108">
        <v>2.0</v>
      </c>
      <c r="B36" s="85" t="s">
        <v>821</v>
      </c>
      <c r="C36" s="86" t="s">
        <v>822</v>
      </c>
      <c r="D36" s="87" t="s">
        <v>823</v>
      </c>
      <c r="E36" s="108">
        <v>2.0</v>
      </c>
      <c r="F36" s="85" t="s">
        <v>824</v>
      </c>
      <c r="G36" s="86" t="s">
        <v>825</v>
      </c>
      <c r="H36" s="87" t="s">
        <v>826</v>
      </c>
      <c r="I36" s="108">
        <v>2.0</v>
      </c>
      <c r="J36" s="85" t="s">
        <v>827</v>
      </c>
      <c r="K36" s="86" t="s">
        <v>828</v>
      </c>
      <c r="L36" s="87" t="s">
        <v>829</v>
      </c>
      <c r="M36" s="108">
        <v>2.0</v>
      </c>
      <c r="N36" s="85" t="str">
        <f>IFERROR(__xludf.DUMMYFUNCTION("GOOGLETRANSLATE(B36,""zh-tw"",""zh"")"),"发情的妹妹-1")</f>
        <v>发情的妹妹-1</v>
      </c>
      <c r="O36" s="89" t="str">
        <f>IFERROR(__xludf.DUMMYFUNCTION("GOOGLETRANSLATE(C36,""zh-tw"",""zh"")"),"「喝点什么」给妹妹喂「粉色金平糖」后，第一次必定触发，然后请点选空白处回到召唤妹妹的画面，会触发剧情
(其他出现糖的场合，目前只是单纯的过场)")</f>
        <v>「喝点什么」给妹妹喂「粉色金平糖」后，第一次必定触发，然后请点选空白处回到召唤妹妹的画面，会触发剧情
(其他出现糖的场合，目前只是单纯的过场)</v>
      </c>
      <c r="P36" s="55" t="str">
        <f>IFERROR(__xludf.DUMMYFUNCTION("GOOGLETRANSLATE(D36,""zh-tw"",""zh"")"),"触发妹妹在厕所解决需求的剧情
不同紫心会有差别演出
另外在发情的状态下，平常时会有不同的对话、亲密接触等")</f>
        <v>触发妹妹在厕所解决需求的剧情
不同紫心会有差别演出
另外在发情的状态下，平常时会有不同的对话、亲密接触等</v>
      </c>
      <c r="Q36" s="108">
        <v>2.0</v>
      </c>
      <c r="R36" s="85" t="s">
        <v>830</v>
      </c>
      <c r="S36" s="89" t="s">
        <v>831</v>
      </c>
      <c r="T36" s="55" t="s">
        <v>832</v>
      </c>
      <c r="U36" s="108">
        <v>2.0</v>
      </c>
      <c r="V36" s="98" t="s">
        <v>833</v>
      </c>
      <c r="W36" s="95" t="s">
        <v>834</v>
      </c>
      <c r="X36" s="52" t="s">
        <v>835</v>
      </c>
      <c r="Y36" s="108">
        <v>2.0</v>
      </c>
      <c r="Z36" s="99" t="s">
        <v>836</v>
      </c>
      <c r="AA36" s="91" t="s">
        <v>837</v>
      </c>
      <c r="AB36" s="43" t="s">
        <v>838</v>
      </c>
      <c r="AC36" s="108">
        <v>2.0</v>
      </c>
      <c r="AD36" s="98" t="s">
        <v>839</v>
      </c>
      <c r="AE36" s="86" t="s">
        <v>840</v>
      </c>
      <c r="AF36" s="87" t="s">
        <v>841</v>
      </c>
      <c r="AG36" s="108">
        <v>2.0</v>
      </c>
      <c r="AH36" s="92" t="s">
        <v>842</v>
      </c>
      <c r="AI36" s="93" t="s">
        <v>843</v>
      </c>
      <c r="AJ36" s="94" t="s">
        <v>844</v>
      </c>
      <c r="AK36" s="87"/>
      <c r="AL36" s="87"/>
      <c r="AM36" s="87"/>
      <c r="AN36" s="87"/>
      <c r="AO36" s="87"/>
    </row>
    <row r="37">
      <c r="A37" s="84">
        <v>3.0</v>
      </c>
      <c r="B37" s="85" t="s">
        <v>845</v>
      </c>
      <c r="C37" s="86" t="s">
        <v>846</v>
      </c>
      <c r="D37" s="87" t="s">
        <v>847</v>
      </c>
      <c r="E37" s="84">
        <v>3.0</v>
      </c>
      <c r="F37" s="85" t="s">
        <v>848</v>
      </c>
      <c r="G37" s="86" t="s">
        <v>849</v>
      </c>
      <c r="H37" s="87" t="s">
        <v>850</v>
      </c>
      <c r="I37" s="84">
        <v>3.0</v>
      </c>
      <c r="J37" s="85" t="s">
        <v>851</v>
      </c>
      <c r="K37" s="86" t="s">
        <v>852</v>
      </c>
      <c r="L37" s="87" t="s">
        <v>853</v>
      </c>
      <c r="M37" s="84">
        <v>3.0</v>
      </c>
      <c r="N37" s="85" t="str">
        <f>IFERROR(__xludf.DUMMYFUNCTION("GOOGLETRANSLATE(B37,""zh-tw"",""zh"")"),"发情的妹妹-2")</f>
        <v>发情的妹妹-2</v>
      </c>
      <c r="O37" s="89" t="str">
        <f>IFERROR(__xludf.DUMMYFUNCTION("GOOGLETRANSLATE(C37,""zh-tw"",""zh"")"),"承上，当紫心达到一定程度后，哥哥能进入并且让妹妹服务。")</f>
        <v>承上，当紫心达到一定程度后，哥哥能进入并且让妹妹服务。</v>
      </c>
      <c r="P37" s="55" t="str">
        <f>IFERROR(__xludf.DUMMYFUNCTION("GOOGLETRANSLATE(D37,""zh-tw"",""zh"")"),"使用手部进行特殊剧情")</f>
        <v>使用手部进行特殊剧情</v>
      </c>
      <c r="Q37" s="84">
        <v>3.0</v>
      </c>
      <c r="R37" s="88" t="s">
        <v>854</v>
      </c>
      <c r="S37" s="86" t="s">
        <v>855</v>
      </c>
      <c r="T37" s="55" t="s">
        <v>856</v>
      </c>
      <c r="U37" s="84">
        <v>3.0</v>
      </c>
      <c r="V37" s="98" t="s">
        <v>857</v>
      </c>
      <c r="W37" s="95" t="s">
        <v>858</v>
      </c>
      <c r="X37" s="52" t="s">
        <v>859</v>
      </c>
      <c r="Y37" s="84">
        <v>3.0</v>
      </c>
      <c r="Z37" s="99" t="s">
        <v>860</v>
      </c>
      <c r="AA37" s="102" t="str">
        <f>IFERROR(__xludf.DUMMYFUNCTION("IF(K37="""", """", GOOGLETRANSLATE(K37,""en"",""RU""))"),"То же, что и выше. Когда пурпурное сердце сестры достигает определённого уровня, брат может подойти и попросить её об услуге.")</f>
        <v>То же, что и выше. Когда пурпурное сердце сестры достигает определённого уровня, брат может подойти и попросить её об услуге.</v>
      </c>
      <c r="AB37" s="97" t="str">
        <f>IFERROR(__xludf.DUMMYFUNCTION("IF(L37="""", """", GOOGLETRANSLATE(L37, ""en"", ""ru""))
"),"Руки будут использоваться для запуска специальных сцен.")</f>
        <v>Руки будут использоваться для запуска специальных сцен.</v>
      </c>
      <c r="AC37" s="84">
        <v>3.0</v>
      </c>
      <c r="AD37" s="98" t="s">
        <v>861</v>
      </c>
      <c r="AE37" s="86" t="s">
        <v>862</v>
      </c>
      <c r="AF37" s="87" t="s">
        <v>863</v>
      </c>
      <c r="AG37" s="84">
        <v>3.0</v>
      </c>
      <c r="AH37" s="92" t="s">
        <v>864</v>
      </c>
      <c r="AI37" s="93" t="s">
        <v>865</v>
      </c>
      <c r="AJ37" s="94" t="s">
        <v>866</v>
      </c>
      <c r="AK37" s="87"/>
      <c r="AL37" s="87"/>
      <c r="AM37" s="87"/>
      <c r="AN37" s="87"/>
      <c r="AO37" s="87"/>
    </row>
    <row r="38">
      <c r="A38" s="108">
        <v>4.0</v>
      </c>
      <c r="B38" s="85" t="s">
        <v>867</v>
      </c>
      <c r="C38" s="86" t="s">
        <v>868</v>
      </c>
      <c r="D38" s="52" t="s">
        <v>869</v>
      </c>
      <c r="E38" s="108">
        <v>4.0</v>
      </c>
      <c r="F38" s="85" t="s">
        <v>870</v>
      </c>
      <c r="G38" s="86" t="s">
        <v>871</v>
      </c>
      <c r="H38" s="87" t="s">
        <v>872</v>
      </c>
      <c r="I38" s="108">
        <v>4.0</v>
      </c>
      <c r="J38" s="85" t="s">
        <v>873</v>
      </c>
      <c r="K38" s="86" t="s">
        <v>874</v>
      </c>
      <c r="L38" s="52" t="s">
        <v>875</v>
      </c>
      <c r="M38" s="108">
        <v>4.0</v>
      </c>
      <c r="N38" s="85" t="str">
        <f>IFERROR(__xludf.DUMMYFUNCTION("GOOGLETRANSLATE(B38,""zh-tw"",""zh"")"),"发情的妹妹-3")</f>
        <v>发情的妹妹-3</v>
      </c>
      <c r="O38" s="89" t="str">
        <f>IFERROR(__xludf.DUMMYFUNCTION("GOOGLETRANSLATE(C38,""zh-tw"",""zh"")"),"承第1点，若此时遇到蟑螂的突击，触发一种分歧")</f>
        <v>承第1点，若此时遇到蟑螂的突击，触发一种分歧</v>
      </c>
      <c r="P38" s="55" t="str">
        <f>IFERROR(__xludf.DUMMYFUNCTION("GOOGLETRANSLATE(D38,""zh-tw"",""zh"")"),"触发打蟑螂剧情
备注：无须发现Z的前置操作
(未实装)")</f>
        <v>触发打蟑螂剧情
备注：无须发现Z的前置操作
(未实装)</v>
      </c>
      <c r="Q38" s="108">
        <v>4.0</v>
      </c>
      <c r="R38" s="88" t="s">
        <v>876</v>
      </c>
      <c r="S38" s="86" t="s">
        <v>877</v>
      </c>
      <c r="T38" s="55" t="s">
        <v>878</v>
      </c>
      <c r="U38" s="108">
        <v>4.0</v>
      </c>
      <c r="V38" s="98" t="s">
        <v>879</v>
      </c>
      <c r="W38" s="95" t="s">
        <v>880</v>
      </c>
      <c r="X38" s="52" t="s">
        <v>881</v>
      </c>
      <c r="Y38" s="108">
        <v>4.0</v>
      </c>
      <c r="Z38" s="99" t="s">
        <v>882</v>
      </c>
      <c r="AA38" s="102" t="str">
        <f>IFERROR(__xludf.DUMMYFUNCTION("IF(K38="""", """", GOOGLETRANSLATE(K38,""en"",""RU""))"),"Основываясь на Sister in Heat - 1, если вы в этот раз столкнетесь с буквой «С», сюжет будет разветвляться по-другому.")</f>
        <v>Основываясь на Sister in Heat - 1, если вы в этот раз столкнетесь с буквой «С», сюжет будет разветвляться по-другому.</v>
      </c>
      <c r="AB38" s="97" t="str">
        <f>IFERROR(__xludf.DUMMYFUNCTION("IF(L38="""", """", GOOGLETRANSLATE(L38, ""en"", ""ru""))
"),"Запускает событие уничтожения «C».
Примечание: Вам не нужно заранее искать «C».
(Пока не реализовано)")</f>
        <v>Запускает событие уничтожения «C».
Примечание: Вам не нужно заранее искать «C».
(Пока не реализовано)</v>
      </c>
      <c r="AC38" s="108">
        <v>4.0</v>
      </c>
      <c r="AD38" s="98" t="s">
        <v>883</v>
      </c>
      <c r="AE38" s="86" t="s">
        <v>884</v>
      </c>
      <c r="AF38" s="87" t="s">
        <v>885</v>
      </c>
      <c r="AG38" s="108">
        <v>4.0</v>
      </c>
      <c r="AH38" s="92" t="s">
        <v>886</v>
      </c>
      <c r="AI38" s="93" t="s">
        <v>887</v>
      </c>
      <c r="AJ38" s="94" t="s">
        <v>888</v>
      </c>
      <c r="AK38" s="52"/>
      <c r="AL38" s="52"/>
      <c r="AM38" s="52"/>
      <c r="AN38" s="52"/>
      <c r="AO38" s="52"/>
    </row>
    <row r="39">
      <c r="A39" s="84">
        <v>5.0</v>
      </c>
      <c r="B39" s="85" t="s">
        <v>889</v>
      </c>
      <c r="C39" s="86" t="s">
        <v>890</v>
      </c>
      <c r="D39" s="87" t="s">
        <v>891</v>
      </c>
      <c r="E39" s="84">
        <v>5.0</v>
      </c>
      <c r="F39" s="85" t="s">
        <v>892</v>
      </c>
      <c r="G39" s="86" t="s">
        <v>893</v>
      </c>
      <c r="H39" s="87" t="s">
        <v>894</v>
      </c>
      <c r="I39" s="84">
        <v>5.0</v>
      </c>
      <c r="J39" s="85" t="s">
        <v>895</v>
      </c>
      <c r="K39" s="86" t="s">
        <v>896</v>
      </c>
      <c r="L39" s="87" t="s">
        <v>897</v>
      </c>
      <c r="M39" s="84">
        <v>5.0</v>
      </c>
      <c r="N39" s="85" t="str">
        <f>IFERROR(__xludf.DUMMYFUNCTION("GOOGLETRANSLATE(B39,""zh-tw"",""zh"")"),"憋不住了-1")</f>
        <v>憋不住了-1</v>
      </c>
      <c r="O39" s="89" t="str">
        <f>IFERROR(__xludf.DUMMYFUNCTION("GOOGLETRANSLATE(C39,""zh-tw"",""zh"")"),"部分食材，(例如：垃圾、紫丁香蘑菇、月夜茸)，做成料理后，都有相当的概率让哥哥进入食物中毒状态")</f>
        <v>部分食材，(例如：垃圾、紫丁香蘑菇、月夜茸)，做成料理后，都有相当的概率让哥哥进入食物中毒状态</v>
      </c>
      <c r="P39" s="55" t="str">
        <f>IFERROR(__xludf.DUMMYFUNCTION("GOOGLETRANSLATE(D39,""zh-tw"",""zh"")"),"一段时间后强制触发腹泻事件，大量损失体力并减少夜晚的自由活动时间。
还有机率同时触发妹妹的憋尿事件。")</f>
        <v>一段时间后强制触发腹泻事件，大量损失体力并减少夜晚的自由活动时间。
还有机率同时触发妹妹的憋尿事件。</v>
      </c>
      <c r="Q39" s="84">
        <v>5.0</v>
      </c>
      <c r="R39" s="85" t="s">
        <v>898</v>
      </c>
      <c r="S39" s="89" t="str">
        <f>IFERROR(__xludf.DUMMYFUNCTION("GOOGLETRANSLATE(C39,""zh-tw"",""es-MX"")"),"Algunos ingredientes (como la basura, las setas lila y las setas de luna) tienen una probabilidad significativa de causar intoxicación alimentaria en el hermano mayor cuando se cocinan.")</f>
        <v>Algunos ingredientes (como la basura, las setas lila y las setas de luna) tienen una probabilidad significativa de causar intoxicación alimentaria en el hermano mayor cuando se cocinan.</v>
      </c>
      <c r="T39" s="55" t="str">
        <f>IFERROR(__xludf.DUMMYFUNCTION("GOOGLETRANSLATE(D39,""zh-tw"",""es-MX"")"),"Tras un tiempo, se desencadenará un episodio de diarrea, lo que provocará una pérdida de energía significativa y una reducción del tiempo libre por la noche.
También existe la posibilidad de que la hermana menor sufra retención urinaria.")</f>
        <v>Tras un tiempo, se desencadenará un episodio de diarrea, lo que provocará una pérdida de energía significativa y una reducción del tiempo libre por la noche.
También existe la posibilidad de que la hermana menor sufra retención urinaria.</v>
      </c>
      <c r="U39" s="84">
        <v>5.0</v>
      </c>
      <c r="V39" s="88" t="str">
        <f>IFERROR(__xludf.DUMMYFUNCTION("GOOGLETRANSLATE(B39,""zh-tw"",""KO"")"),"더 이상 참을 수 없어 -1")</f>
        <v>더 이상 참을 수 없어 -1</v>
      </c>
      <c r="W39" s="95" t="s">
        <v>899</v>
      </c>
      <c r="X39" s="52" t="s">
        <v>900</v>
      </c>
      <c r="Y39" s="84">
        <v>5.0</v>
      </c>
      <c r="Z39" s="90" t="str">
        <f>IFERROR(__xludf.DUMMYFUNCTION("IF(J39="""", """", GOOGLETRANSLATE(
J39,""en"",""ru""))"),"Я больше не могу... - 1")</f>
        <v>Я больше не могу... - 1</v>
      </c>
      <c r="AA39" s="102" t="str">
        <f>IFERROR(__xludf.DUMMYFUNCTION("IF(K39="""", """", GOOGLETRANSLATE(K39,""en"",""RU""))"),"Некоторые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f>
        <v>Некоторые пищевые ингредиенты, такие как грибы-мусорщики, сиреневые грибы, лунные грибы и т. д., могут вызвать пищевое отравление при приготовлении. Пищевое отравление затрагивает только брата и вызывает расстройство желудка.</v>
      </c>
      <c r="AB39" s="97" t="str">
        <f>IFERROR(__xludf.DUMMYFUNCTION("IF(L39="""", """", GOOGLETRANSLATE(L39, ""en"", ""ru""))
"),"После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f>
        <v>После употребления еды произойдёт диарея. Ваше здоровье значительно ухудшится, а свободное время на ночь сократится.
Также есть вероятность, что сестра задержит мочеиспускание и попытается вас поторопить.</v>
      </c>
      <c r="AC39" s="84">
        <v>5.0</v>
      </c>
      <c r="AD39" s="85" t="s">
        <v>901</v>
      </c>
      <c r="AE39" s="86" t="s">
        <v>902</v>
      </c>
      <c r="AF39" s="87" t="s">
        <v>903</v>
      </c>
      <c r="AG39" s="84">
        <v>5.0</v>
      </c>
      <c r="AH39" s="92" t="s">
        <v>904</v>
      </c>
      <c r="AI39" s="93" t="s">
        <v>905</v>
      </c>
      <c r="AJ39" s="94" t="s">
        <v>906</v>
      </c>
      <c r="AK39" s="87"/>
      <c r="AL39" s="87"/>
      <c r="AM39" s="87"/>
      <c r="AN39" s="87"/>
      <c r="AO39" s="87"/>
    </row>
    <row r="40">
      <c r="A40" s="108">
        <v>6.0</v>
      </c>
      <c r="B40" s="85" t="s">
        <v>907</v>
      </c>
      <c r="C40" s="86" t="s">
        <v>908</v>
      </c>
      <c r="D40" s="87" t="s">
        <v>909</v>
      </c>
      <c r="E40" s="108">
        <v>6.0</v>
      </c>
      <c r="F40" s="85" t="s">
        <v>910</v>
      </c>
      <c r="G40" s="86" t="s">
        <v>911</v>
      </c>
      <c r="H40" s="87" t="s">
        <v>912</v>
      </c>
      <c r="I40" s="108">
        <v>6.0</v>
      </c>
      <c r="J40" s="85" t="s">
        <v>913</v>
      </c>
      <c r="K40" s="86" t="s">
        <v>914</v>
      </c>
      <c r="L40" s="87" t="s">
        <v>915</v>
      </c>
      <c r="M40" s="108">
        <v>6.0</v>
      </c>
      <c r="N40" s="85" t="str">
        <f>IFERROR(__xludf.DUMMYFUNCTION("GOOGLETRANSLATE(B40,""zh-tw"",""zh"")"),"憋不住了-2")</f>
        <v>憋不住了-2</v>
      </c>
      <c r="O40" s="89" t="str">
        <f>IFERROR(__xludf.DUMMYFUNCTION("GOOGLETRANSLATE(C40,""zh-tw"",""zh"")"),"如果食材还混入了辣椒，会进一步强化腹泻的副作用")</f>
        <v>如果食材还混入了辣椒，会进一步强化腹泻的副作用</v>
      </c>
      <c r="P40" s="55" t="str">
        <f>IFERROR(__xludf.DUMMYFUNCTION("GOOGLETRANSLATE(D40,""zh-tw"",""zh"")"),"隔天冒险时，哥哥会因为屁股痛无法奔跑。
※这个是可透过塔罗牌、胡萝卜牛奶清除的异常状态
※目前版本会一直维持，之后会修改为定时解除")</f>
        <v>隔天冒险时，哥哥会因为屁股痛无法奔跑。
※这个是可透过塔罗牌、胡萝卜牛奶清除的异常状态
※目前版本会一直维持，之后会修改为定时解除</v>
      </c>
      <c r="Q40" s="108">
        <v>6.0</v>
      </c>
      <c r="R40" s="85" t="s">
        <v>916</v>
      </c>
      <c r="S40" s="89" t="str">
        <f>IFERROR(__xludf.DUMMYFUNCTION("GOOGLETRANSLATE(C40,""zh-tw"",""es-MX"")"),"Si además se añaden chiles a la comida, se agravarán aún más los efectos secundarios de la diarrea.")</f>
        <v>Si además se añaden chiles a la comida, se agravarán aún más los efectos secundarios de la diarrea.</v>
      </c>
      <c r="T40" s="55" t="str">
        <f>IFERROR(__xludf.DUMMYFUNCTION("GOOGLETRANSLATE(D40,""zh-tw"",""es-MX"")"),"Al día siguiente, durante la aventura, el hermano mayor no podrá correr debido a un fuerte dolor en el trasero.
※Este es un estado anormal que se puede solucionar con cartas del tarot y leche de zanahoria.
※En la versión actual, este estado persistirá; "&amp;"más adelante se cambiará para que desaparezca con el tiempo.")</f>
        <v>Al día siguiente, durante la aventura, el hermano mayor no podrá correr debido a un fuerte dolor en el trasero.
※Este es un estado anormal que se puede solucionar con cartas del tarot y leche de zanahoria.
※En la versión actual, este estado persistirá; más adelante se cambiará para que desaparezca con el tiempo.</v>
      </c>
      <c r="U40" s="108">
        <v>6.0</v>
      </c>
      <c r="V40" s="88" t="str">
        <f>IFERROR(__xludf.DUMMYFUNCTION("GOOGLETRANSLATE(B40,""zh-tw"",""KO"")"),"더 이상 참을 수 없어 -2")</f>
        <v>더 이상 참을 수 없어 -2</v>
      </c>
      <c r="W40" s="95" t="s">
        <v>917</v>
      </c>
      <c r="X40" s="52" t="s">
        <v>918</v>
      </c>
      <c r="Y40" s="108">
        <v>6.0</v>
      </c>
      <c r="Z40" s="90" t="str">
        <f>IFERROR(__xludf.DUMMYFUNCTION("IF(J40="""", """", GOOGLETRANSLATE(
J40,""en"",""ru""))"),"Я больше не могу... - 2")</f>
        <v>Я больше не могу... - 2</v>
      </c>
      <c r="AA40" s="102" t="str">
        <f>IFERROR(__xludf.DUMMYFUNCTION("IF(K40="""", """", GOOGLETRANSLATE(K40,""en"",""RU""))"),"Помимо ядовитых ингредиентов, добавление в смесь перца чили еще больше усугубит последствия диареи, вызванной пищевым отравлением.")</f>
        <v>Помимо ядовитых ингредиентов, добавление в смесь перца чили еще больше усугубит последствия диареи, вызванной пищевым отравлением.</v>
      </c>
      <c r="AB40" s="97" t="str">
        <f>IFERROR(__xludf.DUMMYFUNCTION("IF(L40="""", """", GOOGLETRANSLATE(L40, ""en"", ""ru""))
"),"На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в дальнейшем будет доработана.")</f>
        <v>На следующий день у брата будет сильно болеть задница, что помешает ему бегать.
*Этот эффект можно снять картой Таро «Правосудие» или выпив «Морковного молока».*
*Текущая версия будет сохранена и в дальнейшем будет доработана.</v>
      </c>
      <c r="AC40" s="108">
        <v>6.0</v>
      </c>
      <c r="AD40" s="85" t="s">
        <v>919</v>
      </c>
      <c r="AE40" s="86" t="s">
        <v>920</v>
      </c>
      <c r="AF40" s="87" t="s">
        <v>921</v>
      </c>
      <c r="AG40" s="108">
        <v>6.0</v>
      </c>
      <c r="AH40" s="92" t="s">
        <v>922</v>
      </c>
      <c r="AI40" s="93" t="s">
        <v>923</v>
      </c>
      <c r="AJ40" s="94" t="s">
        <v>924</v>
      </c>
      <c r="AK40" s="87"/>
      <c r="AL40" s="87"/>
      <c r="AM40" s="87"/>
      <c r="AN40" s="87"/>
      <c r="AO40" s="87"/>
    </row>
    <row r="41">
      <c r="A41" s="84">
        <v>7.0</v>
      </c>
      <c r="B41" s="85" t="s">
        <v>925</v>
      </c>
      <c r="C41" s="86" t="s">
        <v>926</v>
      </c>
      <c r="D41" s="87" t="s">
        <v>591</v>
      </c>
      <c r="E41" s="84">
        <v>7.0</v>
      </c>
      <c r="F41" s="85" t="s">
        <v>927</v>
      </c>
      <c r="G41" s="86" t="s">
        <v>928</v>
      </c>
      <c r="H41" s="87" t="s">
        <v>594</v>
      </c>
      <c r="I41" s="84">
        <v>7.0</v>
      </c>
      <c r="J41" s="85" t="s">
        <v>929</v>
      </c>
      <c r="K41" s="86" t="s">
        <v>930</v>
      </c>
      <c r="L41" s="87" t="s">
        <v>931</v>
      </c>
      <c r="M41" s="84">
        <v>7.0</v>
      </c>
      <c r="N41" s="85" t="str">
        <f>IFERROR(__xludf.DUMMYFUNCTION("GOOGLETRANSLATE(B41,""zh-tw"",""zh"")"),"气息消除-4")</f>
        <v>气息消除-4</v>
      </c>
      <c r="O41" s="89" t="str">
        <f>IFERROR(__xludf.DUMMYFUNCTION("GOOGLETRANSLATE(C41,""zh-tw"",""zh"")"),"厕所门改造")</f>
        <v>厕所门改造</v>
      </c>
      <c r="P41" s="55" t="str">
        <f>IFERROR(__xludf.DUMMYFUNCTION("GOOGLETRANSLATE(D41,""zh-tw"",""zh"")"),"未实装")</f>
        <v>未实装</v>
      </c>
      <c r="Q41" s="84">
        <v>7.0</v>
      </c>
      <c r="R41" s="85" t="str">
        <f>IFERROR(__xludf.DUMMYFUNCTION("GOOGLETRANSLATE(B41,""zh-tw"",""es-MX"")"),"Eliminación de olores -4")</f>
        <v>Eliminación de olores -4</v>
      </c>
      <c r="S41" s="89" t="str">
        <f>IFERROR(__xludf.DUMMYFUNCTION("GOOGLETRANSLATE(C41,""zh-tw"",""es-MX"")"),"Renovación de la puerta del baño")</f>
        <v>Renovación de la puerta del baño</v>
      </c>
      <c r="T41" s="55" t="str">
        <f>IFERROR(__xludf.DUMMYFUNCTION("GOOGLETRANSLATE(D41,""zh-tw"",""es-MX"")"),"No implementado")</f>
        <v>No implementado</v>
      </c>
      <c r="U41" s="84">
        <v>7.0</v>
      </c>
      <c r="V41" s="98" t="s">
        <v>932</v>
      </c>
      <c r="W41" s="95" t="s">
        <v>933</v>
      </c>
      <c r="X41" s="52" t="s">
        <v>603</v>
      </c>
      <c r="Y41" s="84">
        <v>7.0</v>
      </c>
      <c r="Z41" s="90" t="str">
        <f>IFERROR(__xludf.DUMMYFUNCTION("IF(J41="""", """", GOOGLETRANSLATE(J41,""en"",""RU""))"),"Сокрытие дыхания - 4")</f>
        <v>Сокрытие дыхания - 4</v>
      </c>
      <c r="AA41" s="102" t="str">
        <f>IFERROR(__xludf.DUMMYFUNCTION("IF(K41="""", """", GOOGLETRANSLATE(K41,""en"",""RU""))"),"Онии-тян также может превратить дверь туалета в еще одну дверь ниндзя.")</f>
        <v>Онии-тян также может превратить дверь туалета в еще одну дверь ниндзя.</v>
      </c>
      <c r="AB41" s="97" t="str">
        <f>IFERROR(__xludf.DUMMYFUNCTION("IF(L41="""", """", GOOGLETRANSLATE(L41, ""en"", ""ru""))
"),"*Еще не реализовано.")</f>
        <v>*Еще не реализовано.</v>
      </c>
      <c r="AC41" s="84">
        <v>7.0</v>
      </c>
      <c r="AD41" s="85" t="s">
        <v>934</v>
      </c>
      <c r="AE41" s="86" t="s">
        <v>935</v>
      </c>
      <c r="AF41" s="87" t="s">
        <v>936</v>
      </c>
      <c r="AG41" s="84">
        <v>7.0</v>
      </c>
      <c r="AH41" s="92" t="s">
        <v>937</v>
      </c>
      <c r="AI41" s="93" t="s">
        <v>938</v>
      </c>
      <c r="AJ41" s="94" t="s">
        <v>939</v>
      </c>
      <c r="AK41" s="87"/>
      <c r="AL41" s="87"/>
      <c r="AM41" s="87"/>
      <c r="AN41" s="87"/>
      <c r="AO41" s="87"/>
    </row>
    <row r="42">
      <c r="A42" s="108">
        <v>8.0</v>
      </c>
      <c r="B42" s="85" t="s">
        <v>940</v>
      </c>
      <c r="C42" s="86" t="s">
        <v>941</v>
      </c>
      <c r="D42" s="52" t="s">
        <v>942</v>
      </c>
      <c r="E42" s="108">
        <v>8.0</v>
      </c>
      <c r="F42" s="85" t="s">
        <v>943</v>
      </c>
      <c r="G42" s="86" t="s">
        <v>944</v>
      </c>
      <c r="H42" s="52" t="s">
        <v>945</v>
      </c>
      <c r="I42" s="108">
        <v>8.0</v>
      </c>
      <c r="J42" s="85" t="s">
        <v>946</v>
      </c>
      <c r="K42" s="86" t="s">
        <v>947</v>
      </c>
      <c r="L42" s="52" t="s">
        <v>948</v>
      </c>
      <c r="M42" s="108">
        <v>8.0</v>
      </c>
      <c r="N42" s="85" t="str">
        <f>IFERROR(__xludf.DUMMYFUNCTION("GOOGLETRANSLATE(B42,""zh-tw"",""zh"")"),"想上厕所...1")</f>
        <v>想上厕所...1</v>
      </c>
      <c r="O42" s="89" t="str">
        <f>IFERROR(__xludf.DUMMYFUNCTION("GOOGLETRANSLATE(C42,""zh-tw"",""zh"")"),"冒险回家后前往厕所-&gt;翻找-&gt;找到类似蟑螂的生物(Z)。
之后平时在房间中呼叫妹妹时，有机率触发厕所事件。")</f>
        <v>冒险回家后前往厕所-&gt;翻找-&gt;找到类似蟑螂的生物(Z)。
之后平时在房间中呼叫妹妹时，有机率触发厕所事件。</v>
      </c>
      <c r="P42" s="55" t="str">
        <f>IFERROR(__xludf.DUMMYFUNCTION("GOOGLETRANSLATE(D42,""zh-tw"",""zh"")"),"妹妹在不同紫心时，触发后会有不同演出
※只能触发一次※")</f>
        <v>妹妹在不同紫心时，触发后会有不同演出
※只能触发一次※</v>
      </c>
      <c r="Q42" s="108">
        <v>8.0</v>
      </c>
      <c r="R42" s="88" t="s">
        <v>949</v>
      </c>
      <c r="S42" s="89" t="s">
        <v>950</v>
      </c>
      <c r="T42" s="55" t="s">
        <v>951</v>
      </c>
      <c r="U42" s="108">
        <v>8.0</v>
      </c>
      <c r="V42" s="98" t="s">
        <v>952</v>
      </c>
      <c r="W42" s="95" t="s">
        <v>953</v>
      </c>
      <c r="X42" s="52" t="s">
        <v>954</v>
      </c>
      <c r="Y42" s="108">
        <v>8.0</v>
      </c>
      <c r="Z42" s="90" t="str">
        <f>IFERROR(__xludf.DUMMYFUNCTION("IF(J42="""", """", GOOGLETRANSLATE(J42,""en"",""RU""))"),"Мне нужно в туалет... - 1")</f>
        <v>Мне нужно в туалет... - 1</v>
      </c>
      <c r="AA42" s="102" t="str">
        <f>IFERROR(__xludf.DUMMYFUNCTION("IF(K42="""", """", GOOGLETRANSLATE(K42,""en"",""RU""))"),"Вернувшись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f>
        <v>Вернувшись домой после приключений, выберите «Пойти в туалет» -&gt; «Поиск», пока не найдёте существо по имени «С».
Позже, когда вы позовёте сестру в её комнату, есть вероятность, что произойдёт событие «Туалет».</v>
      </c>
      <c r="AB42" s="97" t="str">
        <f>IFERROR(__xludf.DUMMYFUNCTION("IF(L42="""", """", GOOGLETRANSLATE(L42, ""en"", ""ru""))
"),"Фиолетовые сердца и желание повлияют на ход сцены.
*Может произойти только один раз.")</f>
        <v>Фиолетовые сердца и желание повлияют на ход сцены.
*Может произойти только один раз.</v>
      </c>
      <c r="AC42" s="108">
        <v>8.0</v>
      </c>
      <c r="AD42" s="85" t="s">
        <v>955</v>
      </c>
      <c r="AE42" s="86" t="s">
        <v>956</v>
      </c>
      <c r="AF42" s="52" t="s">
        <v>957</v>
      </c>
      <c r="AG42" s="108">
        <v>8.0</v>
      </c>
      <c r="AH42" s="92" t="s">
        <v>958</v>
      </c>
      <c r="AI42" s="93" t="s">
        <v>959</v>
      </c>
      <c r="AJ42" s="94" t="s">
        <v>960</v>
      </c>
      <c r="AK42" s="52"/>
      <c r="AL42" s="52"/>
      <c r="AM42" s="52"/>
      <c r="AN42" s="52"/>
      <c r="AO42" s="52"/>
    </row>
    <row r="43">
      <c r="A43" s="84">
        <v>9.0</v>
      </c>
      <c r="B43" s="85" t="s">
        <v>961</v>
      </c>
      <c r="C43" s="86" t="s">
        <v>962</v>
      </c>
      <c r="D43" s="52" t="s">
        <v>963</v>
      </c>
      <c r="E43" s="84">
        <v>9.0</v>
      </c>
      <c r="F43" s="85" t="s">
        <v>964</v>
      </c>
      <c r="G43" s="86" t="s">
        <v>965</v>
      </c>
      <c r="H43" s="52" t="s">
        <v>966</v>
      </c>
      <c r="I43" s="84">
        <v>9.0</v>
      </c>
      <c r="J43" s="85" t="s">
        <v>967</v>
      </c>
      <c r="K43" s="86" t="s">
        <v>968</v>
      </c>
      <c r="L43" s="52" t="s">
        <v>969</v>
      </c>
      <c r="M43" s="84">
        <v>9.0</v>
      </c>
      <c r="N43" s="85" t="str">
        <f>IFERROR(__xludf.DUMMYFUNCTION("GOOGLETRANSLATE(B43,""zh-tw"",""zh"")"),"想上厕所...2")</f>
        <v>想上厕所...2</v>
      </c>
      <c r="O43" s="89" t="str">
        <f>IFERROR(__xludf.DUMMYFUNCTION("GOOGLETRANSLATE(C43,""zh-tw"",""zh"")"),"妹妹平常时，有小概率触发上厕所的事件，喝饮料的话会增加概率。")</f>
        <v>妹妹平常时，有小概率触发上厕所的事件，喝饮料的话会增加概率。</v>
      </c>
      <c r="P43" s="55" t="str">
        <f>IFERROR(__xludf.DUMMYFUNCTION("GOOGLETRANSLATE(D43,""zh-tw"",""zh"")"),"触发是否前往厕所偷看的选项
※未实装")</f>
        <v>触发是否前往厕所偷看的选项
※未实装</v>
      </c>
      <c r="Q43" s="84">
        <v>9.0</v>
      </c>
      <c r="R43" s="88" t="s">
        <v>970</v>
      </c>
      <c r="S43" s="89" t="s">
        <v>971</v>
      </c>
      <c r="T43" s="52" t="s">
        <v>972</v>
      </c>
      <c r="U43" s="84">
        <v>9.0</v>
      </c>
      <c r="V43" s="98" t="s">
        <v>973</v>
      </c>
      <c r="W43" s="95" t="s">
        <v>974</v>
      </c>
      <c r="X43" s="52" t="s">
        <v>975</v>
      </c>
      <c r="Y43" s="84">
        <v>9.0</v>
      </c>
      <c r="Z43" s="90" t="str">
        <f>IFERROR(__xludf.DUMMYFUNCTION("IF(J43="""", """", GOOGLETRANSLATE(J43,""en"",""RU""))"),"Мне нужно в туалет... - 2")</f>
        <v>Мне нужно в туалет... - 2</v>
      </c>
      <c r="AA43" s="102" t="str">
        <f>IFERROR(__xludf.DUMMYFUNCTION("IF(K43="""", """", GOOGLETRANSLATE(K43,""en"",""RU""))"),"Обычно существует небольшая вероятность того, что сестра сходит в туалет. Употребление напитков увеличивает эту вероятность.")</f>
        <v>Обычно существует небольшая вероятность того, что сестра сходит в туалет. Употребление напитков увеличивает эту вероятность.</v>
      </c>
      <c r="AB43" s="97" t="str">
        <f>IFERROR(__xludf.DUMMYFUNCTION("IF(L43="""", """", GOOGLETRANSLATE(L43, ""en"", ""ru""))
"),"Позволяет активировать опцию «заглянуть в туалет».
*Пока не реализовано.
")</f>
        <v>Позволяет активировать опцию «заглянуть в туалет».
*Пока не реализовано.
</v>
      </c>
      <c r="AC43" s="84">
        <v>9.0</v>
      </c>
      <c r="AD43" s="85" t="s">
        <v>976</v>
      </c>
      <c r="AE43" s="86" t="s">
        <v>977</v>
      </c>
      <c r="AF43" s="87" t="s">
        <v>978</v>
      </c>
      <c r="AG43" s="84">
        <v>9.0</v>
      </c>
      <c r="AH43" s="92" t="s">
        <v>979</v>
      </c>
      <c r="AI43" s="93" t="s">
        <v>980</v>
      </c>
      <c r="AJ43" s="94" t="s">
        <v>981</v>
      </c>
      <c r="AK43" s="52"/>
      <c r="AL43" s="52"/>
      <c r="AM43" s="52"/>
      <c r="AN43" s="52"/>
      <c r="AO43" s="52"/>
    </row>
    <row r="44">
      <c r="A44" s="108">
        <v>10.0</v>
      </c>
      <c r="B44" s="85" t="s">
        <v>982</v>
      </c>
      <c r="C44" s="95" t="s">
        <v>983</v>
      </c>
      <c r="D44" s="52" t="s">
        <v>984</v>
      </c>
      <c r="E44" s="108">
        <v>10.0</v>
      </c>
      <c r="F44" s="85" t="s">
        <v>985</v>
      </c>
      <c r="G44" s="86" t="s">
        <v>986</v>
      </c>
      <c r="H44" s="52" t="s">
        <v>987</v>
      </c>
      <c r="I44" s="108">
        <v>10.0</v>
      </c>
      <c r="J44" s="85" t="s">
        <v>988</v>
      </c>
      <c r="K44" s="86" t="s">
        <v>989</v>
      </c>
      <c r="L44" s="52" t="s">
        <v>990</v>
      </c>
      <c r="M44" s="108">
        <v>10.0</v>
      </c>
      <c r="N44" s="85" t="str">
        <f>IFERROR(__xludf.DUMMYFUNCTION("GOOGLETRANSLATE(B44,""zh-tw"",""zh"")"),"厕所Plpy-1")</f>
        <v>厕所Plpy-1</v>
      </c>
      <c r="O44" s="95" t="s">
        <v>991</v>
      </c>
      <c r="P44" s="55" t="str">
        <f>IFERROR(__xludf.DUMMYFUNCTION("GOOGLETRANSLATE(D44,""zh-tw"",""zh"")"),"触发剧情
※目前尚未实装被发现的相关剧情")</f>
        <v>触发剧情
※目前尚未实装被发现的相关剧情</v>
      </c>
      <c r="Q44" s="108">
        <v>10.0</v>
      </c>
      <c r="R44" s="88" t="s">
        <v>992</v>
      </c>
      <c r="S44" s="89" t="s">
        <v>993</v>
      </c>
      <c r="T44" s="55" t="s">
        <v>994</v>
      </c>
      <c r="U44" s="108">
        <v>10.0</v>
      </c>
      <c r="V44" s="98" t="s">
        <v>995</v>
      </c>
      <c r="W44" s="95" t="s">
        <v>996</v>
      </c>
      <c r="X44" s="52" t="s">
        <v>997</v>
      </c>
      <c r="Y44" s="108">
        <v>10.0</v>
      </c>
      <c r="Z44" s="90" t="str">
        <f>IFERROR(__xludf.DUMMYFUNCTION("IF(J44="""", """", GOOGLETRANSLATE(J44,""en"",""RU""))"),"Сестра-дрочила - 1")</f>
        <v>Сестра-дрочила - 1</v>
      </c>
      <c r="AA44" s="102" t="str">
        <f>IFERROR(__xludf.DUMMYFUNCTION("IF(K44="""", """", GOOGLETRANSLATE(K44,""en"",""RU""))"),"Сработает событие, в котором вы сможете увидеть, как сестра трогает себя в туалете. Подглядывая, онии-чан может мастурбировать, и если его не заметят, всё закончится благополучно.")</f>
        <v>Сработает событие, в котором вы сможете увидеть, как сестра трогает себя в туалете. Подглядывая, онии-чан может мастурбировать, и если его не заметят, всё закончится благополучно.</v>
      </c>
      <c r="AB44" s="97" t="str">
        <f>IFERROR(__xludf.DUMMYFUNCTION("IF(L44="""", """", GOOGLETRANSLATE(L44, ""en"", ""ru""))
"),"Запускает событие «заглядывание в туалет».")</f>
        <v>Запускает событие «заглядывание в туалет».</v>
      </c>
      <c r="AC44" s="108">
        <v>10.0</v>
      </c>
      <c r="AD44" s="98" t="s">
        <v>998</v>
      </c>
      <c r="AE44" s="86" t="s">
        <v>999</v>
      </c>
      <c r="AF44" s="87" t="s">
        <v>1000</v>
      </c>
      <c r="AG44" s="108">
        <v>10.0</v>
      </c>
      <c r="AH44" s="92" t="s">
        <v>1001</v>
      </c>
      <c r="AI44" s="93" t="s">
        <v>1002</v>
      </c>
      <c r="AJ44" s="94" t="s">
        <v>1003</v>
      </c>
      <c r="AK44" s="52"/>
      <c r="AL44" s="52"/>
      <c r="AM44" s="52"/>
      <c r="AN44" s="52"/>
      <c r="AO44" s="52"/>
    </row>
    <row r="45">
      <c r="A45" s="84">
        <v>11.0</v>
      </c>
      <c r="B45" s="98" t="s">
        <v>1004</v>
      </c>
      <c r="C45" s="95" t="s">
        <v>1005</v>
      </c>
      <c r="D45" s="52" t="s">
        <v>1006</v>
      </c>
      <c r="E45" s="84">
        <v>11.0</v>
      </c>
      <c r="F45" s="98" t="s">
        <v>1007</v>
      </c>
      <c r="G45" s="95" t="s">
        <v>1008</v>
      </c>
      <c r="H45" s="52" t="s">
        <v>1009</v>
      </c>
      <c r="I45" s="84">
        <v>11.0</v>
      </c>
      <c r="J45" s="98" t="s">
        <v>1010</v>
      </c>
      <c r="K45" s="95" t="s">
        <v>1011</v>
      </c>
      <c r="L45" s="52" t="s">
        <v>1012</v>
      </c>
      <c r="M45" s="84">
        <v>11.0</v>
      </c>
      <c r="N45" s="85" t="str">
        <f>IFERROR(__xludf.DUMMYFUNCTION("GOOGLETRANSLATE(B45,""zh-tw"",""zh"")"),"厕所Plpy-2")</f>
        <v>厕所Plpy-2</v>
      </c>
      <c r="O45" s="89" t="str">
        <f>IFERROR(__xludf.DUMMYFUNCTION("GOOGLETRANSLATE(C45,""zh-tw"",""zh"")"),"同上
若哥哥打手枪时被发现，且妹妹处于低紫心的状态，触发一种分歧")</f>
        <v>同上
若哥哥打手枪时被发现，且妹妹处于低紫心的状态，触发一种分歧</v>
      </c>
      <c r="P45" s="55" t="str">
        <f>IFERROR(__xludf.DUMMYFUNCTION("GOOGLETRANSLATE(D45,""zh-tw"",""zh"")"),"触发相关剧情
※目前尚未实装被发现的相关剧情")</f>
        <v>触发相关剧情
※目前尚未实装被发现的相关剧情</v>
      </c>
      <c r="Q45" s="84">
        <v>11.0</v>
      </c>
      <c r="R45" s="98" t="s">
        <v>1013</v>
      </c>
      <c r="S45" s="89" t="s">
        <v>1014</v>
      </c>
      <c r="T45" s="55" t="s">
        <v>1015</v>
      </c>
      <c r="U45" s="84">
        <v>11.0</v>
      </c>
      <c r="V45" s="98" t="s">
        <v>1016</v>
      </c>
      <c r="W45" s="95" t="s">
        <v>1017</v>
      </c>
      <c r="X45" s="52" t="s">
        <v>1018</v>
      </c>
      <c r="Y45" s="84">
        <v>11.0</v>
      </c>
      <c r="Z45" s="90" t="str">
        <f>IFERROR(__xludf.DUMMYFUNCTION("IF(J45="""", """", GOOGLETRANSLATE(J45,""en"",""RU""))"),"Сестра-дрочила - 2")</f>
        <v>Сестра-дрочила - 2</v>
      </c>
      <c r="AA45" s="102" t="str">
        <f>IFERROR(__xludf.DUMMYFUNCTION("IF(K45="""", """", GOOGLETRANSLATE(K45,""en"",""RU""))"),"Ответвление от Fapping Sister - 1, если у сестры низкий уровень фиолетового сердца и вас застукали за мастурбацией, событие будет ответвлено по-другому.")</f>
        <v>Ответвление от Fapping Sister - 1, если у сестры низкий уровень фиолетового сердца и вас застукали за мастурбацией, событие будет ответвлено по-другому.</v>
      </c>
      <c r="AB45" s="97" t="str">
        <f>IFERROR(__xludf.DUMMYFUNCTION("IF(L45="""", """", GOOGLETRANSLATE(L45, ""en"", ""ru""))
"),"Запускает связанное событие.
*В настоящее время связанное событие ещё не реализовано.")</f>
        <v>Запускает связанное событие.
*В настоящее время связанное событие ещё не реализовано.</v>
      </c>
      <c r="AC45" s="84">
        <v>11.0</v>
      </c>
      <c r="AD45" s="98" t="s">
        <v>1019</v>
      </c>
      <c r="AE45" s="86" t="s">
        <v>1020</v>
      </c>
      <c r="AF45" s="87" t="s">
        <v>1021</v>
      </c>
      <c r="AG45" s="84">
        <v>11.0</v>
      </c>
      <c r="AH45" s="92" t="s">
        <v>1022</v>
      </c>
      <c r="AI45" s="93" t="s">
        <v>1023</v>
      </c>
      <c r="AJ45" s="94" t="s">
        <v>1024</v>
      </c>
      <c r="AK45" s="52"/>
      <c r="AL45" s="52"/>
      <c r="AM45" s="52"/>
      <c r="AN45" s="52"/>
      <c r="AO45" s="52"/>
    </row>
    <row r="46">
      <c r="A46" s="108">
        <v>12.0</v>
      </c>
      <c r="B46" s="98" t="s">
        <v>1025</v>
      </c>
      <c r="C46" s="95" t="s">
        <v>1026</v>
      </c>
      <c r="D46" s="52" t="s">
        <v>1027</v>
      </c>
      <c r="E46" s="108">
        <v>12.0</v>
      </c>
      <c r="F46" s="98" t="s">
        <v>1028</v>
      </c>
      <c r="G46" s="86" t="s">
        <v>1029</v>
      </c>
      <c r="H46" s="52" t="s">
        <v>1030</v>
      </c>
      <c r="I46" s="108">
        <v>12.0</v>
      </c>
      <c r="J46" s="98" t="s">
        <v>1031</v>
      </c>
      <c r="K46" s="95" t="s">
        <v>1032</v>
      </c>
      <c r="L46" s="52" t="s">
        <v>1033</v>
      </c>
      <c r="M46" s="108">
        <v>12.0</v>
      </c>
      <c r="N46" s="85" t="str">
        <f>IFERROR(__xludf.DUMMYFUNCTION("GOOGLETRANSLATE(B46,""zh-tw"",""zh"")"),"厕所Plpy-3")</f>
        <v>厕所Plpy-3</v>
      </c>
      <c r="O46" s="89" t="str">
        <f>IFERROR(__xludf.DUMMYFUNCTION("GOOGLETRANSLATE(C46,""zh-tw"",""zh"")"),"同-1
若此时遇到Z的突击，触发一种分歧")</f>
        <v>同-1
若此时遇到Z的突击，触发一种分歧</v>
      </c>
      <c r="P46" s="55" t="str">
        <f>IFERROR(__xludf.DUMMYFUNCTION("GOOGLETRANSLATE(D46,""zh-tw"",""zh"")"),"50%机率，出现打死Z剧情
备注：无须发现Z的前置操作")</f>
        <v>50%机率，出现打死Z剧情
备注：无须发现Z的前置操作</v>
      </c>
      <c r="Q46" s="108">
        <v>12.0</v>
      </c>
      <c r="R46" s="98" t="s">
        <v>1034</v>
      </c>
      <c r="S46" s="89" t="s">
        <v>1035</v>
      </c>
      <c r="T46" s="55" t="s">
        <v>878</v>
      </c>
      <c r="U46" s="108">
        <v>12.0</v>
      </c>
      <c r="V46" s="98" t="s">
        <v>1036</v>
      </c>
      <c r="W46" s="95" t="s">
        <v>1037</v>
      </c>
      <c r="X46" s="52" t="s">
        <v>1038</v>
      </c>
      <c r="Y46" s="108">
        <v>12.0</v>
      </c>
      <c r="Z46" s="90" t="str">
        <f>IFERROR(__xludf.DUMMYFUNCTION("IF(J46="""", """", GOOGLETRANSLATE(J46,""en"",""RU""))"),"Сестра-дрочила - 3")</f>
        <v>Сестра-дрочила - 3</v>
      </c>
      <c r="AA46" s="102" t="str">
        <f>IFERROR(__xludf.DUMMYFUNCTION("IF(K46="""", """", GOOGLETRANSLATE(K46,""en"",""RU""))"),"Продолжая тему Fapping Sister - 1, если вы сейчас столкнётесь с буквой «C», то событие будет развиваться по-другому.")</f>
        <v>Продолжая тему Fapping Sister - 1, если вы сейчас столкнётесь с буквой «C», то событие будет развиваться по-другому.</v>
      </c>
      <c r="AB46" s="97" t="str">
        <f>IFERROR(__xludf.DUMMYFUNCTION("IF(L46="""", """", GOOGLETRANSLATE(L46, ""en"", ""ru""))
"),"50% вероятность вызвать событие убийства «С», которое приводит к одноразовому событию BJ.
Примечание: вам не нужно заранее искать «С».")</f>
        <v>50% вероятность вызвать событие убийства «С», которое приводит к одноразовому событию BJ.
Примечание: вам не нужно заранее искать «С».</v>
      </c>
      <c r="AC46" s="108">
        <v>12.0</v>
      </c>
      <c r="AD46" s="98" t="s">
        <v>1039</v>
      </c>
      <c r="AE46" s="86" t="s">
        <v>1040</v>
      </c>
      <c r="AF46" s="87" t="s">
        <v>863</v>
      </c>
      <c r="AG46" s="108">
        <v>12.0</v>
      </c>
      <c r="AH46" s="92" t="s">
        <v>1041</v>
      </c>
      <c r="AI46" s="93" t="s">
        <v>1042</v>
      </c>
      <c r="AJ46" s="94" t="s">
        <v>1043</v>
      </c>
      <c r="AK46" s="52"/>
      <c r="AL46" s="52"/>
      <c r="AM46" s="52"/>
      <c r="AN46" s="52"/>
      <c r="AO46" s="52"/>
    </row>
    <row r="47">
      <c r="A47" s="84">
        <v>13.0</v>
      </c>
      <c r="B47" s="85" t="s">
        <v>1044</v>
      </c>
      <c r="C47" s="95" t="s">
        <v>1045</v>
      </c>
      <c r="D47" s="52" t="s">
        <v>1046</v>
      </c>
      <c r="E47" s="84">
        <v>13.0</v>
      </c>
      <c r="F47" s="85" t="s">
        <v>1047</v>
      </c>
      <c r="G47" s="95" t="s">
        <v>1048</v>
      </c>
      <c r="H47" s="87" t="s">
        <v>1049</v>
      </c>
      <c r="I47" s="84">
        <v>13.0</v>
      </c>
      <c r="J47" s="85" t="s">
        <v>1050</v>
      </c>
      <c r="K47" s="95" t="s">
        <v>1051</v>
      </c>
      <c r="L47" s="87" t="s">
        <v>1052</v>
      </c>
      <c r="M47" s="84">
        <v>13.0</v>
      </c>
      <c r="N47" s="85" t="str">
        <f>IFERROR(__xludf.DUMMYFUNCTION("GOOGLETRANSLATE(B47,""zh-tw"",""zh"")"),"厕所Plpy-4")</f>
        <v>厕所Plpy-4</v>
      </c>
      <c r="O47" s="89" t="str">
        <f>IFERROR(__xludf.DUMMYFUNCTION("GOOGLETRANSLATE(C47,""zh-tw"",""zh"")"),"同上
若妹妹处于高紫心的状态，且哥哥已经触发过Z突击的剧情，选择闯入厕所，触发另一种分歧")</f>
        <v>同上
若妹妹处于高紫心的状态，且哥哥已经触发过Z突击的剧情，选择闯入厕所，触发另一种分歧</v>
      </c>
      <c r="P47" s="55" t="str">
        <f>IFERROR(__xludf.DUMMYFUNCTION("GOOGLETRANSLATE(D47,""zh-tw"",""zh"")"),"触发使用嘴巴服务的相关剧情
*三种差分，分为蹲式、躺式，坐式待更新")</f>
        <v>触发使用嘴巴服务的相关剧情
*三种差分，分为蹲式、躺式，坐式待更新</v>
      </c>
      <c r="Q47" s="84">
        <v>13.0</v>
      </c>
      <c r="R47" s="88" t="s">
        <v>1053</v>
      </c>
      <c r="S47" s="89" t="s">
        <v>1054</v>
      </c>
      <c r="T47" s="55" t="s">
        <v>1055</v>
      </c>
      <c r="U47" s="84">
        <v>13.0</v>
      </c>
      <c r="V47" s="98" t="s">
        <v>1056</v>
      </c>
      <c r="W47" s="95" t="s">
        <v>1057</v>
      </c>
      <c r="X47" s="52" t="s">
        <v>1058</v>
      </c>
      <c r="Y47" s="84">
        <v>13.0</v>
      </c>
      <c r="Z47" s="90" t="str">
        <f>IFERROR(__xludf.DUMMYFUNCTION("IF(J47="""", """", GOOGLETRANSLATE(J47,""en"",""RU""))"),"Сестра-дрочила - 4")</f>
        <v>Сестра-дрочила - 4</v>
      </c>
      <c r="AA47" s="102" t="str">
        <f>IFERROR(__xludf.DUMMYFUNCTION("IF(K47="""", """", GOOGLETRANSLATE(K47,""en"",""RU""))"),"Продолжая Fapping Sister - 3, если у сестры высокое фиолетовое сердце и вы уже увидели появление буквы «С», вы можете выбрать «Взломаться» в туалете.")</f>
        <v>Продолжая Fapping Sister - 3, если у сестры высокое фиолетовое сердце и вы уже увидели появление буквы «С», вы можете выбрать «Взломаться» в туалете.</v>
      </c>
      <c r="AB47" s="97" t="str">
        <f>IFERROR(__xludf.DUMMYFUNCTION("IF(L47="""", """", GOOGLETRANSLATE(L47, ""en"", ""ru""))
"),"Запускает событие, в котором сестра использует рот для обслуживания.
*Есть три варианта: лёжа, на корточках и сидя.")</f>
        <v>Запускает событие, в котором сестра использует рот для обслуживания.
*Есть три варианта: лёжа, на корточках и сидя.</v>
      </c>
      <c r="AC47" s="84">
        <v>13.0</v>
      </c>
      <c r="AD47" s="98" t="s">
        <v>1059</v>
      </c>
      <c r="AE47" s="86" t="s">
        <v>1060</v>
      </c>
      <c r="AF47" s="87" t="s">
        <v>1061</v>
      </c>
      <c r="AG47" s="84">
        <v>13.0</v>
      </c>
      <c r="AH47" s="92" t="s">
        <v>1062</v>
      </c>
      <c r="AI47" s="93" t="s">
        <v>1063</v>
      </c>
      <c r="AJ47" s="94" t="s">
        <v>1064</v>
      </c>
      <c r="AK47" s="52"/>
      <c r="AL47" s="52"/>
      <c r="AM47" s="52"/>
      <c r="AN47" s="52"/>
      <c r="AO47" s="52"/>
    </row>
    <row r="48">
      <c r="A48" s="77"/>
      <c r="B48" s="78"/>
      <c r="C48" s="78"/>
      <c r="D48" s="78"/>
      <c r="E48" s="77"/>
      <c r="F48" s="78"/>
      <c r="G48" s="78"/>
      <c r="H48" s="78"/>
      <c r="I48" s="77"/>
      <c r="J48" s="78"/>
      <c r="K48" s="78"/>
      <c r="L48" s="78"/>
      <c r="M48" s="77"/>
      <c r="N48" s="78"/>
      <c r="O48" s="46"/>
      <c r="P48" s="78"/>
      <c r="Q48" s="77"/>
      <c r="R48" s="46"/>
      <c r="S48" s="46"/>
      <c r="T48" s="46"/>
      <c r="U48" s="77"/>
      <c r="V48" s="46"/>
      <c r="W48" s="46"/>
      <c r="X48" s="46"/>
      <c r="Y48" s="77"/>
      <c r="Z48" s="78"/>
      <c r="AA48" s="78"/>
      <c r="AB48" s="78"/>
      <c r="AC48" s="77"/>
      <c r="AD48" s="78"/>
      <c r="AE48" s="78"/>
      <c r="AF48" s="78"/>
      <c r="AG48" s="77"/>
      <c r="AH48" s="79"/>
      <c r="AI48" s="79"/>
      <c r="AJ48" s="79"/>
      <c r="AK48" s="78"/>
      <c r="AL48" s="78"/>
      <c r="AM48" s="78"/>
      <c r="AN48" s="78"/>
      <c r="AO48" s="78"/>
    </row>
    <row r="49" ht="23.25" customHeight="1">
      <c r="A49" s="80" t="s">
        <v>1065</v>
      </c>
      <c r="B49" s="80" t="s">
        <v>1066</v>
      </c>
      <c r="E49" s="80" t="s">
        <v>1065</v>
      </c>
      <c r="F49" s="80" t="s">
        <v>1067</v>
      </c>
      <c r="I49" s="80" t="s">
        <v>1065</v>
      </c>
      <c r="J49" s="80" t="s">
        <v>1068</v>
      </c>
      <c r="M49" s="80" t="s">
        <v>1065</v>
      </c>
      <c r="N49" s="81" t="str">
        <f>IFERROR(__xludf.DUMMYFUNCTION("GOOGLETRANSLATE(B49,""zh-tw"",""zh"")"),"浴室相关")</f>
        <v>浴室相关</v>
      </c>
      <c r="Q49" s="80" t="s">
        <v>1065</v>
      </c>
      <c r="R49" s="80" t="s">
        <v>1069</v>
      </c>
      <c r="U49" s="80" t="s">
        <v>1065</v>
      </c>
      <c r="V49" s="80" t="s">
        <v>1070</v>
      </c>
      <c r="Y49" s="80" t="s">
        <v>1065</v>
      </c>
      <c r="Z49" s="80" t="s">
        <v>1071</v>
      </c>
      <c r="AC49" s="80" t="s">
        <v>1065</v>
      </c>
      <c r="AD49" s="80" t="s">
        <v>1072</v>
      </c>
      <c r="AG49" s="80" t="s">
        <v>1065</v>
      </c>
      <c r="AH49" s="111" t="s">
        <v>1073</v>
      </c>
      <c r="AK49" s="80"/>
      <c r="AL49" s="80"/>
      <c r="AM49" s="80"/>
      <c r="AN49" s="80"/>
      <c r="AO49" s="80"/>
    </row>
    <row r="50">
      <c r="A50" s="84">
        <v>1.0</v>
      </c>
      <c r="B50" s="85" t="s">
        <v>1074</v>
      </c>
      <c r="C50" s="86" t="s">
        <v>1075</v>
      </c>
      <c r="D50" s="87" t="s">
        <v>1076</v>
      </c>
      <c r="E50" s="84">
        <v>1.0</v>
      </c>
      <c r="F50" s="85" t="str">
        <f>IFERROR(__xludf.DUMMYFUNCTION("GOOGLETRANSLATE(B50,""zh-tw"",""ja"")"),"シャンプー")</f>
        <v>シャンプー</v>
      </c>
      <c r="G50" s="86" t="s">
        <v>1077</v>
      </c>
      <c r="H50" s="87" t="s">
        <v>1078</v>
      </c>
      <c r="I50" s="84">
        <v>1.0</v>
      </c>
      <c r="J50" s="85" t="str">
        <f>IFERROR(__xludf.DUMMYFUNCTION("GOOGLETRANSLATE(B50,""zh-tw"",""en"")"),"Shampoo")</f>
        <v>Shampoo</v>
      </c>
      <c r="K50" s="86" t="s">
        <v>1079</v>
      </c>
      <c r="L50" s="87" t="s">
        <v>1080</v>
      </c>
      <c r="M50" s="84">
        <v>1.0</v>
      </c>
      <c r="N50" s="85" t="str">
        <f>IFERROR(__xludf.DUMMYFUNCTION("GOOGLETRANSLATE(B50,""zh-tw"",""zh"")"),"洗发乳")</f>
        <v>洗发乳</v>
      </c>
      <c r="O50" s="89" t="str">
        <f>IFERROR(__xludf.DUMMYFUNCTION("GOOGLETRANSLATE(C50,""zh-tw"",""zh"")"),"洗澡大约7天会消耗光，并在不偷窥的情况下机率性触发
哥哥独自洗澡时，可以提前使用完毕
或者在偷内衣时，机率触发")</f>
        <v>洗澡大约7天会消耗光，并在不偷窥的情况下机率性触发
哥哥独自洗澡时，可以提前使用完毕
或者在偷内衣时，机率触发</v>
      </c>
      <c r="P50" s="55" t="str">
        <f>IFERROR(__xludf.DUMMYFUNCTION("GOOGLETRANSLATE(D50,""zh-tw"",""zh"")"),"机率触发浴室摔倒事件")</f>
        <v>机率触发浴室摔倒事件</v>
      </c>
      <c r="Q50" s="84">
        <v>1.0</v>
      </c>
      <c r="R50" s="85" t="str">
        <f>IFERROR(__xludf.DUMMYFUNCTION("GOOGLETRANSLATE(B50,""zh-tw"",""es-MX"")"),"Champú")</f>
        <v>Champú</v>
      </c>
      <c r="S50" s="89" t="str">
        <f>IFERROR(__xludf.DUMMYFUNCTION("GOOGLETRANSLATE(C50,""zh-tw"",""es-MX"")"),"La habilidad de bañarse consumirá toda la habilidad en aproximadamente 7 días, y existe la posibilidad de que se active si no espías.
Puede agotarse antes si tu hermano se baña solo.
O bien, existe la posibilidad de que se active al robar ropa interior.")</f>
        <v>La habilidad de bañarse consumirá toda la habilidad en aproximadamente 7 días, y existe la posibilidad de que se active si no espías.
Puede agotarse antes si tu hermano se baña solo.
O bien, existe la posibilidad de que se active al robar ropa interior.</v>
      </c>
      <c r="T50" s="55" t="str">
        <f>IFERROR(__xludf.DUMMYFUNCTION("GOOGLETRANSLATE(D50,""zh-tw"",""es-MX"")"),"Posibilidad de provocar un accidente por resbalón y caída en el baño")</f>
        <v>Posibilidad de provocar un accidente por resbalón y caída en el baño</v>
      </c>
      <c r="U50" s="84">
        <v>1.0</v>
      </c>
      <c r="V50" s="88" t="str">
        <f>IFERROR(__xludf.DUMMYFUNCTION("GOOGLETRANSLATE(B50,""zh-tw"",""KO"")"),"샴푸")</f>
        <v>샴푸</v>
      </c>
      <c r="W50" s="89" t="str">
        <f>IFERROR(__xludf.DUMMYFUNCTION("GOOGLETRANSLATE(C50,""zh-tw"",""KO"")"),"목욕 능력은 약 7일 후에 모든 능력을 소모하며, 엿보지 않으면 발동될 확률이 있습니다.
형제가 혼자 목욕을 하면 더 일찍 소모될 수 있습니다.
아니면 속옷을 훔칠 때 발동될 확률이 있습니다.")</f>
        <v>목욕 능력은 약 7일 후에 모든 능력을 소모하며, 엿보지 않으면 발동될 확률이 있습니다.
형제가 혼자 목욕을 하면 더 일찍 소모될 수 있습니다.
아니면 속옷을 훔칠 때 발동될 확률이 있습니다.</v>
      </c>
      <c r="X50" s="55" t="str">
        <f>IFERROR(__xludf.DUMMYFUNCTION("GOOGLETRANSLATE(D50,""zh-tw"",""KO"")"),"욕실 미끄러짐 및 넘어짐 사고가 발생할 가능성")</f>
        <v>욕실 미끄러짐 및 넘어짐 사고가 발생할 가능성</v>
      </c>
      <c r="Y50" s="84">
        <v>1.0</v>
      </c>
      <c r="Z50" s="90" t="str">
        <f>IFERROR(__xludf.DUMMYFUNCTION("GOOGLETRANSLATE(B50,""zh-tw"",""ru"")"),"Шампунь")</f>
        <v>Шампунь</v>
      </c>
      <c r="AA50" s="102" t="s">
        <v>1081</v>
      </c>
      <c r="AB50" s="97" t="s">
        <v>1082</v>
      </c>
      <c r="AC50" s="84">
        <v>1.0</v>
      </c>
      <c r="AD50" s="85" t="s">
        <v>1083</v>
      </c>
      <c r="AE50" s="86" t="s">
        <v>1084</v>
      </c>
      <c r="AF50" s="87" t="s">
        <v>1085</v>
      </c>
      <c r="AG50" s="84">
        <v>1.0</v>
      </c>
      <c r="AH50" s="92" t="s">
        <v>1086</v>
      </c>
      <c r="AI50" s="93" t="s">
        <v>1087</v>
      </c>
      <c r="AJ50" s="94" t="s">
        <v>1088</v>
      </c>
      <c r="AK50" s="87"/>
      <c r="AL50" s="87"/>
      <c r="AM50" s="87"/>
      <c r="AN50" s="87"/>
      <c r="AO50" s="87"/>
    </row>
    <row r="51">
      <c r="A51" s="108">
        <v>2.0</v>
      </c>
      <c r="B51" s="85" t="s">
        <v>1089</v>
      </c>
      <c r="C51" s="86" t="s">
        <v>1090</v>
      </c>
      <c r="D51" s="87" t="s">
        <v>1091</v>
      </c>
      <c r="E51" s="108">
        <v>2.0</v>
      </c>
      <c r="F51" s="85" t="s">
        <v>1092</v>
      </c>
      <c r="G51" s="86" t="s">
        <v>1093</v>
      </c>
      <c r="H51" s="87" t="s">
        <v>1094</v>
      </c>
      <c r="I51" s="108">
        <v>2.0</v>
      </c>
      <c r="J51" s="85" t="s">
        <v>1095</v>
      </c>
      <c r="K51" s="86" t="s">
        <v>1096</v>
      </c>
      <c r="L51" s="87" t="s">
        <v>1097</v>
      </c>
      <c r="M51" s="108">
        <v>2.0</v>
      </c>
      <c r="N51" s="85" t="str">
        <f>IFERROR(__xludf.DUMMYFUNCTION("GOOGLETRANSLATE(B51,""zh-tw"",""zh"")"),"要等妹妹洗澡吗")</f>
        <v>要等妹妹洗澡吗</v>
      </c>
      <c r="O51" s="89" t="str">
        <f>IFERROR(__xludf.DUMMYFUNCTION("GOOGLETRANSLATE(C51,""zh-tw"",""zh"")"),"当哥哥性欲足够时，独自洗澡后可以前往潜入洗面所")</f>
        <v>当哥哥性欲足够时，独自洗澡后可以前往潜入洗面所</v>
      </c>
      <c r="P51" s="55" t="str">
        <f>IFERROR(__xludf.DUMMYFUNCTION("GOOGLETRANSLATE(D51,""zh-tw"",""zh"")"),"出现前往的选项
1.现在就去
2.再等会
3.算了吧")</f>
        <v>出现前往的选项
1.现在就去
2.再等会
3.算了吧</v>
      </c>
      <c r="Q51" s="108">
        <v>2.0</v>
      </c>
      <c r="R51" s="85" t="s">
        <v>1098</v>
      </c>
      <c r="S51" s="89" t="s">
        <v>1099</v>
      </c>
      <c r="T51" s="55" t="s">
        <v>1100</v>
      </c>
      <c r="U51" s="108">
        <v>2.0</v>
      </c>
      <c r="V51" s="88" t="str">
        <f>IFERROR(__xludf.DUMMYFUNCTION("GOOGLETRANSLATE(B51,""zh-tw"",""KO"")"),"언니가 목욕할 때까지 기다려야 하나요?")</f>
        <v>언니가 목욕할 때까지 기다려야 하나요?</v>
      </c>
      <c r="W51" s="89" t="str">
        <f>IFERROR(__xludf.DUMMYFUNCTION("GOOGLETRANSLATE(C51,""zh-tw"",""KO"")"),"형의 성욕이 충분하면, 혼자 목욕을 한 뒤 목욕탕에 갈 수도 있다.")</f>
        <v>형의 성욕이 충분하면, 혼자 목욕을 한 뒤 목욕탕에 갈 수도 있다.</v>
      </c>
      <c r="X51" s="55" t="str">
        <f>IFERROR(__xludf.DUMMYFUNCTION("GOOGLETRANSLATE(D51,""zh-tw"",""KO"")"),"다음 옵션이 나타납니다.
1. 지금 시작
2. 잠시 기다리기
3. 잊어버리기")</f>
        <v>다음 옵션이 나타납니다.
1. 지금 시작
2. 잠시 기다리기
3. 잊어버리기</v>
      </c>
      <c r="Y51" s="108">
        <v>2.0</v>
      </c>
      <c r="Z51" s="103" t="str">
        <f>IFERROR(__xludf.DUMMYFUNCTION("IF(J51="""", """", GOOGLETRANSLATE(
J51,""en"",""ru""))"),"Подождать, пока Имото закончит купаться?")</f>
        <v>Подождать, пока Имото закончит купаться?</v>
      </c>
      <c r="AA51" s="104" t="str">
        <f>IFERROR(__xludf.DUMMYFUNCTION("IF(K51="""", """", GOOGLETRANSLATE(K51,""en"",""RU""))"),"Когда у вас появится достаточное возбуждение/желание, вы можете пойти дальше и подсмотреть за сестрой, когда она принимает ванну.")</f>
        <v>Когда у вас появится достаточное возбуждение/желание, вы можете пойти дальше и подсмотреть за сестрой, когда она принимает ванну.</v>
      </c>
      <c r="AB51" s="44" t="str">
        <f>IFERROR(__xludf.DUMMYFUNCTION("IF(L51="""", """", GOOGLETRANSLATE(L51, ""en"", ""ru""))
"),"Появятся следующие варианты:
1. Идти сейчас!
2. Подождать ещё
3. Забыть")</f>
        <v>Появятся следующие варианты:
1. Идти сейчас!
2. Подождать ещё
3. Забыть</v>
      </c>
      <c r="AC51" s="108">
        <v>2.0</v>
      </c>
      <c r="AD51" s="85" t="s">
        <v>1101</v>
      </c>
      <c r="AE51" s="86" t="s">
        <v>1102</v>
      </c>
      <c r="AF51" s="87" t="s">
        <v>1103</v>
      </c>
      <c r="AG51" s="108">
        <v>2.0</v>
      </c>
      <c r="AH51" s="92" t="s">
        <v>1104</v>
      </c>
      <c r="AI51" s="93" t="s">
        <v>1105</v>
      </c>
      <c r="AJ51" s="94" t="s">
        <v>1106</v>
      </c>
      <c r="AK51" s="87"/>
      <c r="AL51" s="87"/>
      <c r="AM51" s="87"/>
      <c r="AN51" s="87"/>
      <c r="AO51" s="87"/>
    </row>
    <row r="52">
      <c r="A52" s="84">
        <v>3.0</v>
      </c>
      <c r="B52" s="85" t="s">
        <v>1107</v>
      </c>
      <c r="C52" s="86" t="s">
        <v>1108</v>
      </c>
      <c r="D52" s="87" t="s">
        <v>1109</v>
      </c>
      <c r="E52" s="84">
        <v>3.0</v>
      </c>
      <c r="F52" s="85" t="s">
        <v>1110</v>
      </c>
      <c r="G52" s="86" t="s">
        <v>1111</v>
      </c>
      <c r="H52" s="87" t="s">
        <v>1112</v>
      </c>
      <c r="I52" s="84">
        <v>3.0</v>
      </c>
      <c r="J52" s="85" t="s">
        <v>1113</v>
      </c>
      <c r="K52" s="86" t="s">
        <v>1114</v>
      </c>
      <c r="L52" s="87" t="s">
        <v>1115</v>
      </c>
      <c r="M52" s="84">
        <v>3.0</v>
      </c>
      <c r="N52" s="85" t="str">
        <f>IFERROR(__xludf.DUMMYFUNCTION("GOOGLETRANSLATE(B52,""zh-tw"",""zh"")"),"现在就去-1")</f>
        <v>现在就去-1</v>
      </c>
      <c r="O52" s="89" t="str">
        <f>IFERROR(__xludf.DUMMYFUNCTION("GOOGLETRANSLATE(C52,""zh-tw"",""zh"")"),"触发偷窥换衣事件，拉门越大越容易被发现")</f>
        <v>触发偷窥换衣事件，拉门越大越容易被发现</v>
      </c>
      <c r="P52" s="55" t="str">
        <f>IFERROR(__xludf.DUMMYFUNCTION("GOOGLETRANSLATE(D52,""zh-tw"",""zh"")"),"1.安全潜入洗面所
2.被妹妹发现")</f>
        <v>1.安全潜入洗面所
2.被妹妹发现</v>
      </c>
      <c r="Q52" s="84">
        <v>3.0</v>
      </c>
      <c r="R52" s="85" t="s">
        <v>1116</v>
      </c>
      <c r="S52" s="89" t="s">
        <v>1117</v>
      </c>
      <c r="T52" s="55" t="s">
        <v>1118</v>
      </c>
      <c r="U52" s="84">
        <v>3.0</v>
      </c>
      <c r="V52" s="88" t="str">
        <f>IFERROR(__xludf.DUMMYFUNCTION("GOOGLETRANSLATE(B52,""zh-tw"",""KO"")"),"지금 -1로 이동")</f>
        <v>지금 -1로 이동</v>
      </c>
      <c r="W52" s="89" t="str">
        <f>IFERROR(__xludf.DUMMYFUNCTION("GOOGLETRANSLATE(C52,""zh-tw"",""KO"")"),"슬라이딩 도어가 클수록 누군가 옷을 갈아입을 때 엿볼 때 발견되기 쉽습니다.")</f>
        <v>슬라이딩 도어가 클수록 누군가 옷을 갈아입을 때 엿볼 때 발견되기 쉽습니다.</v>
      </c>
      <c r="X52" s="55" t="str">
        <f>IFERROR(__xludf.DUMMYFUNCTION("GOOGLETRANSLATE(D52,""zh-tw"",""KO"")"),"1. 얼굴 치료 센터에 성공적으로 침투했습니다.
2. 여동생에게 발각되었습니다.")</f>
        <v>1. 얼굴 치료 센터에 성공적으로 침투했습니다.
2. 여동생에게 발각되었습니다.</v>
      </c>
      <c r="Y52" s="84">
        <v>3.0</v>
      </c>
      <c r="Z52" s="103" t="str">
        <f>IFERROR(__xludf.DUMMYFUNCTION("IF(J52="""", """", GOOGLETRANSLATE(
J52,""en"",""ru""))"),"Иди сейчас! - 1")</f>
        <v>Иди сейчас! - 1</v>
      </c>
      <c r="AA52" s="104" t="str">
        <f>IFERROR(__xludf.DUMMYFUNCTION("IF(K52="""", """", GOOGLETRANSLATE(K52,""en"",""RU""))"),"Запускает событие «Подглядывание». Если вы выберете «Уходи!», вы сможете подглядывать за Имото, пока она раздевается. Чем чаще вы будете открывать дверь, тем выше вероятность, что она вас заметит.")</f>
        <v>Запускает событие «Подглядывание». Если вы выберете «Уходи!», вы сможете подглядывать за Имото, пока она раздевается. Чем чаще вы будете открывать дверь, тем выше вероятность, что она вас заметит.</v>
      </c>
      <c r="AB52" s="44" t="str">
        <f>IFERROR(__xludf.DUMMYFUNCTION("IF(L52="""", """", GOOGLETRANSLATE(L52, ""en"", ""ru""))
"),"Будет два исхода:
1. Благополучно пробрались в туалет.
2. Пойманы Имото.")</f>
        <v>Будет два исхода:
1. Благополучно пробрались в туалет.
2. Пойманы Имото.</v>
      </c>
      <c r="AC52" s="84">
        <v>3.0</v>
      </c>
      <c r="AD52" s="85" t="s">
        <v>1119</v>
      </c>
      <c r="AE52" s="86" t="s">
        <v>1120</v>
      </c>
      <c r="AF52" s="87" t="s">
        <v>1121</v>
      </c>
      <c r="AG52" s="84">
        <v>3.0</v>
      </c>
      <c r="AH52" s="92" t="s">
        <v>1122</v>
      </c>
      <c r="AI52" s="93" t="s">
        <v>1123</v>
      </c>
      <c r="AJ52" s="94" t="s">
        <v>1124</v>
      </c>
      <c r="AK52" s="87"/>
      <c r="AL52" s="87"/>
      <c r="AM52" s="87"/>
      <c r="AN52" s="87"/>
      <c r="AO52" s="87"/>
    </row>
    <row r="53">
      <c r="A53" s="84">
        <v>4.0</v>
      </c>
      <c r="B53" s="85" t="s">
        <v>1125</v>
      </c>
      <c r="C53" s="86" t="s">
        <v>1126</v>
      </c>
      <c r="D53" s="87" t="s">
        <v>1127</v>
      </c>
      <c r="E53" s="84">
        <v>4.0</v>
      </c>
      <c r="F53" s="85" t="s">
        <v>1128</v>
      </c>
      <c r="G53" s="86" t="s">
        <v>1129</v>
      </c>
      <c r="H53" s="87" t="s">
        <v>1130</v>
      </c>
      <c r="I53" s="84">
        <v>4.0</v>
      </c>
      <c r="J53" s="85" t="s">
        <v>1131</v>
      </c>
      <c r="K53" s="86" t="s">
        <v>1132</v>
      </c>
      <c r="L53" s="87" t="s">
        <v>1133</v>
      </c>
      <c r="M53" s="84">
        <v>4.0</v>
      </c>
      <c r="N53" s="85" t="str">
        <f>IFERROR(__xludf.DUMMYFUNCTION("GOOGLETRANSLATE(B53,""zh-tw"",""zh"")"),"现在就去-2")</f>
        <v>现在就去-2</v>
      </c>
      <c r="O53" s="89" t="str">
        <f>IFERROR(__xludf.DUMMYFUNCTION("GOOGLETRANSLATE(C53,""zh-tw"",""zh"")"),"触发偷窥换衣事件，当好感度高于2时，拉门未完全开启，可触发被发现的选项")</f>
        <v>触发偷窥换衣事件，当好感度高于2时，拉门未完全开启，可触发被发现的选项</v>
      </c>
      <c r="P53" s="55" t="str">
        <f>IFERROR(__xludf.DUMMYFUNCTION("GOOGLETRANSLATE(D53,""zh-tw"",""zh"")"),"出现三个选项(包含-让我看看)")</f>
        <v>出现三个选项(包含-让我看看)</v>
      </c>
      <c r="Q53" s="84">
        <v>4.0</v>
      </c>
      <c r="R53" s="85" t="s">
        <v>1134</v>
      </c>
      <c r="S53" s="89" t="s">
        <v>1135</v>
      </c>
      <c r="T53" s="55" t="s">
        <v>1136</v>
      </c>
      <c r="U53" s="84">
        <v>4.0</v>
      </c>
      <c r="V53" s="88" t="str">
        <f>IFERROR(__xludf.DUMMYFUNCTION("GOOGLETRANSLATE(B53,""zh-tw"",""KO"")"),"지금 -2로 가세요")</f>
        <v>지금 -2로 가세요</v>
      </c>
      <c r="W53" s="89" t="str">
        <f>IFERROR(__xludf.DUMMYFUNCTION("GOOGLETRANSLATE(C53,""zh-tw"",""KO"")"),"옷을 갈아입을 때 엿보는 사건 유발: 애정 레벨이 2 이상이고 슬라이딩 도어가 완전히 열리지 않은 경우, 발견 옵션이 유발될 수 있습니다.")</f>
        <v>옷을 갈아입을 때 엿보는 사건 유발: 애정 레벨이 2 이상이고 슬라이딩 도어가 완전히 열리지 않은 경우, 발견 옵션이 유발될 수 있습니다.</v>
      </c>
      <c r="X53" s="55" t="str">
        <f>IFERROR(__xludf.DUMMYFUNCTION("GOOGLETRANSLATE(D53,""zh-tw"",""KO"")"),"세 가지 옵션이 나타납니다(""한번 살펴보겠습니다"" 포함).")</f>
        <v>세 가지 옵션이 나타납니다("한번 살펴보겠습니다" 포함).</v>
      </c>
      <c r="Y53" s="84">
        <v>4.0</v>
      </c>
      <c r="Z53" s="103" t="str">
        <f>IFERROR(__xludf.DUMMYFUNCTION("IF(J53="""", """", GOOGLETRANSLATE(
J53,""en"",""ru""))"),"Иди сейчас! - 2")</f>
        <v>Иди сейчас! - 2</v>
      </c>
      <c r="AA53" s="104" t="str">
        <f>IFERROR(__xludf.DUMMYFUNCTION("IF(K53="""", """", GOOGLETRANSLATE(K53,""en"",""RU""))"),"То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f>
        <v>То же, что и выше. Если уровень благосклонности выше 2 и вас застукали за подглядыванием, несмотря на то, что дверь была открыта не полностью, игроку будут предложены три варианта.</v>
      </c>
      <c r="AB53" s="44" t="str">
        <f>IFERROR(__xludf.DUMMYFUNCTION("IF(L53="""", """", GOOGLETRANSLATE(L53, ""en"", ""ru""))
"),"Появятся три варианта:
1. Пройти медицинский осмотр
2. Дайте подумать!
3. Придумать оправдание")</f>
        <v>Появятся три варианта:
1. Пройти медицинский осмотр
2. Дайте подумать!
3. Придумать оправдание</v>
      </c>
      <c r="AC53" s="84">
        <v>4.0</v>
      </c>
      <c r="AD53" s="85" t="s">
        <v>1137</v>
      </c>
      <c r="AE53" s="86" t="s">
        <v>1138</v>
      </c>
      <c r="AF53" s="87" t="s">
        <v>1139</v>
      </c>
      <c r="AG53" s="84">
        <v>4.0</v>
      </c>
      <c r="AH53" s="92" t="s">
        <v>1140</v>
      </c>
      <c r="AI53" s="93" t="s">
        <v>1141</v>
      </c>
      <c r="AJ53" s="94" t="s">
        <v>1142</v>
      </c>
      <c r="AK53" s="87"/>
      <c r="AL53" s="87"/>
      <c r="AM53" s="87"/>
      <c r="AN53" s="87"/>
      <c r="AO53" s="87"/>
    </row>
    <row r="54">
      <c r="A54" s="108">
        <v>5.0</v>
      </c>
      <c r="B54" s="85" t="s">
        <v>1143</v>
      </c>
      <c r="C54" s="86" t="s">
        <v>1144</v>
      </c>
      <c r="D54" s="87" t="s">
        <v>1145</v>
      </c>
      <c r="E54" s="108">
        <v>5.0</v>
      </c>
      <c r="F54" s="85" t="s">
        <v>1146</v>
      </c>
      <c r="G54" s="86" t="s">
        <v>1147</v>
      </c>
      <c r="H54" s="87" t="s">
        <v>1148</v>
      </c>
      <c r="I54" s="108">
        <v>5.0</v>
      </c>
      <c r="J54" s="85" t="s">
        <v>1149</v>
      </c>
      <c r="K54" s="86" t="s">
        <v>1150</v>
      </c>
      <c r="L54" s="87" t="s">
        <v>1151</v>
      </c>
      <c r="M54" s="108">
        <v>5.0</v>
      </c>
      <c r="N54" s="85" t="str">
        <f>IFERROR(__xludf.DUMMYFUNCTION("GOOGLETRANSLATE(B54,""zh-tw"",""zh"")"),"现在就去-3")</f>
        <v>现在就去-3</v>
      </c>
      <c r="O54" s="89" t="str">
        <f>IFERROR(__xludf.DUMMYFUNCTION("GOOGLETRANSLATE(C54,""zh-tw"",""zh"")"),"触发偷窥换衣事件，当好感度高于2时，拉门未完全开启，(出现三个选项都不选)，此时点击""鼠标右键""，即出现特殊选项")</f>
        <v>触发偷窥换衣事件，当好感度高于2时，拉门未完全开启，(出现三个选项都不选)，此时点击"鼠标右键"，即出现特殊选项</v>
      </c>
      <c r="P54" s="55" t="str">
        <f>IFERROR(__xludf.DUMMYFUNCTION("GOOGLETRANSLATE(D54,""zh-tw"",""zh"")"),"出现特殊选项")</f>
        <v>出现特殊选项</v>
      </c>
      <c r="Q54" s="108">
        <v>5.0</v>
      </c>
      <c r="R54" s="85" t="s">
        <v>1152</v>
      </c>
      <c r="S54" s="89" t="s">
        <v>1153</v>
      </c>
      <c r="T54" s="55" t="s">
        <v>1154</v>
      </c>
      <c r="U54" s="108">
        <v>5.0</v>
      </c>
      <c r="V54" s="88" t="str">
        <f>IFERROR(__xludf.DUMMYFUNCTION("GOOGLETRANSLATE(B54,""zh-tw"",""KO"")"),"지금 -3으로 가세요")</f>
        <v>지금 -3으로 가세요</v>
      </c>
      <c r="W54" s="89" t="str">
        <f>IFERROR(__xludf.DUMMYFUNCTION("GOOGLETRANSLATE(C54,""zh-tw"",""KO"")"),"옷을 갈아입을 때 엿보는 이벤트가 발생하고, 호감도가 2 이상이고, 슬라이딩 도어가 완전히 열리지 않은 경우(세 가지 옵션 중 하나도 선택되지 않은 경우), 마우스 오른쪽 버튼을 클릭하면 특별 옵션이 표시됩니다.")</f>
        <v>옷을 갈아입을 때 엿보는 이벤트가 발생하고, 호감도가 2 이상이고, 슬라이딩 도어가 완전히 열리지 않은 경우(세 가지 옵션 중 하나도 선택되지 않은 경우), 마우스 오른쪽 버튼을 클릭하면 특별 옵션이 표시됩니다.</v>
      </c>
      <c r="X54" s="55" t="str">
        <f>IFERROR(__xludf.DUMMYFUNCTION("GOOGLETRANSLATE(D54,""zh-tw"",""KO"")"),"특별 옵션이 나타납니다")</f>
        <v>특별 옵션이 나타납니다</v>
      </c>
      <c r="Y54" s="108">
        <v>5.0</v>
      </c>
      <c r="Z54" s="103" t="str">
        <f>IFERROR(__xludf.DUMMYFUNCTION("IF(J54="""", """", GOOGLETRANSLATE(
J54,""en"",""ru""))"),"Иди сейчас! - 3")</f>
        <v>Иди сейчас! - 3</v>
      </c>
      <c r="AA54" s="104" t="str">
        <f>IFERROR(__xludf.DUMMYFUNCTION("IF(K54="""", """", GOOGLETRANSLATE(K54,""en"",""RU""))"),"То же, что и выше. Однако, когда появятся три варианта, нажмите правую кнопку мыши, чтобы увидеть скрытый вариант.")</f>
        <v>То же, что и выше. Однако, когда появятся три варианта, нажмите правую кнопку мыши, чтобы увидеть скрытый вариант.</v>
      </c>
      <c r="AB54" s="44" t="str">
        <f>IFERROR(__xludf.DUMMYFUNCTION("IF(L54="""", """", GOOGLETRANSLATE(L54, ""en"", ""ru""))
"),"Появляется скрытый вариант:
Крайний вариант")</f>
        <v>Появляется скрытый вариант:
Крайний вариант</v>
      </c>
      <c r="AC54" s="108">
        <v>5.0</v>
      </c>
      <c r="AD54" s="85" t="s">
        <v>1155</v>
      </c>
      <c r="AE54" s="86" t="s">
        <v>1156</v>
      </c>
      <c r="AF54" s="87" t="s">
        <v>1157</v>
      </c>
      <c r="AG54" s="108">
        <v>5.0</v>
      </c>
      <c r="AH54" s="92" t="s">
        <v>1158</v>
      </c>
      <c r="AI54" s="93" t="s">
        <v>1159</v>
      </c>
      <c r="AJ54" s="94" t="s">
        <v>1160</v>
      </c>
      <c r="AK54" s="87"/>
      <c r="AL54" s="87"/>
      <c r="AM54" s="87"/>
      <c r="AN54" s="87"/>
      <c r="AO54" s="87"/>
    </row>
    <row r="55">
      <c r="A55" s="84">
        <v>6.0</v>
      </c>
      <c r="B55" s="85" t="s">
        <v>1161</v>
      </c>
      <c r="C55" s="86" t="s">
        <v>1162</v>
      </c>
      <c r="D55" s="87" t="s">
        <v>1163</v>
      </c>
      <c r="E55" s="84">
        <v>6.0</v>
      </c>
      <c r="F55" s="85" t="s">
        <v>1164</v>
      </c>
      <c r="G55" s="86" t="s">
        <v>1165</v>
      </c>
      <c r="H55" s="87" t="s">
        <v>1166</v>
      </c>
      <c r="I55" s="84">
        <v>6.0</v>
      </c>
      <c r="J55" s="85" t="s">
        <v>1167</v>
      </c>
      <c r="K55" s="86" t="s">
        <v>1168</v>
      </c>
      <c r="L55" s="87" t="s">
        <v>1169</v>
      </c>
      <c r="M55" s="84">
        <v>6.0</v>
      </c>
      <c r="N55" s="85" t="str">
        <f>IFERROR(__xludf.DUMMYFUNCTION("GOOGLETRANSLATE(B55,""zh-tw"",""zh"")"),"现在就去-4")</f>
        <v>现在就去-4</v>
      </c>
      <c r="O55" s="89" t="str">
        <f>IFERROR(__xludf.DUMMYFUNCTION("GOOGLETRANSLATE(C55,""zh-tw"",""zh"")"),"触发偷窥换衣事件，拉门完全开启，触发唯一选项")</f>
        <v>触发偷窥换衣事件，拉门完全开启，触发唯一选项</v>
      </c>
      <c r="P55" s="55" t="str">
        <f>IFERROR(__xludf.DUMMYFUNCTION("GOOGLETRANSLATE(D55,""zh-tw"",""zh"")"),"触发黑色选项(让我看看)")</f>
        <v>触发黑色选项(让我看看)</v>
      </c>
      <c r="Q55" s="84">
        <v>6.0</v>
      </c>
      <c r="R55" s="85" t="s">
        <v>1170</v>
      </c>
      <c r="S55" s="89" t="s">
        <v>1171</v>
      </c>
      <c r="T55" s="55" t="s">
        <v>1172</v>
      </c>
      <c r="U55" s="84">
        <v>6.0</v>
      </c>
      <c r="V55" s="88" t="str">
        <f>IFERROR(__xludf.DUMMYFUNCTION("GOOGLETRANSLATE(B55,""zh-tw"",""KO"")"),"지금 -4로 가세요")</f>
        <v>지금 -4로 가세요</v>
      </c>
      <c r="W55" s="89" t="str">
        <f>IFERROR(__xludf.DUMMYFUNCTION("GOOGLETRANSLATE(C55,""zh-tw"",""KO"")"),"옷을 갈아입는 동안 엿보는 이벤트가 트리거되고, 슬라이딩 도어가 완전히 열리고, 유일한 옵션이 트리거됩니다.")</f>
        <v>옷을 갈아입는 동안 엿보는 이벤트가 트리거되고, 슬라이딩 도어가 완전히 열리고, 유일한 옵션이 트리거됩니다.</v>
      </c>
      <c r="X55" s="55" t="str">
        <f>IFERROR(__xludf.DUMMYFUNCTION("GOOGLETRANSLATE(D55,""zh-tw"",""KO"")"),"검은색 옵션을 선택합니다(확인해 보겠습니다).")</f>
        <v>검은색 옵션을 선택합니다(확인해 보겠습니다).</v>
      </c>
      <c r="Y55" s="84">
        <v>6.0</v>
      </c>
      <c r="Z55" s="103" t="str">
        <f>IFERROR(__xludf.DUMMYFUNCTION("IF(J55="""", """", GOOGLETRANSLATE(
J55,""en"",""ru""))"),"Иди сейчас! - 4")</f>
        <v>Иди сейчас! - 4</v>
      </c>
      <c r="AA55" s="104" t="str">
        <f>IFERROR(__xludf.DUMMYFUNCTION("IF(K55="""", """", GOOGLETRANSLATE(K55,""en"",""RU""))"),"То же, что и выше. Если вы полностью откроете дверь и вас поймают, появится один вариант.")</f>
        <v>То же, что и выше. Если вы полностью откроете дверь и вас поймают, появится один вариант.</v>
      </c>
      <c r="AB55" s="44" t="str">
        <f>IFERROR(__xludf.DUMMYFUNCTION("IF(L55="""", """", GOOGLETRANSLATE(L55, ""en"", ""ru""))
"),"Появится только один вариант:
Дай посмотреть!")</f>
        <v>Появится только один вариант:
Дай посмотреть!</v>
      </c>
      <c r="AC55" s="84">
        <v>6.0</v>
      </c>
      <c r="AD55" s="85" t="s">
        <v>1173</v>
      </c>
      <c r="AE55" s="86" t="s">
        <v>1174</v>
      </c>
      <c r="AF55" s="87" t="s">
        <v>1175</v>
      </c>
      <c r="AG55" s="84">
        <v>6.0</v>
      </c>
      <c r="AH55" s="92" t="s">
        <v>1176</v>
      </c>
      <c r="AI55" s="93" t="s">
        <v>1177</v>
      </c>
      <c r="AJ55" s="94" t="s">
        <v>1178</v>
      </c>
      <c r="AK55" s="87"/>
      <c r="AL55" s="87"/>
      <c r="AM55" s="87"/>
      <c r="AN55" s="87"/>
      <c r="AO55" s="87"/>
    </row>
    <row r="56">
      <c r="A56" s="84">
        <v>7.0</v>
      </c>
      <c r="B56" s="85" t="s">
        <v>1179</v>
      </c>
      <c r="C56" s="95" t="s">
        <v>1180</v>
      </c>
      <c r="D56" s="52" t="s">
        <v>1181</v>
      </c>
      <c r="E56" s="84">
        <v>7.0</v>
      </c>
      <c r="F56" s="98" t="s">
        <v>1182</v>
      </c>
      <c r="G56" s="95" t="s">
        <v>1183</v>
      </c>
      <c r="H56" s="52" t="s">
        <v>1184</v>
      </c>
      <c r="I56" s="84">
        <v>7.0</v>
      </c>
      <c r="J56" s="98" t="s">
        <v>1185</v>
      </c>
      <c r="K56" s="95" t="s">
        <v>1186</v>
      </c>
      <c r="L56" s="52" t="s">
        <v>1187</v>
      </c>
      <c r="M56" s="84">
        <v>7.0</v>
      </c>
      <c r="N56" s="85" t="str">
        <f>IFERROR(__xludf.DUMMYFUNCTION("GOOGLETRANSLATE(B56,""zh-tw"",""zh"")"),"现在就去-5")</f>
        <v>现在就去-5</v>
      </c>
      <c r="O56" s="89" t="str">
        <f>IFERROR(__xludf.DUMMYFUNCTION("GOOGLETRANSLATE(C56,""zh-tw"",""zh"")"),"同上，拉门完全开启后，马上将门再次关闭")</f>
        <v>同上，拉门完全开启后，马上将门再次关闭</v>
      </c>
      <c r="P56" s="55" t="str">
        <f>IFERROR(__xludf.DUMMYFUNCTION("GOOGLETRANSLATE(D56,""zh-tw"",""zh"")"),"触发不同的对话
出现三个选项(包含-让我看看)")</f>
        <v>触发不同的对话
出现三个选项(包含-让我看看)</v>
      </c>
      <c r="Q56" s="84">
        <v>7.0</v>
      </c>
      <c r="R56" s="85"/>
      <c r="S56" s="89"/>
      <c r="T56" s="55"/>
      <c r="U56" s="84">
        <v>7.0</v>
      </c>
      <c r="V56" s="88" t="str">
        <f>IFERROR(__xludf.DUMMYFUNCTION("GOOGLETRANSLATE(B56,""zh-tw"",""KO"")"),"지금 -5로 가세요")</f>
        <v>지금 -5로 가세요</v>
      </c>
      <c r="W56" s="89" t="str">
        <f>IFERROR(__xludf.DUMMYFUNCTION("GOOGLETRANSLATE(C56,""zh-tw"",""KO"")"),"위와 같이 슬라이딩 도어가 완전히 열린 후 즉시 다시 닫으세요.")</f>
        <v>위와 같이 슬라이딩 도어가 완전히 열린 후 즉시 다시 닫으세요.</v>
      </c>
      <c r="X56" s="55" t="str">
        <f>IFERROR(__xludf.DUMMYFUNCTION("GOOGLETRANSLATE(D56,""zh-tw"",""KO"")"),"이렇게 하면 다양한 대화가 시작되고 세 가지 옵션(""한번 살펴보겠습니다"" 포함)이 제시됩니다.")</f>
        <v>이렇게 하면 다양한 대화가 시작되고 세 가지 옵션("한번 살펴보겠습니다" 포함)이 제시됩니다.</v>
      </c>
      <c r="Y56" s="84">
        <v>7.0</v>
      </c>
      <c r="Z56" s="103" t="str">
        <f>IFERROR(__xludf.DUMMYFUNCTION("IF(J56="""", """", GOOGLETRANSLATE(
J56,""en"",""ru""))"),"Иди сейчас! - 5")</f>
        <v>Иди сейчас! - 5</v>
      </c>
      <c r="AA56" s="104" t="str">
        <f>IFERROR(__xludf.DUMMYFUNCTION("IF(K56="""", """", GOOGLETRANSLATE(K56,""en"",""RU""))"),"То же, что и выше. Полностью открыв дверь и задвинув её до упора, вы сможете закрыть её снова.")</f>
        <v>То же, что и выше. Полностью открыв дверь и задвинув её до упора, вы сможете закрыть её снова.</v>
      </c>
      <c r="AB56" s="44" t="str">
        <f>IFERROR(__xludf.DUMMYFUNCTION("IF(L56="""", """", GOOGLETRANSLATE(L56, ""en"", ""ru""))
"),"Открывает другой диалог. Появятся три варианта.")</f>
        <v>Открывает другой диалог. Появятся три варианта.</v>
      </c>
      <c r="AC56" s="84">
        <v>7.0</v>
      </c>
      <c r="AD56" s="98" t="s">
        <v>1188</v>
      </c>
      <c r="AE56" s="95" t="s">
        <v>1189</v>
      </c>
      <c r="AF56" s="52" t="s">
        <v>1190</v>
      </c>
      <c r="AG56" s="84">
        <v>7.0</v>
      </c>
      <c r="AH56" s="92" t="s">
        <v>1191</v>
      </c>
      <c r="AI56" s="93" t="s">
        <v>1192</v>
      </c>
      <c r="AJ56" s="94" t="s">
        <v>1193</v>
      </c>
      <c r="AK56" s="52"/>
      <c r="AL56" s="52"/>
      <c r="AM56" s="52"/>
      <c r="AN56" s="52"/>
      <c r="AO56" s="52"/>
    </row>
    <row r="57">
      <c r="A57" s="108">
        <v>8.0</v>
      </c>
      <c r="B57" s="85" t="s">
        <v>1194</v>
      </c>
      <c r="C57" s="95" t="s">
        <v>1195</v>
      </c>
      <c r="D57" s="87" t="s">
        <v>1196</v>
      </c>
      <c r="E57" s="108">
        <v>8.0</v>
      </c>
      <c r="F57" s="85" t="s">
        <v>1197</v>
      </c>
      <c r="G57" s="86" t="s">
        <v>1198</v>
      </c>
      <c r="H57" s="87" t="s">
        <v>1199</v>
      </c>
      <c r="I57" s="108">
        <v>8.0</v>
      </c>
      <c r="J57" s="85" t="s">
        <v>1200</v>
      </c>
      <c r="K57" s="86" t="s">
        <v>1201</v>
      </c>
      <c r="L57" s="87" t="s">
        <v>1202</v>
      </c>
      <c r="M57" s="108">
        <v>8.0</v>
      </c>
      <c r="N57" s="85" t="str">
        <f>IFERROR(__xludf.DUMMYFUNCTION("GOOGLETRANSLATE(B57,""zh-tw"",""zh"")"),"让我看看...-1")</f>
        <v>让我看看...-1</v>
      </c>
      <c r="O57" s="89" t="str">
        <f>IFERROR(__xludf.DUMMYFUNCTION("GOOGLETRANSLATE(C57,""zh-tw"",""zh"")"),"被妹妹拒绝")</f>
        <v>被妹妹拒绝</v>
      </c>
      <c r="P57" s="55" t="str">
        <f>IFERROR(__xludf.DUMMYFUNCTION("GOOGLETRANSLATE(D57,""zh-tw"",""zh"")"),"哥哥是笨蛋！")</f>
        <v>哥哥是笨蛋！</v>
      </c>
      <c r="Q57" s="108">
        <v>8.0</v>
      </c>
      <c r="R57" s="85" t="s">
        <v>1203</v>
      </c>
      <c r="S57" s="89" t="s">
        <v>1204</v>
      </c>
      <c r="T57" s="55" t="s">
        <v>1205</v>
      </c>
      <c r="U57" s="108">
        <v>8.0</v>
      </c>
      <c r="V57" s="88" t="str">
        <f>IFERROR(__xludf.DUMMYFUNCTION("GOOGLETRANSLATE(B57,""zh-tw"",""KO"")"),"한번 보자...-1")</f>
        <v>한번 보자...-1</v>
      </c>
      <c r="W57" s="89" t="str">
        <f>IFERROR(__xludf.DUMMYFUNCTION("GOOGLETRANSLATE(C57,""zh-tw"",""KO"")"),"언니에게 거절당함")</f>
        <v>언니에게 거절당함</v>
      </c>
      <c r="X57" s="55" t="str">
        <f>IFERROR(__xludf.DUMMYFUNCTION("GOOGLETRANSLATE(D57,""zh-tw"",""KO"")"),"내 동생은 바보야!")</f>
        <v>내 동생은 바보야!</v>
      </c>
      <c r="Y57" s="108">
        <v>8.0</v>
      </c>
      <c r="Z57" s="103" t="str">
        <f>IFERROR(__xludf.DUMMYFUNCTION("IF(J57="""", """", GOOGLETRANSLATE(
J57,""en"",""ru""))"),"Дай-ка подумать... - 1")</f>
        <v>Дай-ка подумать... - 1</v>
      </c>
      <c r="AA57" s="104" t="str">
        <f>IFERROR(__xludf.DUMMYFUNCTION("IF(K57="""", """", GOOGLETRANSLATE(K57,""en"",""RU""))"),"Если ваша благосклонность ниже 2, вам будет отказано.")</f>
        <v>Если ваша благосклонность ниже 2, вам будет отказано.</v>
      </c>
      <c r="AB57" s="44" t="str">
        <f>IFERROR(__xludf.DUMMYFUNCTION("IF(L57="""", """", GOOGLETRANSLATE(L57, ""en"", ""ru""))
"),"Братик, ты бака!! (бака = идиот/дурак)")</f>
        <v>Братик, ты бака!! (бака = идиот/дурак)</v>
      </c>
      <c r="AC57" s="108">
        <v>8.0</v>
      </c>
      <c r="AD57" s="85" t="s">
        <v>1206</v>
      </c>
      <c r="AE57" s="86" t="s">
        <v>1207</v>
      </c>
      <c r="AF57" s="87" t="s">
        <v>1208</v>
      </c>
      <c r="AG57" s="108">
        <v>8.0</v>
      </c>
      <c r="AH57" s="92" t="s">
        <v>1209</v>
      </c>
      <c r="AI57" s="93" t="s">
        <v>1210</v>
      </c>
      <c r="AJ57" s="94" t="s">
        <v>1211</v>
      </c>
      <c r="AK57" s="87"/>
      <c r="AL57" s="87"/>
      <c r="AM57" s="87"/>
      <c r="AN57" s="87"/>
      <c r="AO57" s="87"/>
    </row>
    <row r="58">
      <c r="A58" s="84">
        <v>9.0</v>
      </c>
      <c r="B58" s="98" t="s">
        <v>1212</v>
      </c>
      <c r="C58" s="95" t="s">
        <v>1213</v>
      </c>
      <c r="D58" s="52" t="s">
        <v>1214</v>
      </c>
      <c r="E58" s="84">
        <v>9.0</v>
      </c>
      <c r="F58" s="85" t="s">
        <v>1215</v>
      </c>
      <c r="G58" s="86" t="s">
        <v>1216</v>
      </c>
      <c r="H58" s="87" t="s">
        <v>1217</v>
      </c>
      <c r="I58" s="84">
        <v>9.0</v>
      </c>
      <c r="J58" s="85" t="s">
        <v>1218</v>
      </c>
      <c r="K58" s="86" t="s">
        <v>1219</v>
      </c>
      <c r="L58" s="52" t="s">
        <v>1220</v>
      </c>
      <c r="M58" s="84">
        <v>9.0</v>
      </c>
      <c r="N58" s="85" t="str">
        <f>IFERROR(__xludf.DUMMYFUNCTION("GOOGLETRANSLATE(B58,""zh-tw"",""zh"")"),"让我看看...-2
""想要色色""")</f>
        <v>让我看看...-2
"想要色色"</v>
      </c>
      <c r="O58" s="89" t="str">
        <f>IFERROR(__xludf.DUMMYFUNCTION("GOOGLETRANSLATE(C58,""zh-tw"",""zh"")"),"将门完全打开时，有机率出现""想要色色""
若此时你的爱心数量不足，则可以使用""约定:草莓牛奶""或金币")</f>
        <v>将门完全打开时，有机率出现"想要色色"
若此时你的爱心数量不足，则可以使用"约定:草莓牛奶"或金币</v>
      </c>
      <c r="P58" s="55" t="str">
        <f>IFERROR(__xludf.DUMMYFUNCTION("GOOGLETRANSLATE(D58,""zh-tw"",""zh"")"),"执行""想要色色""选项
后续依照贿络结果，触发后续剧情(贿络未实装)")</f>
        <v>执行"想要色色"选项
后续依照贿络结果，触发后续剧情(贿络未实装)</v>
      </c>
      <c r="Q58" s="84">
        <v>9.0</v>
      </c>
      <c r="R58" s="88" t="s">
        <v>1221</v>
      </c>
      <c r="S58" s="100" t="s">
        <v>1222</v>
      </c>
      <c r="T58" s="101" t="s">
        <v>1223</v>
      </c>
      <c r="U58" s="84">
        <v>9.0</v>
      </c>
      <c r="V58" s="88" t="str">
        <f>IFERROR(__xludf.DUMMYFUNCTION("GOOGLETRANSLATE(B58,""zh-tw"",""KO"")"),"어디 보자... -2
""섹스하고 싶어""")</f>
        <v>어디 보자... -2
"섹스하고 싶어"</v>
      </c>
      <c r="W58" s="89" t="str">
        <f>IFERROR(__xludf.DUMMYFUNCTION("GOOGLETRANSLATE(C58,""zh-tw"",""KO"")"),"문이 완전히 열리면 ""섹시해지고 싶어""가 나타날 확률이 있습니다. 이때 하트가 부족하면 ""약속: 딸기 우유""나 코인을 사용할 수 있습니다.")</f>
        <v>문이 완전히 열리면 "섹시해지고 싶어"가 나타날 확률이 있습니다. 이때 하트가 부족하면 "약속: 딸기 우유"나 코인을 사용할 수 있습니다.</v>
      </c>
      <c r="X58" s="55" t="str">
        <f>IFERROR(__xludf.DUMMYFUNCTION("GOOGLETRANSLATE(D58,""zh-tw"",""KO"")"),"""섹스하고 싶어"" 옵션을 실행합니다.
뇌물 수수 결과에 따라 후속 이벤트가 실행됩니다(뇌물 수수는 아직 시행되지 않았습니다).")</f>
        <v>"섹스하고 싶어" 옵션을 실행합니다.
뇌물 수수 결과에 따라 후속 이벤트가 실행됩니다(뇌물 수수는 아직 시행되지 않았습니다).</v>
      </c>
      <c r="Y58" s="84">
        <v>9.0</v>
      </c>
      <c r="Z58" s="103" t="str">
        <f>IFERROR(__xludf.DUMMYFUNCTION("IF(J58="""", """", GOOGLETRANSLATE(
J58,""en"",""ru""))"),"Дай-ка подумать... - 2")</f>
        <v>Дай-ка подумать... - 2</v>
      </c>
      <c r="AA58" s="104" t="str">
        <f>IFERROR(__xludf.DUMMYFUNCTION("IF(K58="""", """", GOOGLETRANSLATE(K58,""en"",""RU""))"),"То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f>
        <v>То же, что и выше. После отказа вы можете подкупить Имото клубничным молоком или золотыми монетами. В случае успеха активируются события, связанные с этой сценой. (Подкуп пока не реализован).</v>
      </c>
      <c r="AB58" s="44" t="str">
        <f>IFERROR(__xludf.DUMMYFUNCTION("IF(L58="""", """", GOOGLETRANSLATE(L58, ""en"", ""ru""))
"),"В зависимости от результата взяточничества, будут запущены соответствующие события. (Взяточничество пока не реализовано)")</f>
        <v>В зависимости от результата взяточничества, будут запущены соответствующие события. (Взяточничество пока не реализовано)</v>
      </c>
      <c r="AC58" s="84">
        <v>9.0</v>
      </c>
      <c r="AD58" s="85" t="s">
        <v>1224</v>
      </c>
      <c r="AE58" s="86" t="s">
        <v>1225</v>
      </c>
      <c r="AF58" s="87" t="s">
        <v>1226</v>
      </c>
      <c r="AG58" s="84">
        <v>9.0</v>
      </c>
      <c r="AH58" s="92" t="s">
        <v>1227</v>
      </c>
      <c r="AI58" s="93" t="s">
        <v>1228</v>
      </c>
      <c r="AJ58" s="94" t="s">
        <v>1229</v>
      </c>
      <c r="AK58" s="52"/>
      <c r="AL58" s="52"/>
      <c r="AM58" s="52"/>
      <c r="AN58" s="52"/>
      <c r="AO58" s="52"/>
    </row>
    <row r="59">
      <c r="A59" s="84">
        <v>10.0</v>
      </c>
      <c r="B59" s="98" t="s">
        <v>1230</v>
      </c>
      <c r="C59" s="86" t="s">
        <v>1231</v>
      </c>
      <c r="D59" s="52" t="s">
        <v>1232</v>
      </c>
      <c r="E59" s="84">
        <v>10.0</v>
      </c>
      <c r="F59" s="85" t="s">
        <v>1233</v>
      </c>
      <c r="G59" s="86" t="s">
        <v>1234</v>
      </c>
      <c r="H59" s="87" t="s">
        <v>1235</v>
      </c>
      <c r="I59" s="84">
        <v>10.0</v>
      </c>
      <c r="J59" s="85" t="s">
        <v>1236</v>
      </c>
      <c r="K59" s="86" t="s">
        <v>1237</v>
      </c>
      <c r="L59" s="87" t="s">
        <v>1238</v>
      </c>
      <c r="M59" s="84">
        <v>10.0</v>
      </c>
      <c r="N59" s="85" t="str">
        <f>IFERROR(__xludf.DUMMYFUNCTION("GOOGLETRANSLATE(B59,""zh-tw"",""zh"")"),"让我看看...-3
""想要色色""")</f>
        <v>让我看看...-3
"想要色色"</v>
      </c>
      <c r="O59" s="89" t="str">
        <f>IFERROR(__xludf.DUMMYFUNCTION("GOOGLETRANSLATE(C59,""zh-tw"",""zh"")"),"同上，被拒绝时，使用""什么都行券""")</f>
        <v>同上，被拒绝时，使用"什么都行券"</v>
      </c>
      <c r="P59" s="55" t="str">
        <f>IFERROR(__xludf.DUMMYFUNCTION("GOOGLETRANSLATE(D59,""zh-tw"",""zh"")"),"执行""想要色色""选项
后续使用""什么都行券""必定可以触发后续剧情(未实装)")</f>
        <v>执行"想要色色"选项
后续使用"什么都行券"必定可以触发后续剧情(未实装)</v>
      </c>
      <c r="Q59" s="84">
        <v>10.0</v>
      </c>
      <c r="R59" s="88" t="s">
        <v>1239</v>
      </c>
      <c r="S59" s="100" t="s">
        <v>1240</v>
      </c>
      <c r="T59" s="101" t="s">
        <v>1241</v>
      </c>
      <c r="U59" s="84">
        <v>10.0</v>
      </c>
      <c r="V59" s="88" t="str">
        <f>IFERROR(__xludf.DUMMYFUNCTION("GOOGLETRANSLATE(B59,""zh-tw"",""KO"")"),"어디 보자... -3
""섹시해지고 싶어""")</f>
        <v>어디 보자... -3
"섹시해지고 싶어"</v>
      </c>
      <c r="W59" s="89" t="str">
        <f>IFERROR(__xludf.DUMMYFUNCTION("GOOGLETRANSLATE(C59,""zh-tw"",""KO"")"),"마찬가지로, 거부된 경우 ""무엇이든 허용"" 쿠폰을 사용하세요.")</f>
        <v>마찬가지로, 거부된 경우 "무엇이든 허용" 쿠폰을 사용하세요.</v>
      </c>
      <c r="X59" s="55" t="str">
        <f>IFERROR(__xludf.DUMMYFUNCTION("GOOGLETRANSLATE(D59,""zh-tw"",""KO"")"),"""섹스하고 싶어"" 옵션 실행
""뭐든 괜찮아요"" 쿠폰을 사용하면 후속 스토리 이벤트가 반드시 발생합니다(아직 구현되지 않음).")</f>
        <v>"섹스하고 싶어" 옵션 실행
"뭐든 괜찮아요" 쿠폰을 사용하면 후속 스토리 이벤트가 반드시 발생합니다(아직 구현되지 않음).</v>
      </c>
      <c r="Y59" s="84">
        <v>10.0</v>
      </c>
      <c r="Z59" s="103" t="str">
        <f>IFERROR(__xludf.DUMMYFUNCTION("IF(J59="""", """", GOOGLETRANSLATE(
J59,""en"",""ru""))"),"Дай-ка подумать... - 3")</f>
        <v>Дай-ка подумать... - 3</v>
      </c>
      <c r="AA59" s="104" t="str">
        <f>IFERROR(__xludf.DUMMYFUNCTION("IF(K59="""", """", GOOGLETRANSLATE(K59,""en"",""RU""))"),"То же, что и выше. После отказа используйте «Билет бесплатного пропуска», который можно получить за «Обещание: Не пострадать» (пока не реализовано).")</f>
        <v>То же, что и выше. После отказа используйте «Билет бесплатного пропуска», который можно получить за «Обещание: Не пострадать» (пока не реализовано).</v>
      </c>
      <c r="AB59" s="44" t="str">
        <f>IFERROR(__xludf.DUMMYFUNCTION("IF(L59="""", """", GOOGLETRANSLATE(L59, ""en"", ""ru""))
"),"Запускает связанные события. (Пока не реализовано)")</f>
        <v>Запускает связанные события. (Пока не реализовано)</v>
      </c>
      <c r="AC59" s="84">
        <v>10.0</v>
      </c>
      <c r="AD59" s="85" t="s">
        <v>1242</v>
      </c>
      <c r="AE59" s="86" t="s">
        <v>1243</v>
      </c>
      <c r="AF59" s="87" t="s">
        <v>1244</v>
      </c>
      <c r="AG59" s="84">
        <v>10.0</v>
      </c>
      <c r="AH59" s="92" t="s">
        <v>1245</v>
      </c>
      <c r="AI59" s="93" t="s">
        <v>1246</v>
      </c>
      <c r="AJ59" s="94" t="s">
        <v>1247</v>
      </c>
      <c r="AK59" s="52"/>
      <c r="AL59" s="52"/>
      <c r="AM59" s="52"/>
      <c r="AN59" s="52"/>
      <c r="AO59" s="52"/>
    </row>
    <row r="60">
      <c r="A60" s="108">
        <v>11.0</v>
      </c>
      <c r="B60" s="98" t="s">
        <v>1248</v>
      </c>
      <c r="C60" s="95" t="s">
        <v>1249</v>
      </c>
      <c r="D60" s="52" t="s">
        <v>1250</v>
      </c>
      <c r="E60" s="108">
        <v>11.0</v>
      </c>
      <c r="F60" s="85" t="s">
        <v>1251</v>
      </c>
      <c r="G60" s="86" t="s">
        <v>1252</v>
      </c>
      <c r="H60" s="52" t="s">
        <v>1253</v>
      </c>
      <c r="I60" s="108">
        <v>11.0</v>
      </c>
      <c r="J60" s="98" t="s">
        <v>1254</v>
      </c>
      <c r="K60" s="95" t="s">
        <v>1255</v>
      </c>
      <c r="L60" s="52" t="s">
        <v>1256</v>
      </c>
      <c r="M60" s="108">
        <v>11.0</v>
      </c>
      <c r="N60" s="85" t="str">
        <f>IFERROR(__xludf.DUMMYFUNCTION("GOOGLETRANSLATE(B60,""zh-tw"",""zh"")"),"让我看看...-4
""想要色色""")</f>
        <v>让我看看...-4
"想要色色"</v>
      </c>
      <c r="O60" s="89" t="str">
        <f>IFERROR(__xludf.DUMMYFUNCTION("GOOGLETRANSLATE(C60,""zh-tw"",""zh"")"),"同上，当紫心1以上、红心2以上，可以触发剧情")</f>
        <v>同上，当紫心1以上、红心2以上，可以触发剧情</v>
      </c>
      <c r="P60" s="55" t="str">
        <f>IFERROR(__xludf.DUMMYFUNCTION("GOOGLETRANSLATE(D60,""zh-tw"",""zh"")"),"执行""想要色色""选项
触发用手服务的剧情")</f>
        <v>执行"想要色色"选项
触发用手服务的剧情</v>
      </c>
      <c r="Q60" s="108">
        <v>11.0</v>
      </c>
      <c r="R60" s="88" t="s">
        <v>1257</v>
      </c>
      <c r="S60" s="100" t="s">
        <v>1258</v>
      </c>
      <c r="T60" s="101" t="s">
        <v>1259</v>
      </c>
      <c r="U60" s="108">
        <v>11.0</v>
      </c>
      <c r="V60" s="88" t="str">
        <f>IFERROR(__xludf.DUMMYFUNCTION("GOOGLETRANSLATE(B60,""zh-tw"",""KO"")"),"어디 보자... -4
""섹시해지고 싶어""")</f>
        <v>어디 보자... -4
"섹시해지고 싶어"</v>
      </c>
      <c r="W60" s="89" t="str">
        <f>IFERROR(__xludf.DUMMYFUNCTION("GOOGLETRANSLATE(C60,""zh-tw"",""KO"")"),"마찬가지로, 보라색 하트가 1개 이상, 빨간색 하트가 2개 이상 있는 경우 이벤트가 발생할 수 있습니다.")</f>
        <v>마찬가지로, 보라색 하트가 1개 이상, 빨간색 하트가 2개 이상 있는 경우 이벤트가 발생할 수 있습니다.</v>
      </c>
      <c r="X60" s="55" t="str">
        <f>IFERROR(__xludf.DUMMYFUNCTION("GOOGLETRANSLATE(D60,""zh-tw"",""KO"")"),"""에로티시즘을 원해"" 옵션을 실행하세요.
손을 사용하여 성관계를 하는 장면이 트리거됩니다.")</f>
        <v>"에로티시즘을 원해" 옵션을 실행하세요.
손을 사용하여 성관계를 하는 장면이 트리거됩니다.</v>
      </c>
      <c r="Y60" s="108">
        <v>11.0</v>
      </c>
      <c r="Z60" s="103" t="str">
        <f>IFERROR(__xludf.DUMMYFUNCTION("IF(J60="""", """", GOOGLETRANSLATE(
J60,""en"",""ru""))"),"Хочу похотливого")</f>
        <v>Хочу похотливого</v>
      </c>
      <c r="AA60" s="104" t="str">
        <f>IFERROR(__xludf.DUMMYFUNCTION("IF(K60="""", """", GOOGLETRANSLATE(K60,""en"",""RU""))"),"Если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f>
        <v>Если у вас фиолетовое сердце 1 или больше, а красное 2 или больше, событие «Ручная работа» может сработать случайно, когда вы полностью откроете дверь. Вариант выбора изменится с «Посмотрю» на «Хочу потрахаться».</v>
      </c>
      <c r="AB60" s="44" t="str">
        <f>IFERROR(__xludf.DUMMYFUNCTION("IF(L60="""", """", GOOGLETRANSLATE(L60, ""en"", ""ru""))
"),"Запускает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f>
        <v>Запускает событие «Ручная работа». У вас всё ещё есть шанс получить отказ, и дверь должна быть полностью открыта.
Примечание: Она должна смотреть на вас, а не наоборот.</v>
      </c>
      <c r="AC60" s="108">
        <v>11.0</v>
      </c>
      <c r="AD60" s="85" t="s">
        <v>1260</v>
      </c>
      <c r="AE60" s="86" t="s">
        <v>1261</v>
      </c>
      <c r="AF60" s="87" t="s">
        <v>1262</v>
      </c>
      <c r="AG60" s="108">
        <v>11.0</v>
      </c>
      <c r="AH60" s="92" t="s">
        <v>1263</v>
      </c>
      <c r="AI60" s="100" t="s">
        <v>1264</v>
      </c>
      <c r="AJ60" s="94" t="s">
        <v>1265</v>
      </c>
      <c r="AK60" s="52"/>
      <c r="AL60" s="52"/>
      <c r="AM60" s="52"/>
      <c r="AN60" s="52"/>
      <c r="AO60" s="52"/>
    </row>
    <row r="61">
      <c r="A61" s="84">
        <v>12.0</v>
      </c>
      <c r="B61" s="85" t="s">
        <v>1266</v>
      </c>
      <c r="C61" s="86" t="s">
        <v>1267</v>
      </c>
      <c r="D61" s="87" t="s">
        <v>1268</v>
      </c>
      <c r="E61" s="84">
        <v>12.0</v>
      </c>
      <c r="F61" s="85" t="s">
        <v>1269</v>
      </c>
      <c r="G61" s="86" t="s">
        <v>1270</v>
      </c>
      <c r="H61" s="87" t="s">
        <v>1271</v>
      </c>
      <c r="I61" s="84">
        <v>12.0</v>
      </c>
      <c r="J61" s="98" t="s">
        <v>1272</v>
      </c>
      <c r="K61" s="95" t="s">
        <v>1273</v>
      </c>
      <c r="L61" s="52" t="s">
        <v>1274</v>
      </c>
      <c r="M61" s="84">
        <v>12.0</v>
      </c>
      <c r="N61" s="85" t="str">
        <f>IFERROR(__xludf.DUMMYFUNCTION("GOOGLETRANSLATE(B61,""zh-tw"",""zh"")"),"再等会")</f>
        <v>再等会</v>
      </c>
      <c r="O61" s="89" t="str">
        <f>IFERROR(__xludf.DUMMYFUNCTION("GOOGLETRANSLATE(C61,""zh-tw"",""zh"")"),"跳过偷窥换衣事件，保证安全潜入洗面所")</f>
        <v>跳过偷窥换衣事件，保证安全潜入洗面所</v>
      </c>
      <c r="P61" s="55" t="str">
        <f>IFERROR(__xludf.DUMMYFUNCTION("GOOGLETRANSLATE(D61,""zh-tw"",""zh"")"),"安全潜入洗面所")</f>
        <v>安全潜入洗面所</v>
      </c>
      <c r="Q61" s="84">
        <v>12.0</v>
      </c>
      <c r="R61" s="105" t="s">
        <v>1275</v>
      </c>
      <c r="S61" s="100" t="s">
        <v>1276</v>
      </c>
      <c r="T61" s="101" t="s">
        <v>1277</v>
      </c>
      <c r="U61" s="84">
        <v>12.0</v>
      </c>
      <c r="V61" s="88" t="str">
        <f>IFERROR(__xludf.DUMMYFUNCTION("GOOGLETRANSLATE(B61,""zh-tw"",""KO"")"),"잠깐만 기다려요")</f>
        <v>잠깐만 기다려요</v>
      </c>
      <c r="W61" s="89" t="str">
        <f>IFERROR(__xludf.DUMMYFUNCTION("GOOGLETRANSLATE(C61,""zh-tw"",""KO"")"),"옷을 갈아입을 때 엿보는 사고를 예방하면 화장실에 안전하게 들어갈 수 있습니다.")</f>
        <v>옷을 갈아입을 때 엿보는 사고를 예방하면 화장실에 안전하게 들어갈 수 있습니다.</v>
      </c>
      <c r="X61" s="55" t="str">
        <f>IFERROR(__xludf.DUMMYFUNCTION("GOOGLETRANSLATE(D61,""zh-tw"",""KO"")"),"세안제에 안전하게 침투")</f>
        <v>세안제에 안전하게 침투</v>
      </c>
      <c r="Y61" s="84">
        <v>12.0</v>
      </c>
      <c r="Z61" s="103" t="str">
        <f>IFERROR(__xludf.DUMMYFUNCTION("IF(J61="""", """", GOOGLETRANSLATE(
J61,""en"",""ru""))"),"Подожди немного")</f>
        <v>Подожди немного</v>
      </c>
      <c r="AA61" s="104" t="str">
        <f>IFERROR(__xludf.DUMMYFUNCTION("IF(K61="""", """", GOOGLETRANSLATE(K61,""en"",""RU""))"),"Пропускает раннюю сцену подглядывания и переходит сразу к подглядыванию в туалете")</f>
        <v>Пропускает раннюю сцену подглядывания и переходит сразу к подглядыванию в туалете</v>
      </c>
      <c r="AB61" s="44" t="str">
        <f>IFERROR(__xludf.DUMMYFUNCTION("IF(L61="""", """", GOOGLETRANSLATE(L61, ""en"", ""ru""))
"),"Безопасно пробраться в туалет")</f>
        <v>Безопасно пробраться в туалет</v>
      </c>
      <c r="AC61" s="84">
        <v>12.0</v>
      </c>
      <c r="AD61" s="85" t="s">
        <v>1278</v>
      </c>
      <c r="AE61" s="86" t="s">
        <v>1279</v>
      </c>
      <c r="AF61" s="87" t="s">
        <v>1280</v>
      </c>
      <c r="AG61" s="84">
        <v>12.0</v>
      </c>
      <c r="AH61" s="92" t="s">
        <v>1281</v>
      </c>
      <c r="AI61" s="93" t="s">
        <v>1282</v>
      </c>
      <c r="AJ61" s="94" t="s">
        <v>1283</v>
      </c>
      <c r="AK61" s="87"/>
      <c r="AL61" s="87"/>
      <c r="AM61" s="87"/>
      <c r="AN61" s="87"/>
      <c r="AO61" s="87"/>
    </row>
    <row r="62">
      <c r="A62" s="84">
        <v>13.0</v>
      </c>
      <c r="B62" s="85" t="s">
        <v>1284</v>
      </c>
      <c r="C62" s="86" t="s">
        <v>1285</v>
      </c>
      <c r="D62" s="87" t="s">
        <v>1286</v>
      </c>
      <c r="E62" s="84">
        <v>13.0</v>
      </c>
      <c r="F62" s="85" t="str">
        <f>IFERROR(__xludf.DUMMYFUNCTION("GOOGLETRANSLATE(B62,""zh-tw"",""ja"")"),"最初の侵入")</f>
        <v>最初の侵入</v>
      </c>
      <c r="G62" s="86" t="s">
        <v>1287</v>
      </c>
      <c r="H62" s="87" t="s">
        <v>1288</v>
      </c>
      <c r="I62" s="84">
        <v>13.0</v>
      </c>
      <c r="J62" s="85" t="s">
        <v>1289</v>
      </c>
      <c r="K62" s="86" t="s">
        <v>1290</v>
      </c>
      <c r="L62" s="87" t="s">
        <v>1291</v>
      </c>
      <c r="M62" s="84">
        <v>13.0</v>
      </c>
      <c r="N62" s="85" t="str">
        <f>IFERROR(__xludf.DUMMYFUNCTION("GOOGLETRANSLATE(B62,""zh-tw"",""zh"")"),"第一次潜入")</f>
        <v>第一次潜入</v>
      </c>
      <c r="O62" s="89" t="str">
        <f>IFERROR(__xludf.DUMMYFUNCTION("GOOGLETRANSLATE(C62,""zh-tw"",""zh"")"),"第一次于洗面所潜入，属于特殊剧情")</f>
        <v>第一次于洗面所潜入，属于特殊剧情</v>
      </c>
      <c r="P62" s="55" t="str">
        <f>IFERROR(__xludf.DUMMYFUNCTION("GOOGLETRANSLATE(D62,""zh-tw"",""zh"")"),"※一次性事件
只能探索一下就必须离开")</f>
        <v>※一次性事件
只能探索一下就必须离开</v>
      </c>
      <c r="Q62" s="84">
        <v>13.0</v>
      </c>
      <c r="R62" s="88" t="s">
        <v>1292</v>
      </c>
      <c r="S62" s="89" t="str">
        <f>IFERROR(__xludf.DUMMYFUNCTION("GOOGLETRANSLATE(C62,""zh-tw"",""es-MX"")"),"La primera infiltración en el baño forma parte de una trama especial.")</f>
        <v>La primera infiltración en el baño forma parte de una trama especial.</v>
      </c>
      <c r="T62" s="55" t="s">
        <v>1293</v>
      </c>
      <c r="U62" s="84">
        <v>13.0</v>
      </c>
      <c r="V62" s="88" t="str">
        <f>IFERROR(__xludf.DUMMYFUNCTION("GOOGLETRANSLATE(B62,""zh-tw"",""KO"")"),"첫 번째 침투")</f>
        <v>첫 번째 침투</v>
      </c>
      <c r="W62" s="89" t="s">
        <v>1294</v>
      </c>
      <c r="X62" s="55" t="s">
        <v>1295</v>
      </c>
      <c r="Y62" s="84">
        <v>13.0</v>
      </c>
      <c r="Z62" s="103" t="s">
        <v>1296</v>
      </c>
      <c r="AA62" s="104" t="s">
        <v>1297</v>
      </c>
      <c r="AB62" s="44" t="s">
        <v>1298</v>
      </c>
      <c r="AC62" s="84">
        <v>13.0</v>
      </c>
      <c r="AD62" s="85" t="s">
        <v>1299</v>
      </c>
      <c r="AE62" s="86" t="s">
        <v>1300</v>
      </c>
      <c r="AF62" s="87" t="s">
        <v>1301</v>
      </c>
      <c r="AG62" s="84">
        <v>13.0</v>
      </c>
      <c r="AH62" s="92" t="s">
        <v>1302</v>
      </c>
      <c r="AI62" s="93" t="s">
        <v>1303</v>
      </c>
      <c r="AJ62" s="94" t="s">
        <v>1304</v>
      </c>
      <c r="AK62" s="87"/>
      <c r="AL62" s="87"/>
      <c r="AM62" s="87"/>
      <c r="AN62" s="87"/>
      <c r="AO62" s="87"/>
    </row>
    <row r="63">
      <c r="A63" s="108">
        <v>14.0</v>
      </c>
      <c r="B63" s="85" t="s">
        <v>1305</v>
      </c>
      <c r="C63" s="86" t="s">
        <v>1306</v>
      </c>
      <c r="D63" s="87" t="s">
        <v>1307</v>
      </c>
      <c r="E63" s="108">
        <v>14.0</v>
      </c>
      <c r="F63" s="85" t="s">
        <v>1308</v>
      </c>
      <c r="G63" s="86" t="s">
        <v>1309</v>
      </c>
      <c r="H63" s="87" t="s">
        <v>1310</v>
      </c>
      <c r="I63" s="108">
        <v>14.0</v>
      </c>
      <c r="J63" s="85" t="s">
        <v>1311</v>
      </c>
      <c r="K63" s="86" t="s">
        <v>1312</v>
      </c>
      <c r="L63" s="87" t="s">
        <v>1313</v>
      </c>
      <c r="M63" s="108">
        <v>14.0</v>
      </c>
      <c r="N63" s="85" t="str">
        <f>IFERROR(__xludf.DUMMYFUNCTION("GOOGLETRANSLATE(B63,""zh-tw"",""zh"")"),"胖次！")</f>
        <v>胖次！</v>
      </c>
      <c r="O63" s="89" t="str">
        <f>IFERROR(__xludf.DUMMYFUNCTION("GOOGLETRANSLATE(C63,""zh-tw"",""zh"")"),"潜入时，偷拿内裤，并被发现")</f>
        <v>潜入时，偷拿内裤，并被发现</v>
      </c>
      <c r="P63" s="55" t="str">
        <f>IFERROR(__xludf.DUMMYFUNCTION("GOOGLETRANSLATE(D63,""zh-tw"",""zh"")"),"特殊剧情
获得道具:妹妹脱下的内裤")</f>
        <v>特殊剧情
获得道具:妹妹脱下的内裤</v>
      </c>
      <c r="Q63" s="108">
        <v>14.0</v>
      </c>
      <c r="R63" s="88" t="s">
        <v>1314</v>
      </c>
      <c r="S63" s="89" t="s">
        <v>1315</v>
      </c>
      <c r="T63" s="55" t="s">
        <v>1316</v>
      </c>
      <c r="U63" s="108">
        <v>14.0</v>
      </c>
      <c r="V63" s="88" t="str">
        <f>IFERROR(__xludf.DUMMYFUNCTION("GOOGLETRANSLATE(B63,""zh-tw"",""KO"")"),"팬티!")</f>
        <v>팬티!</v>
      </c>
      <c r="W63" s="89" t="str">
        <f>IFERROR(__xludf.DUMMYFUNCTION("GOOGLETRANSLATE(C63,""zh-tw"",""KO"")"),"그는 집에 침입하여 속옷을 훔쳤고 발각되었습니다.")</f>
        <v>그는 집에 침입하여 속옷을 훔쳤고 발각되었습니다.</v>
      </c>
      <c r="X63" s="55" t="str">
        <f>IFERROR(__xludf.DUMMYFUNCTION("GOOGLETRANSLATE(D63,""zh-tw"",""KO"")"),"특별 이벤트
획득 아이템: 언니의 속옷")</f>
        <v>특별 이벤트
획득 아이템: 언니의 속옷</v>
      </c>
      <c r="Y63" s="108">
        <v>14.0</v>
      </c>
      <c r="Z63" s="103" t="str">
        <f>IFERROR(__xludf.DUMMYFUNCTION("IF(J63="""", """", GOOGLETRANSLATE(
J63,""en"",""ru""))"),"Трусики!")</f>
        <v>Трусики!</v>
      </c>
      <c r="AA63" s="104" t="str">
        <f>IFERROR(__xludf.DUMMYFUNCTION("IF(K63="""", """", GOOGLETRANSLATE(K63,""en"",""RU""))"),"Прокрадитесь в туалет и возьмите нижнее белье Имото, затем попадитесь в первый раз, и запустится кат-сцена.")</f>
        <v>Прокрадитесь в туалет и возьмите нижнее белье Имото, затем попадитесь в первый раз, и запустится кат-сцена.</v>
      </c>
      <c r="AB63" s="44" t="str">
        <f>IFERROR(__xludf.DUMMYFUNCTION("IF(L63="""", """", GOOGLETRANSLATE(L63, ""en"", ""ru""))
"),"Событие активируется
Получить снаряжение «Трусики Имуто».")</f>
        <v>Событие активируется
Получить снаряжение «Трусики Имуто».</v>
      </c>
      <c r="AC63" s="108">
        <v>14.0</v>
      </c>
      <c r="AD63" s="85" t="s">
        <v>1317</v>
      </c>
      <c r="AE63" s="86" t="s">
        <v>1318</v>
      </c>
      <c r="AF63" s="87" t="s">
        <v>1319</v>
      </c>
      <c r="AG63" s="108">
        <v>14.0</v>
      </c>
      <c r="AH63" s="92" t="s">
        <v>1320</v>
      </c>
      <c r="AI63" s="93" t="s">
        <v>1321</v>
      </c>
      <c r="AJ63" s="94" t="s">
        <v>1322</v>
      </c>
      <c r="AK63" s="87"/>
      <c r="AL63" s="87"/>
      <c r="AM63" s="87"/>
      <c r="AN63" s="87"/>
      <c r="AO63" s="87"/>
    </row>
    <row r="64">
      <c r="A64" s="84">
        <v>15.0</v>
      </c>
      <c r="B64" s="85" t="s">
        <v>1323</v>
      </c>
      <c r="C64" s="86" t="s">
        <v>1324</v>
      </c>
      <c r="D64" s="87" t="s">
        <v>1325</v>
      </c>
      <c r="E64" s="84">
        <v>15.0</v>
      </c>
      <c r="F64" s="85" t="s">
        <v>1326</v>
      </c>
      <c r="G64" s="86" t="s">
        <v>1327</v>
      </c>
      <c r="H64" s="87" t="s">
        <v>1328</v>
      </c>
      <c r="I64" s="84">
        <v>15.0</v>
      </c>
      <c r="J64" s="85" t="s">
        <v>1329</v>
      </c>
      <c r="K64" s="95" t="s">
        <v>1330</v>
      </c>
      <c r="L64" s="87" t="s">
        <v>1331</v>
      </c>
      <c r="M64" s="84">
        <v>15.0</v>
      </c>
      <c r="N64" s="85" t="str">
        <f>IFERROR(__xludf.DUMMYFUNCTION("GOOGLETRANSLATE(B64,""zh-tw"",""zh"")"),"手的温度-1")</f>
        <v>手的温度-1</v>
      </c>
      <c r="O64" s="89" t="str">
        <f>IFERROR(__xludf.DUMMYFUNCTION("GOOGLETRANSLATE(C64,""zh-tw"",""zh"")"),"第二次偷内衣时被发现，并且当爱心达到6，即可触发。")</f>
        <v>第二次偷内衣时被发现，并且当爱心达到6，即可触发。</v>
      </c>
      <c r="P64" s="55" t="str">
        <f>IFERROR(__xludf.DUMMYFUNCTION("GOOGLETRANSLATE(D64,""zh-tw"",""zh"")"),"妹妹用手来服务的特殊剧情
*目前实装3种内裤")</f>
        <v>妹妹用手来服务的特殊剧情
*目前实装3种内裤</v>
      </c>
      <c r="Q64" s="84">
        <v>15.0</v>
      </c>
      <c r="R64" s="88" t="s">
        <v>1332</v>
      </c>
      <c r="S64" s="89" t="s">
        <v>1333</v>
      </c>
      <c r="T64" s="55" t="str">
        <f>IFERROR(__xludf.DUMMYFUNCTION("GOOGLETRANSLATE(D64,""zh-tw"",""es-MX"")"),"Historia especial en la que la hermana menor usa sus manos.
*Actualmente, hay 3 tipos de ropa interior disponibles.")</f>
        <v>Historia especial en la que la hermana menor usa sus manos.
*Actualmente, hay 3 tipos de ropa interior disponibles.</v>
      </c>
      <c r="U64" s="84">
        <v>15.0</v>
      </c>
      <c r="V64" s="88" t="str">
        <f>IFERROR(__xludf.DUMMYFUNCTION("GOOGLETRANSLATE(B64,""zh-tw"",""KO"")"),"손 온도 -1")</f>
        <v>손 온도 -1</v>
      </c>
      <c r="W64" s="89" t="str">
        <f>IFERROR(__xludf.DUMMYFUNCTION("GOOGLETRANSLATE(C64,""zh-tw"",""KO"")"),"두 번째로 속옷을 훔친 것이 적발되고 하트 수가 6에 도달하면 이벤트가 발생합니다.")</f>
        <v>두 번째로 속옷을 훔친 것이 적발되고 하트 수가 6에 도달하면 이벤트가 발생합니다.</v>
      </c>
      <c r="X64" s="55" t="str">
        <f>IFERROR(__xludf.DUMMYFUNCTION("GOOGLETRANSLATE(D64,""zh-tw"",""KO"")"),"여동생이 손을 사용하는 특별한 스토리
*현재 3가지 종류의 속옷이 구현되어 있습니다.")</f>
        <v>여동생이 손을 사용하는 특별한 스토리
*현재 3가지 종류의 속옷이 구현되어 있습니다.</v>
      </c>
      <c r="Y64" s="84">
        <v>15.0</v>
      </c>
      <c r="Z64" s="103" t="s">
        <v>1334</v>
      </c>
      <c r="AA64" s="104" t="s">
        <v>1335</v>
      </c>
      <c r="AB64" s="44" t="s">
        <v>1336</v>
      </c>
      <c r="AC64" s="84">
        <v>15.0</v>
      </c>
      <c r="AD64" s="85" t="s">
        <v>1337</v>
      </c>
      <c r="AE64" s="86" t="s">
        <v>1338</v>
      </c>
      <c r="AF64" s="87" t="s">
        <v>1339</v>
      </c>
      <c r="AG64" s="84">
        <v>15.0</v>
      </c>
      <c r="AH64" s="92" t="s">
        <v>1340</v>
      </c>
      <c r="AI64" s="93" t="s">
        <v>1341</v>
      </c>
      <c r="AJ64" s="94" t="s">
        <v>1342</v>
      </c>
      <c r="AK64" s="87"/>
      <c r="AL64" s="87"/>
      <c r="AM64" s="87"/>
      <c r="AN64" s="87"/>
      <c r="AO64" s="87"/>
    </row>
    <row r="65">
      <c r="A65" s="84">
        <v>16.0</v>
      </c>
      <c r="B65" s="85" t="s">
        <v>1343</v>
      </c>
      <c r="C65" s="86" t="s">
        <v>1344</v>
      </c>
      <c r="D65" s="87" t="s">
        <v>1345</v>
      </c>
      <c r="E65" s="84">
        <v>16.0</v>
      </c>
      <c r="F65" s="85" t="s">
        <v>1346</v>
      </c>
      <c r="G65" s="86" t="s">
        <v>1347</v>
      </c>
      <c r="H65" s="87" t="s">
        <v>1348</v>
      </c>
      <c r="I65" s="84">
        <v>16.0</v>
      </c>
      <c r="J65" s="85" t="s">
        <v>1349</v>
      </c>
      <c r="K65" s="86" t="s">
        <v>1350</v>
      </c>
      <c r="L65" s="87" t="s">
        <v>1351</v>
      </c>
      <c r="M65" s="84">
        <v>16.0</v>
      </c>
      <c r="N65" s="85" t="str">
        <f>IFERROR(__xludf.DUMMYFUNCTION("GOOGLETRANSLATE(B65,""zh-tw"",""zh"")"),"手的温度-2")</f>
        <v>手的温度-2</v>
      </c>
      <c r="O65" s="89" t="str">
        <f>IFERROR(__xludf.DUMMYFUNCTION("GOOGLETRANSLATE(C65,""zh-tw"",""zh"")"),"承上，紫心达到3，可以不用隔着衣物")</f>
        <v>承上，紫心达到3，可以不用隔着衣物</v>
      </c>
      <c r="P65" s="55" t="str">
        <f>IFERROR(__xludf.DUMMYFUNCTION("GOOGLETRANSLATE(D65,""zh-tw"",""zh"")"),"妹妹用手来服务的特殊剧情")</f>
        <v>妹妹用手来服务的特殊剧情</v>
      </c>
      <c r="Q65" s="84">
        <v>16.0</v>
      </c>
      <c r="R65" s="88" t="s">
        <v>1352</v>
      </c>
      <c r="S65" s="89" t="str">
        <f>IFERROR(__xludf.DUMMYFUNCTION("GOOGLETRANSLATE(C65,""zh-tw"",""es-MX"")"),"Continuando desde lo anterior, una vez que alcances un nivel de corazón púrpura de 3, podrás jugar sin usar ropa.")</f>
        <v>Continuando desde lo anterior, una vez que alcances un nivel de corazón púrpura de 3, podrás jugar sin usar ropa.</v>
      </c>
      <c r="T65" s="55" t="str">
        <f>IFERROR(__xludf.DUMMYFUNCTION("GOOGLETRANSLATE(D65,""zh-tw"",""es-MX"")"),"La trama especial de la hermana menor usando sus manos para servir.")</f>
        <v>La trama especial de la hermana menor usando sus manos para servir.</v>
      </c>
      <c r="U65" s="84">
        <v>16.0</v>
      </c>
      <c r="V65" s="88" t="str">
        <f>IFERROR(__xludf.DUMMYFUNCTION("GOOGLETRANSLATE(B65,""zh-tw"",""KO"")"),"손 온도 -2")</f>
        <v>손 온도 -2</v>
      </c>
      <c r="W65" s="89" t="str">
        <f>IFERROR(__xludf.DUMMYFUNCTION("GOOGLETRANSLATE(C65,""zh-tw"",""KO"")"),"위에서 언급한 대로, 퍼플 하트 레벨 3에 도달하면 옷을 입지 않고도 플레이할 수 있습니다.")</f>
        <v>위에서 언급한 대로, 퍼플 하트 레벨 3에 도달하면 옷을 입지 않고도 플레이할 수 있습니다.</v>
      </c>
      <c r="X65" s="55" t="str">
        <f>IFERROR(__xludf.DUMMYFUNCTION("GOOGLETRANSLATE(D65,""zh-tw"",""KO"")"),"여동생이 손을 이용해 봉사하는 특별한 줄거리.")</f>
        <v>여동생이 손을 이용해 봉사하는 특별한 줄거리.</v>
      </c>
      <c r="Y65" s="84">
        <v>16.0</v>
      </c>
      <c r="Z65" s="103" t="s">
        <v>1353</v>
      </c>
      <c r="AA65" s="104" t="s">
        <v>1354</v>
      </c>
      <c r="AB65" s="44" t="s">
        <v>1355</v>
      </c>
      <c r="AC65" s="84">
        <v>16.0</v>
      </c>
      <c r="AD65" s="85" t="s">
        <v>1356</v>
      </c>
      <c r="AE65" s="86" t="s">
        <v>1357</v>
      </c>
      <c r="AF65" s="87" t="s">
        <v>1358</v>
      </c>
      <c r="AG65" s="84">
        <v>16.0</v>
      </c>
      <c r="AH65" s="92" t="s">
        <v>1359</v>
      </c>
      <c r="AI65" s="93" t="s">
        <v>1360</v>
      </c>
      <c r="AJ65" s="94" t="s">
        <v>1361</v>
      </c>
      <c r="AK65" s="87"/>
      <c r="AL65" s="87"/>
      <c r="AM65" s="87"/>
      <c r="AN65" s="87"/>
      <c r="AO65" s="87"/>
    </row>
    <row r="66">
      <c r="A66" s="108">
        <v>17.0</v>
      </c>
      <c r="B66" s="85" t="s">
        <v>1362</v>
      </c>
      <c r="C66" s="86" t="s">
        <v>1363</v>
      </c>
      <c r="D66" s="87" t="s">
        <v>1364</v>
      </c>
      <c r="E66" s="108">
        <v>17.0</v>
      </c>
      <c r="F66" s="85" t="s">
        <v>1365</v>
      </c>
      <c r="G66" s="86" t="s">
        <v>1366</v>
      </c>
      <c r="H66" s="87" t="s">
        <v>1367</v>
      </c>
      <c r="I66" s="108">
        <v>17.0</v>
      </c>
      <c r="J66" s="85" t="s">
        <v>1368</v>
      </c>
      <c r="K66" s="86" t="s">
        <v>1369</v>
      </c>
      <c r="L66" s="87" t="s">
        <v>1370</v>
      </c>
      <c r="M66" s="108">
        <v>17.0</v>
      </c>
      <c r="N66" s="85" t="str">
        <f>IFERROR(__xludf.DUMMYFUNCTION("GOOGLETRANSLATE(B66,""zh-tw"",""zh"")"),"气息消除-1")</f>
        <v>气息消除-1</v>
      </c>
      <c r="O66" s="89" t="str">
        <f>IFERROR(__xludf.DUMMYFUNCTION("GOOGLETRANSLATE(C66,""zh-tw"",""zh"")"),"在习得""气息消除""后，于妹妹洗澡时潜入洗面所，可以使用忍者跳舞选项")</f>
        <v>在习得"气息消除"后，于妹妹洗澡时潜入洗面所，可以使用忍者跳舞选项</v>
      </c>
      <c r="P66" s="55" t="str">
        <f>IFERROR(__xludf.DUMMYFUNCTION("GOOGLETRANSLATE(D66,""zh-tw"",""zh"")"),"使用特殊选项")</f>
        <v>使用特殊选项</v>
      </c>
      <c r="Q66" s="108">
        <v>17.0</v>
      </c>
      <c r="R66" s="88" t="str">
        <f>IFERROR(__xludf.DUMMYFUNCTION("GOOGLETRANSLATE(B66,""zh-tw"",""es-MX"")"),"Eliminación de aura -1")</f>
        <v>Eliminación de aura -1</v>
      </c>
      <c r="S66" s="89" t="str">
        <f>IFERROR(__xludf.DUMMYFUNCTION("GOOGLETRANSLATE(C66,""zh-tw"",""es-MX"")"),"Después de aprender ""Eliminar Aura"", escabúllete al baño mientras tu hermana se está bañando para acceder a la opción de baile ninja.")</f>
        <v>Después de aprender "Eliminar Aura", escabúllete al baño mientras tu hermana se está bañando para acceder a la opción de baile ninja.</v>
      </c>
      <c r="T66" s="55" t="str">
        <f>IFERROR(__xludf.DUMMYFUNCTION("GOOGLETRANSLATE(D66,""zh-tw"",""es-MX"")"),"Utilice opciones especiales")</f>
        <v>Utilice opciones especiales</v>
      </c>
      <c r="U66" s="108">
        <v>17.0</v>
      </c>
      <c r="V66" s="88" t="str">
        <f>IFERROR(__xludf.DUMMYFUNCTION("GOOGLETRANSLATE(B66,""zh-tw"",""KO"")"),"오라 제거 -1")</f>
        <v>오라 제거 -1</v>
      </c>
      <c r="W66" s="89" t="str">
        <f>IFERROR(__xludf.DUMMYFUNCTION("GOOGLETRANSLATE(C66,""zh-tw"",""KO"")"),"""오라 제거""를 배운 후, 여동생이 목욕을 하는 동안 욕실에 몰래 들어가 닌자 댄스 옵션을 이용하세요.")</f>
        <v>"오라 제거"를 배운 후, 여동생이 목욕을 하는 동안 욕실에 몰래 들어가 닌자 댄스 옵션을 이용하세요.</v>
      </c>
      <c r="X66" s="55" t="str">
        <f>IFERROR(__xludf.DUMMYFUNCTION("GOOGLETRANSLATE(D66,""zh-tw"",""KO"")"),"특수 옵션 사용")</f>
        <v>특수 옵션 사용</v>
      </c>
      <c r="Y66" s="108">
        <v>17.0</v>
      </c>
      <c r="Z66" s="103" t="str">
        <f>IFERROR(__xludf.DUMMYFUNCTION("IF(J66="""", """", GOOGLETRANSLATE(
J66,""en"",""ru""))"),"Сокрытие дыхания-1")</f>
        <v>Сокрытие дыхания-1</v>
      </c>
      <c r="AA66" s="104" t="str">
        <f>IFERROR(__xludf.DUMMYFUNCTION("IF(K66="""", """", GOOGLETRANSLATE(K66,""en"",""RU""))"),"Изучив навык ниндзя «Скрытие дыхания», прокрадитесь в ванную, пока ваша сестра моется, и выберите опцию «Танец ниндзя».")</f>
        <v>Изучив навык ниндзя «Скрытие дыхания», прокрадитесь в ванную, пока ваша сестра моется, и выберите опцию «Танец ниндзя».</v>
      </c>
      <c r="AB66" s="44" t="str">
        <f>IFERROR(__xludf.DUMMYFUNCTION("IF(L66="""", """", GOOGLETRANSLATE(L66, ""en"", ""ru""))
"),"Позволяет использовать специальную опцию")</f>
        <v>Позволяет использовать специальную опцию</v>
      </c>
      <c r="AC66" s="108">
        <v>17.0</v>
      </c>
      <c r="AD66" s="85" t="s">
        <v>1371</v>
      </c>
      <c r="AE66" s="86" t="s">
        <v>1372</v>
      </c>
      <c r="AF66" s="87" t="s">
        <v>1373</v>
      </c>
      <c r="AG66" s="108">
        <v>17.0</v>
      </c>
      <c r="AH66" s="92" t="s">
        <v>1374</v>
      </c>
      <c r="AI66" s="93" t="s">
        <v>1375</v>
      </c>
      <c r="AJ66" s="94" t="s">
        <v>1376</v>
      </c>
      <c r="AK66" s="87"/>
      <c r="AL66" s="87"/>
      <c r="AM66" s="87"/>
      <c r="AN66" s="87"/>
      <c r="AO66" s="87"/>
    </row>
    <row r="67">
      <c r="A67" s="84">
        <v>18.0</v>
      </c>
      <c r="B67" s="85" t="s">
        <v>1377</v>
      </c>
      <c r="C67" s="86" t="s">
        <v>1378</v>
      </c>
      <c r="D67" s="87" t="s">
        <v>1379</v>
      </c>
      <c r="E67" s="84">
        <v>18.0</v>
      </c>
      <c r="F67" s="85" t="s">
        <v>1380</v>
      </c>
      <c r="G67" s="86" t="s">
        <v>1381</v>
      </c>
      <c r="H67" s="87" t="s">
        <v>1382</v>
      </c>
      <c r="I67" s="84">
        <v>18.0</v>
      </c>
      <c r="J67" s="85" t="s">
        <v>1383</v>
      </c>
      <c r="K67" s="86" t="s">
        <v>1384</v>
      </c>
      <c r="L67" s="87" t="s">
        <v>1385</v>
      </c>
      <c r="M67" s="84">
        <v>18.0</v>
      </c>
      <c r="N67" s="85" t="str">
        <f>IFERROR(__xludf.DUMMYFUNCTION("GOOGLETRANSLATE(B67,""zh-tw"",""zh"")"),"透明的门-1")</f>
        <v>透明的门-1</v>
      </c>
      <c r="O67" s="89" t="str">
        <f>IFERROR(__xludf.DUMMYFUNCTION("GOOGLETRANSLATE(C67,""zh-tw"",""zh"")"),"可以在妹妹独自洗澡时进行偷窥")</f>
        <v>可以在妹妹独自洗澡时进行偷窥</v>
      </c>
      <c r="P67" s="55" t="str">
        <f>IFERROR(__xludf.DUMMYFUNCTION("GOOGLETRANSLATE(D67,""zh-tw"",""zh"")"),"可以看到妹妹洗头、胸的场景
目前无偷窥失败、好感爱心的分歧，待制作。")</f>
        <v>可以看到妹妹洗头、胸的场景
目前无偷窥失败、好感爱心的分歧，待制作。</v>
      </c>
      <c r="Q67" s="84">
        <v>18.0</v>
      </c>
      <c r="R67" s="88" t="s">
        <v>1386</v>
      </c>
      <c r="S67" s="89" t="str">
        <f>IFERROR(__xludf.DUMMYFUNCTION("GOOGLETRANSLATE(C67,""zh-tw"",""es-MX"")"),"Es posible espiar a tu hermana mientras se baña sola.")</f>
        <v>Es posible espiar a tu hermana mientras se baña sola.</v>
      </c>
      <c r="T67" s="55" t="str">
        <f>IFERROR(__xludf.DUMMYFUNCTION("GOOGLETRANSLATE(D67,""zh-tw"",""es-MX"")"),"Se pueden ver escenas de la hermana menor lavándose el pelo y el pecho. Por el momento, no hay problemas relacionados con intentos fallidos de voyeurismo ni con sentimientos de afecto; esto aún está en desarrollo.")</f>
        <v>Se pueden ver escenas de la hermana menor lavándose el pelo y el pecho. Por el momento, no hay problemas relacionados con intentos fallidos de voyeurismo ni con sentimientos de afecto; esto aún está en desarrollo.</v>
      </c>
      <c r="U67" s="84">
        <v>18.0</v>
      </c>
      <c r="V67" s="88" t="str">
        <f>IFERROR(__xludf.DUMMYFUNCTION("GOOGLETRANSLATE(B67,""zh-tw"",""KO"")"),"투명문-1")</f>
        <v>투명문-1</v>
      </c>
      <c r="W67" s="89" t="str">
        <f>IFERROR(__xludf.DUMMYFUNCTION("GOOGLETRANSLATE(C67,""zh-tw"",""KO"")"),"여동생이 혼자 목욕하는 모습을 엿볼 수도 있다.")</f>
        <v>여동생이 혼자 목욕하는 모습을 엿볼 수도 있다.</v>
      </c>
      <c r="X67" s="55" t="str">
        <f>IFERROR(__xludf.DUMMYFUNCTION("GOOGLETRANSLATE(D67,""zh-tw"",""KO"")"),"여동생이 머리와 가슴을 감는 장면이 보입니다. 현재 엿보기 실패나 애정 표현에 대한 문제는 없으며, 이는 아직 개발 중입니다.")</f>
        <v>여동생이 머리와 가슴을 감는 장면이 보입니다. 현재 엿보기 실패나 애정 표현에 대한 문제는 없으며, 이는 아직 개발 중입니다.</v>
      </c>
      <c r="Y67" s="84">
        <v>18.0</v>
      </c>
      <c r="Z67" s="103" t="str">
        <f>IFERROR(__xludf.DUMMYFUNCTION("IF(J67="""", """", GOOGLETRANSLATE(
J67,""en"",""ru""))"),"Прозрачная дверь - 1")</f>
        <v>Прозрачная дверь - 1</v>
      </c>
      <c r="AA67" s="104" t="s">
        <v>1387</v>
      </c>
      <c r="AB67" s="44" t="s">
        <v>1388</v>
      </c>
      <c r="AC67" s="84">
        <v>18.0</v>
      </c>
      <c r="AD67" s="85" t="s">
        <v>1389</v>
      </c>
      <c r="AE67" s="86" t="s">
        <v>1390</v>
      </c>
      <c r="AF67" s="87" t="s">
        <v>1391</v>
      </c>
      <c r="AG67" s="84">
        <v>18.0</v>
      </c>
      <c r="AH67" s="92" t="s">
        <v>1392</v>
      </c>
      <c r="AI67" s="93" t="s">
        <v>1393</v>
      </c>
      <c r="AJ67" s="94" t="s">
        <v>1394</v>
      </c>
      <c r="AK67" s="87"/>
      <c r="AL67" s="87"/>
      <c r="AM67" s="87"/>
      <c r="AN67" s="87"/>
      <c r="AO67" s="87"/>
    </row>
    <row r="68">
      <c r="A68" s="84">
        <v>19.0</v>
      </c>
      <c r="B68" s="85" t="s">
        <v>1395</v>
      </c>
      <c r="C68" s="86" t="s">
        <v>1396</v>
      </c>
      <c r="D68" s="87" t="s">
        <v>1397</v>
      </c>
      <c r="E68" s="84">
        <v>19.0</v>
      </c>
      <c r="F68" s="85" t="s">
        <v>1398</v>
      </c>
      <c r="G68" s="86" t="s">
        <v>1399</v>
      </c>
      <c r="H68" s="87" t="s">
        <v>1400</v>
      </c>
      <c r="I68" s="84">
        <v>19.0</v>
      </c>
      <c r="J68" s="85" t="s">
        <v>1401</v>
      </c>
      <c r="K68" s="86" t="s">
        <v>1402</v>
      </c>
      <c r="L68" s="87" t="s">
        <v>1403</v>
      </c>
      <c r="M68" s="84">
        <v>19.0</v>
      </c>
      <c r="N68" s="85" t="str">
        <f>IFERROR(__xludf.DUMMYFUNCTION("GOOGLETRANSLATE(B68,""zh-tw"",""zh"")"),"透明的门-2")</f>
        <v>透明的门-2</v>
      </c>
      <c r="O68" s="89" t="str">
        <f>IFERROR(__xludf.DUMMYFUNCTION("GOOGLETRANSLATE(C68,""zh-tw"",""zh"")"),"在妹妹独自洗澡时，进行时间消耗，直到浴室门没有妹妹的身影，再进到浴室中偷窥，可以看到泡澡时的样子")</f>
        <v>在妹妹独自洗澡时，进行时间消耗，直到浴室门没有妹妹的身影，再进到浴室中偷窥，可以看到泡澡时的样子</v>
      </c>
      <c r="P68" s="55" t="str">
        <f>IFERROR(__xludf.DUMMYFUNCTION("GOOGLETRANSLATE(D68,""zh-tw"",""zh"")"),"有无黄色小鸭有不同画面
(目前还没有制作无小鸭的场景，近期应该会更新)
目前无偷窥失败的场景")</f>
        <v>有无黄色小鸭有不同画面
(目前还没有制作无小鸭的场景，近期应该会更新)
目前无偷窥失败的场景</v>
      </c>
      <c r="Q68" s="84">
        <v>19.0</v>
      </c>
      <c r="R68" s="88" t="s">
        <v>1404</v>
      </c>
      <c r="S68" s="89" t="s">
        <v>1405</v>
      </c>
      <c r="T68" s="55" t="str">
        <f>IFERROR(__xludf.DUMMYFUNCTION("GOOGLETRANSLATE(D68,""zh-tw"",""es-MX"")"),"La presencia o ausencia del patito de goma crea efectos visuales distintos.
(Las escenas sin el patito aún no están disponibles; se actualizarán pronto). Actualmente no hay escenas que muestren intentos fallidos de espiar.")</f>
        <v>La presencia o ausencia del patito de goma crea efectos visuales distintos.
(Las escenas sin el patito aún no están disponibles; se actualizarán pronto). Actualmente no hay escenas que muestren intentos fallidos de espiar.</v>
      </c>
      <c r="U68" s="84">
        <v>19.0</v>
      </c>
      <c r="V68" s="88" t="str">
        <f>IFERROR(__xludf.DUMMYFUNCTION("GOOGLETRANSLATE(B68,""zh-tw"",""KO"")"),"투명문-2")</f>
        <v>투명문-2</v>
      </c>
      <c r="W68" s="89" t="str">
        <f>IFERROR(__xludf.DUMMYFUNCTION("GOOGLETRANSLATE(C68,""zh-tw"",""KO"")"),"여동생이 혼자 목욕을 할 때, 욕실에서 더 이상 보이지 않을 때까지 기다리세요. 그런 다음, 욕실 안을 들여다보며 목욕하는 동안 무엇을 하는지 살펴보세요.")</f>
        <v>여동생이 혼자 목욕을 할 때, 욕실에서 더 이상 보이지 않을 때까지 기다리세요. 그런 다음, 욕실 안을 들여다보며 목욕하는 동안 무엇을 하는지 살펴보세요.</v>
      </c>
      <c r="X68" s="55" t="str">
        <f>IFERROR(__xludf.DUMMYFUNCTION("GOOGLETRANSLATE(D68,""zh-tw"",""KO"")"),"고무 오리의 존재 여부에 따라 시각적인 효과가 달라집니다.
(오리가 없는 장면은 아직 제작되지 않았습니다. 곧 업데이트될 예정입니다.)
현재는 엿보기 시도가 실패한 장면을 보여주는 장면이 없습니다.")</f>
        <v>고무 오리의 존재 여부에 따라 시각적인 효과가 달라집니다.
(오리가 없는 장면은 아직 제작되지 않았습니다. 곧 업데이트될 예정입니다.)
현재는 엿보기 시도가 실패한 장면을 보여주는 장면이 없습니다.</v>
      </c>
      <c r="Y68" s="84">
        <v>19.0</v>
      </c>
      <c r="Z68" s="103" t="str">
        <f>IFERROR(__xludf.DUMMYFUNCTION("IF(J68="""", """", GOOGLETRANSLATE(
J68,""en"",""ru""))"),"Прозрачная дверь - 2")</f>
        <v>Прозрачная дверь - 2</v>
      </c>
      <c r="AA68" s="104" t="s">
        <v>1406</v>
      </c>
      <c r="AB68" s="44" t="s">
        <v>1407</v>
      </c>
      <c r="AC68" s="84">
        <v>19.0</v>
      </c>
      <c r="AD68" s="85" t="s">
        <v>1408</v>
      </c>
      <c r="AE68" s="86" t="s">
        <v>1409</v>
      </c>
      <c r="AF68" s="87" t="s">
        <v>1410</v>
      </c>
      <c r="AG68" s="84">
        <v>19.0</v>
      </c>
      <c r="AH68" s="92" t="s">
        <v>1411</v>
      </c>
      <c r="AI68" s="93" t="s">
        <v>1412</v>
      </c>
      <c r="AJ68" s="94" t="s">
        <v>1413</v>
      </c>
      <c r="AK68" s="87"/>
      <c r="AL68" s="87"/>
      <c r="AM68" s="87"/>
      <c r="AN68" s="87"/>
      <c r="AO68" s="87"/>
    </row>
    <row r="69">
      <c r="A69" s="108">
        <v>20.0</v>
      </c>
      <c r="B69" s="85" t="s">
        <v>1414</v>
      </c>
      <c r="C69" s="86" t="s">
        <v>1415</v>
      </c>
      <c r="D69" s="87" t="s">
        <v>1416</v>
      </c>
      <c r="E69" s="108">
        <v>20.0</v>
      </c>
      <c r="F69" s="85" t="s">
        <v>1417</v>
      </c>
      <c r="G69" s="86" t="s">
        <v>1418</v>
      </c>
      <c r="H69" s="87" t="s">
        <v>1419</v>
      </c>
      <c r="I69" s="108">
        <v>20.0</v>
      </c>
      <c r="J69" s="85" t="s">
        <v>1420</v>
      </c>
      <c r="K69" s="86" t="s">
        <v>1421</v>
      </c>
      <c r="L69" s="87" t="s">
        <v>1422</v>
      </c>
      <c r="M69" s="108">
        <v>20.0</v>
      </c>
      <c r="N69" s="85" t="str">
        <f>IFERROR(__xludf.DUMMYFUNCTION("GOOGLETRANSLATE(B69,""zh-tw"",""zh"")"),"透明的门-3")</f>
        <v>透明的门-3</v>
      </c>
      <c r="O69" s="89" t="str">
        <f>IFERROR(__xludf.DUMMYFUNCTION("GOOGLETRANSLATE(C69,""zh-tw"",""zh"")"),"在习得""气息消除""后，哥哥会在一个人洗澡时偷偷改造浴室门，使其变成忍者门。
于偷看妹妹洗澡时的第三阶段，触发使用忍者门的选项。")</f>
        <v>在习得"气息消除"后，哥哥会在一个人洗澡时偷偷改造浴室门，使其变成忍者门。
于偷看妹妹洗澡时的第三阶段，触发使用忍者门的选项。</v>
      </c>
      <c r="P69" s="55" t="str">
        <f>IFERROR(__xludf.DUMMYFUNCTION("GOOGLETRANSLATE(D69,""zh-tw"",""zh"")"),"特殊视角观看演出")</f>
        <v>特殊视角观看演出</v>
      </c>
      <c r="Q69" s="108">
        <v>20.0</v>
      </c>
      <c r="R69" s="88" t="s">
        <v>1423</v>
      </c>
      <c r="S69" s="89" t="s">
        <v>1424</v>
      </c>
      <c r="T69" s="55" t="s">
        <v>1425</v>
      </c>
      <c r="U69" s="108">
        <v>20.0</v>
      </c>
      <c r="V69" s="88" t="str">
        <f>IFERROR(__xludf.DUMMYFUNCTION("GOOGLETRANSLATE(B69,""zh-tw"",""KO"")"),"투명문-3")</f>
        <v>투명문-3</v>
      </c>
      <c r="W69" s="89" t="str">
        <f>IFERROR(__xludf.DUMMYFUNCTION("GOOGLETRANSLATE(C69,""zh-tw"",""KO"")"),"""냄새 제거""를 배운 오빠는 혼자 샤워할 때 몰래 욕실 문을 개조하여 닌자 문으로 만들어 버립니다.
닌자 문 사용 옵션은 세 번째 스테이지에서 오빠가 샤워하는 여동생을 엿볼 때 활성화됩니다.")</f>
        <v>"냄새 제거"를 배운 오빠는 혼자 샤워할 때 몰래 욕실 문을 개조하여 닌자 문으로 만들어 버립니다.
닌자 문 사용 옵션은 세 번째 스테이지에서 오빠가 샤워하는 여동생을 엿볼 때 활성화됩니다.</v>
      </c>
      <c r="X69" s="55" t="str">
        <f>IFERROR(__xludf.DUMMYFUNCTION("GOOGLETRANSLATE(D69,""zh-tw"",""KO"")"),"특별한 관점에서 공연을 보다")</f>
        <v>특별한 관점에서 공연을 보다</v>
      </c>
      <c r="Y69" s="108">
        <v>20.0</v>
      </c>
      <c r="Z69" s="103" t="str">
        <f>IFERROR(__xludf.DUMMYFUNCTION("IF(J69="""", """", GOOGLETRANSLATE(
J69,""en"",""ru""))"),"Прозрачная дверь - 3")</f>
        <v>Прозрачная дверь - 3</v>
      </c>
      <c r="AA69" s="104" t="str">
        <f>IFERROR(__xludf.DUMMYFUNCTION("IF(K69="""", """", GOOGLETRANSLATE(K69,""en"",""RU""))"),"Онии-тян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f>
        <v>Онии-тян тайно модифицирует дверь ванной в своего рода дверь ниндзя, когда принимает ванну в одиночестве. После этого, подглядывая за сестрой, пока она принимает душ, вы сможете воспользоваться этой дверью.</v>
      </c>
      <c r="AB69" s="44" t="str">
        <f>IFERROR(__xludf.DUMMYFUNCTION("IF(L69="""", """", GOOGLETRANSLATE(L69, ""en"", ""ru""))
"),"Вы можете понаблюдать за принимающей душ сестрой с другого ракурса.")</f>
        <v>Вы можете понаблюдать за принимающей душ сестрой с другого ракурса.</v>
      </c>
      <c r="AC69" s="108">
        <v>20.0</v>
      </c>
      <c r="AD69" s="85" t="s">
        <v>1426</v>
      </c>
      <c r="AE69" s="86" t="s">
        <v>1427</v>
      </c>
      <c r="AF69" s="87" t="s">
        <v>1428</v>
      </c>
      <c r="AG69" s="108">
        <v>20.0</v>
      </c>
      <c r="AH69" s="92" t="s">
        <v>1429</v>
      </c>
      <c r="AI69" s="93" t="s">
        <v>1430</v>
      </c>
      <c r="AJ69" s="94" t="s">
        <v>1431</v>
      </c>
      <c r="AK69" s="87"/>
      <c r="AL69" s="87"/>
      <c r="AM69" s="87"/>
      <c r="AN69" s="87"/>
      <c r="AO69" s="87"/>
    </row>
    <row r="70" ht="41.25" customHeight="1">
      <c r="A70" s="84">
        <v>21.0</v>
      </c>
      <c r="B70" s="85" t="s">
        <v>1432</v>
      </c>
      <c r="C70" s="86" t="s">
        <v>1433</v>
      </c>
      <c r="D70" s="87" t="s">
        <v>1434</v>
      </c>
      <c r="E70" s="84">
        <v>21.0</v>
      </c>
      <c r="F70" s="85" t="s">
        <v>1435</v>
      </c>
      <c r="G70" s="86" t="s">
        <v>1436</v>
      </c>
      <c r="H70" s="87" t="s">
        <v>1437</v>
      </c>
      <c r="I70" s="84">
        <v>21.0</v>
      </c>
      <c r="J70" s="85" t="s">
        <v>1438</v>
      </c>
      <c r="K70" s="86" t="s">
        <v>1439</v>
      </c>
      <c r="L70" s="87" t="s">
        <v>1440</v>
      </c>
      <c r="M70" s="84">
        <v>21.0</v>
      </c>
      <c r="N70" s="85" t="str">
        <f>IFERROR(__xludf.DUMMYFUNCTION("GOOGLETRANSLATE(B70,""zh-tw"",""zh"")"),"一起洗澡")</f>
        <v>一起洗澡</v>
      </c>
      <c r="O70" s="89" t="str">
        <f>IFERROR(__xludf.DUMMYFUNCTION("GOOGLETRANSLATE(C70,""zh-tw"",""zh"")"),"当好感度大于2时")</f>
        <v>当好感度大于2时</v>
      </c>
      <c r="P70" s="55" t="str">
        <f>IFERROR(__xludf.DUMMYFUNCTION("GOOGLETRANSLATE(D70,""zh-tw"",""zh"")"),"可以和妹妹一起洗澡")</f>
        <v>可以和妹妹一起洗澡</v>
      </c>
      <c r="Q70" s="84">
        <v>21.0</v>
      </c>
      <c r="R70" s="85" t="s">
        <v>1441</v>
      </c>
      <c r="S70" s="89" t="s">
        <v>1442</v>
      </c>
      <c r="T70" s="55" t="s">
        <v>1443</v>
      </c>
      <c r="U70" s="84">
        <v>21.0</v>
      </c>
      <c r="V70" s="88" t="str">
        <f>IFERROR(__xludf.DUMMYFUNCTION("GOOGLETRANSLATE(B70,""zh-tw"",""KO"")"),"같이 목욕해요")</f>
        <v>같이 목욕해요</v>
      </c>
      <c r="W70" s="89" t="str">
        <f>IFERROR(__xludf.DUMMYFUNCTION("GOOGLETRANSLATE(C70,""zh-tw"",""KO"")"),"호감도가 2보다 큰 경우")</f>
        <v>호감도가 2보다 큰 경우</v>
      </c>
      <c r="X70" s="55" t="str">
        <f>IFERROR(__xludf.DUMMYFUNCTION("GOOGLETRANSLATE(D70,""zh-tw"",""KO"")"),"여동생과 함께 목욕을 할 수 있어요.")</f>
        <v>여동생과 함께 목욕을 할 수 있어요.</v>
      </c>
      <c r="Y70" s="84">
        <v>21.0</v>
      </c>
      <c r="Z70" s="103" t="str">
        <f>IFERROR(__xludf.DUMMYFUNCTION("IF(J70="""", """", GOOGLETRANSLATE(
J70,""en"",""ru""))"),"Давайте купаться вместе")</f>
        <v>Давайте купаться вместе</v>
      </c>
      <c r="AA70" s="104" t="str">
        <f>IFERROR(__xludf.DUMMYFUNCTION("IF(K70="""", """", GOOGLETRANSLATE(K70,""en"",""RU""))"),"Открывается, когда благосклонность достигает уровня 2.")</f>
        <v>Открывается, когда благосклонность достигает уровня 2.</v>
      </c>
      <c r="AB70" s="44" t="str">
        <f>IFERROR(__xludf.DUMMYFUNCTION("IF(L70="""", """", GOOGLETRANSLATE(L70, ""en"", ""ru""))
"),"Позволяет купаться вместе с Имото")</f>
        <v>Позволяет купаться вместе с Имото</v>
      </c>
      <c r="AC70" s="84">
        <v>21.0</v>
      </c>
      <c r="AD70" s="85" t="s">
        <v>1444</v>
      </c>
      <c r="AE70" s="86" t="s">
        <v>1445</v>
      </c>
      <c r="AF70" s="87" t="s">
        <v>1446</v>
      </c>
      <c r="AG70" s="84">
        <v>21.0</v>
      </c>
      <c r="AH70" s="92" t="s">
        <v>1447</v>
      </c>
      <c r="AI70" s="93" t="s">
        <v>1448</v>
      </c>
      <c r="AJ70" s="94" t="s">
        <v>1449</v>
      </c>
      <c r="AK70" s="87"/>
      <c r="AL70" s="87"/>
      <c r="AM70" s="87"/>
      <c r="AN70" s="87"/>
      <c r="AO70" s="87"/>
    </row>
    <row r="71">
      <c r="A71" s="84">
        <v>22.0</v>
      </c>
      <c r="B71" s="85" t="s">
        <v>1450</v>
      </c>
      <c r="C71" s="86" t="s">
        <v>1451</v>
      </c>
      <c r="D71" s="87" t="s">
        <v>1452</v>
      </c>
      <c r="E71" s="84">
        <v>22.0</v>
      </c>
      <c r="F71" s="85" t="s">
        <v>1453</v>
      </c>
      <c r="G71" s="86" t="s">
        <v>1454</v>
      </c>
      <c r="H71" s="87" t="s">
        <v>1455</v>
      </c>
      <c r="I71" s="84">
        <v>22.0</v>
      </c>
      <c r="J71" s="85" t="s">
        <v>1456</v>
      </c>
      <c r="K71" s="86" t="s">
        <v>1457</v>
      </c>
      <c r="L71" s="87" t="s">
        <v>1458</v>
      </c>
      <c r="M71" s="84">
        <v>22.0</v>
      </c>
      <c r="N71" s="85" t="str">
        <f>IFERROR(__xludf.DUMMYFUNCTION("GOOGLETRANSLATE(B71,""zh-tw"",""zh"")"),"拜托一起洗")</f>
        <v>拜托一起洗</v>
      </c>
      <c r="O71" s="89" t="str">
        <f>IFERROR(__xludf.DUMMYFUNCTION("GOOGLETRANSLATE(C71,""zh-tw"",""zh"")"),"已经满足和妹妹一起洗澡的条件，但妹妹心情低落")</f>
        <v>已经满足和妹妹一起洗澡的条件，但妹妹心情低落</v>
      </c>
      <c r="P71" s="55" t="str">
        <f>IFERROR(__xludf.DUMMYFUNCTION("GOOGLETRANSLATE(D71,""zh-tw"",""zh"")"),"特殊选项")</f>
        <v>特殊选项</v>
      </c>
      <c r="Q71" s="84">
        <v>22.0</v>
      </c>
      <c r="R71" s="85" t="s">
        <v>1459</v>
      </c>
      <c r="S71" s="89" t="str">
        <f>IFERROR(__xludf.DUMMYFUNCTION("GOOGLETRANSLATE(C71,""zh-tw"",""es-MX"")"),"Se han dado las condiciones para bañarnos juntas, pero mi hermana está de mal humor.")</f>
        <v>Se han dado las condiciones para bañarnos juntas, pero mi hermana está de mal humor.</v>
      </c>
      <c r="T71" s="55" t="str">
        <f>IFERROR(__xludf.DUMMYFUNCTION("GOOGLETRANSLATE(D71,""zh-tw"",""es-MX"")"),"Opciones especiales")</f>
        <v>Opciones especiales</v>
      </c>
      <c r="U71" s="84">
        <v>22.0</v>
      </c>
      <c r="V71" s="88" t="str">
        <f>IFERROR(__xludf.DUMMYFUNCTION("GOOGLETRANSLATE(B71,""zh-tw"",""KO"")"),"함께 세탁해주세요")</f>
        <v>함께 세탁해주세요</v>
      </c>
      <c r="W71" s="89" t="str">
        <f>IFERROR(__xludf.DUMMYFUNCTION("GOOGLETRANSLATE(C71,""zh-tw"",""KO"")"),"함께 목욕할 조건은 충족되었지만, 언니는 기분이 좋지 않아요.")</f>
        <v>함께 목욕할 조건은 충족되었지만, 언니는 기분이 좋지 않아요.</v>
      </c>
      <c r="X71" s="55" t="str">
        <f>IFERROR(__xludf.DUMMYFUNCTION("GOOGLETRANSLATE(D71,""zh-tw"",""KO"")"),"특별 옵션")</f>
        <v>특별 옵션</v>
      </c>
      <c r="Y71" s="84">
        <v>22.0</v>
      </c>
      <c r="Z71" s="90" t="s">
        <v>1460</v>
      </c>
      <c r="AA71" s="102" t="s">
        <v>1461</v>
      </c>
      <c r="AB71" s="97" t="s">
        <v>1462</v>
      </c>
      <c r="AC71" s="84">
        <v>22.0</v>
      </c>
      <c r="AD71" s="85" t="s">
        <v>1463</v>
      </c>
      <c r="AE71" s="86" t="s">
        <v>1464</v>
      </c>
      <c r="AF71" s="87" t="s">
        <v>1465</v>
      </c>
      <c r="AG71" s="84">
        <v>22.0</v>
      </c>
      <c r="AH71" s="92" t="s">
        <v>1466</v>
      </c>
      <c r="AI71" s="93" t="s">
        <v>1467</v>
      </c>
      <c r="AJ71" s="94" t="s">
        <v>1468</v>
      </c>
      <c r="AK71" s="87"/>
      <c r="AL71" s="87"/>
      <c r="AM71" s="87"/>
      <c r="AN71" s="87"/>
      <c r="AO71" s="87"/>
    </row>
    <row r="72">
      <c r="A72" s="108">
        <v>23.0</v>
      </c>
      <c r="B72" s="85" t="s">
        <v>1469</v>
      </c>
      <c r="C72" s="86" t="s">
        <v>1470</v>
      </c>
      <c r="D72" s="87" t="s">
        <v>1471</v>
      </c>
      <c r="E72" s="108">
        <v>23.0</v>
      </c>
      <c r="F72" s="85" t="s">
        <v>1472</v>
      </c>
      <c r="G72" s="86" t="s">
        <v>1473</v>
      </c>
      <c r="H72" s="87" t="s">
        <v>1474</v>
      </c>
      <c r="I72" s="108">
        <v>23.0</v>
      </c>
      <c r="J72" s="85" t="s">
        <v>1475</v>
      </c>
      <c r="K72" s="86" t="s">
        <v>1476</v>
      </c>
      <c r="L72" s="87" t="s">
        <v>1477</v>
      </c>
      <c r="M72" s="108">
        <v>23.0</v>
      </c>
      <c r="N72" s="112" t="str">
        <f>IFERROR(__xludf.DUMMYFUNCTION("GOOGLETRANSLATE(B72,""zh-tw"",""zh"")"),"快要热晕了-1")</f>
        <v>快要热晕了-1</v>
      </c>
      <c r="O72" s="113" t="str">
        <f>IFERROR(__xludf.DUMMYFUNCTION("GOOGLETRANSLATE(C72,""zh-tw"",""zh"")"),"在没有紫心的情况下，与妹妹一起泡澡时，如果一直摸妹妹，妹妹会逃跑")</f>
        <v>在没有紫心的情况下，与妹妹一起泡澡时，如果一直摸妹妹，妹妹会逃跑</v>
      </c>
      <c r="P72" s="55" t="str">
        <f>IFERROR(__xludf.DUMMYFUNCTION("GOOGLETRANSLATE(D72,""zh-tw"",""zh"")"),"妹妹逃跑了")</f>
        <v>妹妹逃跑了</v>
      </c>
      <c r="Q72" s="108">
        <v>23.0</v>
      </c>
      <c r="R72" s="112" t="str">
        <f>IFERROR(__xludf.DUMMYFUNCTION("GOOGLETRANSLATE(B72,""zh-tw"",""es-MX"")"),"Estoy a punto de desmayarme por el calor -1")</f>
        <v>Estoy a punto de desmayarme por el calor -1</v>
      </c>
      <c r="S72" s="114" t="str">
        <f>IFERROR(__xludf.DUMMYFUNCTION("GOOGLETRANSLATE(C72,""zh-tw"",""es-MX"")"),"Si sigues tocando a tu hermana pequeña mientras te bañas con ella (sin un corazón púrpura), saldrá corriendo.")</f>
        <v>Si sigues tocando a tu hermana pequeña mientras te bañas con ella (sin un corazón púrpura), saldrá corriendo.</v>
      </c>
      <c r="T72" s="55" t="str">
        <f>IFERROR(__xludf.DUMMYFUNCTION("GOOGLETRANSLATE(D72,""zh-tw"",""es-MX"")"),"Mi hermana se escapó.")</f>
        <v>Mi hermana se escapó.</v>
      </c>
      <c r="U72" s="108">
        <v>23.0</v>
      </c>
      <c r="V72" s="88" t="str">
        <f>IFERROR(__xludf.DUMMYFUNCTION("GOOGLETRANSLATE(B72,""zh-tw"",""KO"")"),"더위에 기절할 것 같아요 -1")</f>
        <v>더위에 기절할 것 같아요 -1</v>
      </c>
      <c r="W72" s="89" t="str">
        <f>IFERROR(__xludf.DUMMYFUNCTION("GOOGLETRANSLATE(C72,""zh-tw"",""KO"")"),"여동생(보라색 하트가 없는)과 함께 목욕을 하면서 계속 만지면, 여동생은 도망갈 것입니다.")</f>
        <v>여동생(보라색 하트가 없는)과 함께 목욕을 하면서 계속 만지면, 여동생은 도망갈 것입니다.</v>
      </c>
      <c r="X72" s="55" t="str">
        <f>IFERROR(__xludf.DUMMYFUNCTION("GOOGLETRANSLATE(D72,""zh-tw"",""KO"")"),"내 여동생은 도망갔어요.")</f>
        <v>내 여동생은 도망갔어요.</v>
      </c>
      <c r="Y72" s="108">
        <v>23.0</v>
      </c>
      <c r="Z72" s="103" t="str">
        <f>IFERROR(__xludf.DUMMYFUNCTION("IF(J72="""", """", GOOGLETRANSLATE(
J72,""en"",""ru""))"),"Почти потерял сознание - 1")</f>
        <v>Почти потерял сознание - 1</v>
      </c>
      <c r="AA72" s="104" t="str">
        <f>IFERROR(__xludf.DUMMYFUNCTION("IF(K72="""", """", GOOGLETRANSLATE(K72,""en"",""RU""))"),"Если во время купания Имото без фиолетовых сердец вы постоянно будете ее трогать, она встанет из ванны и убежит.")</f>
        <v>Если во время купания Имото без фиолетовых сердец вы постоянно будете ее трогать, она встанет из ванны и убежит.</v>
      </c>
      <c r="AB72" s="44" t="str">
        <f>IFERROR(__xludf.DUMMYFUNCTION("IF(L72="""", """", GOOGLETRANSLATE(L72, ""en"", ""ru""))
"),"«Имуто сбежал»")</f>
        <v>«Имуто сбежал»</v>
      </c>
      <c r="AC72" s="108">
        <v>23.0</v>
      </c>
      <c r="AD72" s="85" t="s">
        <v>1478</v>
      </c>
      <c r="AE72" s="86" t="s">
        <v>1479</v>
      </c>
      <c r="AF72" s="87" t="s">
        <v>1480</v>
      </c>
      <c r="AG72" s="108">
        <v>23.0</v>
      </c>
      <c r="AH72" s="85" t="s">
        <v>1481</v>
      </c>
      <c r="AI72" s="86" t="s">
        <v>1482</v>
      </c>
      <c r="AJ72" s="87" t="s">
        <v>1483</v>
      </c>
      <c r="AK72" s="87"/>
      <c r="AL72" s="87"/>
      <c r="AM72" s="87"/>
      <c r="AN72" s="87"/>
      <c r="AO72" s="87"/>
    </row>
    <row r="73">
      <c r="A73" s="84">
        <v>24.0</v>
      </c>
      <c r="B73" s="85" t="s">
        <v>1484</v>
      </c>
      <c r="C73" s="86" t="s">
        <v>1485</v>
      </c>
      <c r="D73" s="87" t="s">
        <v>1486</v>
      </c>
      <c r="E73" s="84">
        <v>24.0</v>
      </c>
      <c r="F73" s="85" t="s">
        <v>1487</v>
      </c>
      <c r="G73" s="86" t="s">
        <v>1488</v>
      </c>
      <c r="H73" s="87" t="s">
        <v>1489</v>
      </c>
      <c r="I73" s="84">
        <v>24.0</v>
      </c>
      <c r="J73" s="85" t="s">
        <v>1475</v>
      </c>
      <c r="K73" s="86" t="s">
        <v>1490</v>
      </c>
      <c r="L73" s="87" t="s">
        <v>1491</v>
      </c>
      <c r="M73" s="84">
        <v>24.0</v>
      </c>
      <c r="N73" s="112" t="str">
        <f>IFERROR(__xludf.DUMMYFUNCTION("GOOGLETRANSLATE(B73,""zh-tw"",""zh"")"),"快要热晕了-2")</f>
        <v>快要热晕了-2</v>
      </c>
      <c r="O73" s="113" t="str">
        <f>IFERROR(__xludf.DUMMYFUNCTION("GOOGLETRANSLATE(C73,""zh-tw"",""zh"")"),"有至少一颗紫心时，一直摸妹妹，妹妹会热到晕倒")</f>
        <v>有至少一颗紫心时，一直摸妹妹，妹妹会热到晕倒</v>
      </c>
      <c r="P73" s="55" t="str">
        <f>IFERROR(__xludf.DUMMYFUNCTION("GOOGLETRANSLATE(D73,""zh-tw"",""zh"")"),"妹妹热晕了
*此为一次性事件")</f>
        <v>妹妹热晕了
*此为一次性事件</v>
      </c>
      <c r="Q73" s="84">
        <v>24.0</v>
      </c>
      <c r="R73" s="112" t="str">
        <f>IFERROR(__xludf.DUMMYFUNCTION("GOOGLETRANSLATE(B73,""zh-tw"",""es-MX"")"),"Estoy a punto de desmayarme por el calor -2")</f>
        <v>Estoy a punto de desmayarme por el calor -2</v>
      </c>
      <c r="S73" s="114" t="str">
        <f>IFERROR(__xludf.DUMMYFUNCTION("GOOGLETRANSLATE(C73,""zh-tw"",""es-MX"")"),"Si sigues tocando a tu hermana cuando tiene al menos un Corazón Púrpura, se acalorará tanto que se desmayará.")</f>
        <v>Si sigues tocando a tu hermana cuando tiene al menos un Corazón Púrpura, se acalorará tanto que se desmayará.</v>
      </c>
      <c r="T73" s="55" t="str">
        <f>IFERROR(__xludf.DUMMYFUNCTION("GOOGLETRANSLATE(D73,""zh-tw"",""es-MX"")"),"Mi hermana se desmayó por el calor.
*Esto es un hecho aislado.")</f>
        <v>Mi hermana se desmayó por el calor.
*Esto es un hecho aislado.</v>
      </c>
      <c r="U73" s="84">
        <v>24.0</v>
      </c>
      <c r="V73" s="88" t="str">
        <f>IFERROR(__xludf.DUMMYFUNCTION("GOOGLETRANSLATE(B73,""zh-tw"",""KO"")"),"더위로 기절할 것 같아요 -2")</f>
        <v>더위로 기절할 것 같아요 -2</v>
      </c>
      <c r="W73" s="89" t="str">
        <f>IFERROR(__xludf.DUMMYFUNCTION("GOOGLETRANSLATE(C73,""zh-tw"",""KO"")"),"여동생이 보라색 하트를 하나라도 가지고 있을 때 계속 만지면, 그녀는 너무 뜨거워져서 기절할 것입니다.")</f>
        <v>여동생이 보라색 하트를 하나라도 가지고 있을 때 계속 만지면, 그녀는 너무 뜨거워져서 기절할 것입니다.</v>
      </c>
      <c r="X73" s="55" t="str">
        <f>IFERROR(__xludf.DUMMYFUNCTION("GOOGLETRANSLATE(D73,""zh-tw"",""KO"")"),"언니가 더위 때문에 기절했어요.
*이건 일회성 사건이에요.")</f>
        <v>언니가 더위 때문에 기절했어요.
*이건 일회성 사건이에요.</v>
      </c>
      <c r="Y73" s="84">
        <v>24.0</v>
      </c>
      <c r="Z73" s="103" t="str">
        <f>IFERROR(__xludf.DUMMYFUNCTION("IF(J73="""", """", GOOGLETRANSLATE(
J73,""en"",""ru""))"),"Почти потерял сознание - 1")</f>
        <v>Почти потерял сознание - 1</v>
      </c>
      <c r="AA73" s="104" t="str">
        <f>IFERROR(__xludf.DUMMYFUNCTION("IF(K73="""", """", GOOGLETRANSLATE(K73,""en"",""RU""))"),"Подобно предыдущему, если у вас есть хотя бы одно фиолетовое сердце, она в конечном итоге упадет в обморок от жары.")</f>
        <v>Подобно предыдущему, если у вас есть хотя бы одно фиолетовое сердце, она в конечном итоге упадет в обморок от жары.</v>
      </c>
      <c r="AB73" s="44" t="str">
        <f>IFERROR(__xludf.DUMMYFUNCTION("IF(L73="""", """", GOOGLETRANSLATE(L73, ""en"", ""ru""))
"),"«Имуто потеряла сознание от жары»
*Разовое событие")</f>
        <v>«Имуто потеряла сознание от жары»
*Разовое событие</v>
      </c>
      <c r="AC73" s="84">
        <v>24.0</v>
      </c>
      <c r="AD73" s="85" t="s">
        <v>1492</v>
      </c>
      <c r="AE73" s="86" t="s">
        <v>1493</v>
      </c>
      <c r="AF73" s="87" t="s">
        <v>1494</v>
      </c>
      <c r="AG73" s="84">
        <v>24.0</v>
      </c>
      <c r="AH73" s="85" t="s">
        <v>1495</v>
      </c>
      <c r="AI73" s="86" t="s">
        <v>1496</v>
      </c>
      <c r="AJ73" s="87" t="s">
        <v>1497</v>
      </c>
      <c r="AK73" s="87"/>
      <c r="AL73" s="87"/>
      <c r="AM73" s="87"/>
      <c r="AN73" s="87"/>
      <c r="AO73" s="87"/>
    </row>
    <row r="74">
      <c r="A74" s="84">
        <v>25.0</v>
      </c>
      <c r="B74" s="85" t="s">
        <v>1498</v>
      </c>
      <c r="C74" s="86" t="s">
        <v>1499</v>
      </c>
      <c r="D74" s="87" t="s">
        <v>1500</v>
      </c>
      <c r="E74" s="84">
        <v>25.0</v>
      </c>
      <c r="F74" s="85" t="s">
        <v>1501</v>
      </c>
      <c r="G74" s="86" t="s">
        <v>1502</v>
      </c>
      <c r="H74" s="87" t="s">
        <v>1500</v>
      </c>
      <c r="I74" s="84">
        <v>25.0</v>
      </c>
      <c r="J74" s="85" t="s">
        <v>1475</v>
      </c>
      <c r="K74" s="86" t="s">
        <v>1503</v>
      </c>
      <c r="L74" s="87" t="s">
        <v>1504</v>
      </c>
      <c r="M74" s="84">
        <v>25.0</v>
      </c>
      <c r="N74" s="112" t="str">
        <f>IFERROR(__xludf.DUMMYFUNCTION("GOOGLETRANSLATE(B74,""zh-tw"",""zh"")"),"快要热晕了-3")</f>
        <v>快要热晕了-3</v>
      </c>
      <c r="O74" s="113" t="str">
        <f>IFERROR(__xludf.DUMMYFUNCTION("GOOGLETRANSLATE(C74,""zh-tw"",""zh"")"),"同上，第二次进入热晕环节前，会进入特殊画面")</f>
        <v>同上，第二次进入热晕环节前，会进入特殊画面</v>
      </c>
      <c r="P74" s="55" t="str">
        <f>IFERROR(__xludf.DUMMYFUNCTION("GOOGLETRANSLATE(D74,""zh-tw"",""zh"")"),"CG演出")</f>
        <v>CG演出</v>
      </c>
      <c r="Q74" s="84">
        <v>25.0</v>
      </c>
      <c r="R74" s="112" t="str">
        <f>IFERROR(__xludf.DUMMYFUNCTION("GOOGLETRANSLATE(B74,""zh-tw"",""es-MX"")"),"Estoy a punto de desmayarme por el calor -3")</f>
        <v>Estoy a punto de desmayarme por el calor -3</v>
      </c>
      <c r="S74" s="114" t="str">
        <f>IFERROR(__xludf.DUMMYFUNCTION("GOOGLETRANSLATE(C74,""zh-tw"",""es-MX"")"),"Como se indicó anteriormente, se reproducirá una escena especial antes de la segunda fase del golpe de calor.")</f>
        <v>Como se indicó anteriormente, se reproducirá una escena especial antes de la segunda fase del golpe de calor.</v>
      </c>
      <c r="T74" s="55" t="str">
        <f>IFERROR(__xludf.DUMMYFUNCTION("GOOGLETRANSLATE(D74,""zh-tw"",""es-MX"")"),"Rendimiento de CG")</f>
        <v>Rendimiento de CG</v>
      </c>
      <c r="U74" s="84">
        <v>25.0</v>
      </c>
      <c r="V74" s="88" t="str">
        <f>IFERROR(__xludf.DUMMYFUNCTION("GOOGLETRANSLATE(B74,""zh-tw"",""KO"")"),"더위로 기절할 것 같아요 -3")</f>
        <v>더위로 기절할 것 같아요 -3</v>
      </c>
      <c r="W74" s="89" t="str">
        <f>IFERROR(__xludf.DUMMYFUNCTION("GOOGLETRANSLATE(C74,""zh-tw"",""KO"")"),"위와 같이, 두 번째 열사병 단계 전에는 특별한 장면이 재생됩니다.")</f>
        <v>위와 같이, 두 번째 열사병 단계 전에는 특별한 장면이 재생됩니다.</v>
      </c>
      <c r="X74" s="55" t="str">
        <f>IFERROR(__xludf.DUMMYFUNCTION("GOOGLETRANSLATE(D74,""zh-tw"",""KO"")"),"CG 성능")</f>
        <v>CG 성능</v>
      </c>
      <c r="Y74" s="84">
        <v>25.0</v>
      </c>
      <c r="Z74" s="103" t="str">
        <f>IFERROR(__xludf.DUMMYFUNCTION("IF(J74="""", """", GOOGLETRANSLATE(
J74,""en"",""ru""))"),"Почти потерял сознание - 1")</f>
        <v>Почти потерял сознание - 1</v>
      </c>
      <c r="AA74" s="104" t="str">
        <f>IFERROR(__xludf.DUMMYFUNCTION("IF(K74="""", """", GOOGLETRANSLATE(K74,""en"",""RU""))"),"Подобно предыдущему, но прежде чем она потеряет сознание от жары, появится специальный экран.")</f>
        <v>Подобно предыдущему, но прежде чем она потеряет сознание от жары, появится специальный экран.</v>
      </c>
      <c r="AB74" s="44" t="str">
        <f>IFERROR(__xludf.DUMMYFUNCTION("IF(L74="""", """", GOOGLETRANSLATE(L74, ""en"", ""ru""))
"),"Появится специальная компьютерная графика")</f>
        <v>Появится специальная компьютерная графика</v>
      </c>
      <c r="AC74" s="84">
        <v>25.0</v>
      </c>
      <c r="AD74" s="85" t="s">
        <v>1505</v>
      </c>
      <c r="AE74" s="86" t="s">
        <v>1506</v>
      </c>
      <c r="AF74" s="87" t="s">
        <v>1507</v>
      </c>
      <c r="AG74" s="84">
        <v>25.0</v>
      </c>
      <c r="AH74" s="85" t="s">
        <v>1508</v>
      </c>
      <c r="AI74" s="86" t="s">
        <v>1509</v>
      </c>
      <c r="AJ74" s="87" t="s">
        <v>1510</v>
      </c>
      <c r="AK74" s="87"/>
      <c r="AL74" s="87"/>
      <c r="AM74" s="87"/>
      <c r="AN74" s="87"/>
      <c r="AO74" s="87"/>
    </row>
    <row r="75">
      <c r="A75" s="108">
        <v>26.0</v>
      </c>
      <c r="B75" s="85" t="s">
        <v>1511</v>
      </c>
      <c r="C75" s="86" t="s">
        <v>1512</v>
      </c>
      <c r="D75" s="87" t="s">
        <v>1513</v>
      </c>
      <c r="E75" s="108">
        <v>26.0</v>
      </c>
      <c r="F75" s="85" t="s">
        <v>1514</v>
      </c>
      <c r="G75" s="86" t="s">
        <v>1515</v>
      </c>
      <c r="H75" s="87" t="s">
        <v>1516</v>
      </c>
      <c r="I75" s="108">
        <v>26.0</v>
      </c>
      <c r="J75" s="85" t="s">
        <v>1517</v>
      </c>
      <c r="K75" s="86" t="s">
        <v>1518</v>
      </c>
      <c r="L75" s="87" t="s">
        <v>1519</v>
      </c>
      <c r="M75" s="108">
        <v>26.0</v>
      </c>
      <c r="N75" s="112" t="str">
        <f>IFERROR(__xludf.DUMMYFUNCTION("GOOGLETRANSLATE(B75,""zh-tw"",""zh"")"),"请妹妹帮忙洗-1")</f>
        <v>请妹妹帮忙洗-1</v>
      </c>
      <c r="O75" s="113" t="str">
        <f>IFERROR(__xludf.DUMMYFUNCTION("GOOGLETRANSLATE(C75,""zh-tw"",""zh"")"),"在和妹妹共浴时，请妹妹帮忙擦背")</f>
        <v>在和妹妹共浴时，请妹妹帮忙擦背</v>
      </c>
      <c r="P75" s="55" t="str">
        <f>IFERROR(__xludf.DUMMYFUNCTION("GOOGLETRANSLATE(D75,""zh-tw"",""zh"")"),"触发一段剧情
并于下一次时新增一个选项：清洗前方")</f>
        <v>触发一段剧情
并于下一次时新增一个选项：清洗前方</v>
      </c>
      <c r="Q75" s="108">
        <v>26.0</v>
      </c>
      <c r="R75" s="112" t="str">
        <f>IFERROR(__xludf.DUMMYFUNCTION("GOOGLETRANSLATE(B75,""zh-tw"",""es-MX"")"),"Por favor, pídele a mi hermana que me ayude a lavar -1")</f>
        <v>Por favor, pídele a mi hermana que me ayude a lavar -1</v>
      </c>
      <c r="S75" s="114" t="str">
        <f>IFERROR(__xludf.DUMMYFUNCTION("GOOGLETRANSLATE(C75,""zh-tw"",""es-MX"")"),"Cuando me bañaba con mi hermana pequeña, le pedí que me ayudara a frotarme la espalda.")</f>
        <v>Cuando me bañaba con mi hermana pequeña, le pedí que me ayudara a frotarme la espalda.</v>
      </c>
      <c r="T75" s="55" t="str">
        <f>IFERROR(__xludf.DUMMYFUNCTION("GOOGLETRANSLATE(D75,""zh-tw"",""es-MX"")"),"Esto activa una escena cinemática y añade una nueva opción para la próxima vez: Limpiar la zona que hay más adelante.")</f>
        <v>Esto activa una escena cinemática y añade una nueva opción para la próxima vez: Limpiar la zona que hay más adelante.</v>
      </c>
      <c r="U75" s="108">
        <v>26.0</v>
      </c>
      <c r="V75" s="88" t="str">
        <f>IFERROR(__xludf.DUMMYFUNCTION("GOOGLETRANSLATE(B75,""zh-tw"",""KO"")"),"언니한테 씻는거 도와달라고 부탁해 -1")</f>
        <v>언니한테 씻는거 도와달라고 부탁해 -1</v>
      </c>
      <c r="W75" s="89" t="str">
        <f>IFERROR(__xludf.DUMMYFUNCTION("GOOGLETRANSLATE(C75,""zh-tw"",""KO"")"),"여동생과 함께 목욕을 할 때, 등을 닦는 것을 도와달라고 부탁했습니다.")</f>
        <v>여동생과 함께 목욕을 할 때, 등을 닦는 것을 도와달라고 부탁했습니다.</v>
      </c>
      <c r="X75" s="55" t="str">
        <f>IFERROR(__xludf.DUMMYFUNCTION("GOOGLETRANSLATE(D75,""zh-tw"",""KO"")"),"이렇게 하면 컷신이 시작되고 다음 번에는 새로운 옵션이 추가됩니다: 앞의 구역을 정리하세요.")</f>
        <v>이렇게 하면 컷신이 시작되고 다음 번에는 새로운 옵션이 추가됩니다: 앞의 구역을 정리하세요.</v>
      </c>
      <c r="Y75" s="108">
        <v>26.0</v>
      </c>
      <c r="Z75" s="103" t="str">
        <f>IFERROR(__xludf.DUMMYFUNCTION("IF(J75="""", """", GOOGLETRANSLATE(
J75,""en"",""ru""))"),"Стирка Имото - 1")</f>
        <v>Стирка Имото - 1</v>
      </c>
      <c r="AA75" s="104" t="str">
        <f>IFERROR(__xludf.DUMMYFUNCTION("IF(K75="""", """", GOOGLETRANSLATE(K75,""en"",""RU""))"),"Когда вы купаетесь с Имото, попросите её помыть вам спину. Будет добавлена ​​новая опция, позволяющая попросить её помыть вам переднюю часть тела.")</f>
        <v>Когда вы купаетесь с Имото, попросите её помыть вам спину. Будет добавлена ​​новая опция, позволяющая попросить её помыть вам переднюю часть тела.</v>
      </c>
      <c r="AB75" s="44" t="str">
        <f>IFERROR(__xludf.DUMMYFUNCTION("IF(L75="""", """", GOOGLETRANSLATE(L75, ""en"", ""ru""))
"),"Запускается новая сцена.
Добавлена ​​новая опция: «Мойка фасада».")</f>
        <v>Запускается новая сцена.
Добавлена ​​новая опция: «Мойка фасада».</v>
      </c>
      <c r="AC75" s="108">
        <v>26.0</v>
      </c>
      <c r="AD75" s="85" t="s">
        <v>1520</v>
      </c>
      <c r="AE75" s="86" t="s">
        <v>1521</v>
      </c>
      <c r="AF75" s="87" t="s">
        <v>1522</v>
      </c>
      <c r="AG75" s="108">
        <v>26.0</v>
      </c>
      <c r="AH75" s="85" t="s">
        <v>1523</v>
      </c>
      <c r="AI75" s="86" t="s">
        <v>1524</v>
      </c>
      <c r="AJ75" s="87" t="s">
        <v>1525</v>
      </c>
      <c r="AK75" s="87"/>
      <c r="AL75" s="87"/>
      <c r="AM75" s="87"/>
      <c r="AN75" s="87"/>
      <c r="AO75" s="87"/>
    </row>
    <row r="76">
      <c r="A76" s="84">
        <v>27.0</v>
      </c>
      <c r="B76" s="85" t="s">
        <v>1526</v>
      </c>
      <c r="C76" s="86" t="s">
        <v>1527</v>
      </c>
      <c r="D76" s="87" t="s">
        <v>1528</v>
      </c>
      <c r="E76" s="84">
        <v>27.0</v>
      </c>
      <c r="F76" s="85" t="s">
        <v>1529</v>
      </c>
      <c r="G76" s="86" t="s">
        <v>1530</v>
      </c>
      <c r="H76" s="87" t="s">
        <v>1531</v>
      </c>
      <c r="I76" s="84">
        <v>27.0</v>
      </c>
      <c r="J76" s="85" t="s">
        <v>1532</v>
      </c>
      <c r="K76" s="86" t="s">
        <v>1533</v>
      </c>
      <c r="L76" s="87" t="s">
        <v>1534</v>
      </c>
      <c r="M76" s="84">
        <v>27.0</v>
      </c>
      <c r="N76" s="112" t="str">
        <f>IFERROR(__xludf.DUMMYFUNCTION("GOOGLETRANSLATE(B76,""zh-tw"",""zh"")"),"请妹妹帮忙洗-2")</f>
        <v>请妹妹帮忙洗-2</v>
      </c>
      <c r="O76" s="113" t="str">
        <f>IFERROR(__xludf.DUMMYFUNCTION("GOOGLETRANSLATE(C76,""zh-tw"",""zh"")"),"同上，第二次选择帮忙清洗前方，且未达4颗紫心时")</f>
        <v>同上，第二次选择帮忙清洗前方，且未达4颗紫心时</v>
      </c>
      <c r="P76" s="55" t="str">
        <f>IFERROR(__xludf.DUMMYFUNCTION("GOOGLETRANSLATE(D76,""zh-tw"",""zh"")"),"妹妹会拒绝帮忙")</f>
        <v>妹妹会拒绝帮忙</v>
      </c>
      <c r="Q76" s="84">
        <v>27.0</v>
      </c>
      <c r="R76" s="112" t="str">
        <f>IFERROR(__xludf.DUMMYFUNCTION("GOOGLETRANSLATE(B76,""zh-tw"",""es-MX"")"),"Por favor, pídele a mi hermana que me ayude a lavar -2")</f>
        <v>Por favor, pídele a mi hermana que me ayude a lavar -2</v>
      </c>
      <c r="S76" s="114" t="str">
        <f>IFERROR(__xludf.DUMMYFUNCTION("GOOGLETRANSLATE(C76,""zh-tw"",""es-MX"")"),"Como se indicó anteriormente, la segunda vez que elijas ayudar a limpiar el área que está enfrente, y antes de haber alcanzado 4 corazones morados.")</f>
        <v>Como se indicó anteriormente, la segunda vez que elijas ayudar a limpiar el área que está enfrente, y antes de haber alcanzado 4 corazones morados.</v>
      </c>
      <c r="T76" s="55" t="str">
        <f>IFERROR(__xludf.DUMMYFUNCTION("GOOGLETRANSLATE(D76,""zh-tw"",""es-MX"")"),"Mi hermana se negará a ayudar.")</f>
        <v>Mi hermana se negará a ayudar.</v>
      </c>
      <c r="U76" s="84">
        <v>27.0</v>
      </c>
      <c r="V76" s="88" t="str">
        <f>IFERROR(__xludf.DUMMYFUNCTION("GOOGLETRANSLATE(B76,""zh-tw"",""KO"")"),"언니한테 씻는거 도와달라고 부탁해 -2")</f>
        <v>언니한테 씻는거 도와달라고 부탁해 -2</v>
      </c>
      <c r="W76" s="89" t="str">
        <f>IFERROR(__xludf.DUMMYFUNCTION("GOOGLETRANSLATE(C76,""zh-tw"",""KO"")"),"위와 마찬가지로, 두 번째로 앞의 구역을 청소하는 것을 선택하고 보라색 하트가 4개 모이기 전에 청소를 돕습니다.")</f>
        <v>위와 마찬가지로, 두 번째로 앞의 구역을 청소하는 것을 선택하고 보라색 하트가 4개 모이기 전에 청소를 돕습니다.</v>
      </c>
      <c r="X76" s="55" t="str">
        <f>IFERROR(__xludf.DUMMYFUNCTION("GOOGLETRANSLATE(D76,""zh-tw"",""KO"")"),"내 여동생은 도와주기를 거부할 거야.")</f>
        <v>내 여동생은 도와주기를 거부할 거야.</v>
      </c>
      <c r="Y76" s="84">
        <v>27.0</v>
      </c>
      <c r="Z76" s="103" t="str">
        <f>IFERROR(__xludf.DUMMYFUNCTION("IF(J76="""", """", GOOGLETRANSLATE(
J76,""en"",""ru""))"),"Стирка Имото - 2")</f>
        <v>Стирка Имото - 2</v>
      </c>
      <c r="AA76" s="104" t="str">
        <f>IFERROR(__xludf.DUMMYFUNCTION("IF(K76="""", """", GOOGLETRANSLATE(K76,""en"",""RU""))"),"Аналогично предыдущему, если вы настаиваете на мытье передней части, в то время как уровень ваших фиолетовых сердец ниже 4, imouto откажется.")</f>
        <v>Аналогично предыдущему, если вы настаиваете на мытье передней части, в то время как уровень ваших фиолетовых сердец ниже 4, imouto откажется.</v>
      </c>
      <c r="AB76" s="44" t="str">
        <f>IFERROR(__xludf.DUMMYFUNCTION("IF(L76="""", """", GOOGLETRANSLATE(L76, ""en"", ""ru""))
"),"Имуту отклонит ваш запрос")</f>
        <v>Имуту отклонит ваш запрос</v>
      </c>
      <c r="AC76" s="84">
        <v>27.0</v>
      </c>
      <c r="AD76" s="85" t="s">
        <v>1535</v>
      </c>
      <c r="AE76" s="86" t="s">
        <v>1536</v>
      </c>
      <c r="AF76" s="87" t="s">
        <v>1537</v>
      </c>
      <c r="AG76" s="84">
        <v>27.0</v>
      </c>
      <c r="AH76" s="85" t="s">
        <v>1538</v>
      </c>
      <c r="AI76" s="86" t="s">
        <v>1539</v>
      </c>
      <c r="AJ76" s="87" t="s">
        <v>1540</v>
      </c>
      <c r="AK76" s="87"/>
      <c r="AL76" s="87"/>
      <c r="AM76" s="87"/>
      <c r="AN76" s="87"/>
      <c r="AO76" s="87"/>
    </row>
    <row r="77">
      <c r="A77" s="84">
        <v>28.0</v>
      </c>
      <c r="B77" s="85" t="s">
        <v>1541</v>
      </c>
      <c r="C77" s="86" t="s">
        <v>1542</v>
      </c>
      <c r="D77" s="87" t="s">
        <v>1543</v>
      </c>
      <c r="E77" s="84">
        <v>28.0</v>
      </c>
      <c r="F77" s="85" t="s">
        <v>1544</v>
      </c>
      <c r="G77" s="86" t="s">
        <v>1545</v>
      </c>
      <c r="H77" s="87" t="s">
        <v>1546</v>
      </c>
      <c r="I77" s="84">
        <v>28.0</v>
      </c>
      <c r="J77" s="85" t="s">
        <v>1547</v>
      </c>
      <c r="K77" s="86" t="s">
        <v>1548</v>
      </c>
      <c r="L77" s="87" t="s">
        <v>1549</v>
      </c>
      <c r="M77" s="84">
        <v>28.0</v>
      </c>
      <c r="N77" s="112" t="str">
        <f>IFERROR(__xludf.DUMMYFUNCTION("GOOGLETRANSLATE(B77,""zh-tw"",""zh"")"),"请妹妹帮忙洗-3")</f>
        <v>请妹妹帮忙洗-3</v>
      </c>
      <c r="O77" s="113" t="str">
        <f>IFERROR(__xludf.DUMMYFUNCTION("GOOGLETRANSLATE(C77,""zh-tw"",""zh"")"),"同上，若达到4颗紫心时")</f>
        <v>同上，若达到4颗紫心时</v>
      </c>
      <c r="P77" s="55" t="str">
        <f>IFERROR(__xludf.DUMMYFUNCTION("GOOGLETRANSLATE(D77,""zh-tw"",""zh"")"),"第一段素股画面演出")</f>
        <v>第一段素股画面演出</v>
      </c>
      <c r="Q77" s="84">
        <v>28.0</v>
      </c>
      <c r="R77" s="112" t="str">
        <f>IFERROR(__xludf.DUMMYFUNCTION("GOOGLETRANSLATE(B77,""zh-tw"",""es-MX"")"),"Por favor, pídele a mi hermana que me ayude a lavar - 3")</f>
        <v>Por favor, pídele a mi hermana que me ayude a lavar - 3</v>
      </c>
      <c r="S77" s="114" t="str">
        <f>IFERROR(__xludf.DUMMYFUNCTION("GOOGLETRANSLATE(C77,""zh-tw"",""es-MX"")"),"Del mismo modo, si consigues 4 corazones morados...")</f>
        <v>Del mismo modo, si consigues 4 corazones morados...</v>
      </c>
      <c r="T77" s="55" t="str">
        <f>IFERROR(__xludf.DUMMYFUNCTION("GOOGLETRANSLATE(D77,""zh-tw"",""es-MX"")"),"La primera parte de la representación de la escena de las medias lisas")</f>
        <v>La primera parte de la representación de la escena de las medias lisas</v>
      </c>
      <c r="U77" s="84">
        <v>28.0</v>
      </c>
      <c r="V77" s="88" t="str">
        <f>IFERROR(__xludf.DUMMYFUNCTION("GOOGLETRANSLATE(B77,""zh-tw"",""KO"")"),"언니한테 씻는 거 도와달라고 부탁해 - 3")</f>
        <v>언니한테 씻는 거 도와달라고 부탁해 - 3</v>
      </c>
      <c r="W77" s="89" t="str">
        <f>IFERROR(__xludf.DUMMYFUNCTION("GOOGLETRANSLATE(C77,""zh-tw"",""KO"")"),"마찬가지로, 보라색 하트가 4개 모이면...")</f>
        <v>마찬가지로, 보라색 하트가 4개 모이면...</v>
      </c>
      <c r="X77" s="55" t="str">
        <f>IFERROR(__xludf.DUMMYFUNCTION("GOOGLETRANSLATE(D77,""zh-tw"",""KO"")"),"플레인 스타킹 씬 퍼포먼스의 첫 번째 부분")</f>
        <v>플레인 스타킹 씬 퍼포먼스의 첫 번째 부분</v>
      </c>
      <c r="Y77" s="84">
        <v>28.0</v>
      </c>
      <c r="Z77" s="103" t="str">
        <f>IFERROR(__xludf.DUMMYFUNCTION("IF(J77="""", """", GOOGLETRANSLATE(
J77,""en"",""ru""))"),"Стирка Имото - 3")</f>
        <v>Стирка Имото - 3</v>
      </c>
      <c r="AA77" s="104" t="str">
        <f>IFERROR(__xludf.DUMMYFUNCTION("IF(K77="""", """", GOOGLETRANSLATE(K77,""en"",""RU""))"),"Аналогично предыдущему, но если у вас есть 4 фиолетовых сердца, активируется первая сцена сумата.")</f>
        <v>Аналогично предыдущему, но если у вас есть 4 фиолетовых сердца, активируется первая сцена сумата.</v>
      </c>
      <c r="AB77" s="44" t="str">
        <f>IFERROR(__xludf.DUMMYFUNCTION("IF(L77="""", """", GOOGLETRANSLATE(L77, ""en"", ""ru""))
"),"Первая сцена суматы")</f>
        <v>Первая сцена суматы</v>
      </c>
      <c r="AC77" s="84">
        <v>28.0</v>
      </c>
      <c r="AD77" s="85" t="s">
        <v>1550</v>
      </c>
      <c r="AE77" s="86" t="s">
        <v>1551</v>
      </c>
      <c r="AF77" s="87" t="s">
        <v>1552</v>
      </c>
      <c r="AG77" s="84">
        <v>28.0</v>
      </c>
      <c r="AH77" s="85" t="s">
        <v>1553</v>
      </c>
      <c r="AI77" s="86" t="s">
        <v>1554</v>
      </c>
      <c r="AJ77" s="87" t="s">
        <v>1555</v>
      </c>
      <c r="AK77" s="87"/>
      <c r="AL77" s="87"/>
      <c r="AM77" s="87"/>
      <c r="AN77" s="87"/>
      <c r="AO77" s="87"/>
    </row>
    <row r="78">
      <c r="A78" s="108">
        <v>29.0</v>
      </c>
      <c r="B78" s="85" t="s">
        <v>1556</v>
      </c>
      <c r="C78" s="86" t="s">
        <v>1557</v>
      </c>
      <c r="D78" s="87" t="s">
        <v>1558</v>
      </c>
      <c r="E78" s="108">
        <v>29.0</v>
      </c>
      <c r="F78" s="85" t="s">
        <v>1559</v>
      </c>
      <c r="G78" s="86" t="s">
        <v>1560</v>
      </c>
      <c r="H78" s="87" t="s">
        <v>1561</v>
      </c>
      <c r="I78" s="108">
        <v>29.0</v>
      </c>
      <c r="J78" s="85" t="s">
        <v>1562</v>
      </c>
      <c r="K78" s="86" t="s">
        <v>1563</v>
      </c>
      <c r="L78" s="87" t="s">
        <v>1564</v>
      </c>
      <c r="M78" s="108">
        <v>29.0</v>
      </c>
      <c r="N78" s="112" t="str">
        <f>IFERROR(__xludf.DUMMYFUNCTION("GOOGLETRANSLATE(B78,""zh-tw"",""zh"")"),"请妹妹帮忙洗-4")</f>
        <v>请妹妹帮忙洗-4</v>
      </c>
      <c r="O78" s="113" t="str">
        <f>IFERROR(__xludf.DUMMYFUNCTION("GOOGLETRANSLATE(C78,""zh-tw"",""zh"")"),"同上，若达到5颗紫心时")</f>
        <v>同上，若达到5颗紫心时</v>
      </c>
      <c r="P78" s="55" t="str">
        <f>IFERROR(__xludf.DUMMYFUNCTION("GOOGLETRANSLATE(D78,""zh-tw"",""zh"")"),"第二段素股画面演出")</f>
        <v>第二段素股画面演出</v>
      </c>
      <c r="Q78" s="108">
        <v>29.0</v>
      </c>
      <c r="R78" s="112" t="str">
        <f>IFERROR(__xludf.DUMMYFUNCTION("GOOGLETRANSLATE(B78,""zh-tw"",""es-MX"")"),"Por favor, pídele a mi hermana que me ayude a lavar -4")</f>
        <v>Por favor, pídele a mi hermana que me ayude a lavar -4</v>
      </c>
      <c r="S78" s="114" t="str">
        <f>IFERROR(__xludf.DUMMYFUNCTION("GOOGLETRANSLATE(C78,""zh-tw"",""es-MX"")"),"Del mismo modo, si consigues 5 corazones morados...")</f>
        <v>Del mismo modo, si consigues 5 corazones morados...</v>
      </c>
      <c r="T78" s="55" t="str">
        <f>IFERROR(__xludf.DUMMYFUNCTION("GOOGLETRANSLATE(D78,""zh-tw"",""es-MX"")"),"La segunda parte de la representación de la escena de las medias lisas")</f>
        <v>La segunda parte de la representación de la escena de las medias lisas</v>
      </c>
      <c r="U78" s="108">
        <v>29.0</v>
      </c>
      <c r="V78" s="88" t="str">
        <f>IFERROR(__xludf.DUMMYFUNCTION("GOOGLETRANSLATE(B78,""zh-tw"",""KO"")"),"언니한테 씻는거 도와달라고 부탁해 -4")</f>
        <v>언니한테 씻는거 도와달라고 부탁해 -4</v>
      </c>
      <c r="W78" s="89" t="str">
        <f>IFERROR(__xludf.DUMMYFUNCTION("GOOGLETRANSLATE(C78,""zh-tw"",""KO"")"),"마찬가지로, 보라색 하트가 5개 모이면...")</f>
        <v>마찬가지로, 보라색 하트가 5개 모이면...</v>
      </c>
      <c r="X78" s="55" t="str">
        <f>IFERROR(__xludf.DUMMYFUNCTION("GOOGLETRANSLATE(D78,""zh-tw"",""KO"")"),"플레인 스타킹 씬 퍼포먼스 2부")</f>
        <v>플레인 스타킹 씬 퍼포먼스 2부</v>
      </c>
      <c r="Y78" s="108">
        <v>29.0</v>
      </c>
      <c r="Z78" s="103" t="str">
        <f>IFERROR(__xludf.DUMMYFUNCTION("IF(J78="""", """", GOOGLETRANSLATE(
J78,""en"",""ru""))"),"Стирка Имото - 4")</f>
        <v>Стирка Имото - 4</v>
      </c>
      <c r="AA78" s="104" t="str">
        <f>IFERROR(__xludf.DUMMYFUNCTION("IF(K78="""", """", GOOGLETRANSLATE(K78,""en"",""RU""))"),"Аналогично предыдущему, но если у вас есть 5 фиолетовых сердец, активируется вторая сцена сумата.")</f>
        <v>Аналогично предыдущему, но если у вас есть 5 фиолетовых сердец, активируется вторая сцена сумата.</v>
      </c>
      <c r="AB78" s="44" t="str">
        <f>IFERROR(__xludf.DUMMYFUNCTION("IF(L78="""", """", GOOGLETRANSLATE(L78, ""en"", ""ru""))
"),"Вторая сцена суматы")</f>
        <v>Вторая сцена суматы</v>
      </c>
      <c r="AC78" s="108">
        <v>29.0</v>
      </c>
      <c r="AD78" s="85" t="s">
        <v>1565</v>
      </c>
      <c r="AE78" s="86" t="s">
        <v>1566</v>
      </c>
      <c r="AF78" s="87" t="s">
        <v>1567</v>
      </c>
      <c r="AG78" s="108">
        <v>29.0</v>
      </c>
      <c r="AH78" s="85" t="s">
        <v>1568</v>
      </c>
      <c r="AI78" s="86" t="s">
        <v>1569</v>
      </c>
      <c r="AJ78" s="87" t="s">
        <v>1570</v>
      </c>
      <c r="AK78" s="87"/>
      <c r="AL78" s="87"/>
      <c r="AM78" s="87"/>
      <c r="AN78" s="87"/>
      <c r="AO78" s="87"/>
    </row>
    <row r="79">
      <c r="A79" s="77"/>
      <c r="B79" s="78"/>
      <c r="C79" s="78"/>
      <c r="D79" s="78"/>
      <c r="E79" s="77"/>
      <c r="F79" s="78"/>
      <c r="G79" s="78"/>
      <c r="H79" s="78"/>
      <c r="I79" s="77"/>
      <c r="J79" s="78"/>
      <c r="K79" s="78"/>
      <c r="L79" s="78"/>
      <c r="M79" s="17"/>
      <c r="N79" s="78"/>
      <c r="O79" s="46"/>
      <c r="P79" s="46"/>
      <c r="Q79" s="46"/>
      <c r="R79" s="46"/>
      <c r="S79" s="46"/>
      <c r="T79" s="46"/>
      <c r="U79" s="46"/>
      <c r="V79" s="46"/>
      <c r="W79" s="46"/>
      <c r="X79" s="46"/>
      <c r="Y79" s="78"/>
      <c r="Z79" s="46"/>
      <c r="AA79" s="46"/>
      <c r="AB79" s="46"/>
      <c r="AC79" s="78"/>
      <c r="AD79" s="78"/>
      <c r="AE79" s="78"/>
      <c r="AF79" s="78"/>
      <c r="AG79" s="79"/>
      <c r="AH79" s="79"/>
      <c r="AI79" s="79"/>
      <c r="AJ79" s="79"/>
      <c r="AK79" s="78"/>
      <c r="AL79" s="78"/>
      <c r="AM79" s="78"/>
      <c r="AN79" s="78"/>
      <c r="AO79" s="78"/>
    </row>
    <row r="80">
      <c r="A80" s="80" t="s">
        <v>1571</v>
      </c>
      <c r="B80" s="81" t="s">
        <v>1572</v>
      </c>
      <c r="E80" s="80" t="s">
        <v>1571</v>
      </c>
      <c r="F80" s="80" t="s">
        <v>1573</v>
      </c>
      <c r="I80" s="80" t="s">
        <v>1571</v>
      </c>
      <c r="J80" s="80" t="s">
        <v>1574</v>
      </c>
      <c r="M80" s="80" t="s">
        <v>1571</v>
      </c>
      <c r="N80" s="81" t="str">
        <f>IFERROR(__xludf.DUMMYFUNCTION("GOOGLETRANSLATE(B80,""zh-tw"",""zh"")"),"游戏机相关剧情")</f>
        <v>游戏机相关剧情</v>
      </c>
      <c r="Q80" s="80" t="s">
        <v>1571</v>
      </c>
      <c r="R80" s="80" t="s">
        <v>1575</v>
      </c>
      <c r="U80" s="80" t="s">
        <v>1571</v>
      </c>
      <c r="V80" s="80" t="s">
        <v>1576</v>
      </c>
      <c r="Y80" s="80" t="s">
        <v>1571</v>
      </c>
      <c r="Z80" s="80" t="s">
        <v>1577</v>
      </c>
      <c r="AC80" s="80" t="s">
        <v>1571</v>
      </c>
      <c r="AD80" s="80" t="s">
        <v>1578</v>
      </c>
      <c r="AG80" s="82" t="s">
        <v>1571</v>
      </c>
      <c r="AH80" s="83" t="s">
        <v>1579</v>
      </c>
      <c r="AK80" s="81"/>
      <c r="AL80" s="81"/>
      <c r="AM80" s="81"/>
      <c r="AN80" s="81"/>
      <c r="AO80" s="81"/>
    </row>
    <row r="81">
      <c r="A81" s="84">
        <v>1.0</v>
      </c>
      <c r="B81" s="85" t="s">
        <v>1580</v>
      </c>
      <c r="C81" s="86" t="s">
        <v>1581</v>
      </c>
      <c r="D81" s="87" t="s">
        <v>1582</v>
      </c>
      <c r="E81" s="84">
        <v>1.0</v>
      </c>
      <c r="F81" s="85" t="s">
        <v>1583</v>
      </c>
      <c r="G81" s="86" t="s">
        <v>1584</v>
      </c>
      <c r="H81" s="87" t="s">
        <v>1585</v>
      </c>
      <c r="I81" s="84">
        <v>1.0</v>
      </c>
      <c r="J81" s="85" t="s">
        <v>1586</v>
      </c>
      <c r="K81" s="86" t="s">
        <v>1587</v>
      </c>
      <c r="L81" s="87" t="s">
        <v>1588</v>
      </c>
      <c r="M81" s="115">
        <v>1.0</v>
      </c>
      <c r="N81" s="85" t="str">
        <f>IFERROR(__xludf.DUMMYFUNCTION("GOOGLETRANSLATE(B81,""zh-tw"",""zh"")"),"第一次游戏中的恶作剧")</f>
        <v>第一次游戏中的恶作剧</v>
      </c>
      <c r="O81" s="89" t="str">
        <f>IFERROR(__xludf.DUMMYFUNCTION("GOOGLETRANSLATE(C81,""zh-tw"",""zh"")"),"在拥有游戏机后，第一次对正在独自一人玩游戏的妹妹，使用一起游玩的恶作剧")</f>
        <v>在拥有游戏机后，第一次对正在独自一人玩游戏的妹妹，使用一起游玩的恶作剧</v>
      </c>
      <c r="P81" s="55" t="str">
        <f>IFERROR(__xludf.DUMMYFUNCTION("GOOGLETRANSLATE(D81,""zh-tw"",""zh"")"),"有一段的特殊对话，并且之后可以对游戏中的妹妹恶作剧")</f>
        <v>有一段的特殊对话，并且之后可以对游戏中的妹妹恶作剧</v>
      </c>
      <c r="Q81" s="116">
        <v>1.0</v>
      </c>
      <c r="R81" s="98" t="s">
        <v>1589</v>
      </c>
      <c r="S81" s="95" t="s">
        <v>1590</v>
      </c>
      <c r="T81" s="52" t="s">
        <v>1591</v>
      </c>
      <c r="U81" s="116">
        <v>1.0</v>
      </c>
      <c r="V81" s="88" t="s">
        <v>1592</v>
      </c>
      <c r="W81" s="89" t="s">
        <v>1593</v>
      </c>
      <c r="X81" s="55" t="s">
        <v>1594</v>
      </c>
      <c r="Y81" s="117">
        <v>1.0</v>
      </c>
      <c r="Z81" s="103" t="s">
        <v>1595</v>
      </c>
      <c r="AA81" s="104" t="s">
        <v>1596</v>
      </c>
      <c r="AB81" s="44" t="s">
        <v>1597</v>
      </c>
      <c r="AC81" s="117">
        <v>1.0</v>
      </c>
      <c r="AD81" s="85" t="s">
        <v>1598</v>
      </c>
      <c r="AE81" s="86" t="s">
        <v>1599</v>
      </c>
      <c r="AF81" s="87" t="s">
        <v>1600</v>
      </c>
      <c r="AG81" s="118">
        <v>1.0</v>
      </c>
      <c r="AH81" s="92" t="s">
        <v>1601</v>
      </c>
      <c r="AI81" s="93" t="s">
        <v>1602</v>
      </c>
      <c r="AJ81" s="94" t="s">
        <v>1603</v>
      </c>
      <c r="AK81" s="87"/>
      <c r="AL81" s="87"/>
      <c r="AM81" s="87"/>
      <c r="AN81" s="87"/>
      <c r="AO81" s="87"/>
    </row>
    <row r="82">
      <c r="A82" s="84">
        <v>2.0</v>
      </c>
      <c r="B82" s="85" t="s">
        <v>1604</v>
      </c>
      <c r="C82" s="86" t="s">
        <v>1605</v>
      </c>
      <c r="D82" s="87" t="s">
        <v>1606</v>
      </c>
      <c r="E82" s="84">
        <v>2.0</v>
      </c>
      <c r="F82" s="85" t="s">
        <v>1607</v>
      </c>
      <c r="G82" s="86" t="s">
        <v>1608</v>
      </c>
      <c r="H82" s="87" t="s">
        <v>1609</v>
      </c>
      <c r="I82" s="84">
        <v>2.0</v>
      </c>
      <c r="J82" s="85" t="s">
        <v>1610</v>
      </c>
      <c r="K82" s="86" t="s">
        <v>1611</v>
      </c>
      <c r="L82" s="87" t="s">
        <v>1612</v>
      </c>
      <c r="M82" s="115">
        <v>2.0</v>
      </c>
      <c r="N82" s="85" t="str">
        <f>IFERROR(__xludf.DUMMYFUNCTION("GOOGLETRANSLATE(B82,""zh-tw"",""zh"")"),"夜晚的发现")</f>
        <v>夜晚的发现</v>
      </c>
      <c r="O82" s="89" t="str">
        <f>IFERROR(__xludf.DUMMYFUNCTION("GOOGLETRANSLATE(C82,""zh-tw"",""zh"")"),"在拥有游戏机后，第一次夜袭时，妹妹会因偷玩游戏被哥哥抓到")</f>
        <v>在拥有游戏机后，第一次夜袭时，妹妹会因偷玩游戏被哥哥抓到</v>
      </c>
      <c r="P82" s="55" t="s">
        <v>1613</v>
      </c>
      <c r="Q82" s="116">
        <v>2.0</v>
      </c>
      <c r="R82" s="98" t="s">
        <v>1614</v>
      </c>
      <c r="S82" s="95" t="s">
        <v>1615</v>
      </c>
      <c r="T82" s="52" t="s">
        <v>1616</v>
      </c>
      <c r="U82" s="116">
        <v>2.0</v>
      </c>
      <c r="V82" s="88" t="s">
        <v>1617</v>
      </c>
      <c r="W82" s="89" t="s">
        <v>1618</v>
      </c>
      <c r="X82" s="55" t="s">
        <v>1619</v>
      </c>
      <c r="Y82" s="117">
        <v>2.0</v>
      </c>
      <c r="Z82" s="103" t="s">
        <v>1620</v>
      </c>
      <c r="AA82" s="104" t="s">
        <v>1621</v>
      </c>
      <c r="AB82" s="44" t="s">
        <v>1622</v>
      </c>
      <c r="AC82" s="117">
        <v>2.0</v>
      </c>
      <c r="AD82" s="85" t="s">
        <v>1623</v>
      </c>
      <c r="AE82" s="86" t="s">
        <v>1624</v>
      </c>
      <c r="AF82" s="87" t="s">
        <v>1625</v>
      </c>
      <c r="AG82" s="118">
        <v>2.0</v>
      </c>
      <c r="AH82" s="92" t="s">
        <v>1626</v>
      </c>
      <c r="AI82" s="93" t="s">
        <v>1627</v>
      </c>
      <c r="AJ82" s="94" t="s">
        <v>1628</v>
      </c>
      <c r="AK82" s="87"/>
      <c r="AL82" s="87"/>
      <c r="AM82" s="87"/>
      <c r="AN82" s="87"/>
      <c r="AO82" s="87"/>
    </row>
    <row r="83">
      <c r="A83" s="115">
        <v>3.0</v>
      </c>
      <c r="B83" s="88" t="s">
        <v>1629</v>
      </c>
      <c r="C83" s="89" t="s">
        <v>1630</v>
      </c>
      <c r="D83" s="55" t="s">
        <v>1631</v>
      </c>
      <c r="E83" s="115">
        <v>3.0</v>
      </c>
      <c r="F83" s="88" t="s">
        <v>1632</v>
      </c>
      <c r="G83" s="89" t="s">
        <v>1633</v>
      </c>
      <c r="H83" s="55" t="s">
        <v>1634</v>
      </c>
      <c r="I83" s="115">
        <v>3.0</v>
      </c>
      <c r="J83" s="88" t="s">
        <v>1635</v>
      </c>
      <c r="K83" s="89" t="s">
        <v>1636</v>
      </c>
      <c r="L83" s="55" t="s">
        <v>1637</v>
      </c>
      <c r="M83" s="115">
        <v>3.0</v>
      </c>
      <c r="N83" s="88" t="str">
        <f>IFERROR(__xludf.DUMMYFUNCTION("GOOGLETRANSLATE(B83,""zh-tw"",""zh"")"),"游戏中的干扰")</f>
        <v>游戏中的干扰</v>
      </c>
      <c r="O83" s="89" t="str">
        <f>IFERROR(__xludf.DUMMYFUNCTION("GOOGLETRANSLATE(C83,""zh-tw"",""zh"")"),"在妹妹独自一人玩游戏时，若进行干扰，妹妹会生气")</f>
        <v>在妹妹独自一人玩游戏时，若进行干扰，妹妹会生气</v>
      </c>
      <c r="P83" s="55" t="str">
        <f>IFERROR(__xludf.DUMMYFUNCTION("GOOGLETRANSLATE(D83,""zh-tw"",""zh"")"),"生气之后安抚好，会获得随机的肉料理、别受伤的约定")</f>
        <v>生气之后安抚好，会获得随机的肉料理、别受伤的约定</v>
      </c>
      <c r="Q83" s="116">
        <v>3.0</v>
      </c>
      <c r="R83" s="88" t="s">
        <v>1638</v>
      </c>
      <c r="S83" s="95" t="s">
        <v>1639</v>
      </c>
      <c r="T83" s="52" t="s">
        <v>1640</v>
      </c>
      <c r="U83" s="116">
        <v>3.0</v>
      </c>
      <c r="V83" s="88" t="s">
        <v>1641</v>
      </c>
      <c r="W83" s="89" t="s">
        <v>1642</v>
      </c>
      <c r="X83" s="55" t="s">
        <v>1643</v>
      </c>
      <c r="Y83" s="116">
        <v>3.0</v>
      </c>
      <c r="Z83" s="103" t="s">
        <v>1644</v>
      </c>
      <c r="AA83" s="104" t="s">
        <v>1645</v>
      </c>
      <c r="AB83" s="44" t="s">
        <v>1646</v>
      </c>
      <c r="AC83" s="116">
        <v>3.0</v>
      </c>
      <c r="AD83" s="88" t="s">
        <v>1647</v>
      </c>
      <c r="AE83" s="89" t="s">
        <v>1648</v>
      </c>
      <c r="AF83" s="55" t="s">
        <v>1649</v>
      </c>
      <c r="AG83" s="119">
        <v>3.0</v>
      </c>
      <c r="AH83" s="120" t="s">
        <v>1650</v>
      </c>
      <c r="AI83" s="121" t="s">
        <v>1651</v>
      </c>
      <c r="AJ83" s="122" t="s">
        <v>1652</v>
      </c>
      <c r="AK83" s="55"/>
      <c r="AL83" s="55"/>
      <c r="AM83" s="55"/>
      <c r="AN83" s="55"/>
      <c r="AO83" s="55"/>
    </row>
    <row r="84">
      <c r="A84" s="115">
        <v>4.0</v>
      </c>
      <c r="B84" s="88" t="s">
        <v>1653</v>
      </c>
      <c r="C84" s="89" t="s">
        <v>1654</v>
      </c>
      <c r="D84" s="55" t="s">
        <v>1655</v>
      </c>
      <c r="E84" s="115">
        <v>4.0</v>
      </c>
      <c r="F84" s="88" t="s">
        <v>1656</v>
      </c>
      <c r="G84" s="89" t="s">
        <v>1657</v>
      </c>
      <c r="H84" s="55" t="s">
        <v>1658</v>
      </c>
      <c r="I84" s="115">
        <v>4.0</v>
      </c>
      <c r="J84" s="88" t="s">
        <v>1659</v>
      </c>
      <c r="K84" s="89" t="s">
        <v>1660</v>
      </c>
      <c r="L84" s="55" t="s">
        <v>1661</v>
      </c>
      <c r="M84" s="115">
        <v>4.0</v>
      </c>
      <c r="N84" s="88" t="str">
        <f>IFERROR(__xludf.DUMMYFUNCTION("GOOGLETRANSLATE(B84,""zh-tw"",""zh"")"),"游戏中的干扰-1")</f>
        <v>游戏中的干扰-1</v>
      </c>
      <c r="O84" s="89" t="str">
        <f>IFERROR(__xludf.DUMMYFUNCTION("GOOGLETRANSLATE(C84,""zh-tw"",""zh"")"),"同上，若拥有暗影之魂-DLC后，即可触发其他选项")</f>
        <v>同上，若拥有暗影之魂-DLC后，即可触发其他选项</v>
      </c>
      <c r="P84" s="55" t="str">
        <f>IFERROR(__xludf.DUMMYFUNCTION("GOOGLETRANSLATE(D84,""zh-tw"",""zh"")"),"新增其他选项")</f>
        <v>新增其他选项</v>
      </c>
      <c r="Q84" s="116">
        <v>4.0</v>
      </c>
      <c r="R84" s="98" t="s">
        <v>1662</v>
      </c>
      <c r="S84" s="95" t="s">
        <v>1663</v>
      </c>
      <c r="T84" s="55" t="str">
        <f>IFERROR(__xludf.DUMMYFUNCTION("GOOGLETRANSLATE(D84,""zh-tw"",""es-MX"")"),"Agregar otras opciones")</f>
        <v>Agregar otras opciones</v>
      </c>
      <c r="U84" s="116">
        <v>4.0</v>
      </c>
      <c r="V84" s="88" t="s">
        <v>1664</v>
      </c>
      <c r="W84" s="89" t="s">
        <v>1665</v>
      </c>
      <c r="X84" s="55" t="str">
        <f>IFERROR(__xludf.DUMMYFUNCTION("GOOGLETRANSLATE(D84,""zh-tw"",""KO"")"),"다른 옵션 추가")</f>
        <v>다른 옵션 추가</v>
      </c>
      <c r="Y84" s="116">
        <v>4.0</v>
      </c>
      <c r="Z84" s="103" t="s">
        <v>1666</v>
      </c>
      <c r="AA84" s="104" t="s">
        <v>1667</v>
      </c>
      <c r="AB84" s="44" t="s">
        <v>1668</v>
      </c>
      <c r="AC84" s="116">
        <v>4.0</v>
      </c>
      <c r="AD84" s="88" t="s">
        <v>1669</v>
      </c>
      <c r="AE84" s="89" t="s">
        <v>1670</v>
      </c>
      <c r="AF84" s="55" t="s">
        <v>1671</v>
      </c>
      <c r="AG84" s="119">
        <v>4.0</v>
      </c>
      <c r="AH84" s="120" t="s">
        <v>1672</v>
      </c>
      <c r="AI84" s="121" t="s">
        <v>1673</v>
      </c>
      <c r="AJ84" s="122" t="s">
        <v>1674</v>
      </c>
      <c r="AK84" s="55"/>
      <c r="AL84" s="55"/>
      <c r="AM84" s="55"/>
      <c r="AN84" s="55"/>
      <c r="AO84" s="55"/>
    </row>
    <row r="85">
      <c r="A85" s="115">
        <v>5.0</v>
      </c>
      <c r="B85" s="88" t="s">
        <v>1675</v>
      </c>
      <c r="C85" s="89" t="s">
        <v>1676</v>
      </c>
      <c r="D85" s="55" t="s">
        <v>1677</v>
      </c>
      <c r="E85" s="115">
        <v>5.0</v>
      </c>
      <c r="F85" s="88" t="s">
        <v>1678</v>
      </c>
      <c r="G85" s="89" t="s">
        <v>1679</v>
      </c>
      <c r="H85" s="55" t="s">
        <v>1680</v>
      </c>
      <c r="I85" s="115">
        <v>5.0</v>
      </c>
      <c r="J85" s="88" t="s">
        <v>1681</v>
      </c>
      <c r="K85" s="89" t="s">
        <v>1682</v>
      </c>
      <c r="L85" s="55" t="s">
        <v>1683</v>
      </c>
      <c r="M85" s="115">
        <v>5.0</v>
      </c>
      <c r="N85" s="88" t="str">
        <f>IFERROR(__xludf.DUMMYFUNCTION("GOOGLETRANSLATE(B85,""zh-tw"",""zh"")"),"Zzz -1")</f>
        <v>Zzz -1</v>
      </c>
      <c r="O85" s="89" t="str">
        <f>IFERROR(__xludf.DUMMYFUNCTION("GOOGLETRANSLATE(C85,""zh-tw"",""zh"")"),"「喝点什么」给妹妹喂一颗""蓝色金平糖""后，会处发妹妹想睡觉的放松状态")</f>
        <v>「喝点什么」给妹妹喂一颗"蓝色金平糖"后，会处发妹妹想睡觉的放松状态</v>
      </c>
      <c r="P85" s="55" t="str">
        <f>IFERROR(__xludf.DUMMYFUNCTION("GOOGLETRANSLATE(D85,""zh-tw"",""zh"")"),"放松戒心，偷窥不容易被发现
和妹妹游戏对战时，妹妹会因为犯困发挥不出全力(未实装)
捉弄玩游戏的妹妹，会让妹妹更快地输掉游戏(未实装)")</f>
        <v>放松戒心，偷窥不容易被发现
和妹妹游戏对战时，妹妹会因为犯困发挥不出全力(未实装)
捉弄玩游戏的妹妹，会让妹妹更快地输掉游戏(未实装)</v>
      </c>
      <c r="Q85" s="116">
        <v>5.0</v>
      </c>
      <c r="R85" s="88" t="s">
        <v>1684</v>
      </c>
      <c r="S85" s="95" t="s">
        <v>1685</v>
      </c>
      <c r="T85" s="52" t="s">
        <v>1686</v>
      </c>
      <c r="U85" s="116">
        <v>5.0</v>
      </c>
      <c r="V85" s="88" t="str">
        <f>IFERROR(__xludf.DUMMYFUNCTION("GOOGLETRANSLATE(B85,""zh-tw"",""KO"")"),"zz -1")</f>
        <v>zz -1</v>
      </c>
      <c r="W85" s="89" t="str">
        <f>IFERROR(__xludf.DUMMYFUNCTION("GOOGLETRANSLATE(C85,""zh-tw"",""KO"")"),"여동생에게 '파란색 콘페이토'(일본식 사탕의 일종)를 주고 '뭐 마실 것 좀 줘'라고 한 뒤, 잠을 자고 싶어하는 편안한 상태로 만들어 주었습니다.")</f>
        <v>여동생에게 '파란색 콘페이토'(일본식 사탕의 일종)를 주고 '뭐 마실 것 좀 줘'라고 한 뒤, 잠을 자고 싶어하는 편안한 상태로 만들어 주었습니다.</v>
      </c>
      <c r="X85" s="55" t="str">
        <f>IFERROR(__xludf.DUMMYFUNCTION("GOOGLETRANSLATE(D85,""zh-tw"",""KO"")"),"방심하면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f>
        <v>방심하면 엿보는 게 들키기 어려워집니다.
여동생과 게임을 하다 보면 졸려서 제대로 플레이하지 못할 수도 있습니다(아직 구현되지 않음). 여동생이 게임을 하는 동안 놀리면 더 빨리 지게 됩니다(아직 구현되지 않음).</v>
      </c>
      <c r="Y85" s="116">
        <v>5.0</v>
      </c>
      <c r="Z85" s="103" t="s">
        <v>1687</v>
      </c>
      <c r="AA85" s="104" t="s">
        <v>1688</v>
      </c>
      <c r="AB85" s="44" t="s">
        <v>1689</v>
      </c>
      <c r="AC85" s="116">
        <v>5.0</v>
      </c>
      <c r="AD85" s="88" t="s">
        <v>1690</v>
      </c>
      <c r="AE85" s="89" t="s">
        <v>1691</v>
      </c>
      <c r="AF85" s="55" t="s">
        <v>1692</v>
      </c>
      <c r="AG85" s="119">
        <v>5.0</v>
      </c>
      <c r="AH85" s="120" t="s">
        <v>1693</v>
      </c>
      <c r="AI85" s="121" t="s">
        <v>1694</v>
      </c>
      <c r="AJ85" s="122" t="s">
        <v>1695</v>
      </c>
      <c r="AK85" s="55"/>
      <c r="AL85" s="55"/>
      <c r="AM85" s="55"/>
      <c r="AN85" s="55"/>
      <c r="AO85" s="55"/>
    </row>
    <row r="86">
      <c r="A86" s="17"/>
      <c r="B86" s="46"/>
      <c r="C86" s="46"/>
      <c r="D86" s="46"/>
      <c r="E86" s="17"/>
      <c r="F86" s="46"/>
      <c r="G86" s="46"/>
      <c r="H86" s="46"/>
      <c r="I86" s="17"/>
      <c r="J86" s="46"/>
      <c r="K86" s="46"/>
      <c r="L86" s="46"/>
      <c r="M86" s="17"/>
      <c r="N86" s="46"/>
      <c r="O86" s="46"/>
      <c r="P86" s="46"/>
      <c r="Q86" s="46"/>
      <c r="R86" s="46"/>
      <c r="S86" s="46"/>
      <c r="T86" s="46"/>
      <c r="U86" s="46"/>
      <c r="V86" s="46"/>
      <c r="W86" s="46"/>
      <c r="X86" s="46"/>
      <c r="Y86" s="46"/>
      <c r="Z86" s="46"/>
      <c r="AA86" s="46"/>
      <c r="AB86" s="46"/>
      <c r="AC86" s="46"/>
      <c r="AD86" s="46"/>
      <c r="AE86" s="46"/>
      <c r="AF86" s="46"/>
      <c r="AG86" s="123"/>
      <c r="AH86" s="123"/>
      <c r="AI86" s="123"/>
      <c r="AJ86" s="123"/>
      <c r="AK86" s="46"/>
      <c r="AL86" s="46"/>
      <c r="AM86" s="46"/>
      <c r="AN86" s="46"/>
      <c r="AO86" s="46"/>
    </row>
    <row r="87">
      <c r="A87" s="80" t="s">
        <v>1696</v>
      </c>
      <c r="B87" s="124" t="s">
        <v>1697</v>
      </c>
      <c r="E87" s="80" t="s">
        <v>1696</v>
      </c>
      <c r="F87" s="80" t="s">
        <v>1698</v>
      </c>
      <c r="I87" s="80" t="s">
        <v>1696</v>
      </c>
      <c r="J87" s="80" t="s">
        <v>1699</v>
      </c>
      <c r="M87" s="80" t="s">
        <v>1696</v>
      </c>
      <c r="N87" s="81" t="str">
        <f>IFERROR(__xludf.DUMMYFUNCTION("GOOGLETRANSLATE(B87,""zh-tw"",""zh"")"),"特殊天气相关")</f>
        <v>特殊天气相关</v>
      </c>
      <c r="Q87" s="80" t="s">
        <v>1696</v>
      </c>
      <c r="R87" s="80" t="s">
        <v>1700</v>
      </c>
      <c r="U87" s="80" t="s">
        <v>1696</v>
      </c>
      <c r="V87" s="80" t="s">
        <v>1701</v>
      </c>
      <c r="Y87" s="80" t="s">
        <v>1696</v>
      </c>
      <c r="Z87" s="80" t="s">
        <v>1702</v>
      </c>
      <c r="AC87" s="80" t="s">
        <v>1696</v>
      </c>
      <c r="AD87" s="80" t="s">
        <v>1703</v>
      </c>
      <c r="AG87" s="82" t="s">
        <v>1696</v>
      </c>
      <c r="AH87" s="125" t="s">
        <v>1704</v>
      </c>
      <c r="AK87" s="124"/>
      <c r="AL87" s="124"/>
      <c r="AM87" s="124"/>
      <c r="AN87" s="124"/>
      <c r="AO87" s="124"/>
    </row>
    <row r="88">
      <c r="A88" s="115">
        <v>1.0</v>
      </c>
      <c r="B88" s="88" t="s">
        <v>1705</v>
      </c>
      <c r="C88" s="89" t="s">
        <v>1706</v>
      </c>
      <c r="D88" s="55" t="s">
        <v>1707</v>
      </c>
      <c r="E88" s="115">
        <v>1.0</v>
      </c>
      <c r="F88" s="88" t="s">
        <v>1708</v>
      </c>
      <c r="G88" s="89" t="s">
        <v>1709</v>
      </c>
      <c r="H88" s="55" t="s">
        <v>1710</v>
      </c>
      <c r="I88" s="115">
        <v>1.0</v>
      </c>
      <c r="J88" s="88" t="s">
        <v>1711</v>
      </c>
      <c r="K88" s="89" t="s">
        <v>1712</v>
      </c>
      <c r="L88" s="55" t="s">
        <v>1713</v>
      </c>
      <c r="M88" s="115">
        <v>1.0</v>
      </c>
      <c r="N88" s="88" t="str">
        <f>IFERROR(__xludf.DUMMYFUNCTION("GOOGLETRANSLATE(B88,""zh-tw"",""zh"")"),"炎热的消暑-1")</f>
        <v>炎热的消暑-1</v>
      </c>
      <c r="O88" s="89" t="str">
        <f>IFERROR(__xludf.DUMMYFUNCTION("GOOGLETRANSLATE(C88,""zh-tw"",""zh"")"),"于炎热天气时，递给妹妹喝逆流可乐")</f>
        <v>于炎热天气时，递给妹妹喝逆流可乐</v>
      </c>
      <c r="P88" s="55" t="str">
        <f>IFERROR(__xludf.DUMMYFUNCTION("GOOGLETRANSLATE(D88,""zh-tw"",""zh"")"),"特殊动画、妹妹的心情+10好感+20")</f>
        <v>特殊动画、妹妹的心情+10好感+20</v>
      </c>
      <c r="Q88" s="116">
        <v>1.0</v>
      </c>
      <c r="R88" s="88" t="s">
        <v>1714</v>
      </c>
      <c r="S88" s="95" t="s">
        <v>1715</v>
      </c>
      <c r="T88" s="55" t="str">
        <f>IFERROR(__xludf.DUMMYFUNCTION("GOOGLETRANSLATE(D88,""zh-tw"",""es-MX"")"),"Animación especial, estado de ánimo de la hermana +10, afecto +20")</f>
        <v>Animación especial, estado de ánimo de la hermana +10, afecto +20</v>
      </c>
      <c r="U88" s="116">
        <v>1.0</v>
      </c>
      <c r="V88" s="88" t="str">
        <f>IFERROR(__xludf.DUMMYFUNCTION("GOOGLETRANSLATE(B88,""zh-tw"",""KO"")"),"더운 날씨에 시원하게 식히기 - 1부")</f>
        <v>더운 날씨에 시원하게 식히기 - 1부</v>
      </c>
      <c r="W88" s="89" t="str">
        <f>IFERROR(__xludf.DUMMYFUNCTION("GOOGLETRANSLATE(C88,""zh-tw"",""KO"")"),"더운 어느 날, 나는 여동생에게 거꾸로 흘러내리는 콜라를 건넸다.")</f>
        <v>더운 어느 날, 나는 여동생에게 거꾸로 흘러내리는 콜라를 건넸다.</v>
      </c>
      <c r="X88" s="55" t="str">
        <f>IFERROR(__xludf.DUMMYFUNCTION("GOOGLETRANSLATE(D88,""zh-tw"",""KO"")"),"특수 애니메이션, 자매 기분 +10, 애정도 +20")</f>
        <v>특수 애니메이션, 자매 기분 +10, 애정도 +20</v>
      </c>
      <c r="Y88" s="116">
        <v>1.0</v>
      </c>
      <c r="Z88" s="103" t="s">
        <v>1716</v>
      </c>
      <c r="AA88" s="104" t="s">
        <v>1717</v>
      </c>
      <c r="AB88" s="44" t="s">
        <v>1718</v>
      </c>
      <c r="AC88" s="116">
        <v>1.0</v>
      </c>
      <c r="AD88" s="88" t="s">
        <v>1719</v>
      </c>
      <c r="AE88" s="89" t="s">
        <v>1720</v>
      </c>
      <c r="AF88" s="55" t="s">
        <v>1721</v>
      </c>
      <c r="AG88" s="119">
        <v>1.0</v>
      </c>
      <c r="AH88" s="120" t="s">
        <v>1722</v>
      </c>
      <c r="AI88" s="121" t="s">
        <v>1723</v>
      </c>
      <c r="AJ88" s="122" t="s">
        <v>1724</v>
      </c>
      <c r="AK88" s="55"/>
      <c r="AL88" s="55"/>
      <c r="AM88" s="55"/>
      <c r="AN88" s="55"/>
      <c r="AO88" s="55"/>
    </row>
    <row r="89">
      <c r="A89" s="115">
        <v>2.0</v>
      </c>
      <c r="B89" s="88" t="s">
        <v>1725</v>
      </c>
      <c r="C89" s="89" t="s">
        <v>1726</v>
      </c>
      <c r="D89" s="55" t="s">
        <v>1727</v>
      </c>
      <c r="E89" s="115">
        <v>2.0</v>
      </c>
      <c r="F89" s="88" t="s">
        <v>1728</v>
      </c>
      <c r="G89" s="89" t="s">
        <v>1729</v>
      </c>
      <c r="H89" s="55" t="s">
        <v>1730</v>
      </c>
      <c r="I89" s="115">
        <v>2.0</v>
      </c>
      <c r="J89" s="88" t="s">
        <v>1731</v>
      </c>
      <c r="K89" s="89" t="s">
        <v>1732</v>
      </c>
      <c r="L89" s="55" t="s">
        <v>1733</v>
      </c>
      <c r="M89" s="115">
        <v>2.0</v>
      </c>
      <c r="N89" s="88" t="str">
        <f>IFERROR(__xludf.DUMMYFUNCTION("GOOGLETRANSLATE(B89,""zh-tw"",""zh"")"),"炎热的消暑-2")</f>
        <v>炎热的消暑-2</v>
      </c>
      <c r="O89" s="89" t="str">
        <f>IFERROR(__xludf.DUMMYFUNCTION("GOOGLETRANSLATE(C89,""zh-tw"",""zh"")"),"于炎热天气时，摇一摇后给妹妹喝""逆流可乐""")</f>
        <v>于炎热天气时，摇一摇后给妹妹喝"逆流可乐"</v>
      </c>
      <c r="P89" s="55" t="str">
        <f>IFERROR(__xludf.DUMMYFUNCTION("GOOGLETRANSLATE(D89,""zh-tw"",""zh"")"),"特殊动画、妹妹的心情会固定剩20点")</f>
        <v>特殊动画、妹妹的心情会固定剩20点</v>
      </c>
      <c r="Q89" s="116">
        <v>2.0</v>
      </c>
      <c r="R89" s="88" t="s">
        <v>1734</v>
      </c>
      <c r="S89" s="95" t="s">
        <v>1735</v>
      </c>
      <c r="T89" s="55" t="str">
        <f>IFERROR(__xludf.DUMMYFUNCTION("GOOGLETRANSLATE(D89,""zh-tw"",""es-MX"")"),"Animaciones especiales; el estado de ánimo de la hermana menor siempre tendrá 20 puntos restantes.")</f>
        <v>Animaciones especiales; el estado de ánimo de la hermana menor siempre tendrá 20 puntos restantes.</v>
      </c>
      <c r="U89" s="116">
        <v>2.0</v>
      </c>
      <c r="V89" s="88" t="str">
        <f>IFERROR(__xludf.DUMMYFUNCTION("GOOGLETRANSLATE(B89,""zh-tw"",""KO"")"),"더운 날씨에 시원하게 식히기 - 2부")</f>
        <v>더운 날씨에 시원하게 식히기 - 2부</v>
      </c>
      <c r="W89" s="89" t="str">
        <f>IFERROR(__xludf.DUMMYFUNCTION("GOOGLETRANSLATE(C89,""zh-tw"",""KO"")"),"더운 날에는 여동생에게 ""리버스 콜라""라고 마시게 하기 전에 캔을 흔들어 줍니다.")</f>
        <v>더운 날에는 여동생에게 "리버스 콜라"라고 마시게 하기 전에 캔을 흔들어 줍니다.</v>
      </c>
      <c r="X89" s="55" t="str">
        <f>IFERROR(__xludf.DUMMYFUNCTION("GOOGLETRANSLATE(D89,""zh-tw"",""KO"")"),"특별 애니메이션; 여동생의 기분은 항상 20포인트 남습니다.")</f>
        <v>특별 애니메이션; 여동생의 기분은 항상 20포인트 남습니다.</v>
      </c>
      <c r="Y89" s="116">
        <v>2.0</v>
      </c>
      <c r="Z89" s="103" t="s">
        <v>1736</v>
      </c>
      <c r="AA89" s="104" t="s">
        <v>1737</v>
      </c>
      <c r="AB89" s="44" t="s">
        <v>1738</v>
      </c>
      <c r="AC89" s="116">
        <v>2.0</v>
      </c>
      <c r="AD89" s="88" t="s">
        <v>1739</v>
      </c>
      <c r="AE89" s="89" t="s">
        <v>1740</v>
      </c>
      <c r="AF89" s="55" t="s">
        <v>1741</v>
      </c>
      <c r="AG89" s="119">
        <v>2.0</v>
      </c>
      <c r="AH89" s="120" t="s">
        <v>1742</v>
      </c>
      <c r="AI89" s="121" t="s">
        <v>1743</v>
      </c>
      <c r="AJ89" s="122" t="s">
        <v>1744</v>
      </c>
      <c r="AK89" s="55"/>
      <c r="AL89" s="55"/>
      <c r="AM89" s="55"/>
      <c r="AN89" s="55"/>
      <c r="AO89" s="55"/>
    </row>
    <row r="90">
      <c r="A90" s="115">
        <v>3.0</v>
      </c>
      <c r="B90" s="88" t="s">
        <v>1745</v>
      </c>
      <c r="C90" s="89" t="s">
        <v>1746</v>
      </c>
      <c r="D90" s="55" t="s">
        <v>1727</v>
      </c>
      <c r="E90" s="115">
        <v>3.0</v>
      </c>
      <c r="F90" s="88" t="s">
        <v>1747</v>
      </c>
      <c r="G90" s="89" t="s">
        <v>1748</v>
      </c>
      <c r="H90" s="55" t="s">
        <v>1730</v>
      </c>
      <c r="I90" s="115">
        <v>3.0</v>
      </c>
      <c r="J90" s="88" t="s">
        <v>1749</v>
      </c>
      <c r="K90" s="89" t="s">
        <v>1750</v>
      </c>
      <c r="L90" s="55" t="s">
        <v>1733</v>
      </c>
      <c r="M90" s="115">
        <v>3.0</v>
      </c>
      <c r="N90" s="88" t="str">
        <f>IFERROR(__xludf.DUMMYFUNCTION("GOOGLETRANSLATE(B90,""zh-tw"",""zh"")"),"炎热的消暑-3")</f>
        <v>炎热的消暑-3</v>
      </c>
      <c r="O90" s="89" t="str">
        <f>IFERROR(__xludf.DUMMYFUNCTION("GOOGLETRANSLATE(C90,""zh-tw"",""zh"")"),"同上，第二次之后有70%概率触发另一段剧情")</f>
        <v>同上，第二次之后有70%概率触发另一段剧情</v>
      </c>
      <c r="P90" s="55" t="str">
        <f>IFERROR(__xludf.DUMMYFUNCTION("GOOGLETRANSLATE(D90,""zh-tw"",""zh"")"),"特殊动画、妹妹的心情会固定剩20点")</f>
        <v>特殊动画、妹妹的心情会固定剩20点</v>
      </c>
      <c r="Q90" s="116">
        <v>3.0</v>
      </c>
      <c r="R90" s="88" t="s">
        <v>1751</v>
      </c>
      <c r="S90" s="95" t="s">
        <v>1752</v>
      </c>
      <c r="T90" s="55" t="str">
        <f>IFERROR(__xludf.DUMMYFUNCTION("GOOGLETRANSLATE(D90,""zh-tw"",""es-MX"")"),"Animaciones especiales; el estado de ánimo de la hermana menor siempre tendrá 20 puntos restantes.")</f>
        <v>Animaciones especiales; el estado de ánimo de la hermana menor siempre tendrá 20 puntos restantes.</v>
      </c>
      <c r="U90" s="116">
        <v>3.0</v>
      </c>
      <c r="V90" s="88" t="str">
        <f>IFERROR(__xludf.DUMMYFUNCTION("GOOGLETRANSLATE(B90,""zh-tw"",""KO"")"),"더운 날씨에 시원하게 식히기 - 3")</f>
        <v>더운 날씨에 시원하게 식히기 - 3</v>
      </c>
      <c r="W90" s="89" t="str">
        <f>IFERROR(__xludf.DUMMYFUNCTION("GOOGLETRANSLATE(C90,""zh-tw"",""KO"")"),"위와 같이 두 번째 이후에 또 다른 플롯 세그먼트가 시작될 확률은 70%입니다.")</f>
        <v>위와 같이 두 번째 이후에 또 다른 플롯 세그먼트가 시작될 확률은 70%입니다.</v>
      </c>
      <c r="X90" s="55" t="str">
        <f>IFERROR(__xludf.DUMMYFUNCTION("GOOGLETRANSLATE(D90,""zh-tw"",""KO"")"),"특별 애니메이션; 여동생의 기분은 항상 20포인트 남습니다.")</f>
        <v>특별 애니메이션; 여동생의 기분은 항상 20포인트 남습니다.</v>
      </c>
      <c r="Y90" s="116">
        <v>3.0</v>
      </c>
      <c r="Z90" s="103" t="s">
        <v>1753</v>
      </c>
      <c r="AA90" s="104" t="s">
        <v>1754</v>
      </c>
      <c r="AB90" s="44" t="s">
        <v>1738</v>
      </c>
      <c r="AC90" s="116">
        <v>3.0</v>
      </c>
      <c r="AD90" s="88" t="s">
        <v>1755</v>
      </c>
      <c r="AE90" s="89" t="s">
        <v>1756</v>
      </c>
      <c r="AF90" s="55" t="s">
        <v>1741</v>
      </c>
      <c r="AG90" s="119">
        <v>3.0</v>
      </c>
      <c r="AH90" s="120" t="s">
        <v>1757</v>
      </c>
      <c r="AI90" s="121" t="s">
        <v>1758</v>
      </c>
      <c r="AJ90" s="122" t="s">
        <v>1744</v>
      </c>
      <c r="AK90" s="55"/>
      <c r="AL90" s="55"/>
      <c r="AM90" s="55"/>
      <c r="AN90" s="55"/>
      <c r="AO90" s="55"/>
    </row>
    <row r="91">
      <c r="A91" s="115">
        <v>4.0</v>
      </c>
      <c r="B91" s="88" t="s">
        <v>1759</v>
      </c>
      <c r="C91" s="89" t="s">
        <v>1760</v>
      </c>
      <c r="D91" s="55" t="s">
        <v>1761</v>
      </c>
      <c r="E91" s="115">
        <v>4.0</v>
      </c>
      <c r="F91" s="88" t="s">
        <v>1762</v>
      </c>
      <c r="G91" s="89" t="s">
        <v>1763</v>
      </c>
      <c r="H91" s="55" t="s">
        <v>1764</v>
      </c>
      <c r="I91" s="115">
        <v>4.0</v>
      </c>
      <c r="J91" s="88" t="s">
        <v>1765</v>
      </c>
      <c r="K91" s="89" t="s">
        <v>1766</v>
      </c>
      <c r="L91" s="55" t="s">
        <v>1767</v>
      </c>
      <c r="M91" s="115">
        <v>4.0</v>
      </c>
      <c r="N91" s="88" t="str">
        <f>IFERROR(__xludf.DUMMYFUNCTION("GOOGLETRANSLATE(B91,""zh-tw"",""zh"")"),"掀起来看看")</f>
        <v>掀起来看看</v>
      </c>
      <c r="O91" s="89" t="str">
        <f>IFERROR(__xludf.DUMMYFUNCTION("GOOGLETRANSLATE(C91,""zh-tw"",""zh"")"),"妹妹穿游戏衣服，进行亲密互动时，可以进行掀衣服等操作。")</f>
        <v>妹妹穿游戏衣服，进行亲密互动时，可以进行掀衣服等操作。</v>
      </c>
      <c r="P91" s="55" t="str">
        <f>IFERROR(__xludf.DUMMYFUNCTION("GOOGLETRANSLATE(D91,""zh-tw"",""zh"")"),"特殊互动
※初步实装，部分内容未实装(例如兔兔涂鸦)
※目前只有天气炎热时才能触发，之后会新增平时夜晚也能穿游戏衣服")</f>
        <v>特殊互动
※初步实装，部分内容未实装(例如兔兔涂鸦)
※目前只有天气炎热时才能触发，之后会新增平时夜晚也能穿游戏衣服</v>
      </c>
      <c r="Q91" s="116">
        <v>4.0</v>
      </c>
      <c r="R91" s="88" t="s">
        <v>1768</v>
      </c>
      <c r="S91" s="95" t="s">
        <v>1769</v>
      </c>
      <c r="T91" s="52" t="s">
        <v>1770</v>
      </c>
      <c r="U91" s="116">
        <v>4.0</v>
      </c>
      <c r="V91" s="88" t="str">
        <f>IFERROR(__xludf.DUMMYFUNCTION("GOOGLETRANSLATE(B91,""zh-tw"",""KO"")"),"들어 올려서 살펴보세요.")</f>
        <v>들어 올려서 살펴보세요.</v>
      </c>
      <c r="W91" s="89" t="str">
        <f>IFERROR(__xludf.DUMMYFUNCTION("GOOGLETRANSLATE(C91,""zh-tw"",""KO"")"),"여동생이 게임복을 입고 친밀한 상호작용을 할 때, 그녀는 옷을 들어올리는 등의 행동을 할 수 있습니다.")</f>
        <v>여동생이 게임복을 입고 친밀한 상호작용을 할 때, 그녀는 옷을 들어올리는 등의 행동을 할 수 있습니다.</v>
      </c>
      <c r="X91" s="55" t="str">
        <f>IFERROR(__xludf.DUMMYFUNCTION("GOOGLETRANSLATE(D91,""zh-tw"",""KO"")"),"특별 상호작용
※ 초기 구현 단계이며, 일부 콘텐츠는 아직 구현되지 않았습니다(예: 토끼 낙서).
※ 현재 이러한 상호작용은 더운 날씨에만 활성화됩니다. 추후 밤에도 게임 의상을 착용할 수 있는 기능이 추가될 예정입니다.")</f>
        <v>특별 상호작용
※ 초기 구현 단계이며, 일부 콘텐츠는 아직 구현되지 않았습니다(예: 토끼 낙서).
※ 현재 이러한 상호작용은 더운 날씨에만 활성화됩니다. 추후 밤에도 게임 의상을 착용할 수 있는 기능이 추가될 예정입니다.</v>
      </c>
      <c r="Y91" s="116">
        <v>4.0</v>
      </c>
      <c r="Z91" s="103" t="str">
        <f>IFERROR(__xludf.DUMMYFUNCTION("IF(J91="""", """", GOOGLETRANSLATE(
J91,""en"",""ru""))"),"Поднимаюсь и смотрю")</f>
        <v>Поднимаюсь и смотрю</v>
      </c>
      <c r="AA91" s="104" t="str">
        <f>IFERROR(__xludf.DUMMYFUNCTION("IF(K91="""", """", GOOGLETRANSLATE(K91,""en"",""RU""))"),"Когда Имото носит футболку, подаренную Странным Рыцарем, вы можете поднять ее и сделать с ней что-нибудь другое, находясь с ней в контакте.")</f>
        <v>Когда Имото носит футболку, подаренную Странным Рыцарем, вы можете поднять ее и сделать с ней что-нибудь другое, находясь с ней в контакте.</v>
      </c>
      <c r="AB91" s="44" t="str">
        <f>IFERROR(__xludf.DUMMYFUNCTION("IF(L91="""", """", GOOGLETRANSLATE(L91, ""en"", ""ru""))
"),"Особые взаимодействия
*В настоящее время это находится на предварительной стадии, поэтому некоторые элементы ещё не полностью реализованы (например, рисование на ней).
*Срабатывает только в жаркую погоду, но позже, когда в будущих обновлениях появится фут"&amp;"болка, срабатывать можно будет и ночью.")</f>
        <v>Особые взаимодействия
*В настоящее время это находится на предварительной стадии, поэтому некоторые элементы ещё не полностью реализованы (например, рисование на ней).
*Срабатывает только в жаркую погоду, но позже, когда в будущих обновлениях появится футболка, срабатывать можно будет и ночью.</v>
      </c>
      <c r="AC91" s="116">
        <v>4.0</v>
      </c>
      <c r="AD91" s="88" t="s">
        <v>1771</v>
      </c>
      <c r="AE91" s="89" t="s">
        <v>1772</v>
      </c>
      <c r="AF91" s="55" t="s">
        <v>1773</v>
      </c>
      <c r="AG91" s="119">
        <v>4.0</v>
      </c>
      <c r="AH91" s="120" t="s">
        <v>1774</v>
      </c>
      <c r="AI91" s="121" t="s">
        <v>1775</v>
      </c>
      <c r="AJ91" s="122" t="s">
        <v>1776</v>
      </c>
      <c r="AK91" s="55"/>
      <c r="AL91" s="55"/>
      <c r="AM91" s="55"/>
      <c r="AN91" s="55"/>
      <c r="AO91" s="55"/>
    </row>
    <row r="92">
      <c r="A92" s="115">
        <v>5.0</v>
      </c>
      <c r="B92" s="98" t="s">
        <v>1777</v>
      </c>
      <c r="C92" s="95" t="s">
        <v>1778</v>
      </c>
      <c r="D92" s="52" t="s">
        <v>1779</v>
      </c>
      <c r="E92" s="115">
        <v>5.0</v>
      </c>
      <c r="F92" s="98" t="s">
        <v>1780</v>
      </c>
      <c r="G92" s="95" t="s">
        <v>1781</v>
      </c>
      <c r="H92" s="52" t="s">
        <v>1782</v>
      </c>
      <c r="I92" s="115">
        <v>5.0</v>
      </c>
      <c r="J92" s="98" t="s">
        <v>1783</v>
      </c>
      <c r="K92" s="95" t="s">
        <v>1784</v>
      </c>
      <c r="L92" s="52" t="s">
        <v>1785</v>
      </c>
      <c r="M92" s="115">
        <v>5.0</v>
      </c>
      <c r="N92" s="88" t="str">
        <f>IFERROR(__xludf.DUMMYFUNCTION("GOOGLETRANSLATE(B92,""zh-tw"",""zh"")"),"提前回家也是件好事-1")</f>
        <v>提前回家也是件好事-1</v>
      </c>
      <c r="O92" s="89" t="str">
        <f>IFERROR(__xludf.DUMMYFUNCTION("GOOGLETRANSLATE(C92,""zh-tw"",""zh"")"),"炎热天气并且拥有电风扇时，提前回家后选择去偷看妹妹")</f>
        <v>炎热天气并且拥有电风扇时，提前回家后选择去偷看妹妹</v>
      </c>
      <c r="P92" s="55" t="str">
        <f>IFERROR(__xludf.DUMMYFUNCTION("GOOGLETRANSLATE(D92,""zh-tw"",""zh"")"),"妹妹穿着服饰吹电风扇")</f>
        <v>妹妹穿着服饰吹电风扇</v>
      </c>
      <c r="Q92" s="116">
        <v>5.0</v>
      </c>
      <c r="R92" s="88" t="str">
        <f>IFERROR(__xludf.DUMMYFUNCTION("GOOGLETRANSLATE(B92,""zh-tw"",""es-mx"")"),"Irse temprano a casa también es algo bueno -1")</f>
        <v>Irse temprano a casa también es algo bueno -1</v>
      </c>
      <c r="S92" s="89" t="str">
        <f>IFERROR(__xludf.DUMMYFUNCTION("GOOGLETRANSLATE(C92,""zh-tw"",""es-mx"")"),"Cuando hace calor y hay un ventilador eléctrico, me voy a casa temprano y espío a mi hermana pequeña.")</f>
        <v>Cuando hace calor y hay un ventilador eléctrico, me voy a casa temprano y espío a mi hermana pequeña.</v>
      </c>
      <c r="T92" s="55" t="str">
        <f>IFERROR(__xludf.DUMMYFUNCTION("GOOGLETRANSLATE(D92,""zh-tw"",""es-mx"")"),"Mi hermana menor llevaba ropa y estaba usando un ventilador eléctrico.")</f>
        <v>Mi hermana menor llevaba ropa y estaba usando un ventilador eléctrico.</v>
      </c>
      <c r="U92" s="116">
        <v>5.0</v>
      </c>
      <c r="V92" s="88" t="str">
        <f>IFERROR(__xludf.DUMMYFUNCTION("GOOGLETRANSLATE(B92,""zh-tw"",""KO"")"),"일찍 집에 가는 것도 좋은 일이에요 -1")</f>
        <v>일찍 집에 가는 것도 좋은 일이에요 -1</v>
      </c>
      <c r="W92" s="89" t="str">
        <f>IFERROR(__xludf.DUMMYFUNCTION("GOOGLETRANSLATE(C92,""zh-tw"",""KO"")"),"날씨가 더워서 선풍기가 있으면 일찍 집에 가서 여동생을 몰래 엿보곤 했습니다.")</f>
        <v>날씨가 더워서 선풍기가 있으면 일찍 집에 가서 여동생을 몰래 엿보곤 했습니다.</v>
      </c>
      <c r="X92" s="55" t="str">
        <f>IFERROR(__xludf.DUMMYFUNCTION("GOOGLETRANSLATE(D92,""zh-tw"",""KO"")"),"내 여동생은 옷을 입고 선풍기를 불고 있었습니다.")</f>
        <v>내 여동생은 옷을 입고 선풍기를 불고 있었습니다.</v>
      </c>
      <c r="Y92" s="116">
        <v>5.0</v>
      </c>
      <c r="Z92" s="103" t="str">
        <f>IFERROR(__xludf.DUMMYFUNCTION("IF(J92="""", """", GOOGLETRANSLATE(
J92,""en"",""ru""))"),"Возвращаюсь домой пораньше - 1")</f>
        <v>Возвращаюсь домой пораньше - 1</v>
      </c>
      <c r="AA92" s="104" t="str">
        <f>IFERROR(__xludf.DUMMYFUNCTION("IF(K92="""", """", GOOGLETRANSLATE(K92,""en"",""RU""))"),"В жаркие дни вы можете прийти домой пораньше и подкрасться к Имото (необходим электрический вентилятор).")</f>
        <v>В жаркие дни вы можете прийти домой пораньше и подкрасться к Имото (необходим электрический вентилятор).</v>
      </c>
      <c r="AB92" s="44" t="str">
        <f>IFERROR(__xludf.DUMMYFUNCTION("IF(L92="""", """", GOOGLETRANSLATE(L92, ""en"", ""ru""))
"),"Имото носит футболку и использует электрический вентилятор.")</f>
        <v>Имото носит футболку и использует электрический вентилятор.</v>
      </c>
      <c r="AC92" s="116">
        <v>5.0</v>
      </c>
      <c r="AD92" s="98" t="s">
        <v>1786</v>
      </c>
      <c r="AE92" s="95" t="s">
        <v>1787</v>
      </c>
      <c r="AF92" s="52" t="s">
        <v>1788</v>
      </c>
      <c r="AG92" s="126">
        <v>5.0</v>
      </c>
      <c r="AH92" s="105" t="s">
        <v>1789</v>
      </c>
      <c r="AI92" s="100" t="s">
        <v>1790</v>
      </c>
      <c r="AJ92" s="101" t="s">
        <v>1791</v>
      </c>
      <c r="AK92" s="55"/>
      <c r="AL92" s="55"/>
      <c r="AM92" s="55"/>
      <c r="AN92" s="55"/>
      <c r="AO92" s="55"/>
    </row>
    <row r="93">
      <c r="A93" s="115">
        <v>6.0</v>
      </c>
      <c r="B93" s="98" t="s">
        <v>1792</v>
      </c>
      <c r="C93" s="95" t="s">
        <v>1793</v>
      </c>
      <c r="D93" s="52" t="s">
        <v>1794</v>
      </c>
      <c r="E93" s="115">
        <v>6.0</v>
      </c>
      <c r="F93" s="98" t="s">
        <v>1795</v>
      </c>
      <c r="G93" s="95" t="s">
        <v>1796</v>
      </c>
      <c r="H93" s="52" t="s">
        <v>1797</v>
      </c>
      <c r="I93" s="115">
        <v>6.0</v>
      </c>
      <c r="J93" s="98" t="s">
        <v>1798</v>
      </c>
      <c r="K93" s="95" t="s">
        <v>1799</v>
      </c>
      <c r="L93" s="52" t="s">
        <v>1800</v>
      </c>
      <c r="M93" s="115">
        <v>6.0</v>
      </c>
      <c r="N93" s="88" t="str">
        <f>IFERROR(__xludf.DUMMYFUNCTION("GOOGLETRANSLATE(B93,""zh-tw"",""zh"")"),"提前回家也是件好事-2")</f>
        <v>提前回家也是件好事-2</v>
      </c>
      <c r="O93" s="89" t="str">
        <f>IFERROR(__xludf.DUMMYFUNCTION("GOOGLETRANSLATE(C93,""zh-tw"",""zh"")"),"同上，偷看妹妹时，有机率出现")</f>
        <v>同上，偷看妹妹时，有机率出现</v>
      </c>
      <c r="P93" s="55" t="str">
        <f>IFERROR(__xludf.DUMMYFUNCTION("GOOGLETRANSLATE(D93,""zh-tw"",""zh"")"),"妹妹无穿着底裤吹电风扇")</f>
        <v>妹妹无穿着底裤吹电风扇</v>
      </c>
      <c r="Q93" s="116">
        <v>6.0</v>
      </c>
      <c r="R93" s="88" t="str">
        <f>IFERROR(__xludf.DUMMYFUNCTION("GOOGLETRANSLATE(B93,""zh-tw"",""es-mx"")"),"Irse temprano a casa también es algo bueno - 2")</f>
        <v>Irse temprano a casa también es algo bueno - 2</v>
      </c>
      <c r="S93" s="89" t="str">
        <f>IFERROR(__xludf.DUMMYFUNCTION("GOOGLETRANSLATE(C93,""zh-tw"",""es-mx"")"),"Del mismo modo, al espiar a su hermana menor, existe la posibilidad de que...")</f>
        <v>Del mismo modo, al espiar a su hermana menor, existe la posibilidad de que...</v>
      </c>
      <c r="T93" s="55" t="str">
        <f>IFERROR(__xludf.DUMMYFUNCTION("GOOGLETRANSLATE(D93,""zh-tw"",""es-mx"")"),"Mi hermana menor no llevaba ropa interior mientras la abanicaba un ventilador eléctrico.")</f>
        <v>Mi hermana menor no llevaba ropa interior mientras la abanicaba un ventilador eléctrico.</v>
      </c>
      <c r="U93" s="116">
        <v>6.0</v>
      </c>
      <c r="V93" s="88" t="str">
        <f>IFERROR(__xludf.DUMMYFUNCTION("GOOGLETRANSLATE(B93,""zh-tw"",""KO"")"),"일찍 집에 가는 것도 좋은 일이에요 - 2")</f>
        <v>일찍 집에 가는 것도 좋은 일이에요 - 2</v>
      </c>
      <c r="W93" s="89" t="str">
        <f>IFERROR(__xludf.DUMMYFUNCTION("GOOGLETRANSLATE(C93,""zh-tw"",""KO"")"),"마찬가지로, 여동생을 엿볼 때도 이런 일이 일어날 가능성이 있습니다...")</f>
        <v>마찬가지로, 여동생을 엿볼 때도 이런 일이 일어날 가능성이 있습니다...</v>
      </c>
      <c r="X93" s="55" t="str">
        <f>IFERROR(__xludf.DUMMYFUNCTION("GOOGLETRANSLATE(D93,""zh-tw"",""KO"")"),"내 여동생은 전기선풍기를 틀면서 속옷도 입지 않았습니다.")</f>
        <v>내 여동생은 전기선풍기를 틀면서 속옷도 입지 않았습니다.</v>
      </c>
      <c r="Y93" s="116">
        <v>6.0</v>
      </c>
      <c r="Z93" s="103" t="str">
        <f>IFERROR(__xludf.DUMMYFUNCTION("IF(J93="""", """", GOOGLETRANSLATE(
J93,""en"",""ru""))"),"Возвращаюсь домой пораньше - 2")</f>
        <v>Возвращаюсь домой пораньше - 2</v>
      </c>
      <c r="AA93" s="104" t="str">
        <f>IFERROR(__xludf.DUMMYFUNCTION("IF(K93="""", """", GOOGLETRANSLATE(K93,""en"",""RU""))"),"Как и в случае с предыдущим, существует вероятность, что это событие произойдет.")</f>
        <v>Как и в случае с предыдущим, существует вероятность, что это событие произойдет.</v>
      </c>
      <c r="AB93" s="44" t="str">
        <f>IFERROR(__xludf.DUMMYFUNCTION("IF(L93="""", """", GOOGLETRANSLATE(L93, ""en"", ""ru""))
"),"Имото обдувает промежность, и на ней нет нижнего белья.")</f>
        <v>Имото обдувает промежность, и на ней нет нижнего белья.</v>
      </c>
      <c r="AC93" s="116">
        <v>6.0</v>
      </c>
      <c r="AD93" s="98" t="s">
        <v>1801</v>
      </c>
      <c r="AE93" s="95" t="s">
        <v>1802</v>
      </c>
      <c r="AF93" s="52" t="s">
        <v>1803</v>
      </c>
      <c r="AG93" s="126">
        <v>6.0</v>
      </c>
      <c r="AH93" s="105" t="s">
        <v>1804</v>
      </c>
      <c r="AI93" s="100" t="s">
        <v>1805</v>
      </c>
      <c r="AJ93" s="101" t="s">
        <v>1806</v>
      </c>
      <c r="AK93" s="55"/>
      <c r="AL93" s="55"/>
      <c r="AM93" s="55"/>
      <c r="AN93" s="55"/>
      <c r="AO93" s="55"/>
    </row>
    <row r="94">
      <c r="A94" s="115">
        <v>7.0</v>
      </c>
      <c r="B94" s="98" t="s">
        <v>1807</v>
      </c>
      <c r="C94" s="95" t="s">
        <v>1808</v>
      </c>
      <c r="D94" s="52" t="s">
        <v>1809</v>
      </c>
      <c r="E94" s="115">
        <v>7.0</v>
      </c>
      <c r="F94" s="98" t="s">
        <v>1810</v>
      </c>
      <c r="G94" s="95" t="s">
        <v>1811</v>
      </c>
      <c r="H94" s="52" t="s">
        <v>1812</v>
      </c>
      <c r="I94" s="115">
        <v>7.0</v>
      </c>
      <c r="J94" s="98" t="s">
        <v>1813</v>
      </c>
      <c r="K94" s="95" t="s">
        <v>1814</v>
      </c>
      <c r="L94" s="52" t="s">
        <v>1815</v>
      </c>
      <c r="M94" s="115">
        <v>7.0</v>
      </c>
      <c r="N94" s="88" t="str">
        <f>IFERROR(__xludf.DUMMYFUNCTION("GOOGLETRANSLATE(B94,""zh-tw"",""zh"")"),"提前回家也是件好事-3")</f>
        <v>提前回家也是件好事-3</v>
      </c>
      <c r="O94" s="89" t="str">
        <f>IFERROR(__xludf.DUMMYFUNCTION("GOOGLETRANSLATE(C94,""zh-tw"",""zh"")"),"同上，妹妹紫心以及性欲高的时候，有机率出现")</f>
        <v>同上，妹妹紫心以及性欲高的时候，有机率出现</v>
      </c>
      <c r="P94" s="55" t="str">
        <f>IFERROR(__xludf.DUMMYFUNCTION("GOOGLETRANSLATE(D94,""zh-tw"",""zh"")"),"妹妹使用冰棒(未实装)")</f>
        <v>妹妹使用冰棒(未实装)</v>
      </c>
      <c r="Q94" s="116">
        <v>7.0</v>
      </c>
      <c r="R94" s="88" t="str">
        <f>IFERROR(__xludf.DUMMYFUNCTION("GOOGLETRANSLATE(B94,""zh-tw"",""es-mx"")"),"Volver temprano a casa también es algo bueno -3")</f>
        <v>Volver temprano a casa también es algo bueno -3</v>
      </c>
      <c r="S94" s="89" t="str">
        <f>IFERROR(__xludf.DUMMYFUNCTION("GOOGLETRANSLATE(C94,""zh-tw"",""es-mx"")"),"Del mismo modo, cuando la hermana menor tiene una condecoración militar y un alto deseo sexual, existe la posibilidad de que...")</f>
        <v>Del mismo modo, cuando la hermana menor tiene una condecoración militar y un alto deseo sexual, existe la posibilidad de que...</v>
      </c>
      <c r="T94" s="55" t="str">
        <f>IFERROR(__xludf.DUMMYFUNCTION("GOOGLETRANSLATE(D94,""zh-tw"",""es-mx"")"),"La hermana menor usa una paleta de hielo (aún no implementado).")</f>
        <v>La hermana menor usa una paleta de hielo (aún no implementado).</v>
      </c>
      <c r="U94" s="116">
        <v>7.0</v>
      </c>
      <c r="V94" s="88" t="str">
        <f>IFERROR(__xludf.DUMMYFUNCTION("GOOGLETRANSLATE(B94,""zh-tw"",""KO"")"),"일찍 집에 가는 것도 좋은 일이에요 -3")</f>
        <v>일찍 집에 가는 것도 좋은 일이에요 -3</v>
      </c>
      <c r="W94" s="89" t="str">
        <f>IFERROR(__xludf.DUMMYFUNCTION("GOOGLETRANSLATE(C94,""zh-tw"",""KO"")"),"마찬가지로 여동생이 보라색 심장과 높은 성욕을 가지고 있다면...")</f>
        <v>마찬가지로 여동생이 보라색 심장과 높은 성욕을 가지고 있다면...</v>
      </c>
      <c r="X94" s="55" t="str">
        <f>IFERROR(__xludf.DUMMYFUNCTION("GOOGLETRANSLATE(D94,""zh-tw"",""KO"")"),"여동생은 아이스 팝을 사용합니다(아직 구현되지 않음).")</f>
        <v>여동생은 아이스 팝을 사용합니다(아직 구현되지 않음).</v>
      </c>
      <c r="Y94" s="116">
        <v>7.0</v>
      </c>
      <c r="Z94" s="103" t="str">
        <f>IFERROR(__xludf.DUMMYFUNCTION("IF(J94="""", """", GOOGLETRANSLATE(
J94,""en"",""ru""))"),"Возвращаюсь домой пораньше - 3")</f>
        <v>Возвращаюсь домой пораньше - 3</v>
      </c>
      <c r="AA94" s="104" t="str">
        <f>IFERROR(__xludf.DUMMYFUNCTION("IF(K94="""", """", GOOGLETRANSLATE(K94,""en"",""RU""))"),"Подобно вышесказанному, есть вероятность, что это произойдет, даже если у Имото высокое фиолетовое сердце.")</f>
        <v>Подобно вышесказанному, есть вероятность, что это произойдет, даже если у Имото высокое фиолетовое сердце.</v>
      </c>
      <c r="AB94" s="44" t="str">
        <f>IFERROR(__xludf.DUMMYFUNCTION("IF(L94="""", """", GOOGLETRANSLATE(L94, ""en"", ""ru""))
"),"Имото использует эскимо на себе (пока не реализовано)")</f>
        <v>Имото использует эскимо на себе (пока не реализовано)</v>
      </c>
      <c r="AC94" s="116">
        <v>7.0</v>
      </c>
      <c r="AD94" s="98" t="s">
        <v>1816</v>
      </c>
      <c r="AE94" s="95" t="s">
        <v>1817</v>
      </c>
      <c r="AF94" s="52" t="s">
        <v>1818</v>
      </c>
      <c r="AG94" s="126">
        <v>7.0</v>
      </c>
      <c r="AH94" s="105" t="s">
        <v>1819</v>
      </c>
      <c r="AI94" s="100" t="s">
        <v>1820</v>
      </c>
      <c r="AJ94" s="101" t="s">
        <v>1821</v>
      </c>
      <c r="AK94" s="55"/>
      <c r="AL94" s="55"/>
      <c r="AM94" s="55"/>
      <c r="AN94" s="55"/>
      <c r="AO94" s="55"/>
    </row>
    <row r="95">
      <c r="A95" s="115">
        <v>8.0</v>
      </c>
      <c r="B95" s="98" t="s">
        <v>1822</v>
      </c>
      <c r="C95" s="95" t="s">
        <v>1823</v>
      </c>
      <c r="D95" s="52" t="s">
        <v>1824</v>
      </c>
      <c r="E95" s="115">
        <v>8.0</v>
      </c>
      <c r="F95" s="98" t="s">
        <v>1825</v>
      </c>
      <c r="G95" s="95" t="s">
        <v>1826</v>
      </c>
      <c r="H95" s="52" t="s">
        <v>1827</v>
      </c>
      <c r="I95" s="115">
        <v>8.0</v>
      </c>
      <c r="J95" s="98" t="s">
        <v>1828</v>
      </c>
      <c r="K95" s="95" t="s">
        <v>1829</v>
      </c>
      <c r="L95" s="52" t="s">
        <v>1830</v>
      </c>
      <c r="M95" s="115">
        <v>8.0</v>
      </c>
      <c r="N95" s="88" t="str">
        <f>IFERROR(__xludf.DUMMYFUNCTION("GOOGLETRANSLATE(B95,""zh-tw"",""zh"")"),"提前回家也是件好事-4")</f>
        <v>提前回家也是件好事-4</v>
      </c>
      <c r="O95" s="89" t="str">
        <f>IFERROR(__xludf.DUMMYFUNCTION("GOOGLETRANSLATE(C95,""zh-tw"",""zh"")"),"在与妹妹的对话中，进行裸族教育之后，有可能出现")</f>
        <v>在与妹妹的对话中，进行裸族教育之后，有可能出现</v>
      </c>
      <c r="P95" s="55" t="str">
        <f>IFERROR(__xludf.DUMMYFUNCTION("GOOGLETRANSLATE(D95,""zh-tw"",""zh"")"),"裸族妹妹(未实装)")</f>
        <v>裸族妹妹(未实装)</v>
      </c>
      <c r="Q95" s="116">
        <v>8.0</v>
      </c>
      <c r="R95" s="88" t="str">
        <f>IFERROR(__xludf.DUMMYFUNCTION("GOOGLETRANSLATE(B95,""zh-tw"",""es-mx"")"),"Volver temprano a casa también es algo bueno - 4")</f>
        <v>Volver temprano a casa también es algo bueno - 4</v>
      </c>
      <c r="S95" s="89" t="str">
        <f>IFERROR(__xludf.DUMMYFUNCTION("GOOGLETRANSLATE(C95,""zh-tw"",""es-mx"")"),"Durante una conversación con su hermana menor, se mencionó que después de recibir educación nudista, podría ocurrir lo siguiente:")</f>
        <v>Durante una conversación con su hermana menor, se mencionó que después de recibir educación nudista, podría ocurrir lo siguiente:</v>
      </c>
      <c r="T95" s="55" t="str">
        <f>IFERROR(__xludf.DUMMYFUNCTION("GOOGLETRANSLATE(D95,""zh-tw"",""es-mx"")"),"Hermana del clan desnuda (Aún no implementada)")</f>
        <v>Hermana del clan desnuda (Aún no implementada)</v>
      </c>
      <c r="U95" s="116">
        <v>8.0</v>
      </c>
      <c r="V95" s="88" t="str">
        <f>IFERROR(__xludf.DUMMYFUNCTION("GOOGLETRANSLATE(B95,""zh-tw"",""KO"")"),"일찍 집에 가는 것도 좋은 일이에요 - 4")</f>
        <v>일찍 집에 가는 것도 좋은 일이에요 - 4</v>
      </c>
      <c r="W95" s="89" t="str">
        <f>IFERROR(__xludf.DUMMYFUNCTION("GOOGLETRANSLATE(C95,""zh-tw"",""KO"")"),"여동생과 대화하는 동안 누디스트 교육을 받은 후에는 다음과 같은 일이 일어날 수 있다고 언급되었습니다.")</f>
        <v>여동생과 대화하는 동안 누디스트 교육을 받은 후에는 다음과 같은 일이 일어날 수 있다고 언급되었습니다.</v>
      </c>
      <c r="X95" s="55" t="str">
        <f>IFERROR(__xludf.DUMMYFUNCTION("GOOGLETRANSLATE(D95,""zh-tw"",""KO"")"),"Naked Clan Sister (아직 구현되지 않음)")</f>
        <v>Naked Clan Sister (아직 구현되지 않음)</v>
      </c>
      <c r="Y95" s="116">
        <v>8.0</v>
      </c>
      <c r="Z95" s="103" t="str">
        <f>IFERROR(__xludf.DUMMYFUNCTION("IF(J95="""", """", GOOGLETRANSLATE(
J95,""en"",""ru""))"),"Возвращаюсь домой пораньше - 4")</f>
        <v>Возвращаюсь домой пораньше - 4</v>
      </c>
      <c r="AA95" s="104" t="str">
        <f>IFERROR(__xludf.DUMMYFUNCTION("IF(K95="""", """", GOOGLETRANSLATE(K95,""en"",""RU""))"),"При разговоре с Имото о непристойных вещах есть вероятность, что произойдет это событие.")</f>
        <v>При разговоре с Имото о непристойных вещах есть вероятность, что произойдет это событие.</v>
      </c>
      <c r="AB95" s="44" t="str">
        <f>IFERROR(__xludf.DUMMYFUNCTION("IF(L95="""", """", GOOGLETRANSLATE(L95, ""en"", ""ru""))
"),"Имото разденется (пока не реализовано)")</f>
        <v>Имото разденется (пока не реализовано)</v>
      </c>
      <c r="AC95" s="116">
        <v>8.0</v>
      </c>
      <c r="AD95" s="98" t="s">
        <v>1831</v>
      </c>
      <c r="AE95" s="95" t="s">
        <v>1832</v>
      </c>
      <c r="AF95" s="52" t="s">
        <v>1833</v>
      </c>
      <c r="AG95" s="126">
        <v>8.0</v>
      </c>
      <c r="AH95" s="105" t="s">
        <v>1834</v>
      </c>
      <c r="AI95" s="100" t="s">
        <v>1835</v>
      </c>
      <c r="AJ95" s="101" t="s">
        <v>1836</v>
      </c>
      <c r="AK95" s="55"/>
      <c r="AL95" s="55"/>
      <c r="AM95" s="55"/>
      <c r="AN95" s="55"/>
      <c r="AO95" s="55"/>
    </row>
    <row r="96">
      <c r="A96" s="17"/>
      <c r="B96" s="46"/>
      <c r="C96" s="46"/>
      <c r="D96" s="46"/>
      <c r="E96" s="17"/>
      <c r="F96" s="46"/>
      <c r="G96" s="46"/>
      <c r="H96" s="46"/>
      <c r="I96" s="17"/>
      <c r="J96" s="46"/>
      <c r="K96" s="46"/>
      <c r="L96" s="46"/>
      <c r="M96" s="17"/>
      <c r="N96" s="46"/>
      <c r="O96" s="46"/>
      <c r="P96" s="46"/>
      <c r="Q96" s="46"/>
      <c r="R96" s="46"/>
      <c r="S96" s="46"/>
      <c r="T96" s="46"/>
      <c r="U96" s="46"/>
      <c r="V96" s="46"/>
      <c r="W96" s="46"/>
      <c r="X96" s="46"/>
      <c r="Y96" s="46"/>
      <c r="Z96" s="46"/>
      <c r="AA96" s="46"/>
      <c r="AB96" s="46"/>
      <c r="AC96" s="46"/>
      <c r="AD96" s="46"/>
      <c r="AE96" s="46"/>
      <c r="AF96" s="46"/>
      <c r="AG96" s="123"/>
      <c r="AH96" s="123"/>
      <c r="AI96" s="123"/>
      <c r="AJ96" s="123"/>
      <c r="AK96" s="46"/>
      <c r="AL96" s="46"/>
      <c r="AM96" s="46"/>
      <c r="AN96" s="46"/>
      <c r="AO96" s="46"/>
    </row>
    <row r="97">
      <c r="A97" s="80" t="s">
        <v>1837</v>
      </c>
      <c r="B97" s="127" t="s">
        <v>1838</v>
      </c>
      <c r="E97" s="80" t="s">
        <v>1837</v>
      </c>
      <c r="F97" s="128" t="s">
        <v>1839</v>
      </c>
      <c r="I97" s="80" t="s">
        <v>1837</v>
      </c>
      <c r="J97" s="128" t="s">
        <v>1840</v>
      </c>
      <c r="M97" s="80" t="s">
        <v>1837</v>
      </c>
      <c r="N97" s="128" t="str">
        <f>IFERROR(__xludf.DUMMYFUNCTION("GOOGLETRANSLATE(B97,""zh-tw"",""zh"")"),"夜袭相关")</f>
        <v>夜袭相关</v>
      </c>
      <c r="Q97" s="128" t="s">
        <v>1837</v>
      </c>
      <c r="R97" s="128" t="s">
        <v>1841</v>
      </c>
      <c r="U97" s="128" t="s">
        <v>1837</v>
      </c>
      <c r="V97" s="128" t="s">
        <v>1842</v>
      </c>
      <c r="Y97" s="128" t="s">
        <v>1837</v>
      </c>
      <c r="Z97" s="128" t="s">
        <v>1843</v>
      </c>
      <c r="AC97" s="128" t="s">
        <v>1837</v>
      </c>
      <c r="AD97" s="128" t="s">
        <v>1844</v>
      </c>
      <c r="AG97" s="129" t="s">
        <v>1837</v>
      </c>
      <c r="AH97" s="130" t="s">
        <v>1845</v>
      </c>
      <c r="AK97" s="127"/>
      <c r="AL97" s="127"/>
      <c r="AM97" s="127"/>
      <c r="AN97" s="127"/>
      <c r="AO97" s="127"/>
    </row>
    <row r="98">
      <c r="A98" s="115">
        <v>1.0</v>
      </c>
      <c r="B98" s="88" t="s">
        <v>1846</v>
      </c>
      <c r="C98" s="89" t="s">
        <v>1847</v>
      </c>
      <c r="D98" s="55" t="s">
        <v>1848</v>
      </c>
      <c r="E98" s="115">
        <v>1.0</v>
      </c>
      <c r="F98" s="88" t="s">
        <v>1849</v>
      </c>
      <c r="G98" s="89" t="s">
        <v>1850</v>
      </c>
      <c r="H98" s="55" t="s">
        <v>1851</v>
      </c>
      <c r="I98" s="115">
        <v>1.0</v>
      </c>
      <c r="J98" s="88" t="s">
        <v>1852</v>
      </c>
      <c r="K98" s="89" t="s">
        <v>1853</v>
      </c>
      <c r="L98" s="55" t="s">
        <v>1854</v>
      </c>
      <c r="M98" s="115">
        <v>1.0</v>
      </c>
      <c r="N98" s="88" t="str">
        <f>IFERROR(__xludf.DUMMYFUNCTION("GOOGLETRANSLATE(B98,""zh-tw"",""zh"")"),"气息消除-3")</f>
        <v>气息消除-3</v>
      </c>
      <c r="O98" s="89" t="str">
        <f>IFERROR(__xludf.DUMMYFUNCTION("GOOGLETRANSLATE(C98,""zh-tw"",""zh"")"),"夜袭相关选项")</f>
        <v>夜袭相关选项</v>
      </c>
      <c r="P98" s="55" t="str">
        <f>IFERROR(__xludf.DUMMYFUNCTION("GOOGLETRANSLATE(D98,""zh-tw"",""zh"")"),"未实装
待夜袭场景重制")</f>
        <v>未实装
待夜袭场景重制</v>
      </c>
      <c r="Q98" s="116">
        <v>1.0</v>
      </c>
      <c r="R98" s="98" t="s">
        <v>1855</v>
      </c>
      <c r="S98" s="95" t="s">
        <v>1856</v>
      </c>
      <c r="T98" s="52" t="s">
        <v>1857</v>
      </c>
      <c r="U98" s="116">
        <v>1.0</v>
      </c>
      <c r="V98" s="88" t="str">
        <f>IFERROR(__xludf.DUMMYFUNCTION("GOOGLETRANSLATE(B98,""zh-tw"",""KO"")"),"냄새 제거 -3")</f>
        <v>냄새 제거 -3</v>
      </c>
      <c r="W98" s="89" t="str">
        <f>IFERROR(__xludf.DUMMYFUNCTION("GOOGLETRANSLATE(C98,""zh-tw"",""KO"")"),"야간 습격 관련 옵션")</f>
        <v>야간 습격 관련 옵션</v>
      </c>
      <c r="X98" s="55" t="str">
        <f>IFERROR(__xludf.DUMMYFUNCTION("GOOGLETRANSLATE(D98,""zh-tw"",""KO"")"),"아직 구현되지 않음. 야간 습격 장면을 리메이크하는 것을 기다리고 있습니다.")</f>
        <v>아직 구현되지 않음. 야간 습격 장면을 리메이크하는 것을 기다리고 있습니다.</v>
      </c>
      <c r="Y98" s="116">
        <v>1.0</v>
      </c>
      <c r="Z98" s="103" t="str">
        <f>IFERROR(__xludf.DUMMYFUNCTION("IF(J98="""", """", GOOGLETRANSLATE(
J98,""en"",""ru""))"),"Сокрытие дыхания-3")</f>
        <v>Сокрытие дыхания-3</v>
      </c>
      <c r="AA98" s="104" t="str">
        <f>IFERROR(__xludf.DUMMYFUNCTION("IF(K98="""", """", GOOGLETRANSLATE(K98,""en"",""RU""))"),"Новая опция будет доступна во время ночных рейдов.")</f>
        <v>Новая опция будет доступна во время ночных рейдов.</v>
      </c>
      <c r="AB98" s="44" t="str">
        <f>IFERROR(__xludf.DUMMYFUNCTION("IF(L98="""", """", GOOGLETRANSLATE(L98, ""en"", ""ru""))
"),"*Пока не реализовано. Пожалуйста, дождитесь переработки ночных рейдов.")</f>
        <v>*Пока не реализовано. Пожалуйста, дождитесь переработки ночных рейдов.</v>
      </c>
      <c r="AC98" s="116">
        <v>1.0</v>
      </c>
      <c r="AD98" s="88" t="s">
        <v>1858</v>
      </c>
      <c r="AE98" s="89" t="s">
        <v>1859</v>
      </c>
      <c r="AF98" s="55" t="s">
        <v>936</v>
      </c>
      <c r="AG98" s="119">
        <v>1.0</v>
      </c>
      <c r="AH98" s="120" t="s">
        <v>1860</v>
      </c>
      <c r="AI98" s="121" t="s">
        <v>1861</v>
      </c>
      <c r="AJ98" s="122" t="s">
        <v>1862</v>
      </c>
      <c r="AK98" s="55"/>
      <c r="AL98" s="55"/>
      <c r="AM98" s="55"/>
      <c r="AN98" s="55"/>
      <c r="AO98" s="55"/>
    </row>
    <row r="99">
      <c r="A99" s="17"/>
      <c r="B99" s="46"/>
      <c r="C99" s="46"/>
      <c r="D99" s="46"/>
      <c r="E99" s="17"/>
      <c r="F99" s="46"/>
      <c r="G99" s="46"/>
      <c r="H99" s="46"/>
      <c r="I99" s="17"/>
      <c r="J99" s="46"/>
      <c r="K99" s="46"/>
      <c r="L99" s="46"/>
      <c r="M99" s="17"/>
      <c r="N99" s="46"/>
      <c r="O99" s="46"/>
      <c r="P99" s="46"/>
      <c r="Q99" s="46"/>
      <c r="R99" s="46"/>
      <c r="S99" s="46"/>
      <c r="T99" s="46"/>
      <c r="U99" s="46"/>
      <c r="V99" s="46"/>
      <c r="W99" s="46"/>
      <c r="X99" s="46"/>
      <c r="Y99" s="46"/>
      <c r="Z99" s="46"/>
      <c r="AA99" s="46"/>
      <c r="AB99" s="46"/>
      <c r="AC99" s="46"/>
      <c r="AD99" s="46"/>
      <c r="AE99" s="46"/>
      <c r="AF99" s="46"/>
      <c r="AG99" s="123"/>
      <c r="AH99" s="123"/>
      <c r="AI99" s="123"/>
      <c r="AJ99" s="123"/>
      <c r="AK99" s="46"/>
      <c r="AL99" s="46"/>
      <c r="AM99" s="46"/>
      <c r="AN99" s="46"/>
      <c r="AO99" s="46"/>
    </row>
    <row r="100">
      <c r="A100" s="17"/>
      <c r="B100" s="46"/>
      <c r="C100" s="46"/>
      <c r="D100" s="46"/>
      <c r="E100" s="17"/>
      <c r="F100" s="46"/>
      <c r="G100" s="46"/>
      <c r="H100" s="46"/>
      <c r="I100" s="17"/>
      <c r="J100" s="46"/>
      <c r="K100" s="46"/>
      <c r="L100" s="46"/>
      <c r="M100" s="17"/>
      <c r="N100" s="46"/>
      <c r="O100" s="46"/>
      <c r="P100" s="46"/>
      <c r="Q100" s="46"/>
      <c r="R100" s="46"/>
      <c r="S100" s="46"/>
      <c r="T100" s="46"/>
      <c r="U100" s="46"/>
      <c r="V100" s="46"/>
      <c r="W100" s="46"/>
      <c r="X100" s="46"/>
      <c r="Y100" s="46"/>
      <c r="Z100" s="46"/>
      <c r="AA100" s="46"/>
      <c r="AB100" s="46"/>
      <c r="AC100" s="46"/>
      <c r="AD100" s="46"/>
      <c r="AE100" s="46"/>
      <c r="AF100" s="46"/>
      <c r="AG100" s="123"/>
      <c r="AH100" s="123"/>
      <c r="AI100" s="123"/>
      <c r="AJ100" s="123"/>
      <c r="AK100" s="46"/>
      <c r="AL100" s="46"/>
      <c r="AM100" s="46"/>
      <c r="AN100" s="46"/>
      <c r="AO100" s="46"/>
    </row>
    <row r="101">
      <c r="A101" s="17"/>
      <c r="B101" s="46"/>
      <c r="C101" s="46"/>
      <c r="D101" s="46"/>
      <c r="E101" s="17"/>
      <c r="F101" s="46"/>
      <c r="G101" s="46"/>
      <c r="H101" s="46"/>
      <c r="I101" s="17"/>
      <c r="J101" s="46"/>
      <c r="K101" s="46"/>
      <c r="L101" s="46"/>
      <c r="M101" s="17"/>
      <c r="N101" s="46"/>
      <c r="O101" s="46"/>
      <c r="P101" s="46"/>
      <c r="Q101" s="46"/>
      <c r="R101" s="46"/>
      <c r="S101" s="46"/>
      <c r="T101" s="46"/>
      <c r="U101" s="46"/>
      <c r="V101" s="46"/>
      <c r="W101" s="46"/>
      <c r="X101" s="46"/>
      <c r="Y101" s="46"/>
      <c r="Z101" s="46"/>
      <c r="AA101" s="46"/>
      <c r="AB101" s="46"/>
      <c r="AC101" s="46"/>
      <c r="AD101" s="46"/>
      <c r="AE101" s="46"/>
      <c r="AF101" s="46"/>
      <c r="AG101" s="123"/>
      <c r="AH101" s="123"/>
      <c r="AI101" s="123"/>
      <c r="AJ101" s="123"/>
      <c r="AK101" s="46"/>
      <c r="AL101" s="46"/>
      <c r="AM101" s="46"/>
      <c r="AN101" s="46"/>
      <c r="AO101" s="46"/>
    </row>
    <row r="102">
      <c r="A102" s="17"/>
      <c r="B102" s="46"/>
      <c r="C102" s="46"/>
      <c r="D102" s="46"/>
      <c r="E102" s="17"/>
      <c r="F102" s="46"/>
      <c r="G102" s="46"/>
      <c r="H102" s="46"/>
      <c r="I102" s="17"/>
      <c r="J102" s="46"/>
      <c r="K102" s="46"/>
      <c r="L102" s="46"/>
      <c r="M102" s="17"/>
      <c r="N102" s="46"/>
      <c r="O102" s="46"/>
      <c r="P102" s="46"/>
      <c r="Q102" s="46"/>
      <c r="R102" s="46"/>
      <c r="S102" s="46"/>
      <c r="T102" s="46"/>
      <c r="U102" s="46"/>
      <c r="V102" s="46"/>
      <c r="W102" s="46"/>
      <c r="X102" s="46"/>
      <c r="Y102" s="46"/>
      <c r="Z102" s="46"/>
      <c r="AA102" s="46"/>
      <c r="AB102" s="46"/>
      <c r="AC102" s="46"/>
      <c r="AD102" s="46"/>
      <c r="AE102" s="46"/>
      <c r="AF102" s="46"/>
      <c r="AG102" s="123"/>
      <c r="AH102" s="123"/>
      <c r="AI102" s="123"/>
      <c r="AJ102" s="123"/>
      <c r="AK102" s="46"/>
      <c r="AL102" s="46"/>
      <c r="AM102" s="46"/>
      <c r="AN102" s="46"/>
      <c r="AO102" s="46"/>
    </row>
    <row r="103">
      <c r="A103" s="17"/>
      <c r="B103" s="46"/>
      <c r="C103" s="46"/>
      <c r="D103" s="46"/>
      <c r="E103" s="17"/>
      <c r="F103" s="46"/>
      <c r="G103" s="46"/>
      <c r="H103" s="46"/>
      <c r="I103" s="17"/>
      <c r="J103" s="46"/>
      <c r="K103" s="46"/>
      <c r="L103" s="46"/>
      <c r="M103" s="17"/>
      <c r="N103" s="46"/>
      <c r="O103" s="46"/>
      <c r="P103" s="46"/>
      <c r="Q103" s="46"/>
      <c r="R103" s="46"/>
      <c r="S103" s="46"/>
      <c r="T103" s="46"/>
      <c r="U103" s="46"/>
      <c r="V103" s="46"/>
      <c r="W103" s="46"/>
      <c r="X103" s="46"/>
      <c r="Y103" s="46"/>
      <c r="Z103" s="46"/>
      <c r="AA103" s="46"/>
      <c r="AB103" s="46"/>
      <c r="AC103" s="46"/>
      <c r="AD103" s="46"/>
      <c r="AE103" s="46"/>
      <c r="AF103" s="46"/>
      <c r="AG103" s="123"/>
      <c r="AH103" s="123"/>
      <c r="AI103" s="123"/>
      <c r="AJ103" s="123"/>
      <c r="AK103" s="46"/>
      <c r="AL103" s="46"/>
      <c r="AM103" s="46"/>
      <c r="AN103" s="46"/>
      <c r="AO103" s="46"/>
    </row>
    <row r="104">
      <c r="A104" s="17"/>
      <c r="B104" s="46"/>
      <c r="C104" s="46"/>
      <c r="D104" s="46"/>
      <c r="E104" s="17"/>
      <c r="F104" s="46"/>
      <c r="G104" s="46"/>
      <c r="H104" s="46"/>
      <c r="I104" s="17"/>
      <c r="J104" s="46"/>
      <c r="K104" s="46"/>
      <c r="L104" s="46"/>
      <c r="M104" s="17"/>
      <c r="N104" s="46"/>
      <c r="O104" s="46"/>
      <c r="P104" s="46"/>
      <c r="Q104" s="46"/>
      <c r="R104" s="46"/>
      <c r="S104" s="46"/>
      <c r="T104" s="46"/>
      <c r="U104" s="46"/>
      <c r="V104" s="46"/>
      <c r="W104" s="46"/>
      <c r="X104" s="46"/>
      <c r="Y104" s="46"/>
      <c r="Z104" s="46"/>
      <c r="AA104" s="46"/>
      <c r="AB104" s="46"/>
      <c r="AC104" s="46"/>
      <c r="AD104" s="46"/>
      <c r="AE104" s="46"/>
      <c r="AF104" s="46"/>
      <c r="AG104" s="123"/>
      <c r="AH104" s="123"/>
      <c r="AI104" s="123"/>
      <c r="AJ104" s="123"/>
      <c r="AK104" s="46"/>
      <c r="AL104" s="46"/>
      <c r="AM104" s="46"/>
      <c r="AN104" s="46"/>
      <c r="AO104" s="46"/>
    </row>
    <row r="105">
      <c r="A105" s="17"/>
      <c r="B105" s="46"/>
      <c r="C105" s="46"/>
      <c r="D105" s="46"/>
      <c r="E105" s="17"/>
      <c r="F105" s="46"/>
      <c r="G105" s="46"/>
      <c r="H105" s="46"/>
      <c r="I105" s="17"/>
      <c r="J105" s="46"/>
      <c r="K105" s="46"/>
      <c r="L105" s="46"/>
      <c r="M105" s="17"/>
      <c r="N105" s="46"/>
      <c r="O105" s="46"/>
      <c r="P105" s="46"/>
      <c r="Q105" s="46"/>
      <c r="R105" s="46"/>
      <c r="S105" s="46"/>
      <c r="T105" s="46"/>
      <c r="U105" s="46"/>
      <c r="V105" s="46"/>
      <c r="W105" s="46"/>
      <c r="X105" s="46"/>
      <c r="Y105" s="46"/>
      <c r="Z105" s="46"/>
      <c r="AA105" s="46"/>
      <c r="AB105" s="46"/>
      <c r="AC105" s="46"/>
      <c r="AD105" s="46"/>
      <c r="AE105" s="46"/>
      <c r="AF105" s="46"/>
      <c r="AG105" s="123"/>
      <c r="AH105" s="123"/>
      <c r="AI105" s="123"/>
      <c r="AJ105" s="123"/>
      <c r="AK105" s="46"/>
      <c r="AL105" s="46"/>
      <c r="AM105" s="46"/>
      <c r="AN105" s="46"/>
      <c r="AO105" s="46"/>
    </row>
    <row r="106">
      <c r="A106" s="17"/>
      <c r="B106" s="46"/>
      <c r="C106" s="46"/>
      <c r="D106" s="46"/>
      <c r="E106" s="17"/>
      <c r="F106" s="46"/>
      <c r="G106" s="46"/>
      <c r="H106" s="46"/>
      <c r="I106" s="17"/>
      <c r="J106" s="46"/>
      <c r="K106" s="46"/>
      <c r="L106" s="46"/>
      <c r="M106" s="17"/>
      <c r="N106" s="46"/>
      <c r="O106" s="46"/>
      <c r="P106" s="46"/>
      <c r="Q106" s="46"/>
      <c r="R106" s="46"/>
      <c r="S106" s="46"/>
      <c r="T106" s="46"/>
      <c r="U106" s="46"/>
      <c r="V106" s="46"/>
      <c r="W106" s="46"/>
      <c r="X106" s="46"/>
      <c r="Y106" s="46"/>
      <c r="Z106" s="46"/>
      <c r="AA106" s="46"/>
      <c r="AB106" s="46"/>
      <c r="AC106" s="46"/>
      <c r="AD106" s="46"/>
      <c r="AE106" s="46"/>
      <c r="AF106" s="46"/>
      <c r="AG106" s="123"/>
      <c r="AH106" s="123"/>
      <c r="AI106" s="123"/>
      <c r="AJ106" s="123"/>
      <c r="AK106" s="46"/>
      <c r="AL106" s="46"/>
      <c r="AM106" s="46"/>
      <c r="AN106" s="46"/>
      <c r="AO106" s="46"/>
    </row>
    <row r="107">
      <c r="A107" s="17"/>
      <c r="B107" s="46"/>
      <c r="C107" s="46"/>
      <c r="D107" s="46"/>
      <c r="E107" s="17"/>
      <c r="F107" s="46"/>
      <c r="G107" s="46"/>
      <c r="H107" s="46"/>
      <c r="I107" s="17"/>
      <c r="J107" s="46"/>
      <c r="K107" s="46"/>
      <c r="L107" s="46"/>
      <c r="M107" s="17"/>
      <c r="N107" s="46"/>
      <c r="O107" s="46"/>
      <c r="P107" s="46"/>
      <c r="Q107" s="46"/>
      <c r="R107" s="46"/>
      <c r="S107" s="46"/>
      <c r="T107" s="46"/>
      <c r="U107" s="46"/>
      <c r="V107" s="46"/>
      <c r="W107" s="46"/>
      <c r="X107" s="46"/>
      <c r="Y107" s="46"/>
      <c r="Z107" s="46"/>
      <c r="AA107" s="46"/>
      <c r="AB107" s="46"/>
      <c r="AC107" s="46"/>
      <c r="AD107" s="46"/>
      <c r="AE107" s="46"/>
      <c r="AF107" s="46"/>
      <c r="AG107" s="123"/>
      <c r="AH107" s="123"/>
      <c r="AI107" s="123"/>
      <c r="AJ107" s="123"/>
      <c r="AK107" s="46"/>
      <c r="AL107" s="46"/>
      <c r="AM107" s="46"/>
      <c r="AN107" s="46"/>
      <c r="AO107" s="46"/>
    </row>
    <row r="108">
      <c r="A108" s="17"/>
      <c r="B108" s="46"/>
      <c r="C108" s="46"/>
      <c r="D108" s="46"/>
      <c r="E108" s="17"/>
      <c r="F108" s="46"/>
      <c r="G108" s="46"/>
      <c r="H108" s="46"/>
      <c r="I108" s="17"/>
      <c r="J108" s="46"/>
      <c r="K108" s="46"/>
      <c r="L108" s="46"/>
      <c r="M108" s="17"/>
      <c r="N108" s="46"/>
      <c r="O108" s="46"/>
      <c r="P108" s="46"/>
      <c r="Q108" s="46"/>
      <c r="R108" s="46"/>
      <c r="S108" s="46"/>
      <c r="T108" s="46"/>
      <c r="U108" s="46"/>
      <c r="V108" s="46"/>
      <c r="W108" s="46"/>
      <c r="X108" s="46"/>
      <c r="Y108" s="46"/>
      <c r="Z108" s="46"/>
      <c r="AA108" s="46"/>
      <c r="AB108" s="46"/>
      <c r="AC108" s="46"/>
      <c r="AD108" s="46"/>
      <c r="AE108" s="46"/>
      <c r="AF108" s="46"/>
      <c r="AG108" s="123"/>
      <c r="AH108" s="123"/>
      <c r="AI108" s="123"/>
      <c r="AJ108" s="123"/>
      <c r="AK108" s="46"/>
      <c r="AL108" s="46"/>
      <c r="AM108" s="46"/>
      <c r="AN108" s="46"/>
      <c r="AO108" s="46"/>
    </row>
    <row r="109">
      <c r="A109" s="17"/>
      <c r="B109" s="46"/>
      <c r="C109" s="46"/>
      <c r="D109" s="46"/>
      <c r="E109" s="17"/>
      <c r="F109" s="46"/>
      <c r="G109" s="46"/>
      <c r="H109" s="46"/>
      <c r="I109" s="17"/>
      <c r="J109" s="46"/>
      <c r="K109" s="46"/>
      <c r="L109" s="46"/>
      <c r="M109" s="17"/>
      <c r="N109" s="46"/>
      <c r="O109" s="46"/>
      <c r="P109" s="46"/>
      <c r="Q109" s="46"/>
      <c r="R109" s="46"/>
      <c r="S109" s="46"/>
      <c r="T109" s="46"/>
      <c r="U109" s="46"/>
      <c r="V109" s="46"/>
      <c r="W109" s="46"/>
      <c r="X109" s="46"/>
      <c r="Y109" s="46"/>
      <c r="Z109" s="46"/>
      <c r="AA109" s="46"/>
      <c r="AB109" s="46"/>
      <c r="AC109" s="46"/>
      <c r="AD109" s="46"/>
      <c r="AE109" s="46"/>
      <c r="AF109" s="46"/>
      <c r="AG109" s="123"/>
      <c r="AH109" s="123"/>
      <c r="AI109" s="123"/>
      <c r="AJ109" s="123"/>
      <c r="AK109" s="46"/>
      <c r="AL109" s="46"/>
      <c r="AM109" s="46"/>
      <c r="AN109" s="46"/>
      <c r="AO109" s="46"/>
    </row>
    <row r="110">
      <c r="A110" s="17"/>
      <c r="B110" s="46"/>
      <c r="C110" s="46"/>
      <c r="D110" s="46"/>
      <c r="E110" s="17"/>
      <c r="F110" s="46"/>
      <c r="G110" s="46"/>
      <c r="H110" s="46"/>
      <c r="I110" s="17"/>
      <c r="J110" s="46"/>
      <c r="K110" s="46"/>
      <c r="L110" s="46"/>
      <c r="M110" s="17"/>
      <c r="N110" s="46"/>
      <c r="O110" s="46"/>
      <c r="P110" s="46"/>
      <c r="Q110" s="46"/>
      <c r="R110" s="46"/>
      <c r="S110" s="46"/>
      <c r="T110" s="46"/>
      <c r="U110" s="46"/>
      <c r="V110" s="46"/>
      <c r="W110" s="46"/>
      <c r="X110" s="46"/>
      <c r="Y110" s="46"/>
      <c r="Z110" s="46"/>
      <c r="AA110" s="46"/>
      <c r="AB110" s="46"/>
      <c r="AC110" s="46"/>
      <c r="AD110" s="46"/>
      <c r="AE110" s="46"/>
      <c r="AF110" s="46"/>
      <c r="AG110" s="123"/>
      <c r="AH110" s="123"/>
      <c r="AI110" s="123"/>
      <c r="AJ110" s="123"/>
      <c r="AK110" s="46"/>
      <c r="AL110" s="46"/>
      <c r="AM110" s="46"/>
      <c r="AN110" s="46"/>
      <c r="AO110" s="46"/>
    </row>
    <row r="111">
      <c r="A111" s="17"/>
      <c r="B111" s="46"/>
      <c r="C111" s="46"/>
      <c r="D111" s="46"/>
      <c r="E111" s="17"/>
      <c r="F111" s="46"/>
      <c r="G111" s="46"/>
      <c r="H111" s="46"/>
      <c r="I111" s="17"/>
      <c r="J111" s="46"/>
      <c r="K111" s="46"/>
      <c r="L111" s="46"/>
      <c r="M111" s="17"/>
      <c r="N111" s="46"/>
      <c r="O111" s="46"/>
      <c r="P111" s="46"/>
      <c r="Q111" s="46"/>
      <c r="R111" s="46"/>
      <c r="S111" s="46"/>
      <c r="T111" s="46"/>
      <c r="U111" s="46"/>
      <c r="V111" s="46"/>
      <c r="W111" s="46"/>
      <c r="X111" s="46"/>
      <c r="Y111" s="46"/>
      <c r="Z111" s="46"/>
      <c r="AA111" s="46"/>
      <c r="AB111" s="46"/>
      <c r="AC111" s="46"/>
      <c r="AD111" s="46"/>
      <c r="AE111" s="46"/>
      <c r="AF111" s="46"/>
      <c r="AG111" s="123"/>
      <c r="AH111" s="123"/>
      <c r="AI111" s="123"/>
      <c r="AJ111" s="123"/>
      <c r="AK111" s="46"/>
      <c r="AL111" s="46"/>
      <c r="AM111" s="46"/>
      <c r="AN111" s="46"/>
      <c r="AO111" s="46"/>
    </row>
    <row r="112">
      <c r="A112" s="17"/>
      <c r="B112" s="46"/>
      <c r="C112" s="46"/>
      <c r="D112" s="46"/>
      <c r="E112" s="17"/>
      <c r="F112" s="46"/>
      <c r="G112" s="46"/>
      <c r="H112" s="46"/>
      <c r="I112" s="17"/>
      <c r="J112" s="46"/>
      <c r="K112" s="46"/>
      <c r="L112" s="46"/>
      <c r="M112" s="17"/>
      <c r="N112" s="46"/>
      <c r="O112" s="46"/>
      <c r="P112" s="46"/>
      <c r="Q112" s="46"/>
      <c r="R112" s="46"/>
      <c r="S112" s="46"/>
      <c r="T112" s="46"/>
      <c r="U112" s="46"/>
      <c r="V112" s="46"/>
      <c r="W112" s="46"/>
      <c r="X112" s="46"/>
      <c r="Y112" s="46"/>
      <c r="Z112" s="46"/>
      <c r="AA112" s="46"/>
      <c r="AB112" s="46"/>
      <c r="AC112" s="46"/>
      <c r="AD112" s="46"/>
      <c r="AE112" s="46"/>
      <c r="AF112" s="46"/>
      <c r="AG112" s="123"/>
      <c r="AH112" s="123"/>
      <c r="AI112" s="123"/>
      <c r="AJ112" s="123"/>
      <c r="AK112" s="46"/>
      <c r="AL112" s="46"/>
      <c r="AM112" s="46"/>
      <c r="AN112" s="46"/>
      <c r="AO112" s="46"/>
    </row>
    <row r="113">
      <c r="A113" s="17"/>
      <c r="B113" s="46"/>
      <c r="C113" s="46"/>
      <c r="D113" s="46"/>
      <c r="E113" s="17"/>
      <c r="F113" s="46"/>
      <c r="G113" s="46"/>
      <c r="H113" s="46"/>
      <c r="I113" s="17"/>
      <c r="J113" s="46"/>
      <c r="K113" s="46"/>
      <c r="L113" s="46"/>
      <c r="M113" s="17"/>
      <c r="N113" s="46"/>
      <c r="O113" s="46"/>
      <c r="P113" s="46"/>
      <c r="Q113" s="46"/>
      <c r="R113" s="46"/>
      <c r="S113" s="46"/>
      <c r="T113" s="46"/>
      <c r="U113" s="46"/>
      <c r="V113" s="46"/>
      <c r="W113" s="46"/>
      <c r="X113" s="46"/>
      <c r="Y113" s="46"/>
      <c r="Z113" s="46"/>
      <c r="AA113" s="46"/>
      <c r="AB113" s="46"/>
      <c r="AC113" s="46"/>
      <c r="AD113" s="46"/>
      <c r="AE113" s="46"/>
      <c r="AF113" s="46"/>
      <c r="AG113" s="123"/>
      <c r="AH113" s="123"/>
      <c r="AI113" s="123"/>
      <c r="AJ113" s="123"/>
      <c r="AK113" s="46"/>
      <c r="AL113" s="46"/>
      <c r="AM113" s="46"/>
      <c r="AN113" s="46"/>
      <c r="AO113" s="46"/>
    </row>
    <row r="114">
      <c r="A114" s="17"/>
      <c r="B114" s="46"/>
      <c r="C114" s="46"/>
      <c r="D114" s="46"/>
      <c r="E114" s="17"/>
      <c r="F114" s="46"/>
      <c r="G114" s="46"/>
      <c r="H114" s="46"/>
      <c r="I114" s="17"/>
      <c r="J114" s="46"/>
      <c r="K114" s="46"/>
      <c r="L114" s="46"/>
      <c r="M114" s="17"/>
      <c r="N114" s="46"/>
      <c r="O114" s="46"/>
      <c r="P114" s="46"/>
      <c r="Q114" s="46"/>
      <c r="R114" s="46"/>
      <c r="S114" s="46"/>
      <c r="T114" s="46"/>
      <c r="U114" s="46"/>
      <c r="V114" s="46"/>
      <c r="W114" s="46"/>
      <c r="X114" s="46"/>
      <c r="Y114" s="46"/>
      <c r="Z114" s="46"/>
      <c r="AA114" s="46"/>
      <c r="AB114" s="46"/>
      <c r="AC114" s="46"/>
      <c r="AD114" s="46"/>
      <c r="AE114" s="46"/>
      <c r="AF114" s="46"/>
      <c r="AG114" s="123"/>
      <c r="AH114" s="123"/>
      <c r="AI114" s="123"/>
      <c r="AJ114" s="123"/>
      <c r="AK114" s="46"/>
      <c r="AL114" s="46"/>
      <c r="AM114" s="46"/>
      <c r="AN114" s="46"/>
      <c r="AO114" s="46"/>
    </row>
    <row r="115">
      <c r="A115" s="17"/>
      <c r="B115" s="46"/>
      <c r="C115" s="46"/>
      <c r="D115" s="46"/>
      <c r="E115" s="17"/>
      <c r="F115" s="46"/>
      <c r="G115" s="46"/>
      <c r="H115" s="46"/>
      <c r="I115" s="17"/>
      <c r="J115" s="46"/>
      <c r="K115" s="46"/>
      <c r="L115" s="46"/>
      <c r="M115" s="17"/>
      <c r="N115" s="46"/>
      <c r="O115" s="46"/>
      <c r="P115" s="46"/>
      <c r="Q115" s="46"/>
      <c r="R115" s="46"/>
      <c r="S115" s="46"/>
      <c r="T115" s="46"/>
      <c r="U115" s="46"/>
      <c r="V115" s="46"/>
      <c r="W115" s="46"/>
      <c r="X115" s="46"/>
      <c r="Y115" s="46"/>
      <c r="Z115" s="46"/>
      <c r="AA115" s="46"/>
      <c r="AB115" s="46"/>
      <c r="AC115" s="46"/>
      <c r="AD115" s="46"/>
      <c r="AE115" s="46"/>
      <c r="AF115" s="46"/>
      <c r="AG115" s="123"/>
      <c r="AH115" s="123"/>
      <c r="AI115" s="123"/>
      <c r="AJ115" s="123"/>
      <c r="AK115" s="46"/>
      <c r="AL115" s="46"/>
      <c r="AM115" s="46"/>
      <c r="AN115" s="46"/>
      <c r="AO115" s="46"/>
    </row>
    <row r="116">
      <c r="A116" s="17"/>
      <c r="B116" s="46"/>
      <c r="C116" s="46"/>
      <c r="D116" s="46"/>
      <c r="E116" s="17"/>
      <c r="F116" s="46"/>
      <c r="G116" s="46"/>
      <c r="H116" s="46"/>
      <c r="I116" s="17"/>
      <c r="J116" s="46"/>
      <c r="K116" s="46"/>
      <c r="L116" s="46"/>
      <c r="M116" s="17"/>
      <c r="N116" s="46"/>
      <c r="O116" s="46"/>
      <c r="P116" s="46"/>
      <c r="Q116" s="46"/>
      <c r="R116" s="46"/>
      <c r="S116" s="46"/>
      <c r="T116" s="46"/>
      <c r="U116" s="46"/>
      <c r="V116" s="46"/>
      <c r="W116" s="46"/>
      <c r="X116" s="46"/>
      <c r="Y116" s="46"/>
      <c r="Z116" s="46"/>
      <c r="AA116" s="46"/>
      <c r="AB116" s="46"/>
      <c r="AC116" s="46"/>
      <c r="AD116" s="46"/>
      <c r="AE116" s="46"/>
      <c r="AF116" s="46"/>
      <c r="AG116" s="123"/>
      <c r="AH116" s="123"/>
      <c r="AI116" s="123"/>
      <c r="AJ116" s="123"/>
      <c r="AK116" s="46"/>
      <c r="AL116" s="46"/>
      <c r="AM116" s="46"/>
      <c r="AN116" s="46"/>
      <c r="AO116" s="46"/>
    </row>
    <row r="117">
      <c r="A117" s="17"/>
      <c r="B117" s="46"/>
      <c r="C117" s="46"/>
      <c r="D117" s="46"/>
      <c r="E117" s="17"/>
      <c r="F117" s="46"/>
      <c r="G117" s="46"/>
      <c r="H117" s="46"/>
      <c r="I117" s="17"/>
      <c r="J117" s="46"/>
      <c r="K117" s="46"/>
      <c r="L117" s="46"/>
      <c r="M117" s="17"/>
      <c r="N117" s="46"/>
      <c r="O117" s="46"/>
      <c r="P117" s="46"/>
      <c r="Q117" s="46"/>
      <c r="R117" s="46"/>
      <c r="S117" s="46"/>
      <c r="T117" s="46"/>
      <c r="U117" s="46"/>
      <c r="V117" s="46"/>
      <c r="W117" s="46"/>
      <c r="X117" s="46"/>
      <c r="Y117" s="46"/>
      <c r="Z117" s="46"/>
      <c r="AA117" s="46"/>
      <c r="AB117" s="46"/>
      <c r="AC117" s="46"/>
      <c r="AD117" s="46"/>
      <c r="AE117" s="46"/>
      <c r="AF117" s="46"/>
      <c r="AG117" s="123"/>
      <c r="AH117" s="123"/>
      <c r="AI117" s="123"/>
      <c r="AJ117" s="123"/>
      <c r="AK117" s="46"/>
      <c r="AL117" s="46"/>
      <c r="AM117" s="46"/>
      <c r="AN117" s="46"/>
      <c r="AO117" s="46"/>
    </row>
    <row r="118">
      <c r="A118" s="17"/>
      <c r="B118" s="46"/>
      <c r="C118" s="46"/>
      <c r="D118" s="46"/>
      <c r="E118" s="17"/>
      <c r="F118" s="46"/>
      <c r="G118" s="46"/>
      <c r="H118" s="46"/>
      <c r="I118" s="17"/>
      <c r="J118" s="46"/>
      <c r="K118" s="46"/>
      <c r="L118" s="46"/>
      <c r="M118" s="17"/>
      <c r="N118" s="46"/>
      <c r="O118" s="46"/>
      <c r="P118" s="46"/>
      <c r="Q118" s="46"/>
      <c r="R118" s="46"/>
      <c r="S118" s="46"/>
      <c r="T118" s="46"/>
      <c r="U118" s="46"/>
      <c r="V118" s="46"/>
      <c r="W118" s="46"/>
      <c r="X118" s="46"/>
      <c r="Y118" s="46"/>
      <c r="Z118" s="46"/>
      <c r="AA118" s="46"/>
      <c r="AB118" s="46"/>
      <c r="AC118" s="46"/>
      <c r="AD118" s="46"/>
      <c r="AE118" s="46"/>
      <c r="AF118" s="46"/>
      <c r="AG118" s="123"/>
      <c r="AH118" s="123"/>
      <c r="AI118" s="123"/>
      <c r="AJ118" s="123"/>
      <c r="AK118" s="46"/>
      <c r="AL118" s="46"/>
      <c r="AM118" s="46"/>
      <c r="AN118" s="46"/>
      <c r="AO118" s="46"/>
    </row>
    <row r="119">
      <c r="A119" s="17"/>
      <c r="B119" s="46"/>
      <c r="C119" s="46"/>
      <c r="D119" s="46"/>
      <c r="E119" s="17"/>
      <c r="F119" s="46"/>
      <c r="G119" s="46"/>
      <c r="H119" s="46"/>
      <c r="I119" s="17"/>
      <c r="J119" s="46"/>
      <c r="K119" s="46"/>
      <c r="L119" s="46"/>
      <c r="M119" s="17"/>
      <c r="N119" s="46"/>
      <c r="O119" s="46"/>
      <c r="P119" s="46"/>
      <c r="Q119" s="46"/>
      <c r="R119" s="46"/>
      <c r="S119" s="46"/>
      <c r="T119" s="46"/>
      <c r="U119" s="46"/>
      <c r="V119" s="46"/>
      <c r="W119" s="46"/>
      <c r="X119" s="46"/>
      <c r="Y119" s="46"/>
      <c r="Z119" s="46"/>
      <c r="AA119" s="46"/>
      <c r="AB119" s="46"/>
      <c r="AC119" s="46"/>
      <c r="AD119" s="46"/>
      <c r="AE119" s="46"/>
      <c r="AF119" s="46"/>
      <c r="AG119" s="123"/>
      <c r="AH119" s="123"/>
      <c r="AI119" s="123"/>
      <c r="AJ119" s="123"/>
      <c r="AK119" s="46"/>
      <c r="AL119" s="46"/>
      <c r="AM119" s="46"/>
      <c r="AN119" s="46"/>
      <c r="AO119" s="46"/>
    </row>
    <row r="120">
      <c r="A120" s="17"/>
      <c r="B120" s="46"/>
      <c r="C120" s="46"/>
      <c r="D120" s="46"/>
      <c r="E120" s="17"/>
      <c r="F120" s="46"/>
      <c r="G120" s="46"/>
      <c r="H120" s="46"/>
      <c r="I120" s="17"/>
      <c r="J120" s="46"/>
      <c r="K120" s="46"/>
      <c r="L120" s="46"/>
      <c r="M120" s="17"/>
      <c r="N120" s="46"/>
      <c r="O120" s="46"/>
      <c r="P120" s="46"/>
      <c r="Q120" s="46"/>
      <c r="R120" s="46"/>
      <c r="S120" s="46"/>
      <c r="T120" s="46"/>
      <c r="U120" s="46"/>
      <c r="V120" s="46"/>
      <c r="W120" s="46"/>
      <c r="X120" s="46"/>
      <c r="Y120" s="46"/>
      <c r="Z120" s="46"/>
      <c r="AA120" s="46"/>
      <c r="AB120" s="46"/>
      <c r="AC120" s="46"/>
      <c r="AD120" s="46"/>
      <c r="AE120" s="46"/>
      <c r="AF120" s="46"/>
      <c r="AG120" s="123"/>
      <c r="AH120" s="123"/>
      <c r="AI120" s="123"/>
      <c r="AJ120" s="123"/>
      <c r="AK120" s="46"/>
      <c r="AL120" s="46"/>
      <c r="AM120" s="46"/>
      <c r="AN120" s="46"/>
      <c r="AO120" s="46"/>
    </row>
    <row r="121">
      <c r="A121" s="17"/>
      <c r="B121" s="46"/>
      <c r="C121" s="46"/>
      <c r="D121" s="46"/>
      <c r="E121" s="17"/>
      <c r="F121" s="46"/>
      <c r="G121" s="46"/>
      <c r="H121" s="46"/>
      <c r="I121" s="17"/>
      <c r="J121" s="46"/>
      <c r="K121" s="46"/>
      <c r="L121" s="46"/>
      <c r="M121" s="17"/>
      <c r="N121" s="46"/>
      <c r="O121" s="46"/>
      <c r="P121" s="46"/>
      <c r="Q121" s="46"/>
      <c r="R121" s="46"/>
      <c r="S121" s="46"/>
      <c r="T121" s="46"/>
      <c r="U121" s="46"/>
      <c r="V121" s="46"/>
      <c r="W121" s="46"/>
      <c r="X121" s="46"/>
      <c r="Y121" s="46"/>
      <c r="Z121" s="46"/>
      <c r="AA121" s="46"/>
      <c r="AB121" s="46"/>
      <c r="AC121" s="46"/>
      <c r="AD121" s="46"/>
      <c r="AE121" s="46"/>
      <c r="AF121" s="46"/>
      <c r="AG121" s="123"/>
      <c r="AH121" s="123"/>
      <c r="AI121" s="123"/>
      <c r="AJ121" s="123"/>
      <c r="AK121" s="46"/>
      <c r="AL121" s="46"/>
      <c r="AM121" s="46"/>
      <c r="AN121" s="46"/>
      <c r="AO121" s="46"/>
    </row>
    <row r="122">
      <c r="A122" s="17"/>
      <c r="B122" s="46"/>
      <c r="C122" s="46"/>
      <c r="D122" s="46"/>
      <c r="E122" s="17"/>
      <c r="F122" s="46"/>
      <c r="G122" s="46"/>
      <c r="H122" s="46"/>
      <c r="I122" s="17"/>
      <c r="J122" s="46"/>
      <c r="K122" s="46"/>
      <c r="L122" s="46"/>
      <c r="M122" s="17"/>
      <c r="N122" s="46"/>
      <c r="O122" s="46"/>
      <c r="P122" s="46"/>
      <c r="Q122" s="46"/>
      <c r="R122" s="46"/>
      <c r="S122" s="46"/>
      <c r="T122" s="46"/>
      <c r="U122" s="46"/>
      <c r="V122" s="46"/>
      <c r="W122" s="46"/>
      <c r="X122" s="46"/>
      <c r="Y122" s="46"/>
      <c r="Z122" s="46"/>
      <c r="AA122" s="46"/>
      <c r="AB122" s="46"/>
      <c r="AC122" s="46"/>
      <c r="AD122" s="46"/>
      <c r="AE122" s="46"/>
      <c r="AF122" s="46"/>
      <c r="AG122" s="123"/>
      <c r="AH122" s="123"/>
      <c r="AI122" s="123"/>
      <c r="AJ122" s="123"/>
      <c r="AK122" s="46"/>
      <c r="AL122" s="46"/>
      <c r="AM122" s="46"/>
      <c r="AN122" s="46"/>
      <c r="AO122" s="46"/>
    </row>
    <row r="123">
      <c r="A123" s="17"/>
      <c r="B123" s="46"/>
      <c r="C123" s="46"/>
      <c r="D123" s="46"/>
      <c r="E123" s="17"/>
      <c r="F123" s="46"/>
      <c r="G123" s="46"/>
      <c r="H123" s="46"/>
      <c r="I123" s="17"/>
      <c r="J123" s="46"/>
      <c r="K123" s="46"/>
      <c r="L123" s="46"/>
      <c r="M123" s="17"/>
      <c r="N123" s="46"/>
      <c r="O123" s="46"/>
      <c r="P123" s="46"/>
      <c r="Q123" s="46"/>
      <c r="R123" s="46"/>
      <c r="S123" s="46"/>
      <c r="T123" s="46"/>
      <c r="U123" s="46"/>
      <c r="V123" s="46"/>
      <c r="W123" s="46"/>
      <c r="X123" s="46"/>
      <c r="Y123" s="46"/>
      <c r="Z123" s="46"/>
      <c r="AA123" s="46"/>
      <c r="AB123" s="46"/>
      <c r="AC123" s="46"/>
      <c r="AD123" s="46"/>
      <c r="AE123" s="46"/>
      <c r="AF123" s="46"/>
      <c r="AG123" s="123"/>
      <c r="AH123" s="123"/>
      <c r="AI123" s="123"/>
      <c r="AJ123" s="123"/>
      <c r="AK123" s="46"/>
      <c r="AL123" s="46"/>
      <c r="AM123" s="46"/>
      <c r="AN123" s="46"/>
      <c r="AO123" s="46"/>
    </row>
    <row r="124">
      <c r="A124" s="17"/>
      <c r="B124" s="46"/>
      <c r="C124" s="46"/>
      <c r="D124" s="46"/>
      <c r="E124" s="17"/>
      <c r="F124" s="46"/>
      <c r="G124" s="46"/>
      <c r="H124" s="46"/>
      <c r="I124" s="17"/>
      <c r="J124" s="46"/>
      <c r="K124" s="46"/>
      <c r="L124" s="46"/>
      <c r="M124" s="17"/>
      <c r="N124" s="46"/>
      <c r="O124" s="46"/>
      <c r="P124" s="46"/>
      <c r="Q124" s="46"/>
      <c r="R124" s="46"/>
      <c r="S124" s="46"/>
      <c r="T124" s="46"/>
      <c r="U124" s="46"/>
      <c r="V124" s="46"/>
      <c r="W124" s="46"/>
      <c r="X124" s="46"/>
      <c r="Y124" s="46"/>
      <c r="Z124" s="46"/>
      <c r="AA124" s="46"/>
      <c r="AB124" s="46"/>
      <c r="AC124" s="46"/>
      <c r="AD124" s="46"/>
      <c r="AE124" s="46"/>
      <c r="AF124" s="46"/>
      <c r="AG124" s="123"/>
      <c r="AH124" s="123"/>
      <c r="AI124" s="123"/>
      <c r="AJ124" s="123"/>
      <c r="AK124" s="46"/>
      <c r="AL124" s="46"/>
      <c r="AM124" s="46"/>
      <c r="AN124" s="46"/>
      <c r="AO124" s="46"/>
    </row>
    <row r="125">
      <c r="A125" s="17"/>
      <c r="B125" s="46"/>
      <c r="C125" s="46"/>
      <c r="D125" s="46"/>
      <c r="E125" s="17"/>
      <c r="F125" s="46"/>
      <c r="G125" s="46"/>
      <c r="H125" s="46"/>
      <c r="I125" s="17"/>
      <c r="J125" s="46"/>
      <c r="K125" s="46"/>
      <c r="L125" s="46"/>
      <c r="M125" s="17"/>
      <c r="N125" s="46"/>
      <c r="O125" s="46"/>
      <c r="P125" s="46"/>
      <c r="Q125" s="46"/>
      <c r="R125" s="46"/>
      <c r="S125" s="46"/>
      <c r="T125" s="46"/>
      <c r="U125" s="46"/>
      <c r="V125" s="46"/>
      <c r="W125" s="46"/>
      <c r="X125" s="46"/>
      <c r="Y125" s="46"/>
      <c r="Z125" s="46"/>
      <c r="AA125" s="46"/>
      <c r="AB125" s="46"/>
      <c r="AC125" s="46"/>
      <c r="AD125" s="46"/>
      <c r="AE125" s="46"/>
      <c r="AF125" s="46"/>
      <c r="AG125" s="123"/>
      <c r="AH125" s="123"/>
      <c r="AI125" s="123"/>
      <c r="AJ125" s="123"/>
      <c r="AK125" s="46"/>
      <c r="AL125" s="46"/>
      <c r="AM125" s="46"/>
      <c r="AN125" s="46"/>
      <c r="AO125" s="46"/>
    </row>
    <row r="126">
      <c r="A126" s="17"/>
      <c r="B126" s="46"/>
      <c r="C126" s="46"/>
      <c r="D126" s="46"/>
      <c r="E126" s="17"/>
      <c r="F126" s="46"/>
      <c r="G126" s="46"/>
      <c r="H126" s="46"/>
      <c r="I126" s="17"/>
      <c r="J126" s="46"/>
      <c r="K126" s="46"/>
      <c r="L126" s="46"/>
      <c r="M126" s="17"/>
      <c r="N126" s="46"/>
      <c r="O126" s="46"/>
      <c r="P126" s="46"/>
      <c r="Q126" s="46"/>
      <c r="R126" s="46"/>
      <c r="S126" s="46"/>
      <c r="T126" s="46"/>
      <c r="U126" s="46"/>
      <c r="V126" s="46"/>
      <c r="W126" s="46"/>
      <c r="X126" s="46"/>
      <c r="Y126" s="46"/>
      <c r="Z126" s="46"/>
      <c r="AA126" s="46"/>
      <c r="AB126" s="46"/>
      <c r="AC126" s="46"/>
      <c r="AD126" s="46"/>
      <c r="AE126" s="46"/>
      <c r="AF126" s="46"/>
      <c r="AG126" s="123"/>
      <c r="AH126" s="123"/>
      <c r="AI126" s="123"/>
      <c r="AJ126" s="123"/>
      <c r="AK126" s="46"/>
      <c r="AL126" s="46"/>
      <c r="AM126" s="46"/>
      <c r="AN126" s="46"/>
      <c r="AO126" s="46"/>
    </row>
    <row r="127">
      <c r="A127" s="17"/>
      <c r="B127" s="46"/>
      <c r="C127" s="46"/>
      <c r="D127" s="46"/>
      <c r="E127" s="17"/>
      <c r="F127" s="46"/>
      <c r="G127" s="46"/>
      <c r="H127" s="46"/>
      <c r="I127" s="17"/>
      <c r="J127" s="46"/>
      <c r="K127" s="46"/>
      <c r="L127" s="46"/>
      <c r="M127" s="17"/>
      <c r="N127" s="46"/>
      <c r="O127" s="46"/>
      <c r="P127" s="46"/>
      <c r="Q127" s="46"/>
      <c r="R127" s="46"/>
      <c r="S127" s="46"/>
      <c r="T127" s="46"/>
      <c r="U127" s="46"/>
      <c r="V127" s="46"/>
      <c r="W127" s="46"/>
      <c r="X127" s="46"/>
      <c r="Y127" s="46"/>
      <c r="Z127" s="46"/>
      <c r="AA127" s="46"/>
      <c r="AB127" s="46"/>
      <c r="AC127" s="46"/>
      <c r="AD127" s="46"/>
      <c r="AE127" s="46"/>
      <c r="AF127" s="46"/>
      <c r="AG127" s="123"/>
      <c r="AH127" s="123"/>
      <c r="AI127" s="123"/>
      <c r="AJ127" s="123"/>
      <c r="AK127" s="46"/>
      <c r="AL127" s="46"/>
      <c r="AM127" s="46"/>
      <c r="AN127" s="46"/>
      <c r="AO127" s="46"/>
    </row>
    <row r="128">
      <c r="A128" s="17"/>
      <c r="B128" s="46"/>
      <c r="C128" s="46"/>
      <c r="D128" s="46"/>
      <c r="E128" s="17"/>
      <c r="F128" s="46"/>
      <c r="G128" s="46"/>
      <c r="H128" s="46"/>
      <c r="I128" s="17"/>
      <c r="J128" s="46"/>
      <c r="K128" s="46"/>
      <c r="L128" s="46"/>
      <c r="M128" s="17"/>
      <c r="N128" s="46"/>
      <c r="O128" s="46"/>
      <c r="P128" s="46"/>
      <c r="Q128" s="46"/>
      <c r="R128" s="46"/>
      <c r="S128" s="46"/>
      <c r="T128" s="46"/>
      <c r="U128" s="46"/>
      <c r="V128" s="46"/>
      <c r="W128" s="46"/>
      <c r="X128" s="46"/>
      <c r="Y128" s="46"/>
      <c r="Z128" s="46"/>
      <c r="AA128" s="46"/>
      <c r="AB128" s="46"/>
      <c r="AC128" s="46"/>
      <c r="AD128" s="46"/>
      <c r="AE128" s="46"/>
      <c r="AF128" s="46"/>
      <c r="AG128" s="123"/>
      <c r="AH128" s="123"/>
      <c r="AI128" s="123"/>
      <c r="AJ128" s="123"/>
      <c r="AK128" s="46"/>
      <c r="AL128" s="46"/>
      <c r="AM128" s="46"/>
      <c r="AN128" s="46"/>
      <c r="AO128" s="46"/>
    </row>
    <row r="129">
      <c r="A129" s="17"/>
      <c r="B129" s="46"/>
      <c r="C129" s="46"/>
      <c r="D129" s="46"/>
      <c r="E129" s="17"/>
      <c r="F129" s="46"/>
      <c r="G129" s="46"/>
      <c r="H129" s="46"/>
      <c r="I129" s="17"/>
      <c r="J129" s="46"/>
      <c r="K129" s="46"/>
      <c r="L129" s="46"/>
      <c r="M129" s="17"/>
      <c r="N129" s="46"/>
      <c r="O129" s="46"/>
      <c r="P129" s="46"/>
      <c r="Q129" s="46"/>
      <c r="R129" s="46"/>
      <c r="S129" s="46"/>
      <c r="T129" s="46"/>
      <c r="U129" s="46"/>
      <c r="V129" s="46"/>
      <c r="W129" s="46"/>
      <c r="X129" s="46"/>
      <c r="Y129" s="46"/>
      <c r="Z129" s="46"/>
      <c r="AA129" s="46"/>
      <c r="AB129" s="46"/>
      <c r="AC129" s="46"/>
      <c r="AD129" s="46"/>
      <c r="AE129" s="46"/>
      <c r="AF129" s="46"/>
      <c r="AG129" s="123"/>
      <c r="AH129" s="123"/>
      <c r="AI129" s="123"/>
      <c r="AJ129" s="123"/>
      <c r="AK129" s="46"/>
      <c r="AL129" s="46"/>
      <c r="AM129" s="46"/>
      <c r="AN129" s="46"/>
      <c r="AO129" s="46"/>
    </row>
    <row r="130">
      <c r="A130" s="17"/>
      <c r="B130" s="46"/>
      <c r="C130" s="46"/>
      <c r="D130" s="46"/>
      <c r="E130" s="17"/>
      <c r="F130" s="46"/>
      <c r="G130" s="46"/>
      <c r="H130" s="46"/>
      <c r="I130" s="17"/>
      <c r="J130" s="46"/>
      <c r="K130" s="46"/>
      <c r="L130" s="46"/>
      <c r="M130" s="17"/>
      <c r="N130" s="46"/>
      <c r="O130" s="46"/>
      <c r="P130" s="46"/>
      <c r="Q130" s="46"/>
      <c r="R130" s="46"/>
      <c r="S130" s="46"/>
      <c r="T130" s="46"/>
      <c r="U130" s="46"/>
      <c r="V130" s="46"/>
      <c r="W130" s="46"/>
      <c r="X130" s="46"/>
      <c r="Y130" s="46"/>
      <c r="Z130" s="46"/>
      <c r="AA130" s="46"/>
      <c r="AB130" s="46"/>
      <c r="AC130" s="46"/>
      <c r="AD130" s="46"/>
      <c r="AE130" s="46"/>
      <c r="AF130" s="46"/>
      <c r="AG130" s="123"/>
      <c r="AH130" s="123"/>
      <c r="AI130" s="123"/>
      <c r="AJ130" s="123"/>
      <c r="AK130" s="46"/>
      <c r="AL130" s="46"/>
      <c r="AM130" s="46"/>
      <c r="AN130" s="46"/>
      <c r="AO130" s="46"/>
    </row>
    <row r="131">
      <c r="A131" s="17"/>
      <c r="B131" s="46"/>
      <c r="C131" s="46"/>
      <c r="D131" s="46"/>
      <c r="E131" s="17"/>
      <c r="F131" s="46"/>
      <c r="G131" s="46"/>
      <c r="H131" s="46"/>
      <c r="I131" s="17"/>
      <c r="J131" s="46"/>
      <c r="K131" s="46"/>
      <c r="L131" s="46"/>
      <c r="M131" s="17"/>
      <c r="N131" s="46"/>
      <c r="O131" s="46"/>
      <c r="P131" s="46"/>
      <c r="Q131" s="46"/>
      <c r="R131" s="46"/>
      <c r="S131" s="46"/>
      <c r="T131" s="46"/>
      <c r="U131" s="46"/>
      <c r="V131" s="46"/>
      <c r="W131" s="46"/>
      <c r="X131" s="46"/>
      <c r="Y131" s="46"/>
      <c r="Z131" s="46"/>
      <c r="AA131" s="46"/>
      <c r="AB131" s="46"/>
      <c r="AC131" s="46"/>
      <c r="AD131" s="46"/>
      <c r="AE131" s="46"/>
      <c r="AF131" s="46"/>
      <c r="AG131" s="123"/>
      <c r="AH131" s="123"/>
      <c r="AI131" s="123"/>
      <c r="AJ131" s="123"/>
      <c r="AK131" s="46"/>
      <c r="AL131" s="46"/>
      <c r="AM131" s="46"/>
      <c r="AN131" s="46"/>
      <c r="AO131" s="46"/>
    </row>
    <row r="132">
      <c r="A132" s="17"/>
      <c r="B132" s="46"/>
      <c r="C132" s="46"/>
      <c r="D132" s="46"/>
      <c r="E132" s="17"/>
      <c r="F132" s="46"/>
      <c r="G132" s="46"/>
      <c r="H132" s="46"/>
      <c r="I132" s="17"/>
      <c r="J132" s="46"/>
      <c r="K132" s="46"/>
      <c r="L132" s="46"/>
      <c r="M132" s="17"/>
      <c r="N132" s="46"/>
      <c r="O132" s="46"/>
      <c r="P132" s="46"/>
      <c r="Q132" s="46"/>
      <c r="R132" s="46"/>
      <c r="S132" s="46"/>
      <c r="T132" s="46"/>
      <c r="U132" s="46"/>
      <c r="V132" s="46"/>
      <c r="W132" s="46"/>
      <c r="X132" s="46"/>
      <c r="Y132" s="46"/>
      <c r="Z132" s="46"/>
      <c r="AA132" s="46"/>
      <c r="AB132" s="46"/>
      <c r="AC132" s="46"/>
      <c r="AD132" s="46"/>
      <c r="AE132" s="46"/>
      <c r="AF132" s="46"/>
      <c r="AG132" s="123"/>
      <c r="AH132" s="123"/>
      <c r="AI132" s="123"/>
      <c r="AJ132" s="123"/>
      <c r="AK132" s="46"/>
      <c r="AL132" s="46"/>
      <c r="AM132" s="46"/>
      <c r="AN132" s="46"/>
      <c r="AO132" s="46"/>
    </row>
    <row r="133">
      <c r="A133" s="17"/>
      <c r="B133" s="46"/>
      <c r="C133" s="46"/>
      <c r="D133" s="46"/>
      <c r="E133" s="17"/>
      <c r="F133" s="46"/>
      <c r="G133" s="46"/>
      <c r="H133" s="46"/>
      <c r="I133" s="17"/>
      <c r="J133" s="46"/>
      <c r="K133" s="46"/>
      <c r="L133" s="46"/>
      <c r="M133" s="17"/>
      <c r="N133" s="46"/>
      <c r="O133" s="46"/>
      <c r="P133" s="46"/>
      <c r="Q133" s="46"/>
      <c r="R133" s="46"/>
      <c r="S133" s="46"/>
      <c r="T133" s="46"/>
      <c r="U133" s="46"/>
      <c r="V133" s="46"/>
      <c r="W133" s="46"/>
      <c r="X133" s="46"/>
      <c r="Y133" s="46"/>
      <c r="Z133" s="46"/>
      <c r="AA133" s="46"/>
      <c r="AB133" s="46"/>
      <c r="AC133" s="46"/>
      <c r="AD133" s="46"/>
      <c r="AE133" s="46"/>
      <c r="AF133" s="46"/>
      <c r="AG133" s="123"/>
      <c r="AH133" s="123"/>
      <c r="AI133" s="123"/>
      <c r="AJ133" s="123"/>
      <c r="AK133" s="46"/>
      <c r="AL133" s="46"/>
      <c r="AM133" s="46"/>
      <c r="AN133" s="46"/>
      <c r="AO133" s="46"/>
    </row>
    <row r="134">
      <c r="A134" s="17"/>
      <c r="B134" s="46"/>
      <c r="C134" s="46"/>
      <c r="D134" s="46"/>
      <c r="E134" s="17"/>
      <c r="F134" s="46"/>
      <c r="G134" s="46"/>
      <c r="H134" s="46"/>
      <c r="I134" s="17"/>
      <c r="J134" s="46"/>
      <c r="K134" s="46"/>
      <c r="L134" s="46"/>
      <c r="M134" s="17"/>
      <c r="N134" s="46"/>
      <c r="O134" s="46"/>
      <c r="P134" s="46"/>
      <c r="Q134" s="46"/>
      <c r="R134" s="46"/>
      <c r="S134" s="46"/>
      <c r="T134" s="46"/>
      <c r="U134" s="46"/>
      <c r="V134" s="46"/>
      <c r="W134" s="46"/>
      <c r="X134" s="46"/>
      <c r="Y134" s="46"/>
      <c r="Z134" s="46"/>
      <c r="AA134" s="46"/>
      <c r="AB134" s="46"/>
      <c r="AC134" s="46"/>
      <c r="AD134" s="46"/>
      <c r="AE134" s="46"/>
      <c r="AF134" s="46"/>
      <c r="AG134" s="123"/>
      <c r="AH134" s="123"/>
      <c r="AI134" s="123"/>
      <c r="AJ134" s="123"/>
      <c r="AK134" s="46"/>
      <c r="AL134" s="46"/>
      <c r="AM134" s="46"/>
      <c r="AN134" s="46"/>
      <c r="AO134" s="46"/>
    </row>
    <row r="135">
      <c r="A135" s="17"/>
      <c r="B135" s="46"/>
      <c r="C135" s="46"/>
      <c r="D135" s="46"/>
      <c r="E135" s="17"/>
      <c r="F135" s="46"/>
      <c r="G135" s="46"/>
      <c r="H135" s="46"/>
      <c r="I135" s="17"/>
      <c r="J135" s="46"/>
      <c r="K135" s="46"/>
      <c r="L135" s="46"/>
      <c r="M135" s="17"/>
      <c r="N135" s="46"/>
      <c r="O135" s="46"/>
      <c r="P135" s="46"/>
      <c r="Q135" s="46"/>
      <c r="R135" s="46"/>
      <c r="S135" s="46"/>
      <c r="T135" s="46"/>
      <c r="U135" s="46"/>
      <c r="V135" s="46"/>
      <c r="W135" s="46"/>
      <c r="X135" s="46"/>
      <c r="Y135" s="46"/>
      <c r="Z135" s="46"/>
      <c r="AA135" s="46"/>
      <c r="AB135" s="46"/>
      <c r="AC135" s="46"/>
      <c r="AD135" s="46"/>
      <c r="AE135" s="46"/>
      <c r="AF135" s="46"/>
      <c r="AG135" s="123"/>
      <c r="AH135" s="123"/>
      <c r="AI135" s="123"/>
      <c r="AJ135" s="123"/>
      <c r="AK135" s="46"/>
      <c r="AL135" s="46"/>
      <c r="AM135" s="46"/>
      <c r="AN135" s="46"/>
      <c r="AO135" s="46"/>
    </row>
    <row r="136">
      <c r="A136" s="17"/>
      <c r="B136" s="46"/>
      <c r="C136" s="46"/>
      <c r="D136" s="46"/>
      <c r="E136" s="17"/>
      <c r="F136" s="46"/>
      <c r="G136" s="46"/>
      <c r="H136" s="46"/>
      <c r="I136" s="17"/>
      <c r="J136" s="46"/>
      <c r="K136" s="46"/>
      <c r="L136" s="46"/>
      <c r="M136" s="17"/>
      <c r="N136" s="46"/>
      <c r="O136" s="46"/>
      <c r="P136" s="46"/>
      <c r="Q136" s="46"/>
      <c r="R136" s="46"/>
      <c r="S136" s="46"/>
      <c r="T136" s="46"/>
      <c r="U136" s="46"/>
      <c r="V136" s="46"/>
      <c r="W136" s="46"/>
      <c r="X136" s="46"/>
      <c r="Y136" s="46"/>
      <c r="Z136" s="46"/>
      <c r="AA136" s="46"/>
      <c r="AB136" s="46"/>
      <c r="AC136" s="46"/>
      <c r="AD136" s="46"/>
      <c r="AE136" s="46"/>
      <c r="AF136" s="46"/>
      <c r="AG136" s="123"/>
      <c r="AH136" s="123"/>
      <c r="AI136" s="123"/>
      <c r="AJ136" s="123"/>
      <c r="AK136" s="46"/>
      <c r="AL136" s="46"/>
      <c r="AM136" s="46"/>
      <c r="AN136" s="46"/>
      <c r="AO136" s="46"/>
    </row>
    <row r="137">
      <c r="A137" s="17"/>
      <c r="B137" s="46"/>
      <c r="C137" s="46"/>
      <c r="D137" s="46"/>
      <c r="E137" s="17"/>
      <c r="F137" s="46"/>
      <c r="G137" s="46"/>
      <c r="H137" s="46"/>
      <c r="I137" s="17"/>
      <c r="J137" s="46"/>
      <c r="K137" s="46"/>
      <c r="L137" s="46"/>
      <c r="M137" s="17"/>
      <c r="N137" s="46"/>
      <c r="O137" s="46"/>
      <c r="P137" s="46"/>
      <c r="Q137" s="46"/>
      <c r="R137" s="46"/>
      <c r="S137" s="46"/>
      <c r="T137" s="46"/>
      <c r="U137" s="46"/>
      <c r="V137" s="46"/>
      <c r="W137" s="46"/>
      <c r="X137" s="46"/>
      <c r="Y137" s="46"/>
      <c r="Z137" s="46"/>
      <c r="AA137" s="46"/>
      <c r="AB137" s="46"/>
      <c r="AC137" s="46"/>
      <c r="AD137" s="46"/>
      <c r="AE137" s="46"/>
      <c r="AF137" s="46"/>
      <c r="AG137" s="123"/>
      <c r="AH137" s="123"/>
      <c r="AI137" s="123"/>
      <c r="AJ137" s="123"/>
      <c r="AK137" s="46"/>
      <c r="AL137" s="46"/>
      <c r="AM137" s="46"/>
      <c r="AN137" s="46"/>
      <c r="AO137" s="46"/>
    </row>
    <row r="138">
      <c r="A138" s="17"/>
      <c r="B138" s="46"/>
      <c r="C138" s="46"/>
      <c r="D138" s="46"/>
      <c r="E138" s="17"/>
      <c r="F138" s="46"/>
      <c r="G138" s="46"/>
      <c r="H138" s="46"/>
      <c r="I138" s="17"/>
      <c r="J138" s="46"/>
      <c r="K138" s="46"/>
      <c r="L138" s="46"/>
      <c r="M138" s="17"/>
      <c r="N138" s="46"/>
      <c r="O138" s="46"/>
      <c r="P138" s="46"/>
      <c r="Q138" s="46"/>
      <c r="R138" s="46"/>
      <c r="S138" s="46"/>
      <c r="T138" s="46"/>
      <c r="U138" s="46"/>
      <c r="V138" s="46"/>
      <c r="W138" s="46"/>
      <c r="X138" s="46"/>
      <c r="Y138" s="46"/>
      <c r="Z138" s="46"/>
      <c r="AA138" s="46"/>
      <c r="AB138" s="46"/>
      <c r="AC138" s="46"/>
      <c r="AD138" s="46"/>
      <c r="AE138" s="46"/>
      <c r="AF138" s="46"/>
      <c r="AG138" s="123"/>
      <c r="AH138" s="123"/>
      <c r="AI138" s="123"/>
      <c r="AJ138" s="123"/>
      <c r="AK138" s="46"/>
      <c r="AL138" s="46"/>
      <c r="AM138" s="46"/>
      <c r="AN138" s="46"/>
      <c r="AO138" s="46"/>
    </row>
    <row r="139">
      <c r="A139" s="17"/>
      <c r="B139" s="46"/>
      <c r="C139" s="46"/>
      <c r="D139" s="46"/>
      <c r="E139" s="17"/>
      <c r="F139" s="46"/>
      <c r="G139" s="46"/>
      <c r="H139" s="46"/>
      <c r="I139" s="17"/>
      <c r="J139" s="46"/>
      <c r="K139" s="46"/>
      <c r="L139" s="46"/>
      <c r="M139" s="17"/>
      <c r="N139" s="46"/>
      <c r="O139" s="46"/>
      <c r="P139" s="46"/>
      <c r="Q139" s="46"/>
      <c r="R139" s="46"/>
      <c r="S139" s="46"/>
      <c r="T139" s="46"/>
      <c r="U139" s="46"/>
      <c r="V139" s="46"/>
      <c r="W139" s="46"/>
      <c r="X139" s="46"/>
      <c r="Y139" s="46"/>
      <c r="Z139" s="46"/>
      <c r="AA139" s="46"/>
      <c r="AB139" s="46"/>
      <c r="AC139" s="46"/>
      <c r="AD139" s="46"/>
      <c r="AE139" s="46"/>
      <c r="AF139" s="46"/>
      <c r="AG139" s="123"/>
      <c r="AH139" s="123"/>
      <c r="AI139" s="123"/>
      <c r="AJ139" s="123"/>
      <c r="AK139" s="46"/>
      <c r="AL139" s="46"/>
      <c r="AM139" s="46"/>
      <c r="AN139" s="46"/>
      <c r="AO139" s="46"/>
    </row>
    <row r="140">
      <c r="A140" s="17"/>
      <c r="B140" s="46"/>
      <c r="C140" s="46"/>
      <c r="D140" s="46"/>
      <c r="E140" s="17"/>
      <c r="F140" s="46"/>
      <c r="G140" s="46"/>
      <c r="H140" s="46"/>
      <c r="I140" s="17"/>
      <c r="J140" s="46"/>
      <c r="K140" s="46"/>
      <c r="L140" s="46"/>
      <c r="M140" s="17"/>
      <c r="N140" s="46"/>
      <c r="O140" s="46"/>
      <c r="P140" s="46"/>
      <c r="Q140" s="46"/>
      <c r="R140" s="46"/>
      <c r="S140" s="46"/>
      <c r="T140" s="46"/>
      <c r="U140" s="46"/>
      <c r="V140" s="46"/>
      <c r="W140" s="46"/>
      <c r="X140" s="46"/>
      <c r="Y140" s="46"/>
      <c r="Z140" s="46"/>
      <c r="AA140" s="46"/>
      <c r="AB140" s="46"/>
      <c r="AC140" s="46"/>
      <c r="AD140" s="46"/>
      <c r="AE140" s="46"/>
      <c r="AF140" s="46"/>
      <c r="AG140" s="123"/>
      <c r="AH140" s="123"/>
      <c r="AI140" s="123"/>
      <c r="AJ140" s="123"/>
      <c r="AK140" s="46"/>
      <c r="AL140" s="46"/>
      <c r="AM140" s="46"/>
      <c r="AN140" s="46"/>
      <c r="AO140" s="46"/>
    </row>
    <row r="141">
      <c r="A141" s="17"/>
      <c r="B141" s="46"/>
      <c r="C141" s="46"/>
      <c r="D141" s="46"/>
      <c r="E141" s="17"/>
      <c r="F141" s="46"/>
      <c r="G141" s="46"/>
      <c r="H141" s="46"/>
      <c r="I141" s="17"/>
      <c r="J141" s="46"/>
      <c r="K141" s="46"/>
      <c r="L141" s="46"/>
      <c r="M141" s="17"/>
      <c r="N141" s="46"/>
      <c r="O141" s="46"/>
      <c r="P141" s="46"/>
      <c r="Q141" s="46"/>
      <c r="R141" s="46"/>
      <c r="S141" s="46"/>
      <c r="T141" s="46"/>
      <c r="U141" s="46"/>
      <c r="V141" s="46"/>
      <c r="W141" s="46"/>
      <c r="X141" s="46"/>
      <c r="Y141" s="46"/>
      <c r="Z141" s="46"/>
      <c r="AA141" s="46"/>
      <c r="AB141" s="46"/>
      <c r="AC141" s="46"/>
      <c r="AD141" s="46"/>
      <c r="AE141" s="46"/>
      <c r="AF141" s="46"/>
      <c r="AG141" s="123"/>
      <c r="AH141" s="123"/>
      <c r="AI141" s="123"/>
      <c r="AJ141" s="123"/>
      <c r="AK141" s="46"/>
      <c r="AL141" s="46"/>
      <c r="AM141" s="46"/>
      <c r="AN141" s="46"/>
      <c r="AO141" s="46"/>
    </row>
    <row r="142">
      <c r="A142" s="17"/>
      <c r="B142" s="46"/>
      <c r="C142" s="46"/>
      <c r="D142" s="46"/>
      <c r="E142" s="17"/>
      <c r="F142" s="46"/>
      <c r="G142" s="46"/>
      <c r="H142" s="46"/>
      <c r="I142" s="17"/>
      <c r="J142" s="46"/>
      <c r="K142" s="46"/>
      <c r="L142" s="46"/>
      <c r="M142" s="17"/>
      <c r="N142" s="46"/>
      <c r="O142" s="46"/>
      <c r="P142" s="46"/>
      <c r="Q142" s="46"/>
      <c r="R142" s="46"/>
      <c r="S142" s="46"/>
      <c r="T142" s="46"/>
      <c r="U142" s="46"/>
      <c r="V142" s="46"/>
      <c r="W142" s="46"/>
      <c r="X142" s="46"/>
      <c r="Y142" s="46"/>
      <c r="Z142" s="46"/>
      <c r="AA142" s="46"/>
      <c r="AB142" s="46"/>
      <c r="AC142" s="46"/>
      <c r="AD142" s="46"/>
      <c r="AE142" s="46"/>
      <c r="AF142" s="46"/>
      <c r="AG142" s="123"/>
      <c r="AH142" s="123"/>
      <c r="AI142" s="123"/>
      <c r="AJ142" s="123"/>
      <c r="AK142" s="46"/>
      <c r="AL142" s="46"/>
      <c r="AM142" s="46"/>
      <c r="AN142" s="46"/>
      <c r="AO142" s="46"/>
    </row>
    <row r="143">
      <c r="A143" s="17"/>
      <c r="B143" s="46"/>
      <c r="C143" s="46"/>
      <c r="D143" s="46"/>
      <c r="E143" s="17"/>
      <c r="F143" s="46"/>
      <c r="G143" s="46"/>
      <c r="H143" s="46"/>
      <c r="I143" s="17"/>
      <c r="J143" s="46"/>
      <c r="K143" s="46"/>
      <c r="L143" s="46"/>
      <c r="M143" s="17"/>
      <c r="N143" s="46"/>
      <c r="O143" s="46"/>
      <c r="P143" s="46"/>
      <c r="Q143" s="46"/>
      <c r="R143" s="46"/>
      <c r="S143" s="46"/>
      <c r="T143" s="46"/>
      <c r="U143" s="46"/>
      <c r="V143" s="46"/>
      <c r="W143" s="46"/>
      <c r="X143" s="46"/>
      <c r="Y143" s="46"/>
      <c r="Z143" s="46"/>
      <c r="AA143" s="46"/>
      <c r="AB143" s="46"/>
      <c r="AC143" s="46"/>
      <c r="AD143" s="46"/>
      <c r="AE143" s="46"/>
      <c r="AF143" s="46"/>
      <c r="AG143" s="123"/>
      <c r="AH143" s="123"/>
      <c r="AI143" s="123"/>
      <c r="AJ143" s="123"/>
      <c r="AK143" s="46"/>
      <c r="AL143" s="46"/>
      <c r="AM143" s="46"/>
      <c r="AN143" s="46"/>
      <c r="AO143" s="46"/>
    </row>
    <row r="144">
      <c r="A144" s="17"/>
      <c r="B144" s="46"/>
      <c r="C144" s="46"/>
      <c r="D144" s="46"/>
      <c r="E144" s="17"/>
      <c r="F144" s="46"/>
      <c r="G144" s="46"/>
      <c r="H144" s="46"/>
      <c r="I144" s="17"/>
      <c r="J144" s="46"/>
      <c r="K144" s="46"/>
      <c r="L144" s="46"/>
      <c r="M144" s="17"/>
      <c r="N144" s="46"/>
      <c r="O144" s="46"/>
      <c r="P144" s="46"/>
      <c r="Q144" s="46"/>
      <c r="R144" s="46"/>
      <c r="S144" s="46"/>
      <c r="T144" s="46"/>
      <c r="U144" s="46"/>
      <c r="V144" s="46"/>
      <c r="W144" s="46"/>
      <c r="X144" s="46"/>
      <c r="Y144" s="46"/>
      <c r="Z144" s="46"/>
      <c r="AA144" s="46"/>
      <c r="AB144" s="46"/>
      <c r="AC144" s="46"/>
      <c r="AD144" s="46"/>
      <c r="AE144" s="46"/>
      <c r="AF144" s="46"/>
      <c r="AG144" s="123"/>
      <c r="AH144" s="123"/>
      <c r="AI144" s="123"/>
      <c r="AJ144" s="123"/>
      <c r="AK144" s="46"/>
      <c r="AL144" s="46"/>
      <c r="AM144" s="46"/>
      <c r="AN144" s="46"/>
      <c r="AO144" s="46"/>
    </row>
    <row r="145">
      <c r="A145" s="17"/>
      <c r="B145" s="46"/>
      <c r="C145" s="46"/>
      <c r="D145" s="46"/>
      <c r="E145" s="17"/>
      <c r="F145" s="46"/>
      <c r="G145" s="46"/>
      <c r="H145" s="46"/>
      <c r="I145" s="17"/>
      <c r="J145" s="46"/>
      <c r="K145" s="46"/>
      <c r="L145" s="46"/>
      <c r="M145" s="17"/>
      <c r="N145" s="46"/>
      <c r="O145" s="46"/>
      <c r="P145" s="46"/>
      <c r="Q145" s="46"/>
      <c r="R145" s="46"/>
      <c r="S145" s="46"/>
      <c r="T145" s="46"/>
      <c r="U145" s="46"/>
      <c r="V145" s="46"/>
      <c r="W145" s="46"/>
      <c r="X145" s="46"/>
      <c r="Y145" s="46"/>
      <c r="Z145" s="46"/>
      <c r="AA145" s="46"/>
      <c r="AB145" s="46"/>
      <c r="AC145" s="46"/>
      <c r="AD145" s="46"/>
      <c r="AE145" s="46"/>
      <c r="AF145" s="46"/>
      <c r="AG145" s="123"/>
      <c r="AH145" s="123"/>
      <c r="AI145" s="123"/>
      <c r="AJ145" s="123"/>
      <c r="AK145" s="46"/>
      <c r="AL145" s="46"/>
      <c r="AM145" s="46"/>
      <c r="AN145" s="46"/>
      <c r="AO145" s="46"/>
    </row>
    <row r="146">
      <c r="A146" s="17"/>
      <c r="B146" s="46"/>
      <c r="C146" s="46"/>
      <c r="D146" s="46"/>
      <c r="E146" s="17"/>
      <c r="F146" s="46"/>
      <c r="G146" s="46"/>
      <c r="H146" s="46"/>
      <c r="I146" s="17"/>
      <c r="J146" s="46"/>
      <c r="K146" s="46"/>
      <c r="L146" s="46"/>
      <c r="M146" s="17"/>
      <c r="N146" s="46"/>
      <c r="O146" s="46"/>
      <c r="P146" s="46"/>
      <c r="Q146" s="46"/>
      <c r="R146" s="46"/>
      <c r="S146" s="46"/>
      <c r="T146" s="46"/>
      <c r="U146" s="46"/>
      <c r="V146" s="46"/>
      <c r="W146" s="46"/>
      <c r="X146" s="46"/>
      <c r="Y146" s="46"/>
      <c r="Z146" s="46"/>
      <c r="AA146" s="46"/>
      <c r="AB146" s="46"/>
      <c r="AC146" s="46"/>
      <c r="AD146" s="46"/>
      <c r="AE146" s="46"/>
      <c r="AF146" s="46"/>
      <c r="AG146" s="123"/>
      <c r="AH146" s="123"/>
      <c r="AI146" s="123"/>
      <c r="AJ146" s="123"/>
      <c r="AK146" s="46"/>
      <c r="AL146" s="46"/>
      <c r="AM146" s="46"/>
      <c r="AN146" s="46"/>
      <c r="AO146" s="46"/>
    </row>
    <row r="147">
      <c r="A147" s="17"/>
      <c r="B147" s="46"/>
      <c r="C147" s="46"/>
      <c r="D147" s="46"/>
      <c r="E147" s="17"/>
      <c r="F147" s="46"/>
      <c r="G147" s="46"/>
      <c r="H147" s="46"/>
      <c r="I147" s="17"/>
      <c r="J147" s="46"/>
      <c r="K147" s="46"/>
      <c r="L147" s="46"/>
      <c r="M147" s="17"/>
      <c r="N147" s="46"/>
      <c r="O147" s="46"/>
      <c r="P147" s="46"/>
      <c r="Q147" s="46"/>
      <c r="R147" s="46"/>
      <c r="S147" s="46"/>
      <c r="T147" s="46"/>
      <c r="U147" s="46"/>
      <c r="V147" s="46"/>
      <c r="W147" s="46"/>
      <c r="X147" s="46"/>
      <c r="Y147" s="46"/>
      <c r="Z147" s="46"/>
      <c r="AA147" s="46"/>
      <c r="AB147" s="46"/>
      <c r="AC147" s="46"/>
      <c r="AD147" s="46"/>
      <c r="AE147" s="46"/>
      <c r="AF147" s="46"/>
      <c r="AG147" s="123"/>
      <c r="AH147" s="123"/>
      <c r="AI147" s="123"/>
      <c r="AJ147" s="123"/>
      <c r="AK147" s="46"/>
      <c r="AL147" s="46"/>
      <c r="AM147" s="46"/>
      <c r="AN147" s="46"/>
      <c r="AO147" s="46"/>
    </row>
    <row r="148">
      <c r="A148" s="17"/>
      <c r="B148" s="46"/>
      <c r="C148" s="46"/>
      <c r="D148" s="46"/>
      <c r="E148" s="17"/>
      <c r="F148" s="46"/>
      <c r="G148" s="46"/>
      <c r="H148" s="46"/>
      <c r="I148" s="17"/>
      <c r="J148" s="46"/>
      <c r="K148" s="46"/>
      <c r="L148" s="46"/>
      <c r="M148" s="17"/>
      <c r="N148" s="46"/>
      <c r="O148" s="46"/>
      <c r="P148" s="46"/>
      <c r="Q148" s="46"/>
      <c r="R148" s="46"/>
      <c r="S148" s="46"/>
      <c r="T148" s="46"/>
      <c r="U148" s="46"/>
      <c r="V148" s="46"/>
      <c r="W148" s="46"/>
      <c r="X148" s="46"/>
      <c r="Y148" s="46"/>
      <c r="Z148" s="46"/>
      <c r="AA148" s="46"/>
      <c r="AB148" s="46"/>
      <c r="AC148" s="46"/>
      <c r="AD148" s="46"/>
      <c r="AE148" s="46"/>
      <c r="AF148" s="46"/>
      <c r="AG148" s="123"/>
      <c r="AH148" s="123"/>
      <c r="AI148" s="123"/>
      <c r="AJ148" s="123"/>
      <c r="AK148" s="46"/>
      <c r="AL148" s="46"/>
      <c r="AM148" s="46"/>
      <c r="AN148" s="46"/>
      <c r="AO148" s="46"/>
    </row>
    <row r="149">
      <c r="A149" s="17"/>
      <c r="B149" s="46"/>
      <c r="C149" s="46"/>
      <c r="D149" s="46"/>
      <c r="E149" s="17"/>
      <c r="F149" s="46"/>
      <c r="G149" s="46"/>
      <c r="H149" s="46"/>
      <c r="I149" s="17"/>
      <c r="J149" s="46"/>
      <c r="K149" s="46"/>
      <c r="L149" s="46"/>
      <c r="M149" s="17"/>
      <c r="N149" s="46"/>
      <c r="O149" s="46"/>
      <c r="P149" s="46"/>
      <c r="Q149" s="46"/>
      <c r="R149" s="46"/>
      <c r="S149" s="46"/>
      <c r="T149" s="46"/>
      <c r="U149" s="46"/>
      <c r="V149" s="46"/>
      <c r="W149" s="46"/>
      <c r="X149" s="46"/>
      <c r="Y149" s="46"/>
      <c r="Z149" s="46"/>
      <c r="AA149" s="46"/>
      <c r="AB149" s="46"/>
      <c r="AC149" s="46"/>
      <c r="AD149" s="46"/>
      <c r="AE149" s="46"/>
      <c r="AF149" s="46"/>
      <c r="AG149" s="123"/>
      <c r="AH149" s="123"/>
      <c r="AI149" s="123"/>
      <c r="AJ149" s="123"/>
      <c r="AK149" s="46"/>
      <c r="AL149" s="46"/>
      <c r="AM149" s="46"/>
      <c r="AN149" s="46"/>
      <c r="AO149" s="46"/>
    </row>
    <row r="150">
      <c r="A150" s="17"/>
      <c r="B150" s="46"/>
      <c r="C150" s="46"/>
      <c r="D150" s="46"/>
      <c r="E150" s="17"/>
      <c r="F150" s="46"/>
      <c r="G150" s="46"/>
      <c r="H150" s="46"/>
      <c r="I150" s="17"/>
      <c r="J150" s="46"/>
      <c r="K150" s="46"/>
      <c r="L150" s="46"/>
      <c r="M150" s="17"/>
      <c r="N150" s="46"/>
      <c r="O150" s="46"/>
      <c r="P150" s="46"/>
      <c r="Q150" s="46"/>
      <c r="R150" s="46"/>
      <c r="S150" s="46"/>
      <c r="T150" s="46"/>
      <c r="U150" s="46"/>
      <c r="V150" s="46"/>
      <c r="W150" s="46"/>
      <c r="X150" s="46"/>
      <c r="Y150" s="46"/>
      <c r="Z150" s="46"/>
      <c r="AA150" s="46"/>
      <c r="AB150" s="46"/>
      <c r="AC150" s="46"/>
      <c r="AD150" s="46"/>
      <c r="AE150" s="46"/>
      <c r="AF150" s="46"/>
      <c r="AG150" s="123"/>
      <c r="AH150" s="123"/>
      <c r="AI150" s="123"/>
      <c r="AJ150" s="123"/>
      <c r="AK150" s="46"/>
      <c r="AL150" s="46"/>
      <c r="AM150" s="46"/>
      <c r="AN150" s="46"/>
      <c r="AO150" s="46"/>
    </row>
    <row r="151">
      <c r="A151" s="17"/>
      <c r="B151" s="46"/>
      <c r="C151" s="46"/>
      <c r="D151" s="46"/>
      <c r="E151" s="17"/>
      <c r="F151" s="46"/>
      <c r="G151" s="46"/>
      <c r="H151" s="46"/>
      <c r="I151" s="17"/>
      <c r="J151" s="46"/>
      <c r="K151" s="46"/>
      <c r="L151" s="46"/>
      <c r="M151" s="17"/>
      <c r="N151" s="46"/>
      <c r="O151" s="46"/>
      <c r="P151" s="46"/>
      <c r="Q151" s="46"/>
      <c r="R151" s="46"/>
      <c r="S151" s="46"/>
      <c r="T151" s="46"/>
      <c r="U151" s="46"/>
      <c r="V151" s="46"/>
      <c r="W151" s="46"/>
      <c r="X151" s="46"/>
      <c r="Y151" s="46"/>
      <c r="Z151" s="46"/>
      <c r="AA151" s="46"/>
      <c r="AB151" s="46"/>
      <c r="AC151" s="46"/>
      <c r="AD151" s="46"/>
      <c r="AE151" s="46"/>
      <c r="AF151" s="46"/>
      <c r="AG151" s="123"/>
      <c r="AH151" s="123"/>
      <c r="AI151" s="123"/>
      <c r="AJ151" s="123"/>
      <c r="AK151" s="46"/>
      <c r="AL151" s="46"/>
      <c r="AM151" s="46"/>
      <c r="AN151" s="46"/>
      <c r="AO151" s="46"/>
    </row>
    <row r="152">
      <c r="A152" s="17"/>
      <c r="B152" s="46"/>
      <c r="C152" s="46"/>
      <c r="D152" s="46"/>
      <c r="E152" s="17"/>
      <c r="F152" s="46"/>
      <c r="G152" s="46"/>
      <c r="H152" s="46"/>
      <c r="I152" s="17"/>
      <c r="J152" s="46"/>
      <c r="K152" s="46"/>
      <c r="L152" s="46"/>
      <c r="M152" s="17"/>
      <c r="N152" s="46"/>
      <c r="O152" s="46"/>
      <c r="P152" s="46"/>
      <c r="Q152" s="46"/>
      <c r="R152" s="46"/>
      <c r="S152" s="46"/>
      <c r="T152" s="46"/>
      <c r="U152" s="46"/>
      <c r="V152" s="46"/>
      <c r="W152" s="46"/>
      <c r="X152" s="46"/>
      <c r="Y152" s="46"/>
      <c r="Z152" s="46"/>
      <c r="AA152" s="46"/>
      <c r="AB152" s="46"/>
      <c r="AC152" s="46"/>
      <c r="AD152" s="46"/>
      <c r="AE152" s="46"/>
      <c r="AF152" s="46"/>
      <c r="AG152" s="123"/>
      <c r="AH152" s="123"/>
      <c r="AI152" s="123"/>
      <c r="AJ152" s="123"/>
      <c r="AK152" s="46"/>
      <c r="AL152" s="46"/>
      <c r="AM152" s="46"/>
      <c r="AN152" s="46"/>
      <c r="AO152" s="46"/>
    </row>
    <row r="153">
      <c r="A153" s="17"/>
      <c r="B153" s="46"/>
      <c r="C153" s="46"/>
      <c r="D153" s="46"/>
      <c r="E153" s="17"/>
      <c r="F153" s="46"/>
      <c r="G153" s="46"/>
      <c r="H153" s="46"/>
      <c r="I153" s="17"/>
      <c r="J153" s="46"/>
      <c r="K153" s="46"/>
      <c r="L153" s="46"/>
      <c r="M153" s="17"/>
      <c r="N153" s="46"/>
      <c r="O153" s="46"/>
      <c r="P153" s="46"/>
      <c r="Q153" s="46"/>
      <c r="R153" s="46"/>
      <c r="S153" s="46"/>
      <c r="T153" s="46"/>
      <c r="U153" s="46"/>
      <c r="V153" s="46"/>
      <c r="W153" s="46"/>
      <c r="X153" s="46"/>
      <c r="Y153" s="46"/>
      <c r="Z153" s="46"/>
      <c r="AA153" s="46"/>
      <c r="AB153" s="46"/>
      <c r="AC153" s="46"/>
      <c r="AD153" s="46"/>
      <c r="AE153" s="46"/>
      <c r="AF153" s="46"/>
      <c r="AG153" s="123"/>
      <c r="AH153" s="123"/>
      <c r="AI153" s="123"/>
      <c r="AJ153" s="123"/>
      <c r="AK153" s="46"/>
      <c r="AL153" s="46"/>
      <c r="AM153" s="46"/>
      <c r="AN153" s="46"/>
      <c r="AO153" s="46"/>
    </row>
    <row r="154">
      <c r="A154" s="17"/>
      <c r="B154" s="46"/>
      <c r="C154" s="46"/>
      <c r="D154" s="46"/>
      <c r="E154" s="17"/>
      <c r="F154" s="46"/>
      <c r="G154" s="46"/>
      <c r="H154" s="46"/>
      <c r="I154" s="17"/>
      <c r="J154" s="46"/>
      <c r="K154" s="46"/>
      <c r="L154" s="46"/>
      <c r="M154" s="17"/>
      <c r="N154" s="46"/>
      <c r="O154" s="46"/>
      <c r="P154" s="46"/>
      <c r="Q154" s="46"/>
      <c r="R154" s="46"/>
      <c r="S154" s="46"/>
      <c r="T154" s="46"/>
      <c r="U154" s="46"/>
      <c r="V154" s="46"/>
      <c r="W154" s="46"/>
      <c r="X154" s="46"/>
      <c r="Y154" s="46"/>
      <c r="Z154" s="46"/>
      <c r="AA154" s="46"/>
      <c r="AB154" s="46"/>
      <c r="AC154" s="46"/>
      <c r="AD154" s="46"/>
      <c r="AE154" s="46"/>
      <c r="AF154" s="46"/>
      <c r="AG154" s="123"/>
      <c r="AH154" s="123"/>
      <c r="AI154" s="123"/>
      <c r="AJ154" s="123"/>
      <c r="AK154" s="46"/>
      <c r="AL154" s="46"/>
      <c r="AM154" s="46"/>
      <c r="AN154" s="46"/>
      <c r="AO154" s="46"/>
    </row>
    <row r="155">
      <c r="A155" s="17"/>
      <c r="B155" s="46"/>
      <c r="C155" s="46"/>
      <c r="D155" s="46"/>
      <c r="E155" s="17"/>
      <c r="F155" s="46"/>
      <c r="G155" s="46"/>
      <c r="H155" s="46"/>
      <c r="I155" s="17"/>
      <c r="J155" s="46"/>
      <c r="K155" s="46"/>
      <c r="L155" s="46"/>
      <c r="M155" s="17"/>
      <c r="N155" s="46"/>
      <c r="O155" s="46"/>
      <c r="P155" s="46"/>
      <c r="Q155" s="46"/>
      <c r="R155" s="46"/>
      <c r="S155" s="46"/>
      <c r="T155" s="46"/>
      <c r="U155" s="46"/>
      <c r="V155" s="46"/>
      <c r="W155" s="46"/>
      <c r="X155" s="46"/>
      <c r="Y155" s="46"/>
      <c r="Z155" s="46"/>
      <c r="AA155" s="46"/>
      <c r="AB155" s="46"/>
      <c r="AC155" s="46"/>
      <c r="AD155" s="46"/>
      <c r="AE155" s="46"/>
      <c r="AF155" s="46"/>
      <c r="AG155" s="123"/>
      <c r="AH155" s="123"/>
      <c r="AI155" s="123"/>
      <c r="AJ155" s="123"/>
      <c r="AK155" s="46"/>
      <c r="AL155" s="46"/>
      <c r="AM155" s="46"/>
      <c r="AN155" s="46"/>
      <c r="AO155" s="46"/>
    </row>
    <row r="156">
      <c r="A156" s="17"/>
      <c r="B156" s="46"/>
      <c r="C156" s="46"/>
      <c r="D156" s="46"/>
      <c r="E156" s="17"/>
      <c r="F156" s="46"/>
      <c r="G156" s="46"/>
      <c r="H156" s="46"/>
      <c r="I156" s="17"/>
      <c r="J156" s="46"/>
      <c r="K156" s="46"/>
      <c r="L156" s="46"/>
      <c r="M156" s="17"/>
      <c r="N156" s="46"/>
      <c r="O156" s="46"/>
      <c r="P156" s="46"/>
      <c r="Q156" s="46"/>
      <c r="R156" s="46"/>
      <c r="S156" s="46"/>
      <c r="T156" s="46"/>
      <c r="U156" s="46"/>
      <c r="V156" s="46"/>
      <c r="W156" s="46"/>
      <c r="X156" s="46"/>
      <c r="Y156" s="46"/>
      <c r="Z156" s="46"/>
      <c r="AA156" s="46"/>
      <c r="AB156" s="46"/>
      <c r="AC156" s="46"/>
      <c r="AD156" s="46"/>
      <c r="AE156" s="46"/>
      <c r="AF156" s="46"/>
      <c r="AG156" s="123"/>
      <c r="AH156" s="123"/>
      <c r="AI156" s="123"/>
      <c r="AJ156" s="123"/>
      <c r="AK156" s="46"/>
      <c r="AL156" s="46"/>
      <c r="AM156" s="46"/>
      <c r="AN156" s="46"/>
      <c r="AO156" s="46"/>
    </row>
    <row r="157">
      <c r="A157" s="17"/>
      <c r="B157" s="46"/>
      <c r="C157" s="46"/>
      <c r="D157" s="46"/>
      <c r="E157" s="17"/>
      <c r="F157" s="46"/>
      <c r="G157" s="46"/>
      <c r="H157" s="46"/>
      <c r="I157" s="17"/>
      <c r="J157" s="46"/>
      <c r="K157" s="46"/>
      <c r="L157" s="46"/>
      <c r="M157" s="17"/>
      <c r="N157" s="46"/>
      <c r="O157" s="46"/>
      <c r="P157" s="46"/>
      <c r="Q157" s="46"/>
      <c r="R157" s="46"/>
      <c r="S157" s="46"/>
      <c r="T157" s="46"/>
      <c r="U157" s="46"/>
      <c r="V157" s="46"/>
      <c r="W157" s="46"/>
      <c r="X157" s="46"/>
      <c r="Y157" s="46"/>
      <c r="Z157" s="46"/>
      <c r="AA157" s="46"/>
      <c r="AB157" s="46"/>
      <c r="AC157" s="46"/>
      <c r="AD157" s="46"/>
      <c r="AE157" s="46"/>
      <c r="AF157" s="46"/>
      <c r="AG157" s="123"/>
      <c r="AH157" s="123"/>
      <c r="AI157" s="123"/>
      <c r="AJ157" s="123"/>
      <c r="AK157" s="46"/>
      <c r="AL157" s="46"/>
      <c r="AM157" s="46"/>
      <c r="AN157" s="46"/>
      <c r="AO157" s="46"/>
    </row>
    <row r="158">
      <c r="A158" s="17"/>
      <c r="B158" s="46"/>
      <c r="C158" s="46"/>
      <c r="D158" s="46"/>
      <c r="E158" s="17"/>
      <c r="F158" s="46"/>
      <c r="G158" s="46"/>
      <c r="H158" s="46"/>
      <c r="I158" s="17"/>
      <c r="J158" s="46"/>
      <c r="K158" s="46"/>
      <c r="L158" s="46"/>
      <c r="M158" s="17"/>
      <c r="N158" s="46"/>
      <c r="O158" s="46"/>
      <c r="P158" s="46"/>
      <c r="Q158" s="46"/>
      <c r="R158" s="46"/>
      <c r="S158" s="46"/>
      <c r="T158" s="46"/>
      <c r="U158" s="46"/>
      <c r="V158" s="46"/>
      <c r="W158" s="46"/>
      <c r="X158" s="46"/>
      <c r="Y158" s="46"/>
      <c r="Z158" s="46"/>
      <c r="AA158" s="46"/>
      <c r="AB158" s="46"/>
      <c r="AC158" s="46"/>
      <c r="AD158" s="46"/>
      <c r="AE158" s="46"/>
      <c r="AF158" s="46"/>
      <c r="AG158" s="123"/>
      <c r="AH158" s="123"/>
      <c r="AI158" s="123"/>
      <c r="AJ158" s="123"/>
      <c r="AK158" s="46"/>
      <c r="AL158" s="46"/>
      <c r="AM158" s="46"/>
      <c r="AN158" s="46"/>
      <c r="AO158" s="46"/>
    </row>
    <row r="159">
      <c r="A159" s="17"/>
      <c r="B159" s="46"/>
      <c r="C159" s="46"/>
      <c r="D159" s="46"/>
      <c r="E159" s="17"/>
      <c r="F159" s="46"/>
      <c r="G159" s="46"/>
      <c r="H159" s="46"/>
      <c r="I159" s="17"/>
      <c r="J159" s="46"/>
      <c r="K159" s="46"/>
      <c r="L159" s="46"/>
      <c r="M159" s="17"/>
      <c r="N159" s="46"/>
      <c r="O159" s="46"/>
      <c r="P159" s="46"/>
      <c r="Q159" s="46"/>
      <c r="R159" s="46"/>
      <c r="S159" s="46"/>
      <c r="T159" s="46"/>
      <c r="U159" s="46"/>
      <c r="V159" s="46"/>
      <c r="W159" s="46"/>
      <c r="X159" s="46"/>
      <c r="Y159" s="46"/>
      <c r="Z159" s="46"/>
      <c r="AA159" s="46"/>
      <c r="AB159" s="46"/>
      <c r="AC159" s="46"/>
      <c r="AD159" s="46"/>
      <c r="AE159" s="46"/>
      <c r="AF159" s="46"/>
      <c r="AG159" s="123"/>
      <c r="AH159" s="123"/>
      <c r="AI159" s="123"/>
      <c r="AJ159" s="123"/>
      <c r="AK159" s="46"/>
      <c r="AL159" s="46"/>
      <c r="AM159" s="46"/>
      <c r="AN159" s="46"/>
      <c r="AO159" s="46"/>
    </row>
    <row r="160">
      <c r="A160" s="17"/>
      <c r="B160" s="46"/>
      <c r="C160" s="46"/>
      <c r="D160" s="46"/>
      <c r="E160" s="17"/>
      <c r="F160" s="46"/>
      <c r="G160" s="46"/>
      <c r="H160" s="46"/>
      <c r="I160" s="17"/>
      <c r="J160" s="46"/>
      <c r="K160" s="46"/>
      <c r="L160" s="46"/>
      <c r="M160" s="17"/>
      <c r="N160" s="46"/>
      <c r="O160" s="46"/>
      <c r="P160" s="46"/>
      <c r="Q160" s="46"/>
      <c r="R160" s="46"/>
      <c r="S160" s="46"/>
      <c r="T160" s="46"/>
      <c r="U160" s="46"/>
      <c r="V160" s="46"/>
      <c r="W160" s="46"/>
      <c r="X160" s="46"/>
      <c r="Y160" s="46"/>
      <c r="Z160" s="46"/>
      <c r="AA160" s="46"/>
      <c r="AB160" s="46"/>
      <c r="AC160" s="46"/>
      <c r="AD160" s="46"/>
      <c r="AE160" s="46"/>
      <c r="AF160" s="46"/>
      <c r="AG160" s="123"/>
      <c r="AH160" s="123"/>
      <c r="AI160" s="123"/>
      <c r="AJ160" s="123"/>
      <c r="AK160" s="46"/>
      <c r="AL160" s="46"/>
      <c r="AM160" s="46"/>
      <c r="AN160" s="46"/>
      <c r="AO160" s="46"/>
    </row>
    <row r="161">
      <c r="A161" s="17"/>
      <c r="B161" s="46"/>
      <c r="C161" s="46"/>
      <c r="D161" s="46"/>
      <c r="E161" s="17"/>
      <c r="F161" s="46"/>
      <c r="G161" s="46"/>
      <c r="H161" s="46"/>
      <c r="I161" s="17"/>
      <c r="J161" s="46"/>
      <c r="K161" s="46"/>
      <c r="L161" s="46"/>
      <c r="M161" s="17"/>
      <c r="N161" s="46"/>
      <c r="O161" s="46"/>
      <c r="P161" s="46"/>
      <c r="Q161" s="46"/>
      <c r="R161" s="46"/>
      <c r="S161" s="46"/>
      <c r="T161" s="46"/>
      <c r="U161" s="46"/>
      <c r="V161" s="46"/>
      <c r="W161" s="46"/>
      <c r="X161" s="46"/>
      <c r="Y161" s="46"/>
      <c r="Z161" s="46"/>
      <c r="AA161" s="46"/>
      <c r="AB161" s="46"/>
      <c r="AC161" s="46"/>
      <c r="AD161" s="46"/>
      <c r="AE161" s="46"/>
      <c r="AF161" s="46"/>
      <c r="AG161" s="123"/>
      <c r="AH161" s="123"/>
      <c r="AI161" s="123"/>
      <c r="AJ161" s="123"/>
      <c r="AK161" s="46"/>
      <c r="AL161" s="46"/>
      <c r="AM161" s="46"/>
      <c r="AN161" s="46"/>
      <c r="AO161" s="46"/>
    </row>
    <row r="162">
      <c r="A162" s="17"/>
      <c r="B162" s="46"/>
      <c r="C162" s="46"/>
      <c r="D162" s="46"/>
      <c r="E162" s="17"/>
      <c r="F162" s="46"/>
      <c r="G162" s="46"/>
      <c r="H162" s="46"/>
      <c r="I162" s="17"/>
      <c r="J162" s="46"/>
      <c r="K162" s="46"/>
      <c r="L162" s="46"/>
      <c r="M162" s="17"/>
      <c r="N162" s="46"/>
      <c r="O162" s="46"/>
      <c r="P162" s="46"/>
      <c r="Q162" s="46"/>
      <c r="R162" s="46"/>
      <c r="S162" s="46"/>
      <c r="T162" s="46"/>
      <c r="U162" s="46"/>
      <c r="V162" s="46"/>
      <c r="W162" s="46"/>
      <c r="X162" s="46"/>
      <c r="Y162" s="46"/>
      <c r="Z162" s="46"/>
      <c r="AA162" s="46"/>
      <c r="AB162" s="46"/>
      <c r="AC162" s="46"/>
      <c r="AD162" s="46"/>
      <c r="AE162" s="46"/>
      <c r="AF162" s="46"/>
      <c r="AG162" s="123"/>
      <c r="AH162" s="123"/>
      <c r="AI162" s="123"/>
      <c r="AJ162" s="123"/>
      <c r="AK162" s="46"/>
      <c r="AL162" s="46"/>
      <c r="AM162" s="46"/>
      <c r="AN162" s="46"/>
      <c r="AO162" s="46"/>
    </row>
    <row r="163">
      <c r="A163" s="17"/>
      <c r="B163" s="46"/>
      <c r="C163" s="46"/>
      <c r="D163" s="46"/>
      <c r="E163" s="17"/>
      <c r="F163" s="46"/>
      <c r="G163" s="46"/>
      <c r="H163" s="46"/>
      <c r="I163" s="17"/>
      <c r="J163" s="46"/>
      <c r="K163" s="46"/>
      <c r="L163" s="46"/>
      <c r="M163" s="17"/>
      <c r="N163" s="46"/>
      <c r="O163" s="46"/>
      <c r="P163" s="46"/>
      <c r="Q163" s="46"/>
      <c r="R163" s="46"/>
      <c r="S163" s="46"/>
      <c r="T163" s="46"/>
      <c r="U163" s="46"/>
      <c r="V163" s="46"/>
      <c r="W163" s="46"/>
      <c r="X163" s="46"/>
      <c r="Y163" s="46"/>
      <c r="Z163" s="46"/>
      <c r="AA163" s="46"/>
      <c r="AB163" s="46"/>
      <c r="AC163" s="46"/>
      <c r="AD163" s="46"/>
      <c r="AE163" s="46"/>
      <c r="AF163" s="46"/>
      <c r="AG163" s="123"/>
      <c r="AH163" s="123"/>
      <c r="AI163" s="123"/>
      <c r="AJ163" s="123"/>
      <c r="AK163" s="46"/>
      <c r="AL163" s="46"/>
      <c r="AM163" s="46"/>
      <c r="AN163" s="46"/>
      <c r="AO163" s="46"/>
    </row>
    <row r="164">
      <c r="A164" s="17"/>
      <c r="B164" s="46"/>
      <c r="C164" s="46"/>
      <c r="D164" s="46"/>
      <c r="E164" s="17"/>
      <c r="F164" s="46"/>
      <c r="G164" s="46"/>
      <c r="H164" s="46"/>
      <c r="I164" s="17"/>
      <c r="J164" s="46"/>
      <c r="K164" s="46"/>
      <c r="L164" s="46"/>
      <c r="M164" s="17"/>
      <c r="N164" s="46"/>
      <c r="O164" s="46"/>
      <c r="P164" s="46"/>
      <c r="Q164" s="46"/>
      <c r="R164" s="46"/>
      <c r="S164" s="46"/>
      <c r="T164" s="46"/>
      <c r="U164" s="46"/>
      <c r="V164" s="46"/>
      <c r="W164" s="46"/>
      <c r="X164" s="46"/>
      <c r="Y164" s="46"/>
      <c r="Z164" s="46"/>
      <c r="AA164" s="46"/>
      <c r="AB164" s="46"/>
      <c r="AC164" s="46"/>
      <c r="AD164" s="46"/>
      <c r="AE164" s="46"/>
      <c r="AF164" s="46"/>
      <c r="AG164" s="123"/>
      <c r="AH164" s="123"/>
      <c r="AI164" s="123"/>
      <c r="AJ164" s="123"/>
      <c r="AK164" s="46"/>
      <c r="AL164" s="46"/>
      <c r="AM164" s="46"/>
      <c r="AN164" s="46"/>
      <c r="AO164" s="46"/>
    </row>
    <row r="165">
      <c r="A165" s="17"/>
      <c r="B165" s="46"/>
      <c r="C165" s="46"/>
      <c r="D165" s="46"/>
      <c r="E165" s="17"/>
      <c r="F165" s="46"/>
      <c r="G165" s="46"/>
      <c r="H165" s="46"/>
      <c r="I165" s="17"/>
      <c r="J165" s="46"/>
      <c r="K165" s="46"/>
      <c r="L165" s="46"/>
      <c r="M165" s="17"/>
      <c r="N165" s="46"/>
      <c r="O165" s="46"/>
      <c r="P165" s="46"/>
      <c r="Q165" s="46"/>
      <c r="R165" s="46"/>
      <c r="S165" s="46"/>
      <c r="T165" s="46"/>
      <c r="U165" s="46"/>
      <c r="V165" s="46"/>
      <c r="W165" s="46"/>
      <c r="X165" s="46"/>
      <c r="Y165" s="46"/>
      <c r="Z165" s="46"/>
      <c r="AA165" s="46"/>
      <c r="AB165" s="46"/>
      <c r="AC165" s="46"/>
      <c r="AD165" s="46"/>
      <c r="AE165" s="46"/>
      <c r="AF165" s="46"/>
      <c r="AG165" s="123"/>
      <c r="AH165" s="123"/>
      <c r="AI165" s="123"/>
      <c r="AJ165" s="123"/>
      <c r="AK165" s="46"/>
      <c r="AL165" s="46"/>
      <c r="AM165" s="46"/>
      <c r="AN165" s="46"/>
      <c r="AO165" s="46"/>
    </row>
    <row r="166">
      <c r="A166" s="17"/>
      <c r="B166" s="46"/>
      <c r="C166" s="46"/>
      <c r="D166" s="46"/>
      <c r="E166" s="17"/>
      <c r="F166" s="46"/>
      <c r="G166" s="46"/>
      <c r="H166" s="46"/>
      <c r="I166" s="17"/>
      <c r="J166" s="46"/>
      <c r="K166" s="46"/>
      <c r="L166" s="46"/>
      <c r="M166" s="17"/>
      <c r="N166" s="46"/>
      <c r="O166" s="46"/>
      <c r="P166" s="46"/>
      <c r="Q166" s="46"/>
      <c r="R166" s="46"/>
      <c r="S166" s="46"/>
      <c r="T166" s="46"/>
      <c r="U166" s="46"/>
      <c r="V166" s="46"/>
      <c r="W166" s="46"/>
      <c r="X166" s="46"/>
      <c r="Y166" s="46"/>
      <c r="Z166" s="46"/>
      <c r="AA166" s="46"/>
      <c r="AB166" s="46"/>
      <c r="AC166" s="46"/>
      <c r="AD166" s="46"/>
      <c r="AE166" s="46"/>
      <c r="AF166" s="46"/>
      <c r="AG166" s="123"/>
      <c r="AH166" s="123"/>
      <c r="AI166" s="123"/>
      <c r="AJ166" s="123"/>
      <c r="AK166" s="46"/>
      <c r="AL166" s="46"/>
      <c r="AM166" s="46"/>
      <c r="AN166" s="46"/>
      <c r="AO166" s="46"/>
    </row>
    <row r="167">
      <c r="A167" s="17"/>
      <c r="B167" s="46"/>
      <c r="C167" s="46"/>
      <c r="D167" s="46"/>
      <c r="E167" s="17"/>
      <c r="F167" s="46"/>
      <c r="G167" s="46"/>
      <c r="H167" s="46"/>
      <c r="I167" s="17"/>
      <c r="J167" s="46"/>
      <c r="K167" s="46"/>
      <c r="L167" s="46"/>
      <c r="M167" s="17"/>
      <c r="N167" s="46"/>
      <c r="O167" s="46"/>
      <c r="P167" s="46"/>
      <c r="Q167" s="46"/>
      <c r="R167" s="46"/>
      <c r="S167" s="46"/>
      <c r="T167" s="46"/>
      <c r="U167" s="46"/>
      <c r="V167" s="46"/>
      <c r="W167" s="46"/>
      <c r="X167" s="46"/>
      <c r="Y167" s="46"/>
      <c r="Z167" s="46"/>
      <c r="AA167" s="46"/>
      <c r="AB167" s="46"/>
      <c r="AC167" s="46"/>
      <c r="AD167" s="46"/>
      <c r="AE167" s="46"/>
      <c r="AF167" s="46"/>
      <c r="AG167" s="123"/>
      <c r="AH167" s="123"/>
      <c r="AI167" s="123"/>
      <c r="AJ167" s="123"/>
      <c r="AK167" s="46"/>
      <c r="AL167" s="46"/>
      <c r="AM167" s="46"/>
      <c r="AN167" s="46"/>
      <c r="AO167" s="46"/>
    </row>
    <row r="168">
      <c r="A168" s="17"/>
      <c r="B168" s="46"/>
      <c r="C168" s="46"/>
      <c r="D168" s="46"/>
      <c r="E168" s="17"/>
      <c r="F168" s="46"/>
      <c r="G168" s="46"/>
      <c r="H168" s="46"/>
      <c r="I168" s="17"/>
      <c r="J168" s="46"/>
      <c r="K168" s="46"/>
      <c r="L168" s="46"/>
      <c r="M168" s="17"/>
      <c r="N168" s="46"/>
      <c r="O168" s="46"/>
      <c r="P168" s="46"/>
      <c r="Q168" s="46"/>
      <c r="R168" s="46"/>
      <c r="S168" s="46"/>
      <c r="T168" s="46"/>
      <c r="U168" s="46"/>
      <c r="V168" s="46"/>
      <c r="W168" s="46"/>
      <c r="X168" s="46"/>
      <c r="Y168" s="46"/>
      <c r="Z168" s="46"/>
      <c r="AA168" s="46"/>
      <c r="AB168" s="46"/>
      <c r="AC168" s="46"/>
      <c r="AD168" s="46"/>
      <c r="AE168" s="46"/>
      <c r="AF168" s="46"/>
      <c r="AG168" s="123"/>
      <c r="AH168" s="123"/>
      <c r="AI168" s="123"/>
      <c r="AJ168" s="123"/>
      <c r="AK168" s="46"/>
      <c r="AL168" s="46"/>
      <c r="AM168" s="46"/>
      <c r="AN168" s="46"/>
      <c r="AO168" s="46"/>
    </row>
    <row r="169">
      <c r="A169" s="17"/>
      <c r="B169" s="46"/>
      <c r="C169" s="46"/>
      <c r="D169" s="46"/>
      <c r="E169" s="17"/>
      <c r="F169" s="46"/>
      <c r="G169" s="46"/>
      <c r="H169" s="46"/>
      <c r="I169" s="17"/>
      <c r="J169" s="46"/>
      <c r="K169" s="46"/>
      <c r="L169" s="46"/>
      <c r="M169" s="17"/>
      <c r="N169" s="46"/>
      <c r="O169" s="46"/>
      <c r="P169" s="46"/>
      <c r="Q169" s="46"/>
      <c r="R169" s="46"/>
      <c r="S169" s="46"/>
      <c r="T169" s="46"/>
      <c r="U169" s="46"/>
      <c r="V169" s="46"/>
      <c r="W169" s="46"/>
      <c r="X169" s="46"/>
      <c r="Y169" s="46"/>
      <c r="Z169" s="46"/>
      <c r="AA169" s="46"/>
      <c r="AB169" s="46"/>
      <c r="AC169" s="46"/>
      <c r="AD169" s="46"/>
      <c r="AE169" s="46"/>
      <c r="AF169" s="46"/>
      <c r="AG169" s="123"/>
      <c r="AH169" s="123"/>
      <c r="AI169" s="123"/>
      <c r="AJ169" s="123"/>
      <c r="AK169" s="46"/>
      <c r="AL169" s="46"/>
      <c r="AM169" s="46"/>
      <c r="AN169" s="46"/>
      <c r="AO169" s="46"/>
    </row>
    <row r="170">
      <c r="A170" s="17"/>
      <c r="B170" s="46"/>
      <c r="C170" s="46"/>
      <c r="D170" s="46"/>
      <c r="E170" s="17"/>
      <c r="F170" s="46"/>
      <c r="G170" s="46"/>
      <c r="H170" s="46"/>
      <c r="I170" s="17"/>
      <c r="J170" s="46"/>
      <c r="K170" s="46"/>
      <c r="L170" s="46"/>
      <c r="M170" s="17"/>
      <c r="N170" s="46"/>
      <c r="O170" s="46"/>
      <c r="P170" s="46"/>
      <c r="Q170" s="46"/>
      <c r="R170" s="46"/>
      <c r="S170" s="46"/>
      <c r="T170" s="46"/>
      <c r="U170" s="46"/>
      <c r="V170" s="46"/>
      <c r="W170" s="46"/>
      <c r="X170" s="46"/>
      <c r="Y170" s="46"/>
      <c r="Z170" s="46"/>
      <c r="AA170" s="46"/>
      <c r="AB170" s="46"/>
      <c r="AC170" s="46"/>
      <c r="AD170" s="46"/>
      <c r="AE170" s="46"/>
      <c r="AF170" s="46"/>
      <c r="AG170" s="123"/>
      <c r="AH170" s="123"/>
      <c r="AI170" s="123"/>
      <c r="AJ170" s="123"/>
      <c r="AK170" s="46"/>
      <c r="AL170" s="46"/>
      <c r="AM170" s="46"/>
      <c r="AN170" s="46"/>
      <c r="AO170" s="46"/>
    </row>
    <row r="171">
      <c r="A171" s="17"/>
      <c r="B171" s="46"/>
      <c r="C171" s="46"/>
      <c r="D171" s="46"/>
      <c r="E171" s="17"/>
      <c r="F171" s="46"/>
      <c r="G171" s="46"/>
      <c r="H171" s="46"/>
      <c r="I171" s="17"/>
      <c r="J171" s="46"/>
      <c r="K171" s="46"/>
      <c r="L171" s="46"/>
      <c r="M171" s="17"/>
      <c r="N171" s="46"/>
      <c r="O171" s="46"/>
      <c r="P171" s="46"/>
      <c r="Q171" s="46"/>
      <c r="R171" s="46"/>
      <c r="S171" s="46"/>
      <c r="T171" s="46"/>
      <c r="U171" s="46"/>
      <c r="V171" s="46"/>
      <c r="W171" s="46"/>
      <c r="X171" s="46"/>
      <c r="Y171" s="46"/>
      <c r="Z171" s="46"/>
      <c r="AA171" s="46"/>
      <c r="AB171" s="46"/>
      <c r="AC171" s="46"/>
      <c r="AD171" s="46"/>
      <c r="AE171" s="46"/>
      <c r="AF171" s="46"/>
      <c r="AG171" s="123"/>
      <c r="AH171" s="123"/>
      <c r="AI171" s="123"/>
      <c r="AJ171" s="123"/>
      <c r="AK171" s="46"/>
      <c r="AL171" s="46"/>
      <c r="AM171" s="46"/>
      <c r="AN171" s="46"/>
      <c r="AO171" s="46"/>
    </row>
    <row r="172">
      <c r="A172" s="17"/>
      <c r="B172" s="46"/>
      <c r="C172" s="46"/>
      <c r="D172" s="46"/>
      <c r="E172" s="17"/>
      <c r="F172" s="46"/>
      <c r="G172" s="46"/>
      <c r="H172" s="46"/>
      <c r="I172" s="17"/>
      <c r="J172" s="46"/>
      <c r="K172" s="46"/>
      <c r="L172" s="46"/>
      <c r="M172" s="17"/>
      <c r="N172" s="46"/>
      <c r="O172" s="46"/>
      <c r="P172" s="46"/>
      <c r="Q172" s="46"/>
      <c r="R172" s="46"/>
      <c r="S172" s="46"/>
      <c r="T172" s="46"/>
      <c r="U172" s="46"/>
      <c r="V172" s="46"/>
      <c r="W172" s="46"/>
      <c r="X172" s="46"/>
      <c r="Y172" s="46"/>
      <c r="Z172" s="46"/>
      <c r="AA172" s="46"/>
      <c r="AB172" s="46"/>
      <c r="AC172" s="46"/>
      <c r="AD172" s="46"/>
      <c r="AE172" s="46"/>
      <c r="AF172" s="46"/>
      <c r="AG172" s="123"/>
      <c r="AH172" s="123"/>
      <c r="AI172" s="123"/>
      <c r="AJ172" s="123"/>
      <c r="AK172" s="46"/>
      <c r="AL172" s="46"/>
      <c r="AM172" s="46"/>
      <c r="AN172" s="46"/>
      <c r="AO172" s="46"/>
    </row>
    <row r="173">
      <c r="A173" s="17"/>
      <c r="B173" s="46"/>
      <c r="C173" s="46"/>
      <c r="D173" s="46"/>
      <c r="E173" s="17"/>
      <c r="F173" s="46"/>
      <c r="G173" s="46"/>
      <c r="H173" s="46"/>
      <c r="I173" s="17"/>
      <c r="J173" s="46"/>
      <c r="K173" s="46"/>
      <c r="L173" s="46"/>
      <c r="M173" s="17"/>
      <c r="N173" s="46"/>
      <c r="O173" s="46"/>
      <c r="P173" s="46"/>
      <c r="Q173" s="46"/>
      <c r="R173" s="46"/>
      <c r="S173" s="46"/>
      <c r="T173" s="46"/>
      <c r="U173" s="46"/>
      <c r="V173" s="46"/>
      <c r="W173" s="46"/>
      <c r="X173" s="46"/>
      <c r="Y173" s="46"/>
      <c r="Z173" s="46"/>
      <c r="AA173" s="46"/>
      <c r="AB173" s="46"/>
      <c r="AC173" s="46"/>
      <c r="AD173" s="46"/>
      <c r="AE173" s="46"/>
      <c r="AF173" s="46"/>
      <c r="AG173" s="123"/>
      <c r="AH173" s="123"/>
      <c r="AI173" s="123"/>
      <c r="AJ173" s="123"/>
      <c r="AK173" s="46"/>
      <c r="AL173" s="46"/>
      <c r="AM173" s="46"/>
      <c r="AN173" s="46"/>
      <c r="AO173" s="46"/>
    </row>
    <row r="174">
      <c r="A174" s="17"/>
      <c r="B174" s="46"/>
      <c r="C174" s="46"/>
      <c r="D174" s="46"/>
      <c r="E174" s="17"/>
      <c r="F174" s="46"/>
      <c r="G174" s="46"/>
      <c r="H174" s="46"/>
      <c r="I174" s="17"/>
      <c r="J174" s="46"/>
      <c r="K174" s="46"/>
      <c r="L174" s="46"/>
      <c r="M174" s="17"/>
      <c r="N174" s="46"/>
      <c r="O174" s="46"/>
      <c r="P174" s="46"/>
      <c r="Q174" s="46"/>
      <c r="R174" s="46"/>
      <c r="S174" s="46"/>
      <c r="T174" s="46"/>
      <c r="U174" s="46"/>
      <c r="V174" s="46"/>
      <c r="W174" s="46"/>
      <c r="X174" s="46"/>
      <c r="Y174" s="46"/>
      <c r="Z174" s="46"/>
      <c r="AA174" s="46"/>
      <c r="AB174" s="46"/>
      <c r="AC174" s="46"/>
      <c r="AD174" s="46"/>
      <c r="AE174" s="46"/>
      <c r="AF174" s="46"/>
      <c r="AG174" s="123"/>
      <c r="AH174" s="123"/>
      <c r="AI174" s="123"/>
      <c r="AJ174" s="123"/>
      <c r="AK174" s="46"/>
      <c r="AL174" s="46"/>
      <c r="AM174" s="46"/>
      <c r="AN174" s="46"/>
      <c r="AO174" s="46"/>
    </row>
    <row r="175">
      <c r="A175" s="17"/>
      <c r="B175" s="46"/>
      <c r="C175" s="46"/>
      <c r="D175" s="46"/>
      <c r="E175" s="17"/>
      <c r="F175" s="46"/>
      <c r="G175" s="46"/>
      <c r="H175" s="46"/>
      <c r="I175" s="17"/>
      <c r="J175" s="46"/>
      <c r="K175" s="46"/>
      <c r="L175" s="46"/>
      <c r="M175" s="17"/>
      <c r="N175" s="46"/>
      <c r="O175" s="46"/>
      <c r="P175" s="46"/>
      <c r="Q175" s="46"/>
      <c r="R175" s="46"/>
      <c r="S175" s="46"/>
      <c r="T175" s="46"/>
      <c r="U175" s="46"/>
      <c r="V175" s="46"/>
      <c r="W175" s="46"/>
      <c r="X175" s="46"/>
      <c r="Y175" s="46"/>
      <c r="Z175" s="46"/>
      <c r="AA175" s="46"/>
      <c r="AB175" s="46"/>
      <c r="AC175" s="46"/>
      <c r="AD175" s="46"/>
      <c r="AE175" s="46"/>
      <c r="AF175" s="46"/>
      <c r="AG175" s="123"/>
      <c r="AH175" s="123"/>
      <c r="AI175" s="123"/>
      <c r="AJ175" s="123"/>
      <c r="AK175" s="46"/>
      <c r="AL175" s="46"/>
      <c r="AM175" s="46"/>
      <c r="AN175" s="46"/>
      <c r="AO175" s="46"/>
    </row>
    <row r="176">
      <c r="A176" s="17"/>
      <c r="B176" s="46"/>
      <c r="C176" s="46"/>
      <c r="D176" s="46"/>
      <c r="E176" s="17"/>
      <c r="F176" s="46"/>
      <c r="G176" s="46"/>
      <c r="H176" s="46"/>
      <c r="I176" s="17"/>
      <c r="J176" s="46"/>
      <c r="K176" s="46"/>
      <c r="L176" s="46"/>
      <c r="M176" s="17"/>
      <c r="N176" s="46"/>
      <c r="O176" s="46"/>
      <c r="P176" s="46"/>
      <c r="Q176" s="46"/>
      <c r="R176" s="46"/>
      <c r="S176" s="46"/>
      <c r="T176" s="46"/>
      <c r="U176" s="46"/>
      <c r="V176" s="46"/>
      <c r="W176" s="46"/>
      <c r="X176" s="46"/>
      <c r="Y176" s="46"/>
      <c r="Z176" s="46"/>
      <c r="AA176" s="46"/>
      <c r="AB176" s="46"/>
      <c r="AC176" s="46"/>
      <c r="AD176" s="46"/>
      <c r="AE176" s="46"/>
      <c r="AF176" s="46"/>
      <c r="AG176" s="123"/>
      <c r="AH176" s="123"/>
      <c r="AI176" s="123"/>
      <c r="AJ176" s="123"/>
      <c r="AK176" s="46"/>
      <c r="AL176" s="46"/>
      <c r="AM176" s="46"/>
      <c r="AN176" s="46"/>
      <c r="AO176" s="46"/>
    </row>
    <row r="177">
      <c r="A177" s="17"/>
      <c r="B177" s="46"/>
      <c r="C177" s="46"/>
      <c r="D177" s="46"/>
      <c r="E177" s="17"/>
      <c r="F177" s="46"/>
      <c r="G177" s="46"/>
      <c r="H177" s="46"/>
      <c r="I177" s="17"/>
      <c r="J177" s="46"/>
      <c r="K177" s="46"/>
      <c r="L177" s="46"/>
      <c r="M177" s="17"/>
      <c r="N177" s="46"/>
      <c r="O177" s="46"/>
      <c r="P177" s="46"/>
      <c r="Q177" s="46"/>
      <c r="R177" s="46"/>
      <c r="S177" s="46"/>
      <c r="T177" s="46"/>
      <c r="U177" s="46"/>
      <c r="V177" s="46"/>
      <c r="W177" s="46"/>
      <c r="X177" s="46"/>
      <c r="Y177" s="46"/>
      <c r="Z177" s="46"/>
      <c r="AA177" s="46"/>
      <c r="AB177" s="46"/>
      <c r="AC177" s="46"/>
      <c r="AD177" s="46"/>
      <c r="AE177" s="46"/>
      <c r="AF177" s="46"/>
      <c r="AG177" s="123"/>
      <c r="AH177" s="123"/>
      <c r="AI177" s="123"/>
      <c r="AJ177" s="123"/>
      <c r="AK177" s="46"/>
      <c r="AL177" s="46"/>
      <c r="AM177" s="46"/>
      <c r="AN177" s="46"/>
      <c r="AO177" s="46"/>
    </row>
    <row r="178">
      <c r="A178" s="17"/>
      <c r="B178" s="46"/>
      <c r="C178" s="46"/>
      <c r="D178" s="46"/>
      <c r="E178" s="17"/>
      <c r="F178" s="46"/>
      <c r="G178" s="46"/>
      <c r="H178" s="46"/>
      <c r="I178" s="17"/>
      <c r="J178" s="46"/>
      <c r="K178" s="46"/>
      <c r="L178" s="46"/>
      <c r="M178" s="17"/>
      <c r="N178" s="46"/>
      <c r="O178" s="46"/>
      <c r="P178" s="46"/>
      <c r="Q178" s="46"/>
      <c r="R178" s="46"/>
      <c r="S178" s="46"/>
      <c r="T178" s="46"/>
      <c r="U178" s="46"/>
      <c r="V178" s="46"/>
      <c r="W178" s="46"/>
      <c r="X178" s="46"/>
      <c r="Y178" s="46"/>
      <c r="Z178" s="46"/>
      <c r="AA178" s="46"/>
      <c r="AB178" s="46"/>
      <c r="AC178" s="46"/>
      <c r="AD178" s="46"/>
      <c r="AE178" s="46"/>
      <c r="AF178" s="46"/>
      <c r="AG178" s="123"/>
      <c r="AH178" s="123"/>
      <c r="AI178" s="123"/>
      <c r="AJ178" s="123"/>
      <c r="AK178" s="46"/>
      <c r="AL178" s="46"/>
      <c r="AM178" s="46"/>
      <c r="AN178" s="46"/>
      <c r="AO178" s="46"/>
    </row>
    <row r="179">
      <c r="A179" s="17"/>
      <c r="B179" s="46"/>
      <c r="C179" s="46"/>
      <c r="D179" s="46"/>
      <c r="E179" s="17"/>
      <c r="F179" s="46"/>
      <c r="G179" s="46"/>
      <c r="H179" s="46"/>
      <c r="I179" s="17"/>
      <c r="J179" s="46"/>
      <c r="K179" s="46"/>
      <c r="L179" s="46"/>
      <c r="M179" s="17"/>
      <c r="N179" s="46"/>
      <c r="O179" s="46"/>
      <c r="P179" s="46"/>
      <c r="Q179" s="46"/>
      <c r="R179" s="46"/>
      <c r="S179" s="46"/>
      <c r="T179" s="46"/>
      <c r="U179" s="46"/>
      <c r="V179" s="46"/>
      <c r="W179" s="46"/>
      <c r="X179" s="46"/>
      <c r="Y179" s="46"/>
      <c r="Z179" s="46"/>
      <c r="AA179" s="46"/>
      <c r="AB179" s="46"/>
      <c r="AC179" s="46"/>
      <c r="AD179" s="46"/>
      <c r="AE179" s="46"/>
      <c r="AF179" s="46"/>
      <c r="AG179" s="123"/>
      <c r="AH179" s="123"/>
      <c r="AI179" s="123"/>
      <c r="AJ179" s="123"/>
      <c r="AK179" s="46"/>
      <c r="AL179" s="46"/>
      <c r="AM179" s="46"/>
      <c r="AN179" s="46"/>
      <c r="AO179" s="46"/>
    </row>
    <row r="180">
      <c r="A180" s="17"/>
      <c r="B180" s="46"/>
      <c r="C180" s="46"/>
      <c r="D180" s="46"/>
      <c r="E180" s="17"/>
      <c r="F180" s="46"/>
      <c r="G180" s="46"/>
      <c r="H180" s="46"/>
      <c r="I180" s="17"/>
      <c r="J180" s="46"/>
      <c r="K180" s="46"/>
      <c r="L180" s="46"/>
      <c r="M180" s="17"/>
      <c r="N180" s="46"/>
      <c r="O180" s="46"/>
      <c r="P180" s="46"/>
      <c r="Q180" s="46"/>
      <c r="R180" s="46"/>
      <c r="S180" s="46"/>
      <c r="T180" s="46"/>
      <c r="U180" s="46"/>
      <c r="V180" s="46"/>
      <c r="W180" s="46"/>
      <c r="X180" s="46"/>
      <c r="Y180" s="46"/>
      <c r="Z180" s="46"/>
      <c r="AA180" s="46"/>
      <c r="AB180" s="46"/>
      <c r="AC180" s="46"/>
      <c r="AD180" s="46"/>
      <c r="AE180" s="46"/>
      <c r="AF180" s="46"/>
      <c r="AG180" s="123"/>
      <c r="AH180" s="123"/>
      <c r="AI180" s="123"/>
      <c r="AJ180" s="123"/>
      <c r="AK180" s="46"/>
      <c r="AL180" s="46"/>
      <c r="AM180" s="46"/>
      <c r="AN180" s="46"/>
      <c r="AO180" s="46"/>
    </row>
    <row r="181">
      <c r="A181" s="17"/>
      <c r="B181" s="46"/>
      <c r="C181" s="46"/>
      <c r="D181" s="46"/>
      <c r="E181" s="17"/>
      <c r="F181" s="46"/>
      <c r="G181" s="46"/>
      <c r="H181" s="46"/>
      <c r="I181" s="17"/>
      <c r="J181" s="46"/>
      <c r="K181" s="46"/>
      <c r="L181" s="46"/>
      <c r="M181" s="17"/>
      <c r="N181" s="46"/>
      <c r="O181" s="46"/>
      <c r="P181" s="46"/>
      <c r="Q181" s="46"/>
      <c r="R181" s="46"/>
      <c r="S181" s="46"/>
      <c r="T181" s="46"/>
      <c r="U181" s="46"/>
      <c r="V181" s="46"/>
      <c r="W181" s="46"/>
      <c r="X181" s="46"/>
      <c r="Y181" s="46"/>
      <c r="Z181" s="46"/>
      <c r="AA181" s="46"/>
      <c r="AB181" s="46"/>
      <c r="AC181" s="46"/>
      <c r="AD181" s="46"/>
      <c r="AE181" s="46"/>
      <c r="AF181" s="46"/>
      <c r="AG181" s="123"/>
      <c r="AH181" s="123"/>
      <c r="AI181" s="123"/>
      <c r="AJ181" s="123"/>
      <c r="AK181" s="46"/>
      <c r="AL181" s="46"/>
      <c r="AM181" s="46"/>
      <c r="AN181" s="46"/>
      <c r="AO181" s="46"/>
    </row>
    <row r="182">
      <c r="A182" s="17"/>
      <c r="B182" s="46"/>
      <c r="C182" s="46"/>
      <c r="D182" s="46"/>
      <c r="E182" s="17"/>
      <c r="F182" s="46"/>
      <c r="G182" s="46"/>
      <c r="H182" s="46"/>
      <c r="I182" s="17"/>
      <c r="J182" s="46"/>
      <c r="K182" s="46"/>
      <c r="L182" s="46"/>
      <c r="M182" s="17"/>
      <c r="N182" s="46"/>
      <c r="O182" s="46"/>
      <c r="P182" s="46"/>
      <c r="Q182" s="46"/>
      <c r="R182" s="46"/>
      <c r="S182" s="46"/>
      <c r="T182" s="46"/>
      <c r="U182" s="46"/>
      <c r="V182" s="46"/>
      <c r="W182" s="46"/>
      <c r="X182" s="46"/>
      <c r="Y182" s="46"/>
      <c r="Z182" s="46"/>
      <c r="AA182" s="46"/>
      <c r="AB182" s="46"/>
      <c r="AC182" s="46"/>
      <c r="AD182" s="46"/>
      <c r="AE182" s="46"/>
      <c r="AF182" s="46"/>
      <c r="AG182" s="123"/>
      <c r="AH182" s="123"/>
      <c r="AI182" s="123"/>
      <c r="AJ182" s="123"/>
      <c r="AK182" s="46"/>
      <c r="AL182" s="46"/>
      <c r="AM182" s="46"/>
      <c r="AN182" s="46"/>
      <c r="AO182" s="46"/>
    </row>
    <row r="183">
      <c r="A183" s="17"/>
      <c r="B183" s="46"/>
      <c r="C183" s="46"/>
      <c r="D183" s="46"/>
      <c r="E183" s="17"/>
      <c r="F183" s="46"/>
      <c r="G183" s="46"/>
      <c r="H183" s="46"/>
      <c r="I183" s="17"/>
      <c r="J183" s="46"/>
      <c r="K183" s="46"/>
      <c r="L183" s="46"/>
      <c r="M183" s="17"/>
      <c r="N183" s="46"/>
      <c r="O183" s="46"/>
      <c r="P183" s="46"/>
      <c r="Q183" s="46"/>
      <c r="R183" s="46"/>
      <c r="S183" s="46"/>
      <c r="T183" s="46"/>
      <c r="U183" s="46"/>
      <c r="V183" s="46"/>
      <c r="W183" s="46"/>
      <c r="X183" s="46"/>
      <c r="Y183" s="46"/>
      <c r="Z183" s="46"/>
      <c r="AA183" s="46"/>
      <c r="AB183" s="46"/>
      <c r="AC183" s="46"/>
      <c r="AD183" s="46"/>
      <c r="AE183" s="46"/>
      <c r="AF183" s="46"/>
      <c r="AG183" s="123"/>
      <c r="AH183" s="123"/>
      <c r="AI183" s="123"/>
      <c r="AJ183" s="123"/>
      <c r="AK183" s="46"/>
      <c r="AL183" s="46"/>
      <c r="AM183" s="46"/>
      <c r="AN183" s="46"/>
      <c r="AO183" s="46"/>
    </row>
    <row r="184">
      <c r="A184" s="17"/>
      <c r="B184" s="46"/>
      <c r="C184" s="46"/>
      <c r="D184" s="46"/>
      <c r="E184" s="17"/>
      <c r="F184" s="46"/>
      <c r="G184" s="46"/>
      <c r="H184" s="46"/>
      <c r="I184" s="17"/>
      <c r="J184" s="46"/>
      <c r="K184" s="46"/>
      <c r="L184" s="46"/>
      <c r="M184" s="17"/>
      <c r="N184" s="46"/>
      <c r="O184" s="46"/>
      <c r="P184" s="46"/>
      <c r="Q184" s="46"/>
      <c r="R184" s="46"/>
      <c r="S184" s="46"/>
      <c r="T184" s="46"/>
      <c r="U184" s="46"/>
      <c r="V184" s="46"/>
      <c r="W184" s="46"/>
      <c r="X184" s="46"/>
      <c r="Y184" s="46"/>
      <c r="Z184" s="46"/>
      <c r="AA184" s="46"/>
      <c r="AB184" s="46"/>
      <c r="AC184" s="46"/>
      <c r="AD184" s="46"/>
      <c r="AE184" s="46"/>
      <c r="AF184" s="46"/>
      <c r="AG184" s="123"/>
      <c r="AH184" s="123"/>
      <c r="AI184" s="123"/>
      <c r="AJ184" s="123"/>
      <c r="AK184" s="46"/>
      <c r="AL184" s="46"/>
      <c r="AM184" s="46"/>
      <c r="AN184" s="46"/>
      <c r="AO184" s="46"/>
    </row>
    <row r="185">
      <c r="A185" s="17"/>
      <c r="B185" s="46"/>
      <c r="C185" s="46"/>
      <c r="D185" s="46"/>
      <c r="E185" s="17"/>
      <c r="F185" s="46"/>
      <c r="G185" s="46"/>
      <c r="H185" s="46"/>
      <c r="I185" s="17"/>
      <c r="J185" s="46"/>
      <c r="K185" s="46"/>
      <c r="L185" s="46"/>
      <c r="M185" s="17"/>
      <c r="N185" s="46"/>
      <c r="O185" s="46"/>
      <c r="P185" s="46"/>
      <c r="Q185" s="46"/>
      <c r="R185" s="46"/>
      <c r="S185" s="46"/>
      <c r="T185" s="46"/>
      <c r="U185" s="46"/>
      <c r="V185" s="46"/>
      <c r="W185" s="46"/>
      <c r="X185" s="46"/>
      <c r="Y185" s="46"/>
      <c r="Z185" s="46"/>
      <c r="AA185" s="46"/>
      <c r="AB185" s="46"/>
      <c r="AC185" s="46"/>
      <c r="AD185" s="46"/>
      <c r="AE185" s="46"/>
      <c r="AF185" s="46"/>
      <c r="AG185" s="123"/>
      <c r="AH185" s="123"/>
      <c r="AI185" s="123"/>
      <c r="AJ185" s="123"/>
      <c r="AK185" s="46"/>
      <c r="AL185" s="46"/>
      <c r="AM185" s="46"/>
      <c r="AN185" s="46"/>
      <c r="AO185" s="46"/>
    </row>
    <row r="186">
      <c r="A186" s="17"/>
      <c r="B186" s="46"/>
      <c r="C186" s="46"/>
      <c r="D186" s="46"/>
      <c r="E186" s="17"/>
      <c r="F186" s="46"/>
      <c r="G186" s="46"/>
      <c r="H186" s="46"/>
      <c r="I186" s="17"/>
      <c r="J186" s="46"/>
      <c r="K186" s="46"/>
      <c r="L186" s="46"/>
      <c r="M186" s="17"/>
      <c r="N186" s="46"/>
      <c r="O186" s="46"/>
      <c r="P186" s="46"/>
      <c r="Q186" s="46"/>
      <c r="R186" s="46"/>
      <c r="S186" s="46"/>
      <c r="T186" s="46"/>
      <c r="U186" s="46"/>
      <c r="V186" s="46"/>
      <c r="W186" s="46"/>
      <c r="X186" s="46"/>
      <c r="Y186" s="46"/>
      <c r="Z186" s="46"/>
      <c r="AA186" s="46"/>
      <c r="AB186" s="46"/>
      <c r="AC186" s="46"/>
      <c r="AD186" s="46"/>
      <c r="AE186" s="46"/>
      <c r="AF186" s="46"/>
      <c r="AG186" s="123"/>
      <c r="AH186" s="123"/>
      <c r="AI186" s="123"/>
      <c r="AJ186" s="123"/>
      <c r="AK186" s="46"/>
      <c r="AL186" s="46"/>
      <c r="AM186" s="46"/>
      <c r="AN186" s="46"/>
      <c r="AO186" s="46"/>
    </row>
    <row r="187">
      <c r="A187" s="17"/>
      <c r="B187" s="46"/>
      <c r="C187" s="46"/>
      <c r="D187" s="46"/>
      <c r="E187" s="17"/>
      <c r="F187" s="46"/>
      <c r="G187" s="46"/>
      <c r="H187" s="46"/>
      <c r="I187" s="17"/>
      <c r="J187" s="46"/>
      <c r="K187" s="46"/>
      <c r="L187" s="46"/>
      <c r="M187" s="17"/>
      <c r="N187" s="46"/>
      <c r="O187" s="46"/>
      <c r="P187" s="46"/>
      <c r="Q187" s="46"/>
      <c r="R187" s="46"/>
      <c r="S187" s="46"/>
      <c r="T187" s="46"/>
      <c r="U187" s="46"/>
      <c r="V187" s="46"/>
      <c r="W187" s="46"/>
      <c r="X187" s="46"/>
      <c r="Y187" s="46"/>
      <c r="Z187" s="46"/>
      <c r="AA187" s="46"/>
      <c r="AB187" s="46"/>
      <c r="AC187" s="46"/>
      <c r="AD187" s="46"/>
      <c r="AE187" s="46"/>
      <c r="AF187" s="46"/>
      <c r="AG187" s="123"/>
      <c r="AH187" s="123"/>
      <c r="AI187" s="123"/>
      <c r="AJ187" s="123"/>
      <c r="AK187" s="46"/>
      <c r="AL187" s="46"/>
      <c r="AM187" s="46"/>
      <c r="AN187" s="46"/>
      <c r="AO187" s="46"/>
    </row>
    <row r="188">
      <c r="A188" s="17"/>
      <c r="B188" s="46"/>
      <c r="C188" s="46"/>
      <c r="D188" s="46"/>
      <c r="E188" s="17"/>
      <c r="F188" s="46"/>
      <c r="G188" s="46"/>
      <c r="H188" s="46"/>
      <c r="I188" s="17"/>
      <c r="J188" s="46"/>
      <c r="K188" s="46"/>
      <c r="L188" s="46"/>
      <c r="M188" s="17"/>
      <c r="N188" s="46"/>
      <c r="O188" s="46"/>
      <c r="P188" s="46"/>
      <c r="Q188" s="46"/>
      <c r="R188" s="46"/>
      <c r="S188" s="46"/>
      <c r="T188" s="46"/>
      <c r="U188" s="46"/>
      <c r="V188" s="46"/>
      <c r="W188" s="46"/>
      <c r="X188" s="46"/>
      <c r="Y188" s="46"/>
      <c r="Z188" s="46"/>
      <c r="AA188" s="46"/>
      <c r="AB188" s="46"/>
      <c r="AC188" s="46"/>
      <c r="AD188" s="46"/>
      <c r="AE188" s="46"/>
      <c r="AF188" s="46"/>
      <c r="AG188" s="123"/>
      <c r="AH188" s="123"/>
      <c r="AI188" s="123"/>
      <c r="AJ188" s="123"/>
      <c r="AK188" s="46"/>
      <c r="AL188" s="46"/>
      <c r="AM188" s="46"/>
      <c r="AN188" s="46"/>
      <c r="AO188" s="46"/>
    </row>
    <row r="189">
      <c r="A189" s="17"/>
      <c r="B189" s="46"/>
      <c r="C189" s="46"/>
      <c r="D189" s="46"/>
      <c r="E189" s="17"/>
      <c r="F189" s="46"/>
      <c r="G189" s="46"/>
      <c r="H189" s="46"/>
      <c r="I189" s="17"/>
      <c r="J189" s="46"/>
      <c r="K189" s="46"/>
      <c r="L189" s="46"/>
      <c r="M189" s="17"/>
      <c r="N189" s="46"/>
      <c r="O189" s="46"/>
      <c r="P189" s="46"/>
      <c r="Q189" s="46"/>
      <c r="R189" s="46"/>
      <c r="S189" s="46"/>
      <c r="T189" s="46"/>
      <c r="U189" s="46"/>
      <c r="V189" s="46"/>
      <c r="W189" s="46"/>
      <c r="X189" s="46"/>
      <c r="Y189" s="46"/>
      <c r="Z189" s="46"/>
      <c r="AA189" s="46"/>
      <c r="AB189" s="46"/>
      <c r="AC189" s="46"/>
      <c r="AD189" s="46"/>
      <c r="AE189" s="46"/>
      <c r="AF189" s="46"/>
      <c r="AG189" s="123"/>
      <c r="AH189" s="123"/>
      <c r="AI189" s="123"/>
      <c r="AJ189" s="123"/>
      <c r="AK189" s="46"/>
      <c r="AL189" s="46"/>
      <c r="AM189" s="46"/>
      <c r="AN189" s="46"/>
      <c r="AO189" s="46"/>
    </row>
    <row r="190">
      <c r="A190" s="17"/>
      <c r="B190" s="46"/>
      <c r="C190" s="46"/>
      <c r="D190" s="46"/>
      <c r="E190" s="17"/>
      <c r="F190" s="46"/>
      <c r="G190" s="46"/>
      <c r="H190" s="46"/>
      <c r="I190" s="17"/>
      <c r="J190" s="46"/>
      <c r="K190" s="46"/>
      <c r="L190" s="46"/>
      <c r="M190" s="17"/>
      <c r="N190" s="46"/>
      <c r="O190" s="46"/>
      <c r="P190" s="46"/>
      <c r="Q190" s="46"/>
      <c r="R190" s="46"/>
      <c r="S190" s="46"/>
      <c r="T190" s="46"/>
      <c r="U190" s="46"/>
      <c r="V190" s="46"/>
      <c r="W190" s="46"/>
      <c r="X190" s="46"/>
      <c r="Y190" s="46"/>
      <c r="Z190" s="46"/>
      <c r="AA190" s="46"/>
      <c r="AB190" s="46"/>
      <c r="AC190" s="46"/>
      <c r="AD190" s="46"/>
      <c r="AE190" s="46"/>
      <c r="AF190" s="46"/>
      <c r="AG190" s="123"/>
      <c r="AH190" s="123"/>
      <c r="AI190" s="123"/>
      <c r="AJ190" s="123"/>
      <c r="AK190" s="46"/>
      <c r="AL190" s="46"/>
      <c r="AM190" s="46"/>
      <c r="AN190" s="46"/>
      <c r="AO190" s="46"/>
    </row>
    <row r="191">
      <c r="A191" s="17"/>
      <c r="B191" s="46"/>
      <c r="C191" s="46"/>
      <c r="D191" s="46"/>
      <c r="E191" s="17"/>
      <c r="F191" s="46"/>
      <c r="G191" s="46"/>
      <c r="H191" s="46"/>
      <c r="I191" s="17"/>
      <c r="J191" s="46"/>
      <c r="K191" s="46"/>
      <c r="L191" s="46"/>
      <c r="M191" s="17"/>
      <c r="N191" s="46"/>
      <c r="O191" s="46"/>
      <c r="P191" s="46"/>
      <c r="Q191" s="46"/>
      <c r="R191" s="46"/>
      <c r="S191" s="46"/>
      <c r="T191" s="46"/>
      <c r="U191" s="46"/>
      <c r="V191" s="46"/>
      <c r="W191" s="46"/>
      <c r="X191" s="46"/>
      <c r="Y191" s="46"/>
      <c r="Z191" s="46"/>
      <c r="AA191" s="46"/>
      <c r="AB191" s="46"/>
      <c r="AC191" s="46"/>
      <c r="AD191" s="46"/>
      <c r="AE191" s="46"/>
      <c r="AF191" s="46"/>
      <c r="AG191" s="123"/>
      <c r="AH191" s="123"/>
      <c r="AI191" s="123"/>
      <c r="AJ191" s="123"/>
      <c r="AK191" s="46"/>
      <c r="AL191" s="46"/>
      <c r="AM191" s="46"/>
      <c r="AN191" s="46"/>
      <c r="AO191" s="46"/>
    </row>
    <row r="192">
      <c r="A192" s="17"/>
      <c r="B192" s="46"/>
      <c r="C192" s="46"/>
      <c r="D192" s="46"/>
      <c r="E192" s="17"/>
      <c r="F192" s="46"/>
      <c r="G192" s="46"/>
      <c r="H192" s="46"/>
      <c r="I192" s="17"/>
      <c r="J192" s="46"/>
      <c r="K192" s="46"/>
      <c r="L192" s="46"/>
      <c r="M192" s="17"/>
      <c r="N192" s="46"/>
      <c r="O192" s="46"/>
      <c r="P192" s="46"/>
      <c r="Q192" s="46"/>
      <c r="R192" s="46"/>
      <c r="S192" s="46"/>
      <c r="T192" s="46"/>
      <c r="U192" s="46"/>
      <c r="V192" s="46"/>
      <c r="W192" s="46"/>
      <c r="X192" s="46"/>
      <c r="Y192" s="46"/>
      <c r="Z192" s="46"/>
      <c r="AA192" s="46"/>
      <c r="AB192" s="46"/>
      <c r="AC192" s="46"/>
      <c r="AD192" s="46"/>
      <c r="AE192" s="46"/>
      <c r="AF192" s="46"/>
      <c r="AG192" s="123"/>
      <c r="AH192" s="123"/>
      <c r="AI192" s="123"/>
      <c r="AJ192" s="123"/>
      <c r="AK192" s="46"/>
      <c r="AL192" s="46"/>
      <c r="AM192" s="46"/>
      <c r="AN192" s="46"/>
      <c r="AO192" s="46"/>
    </row>
    <row r="193">
      <c r="A193" s="17"/>
      <c r="B193" s="46"/>
      <c r="C193" s="46"/>
      <c r="D193" s="46"/>
      <c r="E193" s="17"/>
      <c r="F193" s="46"/>
      <c r="G193" s="46"/>
      <c r="H193" s="46"/>
      <c r="I193" s="17"/>
      <c r="J193" s="46"/>
      <c r="K193" s="46"/>
      <c r="L193" s="46"/>
      <c r="M193" s="17"/>
      <c r="N193" s="46"/>
      <c r="O193" s="46"/>
      <c r="P193" s="46"/>
      <c r="Q193" s="46"/>
      <c r="R193" s="46"/>
      <c r="S193" s="46"/>
      <c r="T193" s="46"/>
      <c r="U193" s="46"/>
      <c r="V193" s="46"/>
      <c r="W193" s="46"/>
      <c r="X193" s="46"/>
      <c r="Y193" s="46"/>
      <c r="Z193" s="46"/>
      <c r="AA193" s="46"/>
      <c r="AB193" s="46"/>
      <c r="AC193" s="46"/>
      <c r="AD193" s="46"/>
      <c r="AE193" s="46"/>
      <c r="AF193" s="46"/>
      <c r="AG193" s="123"/>
      <c r="AH193" s="123"/>
      <c r="AI193" s="123"/>
      <c r="AJ193" s="123"/>
      <c r="AK193" s="46"/>
      <c r="AL193" s="46"/>
      <c r="AM193" s="46"/>
      <c r="AN193" s="46"/>
      <c r="AO193" s="46"/>
    </row>
    <row r="194">
      <c r="A194" s="17"/>
      <c r="B194" s="46"/>
      <c r="C194" s="46"/>
      <c r="D194" s="46"/>
      <c r="E194" s="17"/>
      <c r="F194" s="46"/>
      <c r="G194" s="46"/>
      <c r="H194" s="46"/>
      <c r="I194" s="17"/>
      <c r="J194" s="46"/>
      <c r="K194" s="46"/>
      <c r="L194" s="46"/>
      <c r="M194" s="17"/>
      <c r="N194" s="46"/>
      <c r="O194" s="46"/>
      <c r="P194" s="46"/>
      <c r="Q194" s="46"/>
      <c r="R194" s="46"/>
      <c r="S194" s="46"/>
      <c r="T194" s="46"/>
      <c r="U194" s="46"/>
      <c r="V194" s="46"/>
      <c r="W194" s="46"/>
      <c r="X194" s="46"/>
      <c r="Y194" s="46"/>
      <c r="Z194" s="46"/>
      <c r="AA194" s="46"/>
      <c r="AB194" s="46"/>
      <c r="AC194" s="46"/>
      <c r="AD194" s="46"/>
      <c r="AE194" s="46"/>
      <c r="AF194" s="46"/>
      <c r="AG194" s="123"/>
      <c r="AH194" s="123"/>
      <c r="AI194" s="123"/>
      <c r="AJ194" s="123"/>
      <c r="AK194" s="46"/>
      <c r="AL194" s="46"/>
      <c r="AM194" s="46"/>
      <c r="AN194" s="46"/>
      <c r="AO194" s="46"/>
    </row>
    <row r="195">
      <c r="A195" s="17"/>
      <c r="B195" s="46"/>
      <c r="C195" s="46"/>
      <c r="D195" s="46"/>
      <c r="E195" s="17"/>
      <c r="F195" s="46"/>
      <c r="G195" s="46"/>
      <c r="H195" s="46"/>
      <c r="I195" s="17"/>
      <c r="J195" s="46"/>
      <c r="K195" s="46"/>
      <c r="L195" s="46"/>
      <c r="M195" s="17"/>
      <c r="N195" s="46"/>
      <c r="O195" s="46"/>
      <c r="P195" s="46"/>
      <c r="Q195" s="46"/>
      <c r="R195" s="46"/>
      <c r="S195" s="46"/>
      <c r="T195" s="46"/>
      <c r="U195" s="46"/>
      <c r="V195" s="46"/>
      <c r="W195" s="46"/>
      <c r="X195" s="46"/>
      <c r="Y195" s="46"/>
      <c r="Z195" s="46"/>
      <c r="AA195" s="46"/>
      <c r="AB195" s="46"/>
      <c r="AC195" s="46"/>
      <c r="AD195" s="46"/>
      <c r="AE195" s="46"/>
      <c r="AF195" s="46"/>
      <c r="AG195" s="123"/>
      <c r="AH195" s="123"/>
      <c r="AI195" s="123"/>
      <c r="AJ195" s="123"/>
      <c r="AK195" s="46"/>
      <c r="AL195" s="46"/>
      <c r="AM195" s="46"/>
      <c r="AN195" s="46"/>
      <c r="AO195" s="46"/>
    </row>
    <row r="196">
      <c r="A196" s="17"/>
      <c r="B196" s="46"/>
      <c r="C196" s="46"/>
      <c r="D196" s="46"/>
      <c r="E196" s="17"/>
      <c r="F196" s="46"/>
      <c r="G196" s="46"/>
      <c r="H196" s="46"/>
      <c r="I196" s="17"/>
      <c r="J196" s="46"/>
      <c r="K196" s="46"/>
      <c r="L196" s="46"/>
      <c r="M196" s="17"/>
      <c r="N196" s="46"/>
      <c r="O196" s="46"/>
      <c r="P196" s="46"/>
      <c r="Q196" s="46"/>
      <c r="R196" s="46"/>
      <c r="S196" s="46"/>
      <c r="T196" s="46"/>
      <c r="U196" s="46"/>
      <c r="V196" s="46"/>
      <c r="W196" s="46"/>
      <c r="X196" s="46"/>
      <c r="Y196" s="46"/>
      <c r="Z196" s="46"/>
      <c r="AA196" s="46"/>
      <c r="AB196" s="46"/>
      <c r="AC196" s="46"/>
      <c r="AD196" s="46"/>
      <c r="AE196" s="46"/>
      <c r="AF196" s="46"/>
      <c r="AG196" s="123"/>
      <c r="AH196" s="123"/>
      <c r="AI196" s="123"/>
      <c r="AJ196" s="123"/>
      <c r="AK196" s="46"/>
      <c r="AL196" s="46"/>
      <c r="AM196" s="46"/>
      <c r="AN196" s="46"/>
      <c r="AO196" s="46"/>
    </row>
    <row r="197">
      <c r="A197" s="17"/>
      <c r="B197" s="46"/>
      <c r="C197" s="46"/>
      <c r="D197" s="46"/>
      <c r="E197" s="17"/>
      <c r="F197" s="46"/>
      <c r="G197" s="46"/>
      <c r="H197" s="46"/>
      <c r="I197" s="17"/>
      <c r="J197" s="46"/>
      <c r="K197" s="46"/>
      <c r="L197" s="46"/>
      <c r="M197" s="17"/>
      <c r="N197" s="46"/>
      <c r="O197" s="46"/>
      <c r="P197" s="46"/>
      <c r="Q197" s="46"/>
      <c r="R197" s="46"/>
      <c r="S197" s="46"/>
      <c r="T197" s="46"/>
      <c r="U197" s="46"/>
      <c r="V197" s="46"/>
      <c r="W197" s="46"/>
      <c r="X197" s="46"/>
      <c r="Y197" s="46"/>
      <c r="Z197" s="46"/>
      <c r="AA197" s="46"/>
      <c r="AB197" s="46"/>
      <c r="AC197" s="46"/>
      <c r="AD197" s="46"/>
      <c r="AE197" s="46"/>
      <c r="AF197" s="46"/>
      <c r="AG197" s="123"/>
      <c r="AH197" s="123"/>
      <c r="AI197" s="123"/>
      <c r="AJ197" s="123"/>
      <c r="AK197" s="46"/>
      <c r="AL197" s="46"/>
      <c r="AM197" s="46"/>
      <c r="AN197" s="46"/>
      <c r="AO197" s="46"/>
    </row>
    <row r="198">
      <c r="A198" s="17"/>
      <c r="B198" s="46"/>
      <c r="C198" s="46"/>
      <c r="D198" s="46"/>
      <c r="E198" s="17"/>
      <c r="F198" s="46"/>
      <c r="G198" s="46"/>
      <c r="H198" s="46"/>
      <c r="I198" s="17"/>
      <c r="J198" s="46"/>
      <c r="K198" s="46"/>
      <c r="L198" s="46"/>
      <c r="M198" s="17"/>
      <c r="N198" s="46"/>
      <c r="O198" s="46"/>
      <c r="P198" s="46"/>
      <c r="Q198" s="46"/>
      <c r="R198" s="46"/>
      <c r="S198" s="46"/>
      <c r="T198" s="46"/>
      <c r="U198" s="46"/>
      <c r="V198" s="46"/>
      <c r="W198" s="46"/>
      <c r="X198" s="46"/>
      <c r="Y198" s="46"/>
      <c r="Z198" s="46"/>
      <c r="AA198" s="46"/>
      <c r="AB198" s="46"/>
      <c r="AC198" s="46"/>
      <c r="AD198" s="46"/>
      <c r="AE198" s="46"/>
      <c r="AF198" s="46"/>
      <c r="AG198" s="123"/>
      <c r="AH198" s="123"/>
      <c r="AI198" s="123"/>
      <c r="AJ198" s="123"/>
      <c r="AK198" s="46"/>
      <c r="AL198" s="46"/>
      <c r="AM198" s="46"/>
      <c r="AN198" s="46"/>
      <c r="AO198" s="46"/>
    </row>
    <row r="199">
      <c r="A199" s="17"/>
      <c r="B199" s="46"/>
      <c r="C199" s="46"/>
      <c r="D199" s="46"/>
      <c r="E199" s="17"/>
      <c r="F199" s="46"/>
      <c r="G199" s="46"/>
      <c r="H199" s="46"/>
      <c r="I199" s="17"/>
      <c r="J199" s="46"/>
      <c r="K199" s="46"/>
      <c r="L199" s="46"/>
      <c r="M199" s="17"/>
      <c r="N199" s="46"/>
      <c r="O199" s="46"/>
      <c r="P199" s="46"/>
      <c r="Q199" s="46"/>
      <c r="R199" s="46"/>
      <c r="S199" s="46"/>
      <c r="T199" s="46"/>
      <c r="U199" s="46"/>
      <c r="V199" s="46"/>
      <c r="W199" s="46"/>
      <c r="X199" s="46"/>
      <c r="Y199" s="46"/>
      <c r="Z199" s="46"/>
      <c r="AA199" s="46"/>
      <c r="AB199" s="46"/>
      <c r="AC199" s="46"/>
      <c r="AD199" s="46"/>
      <c r="AE199" s="46"/>
      <c r="AF199" s="46"/>
      <c r="AG199" s="123"/>
      <c r="AH199" s="123"/>
      <c r="AI199" s="123"/>
      <c r="AJ199" s="123"/>
      <c r="AK199" s="46"/>
      <c r="AL199" s="46"/>
      <c r="AM199" s="46"/>
      <c r="AN199" s="46"/>
      <c r="AO199" s="46"/>
    </row>
    <row r="200">
      <c r="A200" s="17"/>
      <c r="B200" s="46"/>
      <c r="C200" s="46"/>
      <c r="D200" s="46"/>
      <c r="E200" s="17"/>
      <c r="F200" s="46"/>
      <c r="G200" s="46"/>
      <c r="H200" s="46"/>
      <c r="I200" s="17"/>
      <c r="J200" s="46"/>
      <c r="K200" s="46"/>
      <c r="L200" s="46"/>
      <c r="M200" s="17"/>
      <c r="N200" s="46"/>
      <c r="O200" s="46"/>
      <c r="P200" s="46"/>
      <c r="Q200" s="46"/>
      <c r="R200" s="46"/>
      <c r="S200" s="46"/>
      <c r="T200" s="46"/>
      <c r="U200" s="46"/>
      <c r="V200" s="46"/>
      <c r="W200" s="46"/>
      <c r="X200" s="46"/>
      <c r="Y200" s="46"/>
      <c r="Z200" s="46"/>
      <c r="AA200" s="46"/>
      <c r="AB200" s="46"/>
      <c r="AC200" s="46"/>
      <c r="AD200" s="46"/>
      <c r="AE200" s="46"/>
      <c r="AF200" s="46"/>
      <c r="AG200" s="123"/>
      <c r="AH200" s="123"/>
      <c r="AI200" s="123"/>
      <c r="AJ200" s="123"/>
      <c r="AK200" s="46"/>
      <c r="AL200" s="46"/>
      <c r="AM200" s="46"/>
      <c r="AN200" s="46"/>
      <c r="AO200" s="46"/>
    </row>
    <row r="201">
      <c r="A201" s="17"/>
      <c r="B201" s="46"/>
      <c r="C201" s="46"/>
      <c r="D201" s="46"/>
      <c r="E201" s="17"/>
      <c r="F201" s="46"/>
      <c r="G201" s="46"/>
      <c r="H201" s="46"/>
      <c r="I201" s="17"/>
      <c r="J201" s="46"/>
      <c r="K201" s="46"/>
      <c r="L201" s="46"/>
      <c r="M201" s="17"/>
      <c r="N201" s="46"/>
      <c r="O201" s="46"/>
      <c r="P201" s="46"/>
      <c r="Q201" s="46"/>
      <c r="R201" s="46"/>
      <c r="S201" s="46"/>
      <c r="T201" s="46"/>
      <c r="U201" s="46"/>
      <c r="V201" s="46"/>
      <c r="W201" s="46"/>
      <c r="X201" s="46"/>
      <c r="Y201" s="46"/>
      <c r="Z201" s="46"/>
      <c r="AA201" s="46"/>
      <c r="AB201" s="46"/>
      <c r="AC201" s="46"/>
      <c r="AD201" s="46"/>
      <c r="AE201" s="46"/>
      <c r="AF201" s="46"/>
      <c r="AG201" s="123"/>
      <c r="AH201" s="123"/>
      <c r="AI201" s="123"/>
      <c r="AJ201" s="123"/>
      <c r="AK201" s="46"/>
      <c r="AL201" s="46"/>
      <c r="AM201" s="46"/>
      <c r="AN201" s="46"/>
      <c r="AO201" s="46"/>
    </row>
    <row r="202">
      <c r="A202" s="17"/>
      <c r="B202" s="46"/>
      <c r="C202" s="46"/>
      <c r="D202" s="46"/>
      <c r="E202" s="17"/>
      <c r="F202" s="46"/>
      <c r="G202" s="46"/>
      <c r="H202" s="46"/>
      <c r="I202" s="17"/>
      <c r="J202" s="46"/>
      <c r="K202" s="46"/>
      <c r="L202" s="46"/>
      <c r="M202" s="17"/>
      <c r="N202" s="46"/>
      <c r="O202" s="46"/>
      <c r="P202" s="46"/>
      <c r="Q202" s="46"/>
      <c r="R202" s="46"/>
      <c r="S202" s="46"/>
      <c r="T202" s="46"/>
      <c r="U202" s="46"/>
      <c r="V202" s="46"/>
      <c r="W202" s="46"/>
      <c r="X202" s="46"/>
      <c r="Y202" s="46"/>
      <c r="Z202" s="46"/>
      <c r="AA202" s="46"/>
      <c r="AB202" s="46"/>
      <c r="AC202" s="46"/>
      <c r="AD202" s="46"/>
      <c r="AE202" s="46"/>
      <c r="AF202" s="46"/>
      <c r="AG202" s="123"/>
      <c r="AH202" s="123"/>
      <c r="AI202" s="123"/>
      <c r="AJ202" s="123"/>
      <c r="AK202" s="46"/>
      <c r="AL202" s="46"/>
      <c r="AM202" s="46"/>
      <c r="AN202" s="46"/>
      <c r="AO202" s="46"/>
    </row>
    <row r="203">
      <c r="A203" s="17"/>
      <c r="B203" s="46"/>
      <c r="C203" s="46"/>
      <c r="D203" s="46"/>
      <c r="E203" s="17"/>
      <c r="F203" s="46"/>
      <c r="G203" s="46"/>
      <c r="H203" s="46"/>
      <c r="I203" s="17"/>
      <c r="J203" s="46"/>
      <c r="K203" s="46"/>
      <c r="L203" s="46"/>
      <c r="M203" s="17"/>
      <c r="N203" s="46"/>
      <c r="O203" s="46"/>
      <c r="P203" s="46"/>
      <c r="Q203" s="46"/>
      <c r="R203" s="46"/>
      <c r="S203" s="46"/>
      <c r="T203" s="46"/>
      <c r="U203" s="46"/>
      <c r="V203" s="46"/>
      <c r="W203" s="46"/>
      <c r="X203" s="46"/>
      <c r="Y203" s="46"/>
      <c r="Z203" s="46"/>
      <c r="AA203" s="46"/>
      <c r="AB203" s="46"/>
      <c r="AC203" s="46"/>
      <c r="AD203" s="46"/>
      <c r="AE203" s="46"/>
      <c r="AF203" s="46"/>
      <c r="AG203" s="123"/>
      <c r="AH203" s="123"/>
      <c r="AI203" s="123"/>
      <c r="AJ203" s="123"/>
      <c r="AK203" s="46"/>
      <c r="AL203" s="46"/>
      <c r="AM203" s="46"/>
      <c r="AN203" s="46"/>
      <c r="AO203" s="46"/>
    </row>
    <row r="204">
      <c r="A204" s="17"/>
      <c r="B204" s="46"/>
      <c r="C204" s="46"/>
      <c r="D204" s="46"/>
      <c r="E204" s="17"/>
      <c r="F204" s="46"/>
      <c r="G204" s="46"/>
      <c r="H204" s="46"/>
      <c r="I204" s="17"/>
      <c r="J204" s="46"/>
      <c r="K204" s="46"/>
      <c r="L204" s="46"/>
      <c r="M204" s="17"/>
      <c r="N204" s="46"/>
      <c r="O204" s="46"/>
      <c r="P204" s="46"/>
      <c r="Q204" s="46"/>
      <c r="R204" s="46"/>
      <c r="S204" s="46"/>
      <c r="T204" s="46"/>
      <c r="U204" s="46"/>
      <c r="V204" s="46"/>
      <c r="W204" s="46"/>
      <c r="X204" s="46"/>
      <c r="Y204" s="46"/>
      <c r="Z204" s="46"/>
      <c r="AA204" s="46"/>
      <c r="AB204" s="46"/>
      <c r="AC204" s="46"/>
      <c r="AD204" s="46"/>
      <c r="AE204" s="46"/>
      <c r="AF204" s="46"/>
      <c r="AG204" s="123"/>
      <c r="AH204" s="123"/>
      <c r="AI204" s="123"/>
      <c r="AJ204" s="123"/>
      <c r="AK204" s="46"/>
      <c r="AL204" s="46"/>
      <c r="AM204" s="46"/>
      <c r="AN204" s="46"/>
      <c r="AO204" s="46"/>
    </row>
    <row r="205">
      <c r="A205" s="17"/>
      <c r="B205" s="46"/>
      <c r="C205" s="46"/>
      <c r="D205" s="46"/>
      <c r="E205" s="17"/>
      <c r="F205" s="46"/>
      <c r="G205" s="46"/>
      <c r="H205" s="46"/>
      <c r="I205" s="17"/>
      <c r="J205" s="46"/>
      <c r="K205" s="46"/>
      <c r="L205" s="46"/>
      <c r="M205" s="17"/>
      <c r="N205" s="46"/>
      <c r="O205" s="46"/>
      <c r="P205" s="46"/>
      <c r="Q205" s="46"/>
      <c r="R205" s="46"/>
      <c r="S205" s="46"/>
      <c r="T205" s="46"/>
      <c r="U205" s="46"/>
      <c r="V205" s="46"/>
      <c r="W205" s="46"/>
      <c r="X205" s="46"/>
      <c r="Y205" s="46"/>
      <c r="Z205" s="46"/>
      <c r="AA205" s="46"/>
      <c r="AB205" s="46"/>
      <c r="AC205" s="46"/>
      <c r="AD205" s="46"/>
      <c r="AE205" s="46"/>
      <c r="AF205" s="46"/>
      <c r="AG205" s="123"/>
      <c r="AH205" s="123"/>
      <c r="AI205" s="123"/>
      <c r="AJ205" s="123"/>
      <c r="AK205" s="46"/>
      <c r="AL205" s="46"/>
      <c r="AM205" s="46"/>
      <c r="AN205" s="46"/>
      <c r="AO205" s="46"/>
    </row>
    <row r="206">
      <c r="A206" s="17"/>
      <c r="B206" s="46"/>
      <c r="C206" s="46"/>
      <c r="D206" s="46"/>
      <c r="E206" s="17"/>
      <c r="F206" s="46"/>
      <c r="G206" s="46"/>
      <c r="H206" s="46"/>
      <c r="I206" s="17"/>
      <c r="J206" s="46"/>
      <c r="K206" s="46"/>
      <c r="L206" s="46"/>
      <c r="M206" s="17"/>
      <c r="N206" s="46"/>
      <c r="O206" s="46"/>
      <c r="P206" s="46"/>
      <c r="Q206" s="46"/>
      <c r="R206" s="46"/>
      <c r="S206" s="46"/>
      <c r="T206" s="46"/>
      <c r="U206" s="46"/>
      <c r="V206" s="46"/>
      <c r="W206" s="46"/>
      <c r="X206" s="46"/>
      <c r="Y206" s="46"/>
      <c r="Z206" s="46"/>
      <c r="AA206" s="46"/>
      <c r="AB206" s="46"/>
      <c r="AC206" s="46"/>
      <c r="AD206" s="46"/>
      <c r="AE206" s="46"/>
      <c r="AF206" s="46"/>
      <c r="AG206" s="123"/>
      <c r="AH206" s="123"/>
      <c r="AI206" s="123"/>
      <c r="AJ206" s="123"/>
      <c r="AK206" s="46"/>
      <c r="AL206" s="46"/>
      <c r="AM206" s="46"/>
      <c r="AN206" s="46"/>
      <c r="AO206" s="46"/>
    </row>
    <row r="207">
      <c r="A207" s="17"/>
      <c r="B207" s="46"/>
      <c r="C207" s="46"/>
      <c r="D207" s="46"/>
      <c r="E207" s="17"/>
      <c r="F207" s="46"/>
      <c r="G207" s="46"/>
      <c r="H207" s="46"/>
      <c r="I207" s="17"/>
      <c r="J207" s="46"/>
      <c r="K207" s="46"/>
      <c r="L207" s="46"/>
      <c r="M207" s="17"/>
      <c r="N207" s="46"/>
      <c r="O207" s="46"/>
      <c r="P207" s="46"/>
      <c r="Q207" s="46"/>
      <c r="R207" s="46"/>
      <c r="S207" s="46"/>
      <c r="T207" s="46"/>
      <c r="U207" s="46"/>
      <c r="V207" s="46"/>
      <c r="W207" s="46"/>
      <c r="X207" s="46"/>
      <c r="Y207" s="46"/>
      <c r="Z207" s="46"/>
      <c r="AA207" s="46"/>
      <c r="AB207" s="46"/>
      <c r="AC207" s="46"/>
      <c r="AD207" s="46"/>
      <c r="AE207" s="46"/>
      <c r="AF207" s="46"/>
      <c r="AG207" s="123"/>
      <c r="AH207" s="123"/>
      <c r="AI207" s="123"/>
      <c r="AJ207" s="123"/>
      <c r="AK207" s="46"/>
      <c r="AL207" s="46"/>
      <c r="AM207" s="46"/>
      <c r="AN207" s="46"/>
      <c r="AO207" s="46"/>
    </row>
    <row r="208">
      <c r="A208" s="17"/>
      <c r="B208" s="46"/>
      <c r="C208" s="46"/>
      <c r="D208" s="46"/>
      <c r="E208" s="17"/>
      <c r="F208" s="46"/>
      <c r="G208" s="46"/>
      <c r="H208" s="46"/>
      <c r="I208" s="17"/>
      <c r="J208" s="46"/>
      <c r="K208" s="46"/>
      <c r="L208" s="46"/>
      <c r="M208" s="17"/>
      <c r="N208" s="46"/>
      <c r="O208" s="46"/>
      <c r="P208" s="46"/>
      <c r="Q208" s="46"/>
      <c r="R208" s="46"/>
      <c r="S208" s="46"/>
      <c r="T208" s="46"/>
      <c r="U208" s="46"/>
      <c r="V208" s="46"/>
      <c r="W208" s="46"/>
      <c r="X208" s="46"/>
      <c r="Y208" s="46"/>
      <c r="Z208" s="46"/>
      <c r="AA208" s="46"/>
      <c r="AB208" s="46"/>
      <c r="AC208" s="46"/>
      <c r="AD208" s="46"/>
      <c r="AE208" s="46"/>
      <c r="AF208" s="46"/>
      <c r="AG208" s="123"/>
      <c r="AH208" s="123"/>
      <c r="AI208" s="123"/>
      <c r="AJ208" s="123"/>
      <c r="AK208" s="46"/>
      <c r="AL208" s="46"/>
      <c r="AM208" s="46"/>
      <c r="AN208" s="46"/>
      <c r="AO208" s="46"/>
    </row>
    <row r="209">
      <c r="A209" s="17"/>
      <c r="B209" s="46"/>
      <c r="C209" s="46"/>
      <c r="D209" s="46"/>
      <c r="E209" s="17"/>
      <c r="F209" s="46"/>
      <c r="G209" s="46"/>
      <c r="H209" s="46"/>
      <c r="I209" s="17"/>
      <c r="J209" s="46"/>
      <c r="K209" s="46"/>
      <c r="L209" s="46"/>
      <c r="M209" s="17"/>
      <c r="N209" s="46"/>
      <c r="O209" s="46"/>
      <c r="P209" s="46"/>
      <c r="Q209" s="46"/>
      <c r="R209" s="46"/>
      <c r="S209" s="46"/>
      <c r="T209" s="46"/>
      <c r="U209" s="46"/>
      <c r="V209" s="46"/>
      <c r="W209" s="46"/>
      <c r="X209" s="46"/>
      <c r="Y209" s="46"/>
      <c r="Z209" s="46"/>
      <c r="AA209" s="46"/>
      <c r="AB209" s="46"/>
      <c r="AC209" s="46"/>
      <c r="AD209" s="46"/>
      <c r="AE209" s="46"/>
      <c r="AF209" s="46"/>
      <c r="AG209" s="123"/>
      <c r="AH209" s="123"/>
      <c r="AI209" s="123"/>
      <c r="AJ209" s="123"/>
      <c r="AK209" s="46"/>
      <c r="AL209" s="46"/>
      <c r="AM209" s="46"/>
      <c r="AN209" s="46"/>
      <c r="AO209" s="46"/>
    </row>
    <row r="210">
      <c r="A210" s="17"/>
      <c r="B210" s="46"/>
      <c r="C210" s="46"/>
      <c r="D210" s="46"/>
      <c r="E210" s="17"/>
      <c r="F210" s="46"/>
      <c r="G210" s="46"/>
      <c r="H210" s="46"/>
      <c r="I210" s="17"/>
      <c r="J210" s="46"/>
      <c r="K210" s="46"/>
      <c r="L210" s="46"/>
      <c r="M210" s="17"/>
      <c r="N210" s="46"/>
      <c r="O210" s="46"/>
      <c r="P210" s="46"/>
      <c r="Q210" s="46"/>
      <c r="R210" s="46"/>
      <c r="S210" s="46"/>
      <c r="T210" s="46"/>
      <c r="U210" s="46"/>
      <c r="V210" s="46"/>
      <c r="W210" s="46"/>
      <c r="X210" s="46"/>
      <c r="Y210" s="46"/>
      <c r="Z210" s="46"/>
      <c r="AA210" s="46"/>
      <c r="AB210" s="46"/>
      <c r="AC210" s="46"/>
      <c r="AD210" s="46"/>
      <c r="AE210" s="46"/>
      <c r="AF210" s="46"/>
      <c r="AG210" s="123"/>
      <c r="AH210" s="123"/>
      <c r="AI210" s="123"/>
      <c r="AJ210" s="123"/>
      <c r="AK210" s="46"/>
      <c r="AL210" s="46"/>
      <c r="AM210" s="46"/>
      <c r="AN210" s="46"/>
      <c r="AO210" s="46"/>
    </row>
    <row r="211">
      <c r="A211" s="17"/>
      <c r="B211" s="46"/>
      <c r="C211" s="46"/>
      <c r="D211" s="46"/>
      <c r="E211" s="17"/>
      <c r="F211" s="46"/>
      <c r="G211" s="46"/>
      <c r="H211" s="46"/>
      <c r="I211" s="17"/>
      <c r="J211" s="46"/>
      <c r="K211" s="46"/>
      <c r="L211" s="46"/>
      <c r="M211" s="17"/>
      <c r="N211" s="46"/>
      <c r="O211" s="46"/>
      <c r="P211" s="46"/>
      <c r="Q211" s="46"/>
      <c r="R211" s="46"/>
      <c r="S211" s="46"/>
      <c r="T211" s="46"/>
      <c r="U211" s="46"/>
      <c r="V211" s="46"/>
      <c r="W211" s="46"/>
      <c r="X211" s="46"/>
      <c r="Y211" s="46"/>
      <c r="Z211" s="46"/>
      <c r="AA211" s="46"/>
      <c r="AB211" s="46"/>
      <c r="AC211" s="46"/>
      <c r="AD211" s="46"/>
      <c r="AE211" s="46"/>
      <c r="AF211" s="46"/>
      <c r="AG211" s="123"/>
      <c r="AH211" s="123"/>
      <c r="AI211" s="123"/>
      <c r="AJ211" s="123"/>
      <c r="AK211" s="46"/>
      <c r="AL211" s="46"/>
      <c r="AM211" s="46"/>
      <c r="AN211" s="46"/>
      <c r="AO211" s="46"/>
    </row>
    <row r="212">
      <c r="A212" s="17"/>
      <c r="B212" s="46"/>
      <c r="C212" s="46"/>
      <c r="D212" s="46"/>
      <c r="E212" s="17"/>
      <c r="F212" s="46"/>
      <c r="G212" s="46"/>
      <c r="H212" s="46"/>
      <c r="I212" s="17"/>
      <c r="J212" s="46"/>
      <c r="K212" s="46"/>
      <c r="L212" s="46"/>
      <c r="M212" s="17"/>
      <c r="N212" s="46"/>
      <c r="O212" s="46"/>
      <c r="P212" s="46"/>
      <c r="Q212" s="46"/>
      <c r="R212" s="46"/>
      <c r="S212" s="46"/>
      <c r="T212" s="46"/>
      <c r="U212" s="46"/>
      <c r="V212" s="46"/>
      <c r="W212" s="46"/>
      <c r="X212" s="46"/>
      <c r="Y212" s="46"/>
      <c r="Z212" s="46"/>
      <c r="AA212" s="46"/>
      <c r="AB212" s="46"/>
      <c r="AC212" s="46"/>
      <c r="AD212" s="46"/>
      <c r="AE212" s="46"/>
      <c r="AF212" s="46"/>
      <c r="AG212" s="123"/>
      <c r="AH212" s="123"/>
      <c r="AI212" s="123"/>
      <c r="AJ212" s="123"/>
      <c r="AK212" s="46"/>
      <c r="AL212" s="46"/>
      <c r="AM212" s="46"/>
      <c r="AN212" s="46"/>
      <c r="AO212" s="46"/>
    </row>
    <row r="213">
      <c r="A213" s="17"/>
      <c r="B213" s="46"/>
      <c r="C213" s="46"/>
      <c r="D213" s="46"/>
      <c r="E213" s="17"/>
      <c r="F213" s="46"/>
      <c r="G213" s="46"/>
      <c r="H213" s="46"/>
      <c r="I213" s="17"/>
      <c r="J213" s="46"/>
      <c r="K213" s="46"/>
      <c r="L213" s="46"/>
      <c r="M213" s="17"/>
      <c r="N213" s="46"/>
      <c r="O213" s="46"/>
      <c r="P213" s="46"/>
      <c r="Q213" s="46"/>
      <c r="R213" s="46"/>
      <c r="S213" s="46"/>
      <c r="T213" s="46"/>
      <c r="U213" s="46"/>
      <c r="V213" s="46"/>
      <c r="W213" s="46"/>
      <c r="X213" s="46"/>
      <c r="Y213" s="46"/>
      <c r="Z213" s="46"/>
      <c r="AA213" s="46"/>
      <c r="AB213" s="46"/>
      <c r="AC213" s="46"/>
      <c r="AD213" s="46"/>
      <c r="AE213" s="46"/>
      <c r="AF213" s="46"/>
      <c r="AG213" s="123"/>
      <c r="AH213" s="123"/>
      <c r="AI213" s="123"/>
      <c r="AJ213" s="123"/>
      <c r="AK213" s="46"/>
      <c r="AL213" s="46"/>
      <c r="AM213" s="46"/>
      <c r="AN213" s="46"/>
      <c r="AO213" s="46"/>
    </row>
    <row r="214">
      <c r="A214" s="17"/>
      <c r="B214" s="46"/>
      <c r="C214" s="46"/>
      <c r="D214" s="46"/>
      <c r="E214" s="17"/>
      <c r="F214" s="46"/>
      <c r="G214" s="46"/>
      <c r="H214" s="46"/>
      <c r="I214" s="17"/>
      <c r="J214" s="46"/>
      <c r="K214" s="46"/>
      <c r="L214" s="46"/>
      <c r="M214" s="17"/>
      <c r="N214" s="46"/>
      <c r="O214" s="46"/>
      <c r="P214" s="46"/>
      <c r="Q214" s="46"/>
      <c r="R214" s="46"/>
      <c r="S214" s="46"/>
      <c r="T214" s="46"/>
      <c r="U214" s="46"/>
      <c r="V214" s="46"/>
      <c r="W214" s="46"/>
      <c r="X214" s="46"/>
      <c r="Y214" s="46"/>
      <c r="Z214" s="46"/>
      <c r="AA214" s="46"/>
      <c r="AB214" s="46"/>
      <c r="AC214" s="46"/>
      <c r="AD214" s="46"/>
      <c r="AE214" s="46"/>
      <c r="AF214" s="46"/>
      <c r="AG214" s="123"/>
      <c r="AH214" s="123"/>
      <c r="AI214" s="123"/>
      <c r="AJ214" s="123"/>
      <c r="AK214" s="46"/>
      <c r="AL214" s="46"/>
      <c r="AM214" s="46"/>
      <c r="AN214" s="46"/>
      <c r="AO214" s="46"/>
    </row>
    <row r="215">
      <c r="A215" s="17"/>
      <c r="B215" s="46"/>
      <c r="C215" s="46"/>
      <c r="D215" s="46"/>
      <c r="E215" s="17"/>
      <c r="F215" s="46"/>
      <c r="G215" s="46"/>
      <c r="H215" s="46"/>
      <c r="I215" s="17"/>
      <c r="J215" s="46"/>
      <c r="K215" s="46"/>
      <c r="L215" s="46"/>
      <c r="M215" s="17"/>
      <c r="N215" s="46"/>
      <c r="O215" s="46"/>
      <c r="P215" s="46"/>
      <c r="Q215" s="46"/>
      <c r="R215" s="46"/>
      <c r="S215" s="46"/>
      <c r="T215" s="46"/>
      <c r="U215" s="46"/>
      <c r="V215" s="46"/>
      <c r="W215" s="46"/>
      <c r="X215" s="46"/>
      <c r="Y215" s="46"/>
      <c r="Z215" s="46"/>
      <c r="AA215" s="46"/>
      <c r="AB215" s="46"/>
      <c r="AC215" s="46"/>
      <c r="AD215" s="46"/>
      <c r="AE215" s="46"/>
      <c r="AF215" s="46"/>
      <c r="AG215" s="123"/>
      <c r="AH215" s="123"/>
      <c r="AI215" s="123"/>
      <c r="AJ215" s="123"/>
      <c r="AK215" s="46"/>
      <c r="AL215" s="46"/>
      <c r="AM215" s="46"/>
      <c r="AN215" s="46"/>
      <c r="AO215" s="46"/>
    </row>
    <row r="216">
      <c r="A216" s="17"/>
      <c r="B216" s="46"/>
      <c r="C216" s="46"/>
      <c r="D216" s="46"/>
      <c r="E216" s="17"/>
      <c r="F216" s="46"/>
      <c r="G216" s="46"/>
      <c r="H216" s="46"/>
      <c r="I216" s="17"/>
      <c r="J216" s="46"/>
      <c r="K216" s="46"/>
      <c r="L216" s="46"/>
      <c r="M216" s="17"/>
      <c r="N216" s="46"/>
      <c r="O216" s="46"/>
      <c r="P216" s="46"/>
      <c r="Q216" s="46"/>
      <c r="R216" s="46"/>
      <c r="S216" s="46"/>
      <c r="T216" s="46"/>
      <c r="U216" s="46"/>
      <c r="V216" s="46"/>
      <c r="W216" s="46"/>
      <c r="X216" s="46"/>
      <c r="Y216" s="46"/>
      <c r="Z216" s="46"/>
      <c r="AA216" s="46"/>
      <c r="AB216" s="46"/>
      <c r="AC216" s="46"/>
      <c r="AD216" s="46"/>
      <c r="AE216" s="46"/>
      <c r="AF216" s="46"/>
      <c r="AG216" s="123"/>
      <c r="AH216" s="123"/>
      <c r="AI216" s="123"/>
      <c r="AJ216" s="123"/>
      <c r="AK216" s="46"/>
      <c r="AL216" s="46"/>
      <c r="AM216" s="46"/>
      <c r="AN216" s="46"/>
      <c r="AO216" s="46"/>
    </row>
    <row r="217">
      <c r="A217" s="17"/>
      <c r="B217" s="46"/>
      <c r="C217" s="46"/>
      <c r="D217" s="46"/>
      <c r="E217" s="17"/>
      <c r="F217" s="46"/>
      <c r="G217" s="46"/>
      <c r="H217" s="46"/>
      <c r="I217" s="17"/>
      <c r="J217" s="46"/>
      <c r="K217" s="46"/>
      <c r="L217" s="46"/>
      <c r="M217" s="17"/>
      <c r="N217" s="46"/>
      <c r="O217" s="46"/>
      <c r="P217" s="46"/>
      <c r="Q217" s="46"/>
      <c r="R217" s="46"/>
      <c r="S217" s="46"/>
      <c r="T217" s="46"/>
      <c r="U217" s="46"/>
      <c r="V217" s="46"/>
      <c r="W217" s="46"/>
      <c r="X217" s="46"/>
      <c r="Y217" s="46"/>
      <c r="Z217" s="46"/>
      <c r="AA217" s="46"/>
      <c r="AB217" s="46"/>
      <c r="AC217" s="46"/>
      <c r="AD217" s="46"/>
      <c r="AE217" s="46"/>
      <c r="AF217" s="46"/>
      <c r="AG217" s="123"/>
      <c r="AH217" s="123"/>
      <c r="AI217" s="123"/>
      <c r="AJ217" s="123"/>
      <c r="AK217" s="46"/>
      <c r="AL217" s="46"/>
      <c r="AM217" s="46"/>
      <c r="AN217" s="46"/>
      <c r="AO217" s="46"/>
    </row>
    <row r="218">
      <c r="A218" s="17"/>
      <c r="B218" s="46"/>
      <c r="C218" s="46"/>
      <c r="D218" s="46"/>
      <c r="E218" s="17"/>
      <c r="F218" s="46"/>
      <c r="G218" s="46"/>
      <c r="H218" s="46"/>
      <c r="I218" s="17"/>
      <c r="J218" s="46"/>
      <c r="K218" s="46"/>
      <c r="L218" s="46"/>
      <c r="M218" s="17"/>
      <c r="N218" s="46"/>
      <c r="O218" s="46"/>
      <c r="P218" s="46"/>
      <c r="Q218" s="46"/>
      <c r="R218" s="46"/>
      <c r="S218" s="46"/>
      <c r="T218" s="46"/>
      <c r="U218" s="46"/>
      <c r="V218" s="46"/>
      <c r="W218" s="46"/>
      <c r="X218" s="46"/>
      <c r="Y218" s="46"/>
      <c r="Z218" s="46"/>
      <c r="AA218" s="46"/>
      <c r="AB218" s="46"/>
      <c r="AC218" s="46"/>
      <c r="AD218" s="46"/>
      <c r="AE218" s="46"/>
      <c r="AF218" s="46"/>
      <c r="AG218" s="123"/>
      <c r="AH218" s="123"/>
      <c r="AI218" s="123"/>
      <c r="AJ218" s="123"/>
      <c r="AK218" s="46"/>
      <c r="AL218" s="46"/>
      <c r="AM218" s="46"/>
      <c r="AN218" s="46"/>
      <c r="AO218" s="46"/>
    </row>
    <row r="219">
      <c r="A219" s="17"/>
      <c r="B219" s="46"/>
      <c r="C219" s="46"/>
      <c r="D219" s="46"/>
      <c r="E219" s="17"/>
      <c r="F219" s="46"/>
      <c r="G219" s="46"/>
      <c r="H219" s="46"/>
      <c r="I219" s="17"/>
      <c r="J219" s="46"/>
      <c r="K219" s="46"/>
      <c r="L219" s="46"/>
      <c r="M219" s="17"/>
      <c r="N219" s="46"/>
      <c r="O219" s="46"/>
      <c r="P219" s="46"/>
      <c r="Q219" s="46"/>
      <c r="R219" s="46"/>
      <c r="S219" s="46"/>
      <c r="T219" s="46"/>
      <c r="U219" s="46"/>
      <c r="V219" s="46"/>
      <c r="W219" s="46"/>
      <c r="X219" s="46"/>
      <c r="Y219" s="46"/>
      <c r="Z219" s="46"/>
      <c r="AA219" s="46"/>
      <c r="AB219" s="46"/>
      <c r="AC219" s="46"/>
      <c r="AD219" s="46"/>
      <c r="AE219" s="46"/>
      <c r="AF219" s="46"/>
      <c r="AG219" s="123"/>
      <c r="AH219" s="123"/>
      <c r="AI219" s="123"/>
      <c r="AJ219" s="123"/>
      <c r="AK219" s="46"/>
      <c r="AL219" s="46"/>
      <c r="AM219" s="46"/>
      <c r="AN219" s="46"/>
      <c r="AO219" s="46"/>
    </row>
    <row r="220">
      <c r="A220" s="17"/>
      <c r="B220" s="46"/>
      <c r="C220" s="46"/>
      <c r="D220" s="46"/>
      <c r="E220" s="17"/>
      <c r="F220" s="46"/>
      <c r="G220" s="46"/>
      <c r="H220" s="46"/>
      <c r="I220" s="17"/>
      <c r="J220" s="46"/>
      <c r="K220" s="46"/>
      <c r="L220" s="46"/>
      <c r="M220" s="17"/>
      <c r="N220" s="46"/>
      <c r="O220" s="46"/>
      <c r="P220" s="46"/>
      <c r="Q220" s="46"/>
      <c r="R220" s="46"/>
      <c r="S220" s="46"/>
      <c r="T220" s="46"/>
      <c r="U220" s="46"/>
      <c r="V220" s="46"/>
      <c r="W220" s="46"/>
      <c r="X220" s="46"/>
      <c r="Y220" s="46"/>
      <c r="Z220" s="46"/>
      <c r="AA220" s="46"/>
      <c r="AB220" s="46"/>
      <c r="AC220" s="46"/>
      <c r="AD220" s="46"/>
      <c r="AE220" s="46"/>
      <c r="AF220" s="46"/>
      <c r="AG220" s="123"/>
      <c r="AH220" s="123"/>
      <c r="AI220" s="123"/>
      <c r="AJ220" s="123"/>
      <c r="AK220" s="46"/>
      <c r="AL220" s="46"/>
      <c r="AM220" s="46"/>
      <c r="AN220" s="46"/>
      <c r="AO220" s="46"/>
    </row>
    <row r="221">
      <c r="A221" s="17"/>
      <c r="B221" s="46"/>
      <c r="C221" s="46"/>
      <c r="D221" s="46"/>
      <c r="E221" s="17"/>
      <c r="F221" s="46"/>
      <c r="G221" s="46"/>
      <c r="H221" s="46"/>
      <c r="I221" s="17"/>
      <c r="J221" s="46"/>
      <c r="K221" s="46"/>
      <c r="L221" s="46"/>
      <c r="M221" s="17"/>
      <c r="N221" s="46"/>
      <c r="O221" s="46"/>
      <c r="P221" s="46"/>
      <c r="Q221" s="46"/>
      <c r="R221" s="46"/>
      <c r="S221" s="46"/>
      <c r="T221" s="46"/>
      <c r="U221" s="46"/>
      <c r="V221" s="46"/>
      <c r="W221" s="46"/>
      <c r="X221" s="46"/>
      <c r="Y221" s="46"/>
      <c r="Z221" s="46"/>
      <c r="AA221" s="46"/>
      <c r="AB221" s="46"/>
      <c r="AC221" s="46"/>
      <c r="AD221" s="46"/>
      <c r="AE221" s="46"/>
      <c r="AF221" s="46"/>
      <c r="AG221" s="123"/>
      <c r="AH221" s="123"/>
      <c r="AI221" s="123"/>
      <c r="AJ221" s="123"/>
      <c r="AK221" s="46"/>
      <c r="AL221" s="46"/>
      <c r="AM221" s="46"/>
      <c r="AN221" s="46"/>
      <c r="AO221" s="46"/>
    </row>
    <row r="222">
      <c r="A222" s="17"/>
      <c r="B222" s="46"/>
      <c r="C222" s="46"/>
      <c r="D222" s="46"/>
      <c r="E222" s="17"/>
      <c r="F222" s="46"/>
      <c r="G222" s="46"/>
      <c r="H222" s="46"/>
      <c r="I222" s="17"/>
      <c r="J222" s="46"/>
      <c r="K222" s="46"/>
      <c r="L222" s="46"/>
      <c r="M222" s="17"/>
      <c r="N222" s="46"/>
      <c r="O222" s="46"/>
      <c r="P222" s="46"/>
      <c r="Q222" s="46"/>
      <c r="R222" s="46"/>
      <c r="S222" s="46"/>
      <c r="T222" s="46"/>
      <c r="U222" s="46"/>
      <c r="V222" s="46"/>
      <c r="W222" s="46"/>
      <c r="X222" s="46"/>
      <c r="Y222" s="46"/>
      <c r="Z222" s="46"/>
      <c r="AA222" s="46"/>
      <c r="AB222" s="46"/>
      <c r="AC222" s="46"/>
      <c r="AD222" s="46"/>
      <c r="AE222" s="46"/>
      <c r="AF222" s="46"/>
      <c r="AG222" s="123"/>
      <c r="AH222" s="123"/>
      <c r="AI222" s="123"/>
      <c r="AJ222" s="123"/>
      <c r="AK222" s="46"/>
      <c r="AL222" s="46"/>
      <c r="AM222" s="46"/>
      <c r="AN222" s="46"/>
      <c r="AO222" s="46"/>
    </row>
    <row r="223">
      <c r="A223" s="17"/>
      <c r="B223" s="46"/>
      <c r="C223" s="46"/>
      <c r="D223" s="46"/>
      <c r="E223" s="17"/>
      <c r="F223" s="46"/>
      <c r="G223" s="46"/>
      <c r="H223" s="46"/>
      <c r="I223" s="17"/>
      <c r="J223" s="46"/>
      <c r="K223" s="46"/>
      <c r="L223" s="46"/>
      <c r="M223" s="17"/>
      <c r="N223" s="46"/>
      <c r="O223" s="46"/>
      <c r="P223" s="46"/>
      <c r="Q223" s="46"/>
      <c r="R223" s="46"/>
      <c r="S223" s="46"/>
      <c r="T223" s="46"/>
      <c r="U223" s="46"/>
      <c r="V223" s="46"/>
      <c r="W223" s="46"/>
      <c r="X223" s="46"/>
      <c r="Y223" s="46"/>
      <c r="Z223" s="46"/>
      <c r="AA223" s="46"/>
      <c r="AB223" s="46"/>
      <c r="AC223" s="46"/>
      <c r="AD223" s="46"/>
      <c r="AE223" s="46"/>
      <c r="AF223" s="46"/>
      <c r="AG223" s="123"/>
      <c r="AH223" s="123"/>
      <c r="AI223" s="123"/>
      <c r="AJ223" s="123"/>
      <c r="AK223" s="46"/>
      <c r="AL223" s="46"/>
      <c r="AM223" s="46"/>
      <c r="AN223" s="46"/>
      <c r="AO223" s="46"/>
    </row>
    <row r="224">
      <c r="A224" s="17"/>
      <c r="B224" s="46"/>
      <c r="C224" s="46"/>
      <c r="D224" s="46"/>
      <c r="E224" s="17"/>
      <c r="F224" s="46"/>
      <c r="G224" s="46"/>
      <c r="H224" s="46"/>
      <c r="I224" s="17"/>
      <c r="J224" s="46"/>
      <c r="K224" s="46"/>
      <c r="L224" s="46"/>
      <c r="M224" s="17"/>
      <c r="N224" s="46"/>
      <c r="O224" s="46"/>
      <c r="P224" s="46"/>
      <c r="Q224" s="46"/>
      <c r="R224" s="46"/>
      <c r="S224" s="46"/>
      <c r="T224" s="46"/>
      <c r="U224" s="46"/>
      <c r="V224" s="46"/>
      <c r="W224" s="46"/>
      <c r="X224" s="46"/>
      <c r="Y224" s="46"/>
      <c r="Z224" s="46"/>
      <c r="AA224" s="46"/>
      <c r="AB224" s="46"/>
      <c r="AC224" s="46"/>
      <c r="AD224" s="46"/>
      <c r="AE224" s="46"/>
      <c r="AF224" s="46"/>
      <c r="AG224" s="123"/>
      <c r="AH224" s="123"/>
      <c r="AI224" s="123"/>
      <c r="AJ224" s="123"/>
      <c r="AK224" s="46"/>
      <c r="AL224" s="46"/>
      <c r="AM224" s="46"/>
      <c r="AN224" s="46"/>
      <c r="AO224" s="46"/>
    </row>
    <row r="225">
      <c r="A225" s="17"/>
      <c r="B225" s="46"/>
      <c r="C225" s="46"/>
      <c r="D225" s="46"/>
      <c r="E225" s="17"/>
      <c r="F225" s="46"/>
      <c r="G225" s="46"/>
      <c r="H225" s="46"/>
      <c r="I225" s="17"/>
      <c r="J225" s="46"/>
      <c r="K225" s="46"/>
      <c r="L225" s="46"/>
      <c r="M225" s="17"/>
      <c r="N225" s="46"/>
      <c r="O225" s="46"/>
      <c r="P225" s="46"/>
      <c r="Q225" s="46"/>
      <c r="R225" s="46"/>
      <c r="S225" s="46"/>
      <c r="T225" s="46"/>
      <c r="U225" s="46"/>
      <c r="V225" s="46"/>
      <c r="W225" s="46"/>
      <c r="X225" s="46"/>
      <c r="Y225" s="46"/>
      <c r="Z225" s="46"/>
      <c r="AA225" s="46"/>
      <c r="AB225" s="46"/>
      <c r="AC225" s="46"/>
      <c r="AD225" s="46"/>
      <c r="AE225" s="46"/>
      <c r="AF225" s="46"/>
      <c r="AG225" s="123"/>
      <c r="AH225" s="123"/>
      <c r="AI225" s="123"/>
      <c r="AJ225" s="123"/>
      <c r="AK225" s="46"/>
      <c r="AL225" s="46"/>
      <c r="AM225" s="46"/>
      <c r="AN225" s="46"/>
      <c r="AO225" s="46"/>
    </row>
    <row r="226">
      <c r="A226" s="17"/>
      <c r="B226" s="46"/>
      <c r="C226" s="46"/>
      <c r="D226" s="46"/>
      <c r="E226" s="17"/>
      <c r="F226" s="46"/>
      <c r="G226" s="46"/>
      <c r="H226" s="46"/>
      <c r="I226" s="17"/>
      <c r="J226" s="46"/>
      <c r="K226" s="46"/>
      <c r="L226" s="46"/>
      <c r="M226" s="17"/>
      <c r="N226" s="46"/>
      <c r="O226" s="46"/>
      <c r="P226" s="46"/>
      <c r="Q226" s="46"/>
      <c r="R226" s="46"/>
      <c r="S226" s="46"/>
      <c r="T226" s="46"/>
      <c r="U226" s="46"/>
      <c r="V226" s="46"/>
      <c r="W226" s="46"/>
      <c r="X226" s="46"/>
      <c r="Y226" s="46"/>
      <c r="Z226" s="46"/>
      <c r="AA226" s="46"/>
      <c r="AB226" s="46"/>
      <c r="AC226" s="46"/>
      <c r="AD226" s="46"/>
      <c r="AE226" s="46"/>
      <c r="AF226" s="46"/>
      <c r="AG226" s="123"/>
      <c r="AH226" s="123"/>
      <c r="AI226" s="123"/>
      <c r="AJ226" s="123"/>
      <c r="AK226" s="46"/>
      <c r="AL226" s="46"/>
      <c r="AM226" s="46"/>
      <c r="AN226" s="46"/>
      <c r="AO226" s="46"/>
    </row>
    <row r="227">
      <c r="A227" s="17"/>
      <c r="B227" s="46"/>
      <c r="C227" s="46"/>
      <c r="D227" s="46"/>
      <c r="E227" s="17"/>
      <c r="F227" s="46"/>
      <c r="G227" s="46"/>
      <c r="H227" s="46"/>
      <c r="I227" s="17"/>
      <c r="J227" s="46"/>
      <c r="K227" s="46"/>
      <c r="L227" s="46"/>
      <c r="M227" s="17"/>
      <c r="N227" s="46"/>
      <c r="O227" s="46"/>
      <c r="P227" s="46"/>
      <c r="Q227" s="46"/>
      <c r="R227" s="46"/>
      <c r="S227" s="46"/>
      <c r="T227" s="46"/>
      <c r="U227" s="46"/>
      <c r="V227" s="46"/>
      <c r="W227" s="46"/>
      <c r="X227" s="46"/>
      <c r="Y227" s="46"/>
      <c r="Z227" s="46"/>
      <c r="AA227" s="46"/>
      <c r="AB227" s="46"/>
      <c r="AC227" s="46"/>
      <c r="AD227" s="46"/>
      <c r="AE227" s="46"/>
      <c r="AF227" s="46"/>
      <c r="AG227" s="123"/>
      <c r="AH227" s="123"/>
      <c r="AI227" s="123"/>
      <c r="AJ227" s="123"/>
      <c r="AK227" s="46"/>
      <c r="AL227" s="46"/>
      <c r="AM227" s="46"/>
      <c r="AN227" s="46"/>
      <c r="AO227" s="46"/>
    </row>
    <row r="228">
      <c r="A228" s="17"/>
      <c r="B228" s="46"/>
      <c r="C228" s="46"/>
      <c r="D228" s="46"/>
      <c r="E228" s="17"/>
      <c r="F228" s="46"/>
      <c r="G228" s="46"/>
      <c r="H228" s="46"/>
      <c r="I228" s="17"/>
      <c r="J228" s="46"/>
      <c r="K228" s="46"/>
      <c r="L228" s="46"/>
      <c r="M228" s="17"/>
      <c r="N228" s="46"/>
      <c r="O228" s="46"/>
      <c r="P228" s="46"/>
      <c r="Q228" s="46"/>
      <c r="R228" s="46"/>
      <c r="S228" s="46"/>
      <c r="T228" s="46"/>
      <c r="U228" s="46"/>
      <c r="V228" s="46"/>
      <c r="W228" s="46"/>
      <c r="X228" s="46"/>
      <c r="Y228" s="46"/>
      <c r="Z228" s="46"/>
      <c r="AA228" s="46"/>
      <c r="AB228" s="46"/>
      <c r="AC228" s="46"/>
      <c r="AD228" s="46"/>
      <c r="AE228" s="46"/>
      <c r="AF228" s="46"/>
      <c r="AG228" s="123"/>
      <c r="AH228" s="123"/>
      <c r="AI228" s="123"/>
      <c r="AJ228" s="123"/>
      <c r="AK228" s="46"/>
      <c r="AL228" s="46"/>
      <c r="AM228" s="46"/>
      <c r="AN228" s="46"/>
      <c r="AO228" s="46"/>
    </row>
    <row r="229">
      <c r="A229" s="17"/>
      <c r="B229" s="46"/>
      <c r="C229" s="46"/>
      <c r="D229" s="46"/>
      <c r="E229" s="17"/>
      <c r="F229" s="46"/>
      <c r="G229" s="46"/>
      <c r="H229" s="46"/>
      <c r="I229" s="17"/>
      <c r="J229" s="46"/>
      <c r="K229" s="46"/>
      <c r="L229" s="46"/>
      <c r="M229" s="17"/>
      <c r="N229" s="46"/>
      <c r="O229" s="46"/>
      <c r="P229" s="46"/>
      <c r="Q229" s="46"/>
      <c r="R229" s="46"/>
      <c r="S229" s="46"/>
      <c r="T229" s="46"/>
      <c r="U229" s="46"/>
      <c r="V229" s="46"/>
      <c r="W229" s="46"/>
      <c r="X229" s="46"/>
      <c r="Y229" s="46"/>
      <c r="Z229" s="46"/>
      <c r="AA229" s="46"/>
      <c r="AB229" s="46"/>
      <c r="AC229" s="46"/>
      <c r="AD229" s="46"/>
      <c r="AE229" s="46"/>
      <c r="AF229" s="46"/>
      <c r="AG229" s="123"/>
      <c r="AH229" s="123"/>
      <c r="AI229" s="123"/>
      <c r="AJ229" s="123"/>
      <c r="AK229" s="46"/>
      <c r="AL229" s="46"/>
      <c r="AM229" s="46"/>
      <c r="AN229" s="46"/>
      <c r="AO229" s="46"/>
    </row>
    <row r="230">
      <c r="A230" s="17"/>
      <c r="B230" s="46"/>
      <c r="C230" s="46"/>
      <c r="D230" s="46"/>
      <c r="E230" s="17"/>
      <c r="F230" s="46"/>
      <c r="G230" s="46"/>
      <c r="H230" s="46"/>
      <c r="I230" s="17"/>
      <c r="J230" s="46"/>
      <c r="K230" s="46"/>
      <c r="L230" s="46"/>
      <c r="M230" s="17"/>
      <c r="N230" s="46"/>
      <c r="O230" s="46"/>
      <c r="P230" s="46"/>
      <c r="Q230" s="46"/>
      <c r="R230" s="46"/>
      <c r="S230" s="46"/>
      <c r="T230" s="46"/>
      <c r="U230" s="46"/>
      <c r="V230" s="46"/>
      <c r="W230" s="46"/>
      <c r="X230" s="46"/>
      <c r="Y230" s="46"/>
      <c r="Z230" s="46"/>
      <c r="AA230" s="46"/>
      <c r="AB230" s="46"/>
      <c r="AC230" s="46"/>
      <c r="AD230" s="46"/>
      <c r="AE230" s="46"/>
      <c r="AF230" s="46"/>
      <c r="AG230" s="123"/>
      <c r="AH230" s="123"/>
      <c r="AI230" s="123"/>
      <c r="AJ230" s="123"/>
      <c r="AK230" s="46"/>
      <c r="AL230" s="46"/>
      <c r="AM230" s="46"/>
      <c r="AN230" s="46"/>
      <c r="AO230" s="46"/>
    </row>
    <row r="231">
      <c r="A231" s="17"/>
      <c r="B231" s="46"/>
      <c r="C231" s="46"/>
      <c r="D231" s="46"/>
      <c r="E231" s="17"/>
      <c r="F231" s="46"/>
      <c r="G231" s="46"/>
      <c r="H231" s="46"/>
      <c r="I231" s="17"/>
      <c r="J231" s="46"/>
      <c r="K231" s="46"/>
      <c r="L231" s="46"/>
      <c r="M231" s="17"/>
      <c r="N231" s="46"/>
      <c r="O231" s="46"/>
      <c r="P231" s="46"/>
      <c r="Q231" s="46"/>
      <c r="R231" s="46"/>
      <c r="S231" s="46"/>
      <c r="T231" s="46"/>
      <c r="U231" s="46"/>
      <c r="V231" s="46"/>
      <c r="W231" s="46"/>
      <c r="X231" s="46"/>
      <c r="Y231" s="46"/>
      <c r="Z231" s="46"/>
      <c r="AA231" s="46"/>
      <c r="AB231" s="46"/>
      <c r="AC231" s="46"/>
      <c r="AD231" s="46"/>
      <c r="AE231" s="46"/>
      <c r="AF231" s="46"/>
      <c r="AG231" s="123"/>
      <c r="AH231" s="123"/>
      <c r="AI231" s="123"/>
      <c r="AJ231" s="123"/>
      <c r="AK231" s="46"/>
      <c r="AL231" s="46"/>
      <c r="AM231" s="46"/>
      <c r="AN231" s="46"/>
      <c r="AO231" s="46"/>
    </row>
    <row r="232">
      <c r="A232" s="17"/>
      <c r="B232" s="46"/>
      <c r="C232" s="46"/>
      <c r="D232" s="46"/>
      <c r="E232" s="17"/>
      <c r="F232" s="46"/>
      <c r="G232" s="46"/>
      <c r="H232" s="46"/>
      <c r="I232" s="17"/>
      <c r="J232" s="46"/>
      <c r="K232" s="46"/>
      <c r="L232" s="46"/>
      <c r="M232" s="17"/>
      <c r="N232" s="46"/>
      <c r="O232" s="46"/>
      <c r="P232" s="46"/>
      <c r="Q232" s="46"/>
      <c r="R232" s="46"/>
      <c r="S232" s="46"/>
      <c r="T232" s="46"/>
      <c r="U232" s="46"/>
      <c r="V232" s="46"/>
      <c r="W232" s="46"/>
      <c r="X232" s="46"/>
      <c r="Y232" s="46"/>
      <c r="Z232" s="46"/>
      <c r="AA232" s="46"/>
      <c r="AB232" s="46"/>
      <c r="AC232" s="46"/>
      <c r="AD232" s="46"/>
      <c r="AE232" s="46"/>
      <c r="AF232" s="46"/>
      <c r="AG232" s="123"/>
      <c r="AH232" s="123"/>
      <c r="AI232" s="123"/>
      <c r="AJ232" s="123"/>
      <c r="AK232" s="46"/>
      <c r="AL232" s="46"/>
      <c r="AM232" s="46"/>
      <c r="AN232" s="46"/>
      <c r="AO232" s="46"/>
    </row>
    <row r="233">
      <c r="A233" s="17"/>
      <c r="B233" s="46"/>
      <c r="C233" s="46"/>
      <c r="D233" s="46"/>
      <c r="E233" s="17"/>
      <c r="F233" s="46"/>
      <c r="G233" s="46"/>
      <c r="H233" s="46"/>
      <c r="I233" s="17"/>
      <c r="J233" s="46"/>
      <c r="K233" s="46"/>
      <c r="L233" s="46"/>
      <c r="M233" s="17"/>
      <c r="N233" s="46"/>
      <c r="O233" s="46"/>
      <c r="P233" s="46"/>
      <c r="Q233" s="46"/>
      <c r="R233" s="46"/>
      <c r="S233" s="46"/>
      <c r="T233" s="46"/>
      <c r="U233" s="46"/>
      <c r="V233" s="46"/>
      <c r="W233" s="46"/>
      <c r="X233" s="46"/>
      <c r="Y233" s="46"/>
      <c r="Z233" s="46"/>
      <c r="AA233" s="46"/>
      <c r="AB233" s="46"/>
      <c r="AC233" s="46"/>
      <c r="AD233" s="46"/>
      <c r="AE233" s="46"/>
      <c r="AF233" s="46"/>
      <c r="AG233" s="123"/>
      <c r="AH233" s="123"/>
      <c r="AI233" s="123"/>
      <c r="AJ233" s="123"/>
      <c r="AK233" s="46"/>
      <c r="AL233" s="46"/>
      <c r="AM233" s="46"/>
      <c r="AN233" s="46"/>
      <c r="AO233" s="46"/>
    </row>
    <row r="234">
      <c r="A234" s="17"/>
      <c r="B234" s="46"/>
      <c r="C234" s="46"/>
      <c r="D234" s="46"/>
      <c r="E234" s="17"/>
      <c r="F234" s="46"/>
      <c r="G234" s="46"/>
      <c r="H234" s="46"/>
      <c r="I234" s="17"/>
      <c r="J234" s="46"/>
      <c r="K234" s="46"/>
      <c r="L234" s="46"/>
      <c r="M234" s="17"/>
      <c r="N234" s="46"/>
      <c r="O234" s="46"/>
      <c r="P234" s="46"/>
      <c r="Q234" s="46"/>
      <c r="R234" s="46"/>
      <c r="S234" s="46"/>
      <c r="T234" s="46"/>
      <c r="U234" s="46"/>
      <c r="V234" s="46"/>
      <c r="W234" s="46"/>
      <c r="X234" s="46"/>
      <c r="Y234" s="46"/>
      <c r="Z234" s="46"/>
      <c r="AA234" s="46"/>
      <c r="AB234" s="46"/>
      <c r="AC234" s="46"/>
      <c r="AD234" s="46"/>
      <c r="AE234" s="46"/>
      <c r="AF234" s="46"/>
      <c r="AG234" s="123"/>
      <c r="AH234" s="123"/>
      <c r="AI234" s="123"/>
      <c r="AJ234" s="123"/>
      <c r="AK234" s="46"/>
      <c r="AL234" s="46"/>
      <c r="AM234" s="46"/>
      <c r="AN234" s="46"/>
      <c r="AO234" s="46"/>
    </row>
    <row r="235">
      <c r="A235" s="17"/>
      <c r="B235" s="46"/>
      <c r="C235" s="46"/>
      <c r="D235" s="46"/>
      <c r="E235" s="17"/>
      <c r="F235" s="46"/>
      <c r="G235" s="46"/>
      <c r="H235" s="46"/>
      <c r="I235" s="17"/>
      <c r="J235" s="46"/>
      <c r="K235" s="46"/>
      <c r="L235" s="46"/>
      <c r="M235" s="17"/>
      <c r="N235" s="46"/>
      <c r="O235" s="46"/>
      <c r="P235" s="46"/>
      <c r="Q235" s="46"/>
      <c r="R235" s="46"/>
      <c r="S235" s="46"/>
      <c r="T235" s="46"/>
      <c r="U235" s="46"/>
      <c r="V235" s="46"/>
      <c r="W235" s="46"/>
      <c r="X235" s="46"/>
      <c r="Y235" s="46"/>
      <c r="Z235" s="46"/>
      <c r="AA235" s="46"/>
      <c r="AB235" s="46"/>
      <c r="AC235" s="46"/>
      <c r="AD235" s="46"/>
      <c r="AE235" s="46"/>
      <c r="AF235" s="46"/>
      <c r="AG235" s="123"/>
      <c r="AH235" s="123"/>
      <c r="AI235" s="123"/>
      <c r="AJ235" s="123"/>
      <c r="AK235" s="46"/>
      <c r="AL235" s="46"/>
      <c r="AM235" s="46"/>
      <c r="AN235" s="46"/>
      <c r="AO235" s="46"/>
    </row>
    <row r="236">
      <c r="A236" s="17"/>
      <c r="B236" s="46"/>
      <c r="C236" s="46"/>
      <c r="D236" s="46"/>
      <c r="E236" s="17"/>
      <c r="F236" s="46"/>
      <c r="G236" s="46"/>
      <c r="H236" s="46"/>
      <c r="I236" s="17"/>
      <c r="J236" s="46"/>
      <c r="K236" s="46"/>
      <c r="L236" s="46"/>
      <c r="M236" s="17"/>
      <c r="N236" s="46"/>
      <c r="O236" s="46"/>
      <c r="P236" s="46"/>
      <c r="Q236" s="46"/>
      <c r="R236" s="46"/>
      <c r="S236" s="46"/>
      <c r="T236" s="46"/>
      <c r="U236" s="46"/>
      <c r="V236" s="46"/>
      <c r="W236" s="46"/>
      <c r="X236" s="46"/>
      <c r="Y236" s="46"/>
      <c r="Z236" s="46"/>
      <c r="AA236" s="46"/>
      <c r="AB236" s="46"/>
      <c r="AC236" s="46"/>
      <c r="AD236" s="46"/>
      <c r="AE236" s="46"/>
      <c r="AF236" s="46"/>
      <c r="AG236" s="123"/>
      <c r="AH236" s="123"/>
      <c r="AI236" s="123"/>
      <c r="AJ236" s="123"/>
      <c r="AK236" s="46"/>
      <c r="AL236" s="46"/>
      <c r="AM236" s="46"/>
      <c r="AN236" s="46"/>
      <c r="AO236" s="46"/>
    </row>
    <row r="237">
      <c r="A237" s="17"/>
      <c r="B237" s="46"/>
      <c r="C237" s="46"/>
      <c r="D237" s="46"/>
      <c r="E237" s="17"/>
      <c r="F237" s="46"/>
      <c r="G237" s="46"/>
      <c r="H237" s="46"/>
      <c r="I237" s="17"/>
      <c r="J237" s="46"/>
      <c r="K237" s="46"/>
      <c r="L237" s="46"/>
      <c r="M237" s="17"/>
      <c r="N237" s="46"/>
      <c r="O237" s="46"/>
      <c r="P237" s="46"/>
      <c r="Q237" s="46"/>
      <c r="R237" s="46"/>
      <c r="S237" s="46"/>
      <c r="T237" s="46"/>
      <c r="U237" s="46"/>
      <c r="V237" s="46"/>
      <c r="W237" s="46"/>
      <c r="X237" s="46"/>
      <c r="Y237" s="46"/>
      <c r="Z237" s="46"/>
      <c r="AA237" s="46"/>
      <c r="AB237" s="46"/>
      <c r="AC237" s="46"/>
      <c r="AD237" s="46"/>
      <c r="AE237" s="46"/>
      <c r="AF237" s="46"/>
      <c r="AG237" s="123"/>
      <c r="AH237" s="123"/>
      <c r="AI237" s="123"/>
      <c r="AJ237" s="123"/>
      <c r="AK237" s="46"/>
      <c r="AL237" s="46"/>
      <c r="AM237" s="46"/>
      <c r="AN237" s="46"/>
      <c r="AO237" s="46"/>
    </row>
    <row r="238">
      <c r="A238" s="17"/>
      <c r="B238" s="46"/>
      <c r="C238" s="46"/>
      <c r="D238" s="46"/>
      <c r="E238" s="17"/>
      <c r="F238" s="46"/>
      <c r="G238" s="46"/>
      <c r="H238" s="46"/>
      <c r="I238" s="17"/>
      <c r="J238" s="46"/>
      <c r="K238" s="46"/>
      <c r="L238" s="46"/>
      <c r="M238" s="17"/>
      <c r="N238" s="46"/>
      <c r="O238" s="46"/>
      <c r="P238" s="46"/>
      <c r="Q238" s="46"/>
      <c r="R238" s="46"/>
      <c r="S238" s="46"/>
      <c r="T238" s="46"/>
      <c r="U238" s="46"/>
      <c r="V238" s="46"/>
      <c r="W238" s="46"/>
      <c r="X238" s="46"/>
      <c r="Y238" s="46"/>
      <c r="Z238" s="46"/>
      <c r="AA238" s="46"/>
      <c r="AB238" s="46"/>
      <c r="AC238" s="46"/>
      <c r="AD238" s="46"/>
      <c r="AE238" s="46"/>
      <c r="AF238" s="46"/>
      <c r="AG238" s="123"/>
      <c r="AH238" s="123"/>
      <c r="AI238" s="123"/>
      <c r="AJ238" s="123"/>
      <c r="AK238" s="46"/>
      <c r="AL238" s="46"/>
      <c r="AM238" s="46"/>
      <c r="AN238" s="46"/>
      <c r="AO238" s="46"/>
    </row>
    <row r="239">
      <c r="A239" s="17"/>
      <c r="B239" s="46"/>
      <c r="C239" s="46"/>
      <c r="D239" s="46"/>
      <c r="E239" s="17"/>
      <c r="F239" s="46"/>
      <c r="G239" s="46"/>
      <c r="H239" s="46"/>
      <c r="I239" s="17"/>
      <c r="J239" s="46"/>
      <c r="K239" s="46"/>
      <c r="L239" s="46"/>
      <c r="M239" s="17"/>
      <c r="N239" s="46"/>
      <c r="O239" s="46"/>
      <c r="P239" s="46"/>
      <c r="Q239" s="46"/>
      <c r="R239" s="46"/>
      <c r="S239" s="46"/>
      <c r="T239" s="46"/>
      <c r="U239" s="46"/>
      <c r="V239" s="46"/>
      <c r="W239" s="46"/>
      <c r="X239" s="46"/>
      <c r="Y239" s="46"/>
      <c r="Z239" s="46"/>
      <c r="AA239" s="46"/>
      <c r="AB239" s="46"/>
      <c r="AC239" s="46"/>
      <c r="AD239" s="46"/>
      <c r="AE239" s="46"/>
      <c r="AF239" s="46"/>
      <c r="AG239" s="123"/>
      <c r="AH239" s="123"/>
      <c r="AI239" s="123"/>
      <c r="AJ239" s="123"/>
      <c r="AK239" s="46"/>
      <c r="AL239" s="46"/>
      <c r="AM239" s="46"/>
      <c r="AN239" s="46"/>
      <c r="AO239" s="46"/>
    </row>
    <row r="240">
      <c r="A240" s="17"/>
      <c r="B240" s="46"/>
      <c r="C240" s="46"/>
      <c r="D240" s="46"/>
      <c r="E240" s="17"/>
      <c r="F240" s="46"/>
      <c r="G240" s="46"/>
      <c r="H240" s="46"/>
      <c r="I240" s="17"/>
      <c r="J240" s="46"/>
      <c r="K240" s="46"/>
      <c r="L240" s="46"/>
      <c r="M240" s="17"/>
      <c r="N240" s="46"/>
      <c r="O240" s="46"/>
      <c r="P240" s="46"/>
      <c r="Q240" s="46"/>
      <c r="R240" s="46"/>
      <c r="S240" s="46"/>
      <c r="T240" s="46"/>
      <c r="U240" s="46"/>
      <c r="V240" s="46"/>
      <c r="W240" s="46"/>
      <c r="X240" s="46"/>
      <c r="Y240" s="46"/>
      <c r="Z240" s="46"/>
      <c r="AA240" s="46"/>
      <c r="AB240" s="46"/>
      <c r="AC240" s="46"/>
      <c r="AD240" s="46"/>
      <c r="AE240" s="46"/>
      <c r="AF240" s="46"/>
      <c r="AG240" s="123"/>
      <c r="AH240" s="123"/>
      <c r="AI240" s="123"/>
      <c r="AJ240" s="123"/>
      <c r="AK240" s="46"/>
      <c r="AL240" s="46"/>
      <c r="AM240" s="46"/>
      <c r="AN240" s="46"/>
      <c r="AO240" s="46"/>
    </row>
    <row r="241">
      <c r="A241" s="17"/>
      <c r="B241" s="46"/>
      <c r="C241" s="46"/>
      <c r="D241" s="46"/>
      <c r="E241" s="17"/>
      <c r="F241" s="46"/>
      <c r="G241" s="46"/>
      <c r="H241" s="46"/>
      <c r="I241" s="17"/>
      <c r="J241" s="46"/>
      <c r="K241" s="46"/>
      <c r="L241" s="46"/>
      <c r="M241" s="17"/>
      <c r="N241" s="46"/>
      <c r="O241" s="46"/>
      <c r="P241" s="46"/>
      <c r="Q241" s="46"/>
      <c r="R241" s="46"/>
      <c r="S241" s="46"/>
      <c r="T241" s="46"/>
      <c r="U241" s="46"/>
      <c r="V241" s="46"/>
      <c r="W241" s="46"/>
      <c r="X241" s="46"/>
      <c r="Y241" s="46"/>
      <c r="Z241" s="46"/>
      <c r="AA241" s="46"/>
      <c r="AB241" s="46"/>
      <c r="AC241" s="46"/>
      <c r="AD241" s="46"/>
      <c r="AE241" s="46"/>
      <c r="AF241" s="46"/>
      <c r="AG241" s="123"/>
      <c r="AH241" s="123"/>
      <c r="AI241" s="123"/>
      <c r="AJ241" s="123"/>
      <c r="AK241" s="46"/>
      <c r="AL241" s="46"/>
      <c r="AM241" s="46"/>
      <c r="AN241" s="46"/>
      <c r="AO241" s="46"/>
    </row>
    <row r="242">
      <c r="A242" s="17"/>
      <c r="B242" s="46"/>
      <c r="C242" s="46"/>
      <c r="D242" s="46"/>
      <c r="E242" s="17"/>
      <c r="F242" s="46"/>
      <c r="G242" s="46"/>
      <c r="H242" s="46"/>
      <c r="I242" s="17"/>
      <c r="J242" s="46"/>
      <c r="K242" s="46"/>
      <c r="L242" s="46"/>
      <c r="M242" s="17"/>
      <c r="N242" s="46"/>
      <c r="O242" s="46"/>
      <c r="P242" s="46"/>
      <c r="Q242" s="46"/>
      <c r="R242" s="46"/>
      <c r="S242" s="46"/>
      <c r="T242" s="46"/>
      <c r="U242" s="46"/>
      <c r="V242" s="46"/>
      <c r="W242" s="46"/>
      <c r="X242" s="46"/>
      <c r="Y242" s="46"/>
      <c r="Z242" s="46"/>
      <c r="AA242" s="46"/>
      <c r="AB242" s="46"/>
      <c r="AC242" s="46"/>
      <c r="AD242" s="46"/>
      <c r="AE242" s="46"/>
      <c r="AF242" s="46"/>
      <c r="AG242" s="123"/>
      <c r="AH242" s="123"/>
      <c r="AI242" s="123"/>
      <c r="AJ242" s="123"/>
      <c r="AK242" s="46"/>
      <c r="AL242" s="46"/>
      <c r="AM242" s="46"/>
      <c r="AN242" s="46"/>
      <c r="AO242" s="46"/>
    </row>
    <row r="243">
      <c r="A243" s="17"/>
      <c r="B243" s="46"/>
      <c r="C243" s="46"/>
      <c r="D243" s="46"/>
      <c r="E243" s="17"/>
      <c r="F243" s="46"/>
      <c r="G243" s="46"/>
      <c r="H243" s="46"/>
      <c r="I243" s="17"/>
      <c r="J243" s="46"/>
      <c r="K243" s="46"/>
      <c r="L243" s="46"/>
      <c r="M243" s="17"/>
      <c r="N243" s="46"/>
      <c r="O243" s="46"/>
      <c r="P243" s="46"/>
      <c r="Q243" s="46"/>
      <c r="R243" s="46"/>
      <c r="S243" s="46"/>
      <c r="T243" s="46"/>
      <c r="U243" s="46"/>
      <c r="V243" s="46"/>
      <c r="W243" s="46"/>
      <c r="X243" s="46"/>
      <c r="Y243" s="46"/>
      <c r="Z243" s="46"/>
      <c r="AA243" s="46"/>
      <c r="AB243" s="46"/>
      <c r="AC243" s="46"/>
      <c r="AD243" s="46"/>
      <c r="AE243" s="46"/>
      <c r="AF243" s="46"/>
      <c r="AG243" s="123"/>
      <c r="AH243" s="123"/>
      <c r="AI243" s="123"/>
      <c r="AJ243" s="123"/>
      <c r="AK243" s="46"/>
      <c r="AL243" s="46"/>
      <c r="AM243" s="46"/>
      <c r="AN243" s="46"/>
      <c r="AO243" s="46"/>
    </row>
    <row r="244">
      <c r="A244" s="17"/>
      <c r="B244" s="46"/>
      <c r="C244" s="46"/>
      <c r="D244" s="46"/>
      <c r="E244" s="17"/>
      <c r="F244" s="46"/>
      <c r="G244" s="46"/>
      <c r="H244" s="46"/>
      <c r="I244" s="17"/>
      <c r="J244" s="46"/>
      <c r="K244" s="46"/>
      <c r="L244" s="46"/>
      <c r="M244" s="17"/>
      <c r="N244" s="46"/>
      <c r="O244" s="46"/>
      <c r="P244" s="46"/>
      <c r="Q244" s="46"/>
      <c r="R244" s="46"/>
      <c r="S244" s="46"/>
      <c r="T244" s="46"/>
      <c r="U244" s="46"/>
      <c r="V244" s="46"/>
      <c r="W244" s="46"/>
      <c r="X244" s="46"/>
      <c r="Y244" s="46"/>
      <c r="Z244" s="46"/>
      <c r="AA244" s="46"/>
      <c r="AB244" s="46"/>
      <c r="AC244" s="46"/>
      <c r="AD244" s="46"/>
      <c r="AE244" s="46"/>
      <c r="AF244" s="46"/>
      <c r="AG244" s="123"/>
      <c r="AH244" s="123"/>
      <c r="AI244" s="123"/>
      <c r="AJ244" s="123"/>
      <c r="AK244" s="46"/>
      <c r="AL244" s="46"/>
      <c r="AM244" s="46"/>
      <c r="AN244" s="46"/>
      <c r="AO244" s="46"/>
    </row>
    <row r="245">
      <c r="A245" s="17"/>
      <c r="B245" s="46"/>
      <c r="C245" s="46"/>
      <c r="D245" s="46"/>
      <c r="E245" s="17"/>
      <c r="F245" s="46"/>
      <c r="G245" s="46"/>
      <c r="H245" s="46"/>
      <c r="I245" s="17"/>
      <c r="J245" s="46"/>
      <c r="K245" s="46"/>
      <c r="L245" s="46"/>
      <c r="M245" s="17"/>
      <c r="N245" s="46"/>
      <c r="O245" s="46"/>
      <c r="P245" s="46"/>
      <c r="Q245" s="46"/>
      <c r="R245" s="46"/>
      <c r="S245" s="46"/>
      <c r="T245" s="46"/>
      <c r="U245" s="46"/>
      <c r="V245" s="46"/>
      <c r="W245" s="46"/>
      <c r="X245" s="46"/>
      <c r="Y245" s="46"/>
      <c r="Z245" s="46"/>
      <c r="AA245" s="46"/>
      <c r="AB245" s="46"/>
      <c r="AC245" s="46"/>
      <c r="AD245" s="46"/>
      <c r="AE245" s="46"/>
      <c r="AF245" s="46"/>
      <c r="AG245" s="123"/>
      <c r="AH245" s="123"/>
      <c r="AI245" s="123"/>
      <c r="AJ245" s="123"/>
      <c r="AK245" s="46"/>
      <c r="AL245" s="46"/>
      <c r="AM245" s="46"/>
      <c r="AN245" s="46"/>
      <c r="AO245" s="46"/>
    </row>
    <row r="246">
      <c r="A246" s="17"/>
      <c r="B246" s="46"/>
      <c r="C246" s="46"/>
      <c r="D246" s="46"/>
      <c r="E246" s="17"/>
      <c r="F246" s="46"/>
      <c r="G246" s="46"/>
      <c r="H246" s="46"/>
      <c r="I246" s="17"/>
      <c r="J246" s="46"/>
      <c r="K246" s="46"/>
      <c r="L246" s="46"/>
      <c r="M246" s="17"/>
      <c r="N246" s="46"/>
      <c r="O246" s="46"/>
      <c r="P246" s="46"/>
      <c r="Q246" s="46"/>
      <c r="R246" s="46"/>
      <c r="S246" s="46"/>
      <c r="T246" s="46"/>
      <c r="U246" s="46"/>
      <c r="V246" s="46"/>
      <c r="W246" s="46"/>
      <c r="X246" s="46"/>
      <c r="Y246" s="46"/>
      <c r="Z246" s="46"/>
      <c r="AA246" s="46"/>
      <c r="AB246" s="46"/>
      <c r="AC246" s="46"/>
      <c r="AD246" s="46"/>
      <c r="AE246" s="46"/>
      <c r="AF246" s="46"/>
      <c r="AG246" s="123"/>
      <c r="AH246" s="123"/>
      <c r="AI246" s="123"/>
      <c r="AJ246" s="123"/>
      <c r="AK246" s="46"/>
      <c r="AL246" s="46"/>
      <c r="AM246" s="46"/>
      <c r="AN246" s="46"/>
      <c r="AO246" s="46"/>
    </row>
    <row r="247">
      <c r="A247" s="17"/>
      <c r="B247" s="46"/>
      <c r="C247" s="46"/>
      <c r="D247" s="46"/>
      <c r="E247" s="17"/>
      <c r="F247" s="46"/>
      <c r="G247" s="46"/>
      <c r="H247" s="46"/>
      <c r="I247" s="17"/>
      <c r="J247" s="46"/>
      <c r="K247" s="46"/>
      <c r="L247" s="46"/>
      <c r="M247" s="17"/>
      <c r="N247" s="46"/>
      <c r="O247" s="46"/>
      <c r="P247" s="46"/>
      <c r="Q247" s="46"/>
      <c r="R247" s="46"/>
      <c r="S247" s="46"/>
      <c r="T247" s="46"/>
      <c r="U247" s="46"/>
      <c r="V247" s="46"/>
      <c r="W247" s="46"/>
      <c r="X247" s="46"/>
      <c r="Y247" s="46"/>
      <c r="Z247" s="46"/>
      <c r="AA247" s="46"/>
      <c r="AB247" s="46"/>
      <c r="AC247" s="46"/>
      <c r="AD247" s="46"/>
      <c r="AE247" s="46"/>
      <c r="AF247" s="46"/>
      <c r="AG247" s="123"/>
      <c r="AH247" s="123"/>
      <c r="AI247" s="123"/>
      <c r="AJ247" s="123"/>
      <c r="AK247" s="46"/>
      <c r="AL247" s="46"/>
      <c r="AM247" s="46"/>
      <c r="AN247" s="46"/>
      <c r="AO247" s="46"/>
    </row>
    <row r="248">
      <c r="A248" s="17"/>
      <c r="B248" s="46"/>
      <c r="C248" s="46"/>
      <c r="D248" s="46"/>
      <c r="E248" s="17"/>
      <c r="F248" s="46"/>
      <c r="G248" s="46"/>
      <c r="H248" s="46"/>
      <c r="I248" s="17"/>
      <c r="J248" s="46"/>
      <c r="K248" s="46"/>
      <c r="L248" s="46"/>
      <c r="M248" s="17"/>
      <c r="N248" s="46"/>
      <c r="O248" s="46"/>
      <c r="P248" s="46"/>
      <c r="Q248" s="46"/>
      <c r="R248" s="46"/>
      <c r="S248" s="46"/>
      <c r="T248" s="46"/>
      <c r="U248" s="46"/>
      <c r="V248" s="46"/>
      <c r="W248" s="46"/>
      <c r="X248" s="46"/>
      <c r="Y248" s="46"/>
      <c r="Z248" s="46"/>
      <c r="AA248" s="46"/>
      <c r="AB248" s="46"/>
      <c r="AC248" s="46"/>
      <c r="AD248" s="46"/>
      <c r="AE248" s="46"/>
      <c r="AF248" s="46"/>
      <c r="AG248" s="123"/>
      <c r="AH248" s="123"/>
      <c r="AI248" s="123"/>
      <c r="AJ248" s="123"/>
      <c r="AK248" s="46"/>
      <c r="AL248" s="46"/>
      <c r="AM248" s="46"/>
      <c r="AN248" s="46"/>
      <c r="AO248" s="46"/>
    </row>
    <row r="249">
      <c r="A249" s="17"/>
      <c r="B249" s="46"/>
      <c r="C249" s="46"/>
      <c r="D249" s="46"/>
      <c r="E249" s="17"/>
      <c r="F249" s="46"/>
      <c r="G249" s="46"/>
      <c r="H249" s="46"/>
      <c r="I249" s="17"/>
      <c r="J249" s="46"/>
      <c r="K249" s="46"/>
      <c r="L249" s="46"/>
      <c r="M249" s="17"/>
      <c r="N249" s="46"/>
      <c r="O249" s="46"/>
      <c r="P249" s="46"/>
      <c r="Q249" s="46"/>
      <c r="R249" s="46"/>
      <c r="S249" s="46"/>
      <c r="T249" s="46"/>
      <c r="U249" s="46"/>
      <c r="V249" s="46"/>
      <c r="W249" s="46"/>
      <c r="X249" s="46"/>
      <c r="Y249" s="46"/>
      <c r="Z249" s="46"/>
      <c r="AA249" s="46"/>
      <c r="AB249" s="46"/>
      <c r="AC249" s="46"/>
      <c r="AD249" s="46"/>
      <c r="AE249" s="46"/>
      <c r="AF249" s="46"/>
      <c r="AG249" s="123"/>
      <c r="AH249" s="123"/>
      <c r="AI249" s="123"/>
      <c r="AJ249" s="123"/>
      <c r="AK249" s="46"/>
      <c r="AL249" s="46"/>
      <c r="AM249" s="46"/>
      <c r="AN249" s="46"/>
      <c r="AO249" s="46"/>
    </row>
    <row r="250">
      <c r="A250" s="17"/>
      <c r="B250" s="46"/>
      <c r="C250" s="46"/>
      <c r="D250" s="46"/>
      <c r="E250" s="17"/>
      <c r="F250" s="46"/>
      <c r="G250" s="46"/>
      <c r="H250" s="46"/>
      <c r="I250" s="17"/>
      <c r="J250" s="46"/>
      <c r="K250" s="46"/>
      <c r="L250" s="46"/>
      <c r="M250" s="17"/>
      <c r="N250" s="46"/>
      <c r="O250" s="46"/>
      <c r="P250" s="46"/>
      <c r="Q250" s="46"/>
      <c r="R250" s="46"/>
      <c r="S250" s="46"/>
      <c r="T250" s="46"/>
      <c r="U250" s="46"/>
      <c r="V250" s="46"/>
      <c r="W250" s="46"/>
      <c r="X250" s="46"/>
      <c r="Y250" s="46"/>
      <c r="Z250" s="46"/>
      <c r="AA250" s="46"/>
      <c r="AB250" s="46"/>
      <c r="AC250" s="46"/>
      <c r="AD250" s="46"/>
      <c r="AE250" s="46"/>
      <c r="AF250" s="46"/>
      <c r="AG250" s="123"/>
      <c r="AH250" s="123"/>
      <c r="AI250" s="123"/>
      <c r="AJ250" s="123"/>
      <c r="AK250" s="46"/>
      <c r="AL250" s="46"/>
      <c r="AM250" s="46"/>
      <c r="AN250" s="46"/>
      <c r="AO250" s="46"/>
    </row>
    <row r="251">
      <c r="A251" s="17"/>
      <c r="B251" s="46"/>
      <c r="C251" s="46"/>
      <c r="D251" s="46"/>
      <c r="E251" s="17"/>
      <c r="F251" s="46"/>
      <c r="G251" s="46"/>
      <c r="H251" s="46"/>
      <c r="I251" s="17"/>
      <c r="J251" s="46"/>
      <c r="K251" s="46"/>
      <c r="L251" s="46"/>
      <c r="M251" s="17"/>
      <c r="N251" s="46"/>
      <c r="O251" s="46"/>
      <c r="P251" s="46"/>
      <c r="Q251" s="46"/>
      <c r="R251" s="46"/>
      <c r="S251" s="46"/>
      <c r="T251" s="46"/>
      <c r="U251" s="46"/>
      <c r="V251" s="46"/>
      <c r="W251" s="46"/>
      <c r="X251" s="46"/>
      <c r="Y251" s="46"/>
      <c r="Z251" s="46"/>
      <c r="AA251" s="46"/>
      <c r="AB251" s="46"/>
      <c r="AC251" s="46"/>
      <c r="AD251" s="46"/>
      <c r="AE251" s="46"/>
      <c r="AF251" s="46"/>
      <c r="AG251" s="123"/>
      <c r="AH251" s="123"/>
      <c r="AI251" s="123"/>
      <c r="AJ251" s="123"/>
      <c r="AK251" s="46"/>
      <c r="AL251" s="46"/>
      <c r="AM251" s="46"/>
      <c r="AN251" s="46"/>
      <c r="AO251" s="46"/>
    </row>
    <row r="252">
      <c r="A252" s="17"/>
      <c r="B252" s="46"/>
      <c r="C252" s="46"/>
      <c r="D252" s="46"/>
      <c r="E252" s="17"/>
      <c r="F252" s="46"/>
      <c r="G252" s="46"/>
      <c r="H252" s="46"/>
      <c r="I252" s="17"/>
      <c r="J252" s="46"/>
      <c r="K252" s="46"/>
      <c r="L252" s="46"/>
      <c r="M252" s="17"/>
      <c r="N252" s="46"/>
      <c r="O252" s="46"/>
      <c r="P252" s="46"/>
      <c r="Q252" s="46"/>
      <c r="R252" s="46"/>
      <c r="S252" s="46"/>
      <c r="T252" s="46"/>
      <c r="U252" s="46"/>
      <c r="V252" s="46"/>
      <c r="W252" s="46"/>
      <c r="X252" s="46"/>
      <c r="Y252" s="46"/>
      <c r="Z252" s="46"/>
      <c r="AA252" s="46"/>
      <c r="AB252" s="46"/>
      <c r="AC252" s="46"/>
      <c r="AD252" s="46"/>
      <c r="AE252" s="46"/>
      <c r="AF252" s="46"/>
      <c r="AG252" s="123"/>
      <c r="AH252" s="123"/>
      <c r="AI252" s="123"/>
      <c r="AJ252" s="123"/>
      <c r="AK252" s="46"/>
      <c r="AL252" s="46"/>
      <c r="AM252" s="46"/>
      <c r="AN252" s="46"/>
      <c r="AO252" s="46"/>
    </row>
    <row r="253">
      <c r="A253" s="17"/>
      <c r="B253" s="46"/>
      <c r="C253" s="46"/>
      <c r="D253" s="46"/>
      <c r="E253" s="17"/>
      <c r="F253" s="46"/>
      <c r="G253" s="46"/>
      <c r="H253" s="46"/>
      <c r="I253" s="17"/>
      <c r="J253" s="46"/>
      <c r="K253" s="46"/>
      <c r="L253" s="46"/>
      <c r="M253" s="17"/>
      <c r="N253" s="46"/>
      <c r="O253" s="46"/>
      <c r="P253" s="46"/>
      <c r="Q253" s="46"/>
      <c r="R253" s="46"/>
      <c r="S253" s="46"/>
      <c r="T253" s="46"/>
      <c r="U253" s="46"/>
      <c r="V253" s="46"/>
      <c r="W253" s="46"/>
      <c r="X253" s="46"/>
      <c r="Y253" s="46"/>
      <c r="Z253" s="46"/>
      <c r="AA253" s="46"/>
      <c r="AB253" s="46"/>
      <c r="AC253" s="46"/>
      <c r="AD253" s="46"/>
      <c r="AE253" s="46"/>
      <c r="AF253" s="46"/>
      <c r="AG253" s="123"/>
      <c r="AH253" s="123"/>
      <c r="AI253" s="123"/>
      <c r="AJ253" s="123"/>
      <c r="AK253" s="46"/>
      <c r="AL253" s="46"/>
      <c r="AM253" s="46"/>
      <c r="AN253" s="46"/>
      <c r="AO253" s="46"/>
    </row>
    <row r="254">
      <c r="A254" s="17"/>
      <c r="B254" s="46"/>
      <c r="C254" s="46"/>
      <c r="D254" s="46"/>
      <c r="E254" s="17"/>
      <c r="F254" s="46"/>
      <c r="G254" s="46"/>
      <c r="H254" s="46"/>
      <c r="I254" s="17"/>
      <c r="J254" s="46"/>
      <c r="K254" s="46"/>
      <c r="L254" s="46"/>
      <c r="M254" s="17"/>
      <c r="N254" s="46"/>
      <c r="O254" s="46"/>
      <c r="P254" s="46"/>
      <c r="Q254" s="46"/>
      <c r="R254" s="46"/>
      <c r="S254" s="46"/>
      <c r="T254" s="46"/>
      <c r="U254" s="46"/>
      <c r="V254" s="46"/>
      <c r="W254" s="46"/>
      <c r="X254" s="46"/>
      <c r="Y254" s="46"/>
      <c r="Z254" s="46"/>
      <c r="AA254" s="46"/>
      <c r="AB254" s="46"/>
      <c r="AC254" s="46"/>
      <c r="AD254" s="46"/>
      <c r="AE254" s="46"/>
      <c r="AF254" s="46"/>
      <c r="AG254" s="123"/>
      <c r="AH254" s="123"/>
      <c r="AI254" s="123"/>
      <c r="AJ254" s="123"/>
      <c r="AK254" s="46"/>
      <c r="AL254" s="46"/>
      <c r="AM254" s="46"/>
      <c r="AN254" s="46"/>
      <c r="AO254" s="46"/>
    </row>
    <row r="255">
      <c r="A255" s="17"/>
      <c r="B255" s="46"/>
      <c r="C255" s="46"/>
      <c r="D255" s="46"/>
      <c r="E255" s="17"/>
      <c r="F255" s="46"/>
      <c r="G255" s="46"/>
      <c r="H255" s="46"/>
      <c r="I255" s="17"/>
      <c r="J255" s="46"/>
      <c r="K255" s="46"/>
      <c r="L255" s="46"/>
      <c r="M255" s="17"/>
      <c r="N255" s="46"/>
      <c r="O255" s="46"/>
      <c r="P255" s="46"/>
      <c r="Q255" s="46"/>
      <c r="R255" s="46"/>
      <c r="S255" s="46"/>
      <c r="T255" s="46"/>
      <c r="U255" s="46"/>
      <c r="V255" s="46"/>
      <c r="W255" s="46"/>
      <c r="X255" s="46"/>
      <c r="Y255" s="46"/>
      <c r="Z255" s="46"/>
      <c r="AA255" s="46"/>
      <c r="AB255" s="46"/>
      <c r="AC255" s="46"/>
      <c r="AD255" s="46"/>
      <c r="AE255" s="46"/>
      <c r="AF255" s="46"/>
      <c r="AG255" s="123"/>
      <c r="AH255" s="123"/>
      <c r="AI255" s="123"/>
      <c r="AJ255" s="123"/>
      <c r="AK255" s="46"/>
      <c r="AL255" s="46"/>
      <c r="AM255" s="46"/>
      <c r="AN255" s="46"/>
      <c r="AO255" s="46"/>
    </row>
    <row r="256">
      <c r="A256" s="17"/>
      <c r="B256" s="46"/>
      <c r="C256" s="46"/>
      <c r="D256" s="46"/>
      <c r="E256" s="17"/>
      <c r="F256" s="46"/>
      <c r="G256" s="46"/>
      <c r="H256" s="46"/>
      <c r="I256" s="17"/>
      <c r="J256" s="46"/>
      <c r="K256" s="46"/>
      <c r="L256" s="46"/>
      <c r="M256" s="17"/>
      <c r="N256" s="46"/>
      <c r="O256" s="46"/>
      <c r="P256" s="46"/>
      <c r="Q256" s="46"/>
      <c r="R256" s="46"/>
      <c r="S256" s="46"/>
      <c r="T256" s="46"/>
      <c r="U256" s="46"/>
      <c r="V256" s="46"/>
      <c r="W256" s="46"/>
      <c r="X256" s="46"/>
      <c r="Y256" s="46"/>
      <c r="Z256" s="46"/>
      <c r="AA256" s="46"/>
      <c r="AB256" s="46"/>
      <c r="AC256" s="46"/>
      <c r="AD256" s="46"/>
      <c r="AE256" s="46"/>
      <c r="AF256" s="46"/>
      <c r="AG256" s="123"/>
      <c r="AH256" s="123"/>
      <c r="AI256" s="123"/>
      <c r="AJ256" s="123"/>
      <c r="AK256" s="46"/>
      <c r="AL256" s="46"/>
      <c r="AM256" s="46"/>
      <c r="AN256" s="46"/>
      <c r="AO256" s="46"/>
    </row>
    <row r="257">
      <c r="A257" s="17"/>
      <c r="B257" s="46"/>
      <c r="C257" s="46"/>
      <c r="D257" s="46"/>
      <c r="E257" s="17"/>
      <c r="F257" s="46"/>
      <c r="G257" s="46"/>
      <c r="H257" s="46"/>
      <c r="I257" s="17"/>
      <c r="J257" s="46"/>
      <c r="K257" s="46"/>
      <c r="L257" s="46"/>
      <c r="M257" s="17"/>
      <c r="N257" s="46"/>
      <c r="O257" s="46"/>
      <c r="P257" s="46"/>
      <c r="Q257" s="46"/>
      <c r="R257" s="46"/>
      <c r="S257" s="46"/>
      <c r="T257" s="46"/>
      <c r="U257" s="46"/>
      <c r="V257" s="46"/>
      <c r="W257" s="46"/>
      <c r="X257" s="46"/>
      <c r="Y257" s="46"/>
      <c r="Z257" s="46"/>
      <c r="AA257" s="46"/>
      <c r="AB257" s="46"/>
      <c r="AC257" s="46"/>
      <c r="AD257" s="46"/>
      <c r="AE257" s="46"/>
      <c r="AF257" s="46"/>
      <c r="AG257" s="123"/>
      <c r="AH257" s="123"/>
      <c r="AI257" s="123"/>
      <c r="AJ257" s="123"/>
      <c r="AK257" s="46"/>
      <c r="AL257" s="46"/>
      <c r="AM257" s="46"/>
      <c r="AN257" s="46"/>
      <c r="AO257" s="46"/>
    </row>
    <row r="258">
      <c r="A258" s="17"/>
      <c r="B258" s="46"/>
      <c r="C258" s="46"/>
      <c r="D258" s="46"/>
      <c r="E258" s="17"/>
      <c r="F258" s="46"/>
      <c r="G258" s="46"/>
      <c r="H258" s="46"/>
      <c r="I258" s="17"/>
      <c r="J258" s="46"/>
      <c r="K258" s="46"/>
      <c r="L258" s="46"/>
      <c r="M258" s="17"/>
      <c r="N258" s="46"/>
      <c r="O258" s="46"/>
      <c r="P258" s="46"/>
      <c r="Q258" s="46"/>
      <c r="R258" s="46"/>
      <c r="S258" s="46"/>
      <c r="T258" s="46"/>
      <c r="U258" s="46"/>
      <c r="V258" s="46"/>
      <c r="W258" s="46"/>
      <c r="X258" s="46"/>
      <c r="Y258" s="46"/>
      <c r="Z258" s="46"/>
      <c r="AA258" s="46"/>
      <c r="AB258" s="46"/>
      <c r="AC258" s="46"/>
      <c r="AD258" s="46"/>
      <c r="AE258" s="46"/>
      <c r="AF258" s="46"/>
      <c r="AG258" s="123"/>
      <c r="AH258" s="123"/>
      <c r="AI258" s="123"/>
      <c r="AJ258" s="123"/>
      <c r="AK258" s="46"/>
      <c r="AL258" s="46"/>
      <c r="AM258" s="46"/>
      <c r="AN258" s="46"/>
      <c r="AO258" s="46"/>
    </row>
    <row r="259">
      <c r="A259" s="17"/>
      <c r="B259" s="46"/>
      <c r="C259" s="46"/>
      <c r="D259" s="46"/>
      <c r="E259" s="17"/>
      <c r="F259" s="46"/>
      <c r="G259" s="46"/>
      <c r="H259" s="46"/>
      <c r="I259" s="17"/>
      <c r="J259" s="46"/>
      <c r="K259" s="46"/>
      <c r="L259" s="46"/>
      <c r="M259" s="17"/>
      <c r="N259" s="46"/>
      <c r="O259" s="46"/>
      <c r="P259" s="46"/>
      <c r="Q259" s="46"/>
      <c r="R259" s="46"/>
      <c r="S259" s="46"/>
      <c r="T259" s="46"/>
      <c r="U259" s="46"/>
      <c r="V259" s="46"/>
      <c r="W259" s="46"/>
      <c r="X259" s="46"/>
      <c r="Y259" s="46"/>
      <c r="Z259" s="46"/>
      <c r="AA259" s="46"/>
      <c r="AB259" s="46"/>
      <c r="AC259" s="46"/>
      <c r="AD259" s="46"/>
      <c r="AE259" s="46"/>
      <c r="AF259" s="46"/>
      <c r="AG259" s="123"/>
      <c r="AH259" s="123"/>
      <c r="AI259" s="123"/>
      <c r="AJ259" s="123"/>
      <c r="AK259" s="46"/>
      <c r="AL259" s="46"/>
      <c r="AM259" s="46"/>
      <c r="AN259" s="46"/>
      <c r="AO259" s="46"/>
    </row>
    <row r="260">
      <c r="A260" s="17"/>
      <c r="B260" s="46"/>
      <c r="C260" s="46"/>
      <c r="D260" s="46"/>
      <c r="E260" s="17"/>
      <c r="F260" s="46"/>
      <c r="G260" s="46"/>
      <c r="H260" s="46"/>
      <c r="I260" s="17"/>
      <c r="J260" s="46"/>
      <c r="K260" s="46"/>
      <c r="L260" s="46"/>
      <c r="M260" s="17"/>
      <c r="N260" s="46"/>
      <c r="O260" s="46"/>
      <c r="P260" s="46"/>
      <c r="Q260" s="46"/>
      <c r="R260" s="46"/>
      <c r="S260" s="46"/>
      <c r="T260" s="46"/>
      <c r="U260" s="46"/>
      <c r="V260" s="46"/>
      <c r="W260" s="46"/>
      <c r="X260" s="46"/>
      <c r="Y260" s="46"/>
      <c r="Z260" s="46"/>
      <c r="AA260" s="46"/>
      <c r="AB260" s="46"/>
      <c r="AC260" s="46"/>
      <c r="AD260" s="46"/>
      <c r="AE260" s="46"/>
      <c r="AF260" s="46"/>
      <c r="AG260" s="123"/>
      <c r="AH260" s="123"/>
      <c r="AI260" s="123"/>
      <c r="AJ260" s="123"/>
      <c r="AK260" s="46"/>
      <c r="AL260" s="46"/>
      <c r="AM260" s="46"/>
      <c r="AN260" s="46"/>
      <c r="AO260" s="46"/>
    </row>
    <row r="261">
      <c r="A261" s="17"/>
      <c r="B261" s="46"/>
      <c r="C261" s="46"/>
      <c r="D261" s="46"/>
      <c r="E261" s="17"/>
      <c r="F261" s="46"/>
      <c r="G261" s="46"/>
      <c r="H261" s="46"/>
      <c r="I261" s="17"/>
      <c r="J261" s="46"/>
      <c r="K261" s="46"/>
      <c r="L261" s="46"/>
      <c r="M261" s="17"/>
      <c r="N261" s="46"/>
      <c r="O261" s="46"/>
      <c r="P261" s="46"/>
      <c r="Q261" s="46"/>
      <c r="R261" s="46"/>
      <c r="S261" s="46"/>
      <c r="T261" s="46"/>
      <c r="U261" s="46"/>
      <c r="V261" s="46"/>
      <c r="W261" s="46"/>
      <c r="X261" s="46"/>
      <c r="Y261" s="46"/>
      <c r="Z261" s="46"/>
      <c r="AA261" s="46"/>
      <c r="AB261" s="46"/>
      <c r="AC261" s="46"/>
      <c r="AD261" s="46"/>
      <c r="AE261" s="46"/>
      <c r="AF261" s="46"/>
      <c r="AG261" s="123"/>
      <c r="AH261" s="123"/>
      <c r="AI261" s="123"/>
      <c r="AJ261" s="123"/>
      <c r="AK261" s="46"/>
      <c r="AL261" s="46"/>
      <c r="AM261" s="46"/>
      <c r="AN261" s="46"/>
      <c r="AO261" s="46"/>
    </row>
    <row r="262">
      <c r="A262" s="17"/>
      <c r="B262" s="46"/>
      <c r="C262" s="46"/>
      <c r="D262" s="46"/>
      <c r="E262" s="17"/>
      <c r="F262" s="46"/>
      <c r="G262" s="46"/>
      <c r="H262" s="46"/>
      <c r="I262" s="17"/>
      <c r="J262" s="46"/>
      <c r="K262" s="46"/>
      <c r="L262" s="46"/>
      <c r="M262" s="17"/>
      <c r="N262" s="46"/>
      <c r="O262" s="46"/>
      <c r="P262" s="46"/>
      <c r="Q262" s="46"/>
      <c r="R262" s="46"/>
      <c r="S262" s="46"/>
      <c r="T262" s="46"/>
      <c r="U262" s="46"/>
      <c r="V262" s="46"/>
      <c r="W262" s="46"/>
      <c r="X262" s="46"/>
      <c r="Y262" s="46"/>
      <c r="Z262" s="46"/>
      <c r="AA262" s="46"/>
      <c r="AB262" s="46"/>
      <c r="AC262" s="46"/>
      <c r="AD262" s="46"/>
      <c r="AE262" s="46"/>
      <c r="AF262" s="46"/>
      <c r="AG262" s="123"/>
      <c r="AH262" s="123"/>
      <c r="AI262" s="123"/>
      <c r="AJ262" s="123"/>
      <c r="AK262" s="46"/>
      <c r="AL262" s="46"/>
      <c r="AM262" s="46"/>
      <c r="AN262" s="46"/>
      <c r="AO262" s="46"/>
    </row>
    <row r="263">
      <c r="A263" s="17"/>
      <c r="B263" s="46"/>
      <c r="C263" s="46"/>
      <c r="D263" s="46"/>
      <c r="E263" s="17"/>
      <c r="F263" s="46"/>
      <c r="G263" s="46"/>
      <c r="H263" s="46"/>
      <c r="I263" s="17"/>
      <c r="J263" s="46"/>
      <c r="K263" s="46"/>
      <c r="L263" s="46"/>
      <c r="M263" s="17"/>
      <c r="N263" s="46"/>
      <c r="O263" s="46"/>
      <c r="P263" s="46"/>
      <c r="Q263" s="46"/>
      <c r="R263" s="46"/>
      <c r="S263" s="46"/>
      <c r="T263" s="46"/>
      <c r="U263" s="46"/>
      <c r="V263" s="46"/>
      <c r="W263" s="46"/>
      <c r="X263" s="46"/>
      <c r="Y263" s="46"/>
      <c r="Z263" s="46"/>
      <c r="AA263" s="46"/>
      <c r="AB263" s="46"/>
      <c r="AC263" s="46"/>
      <c r="AD263" s="46"/>
      <c r="AE263" s="46"/>
      <c r="AF263" s="46"/>
      <c r="AG263" s="123"/>
      <c r="AH263" s="123"/>
      <c r="AI263" s="123"/>
      <c r="AJ263" s="123"/>
      <c r="AK263" s="46"/>
      <c r="AL263" s="46"/>
      <c r="AM263" s="46"/>
      <c r="AN263" s="46"/>
      <c r="AO263" s="46"/>
    </row>
    <row r="264">
      <c r="A264" s="17"/>
      <c r="B264" s="46"/>
      <c r="C264" s="46"/>
      <c r="D264" s="46"/>
      <c r="E264" s="17"/>
      <c r="F264" s="46"/>
      <c r="G264" s="46"/>
      <c r="H264" s="46"/>
      <c r="I264" s="17"/>
      <c r="J264" s="46"/>
      <c r="K264" s="46"/>
      <c r="L264" s="46"/>
      <c r="M264" s="17"/>
      <c r="N264" s="46"/>
      <c r="O264" s="46"/>
      <c r="P264" s="46"/>
      <c r="Q264" s="46"/>
      <c r="R264" s="46"/>
      <c r="S264" s="46"/>
      <c r="T264" s="46"/>
      <c r="U264" s="46"/>
      <c r="V264" s="46"/>
      <c r="W264" s="46"/>
      <c r="X264" s="46"/>
      <c r="Y264" s="46"/>
      <c r="Z264" s="46"/>
      <c r="AA264" s="46"/>
      <c r="AB264" s="46"/>
      <c r="AC264" s="46"/>
      <c r="AD264" s="46"/>
      <c r="AE264" s="46"/>
      <c r="AF264" s="46"/>
      <c r="AG264" s="123"/>
      <c r="AH264" s="123"/>
      <c r="AI264" s="123"/>
      <c r="AJ264" s="123"/>
      <c r="AK264" s="46"/>
      <c r="AL264" s="46"/>
      <c r="AM264" s="46"/>
      <c r="AN264" s="46"/>
      <c r="AO264" s="46"/>
    </row>
    <row r="265">
      <c r="A265" s="17"/>
      <c r="B265" s="46"/>
      <c r="C265" s="46"/>
      <c r="D265" s="46"/>
      <c r="E265" s="17"/>
      <c r="F265" s="46"/>
      <c r="G265" s="46"/>
      <c r="H265" s="46"/>
      <c r="I265" s="17"/>
      <c r="J265" s="46"/>
      <c r="K265" s="46"/>
      <c r="L265" s="46"/>
      <c r="M265" s="17"/>
      <c r="N265" s="46"/>
      <c r="O265" s="46"/>
      <c r="P265" s="46"/>
      <c r="Q265" s="46"/>
      <c r="R265" s="46"/>
      <c r="S265" s="46"/>
      <c r="T265" s="46"/>
      <c r="U265" s="46"/>
      <c r="V265" s="46"/>
      <c r="W265" s="46"/>
      <c r="X265" s="46"/>
      <c r="Y265" s="46"/>
      <c r="Z265" s="46"/>
      <c r="AA265" s="46"/>
      <c r="AB265" s="46"/>
      <c r="AC265" s="46"/>
      <c r="AD265" s="46"/>
      <c r="AE265" s="46"/>
      <c r="AF265" s="46"/>
      <c r="AG265" s="123"/>
      <c r="AH265" s="123"/>
      <c r="AI265" s="123"/>
      <c r="AJ265" s="123"/>
      <c r="AK265" s="46"/>
      <c r="AL265" s="46"/>
      <c r="AM265" s="46"/>
      <c r="AN265" s="46"/>
      <c r="AO265" s="46"/>
    </row>
    <row r="266">
      <c r="A266" s="17"/>
      <c r="B266" s="46"/>
      <c r="C266" s="46"/>
      <c r="D266" s="46"/>
      <c r="E266" s="17"/>
      <c r="F266" s="46"/>
      <c r="G266" s="46"/>
      <c r="H266" s="46"/>
      <c r="I266" s="17"/>
      <c r="J266" s="46"/>
      <c r="K266" s="46"/>
      <c r="L266" s="46"/>
      <c r="M266" s="17"/>
      <c r="N266" s="46"/>
      <c r="O266" s="46"/>
      <c r="P266" s="46"/>
      <c r="Q266" s="46"/>
      <c r="R266" s="46"/>
      <c r="S266" s="46"/>
      <c r="T266" s="46"/>
      <c r="U266" s="46"/>
      <c r="V266" s="46"/>
      <c r="W266" s="46"/>
      <c r="X266" s="46"/>
      <c r="Y266" s="46"/>
      <c r="Z266" s="46"/>
      <c r="AA266" s="46"/>
      <c r="AB266" s="46"/>
      <c r="AC266" s="46"/>
      <c r="AD266" s="46"/>
      <c r="AE266" s="46"/>
      <c r="AF266" s="46"/>
      <c r="AG266" s="123"/>
      <c r="AH266" s="123"/>
      <c r="AI266" s="123"/>
      <c r="AJ266" s="123"/>
      <c r="AK266" s="46"/>
      <c r="AL266" s="46"/>
      <c r="AM266" s="46"/>
      <c r="AN266" s="46"/>
      <c r="AO266" s="46"/>
    </row>
    <row r="267">
      <c r="A267" s="17"/>
      <c r="B267" s="46"/>
      <c r="C267" s="46"/>
      <c r="D267" s="46"/>
      <c r="E267" s="17"/>
      <c r="F267" s="46"/>
      <c r="G267" s="46"/>
      <c r="H267" s="46"/>
      <c r="I267" s="17"/>
      <c r="J267" s="46"/>
      <c r="K267" s="46"/>
      <c r="L267" s="46"/>
      <c r="M267" s="17"/>
      <c r="N267" s="46"/>
      <c r="O267" s="46"/>
      <c r="P267" s="46"/>
      <c r="Q267" s="46"/>
      <c r="R267" s="46"/>
      <c r="S267" s="46"/>
      <c r="T267" s="46"/>
      <c r="U267" s="46"/>
      <c r="V267" s="46"/>
      <c r="W267" s="46"/>
      <c r="X267" s="46"/>
      <c r="Y267" s="46"/>
      <c r="Z267" s="46"/>
      <c r="AA267" s="46"/>
      <c r="AB267" s="46"/>
      <c r="AC267" s="46"/>
      <c r="AD267" s="46"/>
      <c r="AE267" s="46"/>
      <c r="AF267" s="46"/>
      <c r="AG267" s="123"/>
      <c r="AH267" s="123"/>
      <c r="AI267" s="123"/>
      <c r="AJ267" s="123"/>
      <c r="AK267" s="46"/>
      <c r="AL267" s="46"/>
      <c r="AM267" s="46"/>
      <c r="AN267" s="46"/>
      <c r="AO267" s="46"/>
    </row>
    <row r="268">
      <c r="A268" s="17"/>
      <c r="B268" s="46"/>
      <c r="C268" s="46"/>
      <c r="D268" s="46"/>
      <c r="E268" s="17"/>
      <c r="F268" s="46"/>
      <c r="G268" s="46"/>
      <c r="H268" s="46"/>
      <c r="I268" s="17"/>
      <c r="J268" s="46"/>
      <c r="K268" s="46"/>
      <c r="L268" s="46"/>
      <c r="M268" s="17"/>
      <c r="N268" s="46"/>
      <c r="O268" s="46"/>
      <c r="P268" s="46"/>
      <c r="Q268" s="46"/>
      <c r="R268" s="46"/>
      <c r="S268" s="46"/>
      <c r="T268" s="46"/>
      <c r="U268" s="46"/>
      <c r="V268" s="46"/>
      <c r="W268" s="46"/>
      <c r="X268" s="46"/>
      <c r="Y268" s="46"/>
      <c r="Z268" s="46"/>
      <c r="AA268" s="46"/>
      <c r="AB268" s="46"/>
      <c r="AC268" s="46"/>
      <c r="AD268" s="46"/>
      <c r="AE268" s="46"/>
      <c r="AF268" s="46"/>
      <c r="AG268" s="123"/>
      <c r="AH268" s="123"/>
      <c r="AI268" s="123"/>
      <c r="AJ268" s="123"/>
      <c r="AK268" s="46"/>
      <c r="AL268" s="46"/>
      <c r="AM268" s="46"/>
      <c r="AN268" s="46"/>
      <c r="AO268" s="46"/>
    </row>
    <row r="269">
      <c r="A269" s="17"/>
      <c r="B269" s="46"/>
      <c r="C269" s="46"/>
      <c r="D269" s="46"/>
      <c r="E269" s="17"/>
      <c r="F269" s="46"/>
      <c r="G269" s="46"/>
      <c r="H269" s="46"/>
      <c r="I269" s="17"/>
      <c r="J269" s="46"/>
      <c r="K269" s="46"/>
      <c r="L269" s="46"/>
      <c r="M269" s="17"/>
      <c r="N269" s="46"/>
      <c r="O269" s="46"/>
      <c r="P269" s="46"/>
      <c r="Q269" s="46"/>
      <c r="R269" s="46"/>
      <c r="S269" s="46"/>
      <c r="T269" s="46"/>
      <c r="U269" s="46"/>
      <c r="V269" s="46"/>
      <c r="W269" s="46"/>
      <c r="X269" s="46"/>
      <c r="Y269" s="46"/>
      <c r="Z269" s="46"/>
      <c r="AA269" s="46"/>
      <c r="AB269" s="46"/>
      <c r="AC269" s="46"/>
      <c r="AD269" s="46"/>
      <c r="AE269" s="46"/>
      <c r="AF269" s="46"/>
      <c r="AG269" s="123"/>
      <c r="AH269" s="123"/>
      <c r="AI269" s="123"/>
      <c r="AJ269" s="123"/>
      <c r="AK269" s="46"/>
      <c r="AL269" s="46"/>
      <c r="AM269" s="46"/>
      <c r="AN269" s="46"/>
      <c r="AO269" s="46"/>
    </row>
    <row r="270">
      <c r="A270" s="17"/>
      <c r="B270" s="46"/>
      <c r="C270" s="46"/>
      <c r="D270" s="46"/>
      <c r="E270" s="17"/>
      <c r="F270" s="46"/>
      <c r="G270" s="46"/>
      <c r="H270" s="46"/>
      <c r="I270" s="17"/>
      <c r="J270" s="46"/>
      <c r="K270" s="46"/>
      <c r="L270" s="46"/>
      <c r="M270" s="17"/>
      <c r="N270" s="46"/>
      <c r="O270" s="46"/>
      <c r="P270" s="46"/>
      <c r="Q270" s="46"/>
      <c r="R270" s="46"/>
      <c r="S270" s="46"/>
      <c r="T270" s="46"/>
      <c r="U270" s="46"/>
      <c r="V270" s="46"/>
      <c r="W270" s="46"/>
      <c r="X270" s="46"/>
      <c r="Y270" s="46"/>
      <c r="Z270" s="46"/>
      <c r="AA270" s="46"/>
      <c r="AB270" s="46"/>
      <c r="AC270" s="46"/>
      <c r="AD270" s="46"/>
      <c r="AE270" s="46"/>
      <c r="AF270" s="46"/>
      <c r="AG270" s="123"/>
      <c r="AH270" s="123"/>
      <c r="AI270" s="123"/>
      <c r="AJ270" s="123"/>
      <c r="AK270" s="46"/>
      <c r="AL270" s="46"/>
      <c r="AM270" s="46"/>
      <c r="AN270" s="46"/>
      <c r="AO270" s="46"/>
    </row>
    <row r="271">
      <c r="A271" s="17"/>
      <c r="B271" s="46"/>
      <c r="C271" s="46"/>
      <c r="D271" s="46"/>
      <c r="E271" s="17"/>
      <c r="F271" s="46"/>
      <c r="G271" s="46"/>
      <c r="H271" s="46"/>
      <c r="I271" s="17"/>
      <c r="J271" s="46"/>
      <c r="K271" s="46"/>
      <c r="L271" s="46"/>
      <c r="M271" s="17"/>
      <c r="N271" s="46"/>
      <c r="O271" s="46"/>
      <c r="P271" s="46"/>
      <c r="Q271" s="46"/>
      <c r="R271" s="46"/>
      <c r="S271" s="46"/>
      <c r="T271" s="46"/>
      <c r="U271" s="46"/>
      <c r="V271" s="46"/>
      <c r="W271" s="46"/>
      <c r="X271" s="46"/>
      <c r="Y271" s="46"/>
      <c r="Z271" s="46"/>
      <c r="AA271" s="46"/>
      <c r="AB271" s="46"/>
      <c r="AC271" s="46"/>
      <c r="AD271" s="46"/>
      <c r="AE271" s="46"/>
      <c r="AF271" s="46"/>
      <c r="AG271" s="123"/>
      <c r="AH271" s="123"/>
      <c r="AI271" s="123"/>
      <c r="AJ271" s="123"/>
      <c r="AK271" s="46"/>
      <c r="AL271" s="46"/>
      <c r="AM271" s="46"/>
      <c r="AN271" s="46"/>
      <c r="AO271" s="46"/>
    </row>
    <row r="272">
      <c r="A272" s="17"/>
      <c r="B272" s="46"/>
      <c r="C272" s="46"/>
      <c r="D272" s="46"/>
      <c r="E272" s="17"/>
      <c r="F272" s="46"/>
      <c r="G272" s="46"/>
      <c r="H272" s="46"/>
      <c r="I272" s="17"/>
      <c r="J272" s="46"/>
      <c r="K272" s="46"/>
      <c r="L272" s="46"/>
      <c r="M272" s="17"/>
      <c r="N272" s="46"/>
      <c r="O272" s="46"/>
      <c r="P272" s="46"/>
      <c r="Q272" s="46"/>
      <c r="R272" s="46"/>
      <c r="S272" s="46"/>
      <c r="T272" s="46"/>
      <c r="U272" s="46"/>
      <c r="V272" s="46"/>
      <c r="W272" s="46"/>
      <c r="X272" s="46"/>
      <c r="Y272" s="46"/>
      <c r="Z272" s="46"/>
      <c r="AA272" s="46"/>
      <c r="AB272" s="46"/>
      <c r="AC272" s="46"/>
      <c r="AD272" s="46"/>
      <c r="AE272" s="46"/>
      <c r="AF272" s="46"/>
      <c r="AG272" s="123"/>
      <c r="AH272" s="123"/>
      <c r="AI272" s="123"/>
      <c r="AJ272" s="123"/>
      <c r="AK272" s="46"/>
      <c r="AL272" s="46"/>
      <c r="AM272" s="46"/>
      <c r="AN272" s="46"/>
      <c r="AO272" s="46"/>
    </row>
    <row r="273">
      <c r="A273" s="17"/>
      <c r="B273" s="46"/>
      <c r="C273" s="46"/>
      <c r="D273" s="46"/>
      <c r="E273" s="17"/>
      <c r="F273" s="46"/>
      <c r="G273" s="46"/>
      <c r="H273" s="46"/>
      <c r="I273" s="17"/>
      <c r="J273" s="46"/>
      <c r="K273" s="46"/>
      <c r="L273" s="46"/>
      <c r="M273" s="17"/>
      <c r="N273" s="46"/>
      <c r="O273" s="46"/>
      <c r="P273" s="46"/>
      <c r="Q273" s="46"/>
      <c r="R273" s="46"/>
      <c r="S273" s="46"/>
      <c r="T273" s="46"/>
      <c r="U273" s="46"/>
      <c r="V273" s="46"/>
      <c r="W273" s="46"/>
      <c r="X273" s="46"/>
      <c r="Y273" s="46"/>
      <c r="Z273" s="46"/>
      <c r="AA273" s="46"/>
      <c r="AB273" s="46"/>
      <c r="AC273" s="46"/>
      <c r="AD273" s="46"/>
      <c r="AE273" s="46"/>
      <c r="AF273" s="46"/>
      <c r="AG273" s="123"/>
      <c r="AH273" s="123"/>
      <c r="AI273" s="123"/>
      <c r="AJ273" s="123"/>
      <c r="AK273" s="46"/>
      <c r="AL273" s="46"/>
      <c r="AM273" s="46"/>
      <c r="AN273" s="46"/>
      <c r="AO273" s="46"/>
    </row>
    <row r="274">
      <c r="A274" s="17"/>
      <c r="B274" s="46"/>
      <c r="C274" s="46"/>
      <c r="D274" s="46"/>
      <c r="E274" s="17"/>
      <c r="F274" s="46"/>
      <c r="G274" s="46"/>
      <c r="H274" s="46"/>
      <c r="I274" s="17"/>
      <c r="J274" s="46"/>
      <c r="K274" s="46"/>
      <c r="L274" s="46"/>
      <c r="M274" s="17"/>
      <c r="N274" s="46"/>
      <c r="O274" s="46"/>
      <c r="P274" s="46"/>
      <c r="Q274" s="46"/>
      <c r="R274" s="46"/>
      <c r="S274" s="46"/>
      <c r="T274" s="46"/>
      <c r="U274" s="46"/>
      <c r="V274" s="46"/>
      <c r="W274" s="46"/>
      <c r="X274" s="46"/>
      <c r="Y274" s="46"/>
      <c r="Z274" s="46"/>
      <c r="AA274" s="46"/>
      <c r="AB274" s="46"/>
      <c r="AC274" s="46"/>
      <c r="AD274" s="46"/>
      <c r="AE274" s="46"/>
      <c r="AF274" s="46"/>
      <c r="AG274" s="123"/>
      <c r="AH274" s="123"/>
      <c r="AI274" s="123"/>
      <c r="AJ274" s="123"/>
      <c r="AK274" s="46"/>
      <c r="AL274" s="46"/>
      <c r="AM274" s="46"/>
      <c r="AN274" s="46"/>
      <c r="AO274" s="46"/>
    </row>
    <row r="275">
      <c r="A275" s="17"/>
      <c r="B275" s="46"/>
      <c r="C275" s="46"/>
      <c r="D275" s="46"/>
      <c r="E275" s="17"/>
      <c r="F275" s="46"/>
      <c r="G275" s="46"/>
      <c r="H275" s="46"/>
      <c r="I275" s="17"/>
      <c r="J275" s="46"/>
      <c r="K275" s="46"/>
      <c r="L275" s="46"/>
      <c r="M275" s="17"/>
      <c r="N275" s="46"/>
      <c r="O275" s="46"/>
      <c r="P275" s="46"/>
      <c r="Q275" s="46"/>
      <c r="R275" s="46"/>
      <c r="S275" s="46"/>
      <c r="T275" s="46"/>
      <c r="U275" s="46"/>
      <c r="V275" s="46"/>
      <c r="W275" s="46"/>
      <c r="X275" s="46"/>
      <c r="Y275" s="46"/>
      <c r="Z275" s="46"/>
      <c r="AA275" s="46"/>
      <c r="AB275" s="46"/>
      <c r="AC275" s="46"/>
      <c r="AD275" s="46"/>
      <c r="AE275" s="46"/>
      <c r="AF275" s="46"/>
      <c r="AG275" s="123"/>
      <c r="AH275" s="123"/>
      <c r="AI275" s="123"/>
      <c r="AJ275" s="123"/>
      <c r="AK275" s="46"/>
      <c r="AL275" s="46"/>
      <c r="AM275" s="46"/>
      <c r="AN275" s="46"/>
      <c r="AO275" s="46"/>
    </row>
    <row r="276">
      <c r="A276" s="17"/>
      <c r="B276" s="46"/>
      <c r="C276" s="46"/>
      <c r="D276" s="46"/>
      <c r="E276" s="17"/>
      <c r="F276" s="46"/>
      <c r="G276" s="46"/>
      <c r="H276" s="46"/>
      <c r="I276" s="17"/>
      <c r="J276" s="46"/>
      <c r="K276" s="46"/>
      <c r="L276" s="46"/>
      <c r="M276" s="17"/>
      <c r="N276" s="46"/>
      <c r="O276" s="46"/>
      <c r="P276" s="46"/>
      <c r="Q276" s="46"/>
      <c r="R276" s="46"/>
      <c r="S276" s="46"/>
      <c r="T276" s="46"/>
      <c r="U276" s="46"/>
      <c r="V276" s="46"/>
      <c r="W276" s="46"/>
      <c r="X276" s="46"/>
      <c r="Y276" s="46"/>
      <c r="Z276" s="46"/>
      <c r="AA276" s="46"/>
      <c r="AB276" s="46"/>
      <c r="AC276" s="46"/>
      <c r="AD276" s="46"/>
      <c r="AE276" s="46"/>
      <c r="AF276" s="46"/>
      <c r="AG276" s="123"/>
      <c r="AH276" s="123"/>
      <c r="AI276" s="123"/>
      <c r="AJ276" s="123"/>
      <c r="AK276" s="46"/>
      <c r="AL276" s="46"/>
      <c r="AM276" s="46"/>
      <c r="AN276" s="46"/>
      <c r="AO276" s="46"/>
    </row>
    <row r="277">
      <c r="A277" s="17"/>
      <c r="B277" s="46"/>
      <c r="C277" s="46"/>
      <c r="D277" s="46"/>
      <c r="E277" s="17"/>
      <c r="F277" s="46"/>
      <c r="G277" s="46"/>
      <c r="H277" s="46"/>
      <c r="I277" s="17"/>
      <c r="J277" s="46"/>
      <c r="K277" s="46"/>
      <c r="L277" s="46"/>
      <c r="M277" s="17"/>
      <c r="N277" s="46"/>
      <c r="O277" s="46"/>
      <c r="P277" s="46"/>
      <c r="Q277" s="46"/>
      <c r="R277" s="46"/>
      <c r="S277" s="46"/>
      <c r="T277" s="46"/>
      <c r="U277" s="46"/>
      <c r="V277" s="46"/>
      <c r="W277" s="46"/>
      <c r="X277" s="46"/>
      <c r="Y277" s="46"/>
      <c r="Z277" s="46"/>
      <c r="AA277" s="46"/>
      <c r="AB277" s="46"/>
      <c r="AC277" s="46"/>
      <c r="AD277" s="46"/>
      <c r="AE277" s="46"/>
      <c r="AF277" s="46"/>
      <c r="AG277" s="123"/>
      <c r="AH277" s="123"/>
      <c r="AI277" s="123"/>
      <c r="AJ277" s="123"/>
      <c r="AK277" s="46"/>
      <c r="AL277" s="46"/>
      <c r="AM277" s="46"/>
      <c r="AN277" s="46"/>
      <c r="AO277" s="46"/>
    </row>
    <row r="278">
      <c r="A278" s="17"/>
      <c r="B278" s="46"/>
      <c r="C278" s="46"/>
      <c r="D278" s="46"/>
      <c r="E278" s="17"/>
      <c r="F278" s="46"/>
      <c r="G278" s="46"/>
      <c r="H278" s="46"/>
      <c r="I278" s="17"/>
      <c r="J278" s="46"/>
      <c r="K278" s="46"/>
      <c r="L278" s="46"/>
      <c r="M278" s="17"/>
      <c r="N278" s="46"/>
      <c r="O278" s="46"/>
      <c r="P278" s="46"/>
      <c r="Q278" s="46"/>
      <c r="R278" s="46"/>
      <c r="S278" s="46"/>
      <c r="T278" s="46"/>
      <c r="U278" s="46"/>
      <c r="V278" s="46"/>
      <c r="W278" s="46"/>
      <c r="X278" s="46"/>
      <c r="Y278" s="46"/>
      <c r="Z278" s="46"/>
      <c r="AA278" s="46"/>
      <c r="AB278" s="46"/>
      <c r="AC278" s="46"/>
      <c r="AD278" s="46"/>
      <c r="AE278" s="46"/>
      <c r="AF278" s="46"/>
      <c r="AG278" s="123"/>
      <c r="AH278" s="123"/>
      <c r="AI278" s="123"/>
      <c r="AJ278" s="123"/>
      <c r="AK278" s="46"/>
      <c r="AL278" s="46"/>
      <c r="AM278" s="46"/>
      <c r="AN278" s="46"/>
      <c r="AO278" s="46"/>
    </row>
    <row r="279">
      <c r="A279" s="17"/>
      <c r="B279" s="46"/>
      <c r="C279" s="46"/>
      <c r="D279" s="46"/>
      <c r="E279" s="17"/>
      <c r="F279" s="46"/>
      <c r="G279" s="46"/>
      <c r="H279" s="46"/>
      <c r="I279" s="17"/>
      <c r="J279" s="46"/>
      <c r="K279" s="46"/>
      <c r="L279" s="46"/>
      <c r="M279" s="17"/>
      <c r="N279" s="46"/>
      <c r="O279" s="46"/>
      <c r="P279" s="46"/>
      <c r="Q279" s="46"/>
      <c r="R279" s="46"/>
      <c r="S279" s="46"/>
      <c r="T279" s="46"/>
      <c r="U279" s="46"/>
      <c r="V279" s="46"/>
      <c r="W279" s="46"/>
      <c r="X279" s="46"/>
      <c r="Y279" s="46"/>
      <c r="Z279" s="46"/>
      <c r="AA279" s="46"/>
      <c r="AB279" s="46"/>
      <c r="AC279" s="46"/>
      <c r="AD279" s="46"/>
      <c r="AE279" s="46"/>
      <c r="AF279" s="46"/>
      <c r="AG279" s="123"/>
      <c r="AH279" s="123"/>
      <c r="AI279" s="123"/>
      <c r="AJ279" s="123"/>
      <c r="AK279" s="46"/>
      <c r="AL279" s="46"/>
      <c r="AM279" s="46"/>
      <c r="AN279" s="46"/>
      <c r="AO279" s="46"/>
    </row>
    <row r="280">
      <c r="A280" s="17"/>
      <c r="B280" s="46"/>
      <c r="C280" s="46"/>
      <c r="D280" s="46"/>
      <c r="E280" s="17"/>
      <c r="F280" s="46"/>
      <c r="G280" s="46"/>
      <c r="H280" s="46"/>
      <c r="I280" s="17"/>
      <c r="J280" s="46"/>
      <c r="K280" s="46"/>
      <c r="L280" s="46"/>
      <c r="M280" s="17"/>
      <c r="N280" s="46"/>
      <c r="O280" s="46"/>
      <c r="P280" s="46"/>
      <c r="Q280" s="46"/>
      <c r="R280" s="46"/>
      <c r="S280" s="46"/>
      <c r="T280" s="46"/>
      <c r="U280" s="46"/>
      <c r="V280" s="46"/>
      <c r="W280" s="46"/>
      <c r="X280" s="46"/>
      <c r="Y280" s="46"/>
      <c r="Z280" s="46"/>
      <c r="AA280" s="46"/>
      <c r="AB280" s="46"/>
      <c r="AC280" s="46"/>
      <c r="AD280" s="46"/>
      <c r="AE280" s="46"/>
      <c r="AF280" s="46"/>
      <c r="AG280" s="123"/>
      <c r="AH280" s="123"/>
      <c r="AI280" s="123"/>
      <c r="AJ280" s="123"/>
      <c r="AK280" s="46"/>
      <c r="AL280" s="46"/>
      <c r="AM280" s="46"/>
      <c r="AN280" s="46"/>
      <c r="AO280" s="46"/>
    </row>
    <row r="281">
      <c r="A281" s="17"/>
      <c r="B281" s="46"/>
      <c r="C281" s="46"/>
      <c r="D281" s="46"/>
      <c r="E281" s="17"/>
      <c r="F281" s="46"/>
      <c r="G281" s="46"/>
      <c r="H281" s="46"/>
      <c r="I281" s="17"/>
      <c r="J281" s="46"/>
      <c r="K281" s="46"/>
      <c r="L281" s="46"/>
      <c r="M281" s="17"/>
      <c r="N281" s="46"/>
      <c r="O281" s="46"/>
      <c r="P281" s="46"/>
      <c r="Q281" s="46"/>
      <c r="R281" s="46"/>
      <c r="S281" s="46"/>
      <c r="T281" s="46"/>
      <c r="U281" s="46"/>
      <c r="V281" s="46"/>
      <c r="W281" s="46"/>
      <c r="X281" s="46"/>
      <c r="Y281" s="46"/>
      <c r="Z281" s="46"/>
      <c r="AA281" s="46"/>
      <c r="AB281" s="46"/>
      <c r="AC281" s="46"/>
      <c r="AD281" s="46"/>
      <c r="AE281" s="46"/>
      <c r="AF281" s="46"/>
      <c r="AG281" s="123"/>
      <c r="AH281" s="123"/>
      <c r="AI281" s="123"/>
      <c r="AJ281" s="123"/>
      <c r="AK281" s="46"/>
      <c r="AL281" s="46"/>
      <c r="AM281" s="46"/>
      <c r="AN281" s="46"/>
      <c r="AO281" s="46"/>
    </row>
    <row r="282">
      <c r="A282" s="17"/>
      <c r="B282" s="46"/>
      <c r="C282" s="46"/>
      <c r="D282" s="46"/>
      <c r="E282" s="17"/>
      <c r="F282" s="46"/>
      <c r="G282" s="46"/>
      <c r="H282" s="46"/>
      <c r="I282" s="17"/>
      <c r="J282" s="46"/>
      <c r="K282" s="46"/>
      <c r="L282" s="46"/>
      <c r="M282" s="17"/>
      <c r="N282" s="46"/>
      <c r="O282" s="46"/>
      <c r="P282" s="46"/>
      <c r="Q282" s="46"/>
      <c r="R282" s="46"/>
      <c r="S282" s="46"/>
      <c r="T282" s="46"/>
      <c r="U282" s="46"/>
      <c r="V282" s="46"/>
      <c r="W282" s="46"/>
      <c r="X282" s="46"/>
      <c r="Y282" s="46"/>
      <c r="Z282" s="46"/>
      <c r="AA282" s="46"/>
      <c r="AB282" s="46"/>
      <c r="AC282" s="46"/>
      <c r="AD282" s="46"/>
      <c r="AE282" s="46"/>
      <c r="AF282" s="46"/>
      <c r="AG282" s="123"/>
      <c r="AH282" s="123"/>
      <c r="AI282" s="123"/>
      <c r="AJ282" s="123"/>
      <c r="AK282" s="46"/>
      <c r="AL282" s="46"/>
      <c r="AM282" s="46"/>
      <c r="AN282" s="46"/>
      <c r="AO282" s="46"/>
    </row>
    <row r="283">
      <c r="A283" s="17"/>
      <c r="B283" s="46"/>
      <c r="C283" s="46"/>
      <c r="D283" s="46"/>
      <c r="E283" s="17"/>
      <c r="F283" s="46"/>
      <c r="G283" s="46"/>
      <c r="H283" s="46"/>
      <c r="I283" s="17"/>
      <c r="J283" s="46"/>
      <c r="K283" s="46"/>
      <c r="L283" s="46"/>
      <c r="M283" s="17"/>
      <c r="N283" s="46"/>
      <c r="O283" s="46"/>
      <c r="P283" s="46"/>
      <c r="Q283" s="46"/>
      <c r="R283" s="46"/>
      <c r="S283" s="46"/>
      <c r="T283" s="46"/>
      <c r="U283" s="46"/>
      <c r="V283" s="46"/>
      <c r="W283" s="46"/>
      <c r="X283" s="46"/>
      <c r="Y283" s="46"/>
      <c r="Z283" s="46"/>
      <c r="AA283" s="46"/>
      <c r="AB283" s="46"/>
      <c r="AC283" s="46"/>
      <c r="AD283" s="46"/>
      <c r="AE283" s="46"/>
      <c r="AF283" s="46"/>
      <c r="AG283" s="123"/>
      <c r="AH283" s="123"/>
      <c r="AI283" s="123"/>
      <c r="AJ283" s="123"/>
      <c r="AK283" s="46"/>
      <c r="AL283" s="46"/>
      <c r="AM283" s="46"/>
      <c r="AN283" s="46"/>
      <c r="AO283" s="46"/>
    </row>
    <row r="284">
      <c r="A284" s="17"/>
      <c r="B284" s="46"/>
      <c r="C284" s="46"/>
      <c r="D284" s="46"/>
      <c r="E284" s="17"/>
      <c r="F284" s="46"/>
      <c r="G284" s="46"/>
      <c r="H284" s="46"/>
      <c r="I284" s="17"/>
      <c r="J284" s="46"/>
      <c r="K284" s="46"/>
      <c r="L284" s="46"/>
      <c r="M284" s="17"/>
      <c r="N284" s="46"/>
      <c r="O284" s="46"/>
      <c r="P284" s="46"/>
      <c r="Q284" s="46"/>
      <c r="R284" s="46"/>
      <c r="S284" s="46"/>
      <c r="T284" s="46"/>
      <c r="U284" s="46"/>
      <c r="V284" s="46"/>
      <c r="W284" s="46"/>
      <c r="X284" s="46"/>
      <c r="Y284" s="46"/>
      <c r="Z284" s="46"/>
      <c r="AA284" s="46"/>
      <c r="AB284" s="46"/>
      <c r="AC284" s="46"/>
      <c r="AD284" s="46"/>
      <c r="AE284" s="46"/>
      <c r="AF284" s="46"/>
      <c r="AG284" s="123"/>
      <c r="AH284" s="123"/>
      <c r="AI284" s="123"/>
      <c r="AJ284" s="123"/>
      <c r="AK284" s="46"/>
      <c r="AL284" s="46"/>
      <c r="AM284" s="46"/>
      <c r="AN284" s="46"/>
      <c r="AO284" s="46"/>
    </row>
    <row r="285">
      <c r="A285" s="17"/>
      <c r="B285" s="46"/>
      <c r="C285" s="46"/>
      <c r="D285" s="46"/>
      <c r="E285" s="17"/>
      <c r="F285" s="46"/>
      <c r="G285" s="46"/>
      <c r="H285" s="46"/>
      <c r="I285" s="17"/>
      <c r="J285" s="46"/>
      <c r="K285" s="46"/>
      <c r="L285" s="46"/>
      <c r="M285" s="17"/>
      <c r="N285" s="46"/>
      <c r="O285" s="46"/>
      <c r="P285" s="46"/>
      <c r="Q285" s="46"/>
      <c r="R285" s="46"/>
      <c r="S285" s="46"/>
      <c r="T285" s="46"/>
      <c r="U285" s="46"/>
      <c r="V285" s="46"/>
      <c r="W285" s="46"/>
      <c r="X285" s="46"/>
      <c r="Y285" s="46"/>
      <c r="Z285" s="46"/>
      <c r="AA285" s="46"/>
      <c r="AB285" s="46"/>
      <c r="AC285" s="46"/>
      <c r="AD285" s="46"/>
      <c r="AE285" s="46"/>
      <c r="AF285" s="46"/>
      <c r="AG285" s="123"/>
      <c r="AH285" s="123"/>
      <c r="AI285" s="123"/>
      <c r="AJ285" s="123"/>
      <c r="AK285" s="46"/>
      <c r="AL285" s="46"/>
      <c r="AM285" s="46"/>
      <c r="AN285" s="46"/>
      <c r="AO285" s="46"/>
    </row>
    <row r="286">
      <c r="A286" s="17"/>
      <c r="B286" s="46"/>
      <c r="C286" s="46"/>
      <c r="D286" s="46"/>
      <c r="E286" s="17"/>
      <c r="F286" s="46"/>
      <c r="G286" s="46"/>
      <c r="H286" s="46"/>
      <c r="I286" s="17"/>
      <c r="J286" s="46"/>
      <c r="K286" s="46"/>
      <c r="L286" s="46"/>
      <c r="M286" s="17"/>
      <c r="N286" s="46"/>
      <c r="O286" s="46"/>
      <c r="P286" s="46"/>
      <c r="Q286" s="46"/>
      <c r="R286" s="46"/>
      <c r="S286" s="46"/>
      <c r="T286" s="46"/>
      <c r="U286" s="46"/>
      <c r="V286" s="46"/>
      <c r="W286" s="46"/>
      <c r="X286" s="46"/>
      <c r="Y286" s="46"/>
      <c r="Z286" s="46"/>
      <c r="AA286" s="46"/>
      <c r="AB286" s="46"/>
      <c r="AC286" s="46"/>
      <c r="AD286" s="46"/>
      <c r="AE286" s="46"/>
      <c r="AF286" s="46"/>
      <c r="AG286" s="123"/>
      <c r="AH286" s="123"/>
      <c r="AI286" s="123"/>
      <c r="AJ286" s="123"/>
      <c r="AK286" s="46"/>
      <c r="AL286" s="46"/>
      <c r="AM286" s="46"/>
      <c r="AN286" s="46"/>
      <c r="AO286" s="46"/>
    </row>
    <row r="287">
      <c r="A287" s="17"/>
      <c r="B287" s="46"/>
      <c r="C287" s="46"/>
      <c r="D287" s="46"/>
      <c r="E287" s="17"/>
      <c r="F287" s="46"/>
      <c r="G287" s="46"/>
      <c r="H287" s="46"/>
      <c r="I287" s="17"/>
      <c r="J287" s="46"/>
      <c r="K287" s="46"/>
      <c r="L287" s="46"/>
      <c r="M287" s="17"/>
      <c r="N287" s="46"/>
      <c r="O287" s="46"/>
      <c r="P287" s="46"/>
      <c r="Q287" s="46"/>
      <c r="R287" s="46"/>
      <c r="S287" s="46"/>
      <c r="T287" s="46"/>
      <c r="U287" s="46"/>
      <c r="V287" s="46"/>
      <c r="W287" s="46"/>
      <c r="X287" s="46"/>
      <c r="Y287" s="46"/>
      <c r="Z287" s="46"/>
      <c r="AA287" s="46"/>
      <c r="AB287" s="46"/>
      <c r="AC287" s="46"/>
      <c r="AD287" s="46"/>
      <c r="AE287" s="46"/>
      <c r="AF287" s="46"/>
      <c r="AG287" s="123"/>
      <c r="AH287" s="123"/>
      <c r="AI287" s="123"/>
      <c r="AJ287" s="123"/>
      <c r="AK287" s="46"/>
      <c r="AL287" s="46"/>
      <c r="AM287" s="46"/>
      <c r="AN287" s="46"/>
      <c r="AO287" s="46"/>
    </row>
    <row r="288">
      <c r="A288" s="17"/>
      <c r="B288" s="46"/>
      <c r="C288" s="46"/>
      <c r="D288" s="46"/>
      <c r="E288" s="17"/>
      <c r="F288" s="46"/>
      <c r="G288" s="46"/>
      <c r="H288" s="46"/>
      <c r="I288" s="17"/>
      <c r="J288" s="46"/>
      <c r="K288" s="46"/>
      <c r="L288" s="46"/>
      <c r="M288" s="17"/>
      <c r="N288" s="46"/>
      <c r="O288" s="46"/>
      <c r="P288" s="46"/>
      <c r="Q288" s="46"/>
      <c r="R288" s="46"/>
      <c r="S288" s="46"/>
      <c r="T288" s="46"/>
      <c r="U288" s="46"/>
      <c r="V288" s="46"/>
      <c r="W288" s="46"/>
      <c r="X288" s="46"/>
      <c r="Y288" s="46"/>
      <c r="Z288" s="46"/>
      <c r="AA288" s="46"/>
      <c r="AB288" s="46"/>
      <c r="AC288" s="46"/>
      <c r="AD288" s="46"/>
      <c r="AE288" s="46"/>
      <c r="AF288" s="46"/>
      <c r="AG288" s="123"/>
      <c r="AH288" s="123"/>
      <c r="AI288" s="123"/>
      <c r="AJ288" s="123"/>
      <c r="AK288" s="46"/>
      <c r="AL288" s="46"/>
      <c r="AM288" s="46"/>
      <c r="AN288" s="46"/>
      <c r="AO288" s="46"/>
    </row>
    <row r="289">
      <c r="A289" s="17"/>
      <c r="B289" s="46"/>
      <c r="C289" s="46"/>
      <c r="D289" s="46"/>
      <c r="E289" s="17"/>
      <c r="F289" s="46"/>
      <c r="G289" s="46"/>
      <c r="H289" s="46"/>
      <c r="I289" s="17"/>
      <c r="J289" s="46"/>
      <c r="K289" s="46"/>
      <c r="L289" s="46"/>
      <c r="M289" s="17"/>
      <c r="N289" s="46"/>
      <c r="O289" s="46"/>
      <c r="P289" s="46"/>
      <c r="Q289" s="46"/>
      <c r="R289" s="46"/>
      <c r="S289" s="46"/>
      <c r="T289" s="46"/>
      <c r="U289" s="46"/>
      <c r="V289" s="46"/>
      <c r="W289" s="46"/>
      <c r="X289" s="46"/>
      <c r="Y289" s="46"/>
      <c r="Z289" s="46"/>
      <c r="AA289" s="46"/>
      <c r="AB289" s="46"/>
      <c r="AC289" s="46"/>
      <c r="AD289" s="46"/>
      <c r="AE289" s="46"/>
      <c r="AF289" s="46"/>
      <c r="AG289" s="123"/>
      <c r="AH289" s="123"/>
      <c r="AI289" s="123"/>
      <c r="AJ289" s="123"/>
      <c r="AK289" s="46"/>
      <c r="AL289" s="46"/>
      <c r="AM289" s="46"/>
      <c r="AN289" s="46"/>
      <c r="AO289" s="46"/>
    </row>
    <row r="290">
      <c r="A290" s="17"/>
      <c r="B290" s="46"/>
      <c r="C290" s="46"/>
      <c r="D290" s="46"/>
      <c r="E290" s="17"/>
      <c r="F290" s="46"/>
      <c r="G290" s="46"/>
      <c r="H290" s="46"/>
      <c r="I290" s="17"/>
      <c r="J290" s="46"/>
      <c r="K290" s="46"/>
      <c r="L290" s="46"/>
      <c r="M290" s="17"/>
      <c r="N290" s="46"/>
      <c r="O290" s="46"/>
      <c r="P290" s="46"/>
      <c r="Q290" s="46"/>
      <c r="R290" s="46"/>
      <c r="S290" s="46"/>
      <c r="T290" s="46"/>
      <c r="U290" s="46"/>
      <c r="V290" s="46"/>
      <c r="W290" s="46"/>
      <c r="X290" s="46"/>
      <c r="Y290" s="46"/>
      <c r="Z290" s="46"/>
      <c r="AA290" s="46"/>
      <c r="AB290" s="46"/>
      <c r="AC290" s="46"/>
      <c r="AD290" s="46"/>
      <c r="AE290" s="46"/>
      <c r="AF290" s="46"/>
      <c r="AG290" s="123"/>
      <c r="AH290" s="123"/>
      <c r="AI290" s="123"/>
      <c r="AJ290" s="123"/>
      <c r="AK290" s="46"/>
      <c r="AL290" s="46"/>
      <c r="AM290" s="46"/>
      <c r="AN290" s="46"/>
      <c r="AO290" s="46"/>
    </row>
    <row r="291">
      <c r="A291" s="17"/>
      <c r="B291" s="46"/>
      <c r="C291" s="46"/>
      <c r="D291" s="46"/>
      <c r="E291" s="17"/>
      <c r="F291" s="46"/>
      <c r="G291" s="46"/>
      <c r="H291" s="46"/>
      <c r="I291" s="17"/>
      <c r="J291" s="46"/>
      <c r="K291" s="46"/>
      <c r="L291" s="46"/>
      <c r="M291" s="17"/>
      <c r="N291" s="46"/>
      <c r="O291" s="46"/>
      <c r="P291" s="46"/>
      <c r="Q291" s="46"/>
      <c r="R291" s="46"/>
      <c r="S291" s="46"/>
      <c r="T291" s="46"/>
      <c r="U291" s="46"/>
      <c r="V291" s="46"/>
      <c r="W291" s="46"/>
      <c r="X291" s="46"/>
      <c r="Y291" s="46"/>
      <c r="Z291" s="46"/>
      <c r="AA291" s="46"/>
      <c r="AB291" s="46"/>
      <c r="AC291" s="46"/>
      <c r="AD291" s="46"/>
      <c r="AE291" s="46"/>
      <c r="AF291" s="46"/>
      <c r="AG291" s="123"/>
      <c r="AH291" s="123"/>
      <c r="AI291" s="123"/>
      <c r="AJ291" s="123"/>
      <c r="AK291" s="46"/>
      <c r="AL291" s="46"/>
      <c r="AM291" s="46"/>
      <c r="AN291" s="46"/>
      <c r="AO291" s="46"/>
    </row>
    <row r="292">
      <c r="A292" s="17"/>
      <c r="B292" s="46"/>
      <c r="C292" s="46"/>
      <c r="D292" s="46"/>
      <c r="E292" s="17"/>
      <c r="F292" s="46"/>
      <c r="G292" s="46"/>
      <c r="H292" s="46"/>
      <c r="I292" s="17"/>
      <c r="J292" s="46"/>
      <c r="K292" s="46"/>
      <c r="L292" s="46"/>
      <c r="M292" s="17"/>
      <c r="N292" s="46"/>
      <c r="O292" s="46"/>
      <c r="P292" s="46"/>
      <c r="Q292" s="46"/>
      <c r="R292" s="46"/>
      <c r="S292" s="46"/>
      <c r="T292" s="46"/>
      <c r="U292" s="46"/>
      <c r="V292" s="46"/>
      <c r="W292" s="46"/>
      <c r="X292" s="46"/>
      <c r="Y292" s="46"/>
      <c r="Z292" s="46"/>
      <c r="AA292" s="46"/>
      <c r="AB292" s="46"/>
      <c r="AC292" s="46"/>
      <c r="AD292" s="46"/>
      <c r="AE292" s="46"/>
      <c r="AF292" s="46"/>
      <c r="AG292" s="123"/>
      <c r="AH292" s="123"/>
      <c r="AI292" s="123"/>
      <c r="AJ292" s="123"/>
      <c r="AK292" s="46"/>
      <c r="AL292" s="46"/>
      <c r="AM292" s="46"/>
      <c r="AN292" s="46"/>
      <c r="AO292" s="46"/>
    </row>
    <row r="293">
      <c r="A293" s="17"/>
      <c r="B293" s="46"/>
      <c r="C293" s="46"/>
      <c r="D293" s="46"/>
      <c r="E293" s="17"/>
      <c r="F293" s="46"/>
      <c r="G293" s="46"/>
      <c r="H293" s="46"/>
      <c r="I293" s="17"/>
      <c r="J293" s="46"/>
      <c r="K293" s="46"/>
      <c r="L293" s="46"/>
      <c r="M293" s="17"/>
      <c r="N293" s="46"/>
      <c r="O293" s="46"/>
      <c r="P293" s="46"/>
      <c r="Q293" s="46"/>
      <c r="R293" s="46"/>
      <c r="S293" s="46"/>
      <c r="T293" s="46"/>
      <c r="U293" s="46"/>
      <c r="V293" s="46"/>
      <c r="W293" s="46"/>
      <c r="X293" s="46"/>
      <c r="Y293" s="46"/>
      <c r="Z293" s="46"/>
      <c r="AA293" s="46"/>
      <c r="AB293" s="46"/>
      <c r="AC293" s="46"/>
      <c r="AD293" s="46"/>
      <c r="AE293" s="46"/>
      <c r="AF293" s="46"/>
      <c r="AG293" s="123"/>
      <c r="AH293" s="123"/>
      <c r="AI293" s="123"/>
      <c r="AJ293" s="123"/>
      <c r="AK293" s="46"/>
      <c r="AL293" s="46"/>
      <c r="AM293" s="46"/>
      <c r="AN293" s="46"/>
      <c r="AO293" s="46"/>
    </row>
    <row r="294">
      <c r="A294" s="17"/>
      <c r="B294" s="46"/>
      <c r="C294" s="46"/>
      <c r="D294" s="46"/>
      <c r="E294" s="17"/>
      <c r="F294" s="46"/>
      <c r="G294" s="46"/>
      <c r="H294" s="46"/>
      <c r="I294" s="17"/>
      <c r="J294" s="46"/>
      <c r="K294" s="46"/>
      <c r="L294" s="46"/>
      <c r="M294" s="17"/>
      <c r="N294" s="46"/>
      <c r="O294" s="46"/>
      <c r="P294" s="46"/>
      <c r="Q294" s="46"/>
      <c r="R294" s="46"/>
      <c r="S294" s="46"/>
      <c r="T294" s="46"/>
      <c r="U294" s="46"/>
      <c r="V294" s="46"/>
      <c r="W294" s="46"/>
      <c r="X294" s="46"/>
      <c r="Y294" s="46"/>
      <c r="Z294" s="46"/>
      <c r="AA294" s="46"/>
      <c r="AB294" s="46"/>
      <c r="AC294" s="46"/>
      <c r="AD294" s="46"/>
      <c r="AE294" s="46"/>
      <c r="AF294" s="46"/>
      <c r="AG294" s="123"/>
      <c r="AH294" s="123"/>
      <c r="AI294" s="123"/>
      <c r="AJ294" s="123"/>
      <c r="AK294" s="46"/>
      <c r="AL294" s="46"/>
      <c r="AM294" s="46"/>
      <c r="AN294" s="46"/>
      <c r="AO294" s="46"/>
    </row>
    <row r="295">
      <c r="A295" s="17"/>
      <c r="B295" s="46"/>
      <c r="C295" s="46"/>
      <c r="D295" s="46"/>
      <c r="E295" s="17"/>
      <c r="F295" s="46"/>
      <c r="G295" s="46"/>
      <c r="H295" s="46"/>
      <c r="I295" s="17"/>
      <c r="J295" s="46"/>
      <c r="K295" s="46"/>
      <c r="L295" s="46"/>
      <c r="M295" s="17"/>
      <c r="N295" s="46"/>
      <c r="O295" s="46"/>
      <c r="P295" s="46"/>
      <c r="Q295" s="46"/>
      <c r="R295" s="46"/>
      <c r="S295" s="46"/>
      <c r="T295" s="46"/>
      <c r="U295" s="46"/>
      <c r="V295" s="46"/>
      <c r="W295" s="46"/>
      <c r="X295" s="46"/>
      <c r="Y295" s="46"/>
      <c r="Z295" s="46"/>
      <c r="AA295" s="46"/>
      <c r="AB295" s="46"/>
      <c r="AC295" s="46"/>
      <c r="AD295" s="46"/>
      <c r="AE295" s="46"/>
      <c r="AF295" s="46"/>
      <c r="AG295" s="123"/>
      <c r="AH295" s="123"/>
      <c r="AI295" s="123"/>
      <c r="AJ295" s="123"/>
      <c r="AK295" s="46"/>
      <c r="AL295" s="46"/>
      <c r="AM295" s="46"/>
      <c r="AN295" s="46"/>
      <c r="AO295" s="46"/>
    </row>
    <row r="296">
      <c r="A296" s="17"/>
      <c r="B296" s="46"/>
      <c r="C296" s="46"/>
      <c r="D296" s="46"/>
      <c r="E296" s="17"/>
      <c r="F296" s="46"/>
      <c r="G296" s="46"/>
      <c r="H296" s="46"/>
      <c r="I296" s="17"/>
      <c r="J296" s="46"/>
      <c r="K296" s="46"/>
      <c r="L296" s="46"/>
      <c r="M296" s="17"/>
      <c r="N296" s="46"/>
      <c r="O296" s="46"/>
      <c r="P296" s="46"/>
      <c r="Q296" s="46"/>
      <c r="R296" s="46"/>
      <c r="S296" s="46"/>
      <c r="T296" s="46"/>
      <c r="U296" s="46"/>
      <c r="V296" s="46"/>
      <c r="W296" s="46"/>
      <c r="X296" s="46"/>
      <c r="Y296" s="46"/>
      <c r="Z296" s="46"/>
      <c r="AA296" s="46"/>
      <c r="AB296" s="46"/>
      <c r="AC296" s="46"/>
      <c r="AD296" s="46"/>
      <c r="AE296" s="46"/>
      <c r="AF296" s="46"/>
      <c r="AG296" s="123"/>
      <c r="AH296" s="123"/>
      <c r="AI296" s="123"/>
      <c r="AJ296" s="123"/>
      <c r="AK296" s="46"/>
      <c r="AL296" s="46"/>
      <c r="AM296" s="46"/>
      <c r="AN296" s="46"/>
      <c r="AO296" s="46"/>
    </row>
    <row r="297">
      <c r="A297" s="17"/>
      <c r="B297" s="46"/>
      <c r="C297" s="46"/>
      <c r="D297" s="46"/>
      <c r="E297" s="17"/>
      <c r="F297" s="46"/>
      <c r="G297" s="46"/>
      <c r="H297" s="46"/>
      <c r="I297" s="17"/>
      <c r="J297" s="46"/>
      <c r="K297" s="46"/>
      <c r="L297" s="46"/>
      <c r="M297" s="17"/>
      <c r="N297" s="46"/>
      <c r="O297" s="46"/>
      <c r="P297" s="46"/>
      <c r="Q297" s="46"/>
      <c r="R297" s="46"/>
      <c r="S297" s="46"/>
      <c r="T297" s="46"/>
      <c r="U297" s="46"/>
      <c r="V297" s="46"/>
      <c r="W297" s="46"/>
      <c r="X297" s="46"/>
      <c r="Y297" s="46"/>
      <c r="Z297" s="46"/>
      <c r="AA297" s="46"/>
      <c r="AB297" s="46"/>
      <c r="AC297" s="46"/>
      <c r="AD297" s="46"/>
      <c r="AE297" s="46"/>
      <c r="AF297" s="46"/>
      <c r="AG297" s="123"/>
      <c r="AH297" s="123"/>
      <c r="AI297" s="123"/>
      <c r="AJ297" s="123"/>
      <c r="AK297" s="46"/>
      <c r="AL297" s="46"/>
      <c r="AM297" s="46"/>
      <c r="AN297" s="46"/>
      <c r="AO297" s="46"/>
    </row>
    <row r="298">
      <c r="A298" s="17"/>
      <c r="B298" s="46"/>
      <c r="C298" s="46"/>
      <c r="D298" s="46"/>
      <c r="E298" s="17"/>
      <c r="F298" s="46"/>
      <c r="G298" s="46"/>
      <c r="H298" s="46"/>
      <c r="I298" s="17"/>
      <c r="J298" s="46"/>
      <c r="K298" s="46"/>
      <c r="L298" s="46"/>
      <c r="M298" s="17"/>
      <c r="N298" s="46"/>
      <c r="O298" s="46"/>
      <c r="P298" s="46"/>
      <c r="Q298" s="46"/>
      <c r="R298" s="46"/>
      <c r="S298" s="46"/>
      <c r="T298" s="46"/>
      <c r="U298" s="46"/>
      <c r="V298" s="46"/>
      <c r="W298" s="46"/>
      <c r="X298" s="46"/>
      <c r="Y298" s="46"/>
      <c r="Z298" s="46"/>
      <c r="AA298" s="46"/>
      <c r="AB298" s="46"/>
      <c r="AC298" s="46"/>
      <c r="AD298" s="46"/>
      <c r="AE298" s="46"/>
      <c r="AF298" s="46"/>
      <c r="AG298" s="123"/>
      <c r="AH298" s="123"/>
      <c r="AI298" s="123"/>
      <c r="AJ298" s="123"/>
      <c r="AK298" s="46"/>
      <c r="AL298" s="46"/>
      <c r="AM298" s="46"/>
      <c r="AN298" s="46"/>
      <c r="AO298" s="46"/>
    </row>
    <row r="299">
      <c r="A299" s="17"/>
      <c r="B299" s="46"/>
      <c r="C299" s="46"/>
      <c r="D299" s="46"/>
      <c r="E299" s="17"/>
      <c r="F299" s="46"/>
      <c r="G299" s="46"/>
      <c r="H299" s="46"/>
      <c r="I299" s="17"/>
      <c r="J299" s="46"/>
      <c r="K299" s="46"/>
      <c r="L299" s="46"/>
      <c r="M299" s="17"/>
      <c r="N299" s="46"/>
      <c r="O299" s="46"/>
      <c r="P299" s="46"/>
      <c r="Q299" s="46"/>
      <c r="R299" s="46"/>
      <c r="S299" s="46"/>
      <c r="T299" s="46"/>
      <c r="U299" s="46"/>
      <c r="V299" s="46"/>
      <c r="W299" s="46"/>
      <c r="X299" s="46"/>
      <c r="Y299" s="46"/>
      <c r="Z299" s="46"/>
      <c r="AA299" s="46"/>
      <c r="AB299" s="46"/>
      <c r="AC299" s="46"/>
      <c r="AD299" s="46"/>
      <c r="AE299" s="46"/>
      <c r="AF299" s="46"/>
      <c r="AG299" s="123"/>
      <c r="AH299" s="123"/>
      <c r="AI299" s="123"/>
      <c r="AJ299" s="123"/>
      <c r="AK299" s="46"/>
      <c r="AL299" s="46"/>
      <c r="AM299" s="46"/>
      <c r="AN299" s="46"/>
      <c r="AO299" s="46"/>
    </row>
    <row r="300">
      <c r="A300" s="17"/>
      <c r="B300" s="46"/>
      <c r="C300" s="46"/>
      <c r="D300" s="46"/>
      <c r="E300" s="17"/>
      <c r="F300" s="46"/>
      <c r="G300" s="46"/>
      <c r="H300" s="46"/>
      <c r="I300" s="17"/>
      <c r="J300" s="46"/>
      <c r="K300" s="46"/>
      <c r="L300" s="46"/>
      <c r="M300" s="17"/>
      <c r="N300" s="46"/>
      <c r="O300" s="46"/>
      <c r="P300" s="46"/>
      <c r="Q300" s="46"/>
      <c r="R300" s="46"/>
      <c r="S300" s="46"/>
      <c r="T300" s="46"/>
      <c r="U300" s="46"/>
      <c r="V300" s="46"/>
      <c r="W300" s="46"/>
      <c r="X300" s="46"/>
      <c r="Y300" s="46"/>
      <c r="Z300" s="46"/>
      <c r="AA300" s="46"/>
      <c r="AB300" s="46"/>
      <c r="AC300" s="46"/>
      <c r="AD300" s="46"/>
      <c r="AE300" s="46"/>
      <c r="AF300" s="46"/>
      <c r="AG300" s="123"/>
      <c r="AH300" s="123"/>
      <c r="AI300" s="123"/>
      <c r="AJ300" s="123"/>
      <c r="AK300" s="46"/>
      <c r="AL300" s="46"/>
      <c r="AM300" s="46"/>
      <c r="AN300" s="46"/>
      <c r="AO300" s="46"/>
    </row>
    <row r="301">
      <c r="A301" s="17"/>
      <c r="B301" s="46"/>
      <c r="C301" s="46"/>
      <c r="D301" s="46"/>
      <c r="E301" s="17"/>
      <c r="F301" s="46"/>
      <c r="G301" s="46"/>
      <c r="H301" s="46"/>
      <c r="I301" s="17"/>
      <c r="J301" s="46"/>
      <c r="K301" s="46"/>
      <c r="L301" s="46"/>
      <c r="M301" s="17"/>
      <c r="N301" s="46"/>
      <c r="O301" s="46"/>
      <c r="P301" s="46"/>
      <c r="Q301" s="46"/>
      <c r="R301" s="46"/>
      <c r="S301" s="46"/>
      <c r="T301" s="46"/>
      <c r="U301" s="46"/>
      <c r="V301" s="46"/>
      <c r="W301" s="46"/>
      <c r="X301" s="46"/>
      <c r="Y301" s="46"/>
      <c r="Z301" s="46"/>
      <c r="AA301" s="46"/>
      <c r="AB301" s="46"/>
      <c r="AC301" s="46"/>
      <c r="AD301" s="46"/>
      <c r="AE301" s="46"/>
      <c r="AF301" s="46"/>
      <c r="AG301" s="123"/>
      <c r="AH301" s="123"/>
      <c r="AI301" s="123"/>
      <c r="AJ301" s="123"/>
      <c r="AK301" s="46"/>
      <c r="AL301" s="46"/>
      <c r="AM301" s="46"/>
      <c r="AN301" s="46"/>
      <c r="AO301" s="46"/>
    </row>
    <row r="302">
      <c r="A302" s="17"/>
      <c r="B302" s="46"/>
      <c r="C302" s="46"/>
      <c r="D302" s="46"/>
      <c r="E302" s="17"/>
      <c r="F302" s="46"/>
      <c r="G302" s="46"/>
      <c r="H302" s="46"/>
      <c r="I302" s="17"/>
      <c r="J302" s="46"/>
      <c r="K302" s="46"/>
      <c r="L302" s="46"/>
      <c r="M302" s="17"/>
      <c r="N302" s="46"/>
      <c r="O302" s="46"/>
      <c r="P302" s="46"/>
      <c r="Q302" s="46"/>
      <c r="R302" s="46"/>
      <c r="S302" s="46"/>
      <c r="T302" s="46"/>
      <c r="U302" s="46"/>
      <c r="V302" s="46"/>
      <c r="W302" s="46"/>
      <c r="X302" s="46"/>
      <c r="Y302" s="46"/>
      <c r="Z302" s="46"/>
      <c r="AA302" s="46"/>
      <c r="AB302" s="46"/>
      <c r="AC302" s="46"/>
      <c r="AD302" s="46"/>
      <c r="AE302" s="46"/>
      <c r="AF302" s="46"/>
      <c r="AG302" s="123"/>
      <c r="AH302" s="123"/>
      <c r="AI302" s="123"/>
      <c r="AJ302" s="123"/>
      <c r="AK302" s="46"/>
      <c r="AL302" s="46"/>
      <c r="AM302" s="46"/>
      <c r="AN302" s="46"/>
      <c r="AO302" s="46"/>
    </row>
    <row r="303">
      <c r="A303" s="17"/>
      <c r="B303" s="46"/>
      <c r="C303" s="46"/>
      <c r="D303" s="46"/>
      <c r="E303" s="17"/>
      <c r="F303" s="46"/>
      <c r="G303" s="46"/>
      <c r="H303" s="46"/>
      <c r="I303" s="17"/>
      <c r="J303" s="46"/>
      <c r="K303" s="46"/>
      <c r="L303" s="46"/>
      <c r="M303" s="17"/>
      <c r="N303" s="46"/>
      <c r="O303" s="46"/>
      <c r="P303" s="46"/>
      <c r="Q303" s="46"/>
      <c r="R303" s="46"/>
      <c r="S303" s="46"/>
      <c r="T303" s="46"/>
      <c r="U303" s="46"/>
      <c r="V303" s="46"/>
      <c r="W303" s="46"/>
      <c r="X303" s="46"/>
      <c r="Y303" s="46"/>
      <c r="Z303" s="46"/>
      <c r="AA303" s="46"/>
      <c r="AB303" s="46"/>
      <c r="AC303" s="46"/>
      <c r="AD303" s="46"/>
      <c r="AE303" s="46"/>
      <c r="AF303" s="46"/>
      <c r="AG303" s="123"/>
      <c r="AH303" s="123"/>
      <c r="AI303" s="123"/>
      <c r="AJ303" s="123"/>
      <c r="AK303" s="46"/>
      <c r="AL303" s="46"/>
      <c r="AM303" s="46"/>
      <c r="AN303" s="46"/>
      <c r="AO303" s="46"/>
    </row>
    <row r="304">
      <c r="A304" s="17"/>
      <c r="B304" s="46"/>
      <c r="C304" s="46"/>
      <c r="D304" s="46"/>
      <c r="E304" s="17"/>
      <c r="F304" s="46"/>
      <c r="G304" s="46"/>
      <c r="H304" s="46"/>
      <c r="I304" s="17"/>
      <c r="J304" s="46"/>
      <c r="K304" s="46"/>
      <c r="L304" s="46"/>
      <c r="M304" s="17"/>
      <c r="N304" s="46"/>
      <c r="O304" s="46"/>
      <c r="P304" s="46"/>
      <c r="Q304" s="46"/>
      <c r="R304" s="46"/>
      <c r="S304" s="46"/>
      <c r="T304" s="46"/>
      <c r="U304" s="46"/>
      <c r="V304" s="46"/>
      <c r="W304" s="46"/>
      <c r="X304" s="46"/>
      <c r="Y304" s="46"/>
      <c r="Z304" s="46"/>
      <c r="AA304" s="46"/>
      <c r="AB304" s="46"/>
      <c r="AC304" s="46"/>
      <c r="AD304" s="46"/>
      <c r="AE304" s="46"/>
      <c r="AF304" s="46"/>
      <c r="AG304" s="123"/>
      <c r="AH304" s="123"/>
      <c r="AI304" s="123"/>
      <c r="AJ304" s="123"/>
      <c r="AK304" s="46"/>
      <c r="AL304" s="46"/>
      <c r="AM304" s="46"/>
      <c r="AN304" s="46"/>
      <c r="AO304" s="46"/>
    </row>
    <row r="305">
      <c r="A305" s="17"/>
      <c r="B305" s="46"/>
      <c r="C305" s="46"/>
      <c r="D305" s="46"/>
      <c r="E305" s="17"/>
      <c r="F305" s="46"/>
      <c r="G305" s="46"/>
      <c r="H305" s="46"/>
      <c r="I305" s="17"/>
      <c r="J305" s="46"/>
      <c r="K305" s="46"/>
      <c r="L305" s="46"/>
      <c r="M305" s="17"/>
      <c r="N305" s="46"/>
      <c r="O305" s="46"/>
      <c r="P305" s="46"/>
      <c r="Q305" s="46"/>
      <c r="R305" s="46"/>
      <c r="S305" s="46"/>
      <c r="T305" s="46"/>
      <c r="U305" s="46"/>
      <c r="V305" s="46"/>
      <c r="W305" s="46"/>
      <c r="X305" s="46"/>
      <c r="Y305" s="46"/>
      <c r="Z305" s="46"/>
      <c r="AA305" s="46"/>
      <c r="AB305" s="46"/>
      <c r="AC305" s="46"/>
      <c r="AD305" s="46"/>
      <c r="AE305" s="46"/>
      <c r="AF305" s="46"/>
      <c r="AG305" s="123"/>
      <c r="AH305" s="123"/>
      <c r="AI305" s="123"/>
      <c r="AJ305" s="123"/>
      <c r="AK305" s="46"/>
      <c r="AL305" s="46"/>
      <c r="AM305" s="46"/>
      <c r="AN305" s="46"/>
      <c r="AO305" s="46"/>
    </row>
    <row r="306">
      <c r="A306" s="17"/>
      <c r="B306" s="46"/>
      <c r="C306" s="46"/>
      <c r="D306" s="46"/>
      <c r="E306" s="17"/>
      <c r="F306" s="46"/>
      <c r="G306" s="46"/>
      <c r="H306" s="46"/>
      <c r="I306" s="17"/>
      <c r="J306" s="46"/>
      <c r="K306" s="46"/>
      <c r="L306" s="46"/>
      <c r="M306" s="17"/>
      <c r="N306" s="46"/>
      <c r="O306" s="46"/>
      <c r="P306" s="46"/>
      <c r="Q306" s="46"/>
      <c r="R306" s="46"/>
      <c r="S306" s="46"/>
      <c r="T306" s="46"/>
      <c r="U306" s="46"/>
      <c r="V306" s="46"/>
      <c r="W306" s="46"/>
      <c r="X306" s="46"/>
      <c r="Y306" s="46"/>
      <c r="Z306" s="46"/>
      <c r="AA306" s="46"/>
      <c r="AB306" s="46"/>
      <c r="AC306" s="46"/>
      <c r="AD306" s="46"/>
      <c r="AE306" s="46"/>
      <c r="AF306" s="46"/>
      <c r="AG306" s="123"/>
      <c r="AH306" s="123"/>
      <c r="AI306" s="123"/>
      <c r="AJ306" s="123"/>
      <c r="AK306" s="46"/>
      <c r="AL306" s="46"/>
      <c r="AM306" s="46"/>
      <c r="AN306" s="46"/>
      <c r="AO306" s="46"/>
    </row>
    <row r="307">
      <c r="A307" s="17"/>
      <c r="B307" s="46"/>
      <c r="C307" s="46"/>
      <c r="D307" s="46"/>
      <c r="E307" s="17"/>
      <c r="F307" s="46"/>
      <c r="G307" s="46"/>
      <c r="H307" s="46"/>
      <c r="I307" s="17"/>
      <c r="J307" s="46"/>
      <c r="K307" s="46"/>
      <c r="L307" s="46"/>
      <c r="M307" s="17"/>
      <c r="N307" s="46"/>
      <c r="O307" s="46"/>
      <c r="P307" s="46"/>
      <c r="Q307" s="46"/>
      <c r="R307" s="46"/>
      <c r="S307" s="46"/>
      <c r="T307" s="46"/>
      <c r="U307" s="46"/>
      <c r="V307" s="46"/>
      <c r="W307" s="46"/>
      <c r="X307" s="46"/>
      <c r="Y307" s="46"/>
      <c r="Z307" s="46"/>
      <c r="AA307" s="46"/>
      <c r="AB307" s="46"/>
      <c r="AC307" s="46"/>
      <c r="AD307" s="46"/>
      <c r="AE307" s="46"/>
      <c r="AF307" s="46"/>
      <c r="AG307" s="123"/>
      <c r="AH307" s="123"/>
      <c r="AI307" s="123"/>
      <c r="AJ307" s="123"/>
      <c r="AK307" s="46"/>
      <c r="AL307" s="46"/>
      <c r="AM307" s="46"/>
      <c r="AN307" s="46"/>
      <c r="AO307" s="46"/>
    </row>
    <row r="308">
      <c r="A308" s="17"/>
      <c r="B308" s="46"/>
      <c r="C308" s="46"/>
      <c r="D308" s="46"/>
      <c r="E308" s="17"/>
      <c r="F308" s="46"/>
      <c r="G308" s="46"/>
      <c r="H308" s="46"/>
      <c r="I308" s="17"/>
      <c r="J308" s="46"/>
      <c r="K308" s="46"/>
      <c r="L308" s="46"/>
      <c r="M308" s="17"/>
      <c r="N308" s="46"/>
      <c r="O308" s="46"/>
      <c r="P308" s="46"/>
      <c r="Q308" s="46"/>
      <c r="R308" s="46"/>
      <c r="S308" s="46"/>
      <c r="T308" s="46"/>
      <c r="U308" s="46"/>
      <c r="V308" s="46"/>
      <c r="W308" s="46"/>
      <c r="X308" s="46"/>
      <c r="Y308" s="46"/>
      <c r="Z308" s="46"/>
      <c r="AA308" s="46"/>
      <c r="AB308" s="46"/>
      <c r="AC308" s="46"/>
      <c r="AD308" s="46"/>
      <c r="AE308" s="46"/>
      <c r="AF308" s="46"/>
      <c r="AG308" s="123"/>
      <c r="AH308" s="123"/>
      <c r="AI308" s="123"/>
      <c r="AJ308" s="123"/>
      <c r="AK308" s="46"/>
      <c r="AL308" s="46"/>
      <c r="AM308" s="46"/>
      <c r="AN308" s="46"/>
      <c r="AO308" s="46"/>
    </row>
    <row r="309">
      <c r="A309" s="17"/>
      <c r="B309" s="46"/>
      <c r="C309" s="46"/>
      <c r="D309" s="46"/>
      <c r="E309" s="17"/>
      <c r="F309" s="46"/>
      <c r="G309" s="46"/>
      <c r="H309" s="46"/>
      <c r="I309" s="17"/>
      <c r="J309" s="46"/>
      <c r="K309" s="46"/>
      <c r="L309" s="46"/>
      <c r="M309" s="17"/>
      <c r="N309" s="46"/>
      <c r="O309" s="46"/>
      <c r="P309" s="46"/>
      <c r="Q309" s="46"/>
      <c r="R309" s="46"/>
      <c r="S309" s="46"/>
      <c r="T309" s="46"/>
      <c r="U309" s="46"/>
      <c r="V309" s="46"/>
      <c r="W309" s="46"/>
      <c r="X309" s="46"/>
      <c r="Y309" s="46"/>
      <c r="Z309" s="46"/>
      <c r="AA309" s="46"/>
      <c r="AB309" s="46"/>
      <c r="AC309" s="46"/>
      <c r="AD309" s="46"/>
      <c r="AE309" s="46"/>
      <c r="AF309" s="46"/>
      <c r="AG309" s="123"/>
      <c r="AH309" s="123"/>
      <c r="AI309" s="123"/>
      <c r="AJ309" s="123"/>
      <c r="AK309" s="46"/>
      <c r="AL309" s="46"/>
      <c r="AM309" s="46"/>
      <c r="AN309" s="46"/>
      <c r="AO309" s="46"/>
    </row>
    <row r="310">
      <c r="A310" s="17"/>
      <c r="B310" s="46"/>
      <c r="C310" s="46"/>
      <c r="D310" s="46"/>
      <c r="E310" s="17"/>
      <c r="F310" s="46"/>
      <c r="G310" s="46"/>
      <c r="H310" s="46"/>
      <c r="I310" s="17"/>
      <c r="J310" s="46"/>
      <c r="K310" s="46"/>
      <c r="L310" s="46"/>
      <c r="M310" s="17"/>
      <c r="N310" s="46"/>
      <c r="O310" s="46"/>
      <c r="P310" s="46"/>
      <c r="Q310" s="46"/>
      <c r="R310" s="46"/>
      <c r="S310" s="46"/>
      <c r="T310" s="46"/>
      <c r="U310" s="46"/>
      <c r="V310" s="46"/>
      <c r="W310" s="46"/>
      <c r="X310" s="46"/>
      <c r="Y310" s="46"/>
      <c r="Z310" s="46"/>
      <c r="AA310" s="46"/>
      <c r="AB310" s="46"/>
      <c r="AC310" s="46"/>
      <c r="AD310" s="46"/>
      <c r="AE310" s="46"/>
      <c r="AF310" s="46"/>
      <c r="AG310" s="123"/>
      <c r="AH310" s="123"/>
      <c r="AI310" s="123"/>
      <c r="AJ310" s="123"/>
      <c r="AK310" s="46"/>
      <c r="AL310" s="46"/>
      <c r="AM310" s="46"/>
      <c r="AN310" s="46"/>
      <c r="AO310" s="46"/>
    </row>
    <row r="311">
      <c r="A311" s="17"/>
      <c r="B311" s="46"/>
      <c r="C311" s="46"/>
      <c r="D311" s="46"/>
      <c r="E311" s="17"/>
      <c r="F311" s="46"/>
      <c r="G311" s="46"/>
      <c r="H311" s="46"/>
      <c r="I311" s="17"/>
      <c r="J311" s="46"/>
      <c r="K311" s="46"/>
      <c r="L311" s="46"/>
      <c r="M311" s="17"/>
      <c r="N311" s="46"/>
      <c r="O311" s="46"/>
      <c r="P311" s="46"/>
      <c r="Q311" s="46"/>
      <c r="R311" s="46"/>
      <c r="S311" s="46"/>
      <c r="T311" s="46"/>
      <c r="U311" s="46"/>
      <c r="V311" s="46"/>
      <c r="W311" s="46"/>
      <c r="X311" s="46"/>
      <c r="Y311" s="46"/>
      <c r="Z311" s="46"/>
      <c r="AA311" s="46"/>
      <c r="AB311" s="46"/>
      <c r="AC311" s="46"/>
      <c r="AD311" s="46"/>
      <c r="AE311" s="46"/>
      <c r="AF311" s="46"/>
      <c r="AG311" s="123"/>
      <c r="AH311" s="123"/>
      <c r="AI311" s="123"/>
      <c r="AJ311" s="123"/>
      <c r="AK311" s="46"/>
      <c r="AL311" s="46"/>
      <c r="AM311" s="46"/>
      <c r="AN311" s="46"/>
      <c r="AO311" s="46"/>
    </row>
    <row r="312">
      <c r="A312" s="17"/>
      <c r="B312" s="46"/>
      <c r="C312" s="46"/>
      <c r="D312" s="46"/>
      <c r="E312" s="17"/>
      <c r="F312" s="46"/>
      <c r="G312" s="46"/>
      <c r="H312" s="46"/>
      <c r="I312" s="17"/>
      <c r="J312" s="46"/>
      <c r="K312" s="46"/>
      <c r="L312" s="46"/>
      <c r="M312" s="17"/>
      <c r="N312" s="46"/>
      <c r="O312" s="46"/>
      <c r="P312" s="46"/>
      <c r="Q312" s="46"/>
      <c r="R312" s="46"/>
      <c r="S312" s="46"/>
      <c r="T312" s="46"/>
      <c r="U312" s="46"/>
      <c r="V312" s="46"/>
      <c r="W312" s="46"/>
      <c r="X312" s="46"/>
      <c r="Y312" s="46"/>
      <c r="Z312" s="46"/>
      <c r="AA312" s="46"/>
      <c r="AB312" s="46"/>
      <c r="AC312" s="46"/>
      <c r="AD312" s="46"/>
      <c r="AE312" s="46"/>
      <c r="AF312" s="46"/>
      <c r="AG312" s="123"/>
      <c r="AH312" s="123"/>
      <c r="AI312" s="123"/>
      <c r="AJ312" s="123"/>
      <c r="AK312" s="46"/>
      <c r="AL312" s="46"/>
      <c r="AM312" s="46"/>
      <c r="AN312" s="46"/>
      <c r="AO312" s="46"/>
    </row>
    <row r="313">
      <c r="A313" s="17"/>
      <c r="B313" s="46"/>
      <c r="C313" s="46"/>
      <c r="D313" s="46"/>
      <c r="E313" s="17"/>
      <c r="F313" s="46"/>
      <c r="G313" s="46"/>
      <c r="H313" s="46"/>
      <c r="I313" s="17"/>
      <c r="J313" s="46"/>
      <c r="K313" s="46"/>
      <c r="L313" s="46"/>
      <c r="M313" s="17"/>
      <c r="N313" s="46"/>
      <c r="O313" s="46"/>
      <c r="P313" s="46"/>
      <c r="Q313" s="46"/>
      <c r="R313" s="46"/>
      <c r="S313" s="46"/>
      <c r="T313" s="46"/>
      <c r="U313" s="46"/>
      <c r="V313" s="46"/>
      <c r="W313" s="46"/>
      <c r="X313" s="46"/>
      <c r="Y313" s="46"/>
      <c r="Z313" s="46"/>
      <c r="AA313" s="46"/>
      <c r="AB313" s="46"/>
      <c r="AC313" s="46"/>
      <c r="AD313" s="46"/>
      <c r="AE313" s="46"/>
      <c r="AF313" s="46"/>
      <c r="AG313" s="123"/>
      <c r="AH313" s="123"/>
      <c r="AI313" s="123"/>
      <c r="AJ313" s="123"/>
      <c r="AK313" s="46"/>
      <c r="AL313" s="46"/>
      <c r="AM313" s="46"/>
      <c r="AN313" s="46"/>
      <c r="AO313" s="46"/>
    </row>
    <row r="314">
      <c r="A314" s="17"/>
      <c r="B314" s="46"/>
      <c r="C314" s="46"/>
      <c r="D314" s="46"/>
      <c r="E314" s="17"/>
      <c r="F314" s="46"/>
      <c r="G314" s="46"/>
      <c r="H314" s="46"/>
      <c r="I314" s="17"/>
      <c r="J314" s="46"/>
      <c r="K314" s="46"/>
      <c r="L314" s="46"/>
      <c r="M314" s="17"/>
      <c r="N314" s="46"/>
      <c r="O314" s="46"/>
      <c r="P314" s="46"/>
      <c r="Q314" s="46"/>
      <c r="R314" s="46"/>
      <c r="S314" s="46"/>
      <c r="T314" s="46"/>
      <c r="U314" s="46"/>
      <c r="V314" s="46"/>
      <c r="W314" s="46"/>
      <c r="X314" s="46"/>
      <c r="Y314" s="46"/>
      <c r="Z314" s="46"/>
      <c r="AA314" s="46"/>
      <c r="AB314" s="46"/>
      <c r="AC314" s="46"/>
      <c r="AD314" s="46"/>
      <c r="AE314" s="46"/>
      <c r="AF314" s="46"/>
      <c r="AG314" s="123"/>
      <c r="AH314" s="123"/>
      <c r="AI314" s="123"/>
      <c r="AJ314" s="123"/>
      <c r="AK314" s="46"/>
      <c r="AL314" s="46"/>
      <c r="AM314" s="46"/>
      <c r="AN314" s="46"/>
      <c r="AO314" s="46"/>
    </row>
    <row r="315">
      <c r="A315" s="17"/>
      <c r="B315" s="46"/>
      <c r="C315" s="46"/>
      <c r="D315" s="46"/>
      <c r="E315" s="17"/>
      <c r="F315" s="46"/>
      <c r="G315" s="46"/>
      <c r="H315" s="46"/>
      <c r="I315" s="17"/>
      <c r="J315" s="46"/>
      <c r="K315" s="46"/>
      <c r="L315" s="46"/>
      <c r="M315" s="17"/>
      <c r="N315" s="46"/>
      <c r="O315" s="46"/>
      <c r="P315" s="46"/>
      <c r="Q315" s="46"/>
      <c r="R315" s="46"/>
      <c r="S315" s="46"/>
      <c r="T315" s="46"/>
      <c r="U315" s="46"/>
      <c r="V315" s="46"/>
      <c r="W315" s="46"/>
      <c r="X315" s="46"/>
      <c r="Y315" s="46"/>
      <c r="Z315" s="46"/>
      <c r="AA315" s="46"/>
      <c r="AB315" s="46"/>
      <c r="AC315" s="46"/>
      <c r="AD315" s="46"/>
      <c r="AE315" s="46"/>
      <c r="AF315" s="46"/>
      <c r="AG315" s="123"/>
      <c r="AH315" s="123"/>
      <c r="AI315" s="123"/>
      <c r="AJ315" s="123"/>
      <c r="AK315" s="46"/>
      <c r="AL315" s="46"/>
      <c r="AM315" s="46"/>
      <c r="AN315" s="46"/>
      <c r="AO315" s="46"/>
    </row>
    <row r="316">
      <c r="A316" s="17"/>
      <c r="B316" s="46"/>
      <c r="C316" s="46"/>
      <c r="D316" s="46"/>
      <c r="E316" s="17"/>
      <c r="F316" s="46"/>
      <c r="G316" s="46"/>
      <c r="H316" s="46"/>
      <c r="I316" s="17"/>
      <c r="J316" s="46"/>
      <c r="K316" s="46"/>
      <c r="L316" s="46"/>
      <c r="M316" s="17"/>
      <c r="N316" s="46"/>
      <c r="O316" s="46"/>
      <c r="P316" s="46"/>
      <c r="Q316" s="46"/>
      <c r="R316" s="46"/>
      <c r="S316" s="46"/>
      <c r="T316" s="46"/>
      <c r="U316" s="46"/>
      <c r="V316" s="46"/>
      <c r="W316" s="46"/>
      <c r="X316" s="46"/>
      <c r="Y316" s="46"/>
      <c r="Z316" s="46"/>
      <c r="AA316" s="46"/>
      <c r="AB316" s="46"/>
      <c r="AC316" s="46"/>
      <c r="AD316" s="46"/>
      <c r="AE316" s="46"/>
      <c r="AF316" s="46"/>
      <c r="AG316" s="123"/>
      <c r="AH316" s="123"/>
      <c r="AI316" s="123"/>
      <c r="AJ316" s="123"/>
      <c r="AK316" s="46"/>
      <c r="AL316" s="46"/>
      <c r="AM316" s="46"/>
      <c r="AN316" s="46"/>
      <c r="AO316" s="46"/>
    </row>
    <row r="317">
      <c r="A317" s="17"/>
      <c r="B317" s="46"/>
      <c r="C317" s="46"/>
      <c r="D317" s="46"/>
      <c r="E317" s="17"/>
      <c r="F317" s="46"/>
      <c r="G317" s="46"/>
      <c r="H317" s="46"/>
      <c r="I317" s="17"/>
      <c r="J317" s="46"/>
      <c r="K317" s="46"/>
      <c r="L317" s="46"/>
      <c r="M317" s="17"/>
      <c r="N317" s="46"/>
      <c r="O317" s="46"/>
      <c r="P317" s="46"/>
      <c r="Q317" s="46"/>
      <c r="R317" s="46"/>
      <c r="S317" s="46"/>
      <c r="T317" s="46"/>
      <c r="U317" s="46"/>
      <c r="V317" s="46"/>
      <c r="W317" s="46"/>
      <c r="X317" s="46"/>
      <c r="Y317" s="46"/>
      <c r="Z317" s="46"/>
      <c r="AA317" s="46"/>
      <c r="AB317" s="46"/>
      <c r="AC317" s="46"/>
      <c r="AD317" s="46"/>
      <c r="AE317" s="46"/>
      <c r="AF317" s="46"/>
      <c r="AG317" s="123"/>
      <c r="AH317" s="123"/>
      <c r="AI317" s="123"/>
      <c r="AJ317" s="123"/>
      <c r="AK317" s="46"/>
      <c r="AL317" s="46"/>
      <c r="AM317" s="46"/>
      <c r="AN317" s="46"/>
      <c r="AO317" s="46"/>
    </row>
    <row r="318">
      <c r="A318" s="17"/>
      <c r="B318" s="46"/>
      <c r="C318" s="46"/>
      <c r="D318" s="46"/>
      <c r="E318" s="17"/>
      <c r="F318" s="46"/>
      <c r="G318" s="46"/>
      <c r="H318" s="46"/>
      <c r="I318" s="17"/>
      <c r="J318" s="46"/>
      <c r="K318" s="46"/>
      <c r="L318" s="46"/>
      <c r="M318" s="17"/>
      <c r="N318" s="46"/>
      <c r="O318" s="46"/>
      <c r="P318" s="46"/>
      <c r="Q318" s="46"/>
      <c r="R318" s="46"/>
      <c r="S318" s="46"/>
      <c r="T318" s="46"/>
      <c r="U318" s="46"/>
      <c r="V318" s="46"/>
      <c r="W318" s="46"/>
      <c r="X318" s="46"/>
      <c r="Y318" s="46"/>
      <c r="Z318" s="46"/>
      <c r="AA318" s="46"/>
      <c r="AB318" s="46"/>
      <c r="AC318" s="46"/>
      <c r="AD318" s="46"/>
      <c r="AE318" s="46"/>
      <c r="AF318" s="46"/>
      <c r="AG318" s="123"/>
      <c r="AH318" s="123"/>
      <c r="AI318" s="123"/>
      <c r="AJ318" s="123"/>
      <c r="AK318" s="46"/>
      <c r="AL318" s="46"/>
      <c r="AM318" s="46"/>
      <c r="AN318" s="46"/>
      <c r="AO318" s="46"/>
    </row>
    <row r="319">
      <c r="A319" s="17"/>
      <c r="B319" s="46"/>
      <c r="C319" s="46"/>
      <c r="D319" s="46"/>
      <c r="E319" s="17"/>
      <c r="F319" s="46"/>
      <c r="G319" s="46"/>
      <c r="H319" s="46"/>
      <c r="I319" s="17"/>
      <c r="J319" s="46"/>
      <c r="K319" s="46"/>
      <c r="L319" s="46"/>
      <c r="M319" s="17"/>
      <c r="N319" s="46"/>
      <c r="O319" s="46"/>
      <c r="P319" s="46"/>
      <c r="Q319" s="46"/>
      <c r="R319" s="46"/>
      <c r="S319" s="46"/>
      <c r="T319" s="46"/>
      <c r="U319" s="46"/>
      <c r="V319" s="46"/>
      <c r="W319" s="46"/>
      <c r="X319" s="46"/>
      <c r="Y319" s="46"/>
      <c r="Z319" s="46"/>
      <c r="AA319" s="46"/>
      <c r="AB319" s="46"/>
      <c r="AC319" s="46"/>
      <c r="AD319" s="46"/>
      <c r="AE319" s="46"/>
      <c r="AF319" s="46"/>
      <c r="AG319" s="123"/>
      <c r="AH319" s="123"/>
      <c r="AI319" s="123"/>
      <c r="AJ319" s="123"/>
      <c r="AK319" s="46"/>
      <c r="AL319" s="46"/>
      <c r="AM319" s="46"/>
      <c r="AN319" s="46"/>
      <c r="AO319" s="46"/>
    </row>
    <row r="320">
      <c r="A320" s="17"/>
      <c r="B320" s="46"/>
      <c r="C320" s="46"/>
      <c r="D320" s="46"/>
      <c r="E320" s="17"/>
      <c r="F320" s="46"/>
      <c r="G320" s="46"/>
      <c r="H320" s="46"/>
      <c r="I320" s="17"/>
      <c r="J320" s="46"/>
      <c r="K320" s="46"/>
      <c r="L320" s="46"/>
      <c r="M320" s="17"/>
      <c r="N320" s="46"/>
      <c r="O320" s="46"/>
      <c r="P320" s="46"/>
      <c r="Q320" s="46"/>
      <c r="R320" s="46"/>
      <c r="S320" s="46"/>
      <c r="T320" s="46"/>
      <c r="U320" s="46"/>
      <c r="V320" s="46"/>
      <c r="W320" s="46"/>
      <c r="X320" s="46"/>
      <c r="Y320" s="46"/>
      <c r="Z320" s="46"/>
      <c r="AA320" s="46"/>
      <c r="AB320" s="46"/>
      <c r="AC320" s="46"/>
      <c r="AD320" s="46"/>
      <c r="AE320" s="46"/>
      <c r="AF320" s="46"/>
      <c r="AG320" s="123"/>
      <c r="AH320" s="123"/>
      <c r="AI320" s="123"/>
      <c r="AJ320" s="123"/>
      <c r="AK320" s="46"/>
      <c r="AL320" s="46"/>
      <c r="AM320" s="46"/>
      <c r="AN320" s="46"/>
      <c r="AO320" s="46"/>
    </row>
    <row r="321">
      <c r="A321" s="17"/>
      <c r="B321" s="46"/>
      <c r="C321" s="46"/>
      <c r="D321" s="46"/>
      <c r="E321" s="17"/>
      <c r="F321" s="46"/>
      <c r="G321" s="46"/>
      <c r="H321" s="46"/>
      <c r="I321" s="17"/>
      <c r="J321" s="46"/>
      <c r="K321" s="46"/>
      <c r="L321" s="46"/>
      <c r="M321" s="17"/>
      <c r="N321" s="46"/>
      <c r="O321" s="46"/>
      <c r="P321" s="46"/>
      <c r="Q321" s="46"/>
      <c r="R321" s="46"/>
      <c r="S321" s="46"/>
      <c r="T321" s="46"/>
      <c r="U321" s="46"/>
      <c r="V321" s="46"/>
      <c r="W321" s="46"/>
      <c r="X321" s="46"/>
      <c r="Y321" s="46"/>
      <c r="Z321" s="46"/>
      <c r="AA321" s="46"/>
      <c r="AB321" s="46"/>
      <c r="AC321" s="46"/>
      <c r="AD321" s="46"/>
      <c r="AE321" s="46"/>
      <c r="AF321" s="46"/>
      <c r="AG321" s="123"/>
      <c r="AH321" s="123"/>
      <c r="AI321" s="123"/>
      <c r="AJ321" s="123"/>
      <c r="AK321" s="46"/>
      <c r="AL321" s="46"/>
      <c r="AM321" s="46"/>
      <c r="AN321" s="46"/>
      <c r="AO321" s="46"/>
    </row>
    <row r="322">
      <c r="A322" s="17"/>
      <c r="B322" s="46"/>
      <c r="C322" s="46"/>
      <c r="D322" s="46"/>
      <c r="E322" s="17"/>
      <c r="F322" s="46"/>
      <c r="G322" s="46"/>
      <c r="H322" s="46"/>
      <c r="I322" s="17"/>
      <c r="J322" s="46"/>
      <c r="K322" s="46"/>
      <c r="L322" s="46"/>
      <c r="M322" s="17"/>
      <c r="N322" s="46"/>
      <c r="O322" s="46"/>
      <c r="P322" s="46"/>
      <c r="Q322" s="46"/>
      <c r="R322" s="46"/>
      <c r="S322" s="46"/>
      <c r="T322" s="46"/>
      <c r="U322" s="46"/>
      <c r="V322" s="46"/>
      <c r="W322" s="46"/>
      <c r="X322" s="46"/>
      <c r="Y322" s="46"/>
      <c r="Z322" s="46"/>
      <c r="AA322" s="46"/>
      <c r="AB322" s="46"/>
      <c r="AC322" s="46"/>
      <c r="AD322" s="46"/>
      <c r="AE322" s="46"/>
      <c r="AF322" s="46"/>
      <c r="AG322" s="123"/>
      <c r="AH322" s="123"/>
      <c r="AI322" s="123"/>
      <c r="AJ322" s="123"/>
      <c r="AK322" s="46"/>
      <c r="AL322" s="46"/>
      <c r="AM322" s="46"/>
      <c r="AN322" s="46"/>
      <c r="AO322" s="46"/>
    </row>
    <row r="323">
      <c r="A323" s="17"/>
      <c r="B323" s="46"/>
      <c r="C323" s="46"/>
      <c r="D323" s="46"/>
      <c r="E323" s="17"/>
      <c r="F323" s="46"/>
      <c r="G323" s="46"/>
      <c r="H323" s="46"/>
      <c r="I323" s="17"/>
      <c r="J323" s="46"/>
      <c r="K323" s="46"/>
      <c r="L323" s="46"/>
      <c r="M323" s="17"/>
      <c r="N323" s="46"/>
      <c r="O323" s="46"/>
      <c r="P323" s="46"/>
      <c r="Q323" s="46"/>
      <c r="R323" s="46"/>
      <c r="S323" s="46"/>
      <c r="T323" s="46"/>
      <c r="U323" s="46"/>
      <c r="V323" s="46"/>
      <c r="W323" s="46"/>
      <c r="X323" s="46"/>
      <c r="Y323" s="46"/>
      <c r="Z323" s="46"/>
      <c r="AA323" s="46"/>
      <c r="AB323" s="46"/>
      <c r="AC323" s="46"/>
      <c r="AD323" s="46"/>
      <c r="AE323" s="46"/>
      <c r="AF323" s="46"/>
      <c r="AG323" s="123"/>
      <c r="AH323" s="123"/>
      <c r="AI323" s="123"/>
      <c r="AJ323" s="123"/>
      <c r="AK323" s="46"/>
      <c r="AL323" s="46"/>
      <c r="AM323" s="46"/>
      <c r="AN323" s="46"/>
      <c r="AO323" s="46"/>
    </row>
    <row r="324">
      <c r="A324" s="17"/>
      <c r="B324" s="46"/>
      <c r="C324" s="46"/>
      <c r="D324" s="46"/>
      <c r="E324" s="17"/>
      <c r="F324" s="46"/>
      <c r="G324" s="46"/>
      <c r="H324" s="46"/>
      <c r="I324" s="17"/>
      <c r="J324" s="46"/>
      <c r="K324" s="46"/>
      <c r="L324" s="46"/>
      <c r="M324" s="17"/>
      <c r="N324" s="46"/>
      <c r="O324" s="46"/>
      <c r="P324" s="46"/>
      <c r="Q324" s="46"/>
      <c r="R324" s="46"/>
      <c r="S324" s="46"/>
      <c r="T324" s="46"/>
      <c r="U324" s="46"/>
      <c r="V324" s="46"/>
      <c r="W324" s="46"/>
      <c r="X324" s="46"/>
      <c r="Y324" s="46"/>
      <c r="Z324" s="46"/>
      <c r="AA324" s="46"/>
      <c r="AB324" s="46"/>
      <c r="AC324" s="46"/>
      <c r="AD324" s="46"/>
      <c r="AE324" s="46"/>
      <c r="AF324" s="46"/>
      <c r="AG324" s="123"/>
      <c r="AH324" s="123"/>
      <c r="AI324" s="123"/>
      <c r="AJ324" s="123"/>
      <c r="AK324" s="46"/>
      <c r="AL324" s="46"/>
      <c r="AM324" s="46"/>
      <c r="AN324" s="46"/>
      <c r="AO324" s="46"/>
    </row>
    <row r="325">
      <c r="A325" s="17"/>
      <c r="B325" s="46"/>
      <c r="C325" s="46"/>
      <c r="D325" s="46"/>
      <c r="E325" s="17"/>
      <c r="F325" s="46"/>
      <c r="G325" s="46"/>
      <c r="H325" s="46"/>
      <c r="I325" s="17"/>
      <c r="J325" s="46"/>
      <c r="K325" s="46"/>
      <c r="L325" s="46"/>
      <c r="M325" s="17"/>
      <c r="N325" s="46"/>
      <c r="O325" s="46"/>
      <c r="P325" s="46"/>
      <c r="Q325" s="46"/>
      <c r="R325" s="46"/>
      <c r="S325" s="46"/>
      <c r="T325" s="46"/>
      <c r="U325" s="46"/>
      <c r="V325" s="46"/>
      <c r="W325" s="46"/>
      <c r="X325" s="46"/>
      <c r="Y325" s="46"/>
      <c r="Z325" s="46"/>
      <c r="AA325" s="46"/>
      <c r="AB325" s="46"/>
      <c r="AC325" s="46"/>
      <c r="AD325" s="46"/>
      <c r="AE325" s="46"/>
      <c r="AF325" s="46"/>
      <c r="AG325" s="123"/>
      <c r="AH325" s="123"/>
      <c r="AI325" s="123"/>
      <c r="AJ325" s="123"/>
      <c r="AK325" s="46"/>
      <c r="AL325" s="46"/>
      <c r="AM325" s="46"/>
      <c r="AN325" s="46"/>
      <c r="AO325" s="46"/>
    </row>
    <row r="326">
      <c r="A326" s="17"/>
      <c r="B326" s="46"/>
      <c r="C326" s="46"/>
      <c r="D326" s="46"/>
      <c r="E326" s="17"/>
      <c r="F326" s="46"/>
      <c r="G326" s="46"/>
      <c r="H326" s="46"/>
      <c r="I326" s="17"/>
      <c r="J326" s="46"/>
      <c r="K326" s="46"/>
      <c r="L326" s="46"/>
      <c r="M326" s="17"/>
      <c r="N326" s="46"/>
      <c r="O326" s="46"/>
      <c r="P326" s="46"/>
      <c r="Q326" s="46"/>
      <c r="R326" s="46"/>
      <c r="S326" s="46"/>
      <c r="T326" s="46"/>
      <c r="U326" s="46"/>
      <c r="V326" s="46"/>
      <c r="W326" s="46"/>
      <c r="X326" s="46"/>
      <c r="Y326" s="46"/>
      <c r="Z326" s="46"/>
      <c r="AA326" s="46"/>
      <c r="AB326" s="46"/>
      <c r="AC326" s="46"/>
      <c r="AD326" s="46"/>
      <c r="AE326" s="46"/>
      <c r="AF326" s="46"/>
      <c r="AG326" s="123"/>
      <c r="AH326" s="123"/>
      <c r="AI326" s="123"/>
      <c r="AJ326" s="123"/>
      <c r="AK326" s="46"/>
      <c r="AL326" s="46"/>
      <c r="AM326" s="46"/>
      <c r="AN326" s="46"/>
      <c r="AO326" s="46"/>
    </row>
    <row r="327">
      <c r="A327" s="17"/>
      <c r="B327" s="46"/>
      <c r="C327" s="46"/>
      <c r="D327" s="46"/>
      <c r="E327" s="17"/>
      <c r="F327" s="46"/>
      <c r="G327" s="46"/>
      <c r="H327" s="46"/>
      <c r="I327" s="17"/>
      <c r="J327" s="46"/>
      <c r="K327" s="46"/>
      <c r="L327" s="46"/>
      <c r="M327" s="17"/>
      <c r="N327" s="46"/>
      <c r="O327" s="46"/>
      <c r="P327" s="46"/>
      <c r="Q327" s="46"/>
      <c r="R327" s="46"/>
      <c r="S327" s="46"/>
      <c r="T327" s="46"/>
      <c r="U327" s="46"/>
      <c r="V327" s="46"/>
      <c r="W327" s="46"/>
      <c r="X327" s="46"/>
      <c r="Y327" s="46"/>
      <c r="Z327" s="46"/>
      <c r="AA327" s="46"/>
      <c r="AB327" s="46"/>
      <c r="AC327" s="46"/>
      <c r="AD327" s="46"/>
      <c r="AE327" s="46"/>
      <c r="AF327" s="46"/>
      <c r="AG327" s="123"/>
      <c r="AH327" s="123"/>
      <c r="AI327" s="123"/>
      <c r="AJ327" s="123"/>
      <c r="AK327" s="46"/>
      <c r="AL327" s="46"/>
      <c r="AM327" s="46"/>
      <c r="AN327" s="46"/>
      <c r="AO327" s="46"/>
    </row>
    <row r="328">
      <c r="A328" s="17"/>
      <c r="B328" s="46"/>
      <c r="C328" s="46"/>
      <c r="D328" s="46"/>
      <c r="E328" s="17"/>
      <c r="F328" s="46"/>
      <c r="G328" s="46"/>
      <c r="H328" s="46"/>
      <c r="I328" s="17"/>
      <c r="J328" s="46"/>
      <c r="K328" s="46"/>
      <c r="L328" s="46"/>
      <c r="M328" s="17"/>
      <c r="N328" s="46"/>
      <c r="O328" s="46"/>
      <c r="P328" s="46"/>
      <c r="Q328" s="46"/>
      <c r="R328" s="46"/>
      <c r="S328" s="46"/>
      <c r="T328" s="46"/>
      <c r="U328" s="46"/>
      <c r="V328" s="46"/>
      <c r="W328" s="46"/>
      <c r="X328" s="46"/>
      <c r="Y328" s="46"/>
      <c r="Z328" s="46"/>
      <c r="AA328" s="46"/>
      <c r="AB328" s="46"/>
      <c r="AC328" s="46"/>
      <c r="AD328" s="46"/>
      <c r="AE328" s="46"/>
      <c r="AF328" s="46"/>
      <c r="AG328" s="123"/>
      <c r="AH328" s="123"/>
      <c r="AI328" s="123"/>
      <c r="AJ328" s="123"/>
      <c r="AK328" s="46"/>
      <c r="AL328" s="46"/>
      <c r="AM328" s="46"/>
      <c r="AN328" s="46"/>
      <c r="AO328" s="46"/>
    </row>
    <row r="329">
      <c r="A329" s="17"/>
      <c r="B329" s="46"/>
      <c r="C329" s="46"/>
      <c r="D329" s="46"/>
      <c r="E329" s="17"/>
      <c r="F329" s="46"/>
      <c r="G329" s="46"/>
      <c r="H329" s="46"/>
      <c r="I329" s="17"/>
      <c r="J329" s="46"/>
      <c r="K329" s="46"/>
      <c r="L329" s="46"/>
      <c r="M329" s="17"/>
      <c r="N329" s="46"/>
      <c r="O329" s="46"/>
      <c r="P329" s="46"/>
      <c r="Q329" s="46"/>
      <c r="R329" s="46"/>
      <c r="S329" s="46"/>
      <c r="T329" s="46"/>
      <c r="U329" s="46"/>
      <c r="V329" s="46"/>
      <c r="W329" s="46"/>
      <c r="X329" s="46"/>
      <c r="Y329" s="46"/>
      <c r="Z329" s="46"/>
      <c r="AA329" s="46"/>
      <c r="AB329" s="46"/>
      <c r="AC329" s="46"/>
      <c r="AD329" s="46"/>
      <c r="AE329" s="46"/>
      <c r="AF329" s="46"/>
      <c r="AG329" s="123"/>
      <c r="AH329" s="123"/>
      <c r="AI329" s="123"/>
      <c r="AJ329" s="123"/>
      <c r="AK329" s="46"/>
      <c r="AL329" s="46"/>
      <c r="AM329" s="46"/>
      <c r="AN329" s="46"/>
      <c r="AO329" s="46"/>
    </row>
    <row r="330">
      <c r="A330" s="17"/>
      <c r="B330" s="46"/>
      <c r="C330" s="46"/>
      <c r="D330" s="46"/>
      <c r="E330" s="17"/>
      <c r="F330" s="46"/>
      <c r="G330" s="46"/>
      <c r="H330" s="46"/>
      <c r="I330" s="17"/>
      <c r="J330" s="46"/>
      <c r="K330" s="46"/>
      <c r="L330" s="46"/>
      <c r="M330" s="17"/>
      <c r="N330" s="46"/>
      <c r="O330" s="46"/>
      <c r="P330" s="46"/>
      <c r="Q330" s="46"/>
      <c r="R330" s="46"/>
      <c r="S330" s="46"/>
      <c r="T330" s="46"/>
      <c r="U330" s="46"/>
      <c r="V330" s="46"/>
      <c r="W330" s="46"/>
      <c r="X330" s="46"/>
      <c r="Y330" s="46"/>
      <c r="Z330" s="46"/>
      <c r="AA330" s="46"/>
      <c r="AB330" s="46"/>
      <c r="AC330" s="46"/>
      <c r="AD330" s="46"/>
      <c r="AE330" s="46"/>
      <c r="AF330" s="46"/>
      <c r="AG330" s="123"/>
      <c r="AH330" s="123"/>
      <c r="AI330" s="123"/>
      <c r="AJ330" s="123"/>
      <c r="AK330" s="46"/>
      <c r="AL330" s="46"/>
      <c r="AM330" s="46"/>
      <c r="AN330" s="46"/>
      <c r="AO330" s="46"/>
    </row>
    <row r="331">
      <c r="A331" s="17"/>
      <c r="B331" s="46"/>
      <c r="C331" s="46"/>
      <c r="D331" s="46"/>
      <c r="E331" s="17"/>
      <c r="F331" s="46"/>
      <c r="G331" s="46"/>
      <c r="H331" s="46"/>
      <c r="I331" s="17"/>
      <c r="J331" s="46"/>
      <c r="K331" s="46"/>
      <c r="L331" s="46"/>
      <c r="M331" s="17"/>
      <c r="N331" s="46"/>
      <c r="O331" s="46"/>
      <c r="P331" s="46"/>
      <c r="Q331" s="46"/>
      <c r="R331" s="46"/>
      <c r="S331" s="46"/>
      <c r="T331" s="46"/>
      <c r="U331" s="46"/>
      <c r="V331" s="46"/>
      <c r="W331" s="46"/>
      <c r="X331" s="46"/>
      <c r="Y331" s="46"/>
      <c r="Z331" s="46"/>
      <c r="AA331" s="46"/>
      <c r="AB331" s="46"/>
      <c r="AC331" s="46"/>
      <c r="AD331" s="46"/>
      <c r="AE331" s="46"/>
      <c r="AF331" s="46"/>
      <c r="AG331" s="123"/>
      <c r="AH331" s="123"/>
      <c r="AI331" s="123"/>
      <c r="AJ331" s="123"/>
      <c r="AK331" s="46"/>
      <c r="AL331" s="46"/>
      <c r="AM331" s="46"/>
      <c r="AN331" s="46"/>
      <c r="AO331" s="46"/>
    </row>
    <row r="332">
      <c r="A332" s="17"/>
      <c r="B332" s="46"/>
      <c r="C332" s="46"/>
      <c r="D332" s="46"/>
      <c r="E332" s="17"/>
      <c r="F332" s="46"/>
      <c r="G332" s="46"/>
      <c r="H332" s="46"/>
      <c r="I332" s="17"/>
      <c r="J332" s="46"/>
      <c r="K332" s="46"/>
      <c r="L332" s="46"/>
      <c r="M332" s="17"/>
      <c r="N332" s="46"/>
      <c r="O332" s="46"/>
      <c r="P332" s="46"/>
      <c r="Q332" s="46"/>
      <c r="R332" s="46"/>
      <c r="S332" s="46"/>
      <c r="T332" s="46"/>
      <c r="U332" s="46"/>
      <c r="V332" s="46"/>
      <c r="W332" s="46"/>
      <c r="X332" s="46"/>
      <c r="Y332" s="46"/>
      <c r="Z332" s="46"/>
      <c r="AA332" s="46"/>
      <c r="AB332" s="46"/>
      <c r="AC332" s="46"/>
      <c r="AD332" s="46"/>
      <c r="AE332" s="46"/>
      <c r="AF332" s="46"/>
      <c r="AG332" s="123"/>
      <c r="AH332" s="123"/>
      <c r="AI332" s="123"/>
      <c r="AJ332" s="123"/>
      <c r="AK332" s="46"/>
      <c r="AL332" s="46"/>
      <c r="AM332" s="46"/>
      <c r="AN332" s="46"/>
      <c r="AO332" s="46"/>
    </row>
    <row r="333">
      <c r="A333" s="17"/>
      <c r="B333" s="46"/>
      <c r="C333" s="46"/>
      <c r="D333" s="46"/>
      <c r="E333" s="17"/>
      <c r="F333" s="46"/>
      <c r="G333" s="46"/>
      <c r="H333" s="46"/>
      <c r="I333" s="17"/>
      <c r="J333" s="46"/>
      <c r="K333" s="46"/>
      <c r="L333" s="46"/>
      <c r="M333" s="17"/>
      <c r="N333" s="46"/>
      <c r="O333" s="46"/>
      <c r="P333" s="46"/>
      <c r="Q333" s="46"/>
      <c r="R333" s="46"/>
      <c r="S333" s="46"/>
      <c r="T333" s="46"/>
      <c r="U333" s="46"/>
      <c r="V333" s="46"/>
      <c r="W333" s="46"/>
      <c r="X333" s="46"/>
      <c r="Y333" s="46"/>
      <c r="Z333" s="46"/>
      <c r="AA333" s="46"/>
      <c r="AB333" s="46"/>
      <c r="AC333" s="46"/>
      <c r="AD333" s="46"/>
      <c r="AE333" s="46"/>
      <c r="AF333" s="46"/>
      <c r="AG333" s="123"/>
      <c r="AH333" s="123"/>
      <c r="AI333" s="123"/>
      <c r="AJ333" s="123"/>
      <c r="AK333" s="46"/>
      <c r="AL333" s="46"/>
      <c r="AM333" s="46"/>
      <c r="AN333" s="46"/>
      <c r="AO333" s="46"/>
    </row>
    <row r="334">
      <c r="A334" s="17"/>
      <c r="B334" s="46"/>
      <c r="C334" s="46"/>
      <c r="D334" s="46"/>
      <c r="E334" s="17"/>
      <c r="F334" s="46"/>
      <c r="G334" s="46"/>
      <c r="H334" s="46"/>
      <c r="I334" s="17"/>
      <c r="J334" s="46"/>
      <c r="K334" s="46"/>
      <c r="L334" s="46"/>
      <c r="M334" s="17"/>
      <c r="N334" s="46"/>
      <c r="O334" s="46"/>
      <c r="P334" s="46"/>
      <c r="Q334" s="46"/>
      <c r="R334" s="46"/>
      <c r="S334" s="46"/>
      <c r="T334" s="46"/>
      <c r="U334" s="46"/>
      <c r="V334" s="46"/>
      <c r="W334" s="46"/>
      <c r="X334" s="46"/>
      <c r="Y334" s="46"/>
      <c r="Z334" s="46"/>
      <c r="AA334" s="46"/>
      <c r="AB334" s="46"/>
      <c r="AC334" s="46"/>
      <c r="AD334" s="46"/>
      <c r="AE334" s="46"/>
      <c r="AF334" s="46"/>
      <c r="AG334" s="123"/>
      <c r="AH334" s="123"/>
      <c r="AI334" s="123"/>
      <c r="AJ334" s="123"/>
      <c r="AK334" s="46"/>
      <c r="AL334" s="46"/>
      <c r="AM334" s="46"/>
      <c r="AN334" s="46"/>
      <c r="AO334" s="46"/>
    </row>
    <row r="335">
      <c r="A335" s="17"/>
      <c r="B335" s="46"/>
      <c r="C335" s="46"/>
      <c r="D335" s="46"/>
      <c r="E335" s="17"/>
      <c r="F335" s="46"/>
      <c r="G335" s="46"/>
      <c r="H335" s="46"/>
      <c r="I335" s="17"/>
      <c r="J335" s="46"/>
      <c r="K335" s="46"/>
      <c r="L335" s="46"/>
      <c r="M335" s="17"/>
      <c r="N335" s="46"/>
      <c r="O335" s="46"/>
      <c r="P335" s="46"/>
      <c r="Q335" s="46"/>
      <c r="R335" s="46"/>
      <c r="S335" s="46"/>
      <c r="T335" s="46"/>
      <c r="U335" s="46"/>
      <c r="V335" s="46"/>
      <c r="W335" s="46"/>
      <c r="X335" s="46"/>
      <c r="Y335" s="46"/>
      <c r="Z335" s="46"/>
      <c r="AA335" s="46"/>
      <c r="AB335" s="46"/>
      <c r="AC335" s="46"/>
      <c r="AD335" s="46"/>
      <c r="AE335" s="46"/>
      <c r="AF335" s="46"/>
      <c r="AG335" s="123"/>
      <c r="AH335" s="123"/>
      <c r="AI335" s="123"/>
      <c r="AJ335" s="123"/>
      <c r="AK335" s="46"/>
      <c r="AL335" s="46"/>
      <c r="AM335" s="46"/>
      <c r="AN335" s="46"/>
      <c r="AO335" s="46"/>
    </row>
    <row r="336">
      <c r="A336" s="17"/>
      <c r="B336" s="46"/>
      <c r="C336" s="46"/>
      <c r="D336" s="46"/>
      <c r="E336" s="17"/>
      <c r="F336" s="46"/>
      <c r="G336" s="46"/>
      <c r="H336" s="46"/>
      <c r="I336" s="17"/>
      <c r="J336" s="46"/>
      <c r="K336" s="46"/>
      <c r="L336" s="46"/>
      <c r="M336" s="17"/>
      <c r="N336" s="46"/>
      <c r="O336" s="46"/>
      <c r="P336" s="46"/>
      <c r="Q336" s="46"/>
      <c r="R336" s="46"/>
      <c r="S336" s="46"/>
      <c r="T336" s="46"/>
      <c r="U336" s="46"/>
      <c r="V336" s="46"/>
      <c r="W336" s="46"/>
      <c r="X336" s="46"/>
      <c r="Y336" s="46"/>
      <c r="Z336" s="46"/>
      <c r="AA336" s="46"/>
      <c r="AB336" s="46"/>
      <c r="AC336" s="46"/>
      <c r="AD336" s="46"/>
      <c r="AE336" s="46"/>
      <c r="AF336" s="46"/>
      <c r="AG336" s="123"/>
      <c r="AH336" s="123"/>
      <c r="AI336" s="123"/>
      <c r="AJ336" s="123"/>
      <c r="AK336" s="46"/>
      <c r="AL336" s="46"/>
      <c r="AM336" s="46"/>
      <c r="AN336" s="46"/>
      <c r="AO336" s="46"/>
    </row>
    <row r="337">
      <c r="A337" s="17"/>
      <c r="B337" s="46"/>
      <c r="C337" s="46"/>
      <c r="D337" s="46"/>
      <c r="E337" s="17"/>
      <c r="F337" s="46"/>
      <c r="G337" s="46"/>
      <c r="H337" s="46"/>
      <c r="I337" s="17"/>
      <c r="J337" s="46"/>
      <c r="K337" s="46"/>
      <c r="L337" s="46"/>
      <c r="M337" s="17"/>
      <c r="N337" s="46"/>
      <c r="O337" s="46"/>
      <c r="P337" s="46"/>
      <c r="Q337" s="46"/>
      <c r="R337" s="46"/>
      <c r="S337" s="46"/>
      <c r="T337" s="46"/>
      <c r="U337" s="46"/>
      <c r="V337" s="46"/>
      <c r="W337" s="46"/>
      <c r="X337" s="46"/>
      <c r="Y337" s="46"/>
      <c r="Z337" s="46"/>
      <c r="AA337" s="46"/>
      <c r="AB337" s="46"/>
      <c r="AC337" s="46"/>
      <c r="AD337" s="46"/>
      <c r="AE337" s="46"/>
      <c r="AF337" s="46"/>
      <c r="AG337" s="123"/>
      <c r="AH337" s="123"/>
      <c r="AI337" s="123"/>
      <c r="AJ337" s="123"/>
      <c r="AK337" s="46"/>
      <c r="AL337" s="46"/>
      <c r="AM337" s="46"/>
      <c r="AN337" s="46"/>
      <c r="AO337" s="46"/>
    </row>
    <row r="338">
      <c r="A338" s="17"/>
      <c r="B338" s="46"/>
      <c r="C338" s="46"/>
      <c r="D338" s="46"/>
      <c r="E338" s="17"/>
      <c r="F338" s="46"/>
      <c r="G338" s="46"/>
      <c r="H338" s="46"/>
      <c r="I338" s="17"/>
      <c r="J338" s="46"/>
      <c r="K338" s="46"/>
      <c r="L338" s="46"/>
      <c r="M338" s="17"/>
      <c r="N338" s="46"/>
      <c r="O338" s="46"/>
      <c r="P338" s="46"/>
      <c r="Q338" s="46"/>
      <c r="R338" s="46"/>
      <c r="S338" s="46"/>
      <c r="T338" s="46"/>
      <c r="U338" s="46"/>
      <c r="V338" s="46"/>
      <c r="W338" s="46"/>
      <c r="X338" s="46"/>
      <c r="Y338" s="46"/>
      <c r="Z338" s="46"/>
      <c r="AA338" s="46"/>
      <c r="AB338" s="46"/>
      <c r="AC338" s="46"/>
      <c r="AD338" s="46"/>
      <c r="AE338" s="46"/>
      <c r="AF338" s="46"/>
      <c r="AG338" s="123"/>
      <c r="AH338" s="123"/>
      <c r="AI338" s="123"/>
      <c r="AJ338" s="123"/>
      <c r="AK338" s="46"/>
      <c r="AL338" s="46"/>
      <c r="AM338" s="46"/>
      <c r="AN338" s="46"/>
      <c r="AO338" s="46"/>
    </row>
    <row r="339">
      <c r="A339" s="17"/>
      <c r="B339" s="46"/>
      <c r="C339" s="46"/>
      <c r="D339" s="46"/>
      <c r="E339" s="17"/>
      <c r="F339" s="46"/>
      <c r="G339" s="46"/>
      <c r="H339" s="46"/>
      <c r="I339" s="17"/>
      <c r="J339" s="46"/>
      <c r="K339" s="46"/>
      <c r="L339" s="46"/>
      <c r="M339" s="17"/>
      <c r="N339" s="46"/>
      <c r="O339" s="46"/>
      <c r="P339" s="46"/>
      <c r="Q339" s="46"/>
      <c r="R339" s="46"/>
      <c r="S339" s="46"/>
      <c r="T339" s="46"/>
      <c r="U339" s="46"/>
      <c r="V339" s="46"/>
      <c r="W339" s="46"/>
      <c r="X339" s="46"/>
      <c r="Y339" s="46"/>
      <c r="Z339" s="46"/>
      <c r="AA339" s="46"/>
      <c r="AB339" s="46"/>
      <c r="AC339" s="46"/>
      <c r="AD339" s="46"/>
      <c r="AE339" s="46"/>
      <c r="AF339" s="46"/>
      <c r="AG339" s="123"/>
      <c r="AH339" s="123"/>
      <c r="AI339" s="123"/>
      <c r="AJ339" s="123"/>
      <c r="AK339" s="46"/>
      <c r="AL339" s="46"/>
      <c r="AM339" s="46"/>
      <c r="AN339" s="46"/>
      <c r="AO339" s="46"/>
    </row>
    <row r="340">
      <c r="A340" s="17"/>
      <c r="B340" s="46"/>
      <c r="C340" s="46"/>
      <c r="D340" s="46"/>
      <c r="E340" s="17"/>
      <c r="F340" s="46"/>
      <c r="G340" s="46"/>
      <c r="H340" s="46"/>
      <c r="I340" s="17"/>
      <c r="J340" s="46"/>
      <c r="K340" s="46"/>
      <c r="L340" s="46"/>
      <c r="M340" s="17"/>
      <c r="N340" s="46"/>
      <c r="O340" s="46"/>
      <c r="P340" s="46"/>
      <c r="Q340" s="46"/>
      <c r="R340" s="46"/>
      <c r="S340" s="46"/>
      <c r="T340" s="46"/>
      <c r="U340" s="46"/>
      <c r="V340" s="46"/>
      <c r="W340" s="46"/>
      <c r="X340" s="46"/>
      <c r="Y340" s="46"/>
      <c r="Z340" s="46"/>
      <c r="AA340" s="46"/>
      <c r="AB340" s="46"/>
      <c r="AC340" s="46"/>
      <c r="AD340" s="46"/>
      <c r="AE340" s="46"/>
      <c r="AF340" s="46"/>
      <c r="AG340" s="123"/>
      <c r="AH340" s="123"/>
      <c r="AI340" s="123"/>
      <c r="AJ340" s="123"/>
      <c r="AK340" s="46"/>
      <c r="AL340" s="46"/>
      <c r="AM340" s="46"/>
      <c r="AN340" s="46"/>
      <c r="AO340" s="46"/>
    </row>
    <row r="341">
      <c r="A341" s="17"/>
      <c r="B341" s="46"/>
      <c r="C341" s="46"/>
      <c r="D341" s="46"/>
      <c r="E341" s="17"/>
      <c r="F341" s="46"/>
      <c r="G341" s="46"/>
      <c r="H341" s="46"/>
      <c r="I341" s="17"/>
      <c r="J341" s="46"/>
      <c r="K341" s="46"/>
      <c r="L341" s="46"/>
      <c r="M341" s="17"/>
      <c r="N341" s="46"/>
      <c r="O341" s="46"/>
      <c r="P341" s="46"/>
      <c r="Q341" s="46"/>
      <c r="R341" s="46"/>
      <c r="S341" s="46"/>
      <c r="T341" s="46"/>
      <c r="U341" s="46"/>
      <c r="V341" s="46"/>
      <c r="W341" s="46"/>
      <c r="X341" s="46"/>
      <c r="Y341" s="46"/>
      <c r="Z341" s="46"/>
      <c r="AA341" s="46"/>
      <c r="AB341" s="46"/>
      <c r="AC341" s="46"/>
      <c r="AD341" s="46"/>
      <c r="AE341" s="46"/>
      <c r="AF341" s="46"/>
      <c r="AG341" s="123"/>
      <c r="AH341" s="123"/>
      <c r="AI341" s="123"/>
      <c r="AJ341" s="123"/>
      <c r="AK341" s="46"/>
      <c r="AL341" s="46"/>
      <c r="AM341" s="46"/>
      <c r="AN341" s="46"/>
      <c r="AO341" s="46"/>
    </row>
    <row r="342">
      <c r="A342" s="17"/>
      <c r="B342" s="46"/>
      <c r="C342" s="46"/>
      <c r="D342" s="46"/>
      <c r="E342" s="17"/>
      <c r="F342" s="46"/>
      <c r="G342" s="46"/>
      <c r="H342" s="46"/>
      <c r="I342" s="17"/>
      <c r="J342" s="46"/>
      <c r="K342" s="46"/>
      <c r="L342" s="46"/>
      <c r="M342" s="17"/>
      <c r="N342" s="46"/>
      <c r="O342" s="46"/>
      <c r="P342" s="46"/>
      <c r="Q342" s="46"/>
      <c r="R342" s="46"/>
      <c r="S342" s="46"/>
      <c r="T342" s="46"/>
      <c r="U342" s="46"/>
      <c r="V342" s="46"/>
      <c r="W342" s="46"/>
      <c r="X342" s="46"/>
      <c r="Y342" s="46"/>
      <c r="Z342" s="46"/>
      <c r="AA342" s="46"/>
      <c r="AB342" s="46"/>
      <c r="AC342" s="46"/>
      <c r="AD342" s="46"/>
      <c r="AE342" s="46"/>
      <c r="AF342" s="46"/>
      <c r="AG342" s="123"/>
      <c r="AH342" s="123"/>
      <c r="AI342" s="123"/>
      <c r="AJ342" s="123"/>
      <c r="AK342" s="46"/>
      <c r="AL342" s="46"/>
      <c r="AM342" s="46"/>
      <c r="AN342" s="46"/>
      <c r="AO342" s="46"/>
    </row>
    <row r="343">
      <c r="A343" s="17"/>
      <c r="B343" s="46"/>
      <c r="C343" s="46"/>
      <c r="D343" s="46"/>
      <c r="E343" s="17"/>
      <c r="F343" s="46"/>
      <c r="G343" s="46"/>
      <c r="H343" s="46"/>
      <c r="I343" s="17"/>
      <c r="J343" s="46"/>
      <c r="K343" s="46"/>
      <c r="L343" s="46"/>
      <c r="M343" s="17"/>
      <c r="N343" s="46"/>
      <c r="O343" s="46"/>
      <c r="P343" s="46"/>
      <c r="Q343" s="46"/>
      <c r="R343" s="46"/>
      <c r="S343" s="46"/>
      <c r="T343" s="46"/>
      <c r="U343" s="46"/>
      <c r="V343" s="46"/>
      <c r="W343" s="46"/>
      <c r="X343" s="46"/>
      <c r="Y343" s="46"/>
      <c r="Z343" s="46"/>
      <c r="AA343" s="46"/>
      <c r="AB343" s="46"/>
      <c r="AC343" s="46"/>
      <c r="AD343" s="46"/>
      <c r="AE343" s="46"/>
      <c r="AF343" s="46"/>
      <c r="AG343" s="123"/>
      <c r="AH343" s="123"/>
      <c r="AI343" s="123"/>
      <c r="AJ343" s="123"/>
      <c r="AK343" s="46"/>
      <c r="AL343" s="46"/>
      <c r="AM343" s="46"/>
      <c r="AN343" s="46"/>
      <c r="AO343" s="46"/>
    </row>
    <row r="344">
      <c r="A344" s="17"/>
      <c r="B344" s="46"/>
      <c r="C344" s="46"/>
      <c r="D344" s="46"/>
      <c r="E344" s="17"/>
      <c r="F344" s="46"/>
      <c r="G344" s="46"/>
      <c r="H344" s="46"/>
      <c r="I344" s="17"/>
      <c r="J344" s="46"/>
      <c r="K344" s="46"/>
      <c r="L344" s="46"/>
      <c r="M344" s="17"/>
      <c r="N344" s="46"/>
      <c r="O344" s="46"/>
      <c r="P344" s="46"/>
      <c r="Q344" s="46"/>
      <c r="R344" s="46"/>
      <c r="S344" s="46"/>
      <c r="T344" s="46"/>
      <c r="U344" s="46"/>
      <c r="V344" s="46"/>
      <c r="W344" s="46"/>
      <c r="X344" s="46"/>
      <c r="Y344" s="46"/>
      <c r="Z344" s="46"/>
      <c r="AA344" s="46"/>
      <c r="AB344" s="46"/>
      <c r="AC344" s="46"/>
      <c r="AD344" s="46"/>
      <c r="AE344" s="46"/>
      <c r="AF344" s="46"/>
      <c r="AG344" s="123"/>
      <c r="AH344" s="123"/>
      <c r="AI344" s="123"/>
      <c r="AJ344" s="123"/>
      <c r="AK344" s="46"/>
      <c r="AL344" s="46"/>
      <c r="AM344" s="46"/>
      <c r="AN344" s="46"/>
      <c r="AO344" s="46"/>
    </row>
    <row r="345">
      <c r="A345" s="17"/>
      <c r="B345" s="46"/>
      <c r="C345" s="46"/>
      <c r="D345" s="46"/>
      <c r="E345" s="17"/>
      <c r="F345" s="46"/>
      <c r="G345" s="46"/>
      <c r="H345" s="46"/>
      <c r="I345" s="17"/>
      <c r="J345" s="46"/>
      <c r="K345" s="46"/>
      <c r="L345" s="46"/>
      <c r="M345" s="17"/>
      <c r="N345" s="46"/>
      <c r="O345" s="46"/>
      <c r="P345" s="46"/>
      <c r="Q345" s="46"/>
      <c r="R345" s="46"/>
      <c r="S345" s="46"/>
      <c r="T345" s="46"/>
      <c r="U345" s="46"/>
      <c r="V345" s="46"/>
      <c r="W345" s="46"/>
      <c r="X345" s="46"/>
      <c r="Y345" s="46"/>
      <c r="Z345" s="46"/>
      <c r="AA345" s="46"/>
      <c r="AB345" s="46"/>
      <c r="AC345" s="46"/>
      <c r="AD345" s="46"/>
      <c r="AE345" s="46"/>
      <c r="AF345" s="46"/>
      <c r="AG345" s="123"/>
      <c r="AH345" s="123"/>
      <c r="AI345" s="123"/>
      <c r="AJ345" s="123"/>
      <c r="AK345" s="46"/>
      <c r="AL345" s="46"/>
      <c r="AM345" s="46"/>
      <c r="AN345" s="46"/>
      <c r="AO345" s="46"/>
    </row>
    <row r="346">
      <c r="A346" s="17"/>
      <c r="B346" s="46"/>
      <c r="C346" s="46"/>
      <c r="D346" s="46"/>
      <c r="E346" s="17"/>
      <c r="F346" s="46"/>
      <c r="G346" s="46"/>
      <c r="H346" s="46"/>
      <c r="I346" s="17"/>
      <c r="J346" s="46"/>
      <c r="K346" s="46"/>
      <c r="L346" s="46"/>
      <c r="M346" s="17"/>
      <c r="N346" s="46"/>
      <c r="O346" s="46"/>
      <c r="P346" s="46"/>
      <c r="Q346" s="46"/>
      <c r="R346" s="46"/>
      <c r="S346" s="46"/>
      <c r="T346" s="46"/>
      <c r="U346" s="46"/>
      <c r="V346" s="46"/>
      <c r="W346" s="46"/>
      <c r="X346" s="46"/>
      <c r="Y346" s="46"/>
      <c r="Z346" s="46"/>
      <c r="AA346" s="46"/>
      <c r="AB346" s="46"/>
      <c r="AC346" s="46"/>
      <c r="AD346" s="46"/>
      <c r="AE346" s="46"/>
      <c r="AF346" s="46"/>
      <c r="AG346" s="123"/>
      <c r="AH346" s="123"/>
      <c r="AI346" s="123"/>
      <c r="AJ346" s="123"/>
      <c r="AK346" s="46"/>
      <c r="AL346" s="46"/>
      <c r="AM346" s="46"/>
      <c r="AN346" s="46"/>
      <c r="AO346" s="46"/>
    </row>
    <row r="347">
      <c r="A347" s="17"/>
      <c r="B347" s="46"/>
      <c r="C347" s="46"/>
      <c r="D347" s="46"/>
      <c r="E347" s="17"/>
      <c r="F347" s="46"/>
      <c r="G347" s="46"/>
      <c r="H347" s="46"/>
      <c r="I347" s="17"/>
      <c r="J347" s="46"/>
      <c r="K347" s="46"/>
      <c r="L347" s="46"/>
      <c r="M347" s="17"/>
      <c r="N347" s="46"/>
      <c r="O347" s="46"/>
      <c r="P347" s="46"/>
      <c r="Q347" s="46"/>
      <c r="R347" s="46"/>
      <c r="S347" s="46"/>
      <c r="T347" s="46"/>
      <c r="U347" s="46"/>
      <c r="V347" s="46"/>
      <c r="W347" s="46"/>
      <c r="X347" s="46"/>
      <c r="Y347" s="46"/>
      <c r="Z347" s="46"/>
      <c r="AA347" s="46"/>
      <c r="AB347" s="46"/>
      <c r="AC347" s="46"/>
      <c r="AD347" s="46"/>
      <c r="AE347" s="46"/>
      <c r="AF347" s="46"/>
      <c r="AG347" s="123"/>
      <c r="AH347" s="123"/>
      <c r="AI347" s="123"/>
      <c r="AJ347" s="123"/>
      <c r="AK347" s="46"/>
      <c r="AL347" s="46"/>
      <c r="AM347" s="46"/>
      <c r="AN347" s="46"/>
      <c r="AO347" s="46"/>
    </row>
    <row r="348">
      <c r="A348" s="17"/>
      <c r="B348" s="46"/>
      <c r="C348" s="46"/>
      <c r="D348" s="46"/>
      <c r="E348" s="17"/>
      <c r="F348" s="46"/>
      <c r="G348" s="46"/>
      <c r="H348" s="46"/>
      <c r="I348" s="17"/>
      <c r="J348" s="46"/>
      <c r="K348" s="46"/>
      <c r="L348" s="46"/>
      <c r="M348" s="17"/>
      <c r="N348" s="46"/>
      <c r="O348" s="46"/>
      <c r="P348" s="46"/>
      <c r="Q348" s="46"/>
      <c r="R348" s="46"/>
      <c r="S348" s="46"/>
      <c r="T348" s="46"/>
      <c r="U348" s="46"/>
      <c r="V348" s="46"/>
      <c r="W348" s="46"/>
      <c r="X348" s="46"/>
      <c r="Y348" s="46"/>
      <c r="Z348" s="46"/>
      <c r="AA348" s="46"/>
      <c r="AB348" s="46"/>
      <c r="AC348" s="46"/>
      <c r="AD348" s="46"/>
      <c r="AE348" s="46"/>
      <c r="AF348" s="46"/>
      <c r="AG348" s="123"/>
      <c r="AH348" s="123"/>
      <c r="AI348" s="123"/>
      <c r="AJ348" s="123"/>
      <c r="AK348" s="46"/>
      <c r="AL348" s="46"/>
      <c r="AM348" s="46"/>
      <c r="AN348" s="46"/>
      <c r="AO348" s="46"/>
    </row>
    <row r="349">
      <c r="A349" s="17"/>
      <c r="B349" s="46"/>
      <c r="C349" s="46"/>
      <c r="D349" s="46"/>
      <c r="E349" s="17"/>
      <c r="F349" s="46"/>
      <c r="G349" s="46"/>
      <c r="H349" s="46"/>
      <c r="I349" s="17"/>
      <c r="J349" s="46"/>
      <c r="K349" s="46"/>
      <c r="L349" s="46"/>
      <c r="M349" s="17"/>
      <c r="N349" s="46"/>
      <c r="O349" s="46"/>
      <c r="P349" s="46"/>
      <c r="Q349" s="46"/>
      <c r="R349" s="46"/>
      <c r="S349" s="46"/>
      <c r="T349" s="46"/>
      <c r="U349" s="46"/>
      <c r="V349" s="46"/>
      <c r="W349" s="46"/>
      <c r="X349" s="46"/>
      <c r="Y349" s="46"/>
      <c r="Z349" s="46"/>
      <c r="AA349" s="46"/>
      <c r="AB349" s="46"/>
      <c r="AC349" s="46"/>
      <c r="AD349" s="46"/>
      <c r="AE349" s="46"/>
      <c r="AF349" s="46"/>
      <c r="AG349" s="123"/>
      <c r="AH349" s="123"/>
      <c r="AI349" s="123"/>
      <c r="AJ349" s="123"/>
      <c r="AK349" s="46"/>
      <c r="AL349" s="46"/>
      <c r="AM349" s="46"/>
      <c r="AN349" s="46"/>
      <c r="AO349" s="46"/>
    </row>
    <row r="350">
      <c r="A350" s="17"/>
      <c r="B350" s="46"/>
      <c r="C350" s="46"/>
      <c r="D350" s="46"/>
      <c r="E350" s="17"/>
      <c r="F350" s="46"/>
      <c r="G350" s="46"/>
      <c r="H350" s="46"/>
      <c r="I350" s="17"/>
      <c r="J350" s="46"/>
      <c r="K350" s="46"/>
      <c r="L350" s="46"/>
      <c r="M350" s="17"/>
      <c r="N350" s="46"/>
      <c r="O350" s="46"/>
      <c r="P350" s="46"/>
      <c r="Q350" s="46"/>
      <c r="R350" s="46"/>
      <c r="S350" s="46"/>
      <c r="T350" s="46"/>
      <c r="U350" s="46"/>
      <c r="V350" s="46"/>
      <c r="W350" s="46"/>
      <c r="X350" s="46"/>
      <c r="Y350" s="46"/>
      <c r="Z350" s="46"/>
      <c r="AA350" s="46"/>
      <c r="AB350" s="46"/>
      <c r="AC350" s="46"/>
      <c r="AD350" s="46"/>
      <c r="AE350" s="46"/>
      <c r="AF350" s="46"/>
      <c r="AG350" s="123"/>
      <c r="AH350" s="123"/>
      <c r="AI350" s="123"/>
      <c r="AJ350" s="123"/>
      <c r="AK350" s="46"/>
      <c r="AL350" s="46"/>
      <c r="AM350" s="46"/>
      <c r="AN350" s="46"/>
      <c r="AO350" s="46"/>
    </row>
    <row r="351">
      <c r="A351" s="17"/>
      <c r="B351" s="46"/>
      <c r="C351" s="46"/>
      <c r="D351" s="46"/>
      <c r="E351" s="17"/>
      <c r="F351" s="46"/>
      <c r="G351" s="46"/>
      <c r="H351" s="46"/>
      <c r="I351" s="17"/>
      <c r="J351" s="46"/>
      <c r="K351" s="46"/>
      <c r="L351" s="46"/>
      <c r="M351" s="17"/>
      <c r="N351" s="46"/>
      <c r="O351" s="46"/>
      <c r="P351" s="46"/>
      <c r="Q351" s="46"/>
      <c r="R351" s="46"/>
      <c r="S351" s="46"/>
      <c r="T351" s="46"/>
      <c r="U351" s="46"/>
      <c r="V351" s="46"/>
      <c r="W351" s="46"/>
      <c r="X351" s="46"/>
      <c r="Y351" s="46"/>
      <c r="Z351" s="46"/>
      <c r="AA351" s="46"/>
      <c r="AB351" s="46"/>
      <c r="AC351" s="46"/>
      <c r="AD351" s="46"/>
      <c r="AE351" s="46"/>
      <c r="AF351" s="46"/>
      <c r="AG351" s="123"/>
      <c r="AH351" s="123"/>
      <c r="AI351" s="123"/>
      <c r="AJ351" s="123"/>
      <c r="AK351" s="46"/>
      <c r="AL351" s="46"/>
      <c r="AM351" s="46"/>
      <c r="AN351" s="46"/>
      <c r="AO351" s="46"/>
    </row>
    <row r="352">
      <c r="A352" s="17"/>
      <c r="B352" s="46"/>
      <c r="C352" s="46"/>
      <c r="D352" s="46"/>
      <c r="E352" s="17"/>
      <c r="F352" s="46"/>
      <c r="G352" s="46"/>
      <c r="H352" s="46"/>
      <c r="I352" s="17"/>
      <c r="J352" s="46"/>
      <c r="K352" s="46"/>
      <c r="L352" s="46"/>
      <c r="M352" s="17"/>
      <c r="N352" s="46"/>
      <c r="O352" s="46"/>
      <c r="P352" s="46"/>
      <c r="Q352" s="46"/>
      <c r="R352" s="46"/>
      <c r="S352" s="46"/>
      <c r="T352" s="46"/>
      <c r="U352" s="46"/>
      <c r="V352" s="46"/>
      <c r="W352" s="46"/>
      <c r="X352" s="46"/>
      <c r="Y352" s="46"/>
      <c r="Z352" s="46"/>
      <c r="AA352" s="46"/>
      <c r="AB352" s="46"/>
      <c r="AC352" s="46"/>
      <c r="AD352" s="46"/>
      <c r="AE352" s="46"/>
      <c r="AF352" s="46"/>
      <c r="AG352" s="123"/>
      <c r="AH352" s="123"/>
      <c r="AI352" s="123"/>
      <c r="AJ352" s="123"/>
      <c r="AK352" s="46"/>
      <c r="AL352" s="46"/>
      <c r="AM352" s="46"/>
      <c r="AN352" s="46"/>
      <c r="AO352" s="46"/>
    </row>
    <row r="353">
      <c r="A353" s="17"/>
      <c r="B353" s="46"/>
      <c r="C353" s="46"/>
      <c r="D353" s="46"/>
      <c r="E353" s="17"/>
      <c r="F353" s="46"/>
      <c r="G353" s="46"/>
      <c r="H353" s="46"/>
      <c r="I353" s="17"/>
      <c r="J353" s="46"/>
      <c r="K353" s="46"/>
      <c r="L353" s="46"/>
      <c r="M353" s="17"/>
      <c r="N353" s="46"/>
      <c r="O353" s="46"/>
      <c r="P353" s="46"/>
      <c r="Q353" s="46"/>
      <c r="R353" s="46"/>
      <c r="S353" s="46"/>
      <c r="T353" s="46"/>
      <c r="U353" s="46"/>
      <c r="V353" s="46"/>
      <c r="W353" s="46"/>
      <c r="X353" s="46"/>
      <c r="Y353" s="46"/>
      <c r="Z353" s="46"/>
      <c r="AA353" s="46"/>
      <c r="AB353" s="46"/>
      <c r="AC353" s="46"/>
      <c r="AD353" s="46"/>
      <c r="AE353" s="46"/>
      <c r="AF353" s="46"/>
      <c r="AG353" s="123"/>
      <c r="AH353" s="123"/>
      <c r="AI353" s="123"/>
      <c r="AJ353" s="123"/>
      <c r="AK353" s="46"/>
      <c r="AL353" s="46"/>
      <c r="AM353" s="46"/>
      <c r="AN353" s="46"/>
      <c r="AO353" s="46"/>
    </row>
    <row r="354">
      <c r="A354" s="17"/>
      <c r="B354" s="46"/>
      <c r="C354" s="46"/>
      <c r="D354" s="46"/>
      <c r="E354" s="17"/>
      <c r="F354" s="46"/>
      <c r="G354" s="46"/>
      <c r="H354" s="46"/>
      <c r="I354" s="17"/>
      <c r="J354" s="46"/>
      <c r="K354" s="46"/>
      <c r="L354" s="46"/>
      <c r="M354" s="17"/>
      <c r="N354" s="46"/>
      <c r="O354" s="46"/>
      <c r="P354" s="46"/>
      <c r="Q354" s="46"/>
      <c r="R354" s="46"/>
      <c r="S354" s="46"/>
      <c r="T354" s="46"/>
      <c r="U354" s="46"/>
      <c r="V354" s="46"/>
      <c r="W354" s="46"/>
      <c r="X354" s="46"/>
      <c r="Y354" s="46"/>
      <c r="Z354" s="46"/>
      <c r="AA354" s="46"/>
      <c r="AB354" s="46"/>
      <c r="AC354" s="46"/>
      <c r="AD354" s="46"/>
      <c r="AE354" s="46"/>
      <c r="AF354" s="46"/>
      <c r="AG354" s="123"/>
      <c r="AH354" s="123"/>
      <c r="AI354" s="123"/>
      <c r="AJ354" s="123"/>
      <c r="AK354" s="46"/>
      <c r="AL354" s="46"/>
      <c r="AM354" s="46"/>
      <c r="AN354" s="46"/>
      <c r="AO354" s="46"/>
    </row>
    <row r="355">
      <c r="A355" s="17"/>
      <c r="B355" s="46"/>
      <c r="C355" s="46"/>
      <c r="D355" s="46"/>
      <c r="E355" s="17"/>
      <c r="F355" s="46"/>
      <c r="G355" s="46"/>
      <c r="H355" s="46"/>
      <c r="I355" s="17"/>
      <c r="J355" s="46"/>
      <c r="K355" s="46"/>
      <c r="L355" s="46"/>
      <c r="M355" s="17"/>
      <c r="N355" s="46"/>
      <c r="O355" s="46"/>
      <c r="P355" s="46"/>
      <c r="Q355" s="46"/>
      <c r="R355" s="46"/>
      <c r="S355" s="46"/>
      <c r="T355" s="46"/>
      <c r="U355" s="46"/>
      <c r="V355" s="46"/>
      <c r="W355" s="46"/>
      <c r="X355" s="46"/>
      <c r="Y355" s="46"/>
      <c r="Z355" s="46"/>
      <c r="AA355" s="46"/>
      <c r="AB355" s="46"/>
      <c r="AC355" s="46"/>
      <c r="AD355" s="46"/>
      <c r="AE355" s="46"/>
      <c r="AF355" s="46"/>
      <c r="AG355" s="123"/>
      <c r="AH355" s="123"/>
      <c r="AI355" s="123"/>
      <c r="AJ355" s="123"/>
      <c r="AK355" s="46"/>
      <c r="AL355" s="46"/>
      <c r="AM355" s="46"/>
      <c r="AN355" s="46"/>
      <c r="AO355" s="46"/>
    </row>
    <row r="356">
      <c r="A356" s="17"/>
      <c r="B356" s="46"/>
      <c r="C356" s="46"/>
      <c r="D356" s="46"/>
      <c r="E356" s="17"/>
      <c r="F356" s="46"/>
      <c r="G356" s="46"/>
      <c r="H356" s="46"/>
      <c r="I356" s="17"/>
      <c r="J356" s="46"/>
      <c r="K356" s="46"/>
      <c r="L356" s="46"/>
      <c r="M356" s="17"/>
      <c r="N356" s="46"/>
      <c r="O356" s="46"/>
      <c r="P356" s="46"/>
      <c r="Q356" s="46"/>
      <c r="R356" s="46"/>
      <c r="S356" s="46"/>
      <c r="T356" s="46"/>
      <c r="U356" s="46"/>
      <c r="V356" s="46"/>
      <c r="W356" s="46"/>
      <c r="X356" s="46"/>
      <c r="Y356" s="46"/>
      <c r="Z356" s="46"/>
      <c r="AA356" s="46"/>
      <c r="AB356" s="46"/>
      <c r="AC356" s="46"/>
      <c r="AD356" s="46"/>
      <c r="AE356" s="46"/>
      <c r="AF356" s="46"/>
      <c r="AG356" s="123"/>
      <c r="AH356" s="123"/>
      <c r="AI356" s="123"/>
      <c r="AJ356" s="123"/>
      <c r="AK356" s="46"/>
      <c r="AL356" s="46"/>
      <c r="AM356" s="46"/>
      <c r="AN356" s="46"/>
      <c r="AO356" s="46"/>
    </row>
    <row r="357">
      <c r="A357" s="17"/>
      <c r="B357" s="46"/>
      <c r="C357" s="46"/>
      <c r="D357" s="46"/>
      <c r="E357" s="17"/>
      <c r="F357" s="46"/>
      <c r="G357" s="46"/>
      <c r="H357" s="46"/>
      <c r="I357" s="17"/>
      <c r="J357" s="46"/>
      <c r="K357" s="46"/>
      <c r="L357" s="46"/>
      <c r="M357" s="17"/>
      <c r="N357" s="46"/>
      <c r="O357" s="46"/>
      <c r="P357" s="46"/>
      <c r="Q357" s="46"/>
      <c r="R357" s="46"/>
      <c r="S357" s="46"/>
      <c r="T357" s="46"/>
      <c r="U357" s="46"/>
      <c r="V357" s="46"/>
      <c r="W357" s="46"/>
      <c r="X357" s="46"/>
      <c r="Y357" s="46"/>
      <c r="Z357" s="46"/>
      <c r="AA357" s="46"/>
      <c r="AB357" s="46"/>
      <c r="AC357" s="46"/>
      <c r="AD357" s="46"/>
      <c r="AE357" s="46"/>
      <c r="AF357" s="46"/>
      <c r="AG357" s="123"/>
      <c r="AH357" s="123"/>
      <c r="AI357" s="123"/>
      <c r="AJ357" s="123"/>
      <c r="AK357" s="46"/>
      <c r="AL357" s="46"/>
      <c r="AM357" s="46"/>
      <c r="AN357" s="46"/>
      <c r="AO357" s="46"/>
    </row>
    <row r="358">
      <c r="A358" s="17"/>
      <c r="B358" s="46"/>
      <c r="C358" s="46"/>
      <c r="D358" s="46"/>
      <c r="E358" s="17"/>
      <c r="F358" s="46"/>
      <c r="G358" s="46"/>
      <c r="H358" s="46"/>
      <c r="I358" s="17"/>
      <c r="J358" s="46"/>
      <c r="K358" s="46"/>
      <c r="L358" s="46"/>
      <c r="M358" s="17"/>
      <c r="N358" s="46"/>
      <c r="O358" s="46"/>
      <c r="P358" s="46"/>
      <c r="Q358" s="46"/>
      <c r="R358" s="46"/>
      <c r="S358" s="46"/>
      <c r="T358" s="46"/>
      <c r="U358" s="46"/>
      <c r="V358" s="46"/>
      <c r="W358" s="46"/>
      <c r="X358" s="46"/>
      <c r="Y358" s="46"/>
      <c r="Z358" s="46"/>
      <c r="AA358" s="46"/>
      <c r="AB358" s="46"/>
      <c r="AC358" s="46"/>
      <c r="AD358" s="46"/>
      <c r="AE358" s="46"/>
      <c r="AF358" s="46"/>
      <c r="AG358" s="123"/>
      <c r="AH358" s="123"/>
      <c r="AI358" s="123"/>
      <c r="AJ358" s="123"/>
      <c r="AK358" s="46"/>
      <c r="AL358" s="46"/>
      <c r="AM358" s="46"/>
      <c r="AN358" s="46"/>
      <c r="AO358" s="46"/>
    </row>
    <row r="359">
      <c r="A359" s="17"/>
      <c r="B359" s="46"/>
      <c r="C359" s="46"/>
      <c r="D359" s="46"/>
      <c r="E359" s="17"/>
      <c r="F359" s="46"/>
      <c r="G359" s="46"/>
      <c r="H359" s="46"/>
      <c r="I359" s="17"/>
      <c r="J359" s="46"/>
      <c r="K359" s="46"/>
      <c r="L359" s="46"/>
      <c r="M359" s="17"/>
      <c r="N359" s="46"/>
      <c r="O359" s="46"/>
      <c r="P359" s="46"/>
      <c r="Q359" s="46"/>
      <c r="R359" s="46"/>
      <c r="S359" s="46"/>
      <c r="T359" s="46"/>
      <c r="U359" s="46"/>
      <c r="V359" s="46"/>
      <c r="W359" s="46"/>
      <c r="X359" s="46"/>
      <c r="Y359" s="46"/>
      <c r="Z359" s="46"/>
      <c r="AA359" s="46"/>
      <c r="AB359" s="46"/>
      <c r="AC359" s="46"/>
      <c r="AD359" s="46"/>
      <c r="AE359" s="46"/>
      <c r="AF359" s="46"/>
      <c r="AG359" s="123"/>
      <c r="AH359" s="123"/>
      <c r="AI359" s="123"/>
      <c r="AJ359" s="123"/>
      <c r="AK359" s="46"/>
      <c r="AL359" s="46"/>
      <c r="AM359" s="46"/>
      <c r="AN359" s="46"/>
      <c r="AO359" s="46"/>
    </row>
    <row r="360">
      <c r="A360" s="17"/>
      <c r="B360" s="46"/>
      <c r="C360" s="46"/>
      <c r="D360" s="46"/>
      <c r="E360" s="17"/>
      <c r="F360" s="46"/>
      <c r="G360" s="46"/>
      <c r="H360" s="46"/>
      <c r="I360" s="17"/>
      <c r="J360" s="46"/>
      <c r="K360" s="46"/>
      <c r="L360" s="46"/>
      <c r="M360" s="17"/>
      <c r="N360" s="46"/>
      <c r="O360" s="46"/>
      <c r="P360" s="46"/>
      <c r="Q360" s="46"/>
      <c r="R360" s="46"/>
      <c r="S360" s="46"/>
      <c r="T360" s="46"/>
      <c r="U360" s="46"/>
      <c r="V360" s="46"/>
      <c r="W360" s="46"/>
      <c r="X360" s="46"/>
      <c r="Y360" s="46"/>
      <c r="Z360" s="46"/>
      <c r="AA360" s="46"/>
      <c r="AB360" s="46"/>
      <c r="AC360" s="46"/>
      <c r="AD360" s="46"/>
      <c r="AE360" s="46"/>
      <c r="AF360" s="46"/>
      <c r="AG360" s="123"/>
      <c r="AH360" s="123"/>
      <c r="AI360" s="123"/>
      <c r="AJ360" s="123"/>
      <c r="AK360" s="46"/>
      <c r="AL360" s="46"/>
      <c r="AM360" s="46"/>
      <c r="AN360" s="46"/>
      <c r="AO360" s="46"/>
    </row>
    <row r="361">
      <c r="A361" s="17"/>
      <c r="B361" s="46"/>
      <c r="C361" s="46"/>
      <c r="D361" s="46"/>
      <c r="E361" s="17"/>
      <c r="F361" s="46"/>
      <c r="G361" s="46"/>
      <c r="H361" s="46"/>
      <c r="I361" s="17"/>
      <c r="J361" s="46"/>
      <c r="K361" s="46"/>
      <c r="L361" s="46"/>
      <c r="M361" s="17"/>
      <c r="N361" s="46"/>
      <c r="O361" s="46"/>
      <c r="P361" s="46"/>
      <c r="Q361" s="46"/>
      <c r="R361" s="46"/>
      <c r="S361" s="46"/>
      <c r="T361" s="46"/>
      <c r="U361" s="46"/>
      <c r="V361" s="46"/>
      <c r="W361" s="46"/>
      <c r="X361" s="46"/>
      <c r="Y361" s="46"/>
      <c r="Z361" s="46"/>
      <c r="AA361" s="46"/>
      <c r="AB361" s="46"/>
      <c r="AC361" s="46"/>
      <c r="AD361" s="46"/>
      <c r="AE361" s="46"/>
      <c r="AF361" s="46"/>
      <c r="AG361" s="123"/>
      <c r="AH361" s="123"/>
      <c r="AI361" s="123"/>
      <c r="AJ361" s="123"/>
      <c r="AK361" s="46"/>
      <c r="AL361" s="46"/>
      <c r="AM361" s="46"/>
      <c r="AN361" s="46"/>
      <c r="AO361" s="46"/>
    </row>
    <row r="362">
      <c r="A362" s="17"/>
      <c r="B362" s="46"/>
      <c r="C362" s="46"/>
      <c r="D362" s="46"/>
      <c r="E362" s="17"/>
      <c r="F362" s="46"/>
      <c r="G362" s="46"/>
      <c r="H362" s="46"/>
      <c r="I362" s="17"/>
      <c r="J362" s="46"/>
      <c r="K362" s="46"/>
      <c r="L362" s="46"/>
      <c r="M362" s="17"/>
      <c r="N362" s="46"/>
      <c r="O362" s="46"/>
      <c r="P362" s="46"/>
      <c r="Q362" s="46"/>
      <c r="R362" s="46"/>
      <c r="S362" s="46"/>
      <c r="T362" s="46"/>
      <c r="U362" s="46"/>
      <c r="V362" s="46"/>
      <c r="W362" s="46"/>
      <c r="X362" s="46"/>
      <c r="Y362" s="46"/>
      <c r="Z362" s="46"/>
      <c r="AA362" s="46"/>
      <c r="AB362" s="46"/>
      <c r="AC362" s="46"/>
      <c r="AD362" s="46"/>
      <c r="AE362" s="46"/>
      <c r="AF362" s="46"/>
      <c r="AG362" s="123"/>
      <c r="AH362" s="123"/>
      <c r="AI362" s="123"/>
      <c r="AJ362" s="123"/>
      <c r="AK362" s="46"/>
      <c r="AL362" s="46"/>
      <c r="AM362" s="46"/>
      <c r="AN362" s="46"/>
      <c r="AO362" s="46"/>
    </row>
    <row r="363">
      <c r="A363" s="17"/>
      <c r="B363" s="46"/>
      <c r="C363" s="46"/>
      <c r="D363" s="46"/>
      <c r="E363" s="17"/>
      <c r="F363" s="46"/>
      <c r="G363" s="46"/>
      <c r="H363" s="46"/>
      <c r="I363" s="17"/>
      <c r="J363" s="46"/>
      <c r="K363" s="46"/>
      <c r="L363" s="46"/>
      <c r="M363" s="17"/>
      <c r="N363" s="46"/>
      <c r="O363" s="46"/>
      <c r="P363" s="46"/>
      <c r="Q363" s="46"/>
      <c r="R363" s="46"/>
      <c r="S363" s="46"/>
      <c r="T363" s="46"/>
      <c r="U363" s="46"/>
      <c r="V363" s="46"/>
      <c r="W363" s="46"/>
      <c r="X363" s="46"/>
      <c r="Y363" s="46"/>
      <c r="Z363" s="46"/>
      <c r="AA363" s="46"/>
      <c r="AB363" s="46"/>
      <c r="AC363" s="46"/>
      <c r="AD363" s="46"/>
      <c r="AE363" s="46"/>
      <c r="AF363" s="46"/>
      <c r="AG363" s="123"/>
      <c r="AH363" s="123"/>
      <c r="AI363" s="123"/>
      <c r="AJ363" s="123"/>
      <c r="AK363" s="46"/>
      <c r="AL363" s="46"/>
      <c r="AM363" s="46"/>
      <c r="AN363" s="46"/>
      <c r="AO363" s="46"/>
    </row>
    <row r="364">
      <c r="A364" s="17"/>
      <c r="B364" s="46"/>
      <c r="C364" s="46"/>
      <c r="D364" s="46"/>
      <c r="E364" s="17"/>
      <c r="F364" s="46"/>
      <c r="G364" s="46"/>
      <c r="H364" s="46"/>
      <c r="I364" s="17"/>
      <c r="J364" s="46"/>
      <c r="K364" s="46"/>
      <c r="L364" s="46"/>
      <c r="M364" s="17"/>
      <c r="N364" s="46"/>
      <c r="O364" s="46"/>
      <c r="P364" s="46"/>
      <c r="Q364" s="46"/>
      <c r="R364" s="46"/>
      <c r="S364" s="46"/>
      <c r="T364" s="46"/>
      <c r="U364" s="46"/>
      <c r="V364" s="46"/>
      <c r="W364" s="46"/>
      <c r="X364" s="46"/>
      <c r="Y364" s="46"/>
      <c r="Z364" s="46"/>
      <c r="AA364" s="46"/>
      <c r="AB364" s="46"/>
      <c r="AC364" s="46"/>
      <c r="AD364" s="46"/>
      <c r="AE364" s="46"/>
      <c r="AF364" s="46"/>
      <c r="AG364" s="123"/>
      <c r="AH364" s="123"/>
      <c r="AI364" s="123"/>
      <c r="AJ364" s="123"/>
      <c r="AK364" s="46"/>
      <c r="AL364" s="46"/>
      <c r="AM364" s="46"/>
      <c r="AN364" s="46"/>
      <c r="AO364" s="46"/>
    </row>
    <row r="365">
      <c r="A365" s="17"/>
      <c r="B365" s="46"/>
      <c r="C365" s="46"/>
      <c r="D365" s="46"/>
      <c r="E365" s="17"/>
      <c r="F365" s="46"/>
      <c r="G365" s="46"/>
      <c r="H365" s="46"/>
      <c r="I365" s="17"/>
      <c r="J365" s="46"/>
      <c r="K365" s="46"/>
      <c r="L365" s="46"/>
      <c r="M365" s="17"/>
      <c r="N365" s="46"/>
      <c r="O365" s="46"/>
      <c r="P365" s="46"/>
      <c r="Q365" s="46"/>
      <c r="R365" s="46"/>
      <c r="S365" s="46"/>
      <c r="T365" s="46"/>
      <c r="U365" s="46"/>
      <c r="V365" s="46"/>
      <c r="W365" s="46"/>
      <c r="X365" s="46"/>
      <c r="Y365" s="46"/>
      <c r="Z365" s="46"/>
      <c r="AA365" s="46"/>
      <c r="AB365" s="46"/>
      <c r="AC365" s="46"/>
      <c r="AD365" s="46"/>
      <c r="AE365" s="46"/>
      <c r="AF365" s="46"/>
      <c r="AG365" s="123"/>
      <c r="AH365" s="123"/>
      <c r="AI365" s="123"/>
      <c r="AJ365" s="123"/>
      <c r="AK365" s="46"/>
      <c r="AL365" s="46"/>
      <c r="AM365" s="46"/>
      <c r="AN365" s="46"/>
      <c r="AO365" s="46"/>
    </row>
    <row r="366">
      <c r="A366" s="17"/>
      <c r="B366" s="46"/>
      <c r="C366" s="46"/>
      <c r="D366" s="46"/>
      <c r="E366" s="17"/>
      <c r="F366" s="46"/>
      <c r="G366" s="46"/>
      <c r="H366" s="46"/>
      <c r="I366" s="17"/>
      <c r="J366" s="46"/>
      <c r="K366" s="46"/>
      <c r="L366" s="46"/>
      <c r="M366" s="17"/>
      <c r="N366" s="46"/>
      <c r="O366" s="46"/>
      <c r="P366" s="46"/>
      <c r="Q366" s="46"/>
      <c r="R366" s="46"/>
      <c r="S366" s="46"/>
      <c r="T366" s="46"/>
      <c r="U366" s="46"/>
      <c r="V366" s="46"/>
      <c r="W366" s="46"/>
      <c r="X366" s="46"/>
      <c r="Y366" s="46"/>
      <c r="Z366" s="46"/>
      <c r="AA366" s="46"/>
      <c r="AB366" s="46"/>
      <c r="AC366" s="46"/>
      <c r="AD366" s="46"/>
      <c r="AE366" s="46"/>
      <c r="AF366" s="46"/>
      <c r="AG366" s="123"/>
      <c r="AH366" s="123"/>
      <c r="AI366" s="123"/>
      <c r="AJ366" s="123"/>
      <c r="AK366" s="46"/>
      <c r="AL366" s="46"/>
      <c r="AM366" s="46"/>
      <c r="AN366" s="46"/>
      <c r="AO366" s="46"/>
    </row>
    <row r="367">
      <c r="A367" s="17"/>
      <c r="B367" s="46"/>
      <c r="C367" s="46"/>
      <c r="D367" s="46"/>
      <c r="E367" s="17"/>
      <c r="F367" s="46"/>
      <c r="G367" s="46"/>
      <c r="H367" s="46"/>
      <c r="I367" s="17"/>
      <c r="J367" s="46"/>
      <c r="K367" s="46"/>
      <c r="L367" s="46"/>
      <c r="M367" s="17"/>
      <c r="N367" s="46"/>
      <c r="O367" s="46"/>
      <c r="P367" s="46"/>
      <c r="Q367" s="46"/>
      <c r="R367" s="46"/>
      <c r="S367" s="46"/>
      <c r="T367" s="46"/>
      <c r="U367" s="46"/>
      <c r="V367" s="46"/>
      <c r="W367" s="46"/>
      <c r="X367" s="46"/>
      <c r="Y367" s="46"/>
      <c r="Z367" s="46"/>
      <c r="AA367" s="46"/>
      <c r="AB367" s="46"/>
      <c r="AC367" s="46"/>
      <c r="AD367" s="46"/>
      <c r="AE367" s="46"/>
      <c r="AF367" s="46"/>
      <c r="AG367" s="123"/>
      <c r="AH367" s="123"/>
      <c r="AI367" s="123"/>
      <c r="AJ367" s="123"/>
      <c r="AK367" s="46"/>
      <c r="AL367" s="46"/>
      <c r="AM367" s="46"/>
      <c r="AN367" s="46"/>
      <c r="AO367" s="46"/>
    </row>
    <row r="368">
      <c r="A368" s="17"/>
      <c r="B368" s="46"/>
      <c r="C368" s="46"/>
      <c r="D368" s="46"/>
      <c r="E368" s="17"/>
      <c r="F368" s="46"/>
      <c r="G368" s="46"/>
      <c r="H368" s="46"/>
      <c r="I368" s="17"/>
      <c r="J368" s="46"/>
      <c r="K368" s="46"/>
      <c r="L368" s="46"/>
      <c r="M368" s="17"/>
      <c r="N368" s="46"/>
      <c r="O368" s="46"/>
      <c r="P368" s="46"/>
      <c r="Q368" s="46"/>
      <c r="R368" s="46"/>
      <c r="S368" s="46"/>
      <c r="T368" s="46"/>
      <c r="U368" s="46"/>
      <c r="V368" s="46"/>
      <c r="W368" s="46"/>
      <c r="X368" s="46"/>
      <c r="Y368" s="46"/>
      <c r="Z368" s="46"/>
      <c r="AA368" s="46"/>
      <c r="AB368" s="46"/>
      <c r="AC368" s="46"/>
      <c r="AD368" s="46"/>
      <c r="AE368" s="46"/>
      <c r="AF368" s="46"/>
      <c r="AG368" s="123"/>
      <c r="AH368" s="123"/>
      <c r="AI368" s="123"/>
      <c r="AJ368" s="123"/>
      <c r="AK368" s="46"/>
      <c r="AL368" s="46"/>
      <c r="AM368" s="46"/>
      <c r="AN368" s="46"/>
      <c r="AO368" s="46"/>
    </row>
    <row r="369">
      <c r="A369" s="17"/>
      <c r="B369" s="46"/>
      <c r="C369" s="46"/>
      <c r="D369" s="46"/>
      <c r="E369" s="17"/>
      <c r="F369" s="46"/>
      <c r="G369" s="46"/>
      <c r="H369" s="46"/>
      <c r="I369" s="17"/>
      <c r="J369" s="46"/>
      <c r="K369" s="46"/>
      <c r="L369" s="46"/>
      <c r="M369" s="17"/>
      <c r="N369" s="46"/>
      <c r="O369" s="46"/>
      <c r="P369" s="46"/>
      <c r="Q369" s="46"/>
      <c r="R369" s="46"/>
      <c r="S369" s="46"/>
      <c r="T369" s="46"/>
      <c r="U369" s="46"/>
      <c r="V369" s="46"/>
      <c r="W369" s="46"/>
      <c r="X369" s="46"/>
      <c r="Y369" s="46"/>
      <c r="Z369" s="46"/>
      <c r="AA369" s="46"/>
      <c r="AB369" s="46"/>
      <c r="AC369" s="46"/>
      <c r="AD369" s="46"/>
      <c r="AE369" s="46"/>
      <c r="AF369" s="46"/>
      <c r="AG369" s="123"/>
      <c r="AH369" s="123"/>
      <c r="AI369" s="123"/>
      <c r="AJ369" s="123"/>
      <c r="AK369" s="46"/>
      <c r="AL369" s="46"/>
      <c r="AM369" s="46"/>
      <c r="AN369" s="46"/>
      <c r="AO369" s="46"/>
    </row>
    <row r="370">
      <c r="A370" s="17"/>
      <c r="B370" s="46"/>
      <c r="C370" s="46"/>
      <c r="D370" s="46"/>
      <c r="E370" s="17"/>
      <c r="F370" s="46"/>
      <c r="G370" s="46"/>
      <c r="H370" s="46"/>
      <c r="I370" s="17"/>
      <c r="J370" s="46"/>
      <c r="K370" s="46"/>
      <c r="L370" s="46"/>
      <c r="M370" s="17"/>
      <c r="N370" s="46"/>
      <c r="O370" s="46"/>
      <c r="P370" s="46"/>
      <c r="Q370" s="46"/>
      <c r="R370" s="46"/>
      <c r="S370" s="46"/>
      <c r="T370" s="46"/>
      <c r="U370" s="46"/>
      <c r="V370" s="46"/>
      <c r="W370" s="46"/>
      <c r="X370" s="46"/>
      <c r="Y370" s="46"/>
      <c r="Z370" s="46"/>
      <c r="AA370" s="46"/>
      <c r="AB370" s="46"/>
      <c r="AC370" s="46"/>
      <c r="AD370" s="46"/>
      <c r="AE370" s="46"/>
      <c r="AF370" s="46"/>
      <c r="AG370" s="123"/>
      <c r="AH370" s="123"/>
      <c r="AI370" s="123"/>
      <c r="AJ370" s="123"/>
      <c r="AK370" s="46"/>
      <c r="AL370" s="46"/>
      <c r="AM370" s="46"/>
      <c r="AN370" s="46"/>
      <c r="AO370" s="46"/>
    </row>
    <row r="371">
      <c r="A371" s="17"/>
      <c r="B371" s="46"/>
      <c r="C371" s="46"/>
      <c r="D371" s="46"/>
      <c r="E371" s="17"/>
      <c r="F371" s="46"/>
      <c r="G371" s="46"/>
      <c r="H371" s="46"/>
      <c r="I371" s="17"/>
      <c r="J371" s="46"/>
      <c r="K371" s="46"/>
      <c r="L371" s="46"/>
      <c r="M371" s="17"/>
      <c r="N371" s="46"/>
      <c r="O371" s="46"/>
      <c r="P371" s="46"/>
      <c r="Q371" s="46"/>
      <c r="R371" s="46"/>
      <c r="S371" s="46"/>
      <c r="T371" s="46"/>
      <c r="U371" s="46"/>
      <c r="V371" s="46"/>
      <c r="W371" s="46"/>
      <c r="X371" s="46"/>
      <c r="Y371" s="46"/>
      <c r="Z371" s="46"/>
      <c r="AA371" s="46"/>
      <c r="AB371" s="46"/>
      <c r="AC371" s="46"/>
      <c r="AD371" s="46"/>
      <c r="AE371" s="46"/>
      <c r="AF371" s="46"/>
      <c r="AG371" s="123"/>
      <c r="AH371" s="123"/>
      <c r="AI371" s="123"/>
      <c r="AJ371" s="123"/>
      <c r="AK371" s="46"/>
      <c r="AL371" s="46"/>
      <c r="AM371" s="46"/>
      <c r="AN371" s="46"/>
      <c r="AO371" s="46"/>
    </row>
    <row r="372">
      <c r="A372" s="17"/>
      <c r="B372" s="46"/>
      <c r="C372" s="46"/>
      <c r="D372" s="46"/>
      <c r="E372" s="17"/>
      <c r="F372" s="46"/>
      <c r="G372" s="46"/>
      <c r="H372" s="46"/>
      <c r="I372" s="17"/>
      <c r="J372" s="46"/>
      <c r="K372" s="46"/>
      <c r="L372" s="46"/>
      <c r="M372" s="17"/>
      <c r="N372" s="46"/>
      <c r="O372" s="46"/>
      <c r="P372" s="46"/>
      <c r="Q372" s="46"/>
      <c r="R372" s="46"/>
      <c r="S372" s="46"/>
      <c r="T372" s="46"/>
      <c r="U372" s="46"/>
      <c r="V372" s="46"/>
      <c r="W372" s="46"/>
      <c r="X372" s="46"/>
      <c r="Y372" s="46"/>
      <c r="Z372" s="46"/>
      <c r="AA372" s="46"/>
      <c r="AB372" s="46"/>
      <c r="AC372" s="46"/>
      <c r="AD372" s="46"/>
      <c r="AE372" s="46"/>
      <c r="AF372" s="46"/>
      <c r="AG372" s="123"/>
      <c r="AH372" s="123"/>
      <c r="AI372" s="123"/>
      <c r="AJ372" s="123"/>
      <c r="AK372" s="46"/>
      <c r="AL372" s="46"/>
      <c r="AM372" s="46"/>
      <c r="AN372" s="46"/>
      <c r="AO372" s="46"/>
    </row>
    <row r="373">
      <c r="A373" s="17"/>
      <c r="B373" s="46"/>
      <c r="C373" s="46"/>
      <c r="D373" s="46"/>
      <c r="E373" s="17"/>
      <c r="F373" s="46"/>
      <c r="G373" s="46"/>
      <c r="H373" s="46"/>
      <c r="I373" s="17"/>
      <c r="J373" s="46"/>
      <c r="K373" s="46"/>
      <c r="L373" s="46"/>
      <c r="M373" s="17"/>
      <c r="N373" s="46"/>
      <c r="O373" s="46"/>
      <c r="P373" s="46"/>
      <c r="Q373" s="46"/>
      <c r="R373" s="46"/>
      <c r="S373" s="46"/>
      <c r="T373" s="46"/>
      <c r="U373" s="46"/>
      <c r="V373" s="46"/>
      <c r="W373" s="46"/>
      <c r="X373" s="46"/>
      <c r="Y373" s="46"/>
      <c r="Z373" s="46"/>
      <c r="AA373" s="46"/>
      <c r="AB373" s="46"/>
      <c r="AC373" s="46"/>
      <c r="AD373" s="46"/>
      <c r="AE373" s="46"/>
      <c r="AF373" s="46"/>
      <c r="AG373" s="123"/>
      <c r="AH373" s="123"/>
      <c r="AI373" s="123"/>
      <c r="AJ373" s="123"/>
      <c r="AK373" s="46"/>
      <c r="AL373" s="46"/>
      <c r="AM373" s="46"/>
      <c r="AN373" s="46"/>
      <c r="AO373" s="46"/>
    </row>
    <row r="374">
      <c r="A374" s="17"/>
      <c r="B374" s="46"/>
      <c r="C374" s="46"/>
      <c r="D374" s="46"/>
      <c r="E374" s="17"/>
      <c r="F374" s="46"/>
      <c r="G374" s="46"/>
      <c r="H374" s="46"/>
      <c r="I374" s="17"/>
      <c r="J374" s="46"/>
      <c r="K374" s="46"/>
      <c r="L374" s="46"/>
      <c r="M374" s="17"/>
      <c r="N374" s="46"/>
      <c r="O374" s="46"/>
      <c r="P374" s="46"/>
      <c r="Q374" s="46"/>
      <c r="R374" s="46"/>
      <c r="S374" s="46"/>
      <c r="T374" s="46"/>
      <c r="U374" s="46"/>
      <c r="V374" s="46"/>
      <c r="W374" s="46"/>
      <c r="X374" s="46"/>
      <c r="Y374" s="46"/>
      <c r="Z374" s="46"/>
      <c r="AA374" s="46"/>
      <c r="AB374" s="46"/>
      <c r="AC374" s="46"/>
      <c r="AD374" s="46"/>
      <c r="AE374" s="46"/>
      <c r="AF374" s="46"/>
      <c r="AG374" s="123"/>
      <c r="AH374" s="123"/>
      <c r="AI374" s="123"/>
      <c r="AJ374" s="123"/>
      <c r="AK374" s="46"/>
      <c r="AL374" s="46"/>
      <c r="AM374" s="46"/>
      <c r="AN374" s="46"/>
      <c r="AO374" s="46"/>
    </row>
    <row r="375">
      <c r="A375" s="17"/>
      <c r="B375" s="46"/>
      <c r="C375" s="46"/>
      <c r="D375" s="46"/>
      <c r="E375" s="17"/>
      <c r="F375" s="46"/>
      <c r="G375" s="46"/>
      <c r="H375" s="46"/>
      <c r="I375" s="17"/>
      <c r="J375" s="46"/>
      <c r="K375" s="46"/>
      <c r="L375" s="46"/>
      <c r="M375" s="17"/>
      <c r="N375" s="46"/>
      <c r="O375" s="46"/>
      <c r="P375" s="46"/>
      <c r="Q375" s="46"/>
      <c r="R375" s="46"/>
      <c r="S375" s="46"/>
      <c r="T375" s="46"/>
      <c r="U375" s="46"/>
      <c r="V375" s="46"/>
      <c r="W375" s="46"/>
      <c r="X375" s="46"/>
      <c r="Y375" s="46"/>
      <c r="Z375" s="46"/>
      <c r="AA375" s="46"/>
      <c r="AB375" s="46"/>
      <c r="AC375" s="46"/>
      <c r="AD375" s="46"/>
      <c r="AE375" s="46"/>
      <c r="AF375" s="46"/>
      <c r="AG375" s="123"/>
      <c r="AH375" s="123"/>
      <c r="AI375" s="123"/>
      <c r="AJ375" s="123"/>
      <c r="AK375" s="46"/>
      <c r="AL375" s="46"/>
      <c r="AM375" s="46"/>
      <c r="AN375" s="46"/>
      <c r="AO375" s="46"/>
    </row>
    <row r="376">
      <c r="A376" s="17"/>
      <c r="B376" s="46"/>
      <c r="C376" s="46"/>
      <c r="D376" s="46"/>
      <c r="E376" s="17"/>
      <c r="F376" s="46"/>
      <c r="G376" s="46"/>
      <c r="H376" s="46"/>
      <c r="I376" s="17"/>
      <c r="J376" s="46"/>
      <c r="K376" s="46"/>
      <c r="L376" s="46"/>
      <c r="M376" s="17"/>
      <c r="N376" s="46"/>
      <c r="O376" s="46"/>
      <c r="P376" s="46"/>
      <c r="Q376" s="46"/>
      <c r="R376" s="46"/>
      <c r="S376" s="46"/>
      <c r="T376" s="46"/>
      <c r="U376" s="46"/>
      <c r="V376" s="46"/>
      <c r="W376" s="46"/>
      <c r="X376" s="46"/>
      <c r="Y376" s="46"/>
      <c r="Z376" s="46"/>
      <c r="AA376" s="46"/>
      <c r="AB376" s="46"/>
      <c r="AC376" s="46"/>
      <c r="AD376" s="46"/>
      <c r="AE376" s="46"/>
      <c r="AF376" s="46"/>
      <c r="AG376" s="123"/>
      <c r="AH376" s="123"/>
      <c r="AI376" s="123"/>
      <c r="AJ376" s="123"/>
      <c r="AK376" s="46"/>
      <c r="AL376" s="46"/>
      <c r="AM376" s="46"/>
      <c r="AN376" s="46"/>
      <c r="AO376" s="46"/>
    </row>
    <row r="377">
      <c r="A377" s="17"/>
      <c r="B377" s="46"/>
      <c r="C377" s="46"/>
      <c r="D377" s="46"/>
      <c r="E377" s="17"/>
      <c r="F377" s="46"/>
      <c r="G377" s="46"/>
      <c r="H377" s="46"/>
      <c r="I377" s="17"/>
      <c r="J377" s="46"/>
      <c r="K377" s="46"/>
      <c r="L377" s="46"/>
      <c r="M377" s="17"/>
      <c r="N377" s="46"/>
      <c r="O377" s="46"/>
      <c r="P377" s="46"/>
      <c r="Q377" s="46"/>
      <c r="R377" s="46"/>
      <c r="S377" s="46"/>
      <c r="T377" s="46"/>
      <c r="U377" s="46"/>
      <c r="V377" s="46"/>
      <c r="W377" s="46"/>
      <c r="X377" s="46"/>
      <c r="Y377" s="46"/>
      <c r="Z377" s="46"/>
      <c r="AA377" s="46"/>
      <c r="AB377" s="46"/>
      <c r="AC377" s="46"/>
      <c r="AD377" s="46"/>
      <c r="AE377" s="46"/>
      <c r="AF377" s="46"/>
      <c r="AG377" s="123"/>
      <c r="AH377" s="123"/>
      <c r="AI377" s="123"/>
      <c r="AJ377" s="123"/>
      <c r="AK377" s="46"/>
      <c r="AL377" s="46"/>
      <c r="AM377" s="46"/>
      <c r="AN377" s="46"/>
      <c r="AO377" s="46"/>
    </row>
    <row r="378">
      <c r="A378" s="17"/>
      <c r="B378" s="46"/>
      <c r="C378" s="46"/>
      <c r="D378" s="46"/>
      <c r="E378" s="17"/>
      <c r="F378" s="46"/>
      <c r="G378" s="46"/>
      <c r="H378" s="46"/>
      <c r="I378" s="17"/>
      <c r="J378" s="46"/>
      <c r="K378" s="46"/>
      <c r="L378" s="46"/>
      <c r="M378" s="17"/>
      <c r="N378" s="46"/>
      <c r="O378" s="46"/>
      <c r="P378" s="46"/>
      <c r="Q378" s="46"/>
      <c r="R378" s="46"/>
      <c r="S378" s="46"/>
      <c r="T378" s="46"/>
      <c r="U378" s="46"/>
      <c r="V378" s="46"/>
      <c r="W378" s="46"/>
      <c r="X378" s="46"/>
      <c r="Y378" s="46"/>
      <c r="Z378" s="46"/>
      <c r="AA378" s="46"/>
      <c r="AB378" s="46"/>
      <c r="AC378" s="46"/>
      <c r="AD378" s="46"/>
      <c r="AE378" s="46"/>
      <c r="AF378" s="46"/>
      <c r="AG378" s="123"/>
      <c r="AH378" s="123"/>
      <c r="AI378" s="123"/>
      <c r="AJ378" s="123"/>
      <c r="AK378" s="46"/>
      <c r="AL378" s="46"/>
      <c r="AM378" s="46"/>
      <c r="AN378" s="46"/>
      <c r="AO378" s="46"/>
    </row>
    <row r="379">
      <c r="A379" s="17"/>
      <c r="B379" s="46"/>
      <c r="C379" s="46"/>
      <c r="D379" s="46"/>
      <c r="E379" s="17"/>
      <c r="F379" s="46"/>
      <c r="G379" s="46"/>
      <c r="H379" s="46"/>
      <c r="I379" s="17"/>
      <c r="J379" s="46"/>
      <c r="K379" s="46"/>
      <c r="L379" s="46"/>
      <c r="M379" s="17"/>
      <c r="N379" s="46"/>
      <c r="O379" s="46"/>
      <c r="P379" s="46"/>
      <c r="Q379" s="46"/>
      <c r="R379" s="46"/>
      <c r="S379" s="46"/>
      <c r="T379" s="46"/>
      <c r="U379" s="46"/>
      <c r="V379" s="46"/>
      <c r="W379" s="46"/>
      <c r="X379" s="46"/>
      <c r="Y379" s="46"/>
      <c r="Z379" s="46"/>
      <c r="AA379" s="46"/>
      <c r="AB379" s="46"/>
      <c r="AC379" s="46"/>
      <c r="AD379" s="46"/>
      <c r="AE379" s="46"/>
      <c r="AF379" s="46"/>
      <c r="AG379" s="123"/>
      <c r="AH379" s="123"/>
      <c r="AI379" s="123"/>
      <c r="AJ379" s="123"/>
      <c r="AK379" s="46"/>
      <c r="AL379" s="46"/>
      <c r="AM379" s="46"/>
      <c r="AN379" s="46"/>
      <c r="AO379" s="46"/>
    </row>
    <row r="380">
      <c r="A380" s="17"/>
      <c r="B380" s="46"/>
      <c r="C380" s="46"/>
      <c r="D380" s="46"/>
      <c r="E380" s="17"/>
      <c r="F380" s="46"/>
      <c r="G380" s="46"/>
      <c r="H380" s="46"/>
      <c r="I380" s="17"/>
      <c r="J380" s="46"/>
      <c r="K380" s="46"/>
      <c r="L380" s="46"/>
      <c r="M380" s="17"/>
      <c r="N380" s="46"/>
      <c r="O380" s="46"/>
      <c r="P380" s="46"/>
      <c r="Q380" s="46"/>
      <c r="R380" s="46"/>
      <c r="S380" s="46"/>
      <c r="T380" s="46"/>
      <c r="U380" s="46"/>
      <c r="V380" s="46"/>
      <c r="W380" s="46"/>
      <c r="X380" s="46"/>
      <c r="Y380" s="46"/>
      <c r="Z380" s="46"/>
      <c r="AA380" s="46"/>
      <c r="AB380" s="46"/>
      <c r="AC380" s="46"/>
      <c r="AD380" s="46"/>
      <c r="AE380" s="46"/>
      <c r="AF380" s="46"/>
      <c r="AG380" s="123"/>
      <c r="AH380" s="123"/>
      <c r="AI380" s="123"/>
      <c r="AJ380" s="123"/>
      <c r="AK380" s="46"/>
      <c r="AL380" s="46"/>
      <c r="AM380" s="46"/>
      <c r="AN380" s="46"/>
      <c r="AO380" s="46"/>
    </row>
    <row r="381">
      <c r="A381" s="17"/>
      <c r="B381" s="46"/>
      <c r="C381" s="46"/>
      <c r="D381" s="46"/>
      <c r="E381" s="17"/>
      <c r="F381" s="46"/>
      <c r="G381" s="46"/>
      <c r="H381" s="46"/>
      <c r="I381" s="17"/>
      <c r="J381" s="46"/>
      <c r="K381" s="46"/>
      <c r="L381" s="46"/>
      <c r="M381" s="17"/>
      <c r="N381" s="46"/>
      <c r="O381" s="46"/>
      <c r="P381" s="46"/>
      <c r="Q381" s="46"/>
      <c r="R381" s="46"/>
      <c r="S381" s="46"/>
      <c r="T381" s="46"/>
      <c r="U381" s="46"/>
      <c r="V381" s="46"/>
      <c r="W381" s="46"/>
      <c r="X381" s="46"/>
      <c r="Y381" s="46"/>
      <c r="Z381" s="46"/>
      <c r="AA381" s="46"/>
      <c r="AB381" s="46"/>
      <c r="AC381" s="46"/>
      <c r="AD381" s="46"/>
      <c r="AE381" s="46"/>
      <c r="AF381" s="46"/>
      <c r="AG381" s="123"/>
      <c r="AH381" s="123"/>
      <c r="AI381" s="123"/>
      <c r="AJ381" s="123"/>
      <c r="AK381" s="46"/>
      <c r="AL381" s="46"/>
      <c r="AM381" s="46"/>
      <c r="AN381" s="46"/>
      <c r="AO381" s="46"/>
    </row>
    <row r="382">
      <c r="A382" s="17"/>
      <c r="B382" s="46"/>
      <c r="C382" s="46"/>
      <c r="D382" s="46"/>
      <c r="E382" s="17"/>
      <c r="F382" s="46"/>
      <c r="G382" s="46"/>
      <c r="H382" s="46"/>
      <c r="I382" s="17"/>
      <c r="J382" s="46"/>
      <c r="K382" s="46"/>
      <c r="L382" s="46"/>
      <c r="M382" s="17"/>
      <c r="N382" s="46"/>
      <c r="O382" s="46"/>
      <c r="P382" s="46"/>
      <c r="Q382" s="46"/>
      <c r="R382" s="46"/>
      <c r="S382" s="46"/>
      <c r="T382" s="46"/>
      <c r="U382" s="46"/>
      <c r="V382" s="46"/>
      <c r="W382" s="46"/>
      <c r="X382" s="46"/>
      <c r="Y382" s="46"/>
      <c r="Z382" s="46"/>
      <c r="AA382" s="46"/>
      <c r="AB382" s="46"/>
      <c r="AC382" s="46"/>
      <c r="AD382" s="46"/>
      <c r="AE382" s="46"/>
      <c r="AF382" s="46"/>
      <c r="AG382" s="123"/>
      <c r="AH382" s="123"/>
      <c r="AI382" s="123"/>
      <c r="AJ382" s="123"/>
      <c r="AK382" s="46"/>
      <c r="AL382" s="46"/>
      <c r="AM382" s="46"/>
      <c r="AN382" s="46"/>
      <c r="AO382" s="46"/>
    </row>
    <row r="383">
      <c r="A383" s="17"/>
      <c r="B383" s="46"/>
      <c r="C383" s="46"/>
      <c r="D383" s="46"/>
      <c r="E383" s="17"/>
      <c r="F383" s="46"/>
      <c r="G383" s="46"/>
      <c r="H383" s="46"/>
      <c r="I383" s="17"/>
      <c r="J383" s="46"/>
      <c r="K383" s="46"/>
      <c r="L383" s="46"/>
      <c r="M383" s="17"/>
      <c r="N383" s="46"/>
      <c r="O383" s="46"/>
      <c r="P383" s="46"/>
      <c r="Q383" s="46"/>
      <c r="R383" s="46"/>
      <c r="S383" s="46"/>
      <c r="T383" s="46"/>
      <c r="U383" s="46"/>
      <c r="V383" s="46"/>
      <c r="W383" s="46"/>
      <c r="X383" s="46"/>
      <c r="Y383" s="46"/>
      <c r="Z383" s="46"/>
      <c r="AA383" s="46"/>
      <c r="AB383" s="46"/>
      <c r="AC383" s="46"/>
      <c r="AD383" s="46"/>
      <c r="AE383" s="46"/>
      <c r="AF383" s="46"/>
      <c r="AG383" s="123"/>
      <c r="AH383" s="123"/>
      <c r="AI383" s="123"/>
      <c r="AJ383" s="123"/>
      <c r="AK383" s="46"/>
      <c r="AL383" s="46"/>
      <c r="AM383" s="46"/>
      <c r="AN383" s="46"/>
      <c r="AO383" s="46"/>
    </row>
    <row r="384">
      <c r="A384" s="17"/>
      <c r="B384" s="46"/>
      <c r="C384" s="46"/>
      <c r="D384" s="46"/>
      <c r="E384" s="17"/>
      <c r="F384" s="46"/>
      <c r="G384" s="46"/>
      <c r="H384" s="46"/>
      <c r="I384" s="17"/>
      <c r="J384" s="46"/>
      <c r="K384" s="46"/>
      <c r="L384" s="46"/>
      <c r="M384" s="17"/>
      <c r="N384" s="46"/>
      <c r="O384" s="46"/>
      <c r="P384" s="46"/>
      <c r="Q384" s="46"/>
      <c r="R384" s="46"/>
      <c r="S384" s="46"/>
      <c r="T384" s="46"/>
      <c r="U384" s="46"/>
      <c r="V384" s="46"/>
      <c r="W384" s="46"/>
      <c r="X384" s="46"/>
      <c r="Y384" s="46"/>
      <c r="Z384" s="46"/>
      <c r="AA384" s="46"/>
      <c r="AB384" s="46"/>
      <c r="AC384" s="46"/>
      <c r="AD384" s="46"/>
      <c r="AE384" s="46"/>
      <c r="AF384" s="46"/>
      <c r="AG384" s="123"/>
      <c r="AH384" s="123"/>
      <c r="AI384" s="123"/>
      <c r="AJ384" s="123"/>
      <c r="AK384" s="46"/>
      <c r="AL384" s="46"/>
      <c r="AM384" s="46"/>
      <c r="AN384" s="46"/>
      <c r="AO384" s="46"/>
    </row>
    <row r="385">
      <c r="A385" s="17"/>
      <c r="B385" s="46"/>
      <c r="C385" s="46"/>
      <c r="D385" s="46"/>
      <c r="E385" s="17"/>
      <c r="F385" s="46"/>
      <c r="G385" s="46"/>
      <c r="H385" s="46"/>
      <c r="I385" s="17"/>
      <c r="J385" s="46"/>
      <c r="K385" s="46"/>
      <c r="L385" s="46"/>
      <c r="M385" s="17"/>
      <c r="N385" s="46"/>
      <c r="O385" s="46"/>
      <c r="P385" s="46"/>
      <c r="Q385" s="46"/>
      <c r="R385" s="46"/>
      <c r="S385" s="46"/>
      <c r="T385" s="46"/>
      <c r="U385" s="46"/>
      <c r="V385" s="46"/>
      <c r="W385" s="46"/>
      <c r="X385" s="46"/>
      <c r="Y385" s="46"/>
      <c r="Z385" s="46"/>
      <c r="AA385" s="46"/>
      <c r="AB385" s="46"/>
      <c r="AC385" s="46"/>
      <c r="AD385" s="46"/>
      <c r="AE385" s="46"/>
      <c r="AF385" s="46"/>
      <c r="AG385" s="123"/>
      <c r="AH385" s="123"/>
      <c r="AI385" s="123"/>
      <c r="AJ385" s="123"/>
      <c r="AK385" s="46"/>
      <c r="AL385" s="46"/>
      <c r="AM385" s="46"/>
      <c r="AN385" s="46"/>
      <c r="AO385" s="46"/>
    </row>
    <row r="386">
      <c r="A386" s="17"/>
      <c r="B386" s="46"/>
      <c r="C386" s="46"/>
      <c r="D386" s="46"/>
      <c r="E386" s="17"/>
      <c r="F386" s="46"/>
      <c r="G386" s="46"/>
      <c r="H386" s="46"/>
      <c r="I386" s="17"/>
      <c r="J386" s="46"/>
      <c r="K386" s="46"/>
      <c r="L386" s="46"/>
      <c r="M386" s="17"/>
      <c r="N386" s="46"/>
      <c r="O386" s="46"/>
      <c r="P386" s="46"/>
      <c r="Q386" s="46"/>
      <c r="R386" s="46"/>
      <c r="S386" s="46"/>
      <c r="T386" s="46"/>
      <c r="U386" s="46"/>
      <c r="V386" s="46"/>
      <c r="W386" s="46"/>
      <c r="X386" s="46"/>
      <c r="Y386" s="46"/>
      <c r="Z386" s="46"/>
      <c r="AA386" s="46"/>
      <c r="AB386" s="46"/>
      <c r="AC386" s="46"/>
      <c r="AD386" s="46"/>
      <c r="AE386" s="46"/>
      <c r="AF386" s="46"/>
      <c r="AG386" s="123"/>
      <c r="AH386" s="123"/>
      <c r="AI386" s="123"/>
      <c r="AJ386" s="123"/>
      <c r="AK386" s="46"/>
      <c r="AL386" s="46"/>
      <c r="AM386" s="46"/>
      <c r="AN386" s="46"/>
      <c r="AO386" s="46"/>
    </row>
    <row r="387">
      <c r="A387" s="17"/>
      <c r="B387" s="46"/>
      <c r="C387" s="46"/>
      <c r="D387" s="46"/>
      <c r="E387" s="17"/>
      <c r="F387" s="46"/>
      <c r="G387" s="46"/>
      <c r="H387" s="46"/>
      <c r="I387" s="17"/>
      <c r="J387" s="46"/>
      <c r="K387" s="46"/>
      <c r="L387" s="46"/>
      <c r="M387" s="17"/>
      <c r="N387" s="46"/>
      <c r="O387" s="46"/>
      <c r="P387" s="46"/>
      <c r="Q387" s="46"/>
      <c r="R387" s="46"/>
      <c r="S387" s="46"/>
      <c r="T387" s="46"/>
      <c r="U387" s="46"/>
      <c r="V387" s="46"/>
      <c r="W387" s="46"/>
      <c r="X387" s="46"/>
      <c r="Y387" s="46"/>
      <c r="Z387" s="46"/>
      <c r="AA387" s="46"/>
      <c r="AB387" s="46"/>
      <c r="AC387" s="46"/>
      <c r="AD387" s="46"/>
      <c r="AE387" s="46"/>
      <c r="AF387" s="46"/>
      <c r="AG387" s="123"/>
      <c r="AH387" s="123"/>
      <c r="AI387" s="123"/>
      <c r="AJ387" s="123"/>
      <c r="AK387" s="46"/>
      <c r="AL387" s="46"/>
      <c r="AM387" s="46"/>
      <c r="AN387" s="46"/>
      <c r="AO387" s="46"/>
    </row>
    <row r="388">
      <c r="A388" s="17"/>
      <c r="B388" s="46"/>
      <c r="C388" s="46"/>
      <c r="D388" s="46"/>
      <c r="E388" s="17"/>
      <c r="F388" s="46"/>
      <c r="G388" s="46"/>
      <c r="H388" s="46"/>
      <c r="I388" s="17"/>
      <c r="J388" s="46"/>
      <c r="K388" s="46"/>
      <c r="L388" s="46"/>
      <c r="M388" s="17"/>
      <c r="N388" s="46"/>
      <c r="O388" s="46"/>
      <c r="P388" s="46"/>
      <c r="Q388" s="46"/>
      <c r="R388" s="46"/>
      <c r="S388" s="46"/>
      <c r="T388" s="46"/>
      <c r="U388" s="46"/>
      <c r="V388" s="46"/>
      <c r="W388" s="46"/>
      <c r="X388" s="46"/>
      <c r="Y388" s="46"/>
      <c r="Z388" s="46"/>
      <c r="AA388" s="46"/>
      <c r="AB388" s="46"/>
      <c r="AC388" s="46"/>
      <c r="AD388" s="46"/>
      <c r="AE388" s="46"/>
      <c r="AF388" s="46"/>
      <c r="AG388" s="123"/>
      <c r="AH388" s="123"/>
      <c r="AI388" s="123"/>
      <c r="AJ388" s="123"/>
      <c r="AK388" s="46"/>
      <c r="AL388" s="46"/>
      <c r="AM388" s="46"/>
      <c r="AN388" s="46"/>
      <c r="AO388" s="46"/>
    </row>
    <row r="389">
      <c r="A389" s="17"/>
      <c r="B389" s="46"/>
      <c r="C389" s="46"/>
      <c r="D389" s="46"/>
      <c r="E389" s="17"/>
      <c r="F389" s="46"/>
      <c r="G389" s="46"/>
      <c r="H389" s="46"/>
      <c r="I389" s="17"/>
      <c r="J389" s="46"/>
      <c r="K389" s="46"/>
      <c r="L389" s="46"/>
      <c r="M389" s="17"/>
      <c r="N389" s="46"/>
      <c r="O389" s="46"/>
      <c r="P389" s="46"/>
      <c r="Q389" s="46"/>
      <c r="R389" s="46"/>
      <c r="S389" s="46"/>
      <c r="T389" s="46"/>
      <c r="U389" s="46"/>
      <c r="V389" s="46"/>
      <c r="W389" s="46"/>
      <c r="X389" s="46"/>
      <c r="Y389" s="46"/>
      <c r="Z389" s="46"/>
      <c r="AA389" s="46"/>
      <c r="AB389" s="46"/>
      <c r="AC389" s="46"/>
      <c r="AD389" s="46"/>
      <c r="AE389" s="46"/>
      <c r="AF389" s="46"/>
      <c r="AG389" s="123"/>
      <c r="AH389" s="123"/>
      <c r="AI389" s="123"/>
      <c r="AJ389" s="123"/>
      <c r="AK389" s="46"/>
      <c r="AL389" s="46"/>
      <c r="AM389" s="46"/>
      <c r="AN389" s="46"/>
      <c r="AO389" s="46"/>
    </row>
    <row r="390">
      <c r="A390" s="17"/>
      <c r="B390" s="46"/>
      <c r="C390" s="46"/>
      <c r="D390" s="46"/>
      <c r="E390" s="17"/>
      <c r="F390" s="46"/>
      <c r="G390" s="46"/>
      <c r="H390" s="46"/>
      <c r="I390" s="17"/>
      <c r="J390" s="46"/>
      <c r="K390" s="46"/>
      <c r="L390" s="46"/>
      <c r="M390" s="17"/>
      <c r="N390" s="46"/>
      <c r="O390" s="46"/>
      <c r="P390" s="46"/>
      <c r="Q390" s="46"/>
      <c r="R390" s="46"/>
      <c r="S390" s="46"/>
      <c r="T390" s="46"/>
      <c r="U390" s="46"/>
      <c r="V390" s="46"/>
      <c r="W390" s="46"/>
      <c r="X390" s="46"/>
      <c r="Y390" s="46"/>
      <c r="Z390" s="46"/>
      <c r="AA390" s="46"/>
      <c r="AB390" s="46"/>
      <c r="AC390" s="46"/>
      <c r="AD390" s="46"/>
      <c r="AE390" s="46"/>
      <c r="AF390" s="46"/>
      <c r="AG390" s="123"/>
      <c r="AH390" s="123"/>
      <c r="AI390" s="123"/>
      <c r="AJ390" s="123"/>
      <c r="AK390" s="46"/>
      <c r="AL390" s="46"/>
      <c r="AM390" s="46"/>
      <c r="AN390" s="46"/>
      <c r="AO390" s="46"/>
    </row>
    <row r="391">
      <c r="A391" s="17"/>
      <c r="B391" s="46"/>
      <c r="C391" s="46"/>
      <c r="D391" s="46"/>
      <c r="E391" s="17"/>
      <c r="F391" s="46"/>
      <c r="G391" s="46"/>
      <c r="H391" s="46"/>
      <c r="I391" s="17"/>
      <c r="J391" s="46"/>
      <c r="K391" s="46"/>
      <c r="L391" s="46"/>
      <c r="M391" s="17"/>
      <c r="N391" s="46"/>
      <c r="O391" s="46"/>
      <c r="P391" s="46"/>
      <c r="Q391" s="46"/>
      <c r="R391" s="46"/>
      <c r="S391" s="46"/>
      <c r="T391" s="46"/>
      <c r="U391" s="46"/>
      <c r="V391" s="46"/>
      <c r="W391" s="46"/>
      <c r="X391" s="46"/>
      <c r="Y391" s="46"/>
      <c r="Z391" s="46"/>
      <c r="AA391" s="46"/>
      <c r="AB391" s="46"/>
      <c r="AC391" s="46"/>
      <c r="AD391" s="46"/>
      <c r="AE391" s="46"/>
      <c r="AF391" s="46"/>
      <c r="AG391" s="123"/>
      <c r="AH391" s="123"/>
      <c r="AI391" s="123"/>
      <c r="AJ391" s="123"/>
      <c r="AK391" s="46"/>
      <c r="AL391" s="46"/>
      <c r="AM391" s="46"/>
      <c r="AN391" s="46"/>
      <c r="AO391" s="46"/>
    </row>
    <row r="392">
      <c r="A392" s="17"/>
      <c r="B392" s="46"/>
      <c r="C392" s="46"/>
      <c r="D392" s="46"/>
      <c r="E392" s="17"/>
      <c r="F392" s="46"/>
      <c r="G392" s="46"/>
      <c r="H392" s="46"/>
      <c r="I392" s="17"/>
      <c r="J392" s="46"/>
      <c r="K392" s="46"/>
      <c r="L392" s="46"/>
      <c r="M392" s="17"/>
      <c r="N392" s="46"/>
      <c r="O392" s="46"/>
      <c r="P392" s="46"/>
      <c r="Q392" s="46"/>
      <c r="R392" s="46"/>
      <c r="S392" s="46"/>
      <c r="T392" s="46"/>
      <c r="U392" s="46"/>
      <c r="V392" s="46"/>
      <c r="W392" s="46"/>
      <c r="X392" s="46"/>
      <c r="Y392" s="46"/>
      <c r="Z392" s="46"/>
      <c r="AA392" s="46"/>
      <c r="AB392" s="46"/>
      <c r="AC392" s="46"/>
      <c r="AD392" s="46"/>
      <c r="AE392" s="46"/>
      <c r="AF392" s="46"/>
      <c r="AG392" s="123"/>
      <c r="AH392" s="123"/>
      <c r="AI392" s="123"/>
      <c r="AJ392" s="123"/>
      <c r="AK392" s="46"/>
      <c r="AL392" s="46"/>
      <c r="AM392" s="46"/>
      <c r="AN392" s="46"/>
      <c r="AO392" s="46"/>
    </row>
    <row r="393">
      <c r="A393" s="17"/>
      <c r="B393" s="46"/>
      <c r="C393" s="46"/>
      <c r="D393" s="46"/>
      <c r="E393" s="17"/>
      <c r="F393" s="46"/>
      <c r="G393" s="46"/>
      <c r="H393" s="46"/>
      <c r="I393" s="17"/>
      <c r="J393" s="46"/>
      <c r="K393" s="46"/>
      <c r="L393" s="46"/>
      <c r="M393" s="17"/>
      <c r="N393" s="46"/>
      <c r="O393" s="46"/>
      <c r="P393" s="46"/>
      <c r="Q393" s="46"/>
      <c r="R393" s="46"/>
      <c r="S393" s="46"/>
      <c r="T393" s="46"/>
      <c r="U393" s="46"/>
      <c r="V393" s="46"/>
      <c r="W393" s="46"/>
      <c r="X393" s="46"/>
      <c r="Y393" s="46"/>
      <c r="Z393" s="46"/>
      <c r="AA393" s="46"/>
      <c r="AB393" s="46"/>
      <c r="AC393" s="46"/>
      <c r="AD393" s="46"/>
      <c r="AE393" s="46"/>
      <c r="AF393" s="46"/>
      <c r="AG393" s="123"/>
      <c r="AH393" s="123"/>
      <c r="AI393" s="123"/>
      <c r="AJ393" s="123"/>
      <c r="AK393" s="46"/>
      <c r="AL393" s="46"/>
      <c r="AM393" s="46"/>
      <c r="AN393" s="46"/>
      <c r="AO393" s="46"/>
    </row>
    <row r="394">
      <c r="A394" s="17"/>
      <c r="B394" s="46"/>
      <c r="C394" s="46"/>
      <c r="D394" s="46"/>
      <c r="E394" s="17"/>
      <c r="F394" s="46"/>
      <c r="G394" s="46"/>
      <c r="H394" s="46"/>
      <c r="I394" s="17"/>
      <c r="J394" s="46"/>
      <c r="K394" s="46"/>
      <c r="L394" s="46"/>
      <c r="M394" s="17"/>
      <c r="N394" s="46"/>
      <c r="O394" s="46"/>
      <c r="P394" s="46"/>
      <c r="Q394" s="46"/>
      <c r="R394" s="46"/>
      <c r="S394" s="46"/>
      <c r="T394" s="46"/>
      <c r="U394" s="46"/>
      <c r="V394" s="46"/>
      <c r="W394" s="46"/>
      <c r="X394" s="46"/>
      <c r="Y394" s="46"/>
      <c r="Z394" s="46"/>
      <c r="AA394" s="46"/>
      <c r="AB394" s="46"/>
      <c r="AC394" s="46"/>
      <c r="AD394" s="46"/>
      <c r="AE394" s="46"/>
      <c r="AF394" s="46"/>
      <c r="AG394" s="123"/>
      <c r="AH394" s="123"/>
      <c r="AI394" s="123"/>
      <c r="AJ394" s="123"/>
      <c r="AK394" s="46"/>
      <c r="AL394" s="46"/>
      <c r="AM394" s="46"/>
      <c r="AN394" s="46"/>
      <c r="AO394" s="46"/>
    </row>
    <row r="395">
      <c r="A395" s="17"/>
      <c r="B395" s="46"/>
      <c r="C395" s="46"/>
      <c r="D395" s="46"/>
      <c r="E395" s="17"/>
      <c r="F395" s="46"/>
      <c r="G395" s="46"/>
      <c r="H395" s="46"/>
      <c r="I395" s="17"/>
      <c r="J395" s="46"/>
      <c r="K395" s="46"/>
      <c r="L395" s="46"/>
      <c r="M395" s="17"/>
      <c r="N395" s="46"/>
      <c r="O395" s="46"/>
      <c r="P395" s="46"/>
      <c r="Q395" s="46"/>
      <c r="R395" s="46"/>
      <c r="S395" s="46"/>
      <c r="T395" s="46"/>
      <c r="U395" s="46"/>
      <c r="V395" s="46"/>
      <c r="W395" s="46"/>
      <c r="X395" s="46"/>
      <c r="Y395" s="46"/>
      <c r="Z395" s="46"/>
      <c r="AA395" s="46"/>
      <c r="AB395" s="46"/>
      <c r="AC395" s="46"/>
      <c r="AD395" s="46"/>
      <c r="AE395" s="46"/>
      <c r="AF395" s="46"/>
      <c r="AG395" s="123"/>
      <c r="AH395" s="123"/>
      <c r="AI395" s="123"/>
      <c r="AJ395" s="123"/>
      <c r="AK395" s="46"/>
      <c r="AL395" s="46"/>
      <c r="AM395" s="46"/>
      <c r="AN395" s="46"/>
      <c r="AO395" s="46"/>
    </row>
    <row r="396">
      <c r="A396" s="17"/>
      <c r="B396" s="46"/>
      <c r="C396" s="46"/>
      <c r="D396" s="46"/>
      <c r="E396" s="17"/>
      <c r="F396" s="46"/>
      <c r="G396" s="46"/>
      <c r="H396" s="46"/>
      <c r="I396" s="17"/>
      <c r="J396" s="46"/>
      <c r="K396" s="46"/>
      <c r="L396" s="46"/>
      <c r="M396" s="17"/>
      <c r="N396" s="46"/>
      <c r="O396" s="46"/>
      <c r="P396" s="46"/>
      <c r="Q396" s="46"/>
      <c r="R396" s="46"/>
      <c r="S396" s="46"/>
      <c r="T396" s="46"/>
      <c r="U396" s="46"/>
      <c r="V396" s="46"/>
      <c r="W396" s="46"/>
      <c r="X396" s="46"/>
      <c r="Y396" s="46"/>
      <c r="Z396" s="46"/>
      <c r="AA396" s="46"/>
      <c r="AB396" s="46"/>
      <c r="AC396" s="46"/>
      <c r="AD396" s="46"/>
      <c r="AE396" s="46"/>
      <c r="AF396" s="46"/>
      <c r="AG396" s="123"/>
      <c r="AH396" s="123"/>
      <c r="AI396" s="123"/>
      <c r="AJ396" s="123"/>
      <c r="AK396" s="46"/>
      <c r="AL396" s="46"/>
      <c r="AM396" s="46"/>
      <c r="AN396" s="46"/>
      <c r="AO396" s="46"/>
    </row>
    <row r="397">
      <c r="A397" s="17"/>
      <c r="B397" s="46"/>
      <c r="C397" s="46"/>
      <c r="D397" s="46"/>
      <c r="E397" s="17"/>
      <c r="F397" s="46"/>
      <c r="G397" s="46"/>
      <c r="H397" s="46"/>
      <c r="I397" s="17"/>
      <c r="J397" s="46"/>
      <c r="K397" s="46"/>
      <c r="L397" s="46"/>
      <c r="M397" s="17"/>
      <c r="N397" s="46"/>
      <c r="O397" s="46"/>
      <c r="P397" s="46"/>
      <c r="Q397" s="46"/>
      <c r="R397" s="46"/>
      <c r="S397" s="46"/>
      <c r="T397" s="46"/>
      <c r="U397" s="46"/>
      <c r="V397" s="46"/>
      <c r="W397" s="46"/>
      <c r="X397" s="46"/>
      <c r="Y397" s="46"/>
      <c r="Z397" s="46"/>
      <c r="AA397" s="46"/>
      <c r="AB397" s="46"/>
      <c r="AC397" s="46"/>
      <c r="AD397" s="46"/>
      <c r="AE397" s="46"/>
      <c r="AF397" s="46"/>
      <c r="AG397" s="123"/>
      <c r="AH397" s="123"/>
      <c r="AI397" s="123"/>
      <c r="AJ397" s="123"/>
      <c r="AK397" s="46"/>
      <c r="AL397" s="46"/>
      <c r="AM397" s="46"/>
      <c r="AN397" s="46"/>
      <c r="AO397" s="46"/>
    </row>
    <row r="398">
      <c r="A398" s="17"/>
      <c r="B398" s="46"/>
      <c r="C398" s="46"/>
      <c r="D398" s="46"/>
      <c r="E398" s="17"/>
      <c r="F398" s="46"/>
      <c r="G398" s="46"/>
      <c r="H398" s="46"/>
      <c r="I398" s="17"/>
      <c r="J398" s="46"/>
      <c r="K398" s="46"/>
      <c r="L398" s="46"/>
      <c r="M398" s="17"/>
      <c r="N398" s="46"/>
      <c r="O398" s="46"/>
      <c r="P398" s="46"/>
      <c r="Q398" s="46"/>
      <c r="R398" s="46"/>
      <c r="S398" s="46"/>
      <c r="T398" s="46"/>
      <c r="U398" s="46"/>
      <c r="V398" s="46"/>
      <c r="W398" s="46"/>
      <c r="X398" s="46"/>
      <c r="Y398" s="46"/>
      <c r="Z398" s="46"/>
      <c r="AA398" s="46"/>
      <c r="AB398" s="46"/>
      <c r="AC398" s="46"/>
      <c r="AD398" s="46"/>
      <c r="AE398" s="46"/>
      <c r="AF398" s="46"/>
      <c r="AG398" s="123"/>
      <c r="AH398" s="123"/>
      <c r="AI398" s="123"/>
      <c r="AJ398" s="123"/>
      <c r="AK398" s="46"/>
      <c r="AL398" s="46"/>
      <c r="AM398" s="46"/>
      <c r="AN398" s="46"/>
      <c r="AO398" s="46"/>
    </row>
    <row r="399">
      <c r="A399" s="17"/>
      <c r="B399" s="46"/>
      <c r="C399" s="46"/>
      <c r="D399" s="46"/>
      <c r="E399" s="17"/>
      <c r="F399" s="46"/>
      <c r="G399" s="46"/>
      <c r="H399" s="46"/>
      <c r="I399" s="17"/>
      <c r="J399" s="46"/>
      <c r="K399" s="46"/>
      <c r="L399" s="46"/>
      <c r="M399" s="17"/>
      <c r="N399" s="46"/>
      <c r="O399" s="46"/>
      <c r="P399" s="46"/>
      <c r="Q399" s="46"/>
      <c r="R399" s="46"/>
      <c r="S399" s="46"/>
      <c r="T399" s="46"/>
      <c r="U399" s="46"/>
      <c r="V399" s="46"/>
      <c r="W399" s="46"/>
      <c r="X399" s="46"/>
      <c r="Y399" s="46"/>
      <c r="Z399" s="46"/>
      <c r="AA399" s="46"/>
      <c r="AB399" s="46"/>
      <c r="AC399" s="46"/>
      <c r="AD399" s="46"/>
      <c r="AE399" s="46"/>
      <c r="AF399" s="46"/>
      <c r="AG399" s="123"/>
      <c r="AH399" s="123"/>
      <c r="AI399" s="123"/>
      <c r="AJ399" s="123"/>
      <c r="AK399" s="46"/>
      <c r="AL399" s="46"/>
      <c r="AM399" s="46"/>
      <c r="AN399" s="46"/>
      <c r="AO399" s="46"/>
    </row>
    <row r="400">
      <c r="A400" s="17"/>
      <c r="B400" s="46"/>
      <c r="C400" s="46"/>
      <c r="D400" s="46"/>
      <c r="E400" s="17"/>
      <c r="F400" s="46"/>
      <c r="G400" s="46"/>
      <c r="H400" s="46"/>
      <c r="I400" s="17"/>
      <c r="J400" s="46"/>
      <c r="K400" s="46"/>
      <c r="L400" s="46"/>
      <c r="M400" s="17"/>
      <c r="N400" s="46"/>
      <c r="O400" s="46"/>
      <c r="P400" s="46"/>
      <c r="Q400" s="46"/>
      <c r="R400" s="46"/>
      <c r="S400" s="46"/>
      <c r="T400" s="46"/>
      <c r="U400" s="46"/>
      <c r="V400" s="46"/>
      <c r="W400" s="46"/>
      <c r="X400" s="46"/>
      <c r="Y400" s="46"/>
      <c r="Z400" s="46"/>
      <c r="AA400" s="46"/>
      <c r="AB400" s="46"/>
      <c r="AC400" s="46"/>
      <c r="AD400" s="46"/>
      <c r="AE400" s="46"/>
      <c r="AF400" s="46"/>
      <c r="AG400" s="123"/>
      <c r="AH400" s="123"/>
      <c r="AI400" s="123"/>
      <c r="AJ400" s="123"/>
      <c r="AK400" s="46"/>
      <c r="AL400" s="46"/>
      <c r="AM400" s="46"/>
      <c r="AN400" s="46"/>
      <c r="AO400" s="46"/>
    </row>
    <row r="401">
      <c r="A401" s="17"/>
      <c r="B401" s="46"/>
      <c r="C401" s="46"/>
      <c r="D401" s="46"/>
      <c r="E401" s="17"/>
      <c r="F401" s="46"/>
      <c r="G401" s="46"/>
      <c r="H401" s="46"/>
      <c r="I401" s="17"/>
      <c r="J401" s="46"/>
      <c r="K401" s="46"/>
      <c r="L401" s="46"/>
      <c r="M401" s="17"/>
      <c r="N401" s="46"/>
      <c r="O401" s="46"/>
      <c r="P401" s="46"/>
      <c r="Q401" s="46"/>
      <c r="R401" s="46"/>
      <c r="S401" s="46"/>
      <c r="T401" s="46"/>
      <c r="U401" s="46"/>
      <c r="V401" s="46"/>
      <c r="W401" s="46"/>
      <c r="X401" s="46"/>
      <c r="Y401" s="46"/>
      <c r="Z401" s="46"/>
      <c r="AA401" s="46"/>
      <c r="AB401" s="46"/>
      <c r="AC401" s="46"/>
      <c r="AD401" s="46"/>
      <c r="AE401" s="46"/>
      <c r="AF401" s="46"/>
      <c r="AG401" s="123"/>
      <c r="AH401" s="123"/>
      <c r="AI401" s="123"/>
      <c r="AJ401" s="123"/>
      <c r="AK401" s="46"/>
      <c r="AL401" s="46"/>
      <c r="AM401" s="46"/>
      <c r="AN401" s="46"/>
      <c r="AO401" s="46"/>
    </row>
    <row r="402">
      <c r="A402" s="17"/>
      <c r="B402" s="46"/>
      <c r="C402" s="46"/>
      <c r="D402" s="46"/>
      <c r="E402" s="17"/>
      <c r="F402" s="46"/>
      <c r="G402" s="46"/>
      <c r="H402" s="46"/>
      <c r="I402" s="17"/>
      <c r="J402" s="46"/>
      <c r="K402" s="46"/>
      <c r="L402" s="46"/>
      <c r="M402" s="17"/>
      <c r="N402" s="46"/>
      <c r="O402" s="46"/>
      <c r="P402" s="46"/>
      <c r="Q402" s="46"/>
      <c r="R402" s="46"/>
      <c r="S402" s="46"/>
      <c r="T402" s="46"/>
      <c r="U402" s="46"/>
      <c r="V402" s="46"/>
      <c r="W402" s="46"/>
      <c r="X402" s="46"/>
      <c r="Y402" s="46"/>
      <c r="Z402" s="46"/>
      <c r="AA402" s="46"/>
      <c r="AB402" s="46"/>
      <c r="AC402" s="46"/>
      <c r="AD402" s="46"/>
      <c r="AE402" s="46"/>
      <c r="AF402" s="46"/>
      <c r="AG402" s="123"/>
      <c r="AH402" s="123"/>
      <c r="AI402" s="123"/>
      <c r="AJ402" s="123"/>
      <c r="AK402" s="46"/>
      <c r="AL402" s="46"/>
      <c r="AM402" s="46"/>
      <c r="AN402" s="46"/>
      <c r="AO402" s="46"/>
    </row>
    <row r="403">
      <c r="A403" s="17"/>
      <c r="B403" s="46"/>
      <c r="C403" s="46"/>
      <c r="D403" s="46"/>
      <c r="E403" s="17"/>
      <c r="F403" s="46"/>
      <c r="G403" s="46"/>
      <c r="H403" s="46"/>
      <c r="I403" s="17"/>
      <c r="J403" s="46"/>
      <c r="K403" s="46"/>
      <c r="L403" s="46"/>
      <c r="M403" s="17"/>
      <c r="N403" s="46"/>
      <c r="O403" s="46"/>
      <c r="P403" s="46"/>
      <c r="Q403" s="46"/>
      <c r="R403" s="46"/>
      <c r="S403" s="46"/>
      <c r="T403" s="46"/>
      <c r="U403" s="46"/>
      <c r="V403" s="46"/>
      <c r="W403" s="46"/>
      <c r="X403" s="46"/>
      <c r="Y403" s="46"/>
      <c r="Z403" s="46"/>
      <c r="AA403" s="46"/>
      <c r="AB403" s="46"/>
      <c r="AC403" s="46"/>
      <c r="AD403" s="46"/>
      <c r="AE403" s="46"/>
      <c r="AF403" s="46"/>
      <c r="AG403" s="123"/>
      <c r="AH403" s="123"/>
      <c r="AI403" s="123"/>
      <c r="AJ403" s="123"/>
      <c r="AK403" s="46"/>
      <c r="AL403" s="46"/>
      <c r="AM403" s="46"/>
      <c r="AN403" s="46"/>
      <c r="AO403" s="46"/>
    </row>
    <row r="404">
      <c r="A404" s="17"/>
      <c r="B404" s="46"/>
      <c r="C404" s="46"/>
      <c r="D404" s="46"/>
      <c r="E404" s="17"/>
      <c r="F404" s="46"/>
      <c r="G404" s="46"/>
      <c r="H404" s="46"/>
      <c r="I404" s="17"/>
      <c r="J404" s="46"/>
      <c r="K404" s="46"/>
      <c r="L404" s="46"/>
      <c r="M404" s="17"/>
      <c r="N404" s="46"/>
      <c r="O404" s="46"/>
      <c r="P404" s="46"/>
      <c r="Q404" s="46"/>
      <c r="R404" s="46"/>
      <c r="S404" s="46"/>
      <c r="T404" s="46"/>
      <c r="U404" s="46"/>
      <c r="V404" s="46"/>
      <c r="W404" s="46"/>
      <c r="X404" s="46"/>
      <c r="Y404" s="46"/>
      <c r="Z404" s="46"/>
      <c r="AA404" s="46"/>
      <c r="AB404" s="46"/>
      <c r="AC404" s="46"/>
      <c r="AD404" s="46"/>
      <c r="AE404" s="46"/>
      <c r="AF404" s="46"/>
      <c r="AG404" s="123"/>
      <c r="AH404" s="123"/>
      <c r="AI404" s="123"/>
      <c r="AJ404" s="123"/>
      <c r="AK404" s="46"/>
      <c r="AL404" s="46"/>
      <c r="AM404" s="46"/>
      <c r="AN404" s="46"/>
      <c r="AO404" s="46"/>
    </row>
    <row r="405">
      <c r="A405" s="17"/>
      <c r="B405" s="46"/>
      <c r="C405" s="46"/>
      <c r="D405" s="46"/>
      <c r="E405" s="17"/>
      <c r="F405" s="46"/>
      <c r="G405" s="46"/>
      <c r="H405" s="46"/>
      <c r="I405" s="17"/>
      <c r="J405" s="46"/>
      <c r="K405" s="46"/>
      <c r="L405" s="46"/>
      <c r="M405" s="17"/>
      <c r="N405" s="46"/>
      <c r="O405" s="46"/>
      <c r="P405" s="46"/>
      <c r="Q405" s="46"/>
      <c r="R405" s="46"/>
      <c r="S405" s="46"/>
      <c r="T405" s="46"/>
      <c r="U405" s="46"/>
      <c r="V405" s="46"/>
      <c r="W405" s="46"/>
      <c r="X405" s="46"/>
      <c r="Y405" s="46"/>
      <c r="Z405" s="46"/>
      <c r="AA405" s="46"/>
      <c r="AB405" s="46"/>
      <c r="AC405" s="46"/>
      <c r="AD405" s="46"/>
      <c r="AE405" s="46"/>
      <c r="AF405" s="46"/>
      <c r="AG405" s="123"/>
      <c r="AH405" s="123"/>
      <c r="AI405" s="123"/>
      <c r="AJ405" s="123"/>
      <c r="AK405" s="46"/>
      <c r="AL405" s="46"/>
      <c r="AM405" s="46"/>
      <c r="AN405" s="46"/>
      <c r="AO405" s="46"/>
    </row>
    <row r="406">
      <c r="A406" s="17"/>
      <c r="B406" s="46"/>
      <c r="C406" s="46"/>
      <c r="D406" s="46"/>
      <c r="E406" s="17"/>
      <c r="F406" s="46"/>
      <c r="G406" s="46"/>
      <c r="H406" s="46"/>
      <c r="I406" s="17"/>
      <c r="J406" s="46"/>
      <c r="K406" s="46"/>
      <c r="L406" s="46"/>
      <c r="M406" s="17"/>
      <c r="N406" s="46"/>
      <c r="O406" s="46"/>
      <c r="P406" s="46"/>
      <c r="Q406" s="46"/>
      <c r="R406" s="46"/>
      <c r="S406" s="46"/>
      <c r="T406" s="46"/>
      <c r="U406" s="46"/>
      <c r="V406" s="46"/>
      <c r="W406" s="46"/>
      <c r="X406" s="46"/>
      <c r="Y406" s="46"/>
      <c r="Z406" s="46"/>
      <c r="AA406" s="46"/>
      <c r="AB406" s="46"/>
      <c r="AC406" s="46"/>
      <c r="AD406" s="46"/>
      <c r="AE406" s="46"/>
      <c r="AF406" s="46"/>
      <c r="AG406" s="123"/>
      <c r="AH406" s="123"/>
      <c r="AI406" s="123"/>
      <c r="AJ406" s="123"/>
      <c r="AK406" s="46"/>
      <c r="AL406" s="46"/>
      <c r="AM406" s="46"/>
      <c r="AN406" s="46"/>
      <c r="AO406" s="46"/>
    </row>
    <row r="407">
      <c r="A407" s="17"/>
      <c r="B407" s="46"/>
      <c r="C407" s="46"/>
      <c r="D407" s="46"/>
      <c r="E407" s="17"/>
      <c r="F407" s="46"/>
      <c r="G407" s="46"/>
      <c r="H407" s="46"/>
      <c r="I407" s="17"/>
      <c r="J407" s="46"/>
      <c r="K407" s="46"/>
      <c r="L407" s="46"/>
      <c r="M407" s="17"/>
      <c r="N407" s="46"/>
      <c r="O407" s="46"/>
      <c r="P407" s="46"/>
      <c r="Q407" s="46"/>
      <c r="R407" s="46"/>
      <c r="S407" s="46"/>
      <c r="T407" s="46"/>
      <c r="U407" s="46"/>
      <c r="V407" s="46"/>
      <c r="W407" s="46"/>
      <c r="X407" s="46"/>
      <c r="Y407" s="46"/>
      <c r="Z407" s="46"/>
      <c r="AA407" s="46"/>
      <c r="AB407" s="46"/>
      <c r="AC407" s="46"/>
      <c r="AD407" s="46"/>
      <c r="AE407" s="46"/>
      <c r="AF407" s="46"/>
      <c r="AG407" s="123"/>
      <c r="AH407" s="123"/>
      <c r="AI407" s="123"/>
      <c r="AJ407" s="123"/>
      <c r="AK407" s="46"/>
      <c r="AL407" s="46"/>
      <c r="AM407" s="46"/>
      <c r="AN407" s="46"/>
      <c r="AO407" s="46"/>
    </row>
    <row r="408">
      <c r="A408" s="17"/>
      <c r="B408" s="46"/>
      <c r="C408" s="46"/>
      <c r="D408" s="46"/>
      <c r="E408" s="17"/>
      <c r="F408" s="46"/>
      <c r="G408" s="46"/>
      <c r="H408" s="46"/>
      <c r="I408" s="17"/>
      <c r="J408" s="46"/>
      <c r="K408" s="46"/>
      <c r="L408" s="46"/>
      <c r="M408" s="17"/>
      <c r="N408" s="46"/>
      <c r="O408" s="46"/>
      <c r="P408" s="46"/>
      <c r="Q408" s="46"/>
      <c r="R408" s="46"/>
      <c r="S408" s="46"/>
      <c r="T408" s="46"/>
      <c r="U408" s="46"/>
      <c r="V408" s="46"/>
      <c r="W408" s="46"/>
      <c r="X408" s="46"/>
      <c r="Y408" s="46"/>
      <c r="Z408" s="46"/>
      <c r="AA408" s="46"/>
      <c r="AB408" s="46"/>
      <c r="AC408" s="46"/>
      <c r="AD408" s="46"/>
      <c r="AE408" s="46"/>
      <c r="AF408" s="46"/>
      <c r="AG408" s="123"/>
      <c r="AH408" s="123"/>
      <c r="AI408" s="123"/>
      <c r="AJ408" s="123"/>
      <c r="AK408" s="46"/>
      <c r="AL408" s="46"/>
      <c r="AM408" s="46"/>
      <c r="AN408" s="46"/>
      <c r="AO408" s="46"/>
    </row>
    <row r="409">
      <c r="A409" s="17"/>
      <c r="B409" s="46"/>
      <c r="C409" s="46"/>
      <c r="D409" s="46"/>
      <c r="E409" s="17"/>
      <c r="F409" s="46"/>
      <c r="G409" s="46"/>
      <c r="H409" s="46"/>
      <c r="I409" s="17"/>
      <c r="J409" s="46"/>
      <c r="K409" s="46"/>
      <c r="L409" s="46"/>
      <c r="M409" s="17"/>
      <c r="N409" s="46"/>
      <c r="O409" s="46"/>
      <c r="P409" s="46"/>
      <c r="Q409" s="46"/>
      <c r="R409" s="46"/>
      <c r="S409" s="46"/>
      <c r="T409" s="46"/>
      <c r="U409" s="46"/>
      <c r="V409" s="46"/>
      <c r="W409" s="46"/>
      <c r="X409" s="46"/>
      <c r="Y409" s="46"/>
      <c r="Z409" s="46"/>
      <c r="AA409" s="46"/>
      <c r="AB409" s="46"/>
      <c r="AC409" s="46"/>
      <c r="AD409" s="46"/>
      <c r="AE409" s="46"/>
      <c r="AF409" s="46"/>
      <c r="AG409" s="123"/>
      <c r="AH409" s="123"/>
      <c r="AI409" s="123"/>
      <c r="AJ409" s="123"/>
      <c r="AK409" s="46"/>
      <c r="AL409" s="46"/>
      <c r="AM409" s="46"/>
      <c r="AN409" s="46"/>
      <c r="AO409" s="46"/>
    </row>
    <row r="410">
      <c r="A410" s="17"/>
      <c r="B410" s="46"/>
      <c r="C410" s="46"/>
      <c r="D410" s="46"/>
      <c r="E410" s="17"/>
      <c r="F410" s="46"/>
      <c r="G410" s="46"/>
      <c r="H410" s="46"/>
      <c r="I410" s="17"/>
      <c r="J410" s="46"/>
      <c r="K410" s="46"/>
      <c r="L410" s="46"/>
      <c r="M410" s="17"/>
      <c r="N410" s="46"/>
      <c r="O410" s="46"/>
      <c r="P410" s="46"/>
      <c r="Q410" s="46"/>
      <c r="R410" s="46"/>
      <c r="S410" s="46"/>
      <c r="T410" s="46"/>
      <c r="U410" s="46"/>
      <c r="V410" s="46"/>
      <c r="W410" s="46"/>
      <c r="X410" s="46"/>
      <c r="Y410" s="46"/>
      <c r="Z410" s="46"/>
      <c r="AA410" s="46"/>
      <c r="AB410" s="46"/>
      <c r="AC410" s="46"/>
      <c r="AD410" s="46"/>
      <c r="AE410" s="46"/>
      <c r="AF410" s="46"/>
      <c r="AG410" s="123"/>
      <c r="AH410" s="123"/>
      <c r="AI410" s="123"/>
      <c r="AJ410" s="123"/>
      <c r="AK410" s="46"/>
      <c r="AL410" s="46"/>
      <c r="AM410" s="46"/>
      <c r="AN410" s="46"/>
      <c r="AO410" s="46"/>
    </row>
    <row r="411">
      <c r="A411" s="17"/>
      <c r="B411" s="46"/>
      <c r="C411" s="46"/>
      <c r="D411" s="46"/>
      <c r="E411" s="17"/>
      <c r="F411" s="46"/>
      <c r="G411" s="46"/>
      <c r="H411" s="46"/>
      <c r="I411" s="17"/>
      <c r="J411" s="46"/>
      <c r="K411" s="46"/>
      <c r="L411" s="46"/>
      <c r="M411" s="17"/>
      <c r="N411" s="46"/>
      <c r="O411" s="46"/>
      <c r="P411" s="46"/>
      <c r="Q411" s="46"/>
      <c r="R411" s="46"/>
      <c r="S411" s="46"/>
      <c r="T411" s="46"/>
      <c r="U411" s="46"/>
      <c r="V411" s="46"/>
      <c r="W411" s="46"/>
      <c r="X411" s="46"/>
      <c r="Y411" s="46"/>
      <c r="Z411" s="46"/>
      <c r="AA411" s="46"/>
      <c r="AB411" s="46"/>
      <c r="AC411" s="46"/>
      <c r="AD411" s="46"/>
      <c r="AE411" s="46"/>
      <c r="AF411" s="46"/>
      <c r="AG411" s="123"/>
      <c r="AH411" s="123"/>
      <c r="AI411" s="123"/>
      <c r="AJ411" s="123"/>
      <c r="AK411" s="46"/>
      <c r="AL411" s="46"/>
      <c r="AM411" s="46"/>
      <c r="AN411" s="46"/>
      <c r="AO411" s="46"/>
    </row>
    <row r="412">
      <c r="A412" s="17"/>
      <c r="B412" s="46"/>
      <c r="C412" s="46"/>
      <c r="D412" s="46"/>
      <c r="E412" s="17"/>
      <c r="F412" s="46"/>
      <c r="G412" s="46"/>
      <c r="H412" s="46"/>
      <c r="I412" s="17"/>
      <c r="J412" s="46"/>
      <c r="K412" s="46"/>
      <c r="L412" s="46"/>
      <c r="M412" s="17"/>
      <c r="N412" s="46"/>
      <c r="O412" s="46"/>
      <c r="P412" s="46"/>
      <c r="Q412" s="46"/>
      <c r="R412" s="46"/>
      <c r="S412" s="46"/>
      <c r="T412" s="46"/>
      <c r="U412" s="46"/>
      <c r="V412" s="46"/>
      <c r="W412" s="46"/>
      <c r="X412" s="46"/>
      <c r="Y412" s="46"/>
      <c r="Z412" s="46"/>
      <c r="AA412" s="46"/>
      <c r="AB412" s="46"/>
      <c r="AC412" s="46"/>
      <c r="AD412" s="46"/>
      <c r="AE412" s="46"/>
      <c r="AF412" s="46"/>
      <c r="AG412" s="123"/>
      <c r="AH412" s="123"/>
      <c r="AI412" s="123"/>
      <c r="AJ412" s="123"/>
      <c r="AK412" s="46"/>
      <c r="AL412" s="46"/>
      <c r="AM412" s="46"/>
      <c r="AN412" s="46"/>
      <c r="AO412" s="46"/>
    </row>
    <row r="413">
      <c r="A413" s="17"/>
      <c r="B413" s="46"/>
      <c r="C413" s="46"/>
      <c r="D413" s="46"/>
      <c r="E413" s="17"/>
      <c r="F413" s="46"/>
      <c r="G413" s="46"/>
      <c r="H413" s="46"/>
      <c r="I413" s="17"/>
      <c r="J413" s="46"/>
      <c r="K413" s="46"/>
      <c r="L413" s="46"/>
      <c r="M413" s="17"/>
      <c r="N413" s="46"/>
      <c r="O413" s="46"/>
      <c r="P413" s="46"/>
      <c r="Q413" s="46"/>
      <c r="R413" s="46"/>
      <c r="S413" s="46"/>
      <c r="T413" s="46"/>
      <c r="U413" s="46"/>
      <c r="V413" s="46"/>
      <c r="W413" s="46"/>
      <c r="X413" s="46"/>
      <c r="Y413" s="46"/>
      <c r="Z413" s="46"/>
      <c r="AA413" s="46"/>
      <c r="AB413" s="46"/>
      <c r="AC413" s="46"/>
      <c r="AD413" s="46"/>
      <c r="AE413" s="46"/>
      <c r="AF413" s="46"/>
      <c r="AG413" s="123"/>
      <c r="AH413" s="123"/>
      <c r="AI413" s="123"/>
      <c r="AJ413" s="123"/>
      <c r="AK413" s="46"/>
      <c r="AL413" s="46"/>
      <c r="AM413" s="46"/>
      <c r="AN413" s="46"/>
      <c r="AO413" s="46"/>
    </row>
    <row r="414">
      <c r="A414" s="17"/>
      <c r="B414" s="46"/>
      <c r="C414" s="46"/>
      <c r="D414" s="46"/>
      <c r="E414" s="17"/>
      <c r="F414" s="46"/>
      <c r="G414" s="46"/>
      <c r="H414" s="46"/>
      <c r="I414" s="17"/>
      <c r="J414" s="46"/>
      <c r="K414" s="46"/>
      <c r="L414" s="46"/>
      <c r="M414" s="17"/>
      <c r="N414" s="46"/>
      <c r="O414" s="46"/>
      <c r="P414" s="46"/>
      <c r="Q414" s="46"/>
      <c r="R414" s="46"/>
      <c r="S414" s="46"/>
      <c r="T414" s="46"/>
      <c r="U414" s="46"/>
      <c r="V414" s="46"/>
      <c r="W414" s="46"/>
      <c r="X414" s="46"/>
      <c r="Y414" s="46"/>
      <c r="Z414" s="46"/>
      <c r="AA414" s="46"/>
      <c r="AB414" s="46"/>
      <c r="AC414" s="46"/>
      <c r="AD414" s="46"/>
      <c r="AE414" s="46"/>
      <c r="AF414" s="46"/>
      <c r="AG414" s="123"/>
      <c r="AH414" s="123"/>
      <c r="AI414" s="123"/>
      <c r="AJ414" s="123"/>
      <c r="AK414" s="46"/>
      <c r="AL414" s="46"/>
      <c r="AM414" s="46"/>
      <c r="AN414" s="46"/>
      <c r="AO414" s="46"/>
    </row>
    <row r="415">
      <c r="A415" s="17"/>
      <c r="B415" s="46"/>
      <c r="C415" s="46"/>
      <c r="D415" s="46"/>
      <c r="E415" s="17"/>
      <c r="F415" s="46"/>
      <c r="G415" s="46"/>
      <c r="H415" s="46"/>
      <c r="I415" s="17"/>
      <c r="J415" s="46"/>
      <c r="K415" s="46"/>
      <c r="L415" s="46"/>
      <c r="M415" s="17"/>
      <c r="N415" s="46"/>
      <c r="O415" s="46"/>
      <c r="P415" s="46"/>
      <c r="Q415" s="46"/>
      <c r="R415" s="46"/>
      <c r="S415" s="46"/>
      <c r="T415" s="46"/>
      <c r="U415" s="46"/>
      <c r="V415" s="46"/>
      <c r="W415" s="46"/>
      <c r="X415" s="46"/>
      <c r="Y415" s="46"/>
      <c r="Z415" s="46"/>
      <c r="AA415" s="46"/>
      <c r="AB415" s="46"/>
      <c r="AC415" s="46"/>
      <c r="AD415" s="46"/>
      <c r="AE415" s="46"/>
      <c r="AF415" s="46"/>
      <c r="AG415" s="123"/>
      <c r="AH415" s="123"/>
      <c r="AI415" s="123"/>
      <c r="AJ415" s="123"/>
      <c r="AK415" s="46"/>
      <c r="AL415" s="46"/>
      <c r="AM415" s="46"/>
      <c r="AN415" s="46"/>
      <c r="AO415" s="46"/>
    </row>
    <row r="416">
      <c r="A416" s="17"/>
      <c r="B416" s="46"/>
      <c r="C416" s="46"/>
      <c r="D416" s="46"/>
      <c r="E416" s="17"/>
      <c r="F416" s="46"/>
      <c r="G416" s="46"/>
      <c r="H416" s="46"/>
      <c r="I416" s="17"/>
      <c r="J416" s="46"/>
      <c r="K416" s="46"/>
      <c r="L416" s="46"/>
      <c r="M416" s="17"/>
      <c r="N416" s="46"/>
      <c r="O416" s="46"/>
      <c r="P416" s="46"/>
      <c r="Q416" s="46"/>
      <c r="R416" s="46"/>
      <c r="S416" s="46"/>
      <c r="T416" s="46"/>
      <c r="U416" s="46"/>
      <c r="V416" s="46"/>
      <c r="W416" s="46"/>
      <c r="X416" s="46"/>
      <c r="Y416" s="46"/>
      <c r="Z416" s="46"/>
      <c r="AA416" s="46"/>
      <c r="AB416" s="46"/>
      <c r="AC416" s="46"/>
      <c r="AD416" s="46"/>
      <c r="AE416" s="46"/>
      <c r="AF416" s="46"/>
      <c r="AG416" s="123"/>
      <c r="AH416" s="123"/>
      <c r="AI416" s="123"/>
      <c r="AJ416" s="123"/>
      <c r="AK416" s="46"/>
      <c r="AL416" s="46"/>
      <c r="AM416" s="46"/>
      <c r="AN416" s="46"/>
      <c r="AO416" s="46"/>
    </row>
    <row r="417">
      <c r="A417" s="17"/>
      <c r="B417" s="46"/>
      <c r="C417" s="46"/>
      <c r="D417" s="46"/>
      <c r="E417" s="17"/>
      <c r="F417" s="46"/>
      <c r="G417" s="46"/>
      <c r="H417" s="46"/>
      <c r="I417" s="17"/>
      <c r="J417" s="46"/>
      <c r="K417" s="46"/>
      <c r="L417" s="46"/>
      <c r="M417" s="17"/>
      <c r="N417" s="46"/>
      <c r="O417" s="46"/>
      <c r="P417" s="46"/>
      <c r="Q417" s="46"/>
      <c r="R417" s="46"/>
      <c r="S417" s="46"/>
      <c r="T417" s="46"/>
      <c r="U417" s="46"/>
      <c r="V417" s="46"/>
      <c r="W417" s="46"/>
      <c r="X417" s="46"/>
      <c r="Y417" s="46"/>
      <c r="Z417" s="46"/>
      <c r="AA417" s="46"/>
      <c r="AB417" s="46"/>
      <c r="AC417" s="46"/>
      <c r="AD417" s="46"/>
      <c r="AE417" s="46"/>
      <c r="AF417" s="46"/>
      <c r="AG417" s="123"/>
      <c r="AH417" s="123"/>
      <c r="AI417" s="123"/>
      <c r="AJ417" s="123"/>
      <c r="AK417" s="46"/>
      <c r="AL417" s="46"/>
      <c r="AM417" s="46"/>
      <c r="AN417" s="46"/>
      <c r="AO417" s="46"/>
    </row>
    <row r="418">
      <c r="A418" s="17"/>
      <c r="B418" s="46"/>
      <c r="C418" s="46"/>
      <c r="D418" s="46"/>
      <c r="E418" s="17"/>
      <c r="F418" s="46"/>
      <c r="G418" s="46"/>
      <c r="H418" s="46"/>
      <c r="I418" s="17"/>
      <c r="J418" s="46"/>
      <c r="K418" s="46"/>
      <c r="L418" s="46"/>
      <c r="M418" s="17"/>
      <c r="N418" s="46"/>
      <c r="O418" s="46"/>
      <c r="P418" s="46"/>
      <c r="Q418" s="46"/>
      <c r="R418" s="46"/>
      <c r="S418" s="46"/>
      <c r="T418" s="46"/>
      <c r="U418" s="46"/>
      <c r="V418" s="46"/>
      <c r="W418" s="46"/>
      <c r="X418" s="46"/>
      <c r="Y418" s="46"/>
      <c r="Z418" s="46"/>
      <c r="AA418" s="46"/>
      <c r="AB418" s="46"/>
      <c r="AC418" s="46"/>
      <c r="AD418" s="46"/>
      <c r="AE418" s="46"/>
      <c r="AF418" s="46"/>
      <c r="AG418" s="123"/>
      <c r="AH418" s="123"/>
      <c r="AI418" s="123"/>
      <c r="AJ418" s="123"/>
      <c r="AK418" s="46"/>
      <c r="AL418" s="46"/>
      <c r="AM418" s="46"/>
      <c r="AN418" s="46"/>
      <c r="AO418" s="46"/>
    </row>
    <row r="419">
      <c r="A419" s="17"/>
      <c r="B419" s="46"/>
      <c r="C419" s="46"/>
      <c r="D419" s="46"/>
      <c r="E419" s="17"/>
      <c r="F419" s="46"/>
      <c r="G419" s="46"/>
      <c r="H419" s="46"/>
      <c r="I419" s="17"/>
      <c r="J419" s="46"/>
      <c r="K419" s="46"/>
      <c r="L419" s="46"/>
      <c r="M419" s="17"/>
      <c r="N419" s="46"/>
      <c r="O419" s="46"/>
      <c r="P419" s="46"/>
      <c r="Q419" s="46"/>
      <c r="R419" s="46"/>
      <c r="S419" s="46"/>
      <c r="T419" s="46"/>
      <c r="U419" s="46"/>
      <c r="V419" s="46"/>
      <c r="W419" s="46"/>
      <c r="X419" s="46"/>
      <c r="Y419" s="46"/>
      <c r="Z419" s="46"/>
      <c r="AA419" s="46"/>
      <c r="AB419" s="46"/>
      <c r="AC419" s="46"/>
      <c r="AD419" s="46"/>
      <c r="AE419" s="46"/>
      <c r="AF419" s="46"/>
      <c r="AG419" s="123"/>
      <c r="AH419" s="123"/>
      <c r="AI419" s="123"/>
      <c r="AJ419" s="123"/>
      <c r="AK419" s="46"/>
      <c r="AL419" s="46"/>
      <c r="AM419" s="46"/>
      <c r="AN419" s="46"/>
      <c r="AO419" s="46"/>
    </row>
    <row r="420">
      <c r="A420" s="17"/>
      <c r="B420" s="46"/>
      <c r="C420" s="46"/>
      <c r="D420" s="46"/>
      <c r="E420" s="17"/>
      <c r="F420" s="46"/>
      <c r="G420" s="46"/>
      <c r="H420" s="46"/>
      <c r="I420" s="17"/>
      <c r="J420" s="46"/>
      <c r="K420" s="46"/>
      <c r="L420" s="46"/>
      <c r="M420" s="17"/>
      <c r="N420" s="46"/>
      <c r="O420" s="46"/>
      <c r="P420" s="46"/>
      <c r="Q420" s="46"/>
      <c r="R420" s="46"/>
      <c r="S420" s="46"/>
      <c r="T420" s="46"/>
      <c r="U420" s="46"/>
      <c r="V420" s="46"/>
      <c r="W420" s="46"/>
      <c r="X420" s="46"/>
      <c r="Y420" s="46"/>
      <c r="Z420" s="46"/>
      <c r="AA420" s="46"/>
      <c r="AB420" s="46"/>
      <c r="AC420" s="46"/>
      <c r="AD420" s="46"/>
      <c r="AE420" s="46"/>
      <c r="AF420" s="46"/>
      <c r="AG420" s="123"/>
      <c r="AH420" s="123"/>
      <c r="AI420" s="123"/>
      <c r="AJ420" s="123"/>
      <c r="AK420" s="46"/>
      <c r="AL420" s="46"/>
      <c r="AM420" s="46"/>
      <c r="AN420" s="46"/>
      <c r="AO420" s="46"/>
    </row>
    <row r="421">
      <c r="A421" s="17"/>
      <c r="B421" s="46"/>
      <c r="C421" s="46"/>
      <c r="D421" s="46"/>
      <c r="E421" s="17"/>
      <c r="F421" s="46"/>
      <c r="G421" s="46"/>
      <c r="H421" s="46"/>
      <c r="I421" s="17"/>
      <c r="J421" s="46"/>
      <c r="K421" s="46"/>
      <c r="L421" s="46"/>
      <c r="M421" s="17"/>
      <c r="N421" s="46"/>
      <c r="O421" s="46"/>
      <c r="P421" s="46"/>
      <c r="Q421" s="46"/>
      <c r="R421" s="46"/>
      <c r="S421" s="46"/>
      <c r="T421" s="46"/>
      <c r="U421" s="46"/>
      <c r="V421" s="46"/>
      <c r="W421" s="46"/>
      <c r="X421" s="46"/>
      <c r="Y421" s="46"/>
      <c r="Z421" s="46"/>
      <c r="AA421" s="46"/>
      <c r="AB421" s="46"/>
      <c r="AC421" s="46"/>
      <c r="AD421" s="46"/>
      <c r="AE421" s="46"/>
      <c r="AF421" s="46"/>
      <c r="AG421" s="123"/>
      <c r="AH421" s="123"/>
      <c r="AI421" s="123"/>
      <c r="AJ421" s="123"/>
      <c r="AK421" s="46"/>
      <c r="AL421" s="46"/>
      <c r="AM421" s="46"/>
      <c r="AN421" s="46"/>
      <c r="AO421" s="46"/>
    </row>
    <row r="422">
      <c r="A422" s="17"/>
      <c r="B422" s="46"/>
      <c r="C422" s="46"/>
      <c r="D422" s="46"/>
      <c r="E422" s="17"/>
      <c r="F422" s="46"/>
      <c r="G422" s="46"/>
      <c r="H422" s="46"/>
      <c r="I422" s="17"/>
      <c r="J422" s="46"/>
      <c r="K422" s="46"/>
      <c r="L422" s="46"/>
      <c r="M422" s="17"/>
      <c r="N422" s="46"/>
      <c r="O422" s="46"/>
      <c r="P422" s="46"/>
      <c r="Q422" s="46"/>
      <c r="R422" s="46"/>
      <c r="S422" s="46"/>
      <c r="T422" s="46"/>
      <c r="U422" s="46"/>
      <c r="V422" s="46"/>
      <c r="W422" s="46"/>
      <c r="X422" s="46"/>
      <c r="Y422" s="46"/>
      <c r="Z422" s="46"/>
      <c r="AA422" s="46"/>
      <c r="AB422" s="46"/>
      <c r="AC422" s="46"/>
      <c r="AD422" s="46"/>
      <c r="AE422" s="46"/>
      <c r="AF422" s="46"/>
      <c r="AG422" s="123"/>
      <c r="AH422" s="123"/>
      <c r="AI422" s="123"/>
      <c r="AJ422" s="123"/>
      <c r="AK422" s="46"/>
      <c r="AL422" s="46"/>
      <c r="AM422" s="46"/>
      <c r="AN422" s="46"/>
      <c r="AO422" s="46"/>
    </row>
    <row r="423">
      <c r="A423" s="17"/>
      <c r="B423" s="46"/>
      <c r="C423" s="46"/>
      <c r="D423" s="46"/>
      <c r="E423" s="17"/>
      <c r="F423" s="46"/>
      <c r="G423" s="46"/>
      <c r="H423" s="46"/>
      <c r="I423" s="17"/>
      <c r="J423" s="46"/>
      <c r="K423" s="46"/>
      <c r="L423" s="46"/>
      <c r="M423" s="17"/>
      <c r="N423" s="46"/>
      <c r="O423" s="46"/>
      <c r="P423" s="46"/>
      <c r="Q423" s="46"/>
      <c r="R423" s="46"/>
      <c r="S423" s="46"/>
      <c r="T423" s="46"/>
      <c r="U423" s="46"/>
      <c r="V423" s="46"/>
      <c r="W423" s="46"/>
      <c r="X423" s="46"/>
      <c r="Y423" s="46"/>
      <c r="Z423" s="46"/>
      <c r="AA423" s="46"/>
      <c r="AB423" s="46"/>
      <c r="AC423" s="46"/>
      <c r="AD423" s="46"/>
      <c r="AE423" s="46"/>
      <c r="AF423" s="46"/>
      <c r="AG423" s="123"/>
      <c r="AH423" s="123"/>
      <c r="AI423" s="123"/>
      <c r="AJ423" s="123"/>
      <c r="AK423" s="46"/>
      <c r="AL423" s="46"/>
      <c r="AM423" s="46"/>
      <c r="AN423" s="46"/>
      <c r="AO423" s="46"/>
    </row>
    <row r="424">
      <c r="A424" s="17"/>
      <c r="B424" s="46"/>
      <c r="C424" s="46"/>
      <c r="D424" s="46"/>
      <c r="E424" s="17"/>
      <c r="F424" s="46"/>
      <c r="G424" s="46"/>
      <c r="H424" s="46"/>
      <c r="I424" s="17"/>
      <c r="J424" s="46"/>
      <c r="K424" s="46"/>
      <c r="L424" s="46"/>
      <c r="M424" s="17"/>
      <c r="N424" s="46"/>
      <c r="O424" s="46"/>
      <c r="P424" s="46"/>
      <c r="Q424" s="46"/>
      <c r="R424" s="46"/>
      <c r="S424" s="46"/>
      <c r="T424" s="46"/>
      <c r="U424" s="46"/>
      <c r="V424" s="46"/>
      <c r="W424" s="46"/>
      <c r="X424" s="46"/>
      <c r="Y424" s="46"/>
      <c r="Z424" s="46"/>
      <c r="AA424" s="46"/>
      <c r="AB424" s="46"/>
      <c r="AC424" s="46"/>
      <c r="AD424" s="46"/>
      <c r="AE424" s="46"/>
      <c r="AF424" s="46"/>
      <c r="AG424" s="123"/>
      <c r="AH424" s="123"/>
      <c r="AI424" s="123"/>
      <c r="AJ424" s="123"/>
      <c r="AK424" s="46"/>
      <c r="AL424" s="46"/>
      <c r="AM424" s="46"/>
      <c r="AN424" s="46"/>
      <c r="AO424" s="46"/>
    </row>
    <row r="425">
      <c r="A425" s="17"/>
      <c r="B425" s="46"/>
      <c r="C425" s="46"/>
      <c r="D425" s="46"/>
      <c r="E425" s="17"/>
      <c r="F425" s="46"/>
      <c r="G425" s="46"/>
      <c r="H425" s="46"/>
      <c r="I425" s="17"/>
      <c r="J425" s="46"/>
      <c r="K425" s="46"/>
      <c r="L425" s="46"/>
      <c r="M425" s="17"/>
      <c r="N425" s="46"/>
      <c r="O425" s="46"/>
      <c r="P425" s="46"/>
      <c r="Q425" s="46"/>
      <c r="R425" s="46"/>
      <c r="S425" s="46"/>
      <c r="T425" s="46"/>
      <c r="U425" s="46"/>
      <c r="V425" s="46"/>
      <c r="W425" s="46"/>
      <c r="X425" s="46"/>
      <c r="Y425" s="46"/>
      <c r="Z425" s="46"/>
      <c r="AA425" s="46"/>
      <c r="AB425" s="46"/>
      <c r="AC425" s="46"/>
      <c r="AD425" s="46"/>
      <c r="AE425" s="46"/>
      <c r="AF425" s="46"/>
      <c r="AG425" s="123"/>
      <c r="AH425" s="123"/>
      <c r="AI425" s="123"/>
      <c r="AJ425" s="123"/>
      <c r="AK425" s="46"/>
      <c r="AL425" s="46"/>
      <c r="AM425" s="46"/>
      <c r="AN425" s="46"/>
      <c r="AO425" s="46"/>
    </row>
    <row r="426">
      <c r="A426" s="17"/>
      <c r="B426" s="46"/>
      <c r="C426" s="46"/>
      <c r="D426" s="46"/>
      <c r="E426" s="17"/>
      <c r="F426" s="46"/>
      <c r="G426" s="46"/>
      <c r="H426" s="46"/>
      <c r="I426" s="17"/>
      <c r="J426" s="46"/>
      <c r="K426" s="46"/>
      <c r="L426" s="46"/>
      <c r="M426" s="17"/>
      <c r="N426" s="46"/>
      <c r="O426" s="46"/>
      <c r="P426" s="46"/>
      <c r="Q426" s="46"/>
      <c r="R426" s="46"/>
      <c r="S426" s="46"/>
      <c r="T426" s="46"/>
      <c r="U426" s="46"/>
      <c r="V426" s="46"/>
      <c r="W426" s="46"/>
      <c r="X426" s="46"/>
      <c r="Y426" s="46"/>
      <c r="Z426" s="46"/>
      <c r="AA426" s="46"/>
      <c r="AB426" s="46"/>
      <c r="AC426" s="46"/>
      <c r="AD426" s="46"/>
      <c r="AE426" s="46"/>
      <c r="AF426" s="46"/>
      <c r="AG426" s="123"/>
      <c r="AH426" s="123"/>
      <c r="AI426" s="123"/>
      <c r="AJ426" s="123"/>
      <c r="AK426" s="46"/>
      <c r="AL426" s="46"/>
      <c r="AM426" s="46"/>
      <c r="AN426" s="46"/>
      <c r="AO426" s="46"/>
    </row>
    <row r="427">
      <c r="A427" s="17"/>
      <c r="B427" s="46"/>
      <c r="C427" s="46"/>
      <c r="D427" s="46"/>
      <c r="E427" s="17"/>
      <c r="F427" s="46"/>
      <c r="G427" s="46"/>
      <c r="H427" s="46"/>
      <c r="I427" s="17"/>
      <c r="J427" s="46"/>
      <c r="K427" s="46"/>
      <c r="L427" s="46"/>
      <c r="M427" s="17"/>
      <c r="N427" s="46"/>
      <c r="O427" s="46"/>
      <c r="P427" s="46"/>
      <c r="Q427" s="46"/>
      <c r="R427" s="46"/>
      <c r="S427" s="46"/>
      <c r="T427" s="46"/>
      <c r="U427" s="46"/>
      <c r="V427" s="46"/>
      <c r="W427" s="46"/>
      <c r="X427" s="46"/>
      <c r="Y427" s="46"/>
      <c r="Z427" s="46"/>
      <c r="AA427" s="46"/>
      <c r="AB427" s="46"/>
      <c r="AC427" s="46"/>
      <c r="AD427" s="46"/>
      <c r="AE427" s="46"/>
      <c r="AF427" s="46"/>
      <c r="AG427" s="123"/>
      <c r="AH427" s="123"/>
      <c r="AI427" s="123"/>
      <c r="AJ427" s="123"/>
      <c r="AK427" s="46"/>
      <c r="AL427" s="46"/>
      <c r="AM427" s="46"/>
      <c r="AN427" s="46"/>
      <c r="AO427" s="46"/>
    </row>
    <row r="428">
      <c r="A428" s="17"/>
      <c r="B428" s="46"/>
      <c r="C428" s="46"/>
      <c r="D428" s="46"/>
      <c r="E428" s="17"/>
      <c r="F428" s="46"/>
      <c r="G428" s="46"/>
      <c r="H428" s="46"/>
      <c r="I428" s="17"/>
      <c r="J428" s="46"/>
      <c r="K428" s="46"/>
      <c r="L428" s="46"/>
      <c r="M428" s="17"/>
      <c r="N428" s="46"/>
      <c r="O428" s="46"/>
      <c r="P428" s="46"/>
      <c r="Q428" s="46"/>
      <c r="R428" s="46"/>
      <c r="S428" s="46"/>
      <c r="T428" s="46"/>
      <c r="U428" s="46"/>
      <c r="V428" s="46"/>
      <c r="W428" s="46"/>
      <c r="X428" s="46"/>
      <c r="Y428" s="46"/>
      <c r="Z428" s="46"/>
      <c r="AA428" s="46"/>
      <c r="AB428" s="46"/>
      <c r="AC428" s="46"/>
      <c r="AD428" s="46"/>
      <c r="AE428" s="46"/>
      <c r="AF428" s="46"/>
      <c r="AG428" s="123"/>
      <c r="AH428" s="123"/>
      <c r="AI428" s="123"/>
      <c r="AJ428" s="123"/>
      <c r="AK428" s="46"/>
      <c r="AL428" s="46"/>
      <c r="AM428" s="46"/>
      <c r="AN428" s="46"/>
      <c r="AO428" s="46"/>
    </row>
    <row r="429">
      <c r="A429" s="17"/>
      <c r="B429" s="46"/>
      <c r="C429" s="46"/>
      <c r="D429" s="46"/>
      <c r="E429" s="17"/>
      <c r="F429" s="46"/>
      <c r="G429" s="46"/>
      <c r="H429" s="46"/>
      <c r="I429" s="17"/>
      <c r="J429" s="46"/>
      <c r="K429" s="46"/>
      <c r="L429" s="46"/>
      <c r="M429" s="17"/>
      <c r="N429" s="46"/>
      <c r="O429" s="46"/>
      <c r="P429" s="46"/>
      <c r="Q429" s="46"/>
      <c r="R429" s="46"/>
      <c r="S429" s="46"/>
      <c r="T429" s="46"/>
      <c r="U429" s="46"/>
      <c r="V429" s="46"/>
      <c r="W429" s="46"/>
      <c r="X429" s="46"/>
      <c r="Y429" s="46"/>
      <c r="Z429" s="46"/>
      <c r="AA429" s="46"/>
      <c r="AB429" s="46"/>
      <c r="AC429" s="46"/>
      <c r="AD429" s="46"/>
      <c r="AE429" s="46"/>
      <c r="AF429" s="46"/>
      <c r="AG429" s="123"/>
      <c r="AH429" s="123"/>
      <c r="AI429" s="123"/>
      <c r="AJ429" s="123"/>
      <c r="AK429" s="46"/>
      <c r="AL429" s="46"/>
      <c r="AM429" s="46"/>
      <c r="AN429" s="46"/>
      <c r="AO429" s="46"/>
    </row>
    <row r="430">
      <c r="A430" s="17"/>
      <c r="B430" s="46"/>
      <c r="C430" s="46"/>
      <c r="D430" s="46"/>
      <c r="E430" s="17"/>
      <c r="F430" s="46"/>
      <c r="G430" s="46"/>
      <c r="H430" s="46"/>
      <c r="I430" s="17"/>
      <c r="J430" s="46"/>
      <c r="K430" s="46"/>
      <c r="L430" s="46"/>
      <c r="M430" s="17"/>
      <c r="N430" s="46"/>
      <c r="O430" s="46"/>
      <c r="P430" s="46"/>
      <c r="Q430" s="46"/>
      <c r="R430" s="46"/>
      <c r="S430" s="46"/>
      <c r="T430" s="46"/>
      <c r="U430" s="46"/>
      <c r="V430" s="46"/>
      <c r="W430" s="46"/>
      <c r="X430" s="46"/>
      <c r="Y430" s="46"/>
      <c r="Z430" s="46"/>
      <c r="AA430" s="46"/>
      <c r="AB430" s="46"/>
      <c r="AC430" s="46"/>
      <c r="AD430" s="46"/>
      <c r="AE430" s="46"/>
      <c r="AF430" s="46"/>
      <c r="AG430" s="123"/>
      <c r="AH430" s="123"/>
      <c r="AI430" s="123"/>
      <c r="AJ430" s="123"/>
      <c r="AK430" s="46"/>
      <c r="AL430" s="46"/>
      <c r="AM430" s="46"/>
      <c r="AN430" s="46"/>
      <c r="AO430" s="46"/>
    </row>
    <row r="431">
      <c r="A431" s="17"/>
      <c r="B431" s="46"/>
      <c r="C431" s="46"/>
      <c r="D431" s="46"/>
      <c r="E431" s="17"/>
      <c r="F431" s="46"/>
      <c r="G431" s="46"/>
      <c r="H431" s="46"/>
      <c r="I431" s="17"/>
      <c r="J431" s="46"/>
      <c r="K431" s="46"/>
      <c r="L431" s="46"/>
      <c r="M431" s="17"/>
      <c r="N431" s="46"/>
      <c r="O431" s="46"/>
      <c r="P431" s="46"/>
      <c r="Q431" s="46"/>
      <c r="R431" s="46"/>
      <c r="S431" s="46"/>
      <c r="T431" s="46"/>
      <c r="U431" s="46"/>
      <c r="V431" s="46"/>
      <c r="W431" s="46"/>
      <c r="X431" s="46"/>
      <c r="Y431" s="46"/>
      <c r="Z431" s="46"/>
      <c r="AA431" s="46"/>
      <c r="AB431" s="46"/>
      <c r="AC431" s="46"/>
      <c r="AD431" s="46"/>
      <c r="AE431" s="46"/>
      <c r="AF431" s="46"/>
      <c r="AG431" s="123"/>
      <c r="AH431" s="123"/>
      <c r="AI431" s="123"/>
      <c r="AJ431" s="123"/>
      <c r="AK431" s="46"/>
      <c r="AL431" s="46"/>
      <c r="AM431" s="46"/>
      <c r="AN431" s="46"/>
      <c r="AO431" s="46"/>
    </row>
    <row r="432">
      <c r="A432" s="17"/>
      <c r="B432" s="46"/>
      <c r="C432" s="46"/>
      <c r="D432" s="46"/>
      <c r="E432" s="17"/>
      <c r="F432" s="46"/>
      <c r="G432" s="46"/>
      <c r="H432" s="46"/>
      <c r="I432" s="17"/>
      <c r="J432" s="46"/>
      <c r="K432" s="46"/>
      <c r="L432" s="46"/>
      <c r="M432" s="17"/>
      <c r="N432" s="46"/>
      <c r="O432" s="46"/>
      <c r="P432" s="46"/>
      <c r="Q432" s="46"/>
      <c r="R432" s="46"/>
      <c r="S432" s="46"/>
      <c r="T432" s="46"/>
      <c r="U432" s="46"/>
      <c r="V432" s="46"/>
      <c r="W432" s="46"/>
      <c r="X432" s="46"/>
      <c r="Y432" s="46"/>
      <c r="Z432" s="46"/>
      <c r="AA432" s="46"/>
      <c r="AB432" s="46"/>
      <c r="AC432" s="46"/>
      <c r="AD432" s="46"/>
      <c r="AE432" s="46"/>
      <c r="AF432" s="46"/>
      <c r="AG432" s="123"/>
      <c r="AH432" s="123"/>
      <c r="AI432" s="123"/>
      <c r="AJ432" s="123"/>
      <c r="AK432" s="46"/>
      <c r="AL432" s="46"/>
      <c r="AM432" s="46"/>
      <c r="AN432" s="46"/>
      <c r="AO432" s="46"/>
    </row>
    <row r="433">
      <c r="A433" s="17"/>
      <c r="B433" s="46"/>
      <c r="C433" s="46"/>
      <c r="D433" s="46"/>
      <c r="E433" s="17"/>
      <c r="F433" s="46"/>
      <c r="G433" s="46"/>
      <c r="H433" s="46"/>
      <c r="I433" s="17"/>
      <c r="J433" s="46"/>
      <c r="K433" s="46"/>
      <c r="L433" s="46"/>
      <c r="M433" s="17"/>
      <c r="N433" s="46"/>
      <c r="O433" s="46"/>
      <c r="P433" s="46"/>
      <c r="Q433" s="46"/>
      <c r="R433" s="46"/>
      <c r="S433" s="46"/>
      <c r="T433" s="46"/>
      <c r="U433" s="46"/>
      <c r="V433" s="46"/>
      <c r="W433" s="46"/>
      <c r="X433" s="46"/>
      <c r="Y433" s="46"/>
      <c r="Z433" s="46"/>
      <c r="AA433" s="46"/>
      <c r="AB433" s="46"/>
      <c r="AC433" s="46"/>
      <c r="AD433" s="46"/>
      <c r="AE433" s="46"/>
      <c r="AF433" s="46"/>
      <c r="AG433" s="123"/>
      <c r="AH433" s="123"/>
      <c r="AI433" s="123"/>
      <c r="AJ433" s="123"/>
      <c r="AK433" s="46"/>
      <c r="AL433" s="46"/>
      <c r="AM433" s="46"/>
      <c r="AN433" s="46"/>
      <c r="AO433" s="46"/>
    </row>
    <row r="434">
      <c r="A434" s="17"/>
      <c r="B434" s="46"/>
      <c r="C434" s="46"/>
      <c r="D434" s="46"/>
      <c r="E434" s="17"/>
      <c r="F434" s="46"/>
      <c r="G434" s="46"/>
      <c r="H434" s="46"/>
      <c r="I434" s="17"/>
      <c r="J434" s="46"/>
      <c r="K434" s="46"/>
      <c r="L434" s="46"/>
      <c r="M434" s="17"/>
      <c r="N434" s="46"/>
      <c r="O434" s="46"/>
      <c r="P434" s="46"/>
      <c r="Q434" s="46"/>
      <c r="R434" s="46"/>
      <c r="S434" s="46"/>
      <c r="T434" s="46"/>
      <c r="U434" s="46"/>
      <c r="V434" s="46"/>
      <c r="W434" s="46"/>
      <c r="X434" s="46"/>
      <c r="Y434" s="46"/>
      <c r="Z434" s="46"/>
      <c r="AA434" s="46"/>
      <c r="AB434" s="46"/>
      <c r="AC434" s="46"/>
      <c r="AD434" s="46"/>
      <c r="AE434" s="46"/>
      <c r="AF434" s="46"/>
      <c r="AG434" s="123"/>
      <c r="AH434" s="123"/>
      <c r="AI434" s="123"/>
      <c r="AJ434" s="123"/>
      <c r="AK434" s="46"/>
      <c r="AL434" s="46"/>
      <c r="AM434" s="46"/>
      <c r="AN434" s="46"/>
      <c r="AO434" s="46"/>
    </row>
    <row r="435">
      <c r="A435" s="17"/>
      <c r="B435" s="46"/>
      <c r="C435" s="46"/>
      <c r="D435" s="46"/>
      <c r="E435" s="17"/>
      <c r="F435" s="46"/>
      <c r="G435" s="46"/>
      <c r="H435" s="46"/>
      <c r="I435" s="17"/>
      <c r="J435" s="46"/>
      <c r="K435" s="46"/>
      <c r="L435" s="46"/>
      <c r="M435" s="17"/>
      <c r="N435" s="46"/>
      <c r="O435" s="46"/>
      <c r="P435" s="46"/>
      <c r="Q435" s="46"/>
      <c r="R435" s="46"/>
      <c r="S435" s="46"/>
      <c r="T435" s="46"/>
      <c r="U435" s="46"/>
      <c r="V435" s="46"/>
      <c r="W435" s="46"/>
      <c r="X435" s="46"/>
      <c r="Y435" s="46"/>
      <c r="Z435" s="46"/>
      <c r="AA435" s="46"/>
      <c r="AB435" s="46"/>
      <c r="AC435" s="46"/>
      <c r="AD435" s="46"/>
      <c r="AE435" s="46"/>
      <c r="AF435" s="46"/>
      <c r="AG435" s="123"/>
      <c r="AH435" s="123"/>
      <c r="AI435" s="123"/>
      <c r="AJ435" s="123"/>
      <c r="AK435" s="46"/>
      <c r="AL435" s="46"/>
      <c r="AM435" s="46"/>
      <c r="AN435" s="46"/>
      <c r="AO435" s="46"/>
    </row>
    <row r="436">
      <c r="A436" s="17"/>
      <c r="B436" s="46"/>
      <c r="C436" s="46"/>
      <c r="D436" s="46"/>
      <c r="E436" s="17"/>
      <c r="F436" s="46"/>
      <c r="G436" s="46"/>
      <c r="H436" s="46"/>
      <c r="I436" s="17"/>
      <c r="J436" s="46"/>
      <c r="K436" s="46"/>
      <c r="L436" s="46"/>
      <c r="M436" s="17"/>
      <c r="N436" s="46"/>
      <c r="O436" s="46"/>
      <c r="P436" s="46"/>
      <c r="Q436" s="46"/>
      <c r="R436" s="46"/>
      <c r="S436" s="46"/>
      <c r="T436" s="46"/>
      <c r="U436" s="46"/>
      <c r="V436" s="46"/>
      <c r="W436" s="46"/>
      <c r="X436" s="46"/>
      <c r="Y436" s="46"/>
      <c r="Z436" s="46"/>
      <c r="AA436" s="46"/>
      <c r="AB436" s="46"/>
      <c r="AC436" s="46"/>
      <c r="AD436" s="46"/>
      <c r="AE436" s="46"/>
      <c r="AF436" s="46"/>
      <c r="AG436" s="123"/>
      <c r="AH436" s="123"/>
      <c r="AI436" s="123"/>
      <c r="AJ436" s="123"/>
      <c r="AK436" s="46"/>
      <c r="AL436" s="46"/>
      <c r="AM436" s="46"/>
      <c r="AN436" s="46"/>
      <c r="AO436" s="46"/>
    </row>
    <row r="437">
      <c r="A437" s="17"/>
      <c r="B437" s="46"/>
      <c r="C437" s="46"/>
      <c r="D437" s="46"/>
      <c r="E437" s="17"/>
      <c r="F437" s="46"/>
      <c r="G437" s="46"/>
      <c r="H437" s="46"/>
      <c r="I437" s="17"/>
      <c r="J437" s="46"/>
      <c r="K437" s="46"/>
      <c r="L437" s="46"/>
      <c r="M437" s="17"/>
      <c r="N437" s="46"/>
      <c r="O437" s="46"/>
      <c r="P437" s="46"/>
      <c r="Q437" s="46"/>
      <c r="R437" s="46"/>
      <c r="S437" s="46"/>
      <c r="T437" s="46"/>
      <c r="U437" s="46"/>
      <c r="V437" s="46"/>
      <c r="W437" s="46"/>
      <c r="X437" s="46"/>
      <c r="Y437" s="46"/>
      <c r="Z437" s="46"/>
      <c r="AA437" s="46"/>
      <c r="AB437" s="46"/>
      <c r="AC437" s="46"/>
      <c r="AD437" s="46"/>
      <c r="AE437" s="46"/>
      <c r="AF437" s="46"/>
      <c r="AG437" s="123"/>
      <c r="AH437" s="123"/>
      <c r="AI437" s="123"/>
      <c r="AJ437" s="123"/>
      <c r="AK437" s="46"/>
      <c r="AL437" s="46"/>
      <c r="AM437" s="46"/>
      <c r="AN437" s="46"/>
      <c r="AO437" s="46"/>
    </row>
    <row r="438">
      <c r="A438" s="17"/>
      <c r="B438" s="46"/>
      <c r="C438" s="46"/>
      <c r="D438" s="46"/>
      <c r="E438" s="17"/>
      <c r="F438" s="46"/>
      <c r="G438" s="46"/>
      <c r="H438" s="46"/>
      <c r="I438" s="17"/>
      <c r="J438" s="46"/>
      <c r="K438" s="46"/>
      <c r="L438" s="46"/>
      <c r="M438" s="17"/>
      <c r="N438" s="46"/>
      <c r="O438" s="46"/>
      <c r="P438" s="46"/>
      <c r="Q438" s="46"/>
      <c r="R438" s="46"/>
      <c r="S438" s="46"/>
      <c r="T438" s="46"/>
      <c r="U438" s="46"/>
      <c r="V438" s="46"/>
      <c r="W438" s="46"/>
      <c r="X438" s="46"/>
      <c r="Y438" s="46"/>
      <c r="Z438" s="46"/>
      <c r="AA438" s="46"/>
      <c r="AB438" s="46"/>
      <c r="AC438" s="46"/>
      <c r="AD438" s="46"/>
      <c r="AE438" s="46"/>
      <c r="AF438" s="46"/>
      <c r="AG438" s="123"/>
      <c r="AH438" s="123"/>
      <c r="AI438" s="123"/>
      <c r="AJ438" s="123"/>
      <c r="AK438" s="46"/>
      <c r="AL438" s="46"/>
      <c r="AM438" s="46"/>
      <c r="AN438" s="46"/>
      <c r="AO438" s="46"/>
    </row>
    <row r="439">
      <c r="A439" s="17"/>
      <c r="B439" s="46"/>
      <c r="C439" s="46"/>
      <c r="D439" s="46"/>
      <c r="E439" s="17"/>
      <c r="F439" s="46"/>
      <c r="G439" s="46"/>
      <c r="H439" s="46"/>
      <c r="I439" s="17"/>
      <c r="J439" s="46"/>
      <c r="K439" s="46"/>
      <c r="L439" s="46"/>
      <c r="M439" s="17"/>
      <c r="N439" s="46"/>
      <c r="O439" s="46"/>
      <c r="P439" s="46"/>
      <c r="Q439" s="46"/>
      <c r="R439" s="46"/>
      <c r="S439" s="46"/>
      <c r="T439" s="46"/>
      <c r="U439" s="46"/>
      <c r="V439" s="46"/>
      <c r="W439" s="46"/>
      <c r="X439" s="46"/>
      <c r="Y439" s="46"/>
      <c r="Z439" s="46"/>
      <c r="AA439" s="46"/>
      <c r="AB439" s="46"/>
      <c r="AC439" s="46"/>
      <c r="AD439" s="46"/>
      <c r="AE439" s="46"/>
      <c r="AF439" s="46"/>
      <c r="AG439" s="123"/>
      <c r="AH439" s="123"/>
      <c r="AI439" s="123"/>
      <c r="AJ439" s="123"/>
      <c r="AK439" s="46"/>
      <c r="AL439" s="46"/>
      <c r="AM439" s="46"/>
      <c r="AN439" s="46"/>
      <c r="AO439" s="46"/>
    </row>
    <row r="440">
      <c r="A440" s="17"/>
      <c r="B440" s="46"/>
      <c r="C440" s="46"/>
      <c r="D440" s="46"/>
      <c r="E440" s="17"/>
      <c r="F440" s="46"/>
      <c r="G440" s="46"/>
      <c r="H440" s="46"/>
      <c r="I440" s="17"/>
      <c r="J440" s="46"/>
      <c r="K440" s="46"/>
      <c r="L440" s="46"/>
      <c r="M440" s="17"/>
      <c r="N440" s="46"/>
      <c r="O440" s="46"/>
      <c r="P440" s="46"/>
      <c r="Q440" s="46"/>
      <c r="R440" s="46"/>
      <c r="S440" s="46"/>
      <c r="T440" s="46"/>
      <c r="U440" s="46"/>
      <c r="V440" s="46"/>
      <c r="W440" s="46"/>
      <c r="X440" s="46"/>
      <c r="Y440" s="46"/>
      <c r="Z440" s="46"/>
      <c r="AA440" s="46"/>
      <c r="AB440" s="46"/>
      <c r="AC440" s="46"/>
      <c r="AD440" s="46"/>
      <c r="AE440" s="46"/>
      <c r="AF440" s="46"/>
      <c r="AG440" s="123"/>
      <c r="AH440" s="123"/>
      <c r="AI440" s="123"/>
      <c r="AJ440" s="123"/>
      <c r="AK440" s="46"/>
      <c r="AL440" s="46"/>
      <c r="AM440" s="46"/>
      <c r="AN440" s="46"/>
      <c r="AO440" s="46"/>
    </row>
    <row r="441">
      <c r="A441" s="17"/>
      <c r="B441" s="46"/>
      <c r="C441" s="46"/>
      <c r="D441" s="46"/>
      <c r="E441" s="17"/>
      <c r="F441" s="46"/>
      <c r="G441" s="46"/>
      <c r="H441" s="46"/>
      <c r="I441" s="17"/>
      <c r="J441" s="46"/>
      <c r="K441" s="46"/>
      <c r="L441" s="46"/>
      <c r="M441" s="17"/>
      <c r="N441" s="46"/>
      <c r="O441" s="46"/>
      <c r="P441" s="46"/>
      <c r="Q441" s="46"/>
      <c r="R441" s="46"/>
      <c r="S441" s="46"/>
      <c r="T441" s="46"/>
      <c r="U441" s="46"/>
      <c r="V441" s="46"/>
      <c r="W441" s="46"/>
      <c r="X441" s="46"/>
      <c r="Y441" s="46"/>
      <c r="Z441" s="46"/>
      <c r="AA441" s="46"/>
      <c r="AB441" s="46"/>
      <c r="AC441" s="46"/>
      <c r="AD441" s="46"/>
      <c r="AE441" s="46"/>
      <c r="AF441" s="46"/>
      <c r="AG441" s="123"/>
      <c r="AH441" s="123"/>
      <c r="AI441" s="123"/>
      <c r="AJ441" s="123"/>
      <c r="AK441" s="46"/>
      <c r="AL441" s="46"/>
      <c r="AM441" s="46"/>
      <c r="AN441" s="46"/>
      <c r="AO441" s="46"/>
    </row>
    <row r="442">
      <c r="A442" s="17"/>
      <c r="B442" s="46"/>
      <c r="C442" s="46"/>
      <c r="D442" s="46"/>
      <c r="E442" s="17"/>
      <c r="F442" s="46"/>
      <c r="G442" s="46"/>
      <c r="H442" s="46"/>
      <c r="I442" s="17"/>
      <c r="J442" s="46"/>
      <c r="K442" s="46"/>
      <c r="L442" s="46"/>
      <c r="M442" s="17"/>
      <c r="N442" s="46"/>
      <c r="O442" s="46"/>
      <c r="P442" s="46"/>
      <c r="Q442" s="46"/>
      <c r="R442" s="46"/>
      <c r="S442" s="46"/>
      <c r="T442" s="46"/>
      <c r="U442" s="46"/>
      <c r="V442" s="46"/>
      <c r="W442" s="46"/>
      <c r="X442" s="46"/>
      <c r="Y442" s="46"/>
      <c r="Z442" s="46"/>
      <c r="AA442" s="46"/>
      <c r="AB442" s="46"/>
      <c r="AC442" s="46"/>
      <c r="AD442" s="46"/>
      <c r="AE442" s="46"/>
      <c r="AF442" s="46"/>
      <c r="AG442" s="123"/>
      <c r="AH442" s="123"/>
      <c r="AI442" s="123"/>
      <c r="AJ442" s="123"/>
      <c r="AK442" s="46"/>
      <c r="AL442" s="46"/>
      <c r="AM442" s="46"/>
      <c r="AN442" s="46"/>
      <c r="AO442" s="46"/>
    </row>
    <row r="443">
      <c r="A443" s="17"/>
      <c r="B443" s="46"/>
      <c r="C443" s="46"/>
      <c r="D443" s="46"/>
      <c r="E443" s="17"/>
      <c r="F443" s="46"/>
      <c r="G443" s="46"/>
      <c r="H443" s="46"/>
      <c r="I443" s="17"/>
      <c r="J443" s="46"/>
      <c r="K443" s="46"/>
      <c r="L443" s="46"/>
      <c r="M443" s="17"/>
      <c r="N443" s="46"/>
      <c r="O443" s="46"/>
      <c r="P443" s="46"/>
      <c r="Q443" s="46"/>
      <c r="R443" s="46"/>
      <c r="S443" s="46"/>
      <c r="T443" s="46"/>
      <c r="U443" s="46"/>
      <c r="V443" s="46"/>
      <c r="W443" s="46"/>
      <c r="X443" s="46"/>
      <c r="Y443" s="46"/>
      <c r="Z443" s="46"/>
      <c r="AA443" s="46"/>
      <c r="AB443" s="46"/>
      <c r="AC443" s="46"/>
      <c r="AD443" s="46"/>
      <c r="AE443" s="46"/>
      <c r="AF443" s="46"/>
      <c r="AG443" s="123"/>
      <c r="AH443" s="123"/>
      <c r="AI443" s="123"/>
      <c r="AJ443" s="123"/>
      <c r="AK443" s="46"/>
      <c r="AL443" s="46"/>
      <c r="AM443" s="46"/>
      <c r="AN443" s="46"/>
      <c r="AO443" s="46"/>
    </row>
    <row r="444">
      <c r="A444" s="17"/>
      <c r="B444" s="46"/>
      <c r="C444" s="46"/>
      <c r="D444" s="46"/>
      <c r="E444" s="17"/>
      <c r="F444" s="46"/>
      <c r="G444" s="46"/>
      <c r="H444" s="46"/>
      <c r="I444" s="17"/>
      <c r="J444" s="46"/>
      <c r="K444" s="46"/>
      <c r="L444" s="46"/>
      <c r="M444" s="17"/>
      <c r="N444" s="46"/>
      <c r="O444" s="46"/>
      <c r="P444" s="46"/>
      <c r="Q444" s="46"/>
      <c r="R444" s="46"/>
      <c r="S444" s="46"/>
      <c r="T444" s="46"/>
      <c r="U444" s="46"/>
      <c r="V444" s="46"/>
      <c r="W444" s="46"/>
      <c r="X444" s="46"/>
      <c r="Y444" s="46"/>
      <c r="Z444" s="46"/>
      <c r="AA444" s="46"/>
      <c r="AB444" s="46"/>
      <c r="AC444" s="46"/>
      <c r="AD444" s="46"/>
      <c r="AE444" s="46"/>
      <c r="AF444" s="46"/>
      <c r="AG444" s="123"/>
      <c r="AH444" s="123"/>
      <c r="AI444" s="123"/>
      <c r="AJ444" s="123"/>
      <c r="AK444" s="46"/>
      <c r="AL444" s="46"/>
      <c r="AM444" s="46"/>
      <c r="AN444" s="46"/>
      <c r="AO444" s="46"/>
    </row>
    <row r="445">
      <c r="A445" s="17"/>
      <c r="B445" s="46"/>
      <c r="C445" s="46"/>
      <c r="D445" s="46"/>
      <c r="E445" s="17"/>
      <c r="F445" s="46"/>
      <c r="G445" s="46"/>
      <c r="H445" s="46"/>
      <c r="I445" s="17"/>
      <c r="J445" s="46"/>
      <c r="K445" s="46"/>
      <c r="L445" s="46"/>
      <c r="M445" s="17"/>
      <c r="N445" s="46"/>
      <c r="O445" s="46"/>
      <c r="P445" s="46"/>
      <c r="Q445" s="46"/>
      <c r="R445" s="46"/>
      <c r="S445" s="46"/>
      <c r="T445" s="46"/>
      <c r="U445" s="46"/>
      <c r="V445" s="46"/>
      <c r="W445" s="46"/>
      <c r="X445" s="46"/>
      <c r="Y445" s="46"/>
      <c r="Z445" s="46"/>
      <c r="AA445" s="46"/>
      <c r="AB445" s="46"/>
      <c r="AC445" s="46"/>
      <c r="AD445" s="46"/>
      <c r="AE445" s="46"/>
      <c r="AF445" s="46"/>
      <c r="AG445" s="123"/>
      <c r="AH445" s="123"/>
      <c r="AI445" s="123"/>
      <c r="AJ445" s="123"/>
      <c r="AK445" s="46"/>
      <c r="AL445" s="46"/>
      <c r="AM445" s="46"/>
      <c r="AN445" s="46"/>
      <c r="AO445" s="46"/>
    </row>
    <row r="446">
      <c r="A446" s="17"/>
      <c r="B446" s="46"/>
      <c r="C446" s="46"/>
      <c r="D446" s="46"/>
      <c r="E446" s="17"/>
      <c r="F446" s="46"/>
      <c r="G446" s="46"/>
      <c r="H446" s="46"/>
      <c r="I446" s="17"/>
      <c r="J446" s="46"/>
      <c r="K446" s="46"/>
      <c r="L446" s="46"/>
      <c r="M446" s="17"/>
      <c r="N446" s="46"/>
      <c r="O446" s="46"/>
      <c r="P446" s="46"/>
      <c r="Q446" s="46"/>
      <c r="R446" s="46"/>
      <c r="S446" s="46"/>
      <c r="T446" s="46"/>
      <c r="U446" s="46"/>
      <c r="V446" s="46"/>
      <c r="W446" s="46"/>
      <c r="X446" s="46"/>
      <c r="Y446" s="46"/>
      <c r="Z446" s="46"/>
      <c r="AA446" s="46"/>
      <c r="AB446" s="46"/>
      <c r="AC446" s="46"/>
      <c r="AD446" s="46"/>
      <c r="AE446" s="46"/>
      <c r="AF446" s="46"/>
      <c r="AG446" s="123"/>
      <c r="AH446" s="123"/>
      <c r="AI446" s="123"/>
      <c r="AJ446" s="123"/>
      <c r="AK446" s="46"/>
      <c r="AL446" s="46"/>
      <c r="AM446" s="46"/>
      <c r="AN446" s="46"/>
      <c r="AO446" s="46"/>
    </row>
    <row r="447">
      <c r="A447" s="17"/>
      <c r="B447" s="46"/>
      <c r="C447" s="46"/>
      <c r="D447" s="46"/>
      <c r="E447" s="17"/>
      <c r="F447" s="46"/>
      <c r="G447" s="46"/>
      <c r="H447" s="46"/>
      <c r="I447" s="17"/>
      <c r="J447" s="46"/>
      <c r="K447" s="46"/>
      <c r="L447" s="46"/>
      <c r="M447" s="17"/>
      <c r="N447" s="46"/>
      <c r="O447" s="46"/>
      <c r="P447" s="46"/>
      <c r="Q447" s="46"/>
      <c r="R447" s="46"/>
      <c r="S447" s="46"/>
      <c r="T447" s="46"/>
      <c r="U447" s="46"/>
      <c r="V447" s="46"/>
      <c r="W447" s="46"/>
      <c r="X447" s="46"/>
      <c r="Y447" s="46"/>
      <c r="Z447" s="46"/>
      <c r="AA447" s="46"/>
      <c r="AB447" s="46"/>
      <c r="AC447" s="46"/>
      <c r="AD447" s="46"/>
      <c r="AE447" s="46"/>
      <c r="AF447" s="46"/>
      <c r="AG447" s="123"/>
      <c r="AH447" s="123"/>
      <c r="AI447" s="123"/>
      <c r="AJ447" s="123"/>
      <c r="AK447" s="46"/>
      <c r="AL447" s="46"/>
      <c r="AM447" s="46"/>
      <c r="AN447" s="46"/>
      <c r="AO447" s="46"/>
    </row>
    <row r="448">
      <c r="A448" s="17"/>
      <c r="B448" s="46"/>
      <c r="C448" s="46"/>
      <c r="D448" s="46"/>
      <c r="E448" s="17"/>
      <c r="F448" s="46"/>
      <c r="G448" s="46"/>
      <c r="H448" s="46"/>
      <c r="I448" s="17"/>
      <c r="J448" s="46"/>
      <c r="K448" s="46"/>
      <c r="L448" s="46"/>
      <c r="M448" s="17"/>
      <c r="N448" s="46"/>
      <c r="O448" s="46"/>
      <c r="P448" s="46"/>
      <c r="Q448" s="46"/>
      <c r="R448" s="46"/>
      <c r="S448" s="46"/>
      <c r="T448" s="46"/>
      <c r="U448" s="46"/>
      <c r="V448" s="46"/>
      <c r="W448" s="46"/>
      <c r="X448" s="46"/>
      <c r="Y448" s="46"/>
      <c r="Z448" s="46"/>
      <c r="AA448" s="46"/>
      <c r="AB448" s="46"/>
      <c r="AC448" s="46"/>
      <c r="AD448" s="46"/>
      <c r="AE448" s="46"/>
      <c r="AF448" s="46"/>
      <c r="AG448" s="123"/>
      <c r="AH448" s="123"/>
      <c r="AI448" s="123"/>
      <c r="AJ448" s="123"/>
      <c r="AK448" s="46"/>
      <c r="AL448" s="46"/>
      <c r="AM448" s="46"/>
      <c r="AN448" s="46"/>
      <c r="AO448" s="46"/>
    </row>
    <row r="449">
      <c r="A449" s="17"/>
      <c r="B449" s="46"/>
      <c r="C449" s="46"/>
      <c r="D449" s="46"/>
      <c r="E449" s="17"/>
      <c r="F449" s="46"/>
      <c r="G449" s="46"/>
      <c r="H449" s="46"/>
      <c r="I449" s="17"/>
      <c r="J449" s="46"/>
      <c r="K449" s="46"/>
      <c r="L449" s="46"/>
      <c r="M449" s="17"/>
      <c r="N449" s="46"/>
      <c r="O449" s="46"/>
      <c r="P449" s="46"/>
      <c r="Q449" s="46"/>
      <c r="R449" s="46"/>
      <c r="S449" s="46"/>
      <c r="T449" s="46"/>
      <c r="U449" s="46"/>
      <c r="V449" s="46"/>
      <c r="W449" s="46"/>
      <c r="X449" s="46"/>
      <c r="Y449" s="46"/>
      <c r="Z449" s="46"/>
      <c r="AA449" s="46"/>
      <c r="AB449" s="46"/>
      <c r="AC449" s="46"/>
      <c r="AD449" s="46"/>
      <c r="AE449" s="46"/>
      <c r="AF449" s="46"/>
      <c r="AG449" s="123"/>
      <c r="AH449" s="123"/>
      <c r="AI449" s="123"/>
      <c r="AJ449" s="123"/>
      <c r="AK449" s="46"/>
      <c r="AL449" s="46"/>
      <c r="AM449" s="46"/>
      <c r="AN449" s="46"/>
      <c r="AO449" s="46"/>
    </row>
    <row r="450">
      <c r="A450" s="17"/>
      <c r="B450" s="46"/>
      <c r="C450" s="46"/>
      <c r="D450" s="46"/>
      <c r="E450" s="17"/>
      <c r="F450" s="46"/>
      <c r="G450" s="46"/>
      <c r="H450" s="46"/>
      <c r="I450" s="17"/>
      <c r="J450" s="46"/>
      <c r="K450" s="46"/>
      <c r="L450" s="46"/>
      <c r="M450" s="17"/>
      <c r="N450" s="46"/>
      <c r="O450" s="46"/>
      <c r="P450" s="46"/>
      <c r="Q450" s="46"/>
      <c r="R450" s="46"/>
      <c r="S450" s="46"/>
      <c r="T450" s="46"/>
      <c r="U450" s="46"/>
      <c r="V450" s="46"/>
      <c r="W450" s="46"/>
      <c r="X450" s="46"/>
      <c r="Y450" s="46"/>
      <c r="Z450" s="46"/>
      <c r="AA450" s="46"/>
      <c r="AB450" s="46"/>
      <c r="AC450" s="46"/>
      <c r="AD450" s="46"/>
      <c r="AE450" s="46"/>
      <c r="AF450" s="46"/>
      <c r="AG450" s="123"/>
      <c r="AH450" s="123"/>
      <c r="AI450" s="123"/>
      <c r="AJ450" s="123"/>
      <c r="AK450" s="46"/>
      <c r="AL450" s="46"/>
      <c r="AM450" s="46"/>
      <c r="AN450" s="46"/>
      <c r="AO450" s="46"/>
    </row>
    <row r="451">
      <c r="A451" s="17"/>
      <c r="B451" s="46"/>
      <c r="C451" s="46"/>
      <c r="D451" s="46"/>
      <c r="E451" s="17"/>
      <c r="F451" s="46"/>
      <c r="G451" s="46"/>
      <c r="H451" s="46"/>
      <c r="I451" s="17"/>
      <c r="J451" s="46"/>
      <c r="K451" s="46"/>
      <c r="L451" s="46"/>
      <c r="M451" s="17"/>
      <c r="N451" s="46"/>
      <c r="O451" s="46"/>
      <c r="P451" s="46"/>
      <c r="Q451" s="46"/>
      <c r="R451" s="46"/>
      <c r="S451" s="46"/>
      <c r="T451" s="46"/>
      <c r="U451" s="46"/>
      <c r="V451" s="46"/>
      <c r="W451" s="46"/>
      <c r="X451" s="46"/>
      <c r="Y451" s="46"/>
      <c r="Z451" s="46"/>
      <c r="AA451" s="46"/>
      <c r="AB451" s="46"/>
      <c r="AC451" s="46"/>
      <c r="AD451" s="46"/>
      <c r="AE451" s="46"/>
      <c r="AF451" s="46"/>
      <c r="AG451" s="123"/>
      <c r="AH451" s="123"/>
      <c r="AI451" s="123"/>
      <c r="AJ451" s="123"/>
      <c r="AK451" s="46"/>
      <c r="AL451" s="46"/>
      <c r="AM451" s="46"/>
      <c r="AN451" s="46"/>
      <c r="AO451" s="46"/>
    </row>
    <row r="452">
      <c r="A452" s="17"/>
      <c r="B452" s="46"/>
      <c r="C452" s="46"/>
      <c r="D452" s="46"/>
      <c r="E452" s="17"/>
      <c r="F452" s="46"/>
      <c r="G452" s="46"/>
      <c r="H452" s="46"/>
      <c r="I452" s="17"/>
      <c r="J452" s="46"/>
      <c r="K452" s="46"/>
      <c r="L452" s="46"/>
      <c r="M452" s="17"/>
      <c r="N452" s="46"/>
      <c r="O452" s="46"/>
      <c r="P452" s="46"/>
      <c r="Q452" s="46"/>
      <c r="R452" s="46"/>
      <c r="S452" s="46"/>
      <c r="T452" s="46"/>
      <c r="U452" s="46"/>
      <c r="V452" s="46"/>
      <c r="W452" s="46"/>
      <c r="X452" s="46"/>
      <c r="Y452" s="46"/>
      <c r="Z452" s="46"/>
      <c r="AA452" s="46"/>
      <c r="AB452" s="46"/>
      <c r="AC452" s="46"/>
      <c r="AD452" s="46"/>
      <c r="AE452" s="46"/>
      <c r="AF452" s="46"/>
      <c r="AG452" s="123"/>
      <c r="AH452" s="123"/>
      <c r="AI452" s="123"/>
      <c r="AJ452" s="123"/>
      <c r="AK452" s="46"/>
      <c r="AL452" s="46"/>
      <c r="AM452" s="46"/>
      <c r="AN452" s="46"/>
      <c r="AO452" s="46"/>
    </row>
    <row r="453">
      <c r="A453" s="17"/>
      <c r="B453" s="46"/>
      <c r="C453" s="46"/>
      <c r="D453" s="46"/>
      <c r="E453" s="17"/>
      <c r="F453" s="46"/>
      <c r="G453" s="46"/>
      <c r="H453" s="46"/>
      <c r="I453" s="17"/>
      <c r="J453" s="46"/>
      <c r="K453" s="46"/>
      <c r="L453" s="46"/>
      <c r="M453" s="17"/>
      <c r="N453" s="46"/>
      <c r="O453" s="46"/>
      <c r="P453" s="46"/>
      <c r="Q453" s="46"/>
      <c r="R453" s="46"/>
      <c r="S453" s="46"/>
      <c r="T453" s="46"/>
      <c r="U453" s="46"/>
      <c r="V453" s="46"/>
      <c r="W453" s="46"/>
      <c r="X453" s="46"/>
      <c r="Y453" s="46"/>
      <c r="Z453" s="46"/>
      <c r="AA453" s="46"/>
      <c r="AB453" s="46"/>
      <c r="AC453" s="46"/>
      <c r="AD453" s="46"/>
      <c r="AE453" s="46"/>
      <c r="AF453" s="46"/>
      <c r="AG453" s="123"/>
      <c r="AH453" s="123"/>
      <c r="AI453" s="123"/>
      <c r="AJ453" s="123"/>
      <c r="AK453" s="46"/>
      <c r="AL453" s="46"/>
      <c r="AM453" s="46"/>
      <c r="AN453" s="46"/>
      <c r="AO453" s="46"/>
    </row>
    <row r="454">
      <c r="A454" s="17"/>
      <c r="B454" s="46"/>
      <c r="C454" s="46"/>
      <c r="D454" s="46"/>
      <c r="E454" s="17"/>
      <c r="F454" s="46"/>
      <c r="G454" s="46"/>
      <c r="H454" s="46"/>
      <c r="I454" s="17"/>
      <c r="J454" s="46"/>
      <c r="K454" s="46"/>
      <c r="L454" s="46"/>
      <c r="M454" s="17"/>
      <c r="N454" s="46"/>
      <c r="O454" s="46"/>
      <c r="P454" s="46"/>
      <c r="Q454" s="46"/>
      <c r="R454" s="46"/>
      <c r="S454" s="46"/>
      <c r="T454" s="46"/>
      <c r="U454" s="46"/>
      <c r="V454" s="46"/>
      <c r="W454" s="46"/>
      <c r="X454" s="46"/>
      <c r="Y454" s="46"/>
      <c r="Z454" s="46"/>
      <c r="AA454" s="46"/>
      <c r="AB454" s="46"/>
      <c r="AC454" s="46"/>
      <c r="AD454" s="46"/>
      <c r="AE454" s="46"/>
      <c r="AF454" s="46"/>
      <c r="AG454" s="123"/>
      <c r="AH454" s="123"/>
      <c r="AI454" s="123"/>
      <c r="AJ454" s="123"/>
      <c r="AK454" s="46"/>
      <c r="AL454" s="46"/>
      <c r="AM454" s="46"/>
      <c r="AN454" s="46"/>
      <c r="AO454" s="46"/>
    </row>
    <row r="455">
      <c r="A455" s="17"/>
      <c r="B455" s="46"/>
      <c r="C455" s="46"/>
      <c r="D455" s="46"/>
      <c r="E455" s="17"/>
      <c r="F455" s="46"/>
      <c r="G455" s="46"/>
      <c r="H455" s="46"/>
      <c r="I455" s="17"/>
      <c r="J455" s="46"/>
      <c r="K455" s="46"/>
      <c r="L455" s="46"/>
      <c r="M455" s="17"/>
      <c r="N455" s="46"/>
      <c r="O455" s="46"/>
      <c r="P455" s="46"/>
      <c r="Q455" s="46"/>
      <c r="R455" s="46"/>
      <c r="S455" s="46"/>
      <c r="T455" s="46"/>
      <c r="U455" s="46"/>
      <c r="V455" s="46"/>
      <c r="W455" s="46"/>
      <c r="X455" s="46"/>
      <c r="Y455" s="46"/>
      <c r="Z455" s="46"/>
      <c r="AA455" s="46"/>
      <c r="AB455" s="46"/>
      <c r="AC455" s="46"/>
      <c r="AD455" s="46"/>
      <c r="AE455" s="46"/>
      <c r="AF455" s="46"/>
      <c r="AG455" s="123"/>
      <c r="AH455" s="123"/>
      <c r="AI455" s="123"/>
      <c r="AJ455" s="123"/>
      <c r="AK455" s="46"/>
      <c r="AL455" s="46"/>
      <c r="AM455" s="46"/>
      <c r="AN455" s="46"/>
      <c r="AO455" s="46"/>
    </row>
    <row r="456">
      <c r="A456" s="17"/>
      <c r="B456" s="46"/>
      <c r="C456" s="46"/>
      <c r="D456" s="46"/>
      <c r="E456" s="17"/>
      <c r="F456" s="46"/>
      <c r="G456" s="46"/>
      <c r="H456" s="46"/>
      <c r="I456" s="17"/>
      <c r="J456" s="46"/>
      <c r="K456" s="46"/>
      <c r="L456" s="46"/>
      <c r="M456" s="17"/>
      <c r="N456" s="46"/>
      <c r="O456" s="46"/>
      <c r="P456" s="46"/>
      <c r="Q456" s="46"/>
      <c r="R456" s="46"/>
      <c r="S456" s="46"/>
      <c r="T456" s="46"/>
      <c r="U456" s="46"/>
      <c r="V456" s="46"/>
      <c r="W456" s="46"/>
      <c r="X456" s="46"/>
      <c r="Y456" s="46"/>
      <c r="Z456" s="46"/>
      <c r="AA456" s="46"/>
      <c r="AB456" s="46"/>
      <c r="AC456" s="46"/>
      <c r="AD456" s="46"/>
      <c r="AE456" s="46"/>
      <c r="AF456" s="46"/>
      <c r="AG456" s="123"/>
      <c r="AH456" s="123"/>
      <c r="AI456" s="123"/>
      <c r="AJ456" s="123"/>
      <c r="AK456" s="46"/>
      <c r="AL456" s="46"/>
      <c r="AM456" s="46"/>
      <c r="AN456" s="46"/>
      <c r="AO456" s="46"/>
    </row>
    <row r="457">
      <c r="A457" s="17"/>
      <c r="B457" s="46"/>
      <c r="C457" s="46"/>
      <c r="D457" s="46"/>
      <c r="E457" s="17"/>
      <c r="F457" s="46"/>
      <c r="G457" s="46"/>
      <c r="H457" s="46"/>
      <c r="I457" s="17"/>
      <c r="J457" s="46"/>
      <c r="K457" s="46"/>
      <c r="L457" s="46"/>
      <c r="M457" s="17"/>
      <c r="N457" s="46"/>
      <c r="O457" s="46"/>
      <c r="P457" s="46"/>
      <c r="Q457" s="46"/>
      <c r="R457" s="46"/>
      <c r="S457" s="46"/>
      <c r="T457" s="46"/>
      <c r="U457" s="46"/>
      <c r="V457" s="46"/>
      <c r="W457" s="46"/>
      <c r="X457" s="46"/>
      <c r="Y457" s="46"/>
      <c r="Z457" s="46"/>
      <c r="AA457" s="46"/>
      <c r="AB457" s="46"/>
      <c r="AC457" s="46"/>
      <c r="AD457" s="46"/>
      <c r="AE457" s="46"/>
      <c r="AF457" s="46"/>
      <c r="AG457" s="123"/>
      <c r="AH457" s="123"/>
      <c r="AI457" s="123"/>
      <c r="AJ457" s="123"/>
      <c r="AK457" s="46"/>
      <c r="AL457" s="46"/>
      <c r="AM457" s="46"/>
      <c r="AN457" s="46"/>
      <c r="AO457" s="46"/>
    </row>
    <row r="458">
      <c r="A458" s="17"/>
      <c r="B458" s="46"/>
      <c r="C458" s="46"/>
      <c r="D458" s="46"/>
      <c r="E458" s="17"/>
      <c r="F458" s="46"/>
      <c r="G458" s="46"/>
      <c r="H458" s="46"/>
      <c r="I458" s="17"/>
      <c r="J458" s="46"/>
      <c r="K458" s="46"/>
      <c r="L458" s="46"/>
      <c r="M458" s="17"/>
      <c r="N458" s="46"/>
      <c r="O458" s="46"/>
      <c r="P458" s="46"/>
      <c r="Q458" s="46"/>
      <c r="R458" s="46"/>
      <c r="S458" s="46"/>
      <c r="T458" s="46"/>
      <c r="U458" s="46"/>
      <c r="V458" s="46"/>
      <c r="W458" s="46"/>
      <c r="X458" s="46"/>
      <c r="Y458" s="46"/>
      <c r="Z458" s="46"/>
      <c r="AA458" s="46"/>
      <c r="AB458" s="46"/>
      <c r="AC458" s="46"/>
      <c r="AD458" s="46"/>
      <c r="AE458" s="46"/>
      <c r="AF458" s="46"/>
      <c r="AG458" s="123"/>
      <c r="AH458" s="123"/>
      <c r="AI458" s="123"/>
      <c r="AJ458" s="123"/>
      <c r="AK458" s="46"/>
      <c r="AL458" s="46"/>
      <c r="AM458" s="46"/>
      <c r="AN458" s="46"/>
      <c r="AO458" s="46"/>
    </row>
    <row r="459">
      <c r="A459" s="17"/>
      <c r="B459" s="46"/>
      <c r="C459" s="46"/>
      <c r="D459" s="46"/>
      <c r="E459" s="17"/>
      <c r="F459" s="46"/>
      <c r="G459" s="46"/>
      <c r="H459" s="46"/>
      <c r="I459" s="17"/>
      <c r="J459" s="46"/>
      <c r="K459" s="46"/>
      <c r="L459" s="46"/>
      <c r="M459" s="17"/>
      <c r="N459" s="46"/>
      <c r="O459" s="46"/>
      <c r="P459" s="46"/>
      <c r="Q459" s="46"/>
      <c r="R459" s="46"/>
      <c r="S459" s="46"/>
      <c r="T459" s="46"/>
      <c r="U459" s="46"/>
      <c r="V459" s="46"/>
      <c r="W459" s="46"/>
      <c r="X459" s="46"/>
      <c r="Y459" s="46"/>
      <c r="Z459" s="46"/>
      <c r="AA459" s="46"/>
      <c r="AB459" s="46"/>
      <c r="AC459" s="46"/>
      <c r="AD459" s="46"/>
      <c r="AE459" s="46"/>
      <c r="AF459" s="46"/>
      <c r="AG459" s="123"/>
      <c r="AH459" s="123"/>
      <c r="AI459" s="123"/>
      <c r="AJ459" s="123"/>
      <c r="AK459" s="46"/>
      <c r="AL459" s="46"/>
      <c r="AM459" s="46"/>
      <c r="AN459" s="46"/>
      <c r="AO459" s="46"/>
    </row>
    <row r="460">
      <c r="A460" s="17"/>
      <c r="B460" s="46"/>
      <c r="C460" s="46"/>
      <c r="D460" s="46"/>
      <c r="E460" s="17"/>
      <c r="F460" s="46"/>
      <c r="G460" s="46"/>
      <c r="H460" s="46"/>
      <c r="I460" s="17"/>
      <c r="J460" s="46"/>
      <c r="K460" s="46"/>
      <c r="L460" s="46"/>
      <c r="M460" s="17"/>
      <c r="N460" s="46"/>
      <c r="O460" s="46"/>
      <c r="P460" s="46"/>
      <c r="Q460" s="46"/>
      <c r="R460" s="46"/>
      <c r="S460" s="46"/>
      <c r="T460" s="46"/>
      <c r="U460" s="46"/>
      <c r="V460" s="46"/>
      <c r="W460" s="46"/>
      <c r="X460" s="46"/>
      <c r="Y460" s="46"/>
      <c r="Z460" s="46"/>
      <c r="AA460" s="46"/>
      <c r="AB460" s="46"/>
      <c r="AC460" s="46"/>
      <c r="AD460" s="46"/>
      <c r="AE460" s="46"/>
      <c r="AF460" s="46"/>
      <c r="AG460" s="123"/>
      <c r="AH460" s="123"/>
      <c r="AI460" s="123"/>
      <c r="AJ460" s="123"/>
      <c r="AK460" s="46"/>
      <c r="AL460" s="46"/>
      <c r="AM460" s="46"/>
      <c r="AN460" s="46"/>
      <c r="AO460" s="46"/>
    </row>
    <row r="461">
      <c r="A461" s="17"/>
      <c r="B461" s="46"/>
      <c r="C461" s="46"/>
      <c r="D461" s="46"/>
      <c r="E461" s="17"/>
      <c r="F461" s="46"/>
      <c r="G461" s="46"/>
      <c r="H461" s="46"/>
      <c r="I461" s="17"/>
      <c r="J461" s="46"/>
      <c r="K461" s="46"/>
      <c r="L461" s="46"/>
      <c r="M461" s="17"/>
      <c r="N461" s="46"/>
      <c r="O461" s="46"/>
      <c r="P461" s="46"/>
      <c r="Q461" s="46"/>
      <c r="R461" s="46"/>
      <c r="S461" s="46"/>
      <c r="T461" s="46"/>
      <c r="U461" s="46"/>
      <c r="V461" s="46"/>
      <c r="W461" s="46"/>
      <c r="X461" s="46"/>
      <c r="Y461" s="46"/>
      <c r="Z461" s="46"/>
      <c r="AA461" s="46"/>
      <c r="AB461" s="46"/>
      <c r="AC461" s="46"/>
      <c r="AD461" s="46"/>
      <c r="AE461" s="46"/>
      <c r="AF461" s="46"/>
      <c r="AG461" s="123"/>
      <c r="AH461" s="123"/>
      <c r="AI461" s="123"/>
      <c r="AJ461" s="123"/>
      <c r="AK461" s="46"/>
      <c r="AL461" s="46"/>
      <c r="AM461" s="46"/>
      <c r="AN461" s="46"/>
      <c r="AO461" s="46"/>
    </row>
    <row r="462">
      <c r="A462" s="17"/>
      <c r="B462" s="46"/>
      <c r="C462" s="46"/>
      <c r="D462" s="46"/>
      <c r="E462" s="17"/>
      <c r="F462" s="46"/>
      <c r="G462" s="46"/>
      <c r="H462" s="46"/>
      <c r="I462" s="17"/>
      <c r="J462" s="46"/>
      <c r="K462" s="46"/>
      <c r="L462" s="46"/>
      <c r="M462" s="17"/>
      <c r="N462" s="46"/>
      <c r="O462" s="46"/>
      <c r="P462" s="46"/>
      <c r="Q462" s="46"/>
      <c r="R462" s="46"/>
      <c r="S462" s="46"/>
      <c r="T462" s="46"/>
      <c r="U462" s="46"/>
      <c r="V462" s="46"/>
      <c r="W462" s="46"/>
      <c r="X462" s="46"/>
      <c r="Y462" s="46"/>
      <c r="Z462" s="46"/>
      <c r="AA462" s="46"/>
      <c r="AB462" s="46"/>
      <c r="AC462" s="46"/>
      <c r="AD462" s="46"/>
      <c r="AE462" s="46"/>
      <c r="AF462" s="46"/>
      <c r="AG462" s="123"/>
      <c r="AH462" s="123"/>
      <c r="AI462" s="123"/>
      <c r="AJ462" s="123"/>
      <c r="AK462" s="46"/>
      <c r="AL462" s="46"/>
      <c r="AM462" s="46"/>
      <c r="AN462" s="46"/>
      <c r="AO462" s="46"/>
    </row>
    <row r="463">
      <c r="A463" s="17"/>
      <c r="B463" s="46"/>
      <c r="C463" s="46"/>
      <c r="D463" s="46"/>
      <c r="E463" s="17"/>
      <c r="F463" s="46"/>
      <c r="G463" s="46"/>
      <c r="H463" s="46"/>
      <c r="I463" s="17"/>
      <c r="J463" s="46"/>
      <c r="K463" s="46"/>
      <c r="L463" s="46"/>
      <c r="M463" s="17"/>
      <c r="N463" s="46"/>
      <c r="O463" s="46"/>
      <c r="P463" s="46"/>
      <c r="Q463" s="46"/>
      <c r="R463" s="46"/>
      <c r="S463" s="46"/>
      <c r="T463" s="46"/>
      <c r="U463" s="46"/>
      <c r="V463" s="46"/>
      <c r="W463" s="46"/>
      <c r="X463" s="46"/>
      <c r="Y463" s="46"/>
      <c r="Z463" s="46"/>
      <c r="AA463" s="46"/>
      <c r="AB463" s="46"/>
      <c r="AC463" s="46"/>
      <c r="AD463" s="46"/>
      <c r="AE463" s="46"/>
      <c r="AF463" s="46"/>
      <c r="AG463" s="123"/>
      <c r="AH463" s="123"/>
      <c r="AI463" s="123"/>
      <c r="AJ463" s="123"/>
      <c r="AK463" s="46"/>
      <c r="AL463" s="46"/>
      <c r="AM463" s="46"/>
      <c r="AN463" s="46"/>
      <c r="AO463" s="46"/>
    </row>
    <row r="464">
      <c r="A464" s="17"/>
      <c r="B464" s="46"/>
      <c r="C464" s="46"/>
      <c r="D464" s="46"/>
      <c r="E464" s="17"/>
      <c r="F464" s="46"/>
      <c r="G464" s="46"/>
      <c r="H464" s="46"/>
      <c r="I464" s="17"/>
      <c r="J464" s="46"/>
      <c r="K464" s="46"/>
      <c r="L464" s="46"/>
      <c r="M464" s="17"/>
      <c r="N464" s="46"/>
      <c r="O464" s="46"/>
      <c r="P464" s="46"/>
      <c r="Q464" s="46"/>
      <c r="R464" s="46"/>
      <c r="S464" s="46"/>
      <c r="T464" s="46"/>
      <c r="U464" s="46"/>
      <c r="V464" s="46"/>
      <c r="W464" s="46"/>
      <c r="X464" s="46"/>
      <c r="Y464" s="46"/>
      <c r="Z464" s="46"/>
      <c r="AA464" s="46"/>
      <c r="AB464" s="46"/>
      <c r="AC464" s="46"/>
      <c r="AD464" s="46"/>
      <c r="AE464" s="46"/>
      <c r="AF464" s="46"/>
      <c r="AG464" s="123"/>
      <c r="AH464" s="123"/>
      <c r="AI464" s="123"/>
      <c r="AJ464" s="123"/>
      <c r="AK464" s="46"/>
      <c r="AL464" s="46"/>
      <c r="AM464" s="46"/>
      <c r="AN464" s="46"/>
      <c r="AO464" s="46"/>
    </row>
    <row r="465">
      <c r="A465" s="17"/>
      <c r="B465" s="46"/>
      <c r="C465" s="46"/>
      <c r="D465" s="46"/>
      <c r="E465" s="17"/>
      <c r="F465" s="46"/>
      <c r="G465" s="46"/>
      <c r="H465" s="46"/>
      <c r="I465" s="17"/>
      <c r="J465" s="46"/>
      <c r="K465" s="46"/>
      <c r="L465" s="46"/>
      <c r="M465" s="17"/>
      <c r="N465" s="46"/>
      <c r="O465" s="46"/>
      <c r="P465" s="46"/>
      <c r="Q465" s="46"/>
      <c r="R465" s="46"/>
      <c r="S465" s="46"/>
      <c r="T465" s="46"/>
      <c r="U465" s="46"/>
      <c r="V465" s="46"/>
      <c r="W465" s="46"/>
      <c r="X465" s="46"/>
      <c r="Y465" s="46"/>
      <c r="Z465" s="46"/>
      <c r="AA465" s="46"/>
      <c r="AB465" s="46"/>
      <c r="AC465" s="46"/>
      <c r="AD465" s="46"/>
      <c r="AE465" s="46"/>
      <c r="AF465" s="46"/>
      <c r="AG465" s="123"/>
      <c r="AH465" s="123"/>
      <c r="AI465" s="123"/>
      <c r="AJ465" s="123"/>
      <c r="AK465" s="46"/>
      <c r="AL465" s="46"/>
      <c r="AM465" s="46"/>
      <c r="AN465" s="46"/>
      <c r="AO465" s="46"/>
    </row>
    <row r="466">
      <c r="A466" s="17"/>
      <c r="B466" s="46"/>
      <c r="C466" s="46"/>
      <c r="D466" s="46"/>
      <c r="E466" s="17"/>
      <c r="F466" s="46"/>
      <c r="G466" s="46"/>
      <c r="H466" s="46"/>
      <c r="I466" s="17"/>
      <c r="J466" s="46"/>
      <c r="K466" s="46"/>
      <c r="L466" s="46"/>
      <c r="M466" s="17"/>
      <c r="N466" s="46"/>
      <c r="O466" s="46"/>
      <c r="P466" s="46"/>
      <c r="Q466" s="46"/>
      <c r="R466" s="46"/>
      <c r="S466" s="46"/>
      <c r="T466" s="46"/>
      <c r="U466" s="46"/>
      <c r="V466" s="46"/>
      <c r="W466" s="46"/>
      <c r="X466" s="46"/>
      <c r="Y466" s="46"/>
      <c r="Z466" s="46"/>
      <c r="AA466" s="46"/>
      <c r="AB466" s="46"/>
      <c r="AC466" s="46"/>
      <c r="AD466" s="46"/>
      <c r="AE466" s="46"/>
      <c r="AF466" s="46"/>
      <c r="AG466" s="123"/>
      <c r="AH466" s="123"/>
      <c r="AI466" s="123"/>
      <c r="AJ466" s="123"/>
      <c r="AK466" s="46"/>
      <c r="AL466" s="46"/>
      <c r="AM466" s="46"/>
      <c r="AN466" s="46"/>
      <c r="AO466" s="46"/>
    </row>
    <row r="467">
      <c r="A467" s="17"/>
      <c r="B467" s="46"/>
      <c r="C467" s="46"/>
      <c r="D467" s="46"/>
      <c r="E467" s="17"/>
      <c r="F467" s="46"/>
      <c r="G467" s="46"/>
      <c r="H467" s="46"/>
      <c r="I467" s="17"/>
      <c r="J467" s="46"/>
      <c r="K467" s="46"/>
      <c r="L467" s="46"/>
      <c r="M467" s="17"/>
      <c r="N467" s="46"/>
      <c r="O467" s="46"/>
      <c r="P467" s="46"/>
      <c r="Q467" s="46"/>
      <c r="R467" s="46"/>
      <c r="S467" s="46"/>
      <c r="T467" s="46"/>
      <c r="U467" s="46"/>
      <c r="V467" s="46"/>
      <c r="W467" s="46"/>
      <c r="X467" s="46"/>
      <c r="Y467" s="46"/>
      <c r="Z467" s="46"/>
      <c r="AA467" s="46"/>
      <c r="AB467" s="46"/>
      <c r="AC467" s="46"/>
      <c r="AD467" s="46"/>
      <c r="AE467" s="46"/>
      <c r="AF467" s="46"/>
      <c r="AG467" s="123"/>
      <c r="AH467" s="123"/>
      <c r="AI467" s="123"/>
      <c r="AJ467" s="123"/>
      <c r="AK467" s="46"/>
      <c r="AL467" s="46"/>
      <c r="AM467" s="46"/>
      <c r="AN467" s="46"/>
      <c r="AO467" s="46"/>
    </row>
    <row r="468">
      <c r="A468" s="17"/>
      <c r="B468" s="46"/>
      <c r="C468" s="46"/>
      <c r="D468" s="46"/>
      <c r="E468" s="17"/>
      <c r="F468" s="46"/>
      <c r="G468" s="46"/>
      <c r="H468" s="46"/>
      <c r="I468" s="17"/>
      <c r="J468" s="46"/>
      <c r="K468" s="46"/>
      <c r="L468" s="46"/>
      <c r="M468" s="17"/>
      <c r="N468" s="46"/>
      <c r="O468" s="46"/>
      <c r="P468" s="46"/>
      <c r="Q468" s="46"/>
      <c r="R468" s="46"/>
      <c r="S468" s="46"/>
      <c r="T468" s="46"/>
      <c r="U468" s="46"/>
      <c r="V468" s="46"/>
      <c r="W468" s="46"/>
      <c r="X468" s="46"/>
      <c r="Y468" s="46"/>
      <c r="Z468" s="46"/>
      <c r="AA468" s="46"/>
      <c r="AB468" s="46"/>
      <c r="AC468" s="46"/>
      <c r="AD468" s="46"/>
      <c r="AE468" s="46"/>
      <c r="AF468" s="46"/>
      <c r="AG468" s="123"/>
      <c r="AH468" s="123"/>
      <c r="AI468" s="123"/>
      <c r="AJ468" s="123"/>
      <c r="AK468" s="46"/>
      <c r="AL468" s="46"/>
      <c r="AM468" s="46"/>
      <c r="AN468" s="46"/>
      <c r="AO468" s="46"/>
    </row>
    <row r="469">
      <c r="A469" s="17"/>
      <c r="B469" s="46"/>
      <c r="C469" s="46"/>
      <c r="D469" s="46"/>
      <c r="E469" s="17"/>
      <c r="F469" s="46"/>
      <c r="G469" s="46"/>
      <c r="H469" s="46"/>
      <c r="I469" s="17"/>
      <c r="J469" s="46"/>
      <c r="K469" s="46"/>
      <c r="L469" s="46"/>
      <c r="M469" s="17"/>
      <c r="N469" s="46"/>
      <c r="O469" s="46"/>
      <c r="P469" s="46"/>
      <c r="Q469" s="46"/>
      <c r="R469" s="46"/>
      <c r="S469" s="46"/>
      <c r="T469" s="46"/>
      <c r="U469" s="46"/>
      <c r="V469" s="46"/>
      <c r="W469" s="46"/>
      <c r="X469" s="46"/>
      <c r="Y469" s="46"/>
      <c r="Z469" s="46"/>
      <c r="AA469" s="46"/>
      <c r="AB469" s="46"/>
      <c r="AC469" s="46"/>
      <c r="AD469" s="46"/>
      <c r="AE469" s="46"/>
      <c r="AF469" s="46"/>
      <c r="AG469" s="123"/>
      <c r="AH469" s="123"/>
      <c r="AI469" s="123"/>
      <c r="AJ469" s="123"/>
      <c r="AK469" s="46"/>
      <c r="AL469" s="46"/>
      <c r="AM469" s="46"/>
      <c r="AN469" s="46"/>
      <c r="AO469" s="46"/>
    </row>
    <row r="470">
      <c r="A470" s="17"/>
      <c r="B470" s="46"/>
      <c r="C470" s="46"/>
      <c r="D470" s="46"/>
      <c r="E470" s="17"/>
      <c r="F470" s="46"/>
      <c r="G470" s="46"/>
      <c r="H470" s="46"/>
      <c r="I470" s="17"/>
      <c r="J470" s="46"/>
      <c r="K470" s="46"/>
      <c r="L470" s="46"/>
      <c r="M470" s="17"/>
      <c r="N470" s="46"/>
      <c r="O470" s="46"/>
      <c r="P470" s="46"/>
      <c r="Q470" s="46"/>
      <c r="R470" s="46"/>
      <c r="S470" s="46"/>
      <c r="T470" s="46"/>
      <c r="U470" s="46"/>
      <c r="V470" s="46"/>
      <c r="W470" s="46"/>
      <c r="X470" s="46"/>
      <c r="Y470" s="46"/>
      <c r="Z470" s="46"/>
      <c r="AA470" s="46"/>
      <c r="AB470" s="46"/>
      <c r="AC470" s="46"/>
      <c r="AD470" s="46"/>
      <c r="AE470" s="46"/>
      <c r="AF470" s="46"/>
      <c r="AG470" s="123"/>
      <c r="AH470" s="123"/>
      <c r="AI470" s="123"/>
      <c r="AJ470" s="123"/>
      <c r="AK470" s="46"/>
      <c r="AL470" s="46"/>
      <c r="AM470" s="46"/>
      <c r="AN470" s="46"/>
      <c r="AO470" s="46"/>
    </row>
    <row r="471">
      <c r="A471" s="17"/>
      <c r="B471" s="46"/>
      <c r="C471" s="46"/>
      <c r="D471" s="46"/>
      <c r="E471" s="17"/>
      <c r="F471" s="46"/>
      <c r="G471" s="46"/>
      <c r="H471" s="46"/>
      <c r="I471" s="17"/>
      <c r="J471" s="46"/>
      <c r="K471" s="46"/>
      <c r="L471" s="46"/>
      <c r="M471" s="17"/>
      <c r="N471" s="46"/>
      <c r="O471" s="46"/>
      <c r="P471" s="46"/>
      <c r="Q471" s="46"/>
      <c r="R471" s="46"/>
      <c r="S471" s="46"/>
      <c r="T471" s="46"/>
      <c r="U471" s="46"/>
      <c r="V471" s="46"/>
      <c r="W471" s="46"/>
      <c r="X471" s="46"/>
      <c r="Y471" s="46"/>
      <c r="Z471" s="46"/>
      <c r="AA471" s="46"/>
      <c r="AB471" s="46"/>
      <c r="AC471" s="46"/>
      <c r="AD471" s="46"/>
      <c r="AE471" s="46"/>
      <c r="AF471" s="46"/>
      <c r="AG471" s="123"/>
      <c r="AH471" s="123"/>
      <c r="AI471" s="123"/>
      <c r="AJ471" s="123"/>
      <c r="AK471" s="46"/>
      <c r="AL471" s="46"/>
      <c r="AM471" s="46"/>
      <c r="AN471" s="46"/>
      <c r="AO471" s="46"/>
    </row>
    <row r="472">
      <c r="A472" s="17"/>
      <c r="B472" s="46"/>
      <c r="C472" s="46"/>
      <c r="D472" s="46"/>
      <c r="E472" s="17"/>
      <c r="F472" s="46"/>
      <c r="G472" s="46"/>
      <c r="H472" s="46"/>
      <c r="I472" s="17"/>
      <c r="J472" s="46"/>
      <c r="K472" s="46"/>
      <c r="L472" s="46"/>
      <c r="M472" s="17"/>
      <c r="N472" s="46"/>
      <c r="O472" s="46"/>
      <c r="P472" s="46"/>
      <c r="Q472" s="46"/>
      <c r="R472" s="46"/>
      <c r="S472" s="46"/>
      <c r="T472" s="46"/>
      <c r="U472" s="46"/>
      <c r="V472" s="46"/>
      <c r="W472" s="46"/>
      <c r="X472" s="46"/>
      <c r="Y472" s="46"/>
      <c r="Z472" s="46"/>
      <c r="AA472" s="46"/>
      <c r="AB472" s="46"/>
      <c r="AC472" s="46"/>
      <c r="AD472" s="46"/>
      <c r="AE472" s="46"/>
      <c r="AF472" s="46"/>
      <c r="AG472" s="123"/>
      <c r="AH472" s="123"/>
      <c r="AI472" s="123"/>
      <c r="AJ472" s="123"/>
      <c r="AK472" s="46"/>
      <c r="AL472" s="46"/>
      <c r="AM472" s="46"/>
      <c r="AN472" s="46"/>
      <c r="AO472" s="46"/>
    </row>
    <row r="473">
      <c r="A473" s="17"/>
      <c r="B473" s="46"/>
      <c r="C473" s="46"/>
      <c r="D473" s="46"/>
      <c r="E473" s="17"/>
      <c r="F473" s="46"/>
      <c r="G473" s="46"/>
      <c r="H473" s="46"/>
      <c r="I473" s="17"/>
      <c r="J473" s="46"/>
      <c r="K473" s="46"/>
      <c r="L473" s="46"/>
      <c r="M473" s="17"/>
      <c r="N473" s="46"/>
      <c r="O473" s="46"/>
      <c r="P473" s="46"/>
      <c r="Q473" s="46"/>
      <c r="R473" s="46"/>
      <c r="S473" s="46"/>
      <c r="T473" s="46"/>
      <c r="U473" s="46"/>
      <c r="V473" s="46"/>
      <c r="W473" s="46"/>
      <c r="X473" s="46"/>
      <c r="Y473" s="46"/>
      <c r="Z473" s="46"/>
      <c r="AA473" s="46"/>
      <c r="AB473" s="46"/>
      <c r="AC473" s="46"/>
      <c r="AD473" s="46"/>
      <c r="AE473" s="46"/>
      <c r="AF473" s="46"/>
      <c r="AG473" s="123"/>
      <c r="AH473" s="123"/>
      <c r="AI473" s="123"/>
      <c r="AJ473" s="123"/>
      <c r="AK473" s="46"/>
      <c r="AL473" s="46"/>
      <c r="AM473" s="46"/>
      <c r="AN473" s="46"/>
      <c r="AO473" s="46"/>
    </row>
    <row r="474">
      <c r="A474" s="17"/>
      <c r="B474" s="46"/>
      <c r="C474" s="46"/>
      <c r="D474" s="46"/>
      <c r="E474" s="17"/>
      <c r="F474" s="46"/>
      <c r="G474" s="46"/>
      <c r="H474" s="46"/>
      <c r="I474" s="17"/>
      <c r="J474" s="46"/>
      <c r="K474" s="46"/>
      <c r="L474" s="46"/>
      <c r="M474" s="17"/>
      <c r="N474" s="46"/>
      <c r="O474" s="46"/>
      <c r="P474" s="46"/>
      <c r="Q474" s="46"/>
      <c r="R474" s="46"/>
      <c r="S474" s="46"/>
      <c r="T474" s="46"/>
      <c r="U474" s="46"/>
      <c r="V474" s="46"/>
      <c r="W474" s="46"/>
      <c r="X474" s="46"/>
      <c r="Y474" s="46"/>
      <c r="Z474" s="46"/>
      <c r="AA474" s="46"/>
      <c r="AB474" s="46"/>
      <c r="AC474" s="46"/>
      <c r="AD474" s="46"/>
      <c r="AE474" s="46"/>
      <c r="AF474" s="46"/>
      <c r="AG474" s="123"/>
      <c r="AH474" s="123"/>
      <c r="AI474" s="123"/>
      <c r="AJ474" s="123"/>
      <c r="AK474" s="46"/>
      <c r="AL474" s="46"/>
      <c r="AM474" s="46"/>
      <c r="AN474" s="46"/>
      <c r="AO474" s="46"/>
    </row>
    <row r="475">
      <c r="A475" s="17"/>
      <c r="B475" s="46"/>
      <c r="C475" s="46"/>
      <c r="D475" s="46"/>
      <c r="E475" s="17"/>
      <c r="F475" s="46"/>
      <c r="G475" s="46"/>
      <c r="H475" s="46"/>
      <c r="I475" s="17"/>
      <c r="J475" s="46"/>
      <c r="K475" s="46"/>
      <c r="L475" s="46"/>
      <c r="M475" s="17"/>
      <c r="N475" s="46"/>
      <c r="O475" s="46"/>
      <c r="P475" s="46"/>
      <c r="Q475" s="46"/>
      <c r="R475" s="46"/>
      <c r="S475" s="46"/>
      <c r="T475" s="46"/>
      <c r="U475" s="46"/>
      <c r="V475" s="46"/>
      <c r="W475" s="46"/>
      <c r="X475" s="46"/>
      <c r="Y475" s="46"/>
      <c r="Z475" s="46"/>
      <c r="AA475" s="46"/>
      <c r="AB475" s="46"/>
      <c r="AC475" s="46"/>
      <c r="AD475" s="46"/>
      <c r="AE475" s="46"/>
      <c r="AF475" s="46"/>
      <c r="AG475" s="123"/>
      <c r="AH475" s="123"/>
      <c r="AI475" s="123"/>
      <c r="AJ475" s="123"/>
      <c r="AK475" s="46"/>
      <c r="AL475" s="46"/>
      <c r="AM475" s="46"/>
      <c r="AN475" s="46"/>
      <c r="AO475" s="46"/>
    </row>
    <row r="476">
      <c r="A476" s="17"/>
      <c r="B476" s="46"/>
      <c r="C476" s="46"/>
      <c r="D476" s="46"/>
      <c r="E476" s="17"/>
      <c r="F476" s="46"/>
      <c r="G476" s="46"/>
      <c r="H476" s="46"/>
      <c r="I476" s="17"/>
      <c r="J476" s="46"/>
      <c r="K476" s="46"/>
      <c r="L476" s="46"/>
      <c r="M476" s="17"/>
      <c r="N476" s="46"/>
      <c r="O476" s="46"/>
      <c r="P476" s="46"/>
      <c r="Q476" s="46"/>
      <c r="R476" s="46"/>
      <c r="S476" s="46"/>
      <c r="T476" s="46"/>
      <c r="U476" s="46"/>
      <c r="V476" s="46"/>
      <c r="W476" s="46"/>
      <c r="X476" s="46"/>
      <c r="Y476" s="46"/>
      <c r="Z476" s="46"/>
      <c r="AA476" s="46"/>
      <c r="AB476" s="46"/>
      <c r="AC476" s="46"/>
      <c r="AD476" s="46"/>
      <c r="AE476" s="46"/>
      <c r="AF476" s="46"/>
      <c r="AG476" s="123"/>
      <c r="AH476" s="123"/>
      <c r="AI476" s="123"/>
      <c r="AJ476" s="123"/>
      <c r="AK476" s="46"/>
      <c r="AL476" s="46"/>
      <c r="AM476" s="46"/>
      <c r="AN476" s="46"/>
      <c r="AO476" s="46"/>
    </row>
    <row r="477">
      <c r="A477" s="17"/>
      <c r="B477" s="46"/>
      <c r="C477" s="46"/>
      <c r="D477" s="46"/>
      <c r="E477" s="17"/>
      <c r="F477" s="46"/>
      <c r="G477" s="46"/>
      <c r="H477" s="46"/>
      <c r="I477" s="17"/>
      <c r="J477" s="46"/>
      <c r="K477" s="46"/>
      <c r="L477" s="46"/>
      <c r="M477" s="17"/>
      <c r="N477" s="46"/>
      <c r="O477" s="46"/>
      <c r="P477" s="46"/>
      <c r="Q477" s="46"/>
      <c r="R477" s="46"/>
      <c r="S477" s="46"/>
      <c r="T477" s="46"/>
      <c r="U477" s="46"/>
      <c r="V477" s="46"/>
      <c r="W477" s="46"/>
      <c r="X477" s="46"/>
      <c r="Y477" s="46"/>
      <c r="Z477" s="46"/>
      <c r="AA477" s="46"/>
      <c r="AB477" s="46"/>
      <c r="AC477" s="46"/>
      <c r="AD477" s="46"/>
      <c r="AE477" s="46"/>
      <c r="AF477" s="46"/>
      <c r="AG477" s="123"/>
      <c r="AH477" s="123"/>
      <c r="AI477" s="123"/>
      <c r="AJ477" s="123"/>
      <c r="AK477" s="46"/>
      <c r="AL477" s="46"/>
      <c r="AM477" s="46"/>
      <c r="AN477" s="46"/>
      <c r="AO477" s="46"/>
    </row>
    <row r="478">
      <c r="A478" s="17"/>
      <c r="B478" s="46"/>
      <c r="C478" s="46"/>
      <c r="D478" s="46"/>
      <c r="E478" s="17"/>
      <c r="F478" s="46"/>
      <c r="G478" s="46"/>
      <c r="H478" s="46"/>
      <c r="I478" s="17"/>
      <c r="J478" s="46"/>
      <c r="K478" s="46"/>
      <c r="L478" s="46"/>
      <c r="M478" s="17"/>
      <c r="N478" s="46"/>
      <c r="O478" s="46"/>
      <c r="P478" s="46"/>
      <c r="Q478" s="46"/>
      <c r="R478" s="46"/>
      <c r="S478" s="46"/>
      <c r="T478" s="46"/>
      <c r="U478" s="46"/>
      <c r="V478" s="46"/>
      <c r="W478" s="46"/>
      <c r="X478" s="46"/>
      <c r="Y478" s="46"/>
      <c r="Z478" s="46"/>
      <c r="AA478" s="46"/>
      <c r="AB478" s="46"/>
      <c r="AC478" s="46"/>
      <c r="AD478" s="46"/>
      <c r="AE478" s="46"/>
      <c r="AF478" s="46"/>
      <c r="AG478" s="123"/>
      <c r="AH478" s="123"/>
      <c r="AI478" s="123"/>
      <c r="AJ478" s="123"/>
      <c r="AK478" s="46"/>
      <c r="AL478" s="46"/>
      <c r="AM478" s="46"/>
      <c r="AN478" s="46"/>
      <c r="AO478" s="46"/>
    </row>
    <row r="479">
      <c r="A479" s="17"/>
      <c r="B479" s="46"/>
      <c r="C479" s="46"/>
      <c r="D479" s="46"/>
      <c r="E479" s="17"/>
      <c r="F479" s="46"/>
      <c r="G479" s="46"/>
      <c r="H479" s="46"/>
      <c r="I479" s="17"/>
      <c r="J479" s="46"/>
      <c r="K479" s="46"/>
      <c r="L479" s="46"/>
      <c r="M479" s="17"/>
      <c r="N479" s="46"/>
      <c r="O479" s="46"/>
      <c r="P479" s="46"/>
      <c r="Q479" s="46"/>
      <c r="R479" s="46"/>
      <c r="S479" s="46"/>
      <c r="T479" s="46"/>
      <c r="U479" s="46"/>
      <c r="V479" s="46"/>
      <c r="W479" s="46"/>
      <c r="X479" s="46"/>
      <c r="Y479" s="46"/>
      <c r="Z479" s="46"/>
      <c r="AA479" s="46"/>
      <c r="AB479" s="46"/>
      <c r="AC479" s="46"/>
      <c r="AD479" s="46"/>
      <c r="AE479" s="46"/>
      <c r="AF479" s="46"/>
      <c r="AG479" s="123"/>
      <c r="AH479" s="123"/>
      <c r="AI479" s="123"/>
      <c r="AJ479" s="123"/>
      <c r="AK479" s="46"/>
      <c r="AL479" s="46"/>
      <c r="AM479" s="46"/>
      <c r="AN479" s="46"/>
      <c r="AO479" s="46"/>
    </row>
    <row r="480">
      <c r="A480" s="17"/>
      <c r="B480" s="46"/>
      <c r="C480" s="46"/>
      <c r="D480" s="46"/>
      <c r="E480" s="17"/>
      <c r="F480" s="46"/>
      <c r="G480" s="46"/>
      <c r="H480" s="46"/>
      <c r="I480" s="17"/>
      <c r="J480" s="46"/>
      <c r="K480" s="46"/>
      <c r="L480" s="46"/>
      <c r="M480" s="17"/>
      <c r="N480" s="46"/>
      <c r="O480" s="46"/>
      <c r="P480" s="46"/>
      <c r="Q480" s="46"/>
      <c r="R480" s="46"/>
      <c r="S480" s="46"/>
      <c r="T480" s="46"/>
      <c r="U480" s="46"/>
      <c r="V480" s="46"/>
      <c r="W480" s="46"/>
      <c r="X480" s="46"/>
      <c r="Y480" s="46"/>
      <c r="Z480" s="46"/>
      <c r="AA480" s="46"/>
      <c r="AB480" s="46"/>
      <c r="AC480" s="46"/>
      <c r="AD480" s="46"/>
      <c r="AE480" s="46"/>
      <c r="AF480" s="46"/>
      <c r="AG480" s="123"/>
      <c r="AH480" s="123"/>
      <c r="AI480" s="123"/>
      <c r="AJ480" s="123"/>
      <c r="AK480" s="46"/>
      <c r="AL480" s="46"/>
      <c r="AM480" s="46"/>
      <c r="AN480" s="46"/>
      <c r="AO480" s="46"/>
    </row>
    <row r="481">
      <c r="A481" s="17"/>
      <c r="B481" s="46"/>
      <c r="C481" s="46"/>
      <c r="D481" s="46"/>
      <c r="E481" s="17"/>
      <c r="F481" s="46"/>
      <c r="G481" s="46"/>
      <c r="H481" s="46"/>
      <c r="I481" s="17"/>
      <c r="J481" s="46"/>
      <c r="K481" s="46"/>
      <c r="L481" s="46"/>
      <c r="M481" s="17"/>
      <c r="N481" s="46"/>
      <c r="O481" s="46"/>
      <c r="P481" s="46"/>
      <c r="Q481" s="46"/>
      <c r="R481" s="46"/>
      <c r="S481" s="46"/>
      <c r="T481" s="46"/>
      <c r="U481" s="46"/>
      <c r="V481" s="46"/>
      <c r="W481" s="46"/>
      <c r="X481" s="46"/>
      <c r="Y481" s="46"/>
      <c r="Z481" s="46"/>
      <c r="AA481" s="46"/>
      <c r="AB481" s="46"/>
      <c r="AC481" s="46"/>
      <c r="AD481" s="46"/>
      <c r="AE481" s="46"/>
      <c r="AF481" s="46"/>
      <c r="AG481" s="123"/>
      <c r="AH481" s="123"/>
      <c r="AI481" s="123"/>
      <c r="AJ481" s="123"/>
      <c r="AK481" s="46"/>
      <c r="AL481" s="46"/>
      <c r="AM481" s="46"/>
      <c r="AN481" s="46"/>
      <c r="AO481" s="46"/>
    </row>
    <row r="482">
      <c r="A482" s="17"/>
      <c r="B482" s="46"/>
      <c r="C482" s="46"/>
      <c r="D482" s="46"/>
      <c r="E482" s="17"/>
      <c r="F482" s="46"/>
      <c r="G482" s="46"/>
      <c r="H482" s="46"/>
      <c r="I482" s="17"/>
      <c r="J482" s="46"/>
      <c r="K482" s="46"/>
      <c r="L482" s="46"/>
      <c r="M482" s="17"/>
      <c r="N482" s="46"/>
      <c r="O482" s="46"/>
      <c r="P482" s="46"/>
      <c r="Q482" s="46"/>
      <c r="R482" s="46"/>
      <c r="S482" s="46"/>
      <c r="T482" s="46"/>
      <c r="U482" s="46"/>
      <c r="V482" s="46"/>
      <c r="W482" s="46"/>
      <c r="X482" s="46"/>
      <c r="Y482" s="46"/>
      <c r="Z482" s="46"/>
      <c r="AA482" s="46"/>
      <c r="AB482" s="46"/>
      <c r="AC482" s="46"/>
      <c r="AD482" s="46"/>
      <c r="AE482" s="46"/>
      <c r="AF482" s="46"/>
      <c r="AG482" s="123"/>
      <c r="AH482" s="123"/>
      <c r="AI482" s="123"/>
      <c r="AJ482" s="123"/>
      <c r="AK482" s="46"/>
      <c r="AL482" s="46"/>
      <c r="AM482" s="46"/>
      <c r="AN482" s="46"/>
      <c r="AO482" s="46"/>
    </row>
    <row r="483">
      <c r="A483" s="17"/>
      <c r="B483" s="46"/>
      <c r="C483" s="46"/>
      <c r="D483" s="46"/>
      <c r="E483" s="17"/>
      <c r="F483" s="46"/>
      <c r="G483" s="46"/>
      <c r="H483" s="46"/>
      <c r="I483" s="17"/>
      <c r="J483" s="46"/>
      <c r="K483" s="46"/>
      <c r="L483" s="46"/>
      <c r="M483" s="17"/>
      <c r="N483" s="46"/>
      <c r="O483" s="46"/>
      <c r="P483" s="46"/>
      <c r="Q483" s="46"/>
      <c r="R483" s="46"/>
      <c r="S483" s="46"/>
      <c r="T483" s="46"/>
      <c r="U483" s="46"/>
      <c r="V483" s="46"/>
      <c r="W483" s="46"/>
      <c r="X483" s="46"/>
      <c r="Y483" s="46"/>
      <c r="Z483" s="46"/>
      <c r="AA483" s="46"/>
      <c r="AB483" s="46"/>
      <c r="AC483" s="46"/>
      <c r="AD483" s="46"/>
      <c r="AE483" s="46"/>
      <c r="AF483" s="46"/>
      <c r="AG483" s="123"/>
      <c r="AH483" s="123"/>
      <c r="AI483" s="123"/>
      <c r="AJ483" s="123"/>
      <c r="AK483" s="46"/>
      <c r="AL483" s="46"/>
      <c r="AM483" s="46"/>
      <c r="AN483" s="46"/>
      <c r="AO483" s="46"/>
    </row>
    <row r="484">
      <c r="A484" s="17"/>
      <c r="B484" s="46"/>
      <c r="C484" s="46"/>
      <c r="D484" s="46"/>
      <c r="E484" s="17"/>
      <c r="F484" s="46"/>
      <c r="G484" s="46"/>
      <c r="H484" s="46"/>
      <c r="I484" s="17"/>
      <c r="J484" s="46"/>
      <c r="K484" s="46"/>
      <c r="L484" s="46"/>
      <c r="M484" s="17"/>
      <c r="N484" s="46"/>
      <c r="O484" s="46"/>
      <c r="P484" s="46"/>
      <c r="Q484" s="46"/>
      <c r="R484" s="46"/>
      <c r="S484" s="46"/>
      <c r="T484" s="46"/>
      <c r="U484" s="46"/>
      <c r="V484" s="46"/>
      <c r="W484" s="46"/>
      <c r="X484" s="46"/>
      <c r="Y484" s="46"/>
      <c r="Z484" s="46"/>
      <c r="AA484" s="46"/>
      <c r="AB484" s="46"/>
      <c r="AC484" s="46"/>
      <c r="AD484" s="46"/>
      <c r="AE484" s="46"/>
      <c r="AF484" s="46"/>
      <c r="AG484" s="123"/>
      <c r="AH484" s="123"/>
      <c r="AI484" s="123"/>
      <c r="AJ484" s="123"/>
      <c r="AK484" s="46"/>
      <c r="AL484" s="46"/>
      <c r="AM484" s="46"/>
      <c r="AN484" s="46"/>
      <c r="AO484" s="46"/>
    </row>
    <row r="485">
      <c r="A485" s="17"/>
      <c r="B485" s="46"/>
      <c r="C485" s="46"/>
      <c r="D485" s="46"/>
      <c r="E485" s="17"/>
      <c r="F485" s="46"/>
      <c r="G485" s="46"/>
      <c r="H485" s="46"/>
      <c r="I485" s="17"/>
      <c r="J485" s="46"/>
      <c r="K485" s="46"/>
      <c r="L485" s="46"/>
      <c r="M485" s="17"/>
      <c r="N485" s="46"/>
      <c r="O485" s="46"/>
      <c r="P485" s="46"/>
      <c r="Q485" s="46"/>
      <c r="R485" s="46"/>
      <c r="S485" s="46"/>
      <c r="T485" s="46"/>
      <c r="U485" s="46"/>
      <c r="V485" s="46"/>
      <c r="W485" s="46"/>
      <c r="X485" s="46"/>
      <c r="Y485" s="46"/>
      <c r="Z485" s="46"/>
      <c r="AA485" s="46"/>
      <c r="AB485" s="46"/>
      <c r="AC485" s="46"/>
      <c r="AD485" s="46"/>
      <c r="AE485" s="46"/>
      <c r="AF485" s="46"/>
      <c r="AG485" s="123"/>
      <c r="AH485" s="123"/>
      <c r="AI485" s="123"/>
      <c r="AJ485" s="123"/>
      <c r="AK485" s="46"/>
      <c r="AL485" s="46"/>
      <c r="AM485" s="46"/>
      <c r="AN485" s="46"/>
      <c r="AO485" s="46"/>
    </row>
    <row r="486">
      <c r="A486" s="17"/>
      <c r="B486" s="46"/>
      <c r="C486" s="46"/>
      <c r="D486" s="46"/>
      <c r="E486" s="17"/>
      <c r="F486" s="46"/>
      <c r="G486" s="46"/>
      <c r="H486" s="46"/>
      <c r="I486" s="17"/>
      <c r="J486" s="46"/>
      <c r="K486" s="46"/>
      <c r="L486" s="46"/>
      <c r="M486" s="17"/>
      <c r="N486" s="46"/>
      <c r="O486" s="46"/>
      <c r="P486" s="46"/>
      <c r="Q486" s="46"/>
      <c r="R486" s="46"/>
      <c r="S486" s="46"/>
      <c r="T486" s="46"/>
      <c r="U486" s="46"/>
      <c r="V486" s="46"/>
      <c r="W486" s="46"/>
      <c r="X486" s="46"/>
      <c r="Y486" s="46"/>
      <c r="Z486" s="46"/>
      <c r="AA486" s="46"/>
      <c r="AB486" s="46"/>
      <c r="AC486" s="46"/>
      <c r="AD486" s="46"/>
      <c r="AE486" s="46"/>
      <c r="AF486" s="46"/>
      <c r="AG486" s="123"/>
      <c r="AH486" s="123"/>
      <c r="AI486" s="123"/>
      <c r="AJ486" s="123"/>
      <c r="AK486" s="46"/>
      <c r="AL486" s="46"/>
      <c r="AM486" s="46"/>
      <c r="AN486" s="46"/>
      <c r="AO486" s="46"/>
    </row>
    <row r="487">
      <c r="A487" s="17"/>
      <c r="B487" s="46"/>
      <c r="C487" s="46"/>
      <c r="D487" s="46"/>
      <c r="E487" s="17"/>
      <c r="F487" s="46"/>
      <c r="G487" s="46"/>
      <c r="H487" s="46"/>
      <c r="I487" s="17"/>
      <c r="J487" s="46"/>
      <c r="K487" s="46"/>
      <c r="L487" s="46"/>
      <c r="M487" s="17"/>
      <c r="N487" s="46"/>
      <c r="O487" s="46"/>
      <c r="P487" s="46"/>
      <c r="Q487" s="46"/>
      <c r="R487" s="46"/>
      <c r="S487" s="46"/>
      <c r="T487" s="46"/>
      <c r="U487" s="46"/>
      <c r="V487" s="46"/>
      <c r="W487" s="46"/>
      <c r="X487" s="46"/>
      <c r="Y487" s="46"/>
      <c r="Z487" s="46"/>
      <c r="AA487" s="46"/>
      <c r="AB487" s="46"/>
      <c r="AC487" s="46"/>
      <c r="AD487" s="46"/>
      <c r="AE487" s="46"/>
      <c r="AF487" s="46"/>
      <c r="AG487" s="123"/>
      <c r="AH487" s="123"/>
      <c r="AI487" s="123"/>
      <c r="AJ487" s="123"/>
      <c r="AK487" s="46"/>
      <c r="AL487" s="46"/>
      <c r="AM487" s="46"/>
      <c r="AN487" s="46"/>
      <c r="AO487" s="46"/>
    </row>
    <row r="488">
      <c r="A488" s="17"/>
      <c r="B488" s="46"/>
      <c r="C488" s="46"/>
      <c r="D488" s="46"/>
      <c r="E488" s="17"/>
      <c r="F488" s="46"/>
      <c r="G488" s="46"/>
      <c r="H488" s="46"/>
      <c r="I488" s="17"/>
      <c r="J488" s="46"/>
      <c r="K488" s="46"/>
      <c r="L488" s="46"/>
      <c r="M488" s="17"/>
      <c r="N488" s="46"/>
      <c r="O488" s="46"/>
      <c r="P488" s="46"/>
      <c r="Q488" s="46"/>
      <c r="R488" s="46"/>
      <c r="S488" s="46"/>
      <c r="T488" s="46"/>
      <c r="U488" s="46"/>
      <c r="V488" s="46"/>
      <c r="W488" s="46"/>
      <c r="X488" s="46"/>
      <c r="Y488" s="46"/>
      <c r="Z488" s="46"/>
      <c r="AA488" s="46"/>
      <c r="AB488" s="46"/>
      <c r="AC488" s="46"/>
      <c r="AD488" s="46"/>
      <c r="AE488" s="46"/>
      <c r="AF488" s="46"/>
      <c r="AG488" s="123"/>
      <c r="AH488" s="123"/>
      <c r="AI488" s="123"/>
      <c r="AJ488" s="123"/>
      <c r="AK488" s="46"/>
      <c r="AL488" s="46"/>
      <c r="AM488" s="46"/>
      <c r="AN488" s="46"/>
      <c r="AO488" s="46"/>
    </row>
    <row r="489">
      <c r="A489" s="17"/>
      <c r="B489" s="46"/>
      <c r="C489" s="46"/>
      <c r="D489" s="46"/>
      <c r="E489" s="17"/>
      <c r="F489" s="46"/>
      <c r="G489" s="46"/>
      <c r="H489" s="46"/>
      <c r="I489" s="17"/>
      <c r="J489" s="46"/>
      <c r="K489" s="46"/>
      <c r="L489" s="46"/>
      <c r="M489" s="17"/>
      <c r="N489" s="46"/>
      <c r="O489" s="46"/>
      <c r="P489" s="46"/>
      <c r="Q489" s="46"/>
      <c r="R489" s="46"/>
      <c r="S489" s="46"/>
      <c r="T489" s="46"/>
      <c r="U489" s="46"/>
      <c r="V489" s="46"/>
      <c r="W489" s="46"/>
      <c r="X489" s="46"/>
      <c r="Y489" s="46"/>
      <c r="Z489" s="46"/>
      <c r="AA489" s="46"/>
      <c r="AB489" s="46"/>
      <c r="AC489" s="46"/>
      <c r="AD489" s="46"/>
      <c r="AE489" s="46"/>
      <c r="AF489" s="46"/>
      <c r="AG489" s="123"/>
      <c r="AH489" s="123"/>
      <c r="AI489" s="123"/>
      <c r="AJ489" s="123"/>
      <c r="AK489" s="46"/>
      <c r="AL489" s="46"/>
      <c r="AM489" s="46"/>
      <c r="AN489" s="46"/>
      <c r="AO489" s="46"/>
    </row>
    <row r="490">
      <c r="A490" s="17"/>
      <c r="B490" s="46"/>
      <c r="C490" s="46"/>
      <c r="D490" s="46"/>
      <c r="E490" s="17"/>
      <c r="F490" s="46"/>
      <c r="G490" s="46"/>
      <c r="H490" s="46"/>
      <c r="I490" s="17"/>
      <c r="J490" s="46"/>
      <c r="K490" s="46"/>
      <c r="L490" s="46"/>
      <c r="M490" s="17"/>
      <c r="N490" s="46"/>
      <c r="O490" s="46"/>
      <c r="P490" s="46"/>
      <c r="Q490" s="46"/>
      <c r="R490" s="46"/>
      <c r="S490" s="46"/>
      <c r="T490" s="46"/>
      <c r="U490" s="46"/>
      <c r="V490" s="46"/>
      <c r="W490" s="46"/>
      <c r="X490" s="46"/>
      <c r="Y490" s="46"/>
      <c r="Z490" s="46"/>
      <c r="AA490" s="46"/>
      <c r="AB490" s="46"/>
      <c r="AC490" s="46"/>
      <c r="AD490" s="46"/>
      <c r="AE490" s="46"/>
      <c r="AF490" s="46"/>
      <c r="AG490" s="123"/>
      <c r="AH490" s="123"/>
      <c r="AI490" s="123"/>
      <c r="AJ490" s="123"/>
      <c r="AK490" s="46"/>
      <c r="AL490" s="46"/>
      <c r="AM490" s="46"/>
      <c r="AN490" s="46"/>
      <c r="AO490" s="46"/>
    </row>
    <row r="491">
      <c r="A491" s="17"/>
      <c r="B491" s="46"/>
      <c r="C491" s="46"/>
      <c r="D491" s="46"/>
      <c r="E491" s="17"/>
      <c r="F491" s="46"/>
      <c r="G491" s="46"/>
      <c r="H491" s="46"/>
      <c r="I491" s="17"/>
      <c r="J491" s="46"/>
      <c r="K491" s="46"/>
      <c r="L491" s="46"/>
      <c r="M491" s="17"/>
      <c r="N491" s="46"/>
      <c r="O491" s="46"/>
      <c r="P491" s="46"/>
      <c r="Q491" s="46"/>
      <c r="R491" s="46"/>
      <c r="S491" s="46"/>
      <c r="T491" s="46"/>
      <c r="U491" s="46"/>
      <c r="V491" s="46"/>
      <c r="W491" s="46"/>
      <c r="X491" s="46"/>
      <c r="Y491" s="46"/>
      <c r="Z491" s="46"/>
      <c r="AA491" s="46"/>
      <c r="AB491" s="46"/>
      <c r="AC491" s="46"/>
      <c r="AD491" s="46"/>
      <c r="AE491" s="46"/>
      <c r="AF491" s="46"/>
      <c r="AG491" s="123"/>
      <c r="AH491" s="123"/>
      <c r="AI491" s="123"/>
      <c r="AJ491" s="123"/>
      <c r="AK491" s="46"/>
      <c r="AL491" s="46"/>
      <c r="AM491" s="46"/>
      <c r="AN491" s="46"/>
      <c r="AO491" s="46"/>
    </row>
    <row r="492">
      <c r="A492" s="17"/>
      <c r="B492" s="46"/>
      <c r="C492" s="46"/>
      <c r="D492" s="46"/>
      <c r="E492" s="17"/>
      <c r="F492" s="46"/>
      <c r="G492" s="46"/>
      <c r="H492" s="46"/>
      <c r="I492" s="17"/>
      <c r="J492" s="46"/>
      <c r="K492" s="46"/>
      <c r="L492" s="46"/>
      <c r="M492" s="17"/>
      <c r="N492" s="46"/>
      <c r="O492" s="46"/>
      <c r="P492" s="46"/>
      <c r="Q492" s="46"/>
      <c r="R492" s="46"/>
      <c r="S492" s="46"/>
      <c r="T492" s="46"/>
      <c r="U492" s="46"/>
      <c r="V492" s="46"/>
      <c r="W492" s="46"/>
      <c r="X492" s="46"/>
      <c r="Y492" s="46"/>
      <c r="Z492" s="46"/>
      <c r="AA492" s="46"/>
      <c r="AB492" s="46"/>
      <c r="AC492" s="46"/>
      <c r="AD492" s="46"/>
      <c r="AE492" s="46"/>
      <c r="AF492" s="46"/>
      <c r="AG492" s="123"/>
      <c r="AH492" s="123"/>
      <c r="AI492" s="123"/>
      <c r="AJ492" s="123"/>
      <c r="AK492" s="46"/>
      <c r="AL492" s="46"/>
      <c r="AM492" s="46"/>
      <c r="AN492" s="46"/>
      <c r="AO492" s="46"/>
    </row>
    <row r="493">
      <c r="A493" s="17"/>
      <c r="B493" s="46"/>
      <c r="C493" s="46"/>
      <c r="D493" s="46"/>
      <c r="E493" s="17"/>
      <c r="F493" s="46"/>
      <c r="G493" s="46"/>
      <c r="H493" s="46"/>
      <c r="I493" s="17"/>
      <c r="J493" s="46"/>
      <c r="K493" s="46"/>
      <c r="L493" s="46"/>
      <c r="M493" s="17"/>
      <c r="N493" s="46"/>
      <c r="O493" s="46"/>
      <c r="P493" s="46"/>
      <c r="Q493" s="46"/>
      <c r="R493" s="46"/>
      <c r="S493" s="46"/>
      <c r="T493" s="46"/>
      <c r="U493" s="46"/>
      <c r="V493" s="46"/>
      <c r="W493" s="46"/>
      <c r="X493" s="46"/>
      <c r="Y493" s="46"/>
      <c r="Z493" s="46"/>
      <c r="AA493" s="46"/>
      <c r="AB493" s="46"/>
      <c r="AC493" s="46"/>
      <c r="AD493" s="46"/>
      <c r="AE493" s="46"/>
      <c r="AF493" s="46"/>
      <c r="AG493" s="123"/>
      <c r="AH493" s="123"/>
      <c r="AI493" s="123"/>
      <c r="AJ493" s="123"/>
      <c r="AK493" s="46"/>
      <c r="AL493" s="46"/>
      <c r="AM493" s="46"/>
      <c r="AN493" s="46"/>
      <c r="AO493" s="46"/>
    </row>
    <row r="494">
      <c r="A494" s="17"/>
      <c r="B494" s="46"/>
      <c r="C494" s="46"/>
      <c r="D494" s="46"/>
      <c r="E494" s="17"/>
      <c r="F494" s="46"/>
      <c r="G494" s="46"/>
      <c r="H494" s="46"/>
      <c r="I494" s="17"/>
      <c r="J494" s="46"/>
      <c r="K494" s="46"/>
      <c r="L494" s="46"/>
      <c r="M494" s="17"/>
      <c r="N494" s="46"/>
      <c r="O494" s="46"/>
      <c r="P494" s="46"/>
      <c r="Q494" s="46"/>
      <c r="R494" s="46"/>
      <c r="S494" s="46"/>
      <c r="T494" s="46"/>
      <c r="U494" s="46"/>
      <c r="V494" s="46"/>
      <c r="W494" s="46"/>
      <c r="X494" s="46"/>
      <c r="Y494" s="46"/>
      <c r="Z494" s="46"/>
      <c r="AA494" s="46"/>
      <c r="AB494" s="46"/>
      <c r="AC494" s="46"/>
      <c r="AD494" s="46"/>
      <c r="AE494" s="46"/>
      <c r="AF494" s="46"/>
      <c r="AG494" s="123"/>
      <c r="AH494" s="123"/>
      <c r="AI494" s="123"/>
      <c r="AJ494" s="123"/>
      <c r="AK494" s="46"/>
      <c r="AL494" s="46"/>
      <c r="AM494" s="46"/>
      <c r="AN494" s="46"/>
      <c r="AO494" s="46"/>
    </row>
    <row r="495">
      <c r="A495" s="17"/>
      <c r="B495" s="46"/>
      <c r="C495" s="46"/>
      <c r="D495" s="46"/>
      <c r="E495" s="17"/>
      <c r="F495" s="46"/>
      <c r="G495" s="46"/>
      <c r="H495" s="46"/>
      <c r="I495" s="17"/>
      <c r="J495" s="46"/>
      <c r="K495" s="46"/>
      <c r="L495" s="46"/>
      <c r="M495" s="17"/>
      <c r="N495" s="46"/>
      <c r="O495" s="46"/>
      <c r="P495" s="46"/>
      <c r="Q495" s="46"/>
      <c r="R495" s="46"/>
      <c r="S495" s="46"/>
      <c r="T495" s="46"/>
      <c r="U495" s="46"/>
      <c r="V495" s="46"/>
      <c r="W495" s="46"/>
      <c r="X495" s="46"/>
      <c r="Y495" s="46"/>
      <c r="Z495" s="46"/>
      <c r="AA495" s="46"/>
      <c r="AB495" s="46"/>
      <c r="AC495" s="46"/>
      <c r="AD495" s="46"/>
      <c r="AE495" s="46"/>
      <c r="AF495" s="46"/>
      <c r="AG495" s="123"/>
      <c r="AH495" s="123"/>
      <c r="AI495" s="123"/>
      <c r="AJ495" s="123"/>
      <c r="AK495" s="46"/>
      <c r="AL495" s="46"/>
      <c r="AM495" s="46"/>
      <c r="AN495" s="46"/>
      <c r="AO495" s="46"/>
    </row>
    <row r="496">
      <c r="A496" s="17"/>
      <c r="B496" s="46"/>
      <c r="C496" s="46"/>
      <c r="D496" s="46"/>
      <c r="E496" s="17"/>
      <c r="F496" s="46"/>
      <c r="G496" s="46"/>
      <c r="H496" s="46"/>
      <c r="I496" s="17"/>
      <c r="J496" s="46"/>
      <c r="K496" s="46"/>
      <c r="L496" s="46"/>
      <c r="M496" s="17"/>
      <c r="N496" s="46"/>
      <c r="O496" s="46"/>
      <c r="P496" s="46"/>
      <c r="Q496" s="46"/>
      <c r="R496" s="46"/>
      <c r="S496" s="46"/>
      <c r="T496" s="46"/>
      <c r="U496" s="46"/>
      <c r="V496" s="46"/>
      <c r="W496" s="46"/>
      <c r="X496" s="46"/>
      <c r="Y496" s="46"/>
      <c r="Z496" s="46"/>
      <c r="AA496" s="46"/>
      <c r="AB496" s="46"/>
      <c r="AC496" s="46"/>
      <c r="AD496" s="46"/>
      <c r="AE496" s="46"/>
      <c r="AF496" s="46"/>
      <c r="AG496" s="123"/>
      <c r="AH496" s="123"/>
      <c r="AI496" s="123"/>
      <c r="AJ496" s="123"/>
      <c r="AK496" s="46"/>
      <c r="AL496" s="46"/>
      <c r="AM496" s="46"/>
      <c r="AN496" s="46"/>
      <c r="AO496" s="46"/>
    </row>
    <row r="497">
      <c r="A497" s="17"/>
      <c r="B497" s="46"/>
      <c r="C497" s="46"/>
      <c r="D497" s="46"/>
      <c r="E497" s="17"/>
      <c r="F497" s="46"/>
      <c r="G497" s="46"/>
      <c r="H497" s="46"/>
      <c r="I497" s="17"/>
      <c r="J497" s="46"/>
      <c r="K497" s="46"/>
      <c r="L497" s="46"/>
      <c r="M497" s="17"/>
      <c r="N497" s="46"/>
      <c r="O497" s="46"/>
      <c r="P497" s="46"/>
      <c r="Q497" s="46"/>
      <c r="R497" s="46"/>
      <c r="S497" s="46"/>
      <c r="T497" s="46"/>
      <c r="U497" s="46"/>
      <c r="V497" s="46"/>
      <c r="W497" s="46"/>
      <c r="X497" s="46"/>
      <c r="Y497" s="46"/>
      <c r="Z497" s="46"/>
      <c r="AA497" s="46"/>
      <c r="AB497" s="46"/>
      <c r="AC497" s="46"/>
      <c r="AD497" s="46"/>
      <c r="AE497" s="46"/>
      <c r="AF497" s="46"/>
      <c r="AG497" s="123"/>
      <c r="AH497" s="123"/>
      <c r="AI497" s="123"/>
      <c r="AJ497" s="123"/>
      <c r="AK497" s="46"/>
      <c r="AL497" s="46"/>
      <c r="AM497" s="46"/>
      <c r="AN497" s="46"/>
      <c r="AO497" s="46"/>
    </row>
    <row r="498">
      <c r="A498" s="17"/>
      <c r="B498" s="46"/>
      <c r="C498" s="46"/>
      <c r="D498" s="46"/>
      <c r="E498" s="17"/>
      <c r="F498" s="46"/>
      <c r="G498" s="46"/>
      <c r="H498" s="46"/>
      <c r="I498" s="17"/>
      <c r="J498" s="46"/>
      <c r="K498" s="46"/>
      <c r="L498" s="46"/>
      <c r="M498" s="17"/>
      <c r="N498" s="46"/>
      <c r="O498" s="46"/>
      <c r="P498" s="46"/>
      <c r="Q498" s="46"/>
      <c r="R498" s="46"/>
      <c r="S498" s="46"/>
      <c r="T498" s="46"/>
      <c r="U498" s="46"/>
      <c r="V498" s="46"/>
      <c r="W498" s="46"/>
      <c r="X498" s="46"/>
      <c r="Y498" s="46"/>
      <c r="Z498" s="46"/>
      <c r="AA498" s="46"/>
      <c r="AB498" s="46"/>
      <c r="AC498" s="46"/>
      <c r="AD498" s="46"/>
      <c r="AE498" s="46"/>
      <c r="AF498" s="46"/>
      <c r="AG498" s="123"/>
      <c r="AH498" s="123"/>
      <c r="AI498" s="123"/>
      <c r="AJ498" s="123"/>
      <c r="AK498" s="46"/>
      <c r="AL498" s="46"/>
      <c r="AM498" s="46"/>
      <c r="AN498" s="46"/>
      <c r="AO498" s="46"/>
    </row>
    <row r="499">
      <c r="A499" s="17"/>
      <c r="B499" s="46"/>
      <c r="C499" s="46"/>
      <c r="D499" s="46"/>
      <c r="E499" s="17"/>
      <c r="F499" s="46"/>
      <c r="G499" s="46"/>
      <c r="H499" s="46"/>
      <c r="I499" s="17"/>
      <c r="J499" s="46"/>
      <c r="K499" s="46"/>
      <c r="L499" s="46"/>
      <c r="M499" s="17"/>
      <c r="N499" s="46"/>
      <c r="O499" s="46"/>
      <c r="P499" s="46"/>
      <c r="Q499" s="46"/>
      <c r="R499" s="46"/>
      <c r="S499" s="46"/>
      <c r="T499" s="46"/>
      <c r="U499" s="46"/>
      <c r="V499" s="46"/>
      <c r="W499" s="46"/>
      <c r="X499" s="46"/>
      <c r="Y499" s="46"/>
      <c r="Z499" s="46"/>
      <c r="AA499" s="46"/>
      <c r="AB499" s="46"/>
      <c r="AC499" s="46"/>
      <c r="AD499" s="46"/>
      <c r="AE499" s="46"/>
      <c r="AF499" s="46"/>
      <c r="AG499" s="123"/>
      <c r="AH499" s="123"/>
      <c r="AI499" s="123"/>
      <c r="AJ499" s="123"/>
      <c r="AK499" s="46"/>
      <c r="AL499" s="46"/>
      <c r="AM499" s="46"/>
      <c r="AN499" s="46"/>
      <c r="AO499" s="46"/>
    </row>
    <row r="500">
      <c r="A500" s="17"/>
      <c r="B500" s="46"/>
      <c r="C500" s="46"/>
      <c r="D500" s="46"/>
      <c r="E500" s="17"/>
      <c r="F500" s="46"/>
      <c r="G500" s="46"/>
      <c r="H500" s="46"/>
      <c r="I500" s="17"/>
      <c r="J500" s="46"/>
      <c r="K500" s="46"/>
      <c r="L500" s="46"/>
      <c r="M500" s="17"/>
      <c r="N500" s="46"/>
      <c r="O500" s="46"/>
      <c r="P500" s="46"/>
      <c r="Q500" s="46"/>
      <c r="R500" s="46"/>
      <c r="S500" s="46"/>
      <c r="T500" s="46"/>
      <c r="U500" s="46"/>
      <c r="V500" s="46"/>
      <c r="W500" s="46"/>
      <c r="X500" s="46"/>
      <c r="Y500" s="46"/>
      <c r="Z500" s="46"/>
      <c r="AA500" s="46"/>
      <c r="AB500" s="46"/>
      <c r="AC500" s="46"/>
      <c r="AD500" s="46"/>
      <c r="AE500" s="46"/>
      <c r="AF500" s="46"/>
      <c r="AG500" s="123"/>
      <c r="AH500" s="123"/>
      <c r="AI500" s="123"/>
      <c r="AJ500" s="123"/>
      <c r="AK500" s="46"/>
      <c r="AL500" s="46"/>
      <c r="AM500" s="46"/>
      <c r="AN500" s="46"/>
      <c r="AO500" s="46"/>
    </row>
    <row r="501">
      <c r="A501" s="17"/>
      <c r="B501" s="46"/>
      <c r="C501" s="46"/>
      <c r="D501" s="46"/>
      <c r="E501" s="17"/>
      <c r="F501" s="46"/>
      <c r="G501" s="46"/>
      <c r="H501" s="46"/>
      <c r="I501" s="17"/>
      <c r="J501" s="46"/>
      <c r="K501" s="46"/>
      <c r="L501" s="46"/>
      <c r="M501" s="17"/>
      <c r="N501" s="46"/>
      <c r="O501" s="46"/>
      <c r="P501" s="46"/>
      <c r="Q501" s="46"/>
      <c r="R501" s="46"/>
      <c r="S501" s="46"/>
      <c r="T501" s="46"/>
      <c r="U501" s="46"/>
      <c r="V501" s="46"/>
      <c r="W501" s="46"/>
      <c r="X501" s="46"/>
      <c r="Y501" s="46"/>
      <c r="Z501" s="46"/>
      <c r="AA501" s="46"/>
      <c r="AB501" s="46"/>
      <c r="AC501" s="46"/>
      <c r="AD501" s="46"/>
      <c r="AE501" s="46"/>
      <c r="AF501" s="46"/>
      <c r="AG501" s="123"/>
      <c r="AH501" s="123"/>
      <c r="AI501" s="123"/>
      <c r="AJ501" s="123"/>
      <c r="AK501" s="46"/>
      <c r="AL501" s="46"/>
      <c r="AM501" s="46"/>
      <c r="AN501" s="46"/>
      <c r="AO501" s="46"/>
    </row>
    <row r="502">
      <c r="A502" s="17"/>
      <c r="B502" s="46"/>
      <c r="C502" s="46"/>
      <c r="D502" s="46"/>
      <c r="E502" s="17"/>
      <c r="F502" s="46"/>
      <c r="G502" s="46"/>
      <c r="H502" s="46"/>
      <c r="I502" s="17"/>
      <c r="J502" s="46"/>
      <c r="K502" s="46"/>
      <c r="L502" s="46"/>
      <c r="M502" s="17"/>
      <c r="N502" s="46"/>
      <c r="O502" s="46"/>
      <c r="P502" s="46"/>
      <c r="Q502" s="46"/>
      <c r="R502" s="46"/>
      <c r="S502" s="46"/>
      <c r="T502" s="46"/>
      <c r="U502" s="46"/>
      <c r="V502" s="46"/>
      <c r="W502" s="46"/>
      <c r="X502" s="46"/>
      <c r="Y502" s="46"/>
      <c r="Z502" s="46"/>
      <c r="AA502" s="46"/>
      <c r="AB502" s="46"/>
      <c r="AC502" s="46"/>
      <c r="AD502" s="46"/>
      <c r="AE502" s="46"/>
      <c r="AF502" s="46"/>
      <c r="AG502" s="123"/>
      <c r="AH502" s="123"/>
      <c r="AI502" s="123"/>
      <c r="AJ502" s="123"/>
      <c r="AK502" s="46"/>
      <c r="AL502" s="46"/>
      <c r="AM502" s="46"/>
      <c r="AN502" s="46"/>
      <c r="AO502" s="46"/>
    </row>
    <row r="503">
      <c r="A503" s="17"/>
      <c r="B503" s="46"/>
      <c r="C503" s="46"/>
      <c r="D503" s="46"/>
      <c r="E503" s="17"/>
      <c r="F503" s="46"/>
      <c r="G503" s="46"/>
      <c r="H503" s="46"/>
      <c r="I503" s="17"/>
      <c r="J503" s="46"/>
      <c r="K503" s="46"/>
      <c r="L503" s="46"/>
      <c r="M503" s="17"/>
      <c r="N503" s="46"/>
      <c r="O503" s="46"/>
      <c r="P503" s="46"/>
      <c r="Q503" s="46"/>
      <c r="R503" s="46"/>
      <c r="S503" s="46"/>
      <c r="T503" s="46"/>
      <c r="U503" s="46"/>
      <c r="V503" s="46"/>
      <c r="W503" s="46"/>
      <c r="X503" s="46"/>
      <c r="Y503" s="46"/>
      <c r="Z503" s="46"/>
      <c r="AA503" s="46"/>
      <c r="AB503" s="46"/>
      <c r="AC503" s="46"/>
      <c r="AD503" s="46"/>
      <c r="AE503" s="46"/>
      <c r="AF503" s="46"/>
      <c r="AG503" s="123"/>
      <c r="AH503" s="123"/>
      <c r="AI503" s="123"/>
      <c r="AJ503" s="123"/>
      <c r="AK503" s="46"/>
      <c r="AL503" s="46"/>
      <c r="AM503" s="46"/>
      <c r="AN503" s="46"/>
      <c r="AO503" s="46"/>
    </row>
    <row r="504">
      <c r="A504" s="17"/>
      <c r="B504" s="46"/>
      <c r="C504" s="46"/>
      <c r="D504" s="46"/>
      <c r="E504" s="17"/>
      <c r="F504" s="46"/>
      <c r="G504" s="46"/>
      <c r="H504" s="46"/>
      <c r="I504" s="17"/>
      <c r="J504" s="46"/>
      <c r="K504" s="46"/>
      <c r="L504" s="46"/>
      <c r="M504" s="17"/>
      <c r="N504" s="46"/>
      <c r="O504" s="46"/>
      <c r="P504" s="46"/>
      <c r="Q504" s="46"/>
      <c r="R504" s="46"/>
      <c r="S504" s="46"/>
      <c r="T504" s="46"/>
      <c r="U504" s="46"/>
      <c r="V504" s="46"/>
      <c r="W504" s="46"/>
      <c r="X504" s="46"/>
      <c r="Y504" s="46"/>
      <c r="Z504" s="46"/>
      <c r="AA504" s="46"/>
      <c r="AB504" s="46"/>
      <c r="AC504" s="46"/>
      <c r="AD504" s="46"/>
      <c r="AE504" s="46"/>
      <c r="AF504" s="46"/>
      <c r="AG504" s="123"/>
      <c r="AH504" s="123"/>
      <c r="AI504" s="123"/>
      <c r="AJ504" s="123"/>
      <c r="AK504" s="46"/>
      <c r="AL504" s="46"/>
      <c r="AM504" s="46"/>
      <c r="AN504" s="46"/>
      <c r="AO504" s="46"/>
    </row>
    <row r="505">
      <c r="A505" s="17"/>
      <c r="B505" s="46"/>
      <c r="C505" s="46"/>
      <c r="D505" s="46"/>
      <c r="E505" s="17"/>
      <c r="F505" s="46"/>
      <c r="G505" s="46"/>
      <c r="H505" s="46"/>
      <c r="I505" s="17"/>
      <c r="J505" s="46"/>
      <c r="K505" s="46"/>
      <c r="L505" s="46"/>
      <c r="M505" s="17"/>
      <c r="N505" s="46"/>
      <c r="O505" s="46"/>
      <c r="P505" s="46"/>
      <c r="Q505" s="46"/>
      <c r="R505" s="46"/>
      <c r="S505" s="46"/>
      <c r="T505" s="46"/>
      <c r="U505" s="46"/>
      <c r="V505" s="46"/>
      <c r="W505" s="46"/>
      <c r="X505" s="46"/>
      <c r="Y505" s="46"/>
      <c r="Z505" s="46"/>
      <c r="AA505" s="46"/>
      <c r="AB505" s="46"/>
      <c r="AC505" s="46"/>
      <c r="AD505" s="46"/>
      <c r="AE505" s="46"/>
      <c r="AF505" s="46"/>
      <c r="AG505" s="123"/>
      <c r="AH505" s="123"/>
      <c r="AI505" s="123"/>
      <c r="AJ505" s="123"/>
      <c r="AK505" s="46"/>
      <c r="AL505" s="46"/>
      <c r="AM505" s="46"/>
      <c r="AN505" s="46"/>
      <c r="AO505" s="46"/>
    </row>
    <row r="506">
      <c r="A506" s="17"/>
      <c r="B506" s="46"/>
      <c r="C506" s="46"/>
      <c r="D506" s="46"/>
      <c r="E506" s="17"/>
      <c r="F506" s="46"/>
      <c r="G506" s="46"/>
      <c r="H506" s="46"/>
      <c r="I506" s="17"/>
      <c r="J506" s="46"/>
      <c r="K506" s="46"/>
      <c r="L506" s="46"/>
      <c r="M506" s="17"/>
      <c r="N506" s="46"/>
      <c r="O506" s="46"/>
      <c r="P506" s="46"/>
      <c r="Q506" s="46"/>
      <c r="R506" s="46"/>
      <c r="S506" s="46"/>
      <c r="T506" s="46"/>
      <c r="U506" s="46"/>
      <c r="V506" s="46"/>
      <c r="W506" s="46"/>
      <c r="X506" s="46"/>
      <c r="Y506" s="46"/>
      <c r="Z506" s="46"/>
      <c r="AA506" s="46"/>
      <c r="AB506" s="46"/>
      <c r="AC506" s="46"/>
      <c r="AD506" s="46"/>
      <c r="AE506" s="46"/>
      <c r="AF506" s="46"/>
      <c r="AG506" s="123"/>
      <c r="AH506" s="123"/>
      <c r="AI506" s="123"/>
      <c r="AJ506" s="123"/>
      <c r="AK506" s="46"/>
      <c r="AL506" s="46"/>
      <c r="AM506" s="46"/>
      <c r="AN506" s="46"/>
      <c r="AO506" s="46"/>
    </row>
    <row r="507">
      <c r="A507" s="17"/>
      <c r="B507" s="46"/>
      <c r="C507" s="46"/>
      <c r="D507" s="46"/>
      <c r="E507" s="17"/>
      <c r="F507" s="46"/>
      <c r="G507" s="46"/>
      <c r="H507" s="46"/>
      <c r="I507" s="17"/>
      <c r="J507" s="46"/>
      <c r="K507" s="46"/>
      <c r="L507" s="46"/>
      <c r="M507" s="17"/>
      <c r="N507" s="46"/>
      <c r="O507" s="46"/>
      <c r="P507" s="46"/>
      <c r="Q507" s="46"/>
      <c r="R507" s="46"/>
      <c r="S507" s="46"/>
      <c r="T507" s="46"/>
      <c r="U507" s="46"/>
      <c r="V507" s="46"/>
      <c r="W507" s="46"/>
      <c r="X507" s="46"/>
      <c r="Y507" s="46"/>
      <c r="Z507" s="46"/>
      <c r="AA507" s="46"/>
      <c r="AB507" s="46"/>
      <c r="AC507" s="46"/>
      <c r="AD507" s="46"/>
      <c r="AE507" s="46"/>
      <c r="AF507" s="46"/>
      <c r="AG507" s="123"/>
      <c r="AH507" s="123"/>
      <c r="AI507" s="123"/>
      <c r="AJ507" s="123"/>
      <c r="AK507" s="46"/>
      <c r="AL507" s="46"/>
      <c r="AM507" s="46"/>
      <c r="AN507" s="46"/>
      <c r="AO507" s="46"/>
    </row>
    <row r="508">
      <c r="A508" s="17"/>
      <c r="B508" s="46"/>
      <c r="C508" s="46"/>
      <c r="D508" s="46"/>
      <c r="E508" s="17"/>
      <c r="F508" s="46"/>
      <c r="G508" s="46"/>
      <c r="H508" s="46"/>
      <c r="I508" s="17"/>
      <c r="J508" s="46"/>
      <c r="K508" s="46"/>
      <c r="L508" s="46"/>
      <c r="M508" s="17"/>
      <c r="N508" s="46"/>
      <c r="O508" s="46"/>
      <c r="P508" s="46"/>
      <c r="Q508" s="46"/>
      <c r="R508" s="46"/>
      <c r="S508" s="46"/>
      <c r="T508" s="46"/>
      <c r="U508" s="46"/>
      <c r="V508" s="46"/>
      <c r="W508" s="46"/>
      <c r="X508" s="46"/>
      <c r="Y508" s="46"/>
      <c r="Z508" s="46"/>
      <c r="AA508" s="46"/>
      <c r="AB508" s="46"/>
      <c r="AC508" s="46"/>
      <c r="AD508" s="46"/>
      <c r="AE508" s="46"/>
      <c r="AF508" s="46"/>
      <c r="AG508" s="123"/>
      <c r="AH508" s="123"/>
      <c r="AI508" s="123"/>
      <c r="AJ508" s="123"/>
      <c r="AK508" s="46"/>
      <c r="AL508" s="46"/>
      <c r="AM508" s="46"/>
      <c r="AN508" s="46"/>
      <c r="AO508" s="46"/>
    </row>
    <row r="509">
      <c r="A509" s="17"/>
      <c r="B509" s="46"/>
      <c r="C509" s="46"/>
      <c r="D509" s="46"/>
      <c r="E509" s="17"/>
      <c r="F509" s="46"/>
      <c r="G509" s="46"/>
      <c r="H509" s="46"/>
      <c r="I509" s="17"/>
      <c r="J509" s="46"/>
      <c r="K509" s="46"/>
      <c r="L509" s="46"/>
      <c r="M509" s="17"/>
      <c r="N509" s="46"/>
      <c r="O509" s="46"/>
      <c r="P509" s="46"/>
      <c r="Q509" s="46"/>
      <c r="R509" s="46"/>
      <c r="S509" s="46"/>
      <c r="T509" s="46"/>
      <c r="U509" s="46"/>
      <c r="V509" s="46"/>
      <c r="W509" s="46"/>
      <c r="X509" s="46"/>
      <c r="Y509" s="46"/>
      <c r="Z509" s="46"/>
      <c r="AA509" s="46"/>
      <c r="AB509" s="46"/>
      <c r="AC509" s="46"/>
      <c r="AD509" s="46"/>
      <c r="AE509" s="46"/>
      <c r="AF509" s="46"/>
      <c r="AG509" s="123"/>
      <c r="AH509" s="123"/>
      <c r="AI509" s="123"/>
      <c r="AJ509" s="123"/>
      <c r="AK509" s="46"/>
      <c r="AL509" s="46"/>
      <c r="AM509" s="46"/>
      <c r="AN509" s="46"/>
      <c r="AO509" s="46"/>
    </row>
    <row r="510">
      <c r="A510" s="17"/>
      <c r="B510" s="46"/>
      <c r="C510" s="46"/>
      <c r="D510" s="46"/>
      <c r="E510" s="17"/>
      <c r="F510" s="46"/>
      <c r="G510" s="46"/>
      <c r="H510" s="46"/>
      <c r="I510" s="17"/>
      <c r="J510" s="46"/>
      <c r="K510" s="46"/>
      <c r="L510" s="46"/>
      <c r="M510" s="17"/>
      <c r="N510" s="46"/>
      <c r="O510" s="46"/>
      <c r="P510" s="46"/>
      <c r="Q510" s="46"/>
      <c r="R510" s="46"/>
      <c r="S510" s="46"/>
      <c r="T510" s="46"/>
      <c r="U510" s="46"/>
      <c r="V510" s="46"/>
      <c r="W510" s="46"/>
      <c r="X510" s="46"/>
      <c r="Y510" s="46"/>
      <c r="Z510" s="46"/>
      <c r="AA510" s="46"/>
      <c r="AB510" s="46"/>
      <c r="AC510" s="46"/>
      <c r="AD510" s="46"/>
      <c r="AE510" s="46"/>
      <c r="AF510" s="46"/>
      <c r="AG510" s="123"/>
      <c r="AH510" s="123"/>
      <c r="AI510" s="123"/>
      <c r="AJ510" s="123"/>
      <c r="AK510" s="46"/>
      <c r="AL510" s="46"/>
      <c r="AM510" s="46"/>
      <c r="AN510" s="46"/>
      <c r="AO510" s="46"/>
    </row>
    <row r="511">
      <c r="A511" s="17"/>
      <c r="B511" s="46"/>
      <c r="C511" s="46"/>
      <c r="D511" s="46"/>
      <c r="E511" s="17"/>
      <c r="F511" s="46"/>
      <c r="G511" s="46"/>
      <c r="H511" s="46"/>
      <c r="I511" s="17"/>
      <c r="J511" s="46"/>
      <c r="K511" s="46"/>
      <c r="L511" s="46"/>
      <c r="M511" s="17"/>
      <c r="N511" s="46"/>
      <c r="O511" s="46"/>
      <c r="P511" s="46"/>
      <c r="Q511" s="46"/>
      <c r="R511" s="46"/>
      <c r="S511" s="46"/>
      <c r="T511" s="46"/>
      <c r="U511" s="46"/>
      <c r="V511" s="46"/>
      <c r="W511" s="46"/>
      <c r="X511" s="46"/>
      <c r="Y511" s="46"/>
      <c r="Z511" s="46"/>
      <c r="AA511" s="46"/>
      <c r="AB511" s="46"/>
      <c r="AC511" s="46"/>
      <c r="AD511" s="46"/>
      <c r="AE511" s="46"/>
      <c r="AF511" s="46"/>
      <c r="AG511" s="123"/>
      <c r="AH511" s="123"/>
      <c r="AI511" s="123"/>
      <c r="AJ511" s="123"/>
      <c r="AK511" s="46"/>
      <c r="AL511" s="46"/>
      <c r="AM511" s="46"/>
      <c r="AN511" s="46"/>
      <c r="AO511" s="46"/>
    </row>
    <row r="512">
      <c r="A512" s="17"/>
      <c r="B512" s="46"/>
      <c r="C512" s="46"/>
      <c r="D512" s="46"/>
      <c r="E512" s="17"/>
      <c r="F512" s="46"/>
      <c r="G512" s="46"/>
      <c r="H512" s="46"/>
      <c r="I512" s="17"/>
      <c r="J512" s="46"/>
      <c r="K512" s="46"/>
      <c r="L512" s="46"/>
      <c r="M512" s="17"/>
      <c r="N512" s="46"/>
      <c r="O512" s="46"/>
      <c r="P512" s="46"/>
      <c r="Q512" s="46"/>
      <c r="R512" s="46"/>
      <c r="S512" s="46"/>
      <c r="T512" s="46"/>
      <c r="U512" s="46"/>
      <c r="V512" s="46"/>
      <c r="W512" s="46"/>
      <c r="X512" s="46"/>
      <c r="Y512" s="46"/>
      <c r="Z512" s="46"/>
      <c r="AA512" s="46"/>
      <c r="AB512" s="46"/>
      <c r="AC512" s="46"/>
      <c r="AD512" s="46"/>
      <c r="AE512" s="46"/>
      <c r="AF512" s="46"/>
      <c r="AG512" s="123"/>
      <c r="AH512" s="123"/>
      <c r="AI512" s="123"/>
      <c r="AJ512" s="123"/>
      <c r="AK512" s="46"/>
      <c r="AL512" s="46"/>
      <c r="AM512" s="46"/>
      <c r="AN512" s="46"/>
      <c r="AO512" s="46"/>
    </row>
    <row r="513">
      <c r="A513" s="17"/>
      <c r="B513" s="46"/>
      <c r="C513" s="46"/>
      <c r="D513" s="46"/>
      <c r="E513" s="17"/>
      <c r="F513" s="46"/>
      <c r="G513" s="46"/>
      <c r="H513" s="46"/>
      <c r="I513" s="17"/>
      <c r="J513" s="46"/>
      <c r="K513" s="46"/>
      <c r="L513" s="46"/>
      <c r="M513" s="17"/>
      <c r="N513" s="46"/>
      <c r="O513" s="46"/>
      <c r="P513" s="46"/>
      <c r="Q513" s="46"/>
      <c r="R513" s="46"/>
      <c r="S513" s="46"/>
      <c r="T513" s="46"/>
      <c r="U513" s="46"/>
      <c r="V513" s="46"/>
      <c r="W513" s="46"/>
      <c r="X513" s="46"/>
      <c r="Y513" s="46"/>
      <c r="Z513" s="46"/>
      <c r="AA513" s="46"/>
      <c r="AB513" s="46"/>
      <c r="AC513" s="46"/>
      <c r="AD513" s="46"/>
      <c r="AE513" s="46"/>
      <c r="AF513" s="46"/>
      <c r="AG513" s="123"/>
      <c r="AH513" s="123"/>
      <c r="AI513" s="123"/>
      <c r="AJ513" s="123"/>
      <c r="AK513" s="46"/>
      <c r="AL513" s="46"/>
      <c r="AM513" s="46"/>
      <c r="AN513" s="46"/>
      <c r="AO513" s="46"/>
    </row>
    <row r="514">
      <c r="A514" s="17"/>
      <c r="B514" s="46"/>
      <c r="C514" s="46"/>
      <c r="D514" s="46"/>
      <c r="E514" s="17"/>
      <c r="F514" s="46"/>
      <c r="G514" s="46"/>
      <c r="H514" s="46"/>
      <c r="I514" s="17"/>
      <c r="J514" s="46"/>
      <c r="K514" s="46"/>
      <c r="L514" s="46"/>
      <c r="M514" s="17"/>
      <c r="N514" s="46"/>
      <c r="O514" s="46"/>
      <c r="P514" s="46"/>
      <c r="Q514" s="46"/>
      <c r="R514" s="46"/>
      <c r="S514" s="46"/>
      <c r="T514" s="46"/>
      <c r="U514" s="46"/>
      <c r="V514" s="46"/>
      <c r="W514" s="46"/>
      <c r="X514" s="46"/>
      <c r="Y514" s="46"/>
      <c r="Z514" s="46"/>
      <c r="AA514" s="46"/>
      <c r="AB514" s="46"/>
      <c r="AC514" s="46"/>
      <c r="AD514" s="46"/>
      <c r="AE514" s="46"/>
      <c r="AF514" s="46"/>
      <c r="AG514" s="123"/>
      <c r="AH514" s="123"/>
      <c r="AI514" s="123"/>
      <c r="AJ514" s="123"/>
      <c r="AK514" s="46"/>
      <c r="AL514" s="46"/>
      <c r="AM514" s="46"/>
      <c r="AN514" s="46"/>
      <c r="AO514" s="46"/>
    </row>
    <row r="515">
      <c r="A515" s="17"/>
      <c r="B515" s="46"/>
      <c r="C515" s="46"/>
      <c r="D515" s="46"/>
      <c r="E515" s="17"/>
      <c r="F515" s="46"/>
      <c r="G515" s="46"/>
      <c r="H515" s="46"/>
      <c r="I515" s="17"/>
      <c r="J515" s="46"/>
      <c r="K515" s="46"/>
      <c r="L515" s="46"/>
      <c r="M515" s="17"/>
      <c r="N515" s="46"/>
      <c r="O515" s="46"/>
      <c r="P515" s="46"/>
      <c r="Q515" s="46"/>
      <c r="R515" s="46"/>
      <c r="S515" s="46"/>
      <c r="T515" s="46"/>
      <c r="U515" s="46"/>
      <c r="V515" s="46"/>
      <c r="W515" s="46"/>
      <c r="X515" s="46"/>
      <c r="Y515" s="46"/>
      <c r="Z515" s="46"/>
      <c r="AA515" s="46"/>
      <c r="AB515" s="46"/>
      <c r="AC515" s="46"/>
      <c r="AD515" s="46"/>
      <c r="AE515" s="46"/>
      <c r="AF515" s="46"/>
      <c r="AG515" s="123"/>
      <c r="AH515" s="123"/>
      <c r="AI515" s="123"/>
      <c r="AJ515" s="123"/>
      <c r="AK515" s="46"/>
      <c r="AL515" s="46"/>
      <c r="AM515" s="46"/>
      <c r="AN515" s="46"/>
      <c r="AO515" s="46"/>
    </row>
    <row r="516">
      <c r="A516" s="17"/>
      <c r="B516" s="46"/>
      <c r="C516" s="46"/>
      <c r="D516" s="46"/>
      <c r="E516" s="17"/>
      <c r="F516" s="46"/>
      <c r="G516" s="46"/>
      <c r="H516" s="46"/>
      <c r="I516" s="17"/>
      <c r="J516" s="46"/>
      <c r="K516" s="46"/>
      <c r="L516" s="46"/>
      <c r="M516" s="17"/>
      <c r="N516" s="46"/>
      <c r="O516" s="46"/>
      <c r="P516" s="46"/>
      <c r="Q516" s="46"/>
      <c r="R516" s="46"/>
      <c r="S516" s="46"/>
      <c r="T516" s="46"/>
      <c r="U516" s="46"/>
      <c r="V516" s="46"/>
      <c r="W516" s="46"/>
      <c r="X516" s="46"/>
      <c r="Y516" s="46"/>
      <c r="Z516" s="46"/>
      <c r="AA516" s="46"/>
      <c r="AB516" s="46"/>
      <c r="AC516" s="46"/>
      <c r="AD516" s="46"/>
      <c r="AE516" s="46"/>
      <c r="AF516" s="46"/>
      <c r="AG516" s="123"/>
      <c r="AH516" s="123"/>
      <c r="AI516" s="123"/>
      <c r="AJ516" s="123"/>
      <c r="AK516" s="46"/>
      <c r="AL516" s="46"/>
      <c r="AM516" s="46"/>
      <c r="AN516" s="46"/>
      <c r="AO516" s="46"/>
    </row>
    <row r="517">
      <c r="A517" s="17"/>
      <c r="B517" s="46"/>
      <c r="C517" s="46"/>
      <c r="D517" s="46"/>
      <c r="E517" s="17"/>
      <c r="F517" s="46"/>
      <c r="G517" s="46"/>
      <c r="H517" s="46"/>
      <c r="I517" s="17"/>
      <c r="J517" s="46"/>
      <c r="K517" s="46"/>
      <c r="L517" s="46"/>
      <c r="M517" s="17"/>
      <c r="N517" s="46"/>
      <c r="O517" s="46"/>
      <c r="P517" s="46"/>
      <c r="Q517" s="46"/>
      <c r="R517" s="46"/>
      <c r="S517" s="46"/>
      <c r="T517" s="46"/>
      <c r="U517" s="46"/>
      <c r="V517" s="46"/>
      <c r="W517" s="46"/>
      <c r="X517" s="46"/>
      <c r="Y517" s="46"/>
      <c r="Z517" s="46"/>
      <c r="AA517" s="46"/>
      <c r="AB517" s="46"/>
      <c r="AC517" s="46"/>
      <c r="AD517" s="46"/>
      <c r="AE517" s="46"/>
      <c r="AF517" s="46"/>
      <c r="AG517" s="123"/>
      <c r="AH517" s="123"/>
      <c r="AI517" s="123"/>
      <c r="AJ517" s="123"/>
      <c r="AK517" s="46"/>
      <c r="AL517" s="46"/>
      <c r="AM517" s="46"/>
      <c r="AN517" s="46"/>
      <c r="AO517" s="46"/>
    </row>
    <row r="518">
      <c r="A518" s="17"/>
      <c r="B518" s="46"/>
      <c r="C518" s="46"/>
      <c r="D518" s="46"/>
      <c r="E518" s="17"/>
      <c r="F518" s="46"/>
      <c r="G518" s="46"/>
      <c r="H518" s="46"/>
      <c r="I518" s="17"/>
      <c r="J518" s="46"/>
      <c r="K518" s="46"/>
      <c r="L518" s="46"/>
      <c r="M518" s="17"/>
      <c r="N518" s="46"/>
      <c r="O518" s="46"/>
      <c r="P518" s="46"/>
      <c r="Q518" s="46"/>
      <c r="R518" s="46"/>
      <c r="S518" s="46"/>
      <c r="T518" s="46"/>
      <c r="U518" s="46"/>
      <c r="V518" s="46"/>
      <c r="W518" s="46"/>
      <c r="X518" s="46"/>
      <c r="Y518" s="46"/>
      <c r="Z518" s="46"/>
      <c r="AA518" s="46"/>
      <c r="AB518" s="46"/>
      <c r="AC518" s="46"/>
      <c r="AD518" s="46"/>
      <c r="AE518" s="46"/>
      <c r="AF518" s="46"/>
      <c r="AG518" s="123"/>
      <c r="AH518" s="123"/>
      <c r="AI518" s="123"/>
      <c r="AJ518" s="123"/>
      <c r="AK518" s="46"/>
      <c r="AL518" s="46"/>
      <c r="AM518" s="46"/>
      <c r="AN518" s="46"/>
      <c r="AO518" s="46"/>
    </row>
    <row r="519">
      <c r="A519" s="17"/>
      <c r="B519" s="46"/>
      <c r="C519" s="46"/>
      <c r="D519" s="46"/>
      <c r="E519" s="17"/>
      <c r="F519" s="46"/>
      <c r="G519" s="46"/>
      <c r="H519" s="46"/>
      <c r="I519" s="17"/>
      <c r="J519" s="46"/>
      <c r="K519" s="46"/>
      <c r="L519" s="46"/>
      <c r="M519" s="17"/>
      <c r="N519" s="46"/>
      <c r="O519" s="46"/>
      <c r="P519" s="46"/>
      <c r="Q519" s="46"/>
      <c r="R519" s="46"/>
      <c r="S519" s="46"/>
      <c r="T519" s="46"/>
      <c r="U519" s="46"/>
      <c r="V519" s="46"/>
      <c r="W519" s="46"/>
      <c r="X519" s="46"/>
      <c r="Y519" s="46"/>
      <c r="Z519" s="46"/>
      <c r="AA519" s="46"/>
      <c r="AB519" s="46"/>
      <c r="AC519" s="46"/>
      <c r="AD519" s="46"/>
      <c r="AE519" s="46"/>
      <c r="AF519" s="46"/>
      <c r="AG519" s="123"/>
      <c r="AH519" s="123"/>
      <c r="AI519" s="123"/>
      <c r="AJ519" s="123"/>
      <c r="AK519" s="46"/>
      <c r="AL519" s="46"/>
      <c r="AM519" s="46"/>
      <c r="AN519" s="46"/>
      <c r="AO519" s="46"/>
    </row>
    <row r="520">
      <c r="A520" s="17"/>
      <c r="B520" s="46"/>
      <c r="C520" s="46"/>
      <c r="D520" s="46"/>
      <c r="E520" s="17"/>
      <c r="F520" s="46"/>
      <c r="G520" s="46"/>
      <c r="H520" s="46"/>
      <c r="I520" s="17"/>
      <c r="J520" s="46"/>
      <c r="K520" s="46"/>
      <c r="L520" s="46"/>
      <c r="M520" s="17"/>
      <c r="N520" s="46"/>
      <c r="O520" s="46"/>
      <c r="P520" s="46"/>
      <c r="Q520" s="46"/>
      <c r="R520" s="46"/>
      <c r="S520" s="46"/>
      <c r="T520" s="46"/>
      <c r="U520" s="46"/>
      <c r="V520" s="46"/>
      <c r="W520" s="46"/>
      <c r="X520" s="46"/>
      <c r="Y520" s="46"/>
      <c r="Z520" s="46"/>
      <c r="AA520" s="46"/>
      <c r="AB520" s="46"/>
      <c r="AC520" s="46"/>
      <c r="AD520" s="46"/>
      <c r="AE520" s="46"/>
      <c r="AF520" s="46"/>
      <c r="AG520" s="123"/>
      <c r="AH520" s="123"/>
      <c r="AI520" s="123"/>
      <c r="AJ520" s="123"/>
      <c r="AK520" s="46"/>
      <c r="AL520" s="46"/>
      <c r="AM520" s="46"/>
      <c r="AN520" s="46"/>
      <c r="AO520" s="46"/>
    </row>
    <row r="521">
      <c r="A521" s="17"/>
      <c r="B521" s="46"/>
      <c r="C521" s="46"/>
      <c r="D521" s="46"/>
      <c r="E521" s="17"/>
      <c r="F521" s="46"/>
      <c r="G521" s="46"/>
      <c r="H521" s="46"/>
      <c r="I521" s="17"/>
      <c r="J521" s="46"/>
      <c r="K521" s="46"/>
      <c r="L521" s="46"/>
      <c r="M521" s="17"/>
      <c r="N521" s="46"/>
      <c r="O521" s="46"/>
      <c r="P521" s="46"/>
      <c r="Q521" s="46"/>
      <c r="R521" s="46"/>
      <c r="S521" s="46"/>
      <c r="T521" s="46"/>
      <c r="U521" s="46"/>
      <c r="V521" s="46"/>
      <c r="W521" s="46"/>
      <c r="X521" s="46"/>
      <c r="Y521" s="46"/>
      <c r="Z521" s="46"/>
      <c r="AA521" s="46"/>
      <c r="AB521" s="46"/>
      <c r="AC521" s="46"/>
      <c r="AD521" s="46"/>
      <c r="AE521" s="46"/>
      <c r="AF521" s="46"/>
      <c r="AG521" s="123"/>
      <c r="AH521" s="123"/>
      <c r="AI521" s="123"/>
      <c r="AJ521" s="123"/>
      <c r="AK521" s="46"/>
      <c r="AL521" s="46"/>
      <c r="AM521" s="46"/>
      <c r="AN521" s="46"/>
      <c r="AO521" s="46"/>
    </row>
    <row r="522">
      <c r="A522" s="17"/>
      <c r="B522" s="46"/>
      <c r="C522" s="46"/>
      <c r="D522" s="46"/>
      <c r="E522" s="17"/>
      <c r="F522" s="46"/>
      <c r="G522" s="46"/>
      <c r="H522" s="46"/>
      <c r="I522" s="17"/>
      <c r="J522" s="46"/>
      <c r="K522" s="46"/>
      <c r="L522" s="46"/>
      <c r="M522" s="17"/>
      <c r="N522" s="46"/>
      <c r="O522" s="46"/>
      <c r="P522" s="46"/>
      <c r="Q522" s="46"/>
      <c r="R522" s="46"/>
      <c r="S522" s="46"/>
      <c r="T522" s="46"/>
      <c r="U522" s="46"/>
      <c r="V522" s="46"/>
      <c r="W522" s="46"/>
      <c r="X522" s="46"/>
      <c r="Y522" s="46"/>
      <c r="Z522" s="46"/>
      <c r="AA522" s="46"/>
      <c r="AB522" s="46"/>
      <c r="AC522" s="46"/>
      <c r="AD522" s="46"/>
      <c r="AE522" s="46"/>
      <c r="AF522" s="46"/>
      <c r="AG522" s="123"/>
      <c r="AH522" s="123"/>
      <c r="AI522" s="123"/>
      <c r="AJ522" s="123"/>
      <c r="AK522" s="46"/>
      <c r="AL522" s="46"/>
      <c r="AM522" s="46"/>
      <c r="AN522" s="46"/>
      <c r="AO522" s="46"/>
    </row>
    <row r="523">
      <c r="A523" s="17"/>
      <c r="B523" s="46"/>
      <c r="C523" s="46"/>
      <c r="D523" s="46"/>
      <c r="E523" s="17"/>
      <c r="F523" s="46"/>
      <c r="G523" s="46"/>
      <c r="H523" s="46"/>
      <c r="I523" s="17"/>
      <c r="J523" s="46"/>
      <c r="K523" s="46"/>
      <c r="L523" s="46"/>
      <c r="M523" s="17"/>
      <c r="N523" s="46"/>
      <c r="O523" s="46"/>
      <c r="P523" s="46"/>
      <c r="Q523" s="46"/>
      <c r="R523" s="46"/>
      <c r="S523" s="46"/>
      <c r="T523" s="46"/>
      <c r="U523" s="46"/>
      <c r="V523" s="46"/>
      <c r="W523" s="46"/>
      <c r="X523" s="46"/>
      <c r="Y523" s="46"/>
      <c r="Z523" s="46"/>
      <c r="AA523" s="46"/>
      <c r="AB523" s="46"/>
      <c r="AC523" s="46"/>
      <c r="AD523" s="46"/>
      <c r="AE523" s="46"/>
      <c r="AF523" s="46"/>
      <c r="AG523" s="123"/>
      <c r="AH523" s="123"/>
      <c r="AI523" s="123"/>
      <c r="AJ523" s="123"/>
      <c r="AK523" s="46"/>
      <c r="AL523" s="46"/>
      <c r="AM523" s="46"/>
      <c r="AN523" s="46"/>
      <c r="AO523" s="46"/>
    </row>
    <row r="524">
      <c r="A524" s="17"/>
      <c r="B524" s="46"/>
      <c r="C524" s="46"/>
      <c r="D524" s="46"/>
      <c r="E524" s="17"/>
      <c r="F524" s="46"/>
      <c r="G524" s="46"/>
      <c r="H524" s="46"/>
      <c r="I524" s="17"/>
      <c r="J524" s="46"/>
      <c r="K524" s="46"/>
      <c r="L524" s="46"/>
      <c r="M524" s="17"/>
      <c r="N524" s="46"/>
      <c r="O524" s="46"/>
      <c r="P524" s="46"/>
      <c r="Q524" s="46"/>
      <c r="R524" s="46"/>
      <c r="S524" s="46"/>
      <c r="T524" s="46"/>
      <c r="U524" s="46"/>
      <c r="V524" s="46"/>
      <c r="W524" s="46"/>
      <c r="X524" s="46"/>
      <c r="Y524" s="46"/>
      <c r="Z524" s="46"/>
      <c r="AA524" s="46"/>
      <c r="AB524" s="46"/>
      <c r="AC524" s="46"/>
      <c r="AD524" s="46"/>
      <c r="AE524" s="46"/>
      <c r="AF524" s="46"/>
      <c r="AG524" s="123"/>
      <c r="AH524" s="123"/>
      <c r="AI524" s="123"/>
      <c r="AJ524" s="123"/>
      <c r="AK524" s="46"/>
      <c r="AL524" s="46"/>
      <c r="AM524" s="46"/>
      <c r="AN524" s="46"/>
      <c r="AO524" s="46"/>
    </row>
    <row r="525">
      <c r="A525" s="17"/>
      <c r="B525" s="46"/>
      <c r="C525" s="46"/>
      <c r="D525" s="46"/>
      <c r="E525" s="17"/>
      <c r="F525" s="46"/>
      <c r="G525" s="46"/>
      <c r="H525" s="46"/>
      <c r="I525" s="17"/>
      <c r="J525" s="46"/>
      <c r="K525" s="46"/>
      <c r="L525" s="46"/>
      <c r="M525" s="17"/>
      <c r="N525" s="46"/>
      <c r="O525" s="46"/>
      <c r="P525" s="46"/>
      <c r="Q525" s="46"/>
      <c r="R525" s="46"/>
      <c r="S525" s="46"/>
      <c r="T525" s="46"/>
      <c r="U525" s="46"/>
      <c r="V525" s="46"/>
      <c r="W525" s="46"/>
      <c r="X525" s="46"/>
      <c r="Y525" s="46"/>
      <c r="Z525" s="46"/>
      <c r="AA525" s="46"/>
      <c r="AB525" s="46"/>
      <c r="AC525" s="46"/>
      <c r="AD525" s="46"/>
      <c r="AE525" s="46"/>
      <c r="AF525" s="46"/>
      <c r="AG525" s="123"/>
      <c r="AH525" s="123"/>
      <c r="AI525" s="123"/>
      <c r="AJ525" s="123"/>
      <c r="AK525" s="46"/>
      <c r="AL525" s="46"/>
      <c r="AM525" s="46"/>
      <c r="AN525" s="46"/>
      <c r="AO525" s="46"/>
    </row>
    <row r="526">
      <c r="A526" s="17"/>
      <c r="B526" s="46"/>
      <c r="C526" s="46"/>
      <c r="D526" s="46"/>
      <c r="E526" s="17"/>
      <c r="F526" s="46"/>
      <c r="G526" s="46"/>
      <c r="H526" s="46"/>
      <c r="I526" s="17"/>
      <c r="J526" s="46"/>
      <c r="K526" s="46"/>
      <c r="L526" s="46"/>
      <c r="M526" s="17"/>
      <c r="N526" s="46"/>
      <c r="O526" s="46"/>
      <c r="P526" s="46"/>
      <c r="Q526" s="46"/>
      <c r="R526" s="46"/>
      <c r="S526" s="46"/>
      <c r="T526" s="46"/>
      <c r="U526" s="46"/>
      <c r="V526" s="46"/>
      <c r="W526" s="46"/>
      <c r="X526" s="46"/>
      <c r="Y526" s="46"/>
      <c r="Z526" s="46"/>
      <c r="AA526" s="46"/>
      <c r="AB526" s="46"/>
      <c r="AC526" s="46"/>
      <c r="AD526" s="46"/>
      <c r="AE526" s="46"/>
      <c r="AF526" s="46"/>
      <c r="AG526" s="123"/>
      <c r="AH526" s="123"/>
      <c r="AI526" s="123"/>
      <c r="AJ526" s="123"/>
      <c r="AK526" s="46"/>
      <c r="AL526" s="46"/>
      <c r="AM526" s="46"/>
      <c r="AN526" s="46"/>
      <c r="AO526" s="46"/>
    </row>
    <row r="527">
      <c r="A527" s="17"/>
      <c r="B527" s="46"/>
      <c r="C527" s="46"/>
      <c r="D527" s="46"/>
      <c r="E527" s="17"/>
      <c r="F527" s="46"/>
      <c r="G527" s="46"/>
      <c r="H527" s="46"/>
      <c r="I527" s="17"/>
      <c r="J527" s="46"/>
      <c r="K527" s="46"/>
      <c r="L527" s="46"/>
      <c r="M527" s="17"/>
      <c r="N527" s="46"/>
      <c r="O527" s="46"/>
      <c r="P527" s="46"/>
      <c r="Q527" s="46"/>
      <c r="R527" s="46"/>
      <c r="S527" s="46"/>
      <c r="T527" s="46"/>
      <c r="U527" s="46"/>
      <c r="V527" s="46"/>
      <c r="W527" s="46"/>
      <c r="X527" s="46"/>
      <c r="Y527" s="46"/>
      <c r="Z527" s="46"/>
      <c r="AA527" s="46"/>
      <c r="AB527" s="46"/>
      <c r="AC527" s="46"/>
      <c r="AD527" s="46"/>
      <c r="AE527" s="46"/>
      <c r="AF527" s="46"/>
      <c r="AG527" s="123"/>
      <c r="AH527" s="123"/>
      <c r="AI527" s="123"/>
      <c r="AJ527" s="123"/>
      <c r="AK527" s="46"/>
      <c r="AL527" s="46"/>
      <c r="AM527" s="46"/>
      <c r="AN527" s="46"/>
      <c r="AO527" s="46"/>
    </row>
    <row r="528">
      <c r="A528" s="17"/>
      <c r="B528" s="46"/>
      <c r="C528" s="46"/>
      <c r="D528" s="46"/>
      <c r="E528" s="17"/>
      <c r="F528" s="46"/>
      <c r="G528" s="46"/>
      <c r="H528" s="46"/>
      <c r="I528" s="17"/>
      <c r="J528" s="46"/>
      <c r="K528" s="46"/>
      <c r="L528" s="46"/>
      <c r="M528" s="17"/>
      <c r="N528" s="46"/>
      <c r="O528" s="46"/>
      <c r="P528" s="46"/>
      <c r="Q528" s="46"/>
      <c r="R528" s="46"/>
      <c r="S528" s="46"/>
      <c r="T528" s="46"/>
      <c r="U528" s="46"/>
      <c r="V528" s="46"/>
      <c r="W528" s="46"/>
      <c r="X528" s="46"/>
      <c r="Y528" s="46"/>
      <c r="Z528" s="46"/>
      <c r="AA528" s="46"/>
      <c r="AB528" s="46"/>
      <c r="AC528" s="46"/>
      <c r="AD528" s="46"/>
      <c r="AE528" s="46"/>
      <c r="AF528" s="46"/>
      <c r="AG528" s="123"/>
      <c r="AH528" s="123"/>
      <c r="AI528" s="123"/>
      <c r="AJ528" s="123"/>
      <c r="AK528" s="46"/>
      <c r="AL528" s="46"/>
      <c r="AM528" s="46"/>
      <c r="AN528" s="46"/>
      <c r="AO528" s="46"/>
    </row>
    <row r="529">
      <c r="A529" s="17"/>
      <c r="B529" s="46"/>
      <c r="C529" s="46"/>
      <c r="D529" s="46"/>
      <c r="E529" s="17"/>
      <c r="F529" s="46"/>
      <c r="G529" s="46"/>
      <c r="H529" s="46"/>
      <c r="I529" s="17"/>
      <c r="J529" s="46"/>
      <c r="K529" s="46"/>
      <c r="L529" s="46"/>
      <c r="M529" s="17"/>
      <c r="N529" s="46"/>
      <c r="O529" s="46"/>
      <c r="P529" s="46"/>
      <c r="Q529" s="46"/>
      <c r="R529" s="46"/>
      <c r="S529" s="46"/>
      <c r="T529" s="46"/>
      <c r="U529" s="46"/>
      <c r="V529" s="46"/>
      <c r="W529" s="46"/>
      <c r="X529" s="46"/>
      <c r="Y529" s="46"/>
      <c r="Z529" s="46"/>
      <c r="AA529" s="46"/>
      <c r="AB529" s="46"/>
      <c r="AC529" s="46"/>
      <c r="AD529" s="46"/>
      <c r="AE529" s="46"/>
      <c r="AF529" s="46"/>
      <c r="AG529" s="123"/>
      <c r="AH529" s="123"/>
      <c r="AI529" s="123"/>
      <c r="AJ529" s="123"/>
      <c r="AK529" s="46"/>
      <c r="AL529" s="46"/>
      <c r="AM529" s="46"/>
      <c r="AN529" s="46"/>
      <c r="AO529" s="46"/>
    </row>
    <row r="530">
      <c r="A530" s="17"/>
      <c r="B530" s="46"/>
      <c r="C530" s="46"/>
      <c r="D530" s="46"/>
      <c r="E530" s="17"/>
      <c r="F530" s="46"/>
      <c r="G530" s="46"/>
      <c r="H530" s="46"/>
      <c r="I530" s="17"/>
      <c r="J530" s="46"/>
      <c r="K530" s="46"/>
      <c r="L530" s="46"/>
      <c r="M530" s="17"/>
      <c r="N530" s="46"/>
      <c r="O530" s="46"/>
      <c r="P530" s="46"/>
      <c r="Q530" s="46"/>
      <c r="R530" s="46"/>
      <c r="S530" s="46"/>
      <c r="T530" s="46"/>
      <c r="U530" s="46"/>
      <c r="V530" s="46"/>
      <c r="W530" s="46"/>
      <c r="X530" s="46"/>
      <c r="Y530" s="46"/>
      <c r="Z530" s="46"/>
      <c r="AA530" s="46"/>
      <c r="AB530" s="46"/>
      <c r="AC530" s="46"/>
      <c r="AD530" s="46"/>
      <c r="AE530" s="46"/>
      <c r="AF530" s="46"/>
      <c r="AG530" s="123"/>
      <c r="AH530" s="123"/>
      <c r="AI530" s="123"/>
      <c r="AJ530" s="123"/>
      <c r="AK530" s="46"/>
      <c r="AL530" s="46"/>
      <c r="AM530" s="46"/>
      <c r="AN530" s="46"/>
      <c r="AO530" s="46"/>
    </row>
    <row r="531">
      <c r="A531" s="17"/>
      <c r="B531" s="46"/>
      <c r="C531" s="46"/>
      <c r="D531" s="46"/>
      <c r="E531" s="17"/>
      <c r="F531" s="46"/>
      <c r="G531" s="46"/>
      <c r="H531" s="46"/>
      <c r="I531" s="17"/>
      <c r="J531" s="46"/>
      <c r="K531" s="46"/>
      <c r="L531" s="46"/>
      <c r="M531" s="17"/>
      <c r="N531" s="46"/>
      <c r="O531" s="46"/>
      <c r="P531" s="46"/>
      <c r="Q531" s="46"/>
      <c r="R531" s="46"/>
      <c r="S531" s="46"/>
      <c r="T531" s="46"/>
      <c r="U531" s="46"/>
      <c r="V531" s="46"/>
      <c r="W531" s="46"/>
      <c r="X531" s="46"/>
      <c r="Y531" s="46"/>
      <c r="Z531" s="46"/>
      <c r="AA531" s="46"/>
      <c r="AB531" s="46"/>
      <c r="AC531" s="46"/>
      <c r="AD531" s="46"/>
      <c r="AE531" s="46"/>
      <c r="AF531" s="46"/>
      <c r="AG531" s="123"/>
      <c r="AH531" s="123"/>
      <c r="AI531" s="123"/>
      <c r="AJ531" s="123"/>
      <c r="AK531" s="46"/>
      <c r="AL531" s="46"/>
      <c r="AM531" s="46"/>
      <c r="AN531" s="46"/>
      <c r="AO531" s="46"/>
    </row>
    <row r="532">
      <c r="A532" s="17"/>
      <c r="B532" s="46"/>
      <c r="C532" s="46"/>
      <c r="D532" s="46"/>
      <c r="E532" s="17"/>
      <c r="F532" s="46"/>
      <c r="G532" s="46"/>
      <c r="H532" s="46"/>
      <c r="I532" s="17"/>
      <c r="J532" s="46"/>
      <c r="K532" s="46"/>
      <c r="L532" s="46"/>
      <c r="M532" s="17"/>
      <c r="N532" s="46"/>
      <c r="O532" s="46"/>
      <c r="P532" s="46"/>
      <c r="Q532" s="46"/>
      <c r="R532" s="46"/>
      <c r="S532" s="46"/>
      <c r="T532" s="46"/>
      <c r="U532" s="46"/>
      <c r="V532" s="46"/>
      <c r="W532" s="46"/>
      <c r="X532" s="46"/>
      <c r="Y532" s="46"/>
      <c r="Z532" s="46"/>
      <c r="AA532" s="46"/>
      <c r="AB532" s="46"/>
      <c r="AC532" s="46"/>
      <c r="AD532" s="46"/>
      <c r="AE532" s="46"/>
      <c r="AF532" s="46"/>
      <c r="AG532" s="123"/>
      <c r="AH532" s="123"/>
      <c r="AI532" s="123"/>
      <c r="AJ532" s="123"/>
      <c r="AK532" s="46"/>
      <c r="AL532" s="46"/>
      <c r="AM532" s="46"/>
      <c r="AN532" s="46"/>
      <c r="AO532" s="46"/>
    </row>
    <row r="533">
      <c r="A533" s="17"/>
      <c r="B533" s="46"/>
      <c r="C533" s="46"/>
      <c r="D533" s="46"/>
      <c r="E533" s="17"/>
      <c r="F533" s="46"/>
      <c r="G533" s="46"/>
      <c r="H533" s="46"/>
      <c r="I533" s="17"/>
      <c r="J533" s="46"/>
      <c r="K533" s="46"/>
      <c r="L533" s="46"/>
      <c r="M533" s="17"/>
      <c r="N533" s="46"/>
      <c r="O533" s="46"/>
      <c r="P533" s="46"/>
      <c r="Q533" s="46"/>
      <c r="R533" s="46"/>
      <c r="S533" s="46"/>
      <c r="T533" s="46"/>
      <c r="U533" s="46"/>
      <c r="V533" s="46"/>
      <c r="W533" s="46"/>
      <c r="X533" s="46"/>
      <c r="Y533" s="46"/>
      <c r="Z533" s="46"/>
      <c r="AA533" s="46"/>
      <c r="AB533" s="46"/>
      <c r="AC533" s="46"/>
      <c r="AD533" s="46"/>
      <c r="AE533" s="46"/>
      <c r="AF533" s="46"/>
      <c r="AG533" s="123"/>
      <c r="AH533" s="123"/>
      <c r="AI533" s="123"/>
      <c r="AJ533" s="123"/>
      <c r="AK533" s="46"/>
      <c r="AL533" s="46"/>
      <c r="AM533" s="46"/>
      <c r="AN533" s="46"/>
      <c r="AO533" s="46"/>
    </row>
    <row r="534">
      <c r="A534" s="17"/>
      <c r="B534" s="46"/>
      <c r="C534" s="46"/>
      <c r="D534" s="46"/>
      <c r="E534" s="17"/>
      <c r="F534" s="46"/>
      <c r="G534" s="46"/>
      <c r="H534" s="46"/>
      <c r="I534" s="17"/>
      <c r="J534" s="46"/>
      <c r="K534" s="46"/>
      <c r="L534" s="46"/>
      <c r="M534" s="17"/>
      <c r="N534" s="46"/>
      <c r="O534" s="46"/>
      <c r="P534" s="46"/>
      <c r="Q534" s="46"/>
      <c r="R534" s="46"/>
      <c r="S534" s="46"/>
      <c r="T534" s="46"/>
      <c r="U534" s="46"/>
      <c r="V534" s="46"/>
      <c r="W534" s="46"/>
      <c r="X534" s="46"/>
      <c r="Y534" s="46"/>
      <c r="Z534" s="46"/>
      <c r="AA534" s="46"/>
      <c r="AB534" s="46"/>
      <c r="AC534" s="46"/>
      <c r="AD534" s="46"/>
      <c r="AE534" s="46"/>
      <c r="AF534" s="46"/>
      <c r="AG534" s="123"/>
      <c r="AH534" s="123"/>
      <c r="AI534" s="123"/>
      <c r="AJ534" s="123"/>
      <c r="AK534" s="46"/>
      <c r="AL534" s="46"/>
      <c r="AM534" s="46"/>
      <c r="AN534" s="46"/>
      <c r="AO534" s="46"/>
    </row>
    <row r="535">
      <c r="A535" s="17"/>
      <c r="B535" s="46"/>
      <c r="C535" s="46"/>
      <c r="D535" s="46"/>
      <c r="E535" s="17"/>
      <c r="F535" s="46"/>
      <c r="G535" s="46"/>
      <c r="H535" s="46"/>
      <c r="I535" s="17"/>
      <c r="J535" s="46"/>
      <c r="K535" s="46"/>
      <c r="L535" s="46"/>
      <c r="M535" s="17"/>
      <c r="N535" s="46"/>
      <c r="O535" s="46"/>
      <c r="P535" s="46"/>
      <c r="Q535" s="46"/>
      <c r="R535" s="46"/>
      <c r="S535" s="46"/>
      <c r="T535" s="46"/>
      <c r="U535" s="46"/>
      <c r="V535" s="46"/>
      <c r="W535" s="46"/>
      <c r="X535" s="46"/>
      <c r="Y535" s="46"/>
      <c r="Z535" s="46"/>
      <c r="AA535" s="46"/>
      <c r="AB535" s="46"/>
      <c r="AC535" s="46"/>
      <c r="AD535" s="46"/>
      <c r="AE535" s="46"/>
      <c r="AF535" s="46"/>
      <c r="AG535" s="123"/>
      <c r="AH535" s="123"/>
      <c r="AI535" s="123"/>
      <c r="AJ535" s="123"/>
      <c r="AK535" s="46"/>
      <c r="AL535" s="46"/>
      <c r="AM535" s="46"/>
      <c r="AN535" s="46"/>
      <c r="AO535" s="46"/>
    </row>
    <row r="536">
      <c r="A536" s="17"/>
      <c r="B536" s="46"/>
      <c r="C536" s="46"/>
      <c r="D536" s="46"/>
      <c r="E536" s="17"/>
      <c r="F536" s="46"/>
      <c r="G536" s="46"/>
      <c r="H536" s="46"/>
      <c r="I536" s="17"/>
      <c r="J536" s="46"/>
      <c r="K536" s="46"/>
      <c r="L536" s="46"/>
      <c r="M536" s="17"/>
      <c r="N536" s="46"/>
      <c r="O536" s="46"/>
      <c r="P536" s="46"/>
      <c r="Q536" s="46"/>
      <c r="R536" s="46"/>
      <c r="S536" s="46"/>
      <c r="T536" s="46"/>
      <c r="U536" s="46"/>
      <c r="V536" s="46"/>
      <c r="W536" s="46"/>
      <c r="X536" s="46"/>
      <c r="Y536" s="46"/>
      <c r="Z536" s="46"/>
      <c r="AA536" s="46"/>
      <c r="AB536" s="46"/>
      <c r="AC536" s="46"/>
      <c r="AD536" s="46"/>
      <c r="AE536" s="46"/>
      <c r="AF536" s="46"/>
      <c r="AG536" s="123"/>
      <c r="AH536" s="123"/>
      <c r="AI536" s="123"/>
      <c r="AJ536" s="123"/>
      <c r="AK536" s="46"/>
      <c r="AL536" s="46"/>
      <c r="AM536" s="46"/>
      <c r="AN536" s="46"/>
      <c r="AO536" s="46"/>
    </row>
    <row r="537">
      <c r="A537" s="17"/>
      <c r="B537" s="46"/>
      <c r="C537" s="46"/>
      <c r="D537" s="46"/>
      <c r="E537" s="17"/>
      <c r="F537" s="46"/>
      <c r="G537" s="46"/>
      <c r="H537" s="46"/>
      <c r="I537" s="17"/>
      <c r="J537" s="46"/>
      <c r="K537" s="46"/>
      <c r="L537" s="46"/>
      <c r="M537" s="17"/>
      <c r="N537" s="46"/>
      <c r="O537" s="46"/>
      <c r="P537" s="46"/>
      <c r="Q537" s="46"/>
      <c r="R537" s="46"/>
      <c r="S537" s="46"/>
      <c r="T537" s="46"/>
      <c r="U537" s="46"/>
      <c r="V537" s="46"/>
      <c r="W537" s="46"/>
      <c r="X537" s="46"/>
      <c r="Y537" s="46"/>
      <c r="Z537" s="46"/>
      <c r="AA537" s="46"/>
      <c r="AB537" s="46"/>
      <c r="AC537" s="46"/>
      <c r="AD537" s="46"/>
      <c r="AE537" s="46"/>
      <c r="AF537" s="46"/>
      <c r="AG537" s="123"/>
      <c r="AH537" s="123"/>
      <c r="AI537" s="123"/>
      <c r="AJ537" s="123"/>
      <c r="AK537" s="46"/>
      <c r="AL537" s="46"/>
      <c r="AM537" s="46"/>
      <c r="AN537" s="46"/>
      <c r="AO537" s="46"/>
    </row>
    <row r="538">
      <c r="A538" s="17"/>
      <c r="B538" s="46"/>
      <c r="C538" s="46"/>
      <c r="D538" s="46"/>
      <c r="E538" s="17"/>
      <c r="F538" s="46"/>
      <c r="G538" s="46"/>
      <c r="H538" s="46"/>
      <c r="I538" s="17"/>
      <c r="J538" s="46"/>
      <c r="K538" s="46"/>
      <c r="L538" s="46"/>
      <c r="M538" s="17"/>
      <c r="N538" s="46"/>
      <c r="O538" s="46"/>
      <c r="P538" s="46"/>
      <c r="Q538" s="46"/>
      <c r="R538" s="46"/>
      <c r="S538" s="46"/>
      <c r="T538" s="46"/>
      <c r="U538" s="46"/>
      <c r="V538" s="46"/>
      <c r="W538" s="46"/>
      <c r="X538" s="46"/>
      <c r="Y538" s="46"/>
      <c r="Z538" s="46"/>
      <c r="AA538" s="46"/>
      <c r="AB538" s="46"/>
      <c r="AC538" s="46"/>
      <c r="AD538" s="46"/>
      <c r="AE538" s="46"/>
      <c r="AF538" s="46"/>
      <c r="AG538" s="123"/>
      <c r="AH538" s="123"/>
      <c r="AI538" s="123"/>
      <c r="AJ538" s="123"/>
      <c r="AK538" s="46"/>
      <c r="AL538" s="46"/>
      <c r="AM538" s="46"/>
      <c r="AN538" s="46"/>
      <c r="AO538" s="46"/>
    </row>
    <row r="539">
      <c r="A539" s="17"/>
      <c r="B539" s="46"/>
      <c r="C539" s="46"/>
      <c r="D539" s="46"/>
      <c r="E539" s="17"/>
      <c r="F539" s="46"/>
      <c r="G539" s="46"/>
      <c r="H539" s="46"/>
      <c r="I539" s="17"/>
      <c r="J539" s="46"/>
      <c r="K539" s="46"/>
      <c r="L539" s="46"/>
      <c r="M539" s="17"/>
      <c r="N539" s="46"/>
      <c r="O539" s="46"/>
      <c r="P539" s="46"/>
      <c r="Q539" s="46"/>
      <c r="R539" s="46"/>
      <c r="S539" s="46"/>
      <c r="T539" s="46"/>
      <c r="U539" s="46"/>
      <c r="V539" s="46"/>
      <c r="W539" s="46"/>
      <c r="X539" s="46"/>
      <c r="Y539" s="46"/>
      <c r="Z539" s="46"/>
      <c r="AA539" s="46"/>
      <c r="AB539" s="46"/>
      <c r="AC539" s="46"/>
      <c r="AD539" s="46"/>
      <c r="AE539" s="46"/>
      <c r="AF539" s="46"/>
      <c r="AG539" s="123"/>
      <c r="AH539" s="123"/>
      <c r="AI539" s="123"/>
      <c r="AJ539" s="123"/>
      <c r="AK539" s="46"/>
      <c r="AL539" s="46"/>
      <c r="AM539" s="46"/>
      <c r="AN539" s="46"/>
      <c r="AO539" s="46"/>
    </row>
    <row r="540">
      <c r="A540" s="17"/>
      <c r="B540" s="46"/>
      <c r="C540" s="46"/>
      <c r="D540" s="46"/>
      <c r="E540" s="17"/>
      <c r="F540" s="46"/>
      <c r="G540" s="46"/>
      <c r="H540" s="46"/>
      <c r="I540" s="17"/>
      <c r="J540" s="46"/>
      <c r="K540" s="46"/>
      <c r="L540" s="46"/>
      <c r="M540" s="17"/>
      <c r="N540" s="46"/>
      <c r="O540" s="46"/>
      <c r="P540" s="46"/>
      <c r="Q540" s="46"/>
      <c r="R540" s="46"/>
      <c r="S540" s="46"/>
      <c r="T540" s="46"/>
      <c r="U540" s="46"/>
      <c r="V540" s="46"/>
      <c r="W540" s="46"/>
      <c r="X540" s="46"/>
      <c r="Y540" s="46"/>
      <c r="Z540" s="46"/>
      <c r="AA540" s="46"/>
      <c r="AB540" s="46"/>
      <c r="AC540" s="46"/>
      <c r="AD540" s="46"/>
      <c r="AE540" s="46"/>
      <c r="AF540" s="46"/>
      <c r="AG540" s="123"/>
      <c r="AH540" s="123"/>
      <c r="AI540" s="123"/>
      <c r="AJ540" s="123"/>
      <c r="AK540" s="46"/>
      <c r="AL540" s="46"/>
      <c r="AM540" s="46"/>
      <c r="AN540" s="46"/>
      <c r="AO540" s="46"/>
    </row>
    <row r="541">
      <c r="A541" s="17"/>
      <c r="B541" s="46"/>
      <c r="C541" s="46"/>
      <c r="D541" s="46"/>
      <c r="E541" s="17"/>
      <c r="F541" s="46"/>
      <c r="G541" s="46"/>
      <c r="H541" s="46"/>
      <c r="I541" s="17"/>
      <c r="J541" s="46"/>
      <c r="K541" s="46"/>
      <c r="L541" s="46"/>
      <c r="M541" s="17"/>
      <c r="N541" s="46"/>
      <c r="O541" s="46"/>
      <c r="P541" s="46"/>
      <c r="Q541" s="46"/>
      <c r="R541" s="46"/>
      <c r="S541" s="46"/>
      <c r="T541" s="46"/>
      <c r="U541" s="46"/>
      <c r="V541" s="46"/>
      <c r="W541" s="46"/>
      <c r="X541" s="46"/>
      <c r="Y541" s="46"/>
      <c r="Z541" s="46"/>
      <c r="AA541" s="46"/>
      <c r="AB541" s="46"/>
      <c r="AC541" s="46"/>
      <c r="AD541" s="46"/>
      <c r="AE541" s="46"/>
      <c r="AF541" s="46"/>
      <c r="AG541" s="123"/>
      <c r="AH541" s="123"/>
      <c r="AI541" s="123"/>
      <c r="AJ541" s="123"/>
      <c r="AK541" s="46"/>
      <c r="AL541" s="46"/>
      <c r="AM541" s="46"/>
      <c r="AN541" s="46"/>
      <c r="AO541" s="46"/>
    </row>
    <row r="542">
      <c r="A542" s="17"/>
      <c r="B542" s="46"/>
      <c r="C542" s="46"/>
      <c r="D542" s="46"/>
      <c r="E542" s="17"/>
      <c r="F542" s="46"/>
      <c r="G542" s="46"/>
      <c r="H542" s="46"/>
      <c r="I542" s="17"/>
      <c r="J542" s="46"/>
      <c r="K542" s="46"/>
      <c r="L542" s="46"/>
      <c r="M542" s="17"/>
      <c r="N542" s="46"/>
      <c r="O542" s="46"/>
      <c r="P542" s="46"/>
      <c r="Q542" s="46"/>
      <c r="R542" s="46"/>
      <c r="S542" s="46"/>
      <c r="T542" s="46"/>
      <c r="U542" s="46"/>
      <c r="V542" s="46"/>
      <c r="W542" s="46"/>
      <c r="X542" s="46"/>
      <c r="Y542" s="46"/>
      <c r="Z542" s="46"/>
      <c r="AA542" s="46"/>
      <c r="AB542" s="46"/>
      <c r="AC542" s="46"/>
      <c r="AD542" s="46"/>
      <c r="AE542" s="46"/>
      <c r="AF542" s="46"/>
      <c r="AG542" s="123"/>
      <c r="AH542" s="123"/>
      <c r="AI542" s="123"/>
      <c r="AJ542" s="123"/>
      <c r="AK542" s="46"/>
      <c r="AL542" s="46"/>
      <c r="AM542" s="46"/>
      <c r="AN542" s="46"/>
      <c r="AO542" s="46"/>
    </row>
    <row r="543">
      <c r="A543" s="17"/>
      <c r="B543" s="46"/>
      <c r="C543" s="46"/>
      <c r="D543" s="46"/>
      <c r="E543" s="17"/>
      <c r="F543" s="46"/>
      <c r="G543" s="46"/>
      <c r="H543" s="46"/>
      <c r="I543" s="17"/>
      <c r="J543" s="46"/>
      <c r="K543" s="46"/>
      <c r="L543" s="46"/>
      <c r="M543" s="17"/>
      <c r="N543" s="46"/>
      <c r="O543" s="46"/>
      <c r="P543" s="46"/>
      <c r="Q543" s="46"/>
      <c r="R543" s="46"/>
      <c r="S543" s="46"/>
      <c r="T543" s="46"/>
      <c r="U543" s="46"/>
      <c r="V543" s="46"/>
      <c r="W543" s="46"/>
      <c r="X543" s="46"/>
      <c r="Y543" s="46"/>
      <c r="Z543" s="46"/>
      <c r="AA543" s="46"/>
      <c r="AB543" s="46"/>
      <c r="AC543" s="46"/>
      <c r="AD543" s="46"/>
      <c r="AE543" s="46"/>
      <c r="AF543" s="46"/>
      <c r="AG543" s="123"/>
      <c r="AH543" s="123"/>
      <c r="AI543" s="123"/>
      <c r="AJ543" s="123"/>
      <c r="AK543" s="46"/>
      <c r="AL543" s="46"/>
      <c r="AM543" s="46"/>
      <c r="AN543" s="46"/>
      <c r="AO543" s="46"/>
    </row>
    <row r="544">
      <c r="A544" s="17"/>
      <c r="B544" s="46"/>
      <c r="C544" s="46"/>
      <c r="D544" s="46"/>
      <c r="E544" s="17"/>
      <c r="F544" s="46"/>
      <c r="G544" s="46"/>
      <c r="H544" s="46"/>
      <c r="I544" s="17"/>
      <c r="J544" s="46"/>
      <c r="K544" s="46"/>
      <c r="L544" s="46"/>
      <c r="M544" s="17"/>
      <c r="N544" s="46"/>
      <c r="O544" s="46"/>
      <c r="P544" s="46"/>
      <c r="Q544" s="46"/>
      <c r="R544" s="46"/>
      <c r="S544" s="46"/>
      <c r="T544" s="46"/>
      <c r="U544" s="46"/>
      <c r="V544" s="46"/>
      <c r="W544" s="46"/>
      <c r="X544" s="46"/>
      <c r="Y544" s="46"/>
      <c r="Z544" s="46"/>
      <c r="AA544" s="46"/>
      <c r="AB544" s="46"/>
      <c r="AC544" s="46"/>
      <c r="AD544" s="46"/>
      <c r="AE544" s="46"/>
      <c r="AF544" s="46"/>
      <c r="AG544" s="123"/>
      <c r="AH544" s="123"/>
      <c r="AI544" s="123"/>
      <c r="AJ544" s="123"/>
      <c r="AK544" s="46"/>
      <c r="AL544" s="46"/>
      <c r="AM544" s="46"/>
      <c r="AN544" s="46"/>
      <c r="AO544" s="46"/>
    </row>
    <row r="545">
      <c r="A545" s="17"/>
      <c r="B545" s="46"/>
      <c r="C545" s="46"/>
      <c r="D545" s="46"/>
      <c r="E545" s="17"/>
      <c r="F545" s="46"/>
      <c r="G545" s="46"/>
      <c r="H545" s="46"/>
      <c r="I545" s="17"/>
      <c r="J545" s="46"/>
      <c r="K545" s="46"/>
      <c r="L545" s="46"/>
      <c r="M545" s="17"/>
      <c r="N545" s="46"/>
      <c r="O545" s="46"/>
      <c r="P545" s="46"/>
      <c r="Q545" s="46"/>
      <c r="R545" s="46"/>
      <c r="S545" s="46"/>
      <c r="T545" s="46"/>
      <c r="U545" s="46"/>
      <c r="V545" s="46"/>
      <c r="W545" s="46"/>
      <c r="X545" s="46"/>
      <c r="Y545" s="46"/>
      <c r="Z545" s="46"/>
      <c r="AA545" s="46"/>
      <c r="AB545" s="46"/>
      <c r="AC545" s="46"/>
      <c r="AD545" s="46"/>
      <c r="AE545" s="46"/>
      <c r="AF545" s="46"/>
      <c r="AG545" s="123"/>
      <c r="AH545" s="123"/>
      <c r="AI545" s="123"/>
      <c r="AJ545" s="123"/>
      <c r="AK545" s="46"/>
      <c r="AL545" s="46"/>
      <c r="AM545" s="46"/>
      <c r="AN545" s="46"/>
      <c r="AO545" s="46"/>
    </row>
    <row r="546">
      <c r="A546" s="17"/>
      <c r="B546" s="46"/>
      <c r="C546" s="46"/>
      <c r="D546" s="46"/>
      <c r="E546" s="17"/>
      <c r="F546" s="46"/>
      <c r="G546" s="46"/>
      <c r="H546" s="46"/>
      <c r="I546" s="17"/>
      <c r="J546" s="46"/>
      <c r="K546" s="46"/>
      <c r="L546" s="46"/>
      <c r="M546" s="17"/>
      <c r="N546" s="46"/>
      <c r="O546" s="46"/>
      <c r="P546" s="46"/>
      <c r="Q546" s="46"/>
      <c r="R546" s="46"/>
      <c r="S546" s="46"/>
      <c r="T546" s="46"/>
      <c r="U546" s="46"/>
      <c r="V546" s="46"/>
      <c r="W546" s="46"/>
      <c r="X546" s="46"/>
      <c r="Y546" s="46"/>
      <c r="Z546" s="46"/>
      <c r="AA546" s="46"/>
      <c r="AB546" s="46"/>
      <c r="AC546" s="46"/>
      <c r="AD546" s="46"/>
      <c r="AE546" s="46"/>
      <c r="AF546" s="46"/>
      <c r="AG546" s="123"/>
      <c r="AH546" s="123"/>
      <c r="AI546" s="123"/>
      <c r="AJ546" s="123"/>
      <c r="AK546" s="46"/>
      <c r="AL546" s="46"/>
      <c r="AM546" s="46"/>
      <c r="AN546" s="46"/>
      <c r="AO546" s="46"/>
    </row>
    <row r="547">
      <c r="A547" s="17"/>
      <c r="B547" s="46"/>
      <c r="C547" s="46"/>
      <c r="D547" s="46"/>
      <c r="E547" s="17"/>
      <c r="F547" s="46"/>
      <c r="G547" s="46"/>
      <c r="H547" s="46"/>
      <c r="I547" s="17"/>
      <c r="J547" s="46"/>
      <c r="K547" s="46"/>
      <c r="L547" s="46"/>
      <c r="M547" s="17"/>
      <c r="N547" s="46"/>
      <c r="O547" s="46"/>
      <c r="P547" s="46"/>
      <c r="Q547" s="46"/>
      <c r="R547" s="46"/>
      <c r="S547" s="46"/>
      <c r="T547" s="46"/>
      <c r="U547" s="46"/>
      <c r="V547" s="46"/>
      <c r="W547" s="46"/>
      <c r="X547" s="46"/>
      <c r="Y547" s="46"/>
      <c r="Z547" s="46"/>
      <c r="AA547" s="46"/>
      <c r="AB547" s="46"/>
      <c r="AC547" s="46"/>
      <c r="AD547" s="46"/>
      <c r="AE547" s="46"/>
      <c r="AF547" s="46"/>
      <c r="AG547" s="123"/>
      <c r="AH547" s="123"/>
      <c r="AI547" s="123"/>
      <c r="AJ547" s="123"/>
      <c r="AK547" s="46"/>
      <c r="AL547" s="46"/>
      <c r="AM547" s="46"/>
      <c r="AN547" s="46"/>
      <c r="AO547" s="46"/>
    </row>
    <row r="548">
      <c r="A548" s="17"/>
      <c r="B548" s="46"/>
      <c r="C548" s="46"/>
      <c r="D548" s="46"/>
      <c r="E548" s="17"/>
      <c r="F548" s="46"/>
      <c r="G548" s="46"/>
      <c r="H548" s="46"/>
      <c r="I548" s="17"/>
      <c r="J548" s="46"/>
      <c r="K548" s="46"/>
      <c r="L548" s="46"/>
      <c r="M548" s="17"/>
      <c r="N548" s="46"/>
      <c r="O548" s="46"/>
      <c r="P548" s="46"/>
      <c r="Q548" s="46"/>
      <c r="R548" s="46"/>
      <c r="S548" s="46"/>
      <c r="T548" s="46"/>
      <c r="U548" s="46"/>
      <c r="V548" s="46"/>
      <c r="W548" s="46"/>
      <c r="X548" s="46"/>
      <c r="Y548" s="46"/>
      <c r="Z548" s="46"/>
      <c r="AA548" s="46"/>
      <c r="AB548" s="46"/>
      <c r="AC548" s="46"/>
      <c r="AD548" s="46"/>
      <c r="AE548" s="46"/>
      <c r="AF548" s="46"/>
      <c r="AG548" s="123"/>
      <c r="AH548" s="123"/>
      <c r="AI548" s="123"/>
      <c r="AJ548" s="123"/>
      <c r="AK548" s="46"/>
      <c r="AL548" s="46"/>
      <c r="AM548" s="46"/>
      <c r="AN548" s="46"/>
      <c r="AO548" s="46"/>
    </row>
    <row r="549">
      <c r="A549" s="17"/>
      <c r="B549" s="46"/>
      <c r="C549" s="46"/>
      <c r="D549" s="46"/>
      <c r="E549" s="17"/>
      <c r="F549" s="46"/>
      <c r="G549" s="46"/>
      <c r="H549" s="46"/>
      <c r="I549" s="17"/>
      <c r="J549" s="46"/>
      <c r="K549" s="46"/>
      <c r="L549" s="46"/>
      <c r="M549" s="17"/>
      <c r="N549" s="46"/>
      <c r="O549" s="46"/>
      <c r="P549" s="46"/>
      <c r="Q549" s="46"/>
      <c r="R549" s="46"/>
      <c r="S549" s="46"/>
      <c r="T549" s="46"/>
      <c r="U549" s="46"/>
      <c r="V549" s="46"/>
      <c r="W549" s="46"/>
      <c r="X549" s="46"/>
      <c r="Y549" s="46"/>
      <c r="Z549" s="46"/>
      <c r="AA549" s="46"/>
      <c r="AB549" s="46"/>
      <c r="AC549" s="46"/>
      <c r="AD549" s="46"/>
      <c r="AE549" s="46"/>
      <c r="AF549" s="46"/>
      <c r="AG549" s="123"/>
      <c r="AH549" s="123"/>
      <c r="AI549" s="123"/>
      <c r="AJ549" s="123"/>
      <c r="AK549" s="46"/>
      <c r="AL549" s="46"/>
      <c r="AM549" s="46"/>
      <c r="AN549" s="46"/>
      <c r="AO549" s="46"/>
    </row>
    <row r="550">
      <c r="A550" s="17"/>
      <c r="B550" s="46"/>
      <c r="C550" s="46"/>
      <c r="D550" s="46"/>
      <c r="E550" s="17"/>
      <c r="F550" s="46"/>
      <c r="G550" s="46"/>
      <c r="H550" s="46"/>
      <c r="I550" s="17"/>
      <c r="J550" s="46"/>
      <c r="K550" s="46"/>
      <c r="L550" s="46"/>
      <c r="M550" s="17"/>
      <c r="N550" s="46"/>
      <c r="O550" s="46"/>
      <c r="P550" s="46"/>
      <c r="Q550" s="46"/>
      <c r="R550" s="46"/>
      <c r="S550" s="46"/>
      <c r="T550" s="46"/>
      <c r="U550" s="46"/>
      <c r="V550" s="46"/>
      <c r="W550" s="46"/>
      <c r="X550" s="46"/>
      <c r="Y550" s="46"/>
      <c r="Z550" s="46"/>
      <c r="AA550" s="46"/>
      <c r="AB550" s="46"/>
      <c r="AC550" s="46"/>
      <c r="AD550" s="46"/>
      <c r="AE550" s="46"/>
      <c r="AF550" s="46"/>
      <c r="AG550" s="123"/>
      <c r="AH550" s="123"/>
      <c r="AI550" s="123"/>
      <c r="AJ550" s="123"/>
      <c r="AK550" s="46"/>
      <c r="AL550" s="46"/>
      <c r="AM550" s="46"/>
      <c r="AN550" s="46"/>
      <c r="AO550" s="46"/>
    </row>
    <row r="551">
      <c r="A551" s="17"/>
      <c r="B551" s="46"/>
      <c r="C551" s="46"/>
      <c r="D551" s="46"/>
      <c r="E551" s="17"/>
      <c r="F551" s="46"/>
      <c r="G551" s="46"/>
      <c r="H551" s="46"/>
      <c r="I551" s="17"/>
      <c r="J551" s="46"/>
      <c r="K551" s="46"/>
      <c r="L551" s="46"/>
      <c r="M551" s="17"/>
      <c r="N551" s="46"/>
      <c r="O551" s="46"/>
      <c r="P551" s="46"/>
      <c r="Q551" s="46"/>
      <c r="R551" s="46"/>
      <c r="S551" s="46"/>
      <c r="T551" s="46"/>
      <c r="U551" s="46"/>
      <c r="V551" s="46"/>
      <c r="W551" s="46"/>
      <c r="X551" s="46"/>
      <c r="Y551" s="46"/>
      <c r="Z551" s="46"/>
      <c r="AA551" s="46"/>
      <c r="AB551" s="46"/>
      <c r="AC551" s="46"/>
      <c r="AD551" s="46"/>
      <c r="AE551" s="46"/>
      <c r="AF551" s="46"/>
      <c r="AG551" s="123"/>
      <c r="AH551" s="123"/>
      <c r="AI551" s="123"/>
      <c r="AJ551" s="123"/>
      <c r="AK551" s="46"/>
      <c r="AL551" s="46"/>
      <c r="AM551" s="46"/>
      <c r="AN551" s="46"/>
      <c r="AO551" s="46"/>
    </row>
    <row r="552">
      <c r="A552" s="17"/>
      <c r="B552" s="46"/>
      <c r="C552" s="46"/>
      <c r="D552" s="46"/>
      <c r="E552" s="17"/>
      <c r="F552" s="46"/>
      <c r="G552" s="46"/>
      <c r="H552" s="46"/>
      <c r="I552" s="17"/>
      <c r="J552" s="46"/>
      <c r="K552" s="46"/>
      <c r="L552" s="46"/>
      <c r="M552" s="17"/>
      <c r="N552" s="46"/>
      <c r="O552" s="46"/>
      <c r="P552" s="46"/>
      <c r="Q552" s="46"/>
      <c r="R552" s="46"/>
      <c r="S552" s="46"/>
      <c r="T552" s="46"/>
      <c r="U552" s="46"/>
      <c r="V552" s="46"/>
      <c r="W552" s="46"/>
      <c r="X552" s="46"/>
      <c r="Y552" s="46"/>
      <c r="Z552" s="46"/>
      <c r="AA552" s="46"/>
      <c r="AB552" s="46"/>
      <c r="AC552" s="46"/>
      <c r="AD552" s="46"/>
      <c r="AE552" s="46"/>
      <c r="AF552" s="46"/>
      <c r="AG552" s="123"/>
      <c r="AH552" s="123"/>
      <c r="AI552" s="123"/>
      <c r="AJ552" s="123"/>
      <c r="AK552" s="46"/>
      <c r="AL552" s="46"/>
      <c r="AM552" s="46"/>
      <c r="AN552" s="46"/>
      <c r="AO552" s="46"/>
    </row>
    <row r="553">
      <c r="A553" s="17"/>
      <c r="B553" s="46"/>
      <c r="C553" s="46"/>
      <c r="D553" s="46"/>
      <c r="E553" s="17"/>
      <c r="F553" s="46"/>
      <c r="G553" s="46"/>
      <c r="H553" s="46"/>
      <c r="I553" s="17"/>
      <c r="J553" s="46"/>
      <c r="K553" s="46"/>
      <c r="L553" s="46"/>
      <c r="M553" s="17"/>
      <c r="N553" s="46"/>
      <c r="O553" s="46"/>
      <c r="P553" s="46"/>
      <c r="Q553" s="46"/>
      <c r="R553" s="46"/>
      <c r="S553" s="46"/>
      <c r="T553" s="46"/>
      <c r="U553" s="46"/>
      <c r="V553" s="46"/>
      <c r="W553" s="46"/>
      <c r="X553" s="46"/>
      <c r="Y553" s="46"/>
      <c r="Z553" s="46"/>
      <c r="AA553" s="46"/>
      <c r="AB553" s="46"/>
      <c r="AC553" s="46"/>
      <c r="AD553" s="46"/>
      <c r="AE553" s="46"/>
      <c r="AF553" s="46"/>
      <c r="AG553" s="123"/>
      <c r="AH553" s="123"/>
      <c r="AI553" s="123"/>
      <c r="AJ553" s="123"/>
      <c r="AK553" s="46"/>
      <c r="AL553" s="46"/>
      <c r="AM553" s="46"/>
      <c r="AN553" s="46"/>
      <c r="AO553" s="46"/>
    </row>
    <row r="554">
      <c r="A554" s="17"/>
      <c r="B554" s="46"/>
      <c r="C554" s="46"/>
      <c r="D554" s="46"/>
      <c r="E554" s="17"/>
      <c r="F554" s="46"/>
      <c r="G554" s="46"/>
      <c r="H554" s="46"/>
      <c r="I554" s="17"/>
      <c r="J554" s="46"/>
      <c r="K554" s="46"/>
      <c r="L554" s="46"/>
      <c r="M554" s="17"/>
      <c r="N554" s="46"/>
      <c r="O554" s="46"/>
      <c r="P554" s="46"/>
      <c r="Q554" s="46"/>
      <c r="R554" s="46"/>
      <c r="S554" s="46"/>
      <c r="T554" s="46"/>
      <c r="U554" s="46"/>
      <c r="V554" s="46"/>
      <c r="W554" s="46"/>
      <c r="X554" s="46"/>
      <c r="Y554" s="46"/>
      <c r="Z554" s="46"/>
      <c r="AA554" s="46"/>
      <c r="AB554" s="46"/>
      <c r="AC554" s="46"/>
      <c r="AD554" s="46"/>
      <c r="AE554" s="46"/>
      <c r="AF554" s="46"/>
      <c r="AG554" s="123"/>
      <c r="AH554" s="123"/>
      <c r="AI554" s="123"/>
      <c r="AJ554" s="123"/>
      <c r="AK554" s="46"/>
      <c r="AL554" s="46"/>
      <c r="AM554" s="46"/>
      <c r="AN554" s="46"/>
      <c r="AO554" s="46"/>
    </row>
    <row r="555">
      <c r="A555" s="17"/>
      <c r="B555" s="46"/>
      <c r="C555" s="46"/>
      <c r="D555" s="46"/>
      <c r="E555" s="17"/>
      <c r="F555" s="46"/>
      <c r="G555" s="46"/>
      <c r="H555" s="46"/>
      <c r="I555" s="17"/>
      <c r="J555" s="46"/>
      <c r="K555" s="46"/>
      <c r="L555" s="46"/>
      <c r="M555" s="17"/>
      <c r="N555" s="46"/>
      <c r="O555" s="46"/>
      <c r="P555" s="46"/>
      <c r="Q555" s="46"/>
      <c r="R555" s="46"/>
      <c r="S555" s="46"/>
      <c r="T555" s="46"/>
      <c r="U555" s="46"/>
      <c r="V555" s="46"/>
      <c r="W555" s="46"/>
      <c r="X555" s="46"/>
      <c r="Y555" s="46"/>
      <c r="Z555" s="46"/>
      <c r="AA555" s="46"/>
      <c r="AB555" s="46"/>
      <c r="AC555" s="46"/>
      <c r="AD555" s="46"/>
      <c r="AE555" s="46"/>
      <c r="AF555" s="46"/>
      <c r="AG555" s="123"/>
      <c r="AH555" s="123"/>
      <c r="AI555" s="123"/>
      <c r="AJ555" s="123"/>
      <c r="AK555" s="46"/>
      <c r="AL555" s="46"/>
      <c r="AM555" s="46"/>
      <c r="AN555" s="46"/>
      <c r="AO555" s="46"/>
    </row>
    <row r="556">
      <c r="A556" s="17"/>
      <c r="B556" s="46"/>
      <c r="C556" s="46"/>
      <c r="D556" s="46"/>
      <c r="E556" s="17"/>
      <c r="F556" s="46"/>
      <c r="G556" s="46"/>
      <c r="H556" s="46"/>
      <c r="I556" s="17"/>
      <c r="J556" s="46"/>
      <c r="K556" s="46"/>
      <c r="L556" s="46"/>
      <c r="M556" s="17"/>
      <c r="N556" s="46"/>
      <c r="O556" s="46"/>
      <c r="P556" s="46"/>
      <c r="Q556" s="46"/>
      <c r="R556" s="46"/>
      <c r="S556" s="46"/>
      <c r="T556" s="46"/>
      <c r="U556" s="46"/>
      <c r="V556" s="46"/>
      <c r="W556" s="46"/>
      <c r="X556" s="46"/>
      <c r="Y556" s="46"/>
      <c r="Z556" s="46"/>
      <c r="AA556" s="46"/>
      <c r="AB556" s="46"/>
      <c r="AC556" s="46"/>
      <c r="AD556" s="46"/>
      <c r="AE556" s="46"/>
      <c r="AF556" s="46"/>
      <c r="AG556" s="123"/>
      <c r="AH556" s="123"/>
      <c r="AI556" s="123"/>
      <c r="AJ556" s="123"/>
      <c r="AK556" s="46"/>
      <c r="AL556" s="46"/>
      <c r="AM556" s="46"/>
      <c r="AN556" s="46"/>
      <c r="AO556" s="46"/>
    </row>
    <row r="557">
      <c r="A557" s="17"/>
      <c r="B557" s="46"/>
      <c r="C557" s="46"/>
      <c r="D557" s="46"/>
      <c r="E557" s="17"/>
      <c r="F557" s="46"/>
      <c r="G557" s="46"/>
      <c r="H557" s="46"/>
      <c r="I557" s="17"/>
      <c r="J557" s="46"/>
      <c r="K557" s="46"/>
      <c r="L557" s="46"/>
      <c r="M557" s="17"/>
      <c r="N557" s="46"/>
      <c r="O557" s="46"/>
      <c r="P557" s="46"/>
      <c r="Q557" s="46"/>
      <c r="R557" s="46"/>
      <c r="S557" s="46"/>
      <c r="T557" s="46"/>
      <c r="U557" s="46"/>
      <c r="V557" s="46"/>
      <c r="W557" s="46"/>
      <c r="X557" s="46"/>
      <c r="Y557" s="46"/>
      <c r="Z557" s="46"/>
      <c r="AA557" s="46"/>
      <c r="AB557" s="46"/>
      <c r="AC557" s="46"/>
      <c r="AD557" s="46"/>
      <c r="AE557" s="46"/>
      <c r="AF557" s="46"/>
      <c r="AG557" s="123"/>
      <c r="AH557" s="123"/>
      <c r="AI557" s="123"/>
      <c r="AJ557" s="123"/>
      <c r="AK557" s="46"/>
      <c r="AL557" s="46"/>
      <c r="AM557" s="46"/>
      <c r="AN557" s="46"/>
      <c r="AO557" s="46"/>
    </row>
    <row r="558">
      <c r="A558" s="17"/>
      <c r="B558" s="46"/>
      <c r="C558" s="46"/>
      <c r="D558" s="46"/>
      <c r="E558" s="17"/>
      <c r="F558" s="46"/>
      <c r="G558" s="46"/>
      <c r="H558" s="46"/>
      <c r="I558" s="17"/>
      <c r="J558" s="46"/>
      <c r="K558" s="46"/>
      <c r="L558" s="46"/>
      <c r="M558" s="17"/>
      <c r="N558" s="46"/>
      <c r="O558" s="46"/>
      <c r="P558" s="46"/>
      <c r="Q558" s="46"/>
      <c r="R558" s="46"/>
      <c r="S558" s="46"/>
      <c r="T558" s="46"/>
      <c r="U558" s="46"/>
      <c r="V558" s="46"/>
      <c r="W558" s="46"/>
      <c r="X558" s="46"/>
      <c r="Y558" s="46"/>
      <c r="Z558" s="46"/>
      <c r="AA558" s="46"/>
      <c r="AB558" s="46"/>
      <c r="AC558" s="46"/>
      <c r="AD558" s="46"/>
      <c r="AE558" s="46"/>
      <c r="AF558" s="46"/>
      <c r="AG558" s="123"/>
      <c r="AH558" s="123"/>
      <c r="AI558" s="123"/>
      <c r="AJ558" s="123"/>
      <c r="AK558" s="46"/>
      <c r="AL558" s="46"/>
      <c r="AM558" s="46"/>
      <c r="AN558" s="46"/>
      <c r="AO558" s="46"/>
    </row>
    <row r="559">
      <c r="A559" s="17"/>
      <c r="B559" s="46"/>
      <c r="C559" s="46"/>
      <c r="D559" s="46"/>
      <c r="E559" s="17"/>
      <c r="F559" s="46"/>
      <c r="G559" s="46"/>
      <c r="H559" s="46"/>
      <c r="I559" s="17"/>
      <c r="J559" s="46"/>
      <c r="K559" s="46"/>
      <c r="L559" s="46"/>
      <c r="M559" s="17"/>
      <c r="N559" s="46"/>
      <c r="O559" s="46"/>
      <c r="P559" s="46"/>
      <c r="Q559" s="46"/>
      <c r="R559" s="46"/>
      <c r="S559" s="46"/>
      <c r="T559" s="46"/>
      <c r="U559" s="46"/>
      <c r="V559" s="46"/>
      <c r="W559" s="46"/>
      <c r="X559" s="46"/>
      <c r="Y559" s="46"/>
      <c r="Z559" s="46"/>
      <c r="AA559" s="46"/>
      <c r="AB559" s="46"/>
      <c r="AC559" s="46"/>
      <c r="AD559" s="46"/>
      <c r="AE559" s="46"/>
      <c r="AF559" s="46"/>
      <c r="AG559" s="123"/>
      <c r="AH559" s="123"/>
      <c r="AI559" s="123"/>
      <c r="AJ559" s="123"/>
      <c r="AK559" s="46"/>
      <c r="AL559" s="46"/>
      <c r="AM559" s="46"/>
      <c r="AN559" s="46"/>
      <c r="AO559" s="46"/>
    </row>
    <row r="560">
      <c r="A560" s="17"/>
      <c r="B560" s="46"/>
      <c r="C560" s="46"/>
      <c r="D560" s="46"/>
      <c r="E560" s="17"/>
      <c r="F560" s="46"/>
      <c r="G560" s="46"/>
      <c r="H560" s="46"/>
      <c r="I560" s="17"/>
      <c r="J560" s="46"/>
      <c r="K560" s="46"/>
      <c r="L560" s="46"/>
      <c r="M560" s="17"/>
      <c r="N560" s="46"/>
      <c r="O560" s="46"/>
      <c r="P560" s="46"/>
      <c r="Q560" s="46"/>
      <c r="R560" s="46"/>
      <c r="S560" s="46"/>
      <c r="T560" s="46"/>
      <c r="U560" s="46"/>
      <c r="V560" s="46"/>
      <c r="W560" s="46"/>
      <c r="X560" s="46"/>
      <c r="Y560" s="46"/>
      <c r="Z560" s="46"/>
      <c r="AA560" s="46"/>
      <c r="AB560" s="46"/>
      <c r="AC560" s="46"/>
      <c r="AD560" s="46"/>
      <c r="AE560" s="46"/>
      <c r="AF560" s="46"/>
      <c r="AG560" s="123"/>
      <c r="AH560" s="123"/>
      <c r="AI560" s="123"/>
      <c r="AJ560" s="123"/>
      <c r="AK560" s="46"/>
      <c r="AL560" s="46"/>
      <c r="AM560" s="46"/>
      <c r="AN560" s="46"/>
      <c r="AO560" s="46"/>
    </row>
    <row r="561">
      <c r="A561" s="17"/>
      <c r="B561" s="46"/>
      <c r="C561" s="46"/>
      <c r="D561" s="46"/>
      <c r="E561" s="17"/>
      <c r="F561" s="46"/>
      <c r="G561" s="46"/>
      <c r="H561" s="46"/>
      <c r="I561" s="17"/>
      <c r="J561" s="46"/>
      <c r="K561" s="46"/>
      <c r="L561" s="46"/>
      <c r="M561" s="17"/>
      <c r="N561" s="46"/>
      <c r="O561" s="46"/>
      <c r="P561" s="46"/>
      <c r="Q561" s="46"/>
      <c r="R561" s="46"/>
      <c r="S561" s="46"/>
      <c r="T561" s="46"/>
      <c r="U561" s="46"/>
      <c r="V561" s="46"/>
      <c r="W561" s="46"/>
      <c r="X561" s="46"/>
      <c r="Y561" s="46"/>
      <c r="Z561" s="46"/>
      <c r="AA561" s="46"/>
      <c r="AB561" s="46"/>
      <c r="AC561" s="46"/>
      <c r="AD561" s="46"/>
      <c r="AE561" s="46"/>
      <c r="AF561" s="46"/>
      <c r="AG561" s="123"/>
      <c r="AH561" s="123"/>
      <c r="AI561" s="123"/>
      <c r="AJ561" s="123"/>
      <c r="AK561" s="46"/>
      <c r="AL561" s="46"/>
      <c r="AM561" s="46"/>
      <c r="AN561" s="46"/>
      <c r="AO561" s="46"/>
    </row>
    <row r="562">
      <c r="A562" s="17"/>
      <c r="B562" s="46"/>
      <c r="C562" s="46"/>
      <c r="D562" s="46"/>
      <c r="E562" s="17"/>
      <c r="F562" s="46"/>
      <c r="G562" s="46"/>
      <c r="H562" s="46"/>
      <c r="I562" s="17"/>
      <c r="J562" s="46"/>
      <c r="K562" s="46"/>
      <c r="L562" s="46"/>
      <c r="M562" s="17"/>
      <c r="N562" s="46"/>
      <c r="O562" s="46"/>
      <c r="P562" s="46"/>
      <c r="Q562" s="46"/>
      <c r="R562" s="46"/>
      <c r="S562" s="46"/>
      <c r="T562" s="46"/>
      <c r="U562" s="46"/>
      <c r="V562" s="46"/>
      <c r="W562" s="46"/>
      <c r="X562" s="46"/>
      <c r="Y562" s="46"/>
      <c r="Z562" s="46"/>
      <c r="AA562" s="46"/>
      <c r="AB562" s="46"/>
      <c r="AC562" s="46"/>
      <c r="AD562" s="46"/>
      <c r="AE562" s="46"/>
      <c r="AF562" s="46"/>
      <c r="AG562" s="123"/>
      <c r="AH562" s="123"/>
      <c r="AI562" s="123"/>
      <c r="AJ562" s="123"/>
      <c r="AK562" s="46"/>
      <c r="AL562" s="46"/>
      <c r="AM562" s="46"/>
      <c r="AN562" s="46"/>
      <c r="AO562" s="46"/>
    </row>
    <row r="563">
      <c r="A563" s="17"/>
      <c r="B563" s="46"/>
      <c r="C563" s="46"/>
      <c r="D563" s="46"/>
      <c r="E563" s="17"/>
      <c r="F563" s="46"/>
      <c r="G563" s="46"/>
      <c r="H563" s="46"/>
      <c r="I563" s="17"/>
      <c r="J563" s="46"/>
      <c r="K563" s="46"/>
      <c r="L563" s="46"/>
      <c r="M563" s="17"/>
      <c r="N563" s="46"/>
      <c r="O563" s="46"/>
      <c r="P563" s="46"/>
      <c r="Q563" s="46"/>
      <c r="R563" s="46"/>
      <c r="S563" s="46"/>
      <c r="T563" s="46"/>
      <c r="U563" s="46"/>
      <c r="V563" s="46"/>
      <c r="W563" s="46"/>
      <c r="X563" s="46"/>
      <c r="Y563" s="46"/>
      <c r="Z563" s="46"/>
      <c r="AA563" s="46"/>
      <c r="AB563" s="46"/>
      <c r="AC563" s="46"/>
      <c r="AD563" s="46"/>
      <c r="AE563" s="46"/>
      <c r="AF563" s="46"/>
      <c r="AG563" s="123"/>
      <c r="AH563" s="123"/>
      <c r="AI563" s="123"/>
      <c r="AJ563" s="123"/>
      <c r="AK563" s="46"/>
      <c r="AL563" s="46"/>
      <c r="AM563" s="46"/>
      <c r="AN563" s="46"/>
      <c r="AO563" s="46"/>
    </row>
    <row r="564">
      <c r="A564" s="17"/>
      <c r="B564" s="46"/>
      <c r="C564" s="46"/>
      <c r="D564" s="46"/>
      <c r="E564" s="17"/>
      <c r="F564" s="46"/>
      <c r="G564" s="46"/>
      <c r="H564" s="46"/>
      <c r="I564" s="17"/>
      <c r="J564" s="46"/>
      <c r="K564" s="46"/>
      <c r="L564" s="46"/>
      <c r="M564" s="17"/>
      <c r="N564" s="46"/>
      <c r="O564" s="46"/>
      <c r="P564" s="46"/>
      <c r="Q564" s="46"/>
      <c r="R564" s="46"/>
      <c r="S564" s="46"/>
      <c r="T564" s="46"/>
      <c r="U564" s="46"/>
      <c r="V564" s="46"/>
      <c r="W564" s="46"/>
      <c r="X564" s="46"/>
      <c r="Y564" s="46"/>
      <c r="Z564" s="46"/>
      <c r="AA564" s="46"/>
      <c r="AB564" s="46"/>
      <c r="AC564" s="46"/>
      <c r="AD564" s="46"/>
      <c r="AE564" s="46"/>
      <c r="AF564" s="46"/>
      <c r="AG564" s="123"/>
      <c r="AH564" s="123"/>
      <c r="AI564" s="123"/>
      <c r="AJ564" s="123"/>
      <c r="AK564" s="46"/>
      <c r="AL564" s="46"/>
      <c r="AM564" s="46"/>
      <c r="AN564" s="46"/>
      <c r="AO564" s="46"/>
    </row>
    <row r="565">
      <c r="A565" s="17"/>
      <c r="B565" s="46"/>
      <c r="C565" s="46"/>
      <c r="D565" s="46"/>
      <c r="E565" s="17"/>
      <c r="F565" s="46"/>
      <c r="G565" s="46"/>
      <c r="H565" s="46"/>
      <c r="I565" s="17"/>
      <c r="J565" s="46"/>
      <c r="K565" s="46"/>
      <c r="L565" s="46"/>
      <c r="M565" s="17"/>
      <c r="N565" s="46"/>
      <c r="O565" s="46"/>
      <c r="P565" s="46"/>
      <c r="Q565" s="46"/>
      <c r="R565" s="46"/>
      <c r="S565" s="46"/>
      <c r="T565" s="46"/>
      <c r="U565" s="46"/>
      <c r="V565" s="46"/>
      <c r="W565" s="46"/>
      <c r="X565" s="46"/>
      <c r="Y565" s="46"/>
      <c r="Z565" s="46"/>
      <c r="AA565" s="46"/>
      <c r="AB565" s="46"/>
      <c r="AC565" s="46"/>
      <c r="AD565" s="46"/>
      <c r="AE565" s="46"/>
      <c r="AF565" s="46"/>
      <c r="AG565" s="123"/>
      <c r="AH565" s="123"/>
      <c r="AI565" s="123"/>
      <c r="AJ565" s="123"/>
      <c r="AK565" s="46"/>
      <c r="AL565" s="46"/>
      <c r="AM565" s="46"/>
      <c r="AN565" s="46"/>
      <c r="AO565" s="46"/>
    </row>
    <row r="566">
      <c r="A566" s="17"/>
      <c r="B566" s="46"/>
      <c r="C566" s="46"/>
      <c r="D566" s="46"/>
      <c r="E566" s="17"/>
      <c r="F566" s="46"/>
      <c r="G566" s="46"/>
      <c r="H566" s="46"/>
      <c r="I566" s="17"/>
      <c r="J566" s="46"/>
      <c r="K566" s="46"/>
      <c r="L566" s="46"/>
      <c r="M566" s="17"/>
      <c r="N566" s="46"/>
      <c r="O566" s="46"/>
      <c r="P566" s="46"/>
      <c r="Q566" s="46"/>
      <c r="R566" s="46"/>
      <c r="S566" s="46"/>
      <c r="T566" s="46"/>
      <c r="U566" s="46"/>
      <c r="V566" s="46"/>
      <c r="W566" s="46"/>
      <c r="X566" s="46"/>
      <c r="Y566" s="46"/>
      <c r="Z566" s="46"/>
      <c r="AA566" s="46"/>
      <c r="AB566" s="46"/>
      <c r="AC566" s="46"/>
      <c r="AD566" s="46"/>
      <c r="AE566" s="46"/>
      <c r="AF566" s="46"/>
      <c r="AG566" s="123"/>
      <c r="AH566" s="123"/>
      <c r="AI566" s="123"/>
      <c r="AJ566" s="123"/>
      <c r="AK566" s="46"/>
      <c r="AL566" s="46"/>
      <c r="AM566" s="46"/>
      <c r="AN566" s="46"/>
      <c r="AO566" s="46"/>
    </row>
    <row r="567">
      <c r="A567" s="17"/>
      <c r="B567" s="46"/>
      <c r="C567" s="46"/>
      <c r="D567" s="46"/>
      <c r="E567" s="17"/>
      <c r="F567" s="46"/>
      <c r="G567" s="46"/>
      <c r="H567" s="46"/>
      <c r="I567" s="17"/>
      <c r="J567" s="46"/>
      <c r="K567" s="46"/>
      <c r="L567" s="46"/>
      <c r="M567" s="17"/>
      <c r="N567" s="46"/>
      <c r="O567" s="46"/>
      <c r="P567" s="46"/>
      <c r="Q567" s="46"/>
      <c r="R567" s="46"/>
      <c r="S567" s="46"/>
      <c r="T567" s="46"/>
      <c r="U567" s="46"/>
      <c r="V567" s="46"/>
      <c r="W567" s="46"/>
      <c r="X567" s="46"/>
      <c r="Y567" s="46"/>
      <c r="Z567" s="46"/>
      <c r="AA567" s="46"/>
      <c r="AB567" s="46"/>
      <c r="AC567" s="46"/>
      <c r="AD567" s="46"/>
      <c r="AE567" s="46"/>
      <c r="AF567" s="46"/>
      <c r="AG567" s="123"/>
      <c r="AH567" s="123"/>
      <c r="AI567" s="123"/>
      <c r="AJ567" s="123"/>
      <c r="AK567" s="46"/>
      <c r="AL567" s="46"/>
      <c r="AM567" s="46"/>
      <c r="AN567" s="46"/>
      <c r="AO567" s="46"/>
    </row>
    <row r="568">
      <c r="A568" s="17"/>
      <c r="B568" s="46"/>
      <c r="C568" s="46"/>
      <c r="D568" s="46"/>
      <c r="E568" s="17"/>
      <c r="F568" s="46"/>
      <c r="G568" s="46"/>
      <c r="H568" s="46"/>
      <c r="I568" s="17"/>
      <c r="J568" s="46"/>
      <c r="K568" s="46"/>
      <c r="L568" s="46"/>
      <c r="M568" s="17"/>
      <c r="N568" s="46"/>
      <c r="O568" s="46"/>
      <c r="P568" s="46"/>
      <c r="Q568" s="46"/>
      <c r="R568" s="46"/>
      <c r="S568" s="46"/>
      <c r="T568" s="46"/>
      <c r="U568" s="46"/>
      <c r="V568" s="46"/>
      <c r="W568" s="46"/>
      <c r="X568" s="46"/>
      <c r="Y568" s="46"/>
      <c r="Z568" s="46"/>
      <c r="AA568" s="46"/>
      <c r="AB568" s="46"/>
      <c r="AC568" s="46"/>
      <c r="AD568" s="46"/>
      <c r="AE568" s="46"/>
      <c r="AF568" s="46"/>
      <c r="AG568" s="123"/>
      <c r="AH568" s="123"/>
      <c r="AI568" s="123"/>
      <c r="AJ568" s="123"/>
      <c r="AK568" s="46"/>
      <c r="AL568" s="46"/>
      <c r="AM568" s="46"/>
      <c r="AN568" s="46"/>
      <c r="AO568" s="46"/>
    </row>
    <row r="569">
      <c r="A569" s="17"/>
      <c r="B569" s="46"/>
      <c r="C569" s="46"/>
      <c r="D569" s="46"/>
      <c r="E569" s="17"/>
      <c r="F569" s="46"/>
      <c r="G569" s="46"/>
      <c r="H569" s="46"/>
      <c r="I569" s="17"/>
      <c r="J569" s="46"/>
      <c r="K569" s="46"/>
      <c r="L569" s="46"/>
      <c r="M569" s="17"/>
      <c r="N569" s="46"/>
      <c r="O569" s="46"/>
      <c r="P569" s="46"/>
      <c r="Q569" s="46"/>
      <c r="R569" s="46"/>
      <c r="S569" s="46"/>
      <c r="T569" s="46"/>
      <c r="U569" s="46"/>
      <c r="V569" s="46"/>
      <c r="W569" s="46"/>
      <c r="X569" s="46"/>
      <c r="Y569" s="46"/>
      <c r="Z569" s="46"/>
      <c r="AA569" s="46"/>
      <c r="AB569" s="46"/>
      <c r="AC569" s="46"/>
      <c r="AD569" s="46"/>
      <c r="AE569" s="46"/>
      <c r="AF569" s="46"/>
      <c r="AG569" s="123"/>
      <c r="AH569" s="123"/>
      <c r="AI569" s="123"/>
      <c r="AJ569" s="123"/>
      <c r="AK569" s="46"/>
      <c r="AL569" s="46"/>
      <c r="AM569" s="46"/>
      <c r="AN569" s="46"/>
      <c r="AO569" s="46"/>
    </row>
    <row r="570">
      <c r="A570" s="17"/>
      <c r="B570" s="46"/>
      <c r="C570" s="46"/>
      <c r="D570" s="46"/>
      <c r="E570" s="17"/>
      <c r="F570" s="46"/>
      <c r="G570" s="46"/>
      <c r="H570" s="46"/>
      <c r="I570" s="17"/>
      <c r="J570" s="46"/>
      <c r="K570" s="46"/>
      <c r="L570" s="46"/>
      <c r="M570" s="17"/>
      <c r="N570" s="46"/>
      <c r="O570" s="46"/>
      <c r="P570" s="46"/>
      <c r="Q570" s="46"/>
      <c r="R570" s="46"/>
      <c r="S570" s="46"/>
      <c r="T570" s="46"/>
      <c r="U570" s="46"/>
      <c r="V570" s="46"/>
      <c r="W570" s="46"/>
      <c r="X570" s="46"/>
      <c r="Y570" s="46"/>
      <c r="Z570" s="46"/>
      <c r="AA570" s="46"/>
      <c r="AB570" s="46"/>
      <c r="AC570" s="46"/>
      <c r="AD570" s="46"/>
      <c r="AE570" s="46"/>
      <c r="AF570" s="46"/>
      <c r="AG570" s="123"/>
      <c r="AH570" s="123"/>
      <c r="AI570" s="123"/>
      <c r="AJ570" s="123"/>
      <c r="AK570" s="46"/>
      <c r="AL570" s="46"/>
      <c r="AM570" s="46"/>
      <c r="AN570" s="46"/>
      <c r="AO570" s="46"/>
    </row>
    <row r="571">
      <c r="A571" s="17"/>
      <c r="B571" s="46"/>
      <c r="C571" s="46"/>
      <c r="D571" s="46"/>
      <c r="E571" s="17"/>
      <c r="F571" s="46"/>
      <c r="G571" s="46"/>
      <c r="H571" s="46"/>
      <c r="I571" s="17"/>
      <c r="J571" s="46"/>
      <c r="K571" s="46"/>
      <c r="L571" s="46"/>
      <c r="M571" s="17"/>
      <c r="N571" s="46"/>
      <c r="O571" s="46"/>
      <c r="P571" s="46"/>
      <c r="Q571" s="46"/>
      <c r="R571" s="46"/>
      <c r="S571" s="46"/>
      <c r="T571" s="46"/>
      <c r="U571" s="46"/>
      <c r="V571" s="46"/>
      <c r="W571" s="46"/>
      <c r="X571" s="46"/>
      <c r="Y571" s="46"/>
      <c r="Z571" s="46"/>
      <c r="AA571" s="46"/>
      <c r="AB571" s="46"/>
      <c r="AC571" s="46"/>
      <c r="AD571" s="46"/>
      <c r="AE571" s="46"/>
      <c r="AF571" s="46"/>
      <c r="AG571" s="123"/>
      <c r="AH571" s="123"/>
      <c r="AI571" s="123"/>
      <c r="AJ571" s="123"/>
      <c r="AK571" s="46"/>
      <c r="AL571" s="46"/>
      <c r="AM571" s="46"/>
      <c r="AN571" s="46"/>
      <c r="AO571" s="46"/>
    </row>
    <row r="572">
      <c r="A572" s="17"/>
      <c r="B572" s="46"/>
      <c r="C572" s="46"/>
      <c r="D572" s="46"/>
      <c r="E572" s="17"/>
      <c r="F572" s="46"/>
      <c r="G572" s="46"/>
      <c r="H572" s="46"/>
      <c r="I572" s="17"/>
      <c r="J572" s="46"/>
      <c r="K572" s="46"/>
      <c r="L572" s="46"/>
      <c r="M572" s="17"/>
      <c r="N572" s="46"/>
      <c r="O572" s="46"/>
      <c r="P572" s="46"/>
      <c r="Q572" s="46"/>
      <c r="R572" s="46"/>
      <c r="S572" s="46"/>
      <c r="T572" s="46"/>
      <c r="U572" s="46"/>
      <c r="V572" s="46"/>
      <c r="W572" s="46"/>
      <c r="X572" s="46"/>
      <c r="Y572" s="46"/>
      <c r="Z572" s="46"/>
      <c r="AA572" s="46"/>
      <c r="AB572" s="46"/>
      <c r="AC572" s="46"/>
      <c r="AD572" s="46"/>
      <c r="AE572" s="46"/>
      <c r="AF572" s="46"/>
      <c r="AG572" s="123"/>
      <c r="AH572" s="123"/>
      <c r="AI572" s="123"/>
      <c r="AJ572" s="123"/>
      <c r="AK572" s="46"/>
      <c r="AL572" s="46"/>
      <c r="AM572" s="46"/>
      <c r="AN572" s="46"/>
      <c r="AO572" s="46"/>
    </row>
    <row r="573">
      <c r="A573" s="17"/>
      <c r="B573" s="46"/>
      <c r="C573" s="46"/>
      <c r="D573" s="46"/>
      <c r="E573" s="17"/>
      <c r="F573" s="46"/>
      <c r="G573" s="46"/>
      <c r="H573" s="46"/>
      <c r="I573" s="17"/>
      <c r="J573" s="46"/>
      <c r="K573" s="46"/>
      <c r="L573" s="46"/>
      <c r="M573" s="17"/>
      <c r="N573" s="46"/>
      <c r="O573" s="46"/>
      <c r="P573" s="46"/>
      <c r="Q573" s="46"/>
      <c r="R573" s="46"/>
      <c r="S573" s="46"/>
      <c r="T573" s="46"/>
      <c r="U573" s="46"/>
      <c r="V573" s="46"/>
      <c r="W573" s="46"/>
      <c r="X573" s="46"/>
      <c r="Y573" s="46"/>
      <c r="Z573" s="46"/>
      <c r="AA573" s="46"/>
      <c r="AB573" s="46"/>
      <c r="AC573" s="46"/>
      <c r="AD573" s="46"/>
      <c r="AE573" s="46"/>
      <c r="AF573" s="46"/>
      <c r="AG573" s="123"/>
      <c r="AH573" s="123"/>
      <c r="AI573" s="123"/>
      <c r="AJ573" s="123"/>
      <c r="AK573" s="46"/>
      <c r="AL573" s="46"/>
      <c r="AM573" s="46"/>
      <c r="AN573" s="46"/>
      <c r="AO573" s="46"/>
    </row>
    <row r="574">
      <c r="A574" s="17"/>
      <c r="B574" s="46"/>
      <c r="C574" s="46"/>
      <c r="D574" s="46"/>
      <c r="E574" s="17"/>
      <c r="F574" s="46"/>
      <c r="G574" s="46"/>
      <c r="H574" s="46"/>
      <c r="I574" s="17"/>
      <c r="J574" s="46"/>
      <c r="K574" s="46"/>
      <c r="L574" s="46"/>
      <c r="M574" s="17"/>
      <c r="N574" s="46"/>
      <c r="O574" s="46"/>
      <c r="P574" s="46"/>
      <c r="Q574" s="46"/>
      <c r="R574" s="46"/>
      <c r="S574" s="46"/>
      <c r="T574" s="46"/>
      <c r="U574" s="46"/>
      <c r="V574" s="46"/>
      <c r="W574" s="46"/>
      <c r="X574" s="46"/>
      <c r="Y574" s="46"/>
      <c r="Z574" s="46"/>
      <c r="AA574" s="46"/>
      <c r="AB574" s="46"/>
      <c r="AC574" s="46"/>
      <c r="AD574" s="46"/>
      <c r="AE574" s="46"/>
      <c r="AF574" s="46"/>
      <c r="AG574" s="123"/>
      <c r="AH574" s="123"/>
      <c r="AI574" s="123"/>
      <c r="AJ574" s="123"/>
      <c r="AK574" s="46"/>
      <c r="AL574" s="46"/>
      <c r="AM574" s="46"/>
      <c r="AN574" s="46"/>
      <c r="AO574" s="46"/>
    </row>
    <row r="575">
      <c r="A575" s="17"/>
      <c r="B575" s="46"/>
      <c r="C575" s="46"/>
      <c r="D575" s="46"/>
      <c r="E575" s="17"/>
      <c r="F575" s="46"/>
      <c r="G575" s="46"/>
      <c r="H575" s="46"/>
      <c r="I575" s="17"/>
      <c r="J575" s="46"/>
      <c r="K575" s="46"/>
      <c r="L575" s="46"/>
      <c r="M575" s="17"/>
      <c r="N575" s="46"/>
      <c r="O575" s="46"/>
      <c r="P575" s="46"/>
      <c r="Q575" s="46"/>
      <c r="R575" s="46"/>
      <c r="S575" s="46"/>
      <c r="T575" s="46"/>
      <c r="U575" s="46"/>
      <c r="V575" s="46"/>
      <c r="W575" s="46"/>
      <c r="X575" s="46"/>
      <c r="Y575" s="46"/>
      <c r="Z575" s="46"/>
      <c r="AA575" s="46"/>
      <c r="AB575" s="46"/>
      <c r="AC575" s="46"/>
      <c r="AD575" s="46"/>
      <c r="AE575" s="46"/>
      <c r="AF575" s="46"/>
      <c r="AG575" s="123"/>
      <c r="AH575" s="123"/>
      <c r="AI575" s="123"/>
      <c r="AJ575" s="123"/>
      <c r="AK575" s="46"/>
      <c r="AL575" s="46"/>
      <c r="AM575" s="46"/>
      <c r="AN575" s="46"/>
      <c r="AO575" s="46"/>
    </row>
    <row r="576">
      <c r="A576" s="17"/>
      <c r="B576" s="46"/>
      <c r="C576" s="46"/>
      <c r="D576" s="46"/>
      <c r="E576" s="17"/>
      <c r="F576" s="46"/>
      <c r="G576" s="46"/>
      <c r="H576" s="46"/>
      <c r="I576" s="17"/>
      <c r="J576" s="46"/>
      <c r="K576" s="46"/>
      <c r="L576" s="46"/>
      <c r="M576" s="17"/>
      <c r="N576" s="46"/>
      <c r="O576" s="46"/>
      <c r="P576" s="46"/>
      <c r="Q576" s="46"/>
      <c r="R576" s="46"/>
      <c r="S576" s="46"/>
      <c r="T576" s="46"/>
      <c r="U576" s="46"/>
      <c r="V576" s="46"/>
      <c r="W576" s="46"/>
      <c r="X576" s="46"/>
      <c r="Y576" s="46"/>
      <c r="Z576" s="46"/>
      <c r="AA576" s="46"/>
      <c r="AB576" s="46"/>
      <c r="AC576" s="46"/>
      <c r="AD576" s="46"/>
      <c r="AE576" s="46"/>
      <c r="AF576" s="46"/>
      <c r="AG576" s="123"/>
      <c r="AH576" s="123"/>
      <c r="AI576" s="123"/>
      <c r="AJ576" s="123"/>
      <c r="AK576" s="46"/>
      <c r="AL576" s="46"/>
      <c r="AM576" s="46"/>
      <c r="AN576" s="46"/>
      <c r="AO576" s="46"/>
    </row>
    <row r="577">
      <c r="A577" s="17"/>
      <c r="B577" s="46"/>
      <c r="C577" s="46"/>
      <c r="D577" s="46"/>
      <c r="E577" s="17"/>
      <c r="F577" s="46"/>
      <c r="G577" s="46"/>
      <c r="H577" s="46"/>
      <c r="I577" s="17"/>
      <c r="J577" s="46"/>
      <c r="K577" s="46"/>
      <c r="L577" s="46"/>
      <c r="M577" s="17"/>
      <c r="N577" s="46"/>
      <c r="O577" s="46"/>
      <c r="P577" s="46"/>
      <c r="Q577" s="46"/>
      <c r="R577" s="46"/>
      <c r="S577" s="46"/>
      <c r="T577" s="46"/>
      <c r="U577" s="46"/>
      <c r="V577" s="46"/>
      <c r="W577" s="46"/>
      <c r="X577" s="46"/>
      <c r="Y577" s="46"/>
      <c r="Z577" s="46"/>
      <c r="AA577" s="46"/>
      <c r="AB577" s="46"/>
      <c r="AC577" s="46"/>
      <c r="AD577" s="46"/>
      <c r="AE577" s="46"/>
      <c r="AF577" s="46"/>
      <c r="AG577" s="123"/>
      <c r="AH577" s="123"/>
      <c r="AI577" s="123"/>
      <c r="AJ577" s="123"/>
      <c r="AK577" s="46"/>
      <c r="AL577" s="46"/>
      <c r="AM577" s="46"/>
      <c r="AN577" s="46"/>
      <c r="AO577" s="46"/>
    </row>
    <row r="578">
      <c r="A578" s="17"/>
      <c r="B578" s="46"/>
      <c r="C578" s="46"/>
      <c r="D578" s="46"/>
      <c r="E578" s="17"/>
      <c r="F578" s="46"/>
      <c r="G578" s="46"/>
      <c r="H578" s="46"/>
      <c r="I578" s="17"/>
      <c r="J578" s="46"/>
      <c r="K578" s="46"/>
      <c r="L578" s="46"/>
      <c r="M578" s="17"/>
      <c r="N578" s="46"/>
      <c r="O578" s="46"/>
      <c r="P578" s="46"/>
      <c r="Q578" s="46"/>
      <c r="R578" s="46"/>
      <c r="S578" s="46"/>
      <c r="T578" s="46"/>
      <c r="U578" s="46"/>
      <c r="V578" s="46"/>
      <c r="W578" s="46"/>
      <c r="X578" s="46"/>
      <c r="Y578" s="46"/>
      <c r="Z578" s="46"/>
      <c r="AA578" s="46"/>
      <c r="AB578" s="46"/>
      <c r="AC578" s="46"/>
      <c r="AD578" s="46"/>
      <c r="AE578" s="46"/>
      <c r="AF578" s="46"/>
      <c r="AG578" s="123"/>
      <c r="AH578" s="123"/>
      <c r="AI578" s="123"/>
      <c r="AJ578" s="123"/>
      <c r="AK578" s="46"/>
      <c r="AL578" s="46"/>
      <c r="AM578" s="46"/>
      <c r="AN578" s="46"/>
      <c r="AO578" s="46"/>
    </row>
    <row r="579">
      <c r="A579" s="17"/>
      <c r="B579" s="46"/>
      <c r="C579" s="46"/>
      <c r="D579" s="46"/>
      <c r="E579" s="17"/>
      <c r="F579" s="46"/>
      <c r="G579" s="46"/>
      <c r="H579" s="46"/>
      <c r="I579" s="17"/>
      <c r="J579" s="46"/>
      <c r="K579" s="46"/>
      <c r="L579" s="46"/>
      <c r="M579" s="17"/>
      <c r="N579" s="46"/>
      <c r="O579" s="46"/>
      <c r="P579" s="46"/>
      <c r="Q579" s="46"/>
      <c r="R579" s="46"/>
      <c r="S579" s="46"/>
      <c r="T579" s="46"/>
      <c r="U579" s="46"/>
      <c r="V579" s="46"/>
      <c r="W579" s="46"/>
      <c r="X579" s="46"/>
      <c r="Y579" s="46"/>
      <c r="Z579" s="46"/>
      <c r="AA579" s="46"/>
      <c r="AB579" s="46"/>
      <c r="AC579" s="46"/>
      <c r="AD579" s="46"/>
      <c r="AE579" s="46"/>
      <c r="AF579" s="46"/>
      <c r="AG579" s="123"/>
      <c r="AH579" s="123"/>
      <c r="AI579" s="123"/>
      <c r="AJ579" s="123"/>
      <c r="AK579" s="46"/>
      <c r="AL579" s="46"/>
      <c r="AM579" s="46"/>
      <c r="AN579" s="46"/>
      <c r="AO579" s="46"/>
    </row>
    <row r="580">
      <c r="A580" s="17"/>
      <c r="B580" s="46"/>
      <c r="C580" s="46"/>
      <c r="D580" s="46"/>
      <c r="E580" s="17"/>
      <c r="F580" s="46"/>
      <c r="G580" s="46"/>
      <c r="H580" s="46"/>
      <c r="I580" s="17"/>
      <c r="J580" s="46"/>
      <c r="K580" s="46"/>
      <c r="L580" s="46"/>
      <c r="M580" s="17"/>
      <c r="N580" s="46"/>
      <c r="O580" s="46"/>
      <c r="P580" s="46"/>
      <c r="Q580" s="46"/>
      <c r="R580" s="46"/>
      <c r="S580" s="46"/>
      <c r="T580" s="46"/>
      <c r="U580" s="46"/>
      <c r="V580" s="46"/>
      <c r="W580" s="46"/>
      <c r="X580" s="46"/>
      <c r="Y580" s="46"/>
      <c r="Z580" s="46"/>
      <c r="AA580" s="46"/>
      <c r="AB580" s="46"/>
      <c r="AC580" s="46"/>
      <c r="AD580" s="46"/>
      <c r="AE580" s="46"/>
      <c r="AF580" s="46"/>
      <c r="AG580" s="123"/>
      <c r="AH580" s="123"/>
      <c r="AI580" s="123"/>
      <c r="AJ580" s="123"/>
      <c r="AK580" s="46"/>
      <c r="AL580" s="46"/>
      <c r="AM580" s="46"/>
      <c r="AN580" s="46"/>
      <c r="AO580" s="46"/>
    </row>
    <row r="581">
      <c r="A581" s="17"/>
      <c r="B581" s="46"/>
      <c r="C581" s="46"/>
      <c r="D581" s="46"/>
      <c r="E581" s="17"/>
      <c r="F581" s="46"/>
      <c r="G581" s="46"/>
      <c r="H581" s="46"/>
      <c r="I581" s="17"/>
      <c r="J581" s="46"/>
      <c r="K581" s="46"/>
      <c r="L581" s="46"/>
      <c r="M581" s="17"/>
      <c r="N581" s="46"/>
      <c r="O581" s="46"/>
      <c r="P581" s="46"/>
      <c r="Q581" s="46"/>
      <c r="R581" s="46"/>
      <c r="S581" s="46"/>
      <c r="T581" s="46"/>
      <c r="U581" s="46"/>
      <c r="V581" s="46"/>
      <c r="W581" s="46"/>
      <c r="X581" s="46"/>
      <c r="Y581" s="46"/>
      <c r="Z581" s="46"/>
      <c r="AA581" s="46"/>
      <c r="AB581" s="46"/>
      <c r="AC581" s="46"/>
      <c r="AD581" s="46"/>
      <c r="AE581" s="46"/>
      <c r="AF581" s="46"/>
      <c r="AG581" s="123"/>
      <c r="AH581" s="123"/>
      <c r="AI581" s="123"/>
      <c r="AJ581" s="123"/>
      <c r="AK581" s="46"/>
      <c r="AL581" s="46"/>
      <c r="AM581" s="46"/>
      <c r="AN581" s="46"/>
      <c r="AO581" s="46"/>
    </row>
    <row r="582">
      <c r="A582" s="17"/>
      <c r="B582" s="46"/>
      <c r="C582" s="46"/>
      <c r="D582" s="46"/>
      <c r="E582" s="17"/>
      <c r="F582" s="46"/>
      <c r="G582" s="46"/>
      <c r="H582" s="46"/>
      <c r="I582" s="17"/>
      <c r="J582" s="46"/>
      <c r="K582" s="46"/>
      <c r="L582" s="46"/>
      <c r="M582" s="17"/>
      <c r="N582" s="46"/>
      <c r="O582" s="46"/>
      <c r="P582" s="46"/>
      <c r="Q582" s="46"/>
      <c r="R582" s="46"/>
      <c r="S582" s="46"/>
      <c r="T582" s="46"/>
      <c r="U582" s="46"/>
      <c r="V582" s="46"/>
      <c r="W582" s="46"/>
      <c r="X582" s="46"/>
      <c r="Y582" s="46"/>
      <c r="Z582" s="46"/>
      <c r="AA582" s="46"/>
      <c r="AB582" s="46"/>
      <c r="AC582" s="46"/>
      <c r="AD582" s="46"/>
      <c r="AE582" s="46"/>
      <c r="AF582" s="46"/>
      <c r="AG582" s="123"/>
      <c r="AH582" s="123"/>
      <c r="AI582" s="123"/>
      <c r="AJ582" s="123"/>
      <c r="AK582" s="46"/>
      <c r="AL582" s="46"/>
      <c r="AM582" s="46"/>
      <c r="AN582" s="46"/>
      <c r="AO582" s="46"/>
    </row>
    <row r="583">
      <c r="A583" s="17"/>
      <c r="B583" s="46"/>
      <c r="C583" s="46"/>
      <c r="D583" s="46"/>
      <c r="E583" s="17"/>
      <c r="F583" s="46"/>
      <c r="G583" s="46"/>
      <c r="H583" s="46"/>
      <c r="I583" s="17"/>
      <c r="J583" s="46"/>
      <c r="K583" s="46"/>
      <c r="L583" s="46"/>
      <c r="M583" s="17"/>
      <c r="N583" s="46"/>
      <c r="O583" s="46"/>
      <c r="P583" s="46"/>
      <c r="Q583" s="46"/>
      <c r="R583" s="46"/>
      <c r="S583" s="46"/>
      <c r="T583" s="46"/>
      <c r="U583" s="46"/>
      <c r="V583" s="46"/>
      <c r="W583" s="46"/>
      <c r="X583" s="46"/>
      <c r="Y583" s="46"/>
      <c r="Z583" s="46"/>
      <c r="AA583" s="46"/>
      <c r="AB583" s="46"/>
      <c r="AC583" s="46"/>
      <c r="AD583" s="46"/>
      <c r="AE583" s="46"/>
      <c r="AF583" s="46"/>
      <c r="AG583" s="123"/>
      <c r="AH583" s="123"/>
      <c r="AI583" s="123"/>
      <c r="AJ583" s="123"/>
      <c r="AK583" s="46"/>
      <c r="AL583" s="46"/>
      <c r="AM583" s="46"/>
      <c r="AN583" s="46"/>
      <c r="AO583" s="46"/>
    </row>
    <row r="584">
      <c r="A584" s="17"/>
      <c r="B584" s="46"/>
      <c r="C584" s="46"/>
      <c r="D584" s="46"/>
      <c r="E584" s="17"/>
      <c r="F584" s="46"/>
      <c r="G584" s="46"/>
      <c r="H584" s="46"/>
      <c r="I584" s="17"/>
      <c r="J584" s="46"/>
      <c r="K584" s="46"/>
      <c r="L584" s="46"/>
      <c r="M584" s="17"/>
      <c r="N584" s="46"/>
      <c r="O584" s="46"/>
      <c r="P584" s="46"/>
      <c r="Q584" s="46"/>
      <c r="R584" s="46"/>
      <c r="S584" s="46"/>
      <c r="T584" s="46"/>
      <c r="U584" s="46"/>
      <c r="V584" s="46"/>
      <c r="W584" s="46"/>
      <c r="X584" s="46"/>
      <c r="Y584" s="46"/>
      <c r="Z584" s="46"/>
      <c r="AA584" s="46"/>
      <c r="AB584" s="46"/>
      <c r="AC584" s="46"/>
      <c r="AD584" s="46"/>
      <c r="AE584" s="46"/>
      <c r="AF584" s="46"/>
      <c r="AG584" s="123"/>
      <c r="AH584" s="123"/>
      <c r="AI584" s="123"/>
      <c r="AJ584" s="123"/>
      <c r="AK584" s="46"/>
      <c r="AL584" s="46"/>
      <c r="AM584" s="46"/>
      <c r="AN584" s="46"/>
      <c r="AO584" s="46"/>
    </row>
    <row r="585">
      <c r="A585" s="17"/>
      <c r="B585" s="46"/>
      <c r="C585" s="46"/>
      <c r="D585" s="46"/>
      <c r="E585" s="17"/>
      <c r="F585" s="46"/>
      <c r="G585" s="46"/>
      <c r="H585" s="46"/>
      <c r="I585" s="17"/>
      <c r="J585" s="46"/>
      <c r="K585" s="46"/>
      <c r="L585" s="46"/>
      <c r="M585" s="17"/>
      <c r="N585" s="46"/>
      <c r="O585" s="46"/>
      <c r="P585" s="46"/>
      <c r="Q585" s="46"/>
      <c r="R585" s="46"/>
      <c r="S585" s="46"/>
      <c r="T585" s="46"/>
      <c r="U585" s="46"/>
      <c r="V585" s="46"/>
      <c r="W585" s="46"/>
      <c r="X585" s="46"/>
      <c r="Y585" s="46"/>
      <c r="Z585" s="46"/>
      <c r="AA585" s="46"/>
      <c r="AB585" s="46"/>
      <c r="AC585" s="46"/>
      <c r="AD585" s="46"/>
      <c r="AE585" s="46"/>
      <c r="AF585" s="46"/>
      <c r="AG585" s="123"/>
      <c r="AH585" s="123"/>
      <c r="AI585" s="123"/>
      <c r="AJ585" s="123"/>
      <c r="AK585" s="46"/>
      <c r="AL585" s="46"/>
      <c r="AM585" s="46"/>
      <c r="AN585" s="46"/>
      <c r="AO585" s="46"/>
    </row>
    <row r="586">
      <c r="A586" s="17"/>
      <c r="B586" s="46"/>
      <c r="C586" s="46"/>
      <c r="D586" s="46"/>
      <c r="E586" s="17"/>
      <c r="F586" s="46"/>
      <c r="G586" s="46"/>
      <c r="H586" s="46"/>
      <c r="I586" s="17"/>
      <c r="J586" s="46"/>
      <c r="K586" s="46"/>
      <c r="L586" s="46"/>
      <c r="M586" s="17"/>
      <c r="N586" s="46"/>
      <c r="O586" s="46"/>
      <c r="P586" s="46"/>
      <c r="Q586" s="46"/>
      <c r="R586" s="46"/>
      <c r="S586" s="46"/>
      <c r="T586" s="46"/>
      <c r="U586" s="46"/>
      <c r="V586" s="46"/>
      <c r="W586" s="46"/>
      <c r="X586" s="46"/>
      <c r="Y586" s="46"/>
      <c r="Z586" s="46"/>
      <c r="AA586" s="46"/>
      <c r="AB586" s="46"/>
      <c r="AC586" s="46"/>
      <c r="AD586" s="46"/>
      <c r="AE586" s="46"/>
      <c r="AF586" s="46"/>
      <c r="AG586" s="123"/>
      <c r="AH586" s="123"/>
      <c r="AI586" s="123"/>
      <c r="AJ586" s="123"/>
      <c r="AK586" s="46"/>
      <c r="AL586" s="46"/>
      <c r="AM586" s="46"/>
      <c r="AN586" s="46"/>
      <c r="AO586" s="46"/>
    </row>
    <row r="587">
      <c r="A587" s="17"/>
      <c r="B587" s="46"/>
      <c r="C587" s="46"/>
      <c r="D587" s="46"/>
      <c r="E587" s="17"/>
      <c r="F587" s="46"/>
      <c r="G587" s="46"/>
      <c r="H587" s="46"/>
      <c r="I587" s="17"/>
      <c r="J587" s="46"/>
      <c r="K587" s="46"/>
      <c r="L587" s="46"/>
      <c r="M587" s="17"/>
      <c r="N587" s="46"/>
      <c r="O587" s="46"/>
      <c r="P587" s="46"/>
      <c r="Q587" s="46"/>
      <c r="R587" s="46"/>
      <c r="S587" s="46"/>
      <c r="T587" s="46"/>
      <c r="U587" s="46"/>
      <c r="V587" s="46"/>
      <c r="W587" s="46"/>
      <c r="X587" s="46"/>
      <c r="Y587" s="46"/>
      <c r="Z587" s="46"/>
      <c r="AA587" s="46"/>
      <c r="AB587" s="46"/>
      <c r="AC587" s="46"/>
      <c r="AD587" s="46"/>
      <c r="AE587" s="46"/>
      <c r="AF587" s="46"/>
      <c r="AG587" s="123"/>
      <c r="AH587" s="123"/>
      <c r="AI587" s="123"/>
      <c r="AJ587" s="123"/>
      <c r="AK587" s="46"/>
      <c r="AL587" s="46"/>
      <c r="AM587" s="46"/>
      <c r="AN587" s="46"/>
      <c r="AO587" s="46"/>
    </row>
    <row r="588">
      <c r="A588" s="17"/>
      <c r="B588" s="46"/>
      <c r="C588" s="46"/>
      <c r="D588" s="46"/>
      <c r="E588" s="17"/>
      <c r="F588" s="46"/>
      <c r="G588" s="46"/>
      <c r="H588" s="46"/>
      <c r="I588" s="17"/>
      <c r="J588" s="46"/>
      <c r="K588" s="46"/>
      <c r="L588" s="46"/>
      <c r="M588" s="17"/>
      <c r="N588" s="46"/>
      <c r="O588" s="46"/>
      <c r="P588" s="46"/>
      <c r="Q588" s="46"/>
      <c r="R588" s="46"/>
      <c r="S588" s="46"/>
      <c r="T588" s="46"/>
      <c r="U588" s="46"/>
      <c r="V588" s="46"/>
      <c r="W588" s="46"/>
      <c r="X588" s="46"/>
      <c r="Y588" s="46"/>
      <c r="Z588" s="46"/>
      <c r="AA588" s="46"/>
      <c r="AB588" s="46"/>
      <c r="AC588" s="46"/>
      <c r="AD588" s="46"/>
      <c r="AE588" s="46"/>
      <c r="AF588" s="46"/>
      <c r="AG588" s="123"/>
      <c r="AH588" s="123"/>
      <c r="AI588" s="123"/>
      <c r="AJ588" s="123"/>
      <c r="AK588" s="46"/>
      <c r="AL588" s="46"/>
      <c r="AM588" s="46"/>
      <c r="AN588" s="46"/>
      <c r="AO588" s="46"/>
    </row>
    <row r="589">
      <c r="A589" s="17"/>
      <c r="B589" s="46"/>
      <c r="C589" s="46"/>
      <c r="D589" s="46"/>
      <c r="E589" s="17"/>
      <c r="F589" s="46"/>
      <c r="G589" s="46"/>
      <c r="H589" s="46"/>
      <c r="I589" s="17"/>
      <c r="J589" s="46"/>
      <c r="K589" s="46"/>
      <c r="L589" s="46"/>
      <c r="M589" s="17"/>
      <c r="N589" s="46"/>
      <c r="O589" s="46"/>
      <c r="P589" s="46"/>
      <c r="Q589" s="46"/>
      <c r="R589" s="46"/>
      <c r="S589" s="46"/>
      <c r="T589" s="46"/>
      <c r="U589" s="46"/>
      <c r="V589" s="46"/>
      <c r="W589" s="46"/>
      <c r="X589" s="46"/>
      <c r="Y589" s="46"/>
      <c r="Z589" s="46"/>
      <c r="AA589" s="46"/>
      <c r="AB589" s="46"/>
      <c r="AC589" s="46"/>
      <c r="AD589" s="46"/>
      <c r="AE589" s="46"/>
      <c r="AF589" s="46"/>
      <c r="AG589" s="123"/>
      <c r="AH589" s="123"/>
      <c r="AI589" s="123"/>
      <c r="AJ589" s="123"/>
      <c r="AK589" s="46"/>
      <c r="AL589" s="46"/>
      <c r="AM589" s="46"/>
      <c r="AN589" s="46"/>
      <c r="AO589" s="46"/>
    </row>
    <row r="590">
      <c r="A590" s="17"/>
      <c r="B590" s="46"/>
      <c r="C590" s="46"/>
      <c r="D590" s="46"/>
      <c r="E590" s="17"/>
      <c r="F590" s="46"/>
      <c r="G590" s="46"/>
      <c r="H590" s="46"/>
      <c r="I590" s="17"/>
      <c r="J590" s="46"/>
      <c r="K590" s="46"/>
      <c r="L590" s="46"/>
      <c r="M590" s="17"/>
      <c r="N590" s="46"/>
      <c r="O590" s="46"/>
      <c r="P590" s="46"/>
      <c r="Q590" s="46"/>
      <c r="R590" s="46"/>
      <c r="S590" s="46"/>
      <c r="T590" s="46"/>
      <c r="U590" s="46"/>
      <c r="V590" s="46"/>
      <c r="W590" s="46"/>
      <c r="X590" s="46"/>
      <c r="Y590" s="46"/>
      <c r="Z590" s="46"/>
      <c r="AA590" s="46"/>
      <c r="AB590" s="46"/>
      <c r="AC590" s="46"/>
      <c r="AD590" s="46"/>
      <c r="AE590" s="46"/>
      <c r="AF590" s="46"/>
      <c r="AG590" s="123"/>
      <c r="AH590" s="123"/>
      <c r="AI590" s="123"/>
      <c r="AJ590" s="123"/>
      <c r="AK590" s="46"/>
      <c r="AL590" s="46"/>
      <c r="AM590" s="46"/>
      <c r="AN590" s="46"/>
      <c r="AO590" s="46"/>
    </row>
    <row r="591">
      <c r="A591" s="17"/>
      <c r="B591" s="46"/>
      <c r="C591" s="46"/>
      <c r="D591" s="46"/>
      <c r="E591" s="17"/>
      <c r="F591" s="46"/>
      <c r="G591" s="46"/>
      <c r="H591" s="46"/>
      <c r="I591" s="17"/>
      <c r="J591" s="46"/>
      <c r="K591" s="46"/>
      <c r="L591" s="46"/>
      <c r="M591" s="17"/>
      <c r="N591" s="46"/>
      <c r="O591" s="46"/>
      <c r="P591" s="46"/>
      <c r="Q591" s="46"/>
      <c r="R591" s="46"/>
      <c r="S591" s="46"/>
      <c r="T591" s="46"/>
      <c r="U591" s="46"/>
      <c r="V591" s="46"/>
      <c r="W591" s="46"/>
      <c r="X591" s="46"/>
      <c r="Y591" s="46"/>
      <c r="Z591" s="46"/>
      <c r="AA591" s="46"/>
      <c r="AB591" s="46"/>
      <c r="AC591" s="46"/>
      <c r="AD591" s="46"/>
      <c r="AE591" s="46"/>
      <c r="AF591" s="46"/>
      <c r="AG591" s="123"/>
      <c r="AH591" s="123"/>
      <c r="AI591" s="123"/>
      <c r="AJ591" s="123"/>
      <c r="AK591" s="46"/>
      <c r="AL591" s="46"/>
      <c r="AM591" s="46"/>
      <c r="AN591" s="46"/>
      <c r="AO591" s="46"/>
    </row>
    <row r="592">
      <c r="A592" s="17"/>
      <c r="B592" s="46"/>
      <c r="C592" s="46"/>
      <c r="D592" s="46"/>
      <c r="E592" s="17"/>
      <c r="F592" s="46"/>
      <c r="G592" s="46"/>
      <c r="H592" s="46"/>
      <c r="I592" s="17"/>
      <c r="J592" s="46"/>
      <c r="K592" s="46"/>
      <c r="L592" s="46"/>
      <c r="M592" s="17"/>
      <c r="N592" s="46"/>
      <c r="O592" s="46"/>
      <c r="P592" s="46"/>
      <c r="Q592" s="46"/>
      <c r="R592" s="46"/>
      <c r="S592" s="46"/>
      <c r="T592" s="46"/>
      <c r="U592" s="46"/>
      <c r="V592" s="46"/>
      <c r="W592" s="46"/>
      <c r="X592" s="46"/>
      <c r="Y592" s="46"/>
      <c r="Z592" s="46"/>
      <c r="AA592" s="46"/>
      <c r="AB592" s="46"/>
      <c r="AC592" s="46"/>
      <c r="AD592" s="46"/>
      <c r="AE592" s="46"/>
      <c r="AF592" s="46"/>
      <c r="AG592" s="123"/>
      <c r="AH592" s="123"/>
      <c r="AI592" s="123"/>
      <c r="AJ592" s="123"/>
      <c r="AK592" s="46"/>
      <c r="AL592" s="46"/>
      <c r="AM592" s="46"/>
      <c r="AN592" s="46"/>
      <c r="AO592" s="46"/>
    </row>
    <row r="593">
      <c r="A593" s="17"/>
      <c r="B593" s="46"/>
      <c r="C593" s="46"/>
      <c r="D593" s="46"/>
      <c r="E593" s="17"/>
      <c r="F593" s="46"/>
      <c r="G593" s="46"/>
      <c r="H593" s="46"/>
      <c r="I593" s="17"/>
      <c r="J593" s="46"/>
      <c r="K593" s="46"/>
      <c r="L593" s="46"/>
      <c r="M593" s="17"/>
      <c r="N593" s="46"/>
      <c r="O593" s="46"/>
      <c r="P593" s="46"/>
      <c r="Q593" s="46"/>
      <c r="R593" s="46"/>
      <c r="S593" s="46"/>
      <c r="T593" s="46"/>
      <c r="U593" s="46"/>
      <c r="V593" s="46"/>
      <c r="W593" s="46"/>
      <c r="X593" s="46"/>
      <c r="Y593" s="46"/>
      <c r="Z593" s="46"/>
      <c r="AA593" s="46"/>
      <c r="AB593" s="46"/>
      <c r="AC593" s="46"/>
      <c r="AD593" s="46"/>
      <c r="AE593" s="46"/>
      <c r="AF593" s="46"/>
      <c r="AG593" s="123"/>
      <c r="AH593" s="123"/>
      <c r="AI593" s="123"/>
      <c r="AJ593" s="123"/>
      <c r="AK593" s="46"/>
      <c r="AL593" s="46"/>
      <c r="AM593" s="46"/>
      <c r="AN593" s="46"/>
      <c r="AO593" s="46"/>
    </row>
    <row r="594">
      <c r="A594" s="17"/>
      <c r="B594" s="46"/>
      <c r="C594" s="46"/>
      <c r="D594" s="46"/>
      <c r="E594" s="17"/>
      <c r="F594" s="46"/>
      <c r="G594" s="46"/>
      <c r="H594" s="46"/>
      <c r="I594" s="17"/>
      <c r="J594" s="46"/>
      <c r="K594" s="46"/>
      <c r="L594" s="46"/>
      <c r="M594" s="17"/>
      <c r="N594" s="46"/>
      <c r="O594" s="46"/>
      <c r="P594" s="46"/>
      <c r="Q594" s="46"/>
      <c r="R594" s="46"/>
      <c r="S594" s="46"/>
      <c r="T594" s="46"/>
      <c r="U594" s="46"/>
      <c r="V594" s="46"/>
      <c r="W594" s="46"/>
      <c r="X594" s="46"/>
      <c r="Y594" s="46"/>
      <c r="Z594" s="46"/>
      <c r="AA594" s="46"/>
      <c r="AB594" s="46"/>
      <c r="AC594" s="46"/>
      <c r="AD594" s="46"/>
      <c r="AE594" s="46"/>
      <c r="AF594" s="46"/>
      <c r="AG594" s="123"/>
      <c r="AH594" s="123"/>
      <c r="AI594" s="123"/>
      <c r="AJ594" s="123"/>
      <c r="AK594" s="46"/>
      <c r="AL594" s="46"/>
      <c r="AM594" s="46"/>
      <c r="AN594" s="46"/>
      <c r="AO594" s="46"/>
    </row>
    <row r="595">
      <c r="A595" s="17"/>
      <c r="B595" s="46"/>
      <c r="C595" s="46"/>
      <c r="D595" s="46"/>
      <c r="E595" s="17"/>
      <c r="F595" s="46"/>
      <c r="G595" s="46"/>
      <c r="H595" s="46"/>
      <c r="I595" s="17"/>
      <c r="J595" s="46"/>
      <c r="K595" s="46"/>
      <c r="L595" s="46"/>
      <c r="M595" s="17"/>
      <c r="N595" s="46"/>
      <c r="O595" s="46"/>
      <c r="P595" s="46"/>
      <c r="Q595" s="46"/>
      <c r="R595" s="46"/>
      <c r="S595" s="46"/>
      <c r="T595" s="46"/>
      <c r="U595" s="46"/>
      <c r="V595" s="46"/>
      <c r="W595" s="46"/>
      <c r="X595" s="46"/>
      <c r="Y595" s="46"/>
      <c r="Z595" s="46"/>
      <c r="AA595" s="46"/>
      <c r="AB595" s="46"/>
      <c r="AC595" s="46"/>
      <c r="AD595" s="46"/>
      <c r="AE595" s="46"/>
      <c r="AF595" s="46"/>
      <c r="AG595" s="123"/>
      <c r="AH595" s="123"/>
      <c r="AI595" s="123"/>
      <c r="AJ595" s="123"/>
      <c r="AK595" s="46"/>
      <c r="AL595" s="46"/>
      <c r="AM595" s="46"/>
      <c r="AN595" s="46"/>
      <c r="AO595" s="46"/>
    </row>
    <row r="596">
      <c r="A596" s="17"/>
      <c r="B596" s="46"/>
      <c r="C596" s="46"/>
      <c r="D596" s="46"/>
      <c r="E596" s="17"/>
      <c r="F596" s="46"/>
      <c r="G596" s="46"/>
      <c r="H596" s="46"/>
      <c r="I596" s="17"/>
      <c r="J596" s="46"/>
      <c r="K596" s="46"/>
      <c r="L596" s="46"/>
      <c r="M596" s="17"/>
      <c r="N596" s="46"/>
      <c r="O596" s="46"/>
      <c r="P596" s="46"/>
      <c r="Q596" s="46"/>
      <c r="R596" s="46"/>
      <c r="S596" s="46"/>
      <c r="T596" s="46"/>
      <c r="U596" s="46"/>
      <c r="V596" s="46"/>
      <c r="W596" s="46"/>
      <c r="X596" s="46"/>
      <c r="Y596" s="46"/>
      <c r="Z596" s="46"/>
      <c r="AA596" s="46"/>
      <c r="AB596" s="46"/>
      <c r="AC596" s="46"/>
      <c r="AD596" s="46"/>
      <c r="AE596" s="46"/>
      <c r="AF596" s="46"/>
      <c r="AG596" s="123"/>
      <c r="AH596" s="123"/>
      <c r="AI596" s="123"/>
      <c r="AJ596" s="123"/>
      <c r="AK596" s="46"/>
      <c r="AL596" s="46"/>
      <c r="AM596" s="46"/>
      <c r="AN596" s="46"/>
      <c r="AO596" s="46"/>
    </row>
    <row r="597">
      <c r="A597" s="17"/>
      <c r="B597" s="46"/>
      <c r="C597" s="46"/>
      <c r="D597" s="46"/>
      <c r="E597" s="17"/>
      <c r="F597" s="46"/>
      <c r="G597" s="46"/>
      <c r="H597" s="46"/>
      <c r="I597" s="17"/>
      <c r="J597" s="46"/>
      <c r="K597" s="46"/>
      <c r="L597" s="46"/>
      <c r="M597" s="17"/>
      <c r="N597" s="46"/>
      <c r="O597" s="46"/>
      <c r="P597" s="46"/>
      <c r="Q597" s="46"/>
      <c r="R597" s="46"/>
      <c r="S597" s="46"/>
      <c r="T597" s="46"/>
      <c r="U597" s="46"/>
      <c r="V597" s="46"/>
      <c r="W597" s="46"/>
      <c r="X597" s="46"/>
      <c r="Y597" s="46"/>
      <c r="Z597" s="46"/>
      <c r="AA597" s="46"/>
      <c r="AB597" s="46"/>
      <c r="AC597" s="46"/>
      <c r="AD597" s="46"/>
      <c r="AE597" s="46"/>
      <c r="AF597" s="46"/>
      <c r="AG597" s="123"/>
      <c r="AH597" s="123"/>
      <c r="AI597" s="123"/>
      <c r="AJ597" s="123"/>
      <c r="AK597" s="46"/>
      <c r="AL597" s="46"/>
      <c r="AM597" s="46"/>
      <c r="AN597" s="46"/>
      <c r="AO597" s="46"/>
    </row>
    <row r="598">
      <c r="A598" s="17"/>
      <c r="B598" s="46"/>
      <c r="C598" s="46"/>
      <c r="D598" s="46"/>
      <c r="E598" s="17"/>
      <c r="F598" s="46"/>
      <c r="G598" s="46"/>
      <c r="H598" s="46"/>
      <c r="I598" s="17"/>
      <c r="J598" s="46"/>
      <c r="K598" s="46"/>
      <c r="L598" s="46"/>
      <c r="M598" s="17"/>
      <c r="N598" s="46"/>
      <c r="O598" s="46"/>
      <c r="P598" s="46"/>
      <c r="Q598" s="46"/>
      <c r="R598" s="46"/>
      <c r="S598" s="46"/>
      <c r="T598" s="46"/>
      <c r="U598" s="46"/>
      <c r="V598" s="46"/>
      <c r="W598" s="46"/>
      <c r="X598" s="46"/>
      <c r="Y598" s="46"/>
      <c r="Z598" s="46"/>
      <c r="AA598" s="46"/>
      <c r="AB598" s="46"/>
      <c r="AC598" s="46"/>
      <c r="AD598" s="46"/>
      <c r="AE598" s="46"/>
      <c r="AF598" s="46"/>
      <c r="AG598" s="123"/>
      <c r="AH598" s="123"/>
      <c r="AI598" s="123"/>
      <c r="AJ598" s="123"/>
      <c r="AK598" s="46"/>
      <c r="AL598" s="46"/>
      <c r="AM598" s="46"/>
      <c r="AN598" s="46"/>
      <c r="AO598" s="46"/>
    </row>
    <row r="599">
      <c r="A599" s="17"/>
      <c r="B599" s="46"/>
      <c r="C599" s="46"/>
      <c r="D599" s="46"/>
      <c r="E599" s="17"/>
      <c r="F599" s="46"/>
      <c r="G599" s="46"/>
      <c r="H599" s="46"/>
      <c r="I599" s="17"/>
      <c r="J599" s="46"/>
      <c r="K599" s="46"/>
      <c r="L599" s="46"/>
      <c r="M599" s="17"/>
      <c r="N599" s="46"/>
      <c r="O599" s="46"/>
      <c r="P599" s="46"/>
      <c r="Q599" s="46"/>
      <c r="R599" s="46"/>
      <c r="S599" s="46"/>
      <c r="T599" s="46"/>
      <c r="U599" s="46"/>
      <c r="V599" s="46"/>
      <c r="W599" s="46"/>
      <c r="X599" s="46"/>
      <c r="Y599" s="46"/>
      <c r="Z599" s="46"/>
      <c r="AA599" s="46"/>
      <c r="AB599" s="46"/>
      <c r="AC599" s="46"/>
      <c r="AD599" s="46"/>
      <c r="AE599" s="46"/>
      <c r="AF599" s="46"/>
      <c r="AG599" s="123"/>
      <c r="AH599" s="123"/>
      <c r="AI599" s="123"/>
      <c r="AJ599" s="123"/>
      <c r="AK599" s="46"/>
      <c r="AL599" s="46"/>
      <c r="AM599" s="46"/>
      <c r="AN599" s="46"/>
      <c r="AO599" s="46"/>
    </row>
    <row r="600">
      <c r="A600" s="17"/>
      <c r="B600" s="46"/>
      <c r="C600" s="46"/>
      <c r="D600" s="46"/>
      <c r="E600" s="17"/>
      <c r="F600" s="46"/>
      <c r="G600" s="46"/>
      <c r="H600" s="46"/>
      <c r="I600" s="17"/>
      <c r="J600" s="46"/>
      <c r="K600" s="46"/>
      <c r="L600" s="46"/>
      <c r="M600" s="17"/>
      <c r="N600" s="46"/>
      <c r="O600" s="46"/>
      <c r="P600" s="46"/>
      <c r="Q600" s="46"/>
      <c r="R600" s="46"/>
      <c r="S600" s="46"/>
      <c r="T600" s="46"/>
      <c r="U600" s="46"/>
      <c r="V600" s="46"/>
      <c r="W600" s="46"/>
      <c r="X600" s="46"/>
      <c r="Y600" s="46"/>
      <c r="Z600" s="46"/>
      <c r="AA600" s="46"/>
      <c r="AB600" s="46"/>
      <c r="AC600" s="46"/>
      <c r="AD600" s="46"/>
      <c r="AE600" s="46"/>
      <c r="AF600" s="46"/>
      <c r="AG600" s="123"/>
      <c r="AH600" s="123"/>
      <c r="AI600" s="123"/>
      <c r="AJ600" s="123"/>
      <c r="AK600" s="46"/>
      <c r="AL600" s="46"/>
      <c r="AM600" s="46"/>
      <c r="AN600" s="46"/>
      <c r="AO600" s="46"/>
    </row>
    <row r="601">
      <c r="A601" s="17"/>
      <c r="B601" s="46"/>
      <c r="C601" s="46"/>
      <c r="D601" s="46"/>
      <c r="E601" s="17"/>
      <c r="F601" s="46"/>
      <c r="G601" s="46"/>
      <c r="H601" s="46"/>
      <c r="I601" s="17"/>
      <c r="J601" s="46"/>
      <c r="K601" s="46"/>
      <c r="L601" s="46"/>
      <c r="M601" s="17"/>
      <c r="N601" s="46"/>
      <c r="O601" s="46"/>
      <c r="P601" s="46"/>
      <c r="Q601" s="46"/>
      <c r="R601" s="46"/>
      <c r="S601" s="46"/>
      <c r="T601" s="46"/>
      <c r="U601" s="46"/>
      <c r="V601" s="46"/>
      <c r="W601" s="46"/>
      <c r="X601" s="46"/>
      <c r="Y601" s="46"/>
      <c r="Z601" s="46"/>
      <c r="AA601" s="46"/>
      <c r="AB601" s="46"/>
      <c r="AC601" s="46"/>
      <c r="AD601" s="46"/>
      <c r="AE601" s="46"/>
      <c r="AF601" s="46"/>
      <c r="AG601" s="123"/>
      <c r="AH601" s="123"/>
      <c r="AI601" s="123"/>
      <c r="AJ601" s="123"/>
      <c r="AK601" s="46"/>
      <c r="AL601" s="46"/>
      <c r="AM601" s="46"/>
      <c r="AN601" s="46"/>
      <c r="AO601" s="46"/>
    </row>
    <row r="602">
      <c r="A602" s="17"/>
      <c r="B602" s="46"/>
      <c r="C602" s="46"/>
      <c r="D602" s="46"/>
      <c r="E602" s="17"/>
      <c r="F602" s="46"/>
      <c r="G602" s="46"/>
      <c r="H602" s="46"/>
      <c r="I602" s="17"/>
      <c r="J602" s="46"/>
      <c r="K602" s="46"/>
      <c r="L602" s="46"/>
      <c r="M602" s="17"/>
      <c r="N602" s="46"/>
      <c r="O602" s="46"/>
      <c r="P602" s="46"/>
      <c r="Q602" s="46"/>
      <c r="R602" s="46"/>
      <c r="S602" s="46"/>
      <c r="T602" s="46"/>
      <c r="U602" s="46"/>
      <c r="V602" s="46"/>
      <c r="W602" s="46"/>
      <c r="X602" s="46"/>
      <c r="Y602" s="46"/>
      <c r="Z602" s="46"/>
      <c r="AA602" s="46"/>
      <c r="AB602" s="46"/>
      <c r="AC602" s="46"/>
      <c r="AD602" s="46"/>
      <c r="AE602" s="46"/>
      <c r="AF602" s="46"/>
      <c r="AG602" s="123"/>
      <c r="AH602" s="123"/>
      <c r="AI602" s="123"/>
      <c r="AJ602" s="123"/>
      <c r="AK602" s="46"/>
      <c r="AL602" s="46"/>
      <c r="AM602" s="46"/>
      <c r="AN602" s="46"/>
      <c r="AO602" s="46"/>
    </row>
    <row r="603">
      <c r="A603" s="17"/>
      <c r="B603" s="46"/>
      <c r="C603" s="46"/>
      <c r="D603" s="46"/>
      <c r="E603" s="17"/>
      <c r="F603" s="46"/>
      <c r="G603" s="46"/>
      <c r="H603" s="46"/>
      <c r="I603" s="17"/>
      <c r="J603" s="46"/>
      <c r="K603" s="46"/>
      <c r="L603" s="46"/>
      <c r="M603" s="17"/>
      <c r="N603" s="46"/>
      <c r="O603" s="46"/>
      <c r="P603" s="46"/>
      <c r="Q603" s="46"/>
      <c r="R603" s="46"/>
      <c r="S603" s="46"/>
      <c r="T603" s="46"/>
      <c r="U603" s="46"/>
      <c r="V603" s="46"/>
      <c r="W603" s="46"/>
      <c r="X603" s="46"/>
      <c r="Y603" s="46"/>
      <c r="Z603" s="46"/>
      <c r="AA603" s="46"/>
      <c r="AB603" s="46"/>
      <c r="AC603" s="46"/>
      <c r="AD603" s="46"/>
      <c r="AE603" s="46"/>
      <c r="AF603" s="46"/>
      <c r="AG603" s="123"/>
      <c r="AH603" s="123"/>
      <c r="AI603" s="123"/>
      <c r="AJ603" s="123"/>
      <c r="AK603" s="46"/>
      <c r="AL603" s="46"/>
      <c r="AM603" s="46"/>
      <c r="AN603" s="46"/>
      <c r="AO603" s="46"/>
    </row>
    <row r="604">
      <c r="A604" s="17"/>
      <c r="B604" s="46"/>
      <c r="C604" s="46"/>
      <c r="D604" s="46"/>
      <c r="E604" s="17"/>
      <c r="F604" s="46"/>
      <c r="G604" s="46"/>
      <c r="H604" s="46"/>
      <c r="I604" s="17"/>
      <c r="J604" s="46"/>
      <c r="K604" s="46"/>
      <c r="L604" s="46"/>
      <c r="M604" s="17"/>
      <c r="N604" s="46"/>
      <c r="O604" s="46"/>
      <c r="P604" s="46"/>
      <c r="Q604" s="46"/>
      <c r="R604" s="46"/>
      <c r="S604" s="46"/>
      <c r="T604" s="46"/>
      <c r="U604" s="46"/>
      <c r="V604" s="46"/>
      <c r="W604" s="46"/>
      <c r="X604" s="46"/>
      <c r="Y604" s="46"/>
      <c r="Z604" s="46"/>
      <c r="AA604" s="46"/>
      <c r="AB604" s="46"/>
      <c r="AC604" s="46"/>
      <c r="AD604" s="46"/>
      <c r="AE604" s="46"/>
      <c r="AF604" s="46"/>
      <c r="AG604" s="123"/>
      <c r="AH604" s="123"/>
      <c r="AI604" s="123"/>
      <c r="AJ604" s="123"/>
      <c r="AK604" s="46"/>
      <c r="AL604" s="46"/>
      <c r="AM604" s="46"/>
      <c r="AN604" s="46"/>
      <c r="AO604" s="46"/>
    </row>
    <row r="605">
      <c r="A605" s="17"/>
      <c r="B605" s="46"/>
      <c r="C605" s="46"/>
      <c r="D605" s="46"/>
      <c r="E605" s="17"/>
      <c r="F605" s="46"/>
      <c r="G605" s="46"/>
      <c r="H605" s="46"/>
      <c r="I605" s="17"/>
      <c r="J605" s="46"/>
      <c r="K605" s="46"/>
      <c r="L605" s="46"/>
      <c r="M605" s="17"/>
      <c r="N605" s="46"/>
      <c r="O605" s="46"/>
      <c r="P605" s="46"/>
      <c r="Q605" s="46"/>
      <c r="R605" s="46"/>
      <c r="S605" s="46"/>
      <c r="T605" s="46"/>
      <c r="U605" s="46"/>
      <c r="V605" s="46"/>
      <c r="W605" s="46"/>
      <c r="X605" s="46"/>
      <c r="Y605" s="46"/>
      <c r="Z605" s="46"/>
      <c r="AA605" s="46"/>
      <c r="AB605" s="46"/>
      <c r="AC605" s="46"/>
      <c r="AD605" s="46"/>
      <c r="AE605" s="46"/>
      <c r="AF605" s="46"/>
      <c r="AG605" s="123"/>
      <c r="AH605" s="123"/>
      <c r="AI605" s="123"/>
      <c r="AJ605" s="123"/>
      <c r="AK605" s="46"/>
      <c r="AL605" s="46"/>
      <c r="AM605" s="46"/>
      <c r="AN605" s="46"/>
      <c r="AO605" s="46"/>
    </row>
    <row r="606">
      <c r="A606" s="17"/>
      <c r="B606" s="46"/>
      <c r="C606" s="46"/>
      <c r="D606" s="46"/>
      <c r="E606" s="17"/>
      <c r="F606" s="46"/>
      <c r="G606" s="46"/>
      <c r="H606" s="46"/>
      <c r="I606" s="17"/>
      <c r="J606" s="46"/>
      <c r="K606" s="46"/>
      <c r="L606" s="46"/>
      <c r="M606" s="17"/>
      <c r="N606" s="46"/>
      <c r="O606" s="46"/>
      <c r="P606" s="46"/>
      <c r="Q606" s="46"/>
      <c r="R606" s="46"/>
      <c r="S606" s="46"/>
      <c r="T606" s="46"/>
      <c r="U606" s="46"/>
      <c r="V606" s="46"/>
      <c r="W606" s="46"/>
      <c r="X606" s="46"/>
      <c r="Y606" s="46"/>
      <c r="Z606" s="46"/>
      <c r="AA606" s="46"/>
      <c r="AB606" s="46"/>
      <c r="AC606" s="46"/>
      <c r="AD606" s="46"/>
      <c r="AE606" s="46"/>
      <c r="AF606" s="46"/>
      <c r="AG606" s="123"/>
      <c r="AH606" s="123"/>
      <c r="AI606" s="123"/>
      <c r="AJ606" s="123"/>
      <c r="AK606" s="46"/>
      <c r="AL606" s="46"/>
      <c r="AM606" s="46"/>
      <c r="AN606" s="46"/>
      <c r="AO606" s="46"/>
    </row>
    <row r="607">
      <c r="A607" s="17"/>
      <c r="B607" s="46"/>
      <c r="C607" s="46"/>
      <c r="D607" s="46"/>
      <c r="E607" s="17"/>
      <c r="F607" s="46"/>
      <c r="G607" s="46"/>
      <c r="H607" s="46"/>
      <c r="I607" s="17"/>
      <c r="J607" s="46"/>
      <c r="K607" s="46"/>
      <c r="L607" s="46"/>
      <c r="M607" s="17"/>
      <c r="N607" s="46"/>
      <c r="O607" s="46"/>
      <c r="P607" s="46"/>
      <c r="Q607" s="46"/>
      <c r="R607" s="46"/>
      <c r="S607" s="46"/>
      <c r="T607" s="46"/>
      <c r="U607" s="46"/>
      <c r="V607" s="46"/>
      <c r="W607" s="46"/>
      <c r="X607" s="46"/>
      <c r="Y607" s="46"/>
      <c r="Z607" s="46"/>
      <c r="AA607" s="46"/>
      <c r="AB607" s="46"/>
      <c r="AC607" s="46"/>
      <c r="AD607" s="46"/>
      <c r="AE607" s="46"/>
      <c r="AF607" s="46"/>
      <c r="AG607" s="123"/>
      <c r="AH607" s="123"/>
      <c r="AI607" s="123"/>
      <c r="AJ607" s="123"/>
      <c r="AK607" s="46"/>
      <c r="AL607" s="46"/>
      <c r="AM607" s="46"/>
      <c r="AN607" s="46"/>
      <c r="AO607" s="46"/>
    </row>
    <row r="608">
      <c r="A608" s="17"/>
      <c r="B608" s="46"/>
      <c r="C608" s="46"/>
      <c r="D608" s="46"/>
      <c r="E608" s="17"/>
      <c r="F608" s="46"/>
      <c r="G608" s="46"/>
      <c r="H608" s="46"/>
      <c r="I608" s="17"/>
      <c r="J608" s="46"/>
      <c r="K608" s="46"/>
      <c r="L608" s="46"/>
      <c r="M608" s="17"/>
      <c r="N608" s="46"/>
      <c r="O608" s="46"/>
      <c r="P608" s="46"/>
      <c r="Q608" s="46"/>
      <c r="R608" s="46"/>
      <c r="S608" s="46"/>
      <c r="T608" s="46"/>
      <c r="U608" s="46"/>
      <c r="V608" s="46"/>
      <c r="W608" s="46"/>
      <c r="X608" s="46"/>
      <c r="Y608" s="46"/>
      <c r="Z608" s="46"/>
      <c r="AA608" s="46"/>
      <c r="AB608" s="46"/>
      <c r="AC608" s="46"/>
      <c r="AD608" s="46"/>
      <c r="AE608" s="46"/>
      <c r="AF608" s="46"/>
      <c r="AG608" s="123"/>
      <c r="AH608" s="123"/>
      <c r="AI608" s="123"/>
      <c r="AJ608" s="123"/>
      <c r="AK608" s="46"/>
      <c r="AL608" s="46"/>
      <c r="AM608" s="46"/>
      <c r="AN608" s="46"/>
      <c r="AO608" s="46"/>
    </row>
    <row r="609">
      <c r="A609" s="17"/>
      <c r="B609" s="46"/>
      <c r="C609" s="46"/>
      <c r="D609" s="46"/>
      <c r="E609" s="17"/>
      <c r="F609" s="46"/>
      <c r="G609" s="46"/>
      <c r="H609" s="46"/>
      <c r="I609" s="17"/>
      <c r="J609" s="46"/>
      <c r="K609" s="46"/>
      <c r="L609" s="46"/>
      <c r="M609" s="17"/>
      <c r="N609" s="46"/>
      <c r="O609" s="46"/>
      <c r="P609" s="46"/>
      <c r="Q609" s="46"/>
      <c r="R609" s="46"/>
      <c r="S609" s="46"/>
      <c r="T609" s="46"/>
      <c r="U609" s="46"/>
      <c r="V609" s="46"/>
      <c r="W609" s="46"/>
      <c r="X609" s="46"/>
      <c r="Y609" s="46"/>
      <c r="Z609" s="46"/>
      <c r="AA609" s="46"/>
      <c r="AB609" s="46"/>
      <c r="AC609" s="46"/>
      <c r="AD609" s="46"/>
      <c r="AE609" s="46"/>
      <c r="AF609" s="46"/>
      <c r="AG609" s="123"/>
      <c r="AH609" s="123"/>
      <c r="AI609" s="123"/>
      <c r="AJ609" s="123"/>
      <c r="AK609" s="46"/>
      <c r="AL609" s="46"/>
      <c r="AM609" s="46"/>
      <c r="AN609" s="46"/>
      <c r="AO609" s="46"/>
    </row>
    <row r="610">
      <c r="A610" s="17"/>
      <c r="B610" s="46"/>
      <c r="C610" s="46"/>
      <c r="D610" s="46"/>
      <c r="E610" s="17"/>
      <c r="F610" s="46"/>
      <c r="G610" s="46"/>
      <c r="H610" s="46"/>
      <c r="I610" s="17"/>
      <c r="J610" s="46"/>
      <c r="K610" s="46"/>
      <c r="L610" s="46"/>
      <c r="M610" s="17"/>
      <c r="N610" s="46"/>
      <c r="O610" s="46"/>
      <c r="P610" s="46"/>
      <c r="Q610" s="46"/>
      <c r="R610" s="46"/>
      <c r="S610" s="46"/>
      <c r="T610" s="46"/>
      <c r="U610" s="46"/>
      <c r="V610" s="46"/>
      <c r="W610" s="46"/>
      <c r="X610" s="46"/>
      <c r="Y610" s="46"/>
      <c r="Z610" s="46"/>
      <c r="AA610" s="46"/>
      <c r="AB610" s="46"/>
      <c r="AC610" s="46"/>
      <c r="AD610" s="46"/>
      <c r="AE610" s="46"/>
      <c r="AF610" s="46"/>
      <c r="AG610" s="123"/>
      <c r="AH610" s="123"/>
      <c r="AI610" s="123"/>
      <c r="AJ610" s="123"/>
      <c r="AK610" s="46"/>
      <c r="AL610" s="46"/>
      <c r="AM610" s="46"/>
      <c r="AN610" s="46"/>
      <c r="AO610" s="46"/>
    </row>
    <row r="611">
      <c r="A611" s="17"/>
      <c r="B611" s="46"/>
      <c r="C611" s="46"/>
      <c r="D611" s="46"/>
      <c r="E611" s="17"/>
      <c r="F611" s="46"/>
      <c r="G611" s="46"/>
      <c r="H611" s="46"/>
      <c r="I611" s="17"/>
      <c r="J611" s="46"/>
      <c r="K611" s="46"/>
      <c r="L611" s="46"/>
      <c r="M611" s="17"/>
      <c r="N611" s="46"/>
      <c r="O611" s="46"/>
      <c r="P611" s="46"/>
      <c r="Q611" s="46"/>
      <c r="R611" s="46"/>
      <c r="S611" s="46"/>
      <c r="T611" s="46"/>
      <c r="U611" s="46"/>
      <c r="V611" s="46"/>
      <c r="W611" s="46"/>
      <c r="X611" s="46"/>
      <c r="Y611" s="46"/>
      <c r="Z611" s="46"/>
      <c r="AA611" s="46"/>
      <c r="AB611" s="46"/>
      <c r="AC611" s="46"/>
      <c r="AD611" s="46"/>
      <c r="AE611" s="46"/>
      <c r="AF611" s="46"/>
      <c r="AG611" s="123"/>
      <c r="AH611" s="123"/>
      <c r="AI611" s="123"/>
      <c r="AJ611" s="123"/>
      <c r="AK611" s="46"/>
      <c r="AL611" s="46"/>
      <c r="AM611" s="46"/>
      <c r="AN611" s="46"/>
      <c r="AO611" s="46"/>
    </row>
    <row r="612">
      <c r="A612" s="17"/>
      <c r="B612" s="46"/>
      <c r="C612" s="46"/>
      <c r="D612" s="46"/>
      <c r="E612" s="17"/>
      <c r="F612" s="46"/>
      <c r="G612" s="46"/>
      <c r="H612" s="46"/>
      <c r="I612" s="17"/>
      <c r="J612" s="46"/>
      <c r="K612" s="46"/>
      <c r="L612" s="46"/>
      <c r="M612" s="17"/>
      <c r="N612" s="46"/>
      <c r="O612" s="46"/>
      <c r="P612" s="46"/>
      <c r="Q612" s="46"/>
      <c r="R612" s="46"/>
      <c r="S612" s="46"/>
      <c r="T612" s="46"/>
      <c r="U612" s="46"/>
      <c r="V612" s="46"/>
      <c r="W612" s="46"/>
      <c r="X612" s="46"/>
      <c r="Y612" s="46"/>
      <c r="Z612" s="46"/>
      <c r="AA612" s="46"/>
      <c r="AB612" s="46"/>
      <c r="AC612" s="46"/>
      <c r="AD612" s="46"/>
      <c r="AE612" s="46"/>
      <c r="AF612" s="46"/>
      <c r="AG612" s="123"/>
      <c r="AH612" s="123"/>
      <c r="AI612" s="123"/>
      <c r="AJ612" s="123"/>
      <c r="AK612" s="46"/>
      <c r="AL612" s="46"/>
      <c r="AM612" s="46"/>
      <c r="AN612" s="46"/>
      <c r="AO612" s="46"/>
    </row>
    <row r="613">
      <c r="A613" s="17"/>
      <c r="B613" s="46"/>
      <c r="C613" s="46"/>
      <c r="D613" s="46"/>
      <c r="E613" s="17"/>
      <c r="F613" s="46"/>
      <c r="G613" s="46"/>
      <c r="H613" s="46"/>
      <c r="I613" s="17"/>
      <c r="J613" s="46"/>
      <c r="K613" s="46"/>
      <c r="L613" s="46"/>
      <c r="M613" s="17"/>
      <c r="N613" s="46"/>
      <c r="O613" s="46"/>
      <c r="P613" s="46"/>
      <c r="Q613" s="46"/>
      <c r="R613" s="46"/>
      <c r="S613" s="46"/>
      <c r="T613" s="46"/>
      <c r="U613" s="46"/>
      <c r="V613" s="46"/>
      <c r="W613" s="46"/>
      <c r="X613" s="46"/>
      <c r="Y613" s="46"/>
      <c r="Z613" s="46"/>
      <c r="AA613" s="46"/>
      <c r="AB613" s="46"/>
      <c r="AC613" s="46"/>
      <c r="AD613" s="46"/>
      <c r="AE613" s="46"/>
      <c r="AF613" s="46"/>
      <c r="AG613" s="123"/>
      <c r="AH613" s="123"/>
      <c r="AI613" s="123"/>
      <c r="AJ613" s="123"/>
      <c r="AK613" s="46"/>
      <c r="AL613" s="46"/>
      <c r="AM613" s="46"/>
      <c r="AN613" s="46"/>
      <c r="AO613" s="46"/>
    </row>
    <row r="614">
      <c r="A614" s="17"/>
      <c r="B614" s="46"/>
      <c r="C614" s="46"/>
      <c r="D614" s="46"/>
      <c r="E614" s="17"/>
      <c r="F614" s="46"/>
      <c r="G614" s="46"/>
      <c r="H614" s="46"/>
      <c r="I614" s="17"/>
      <c r="J614" s="46"/>
      <c r="K614" s="46"/>
      <c r="L614" s="46"/>
      <c r="M614" s="17"/>
      <c r="N614" s="46"/>
      <c r="O614" s="46"/>
      <c r="P614" s="46"/>
      <c r="Q614" s="46"/>
      <c r="R614" s="46"/>
      <c r="S614" s="46"/>
      <c r="T614" s="46"/>
      <c r="U614" s="46"/>
      <c r="V614" s="46"/>
      <c r="W614" s="46"/>
      <c r="X614" s="46"/>
      <c r="Y614" s="46"/>
      <c r="Z614" s="46"/>
      <c r="AA614" s="46"/>
      <c r="AB614" s="46"/>
      <c r="AC614" s="46"/>
      <c r="AD614" s="46"/>
      <c r="AE614" s="46"/>
      <c r="AF614" s="46"/>
      <c r="AG614" s="123"/>
      <c r="AH614" s="123"/>
      <c r="AI614" s="123"/>
      <c r="AJ614" s="123"/>
      <c r="AK614" s="46"/>
      <c r="AL614" s="46"/>
      <c r="AM614" s="46"/>
      <c r="AN614" s="46"/>
      <c r="AO614" s="46"/>
    </row>
    <row r="615">
      <c r="A615" s="17"/>
      <c r="B615" s="46"/>
      <c r="C615" s="46"/>
      <c r="D615" s="46"/>
      <c r="E615" s="17"/>
      <c r="F615" s="46"/>
      <c r="G615" s="46"/>
      <c r="H615" s="46"/>
      <c r="I615" s="17"/>
      <c r="J615" s="46"/>
      <c r="K615" s="46"/>
      <c r="L615" s="46"/>
      <c r="M615" s="17"/>
      <c r="N615" s="46"/>
      <c r="O615" s="46"/>
      <c r="P615" s="46"/>
      <c r="Q615" s="46"/>
      <c r="R615" s="46"/>
      <c r="S615" s="46"/>
      <c r="T615" s="46"/>
      <c r="U615" s="46"/>
      <c r="V615" s="46"/>
      <c r="W615" s="46"/>
      <c r="X615" s="46"/>
      <c r="Y615" s="46"/>
      <c r="Z615" s="46"/>
      <c r="AA615" s="46"/>
      <c r="AB615" s="46"/>
      <c r="AC615" s="46"/>
      <c r="AD615" s="46"/>
      <c r="AE615" s="46"/>
      <c r="AF615" s="46"/>
      <c r="AG615" s="123"/>
      <c r="AH615" s="123"/>
      <c r="AI615" s="123"/>
      <c r="AJ615" s="123"/>
      <c r="AK615" s="46"/>
      <c r="AL615" s="46"/>
      <c r="AM615" s="46"/>
      <c r="AN615" s="46"/>
      <c r="AO615" s="46"/>
    </row>
    <row r="616">
      <c r="A616" s="17"/>
      <c r="B616" s="46"/>
      <c r="C616" s="46"/>
      <c r="D616" s="46"/>
      <c r="E616" s="17"/>
      <c r="F616" s="46"/>
      <c r="G616" s="46"/>
      <c r="H616" s="46"/>
      <c r="I616" s="17"/>
      <c r="J616" s="46"/>
      <c r="K616" s="46"/>
      <c r="L616" s="46"/>
      <c r="M616" s="17"/>
      <c r="N616" s="46"/>
      <c r="O616" s="46"/>
      <c r="P616" s="46"/>
      <c r="Q616" s="46"/>
      <c r="R616" s="46"/>
      <c r="S616" s="46"/>
      <c r="T616" s="46"/>
      <c r="U616" s="46"/>
      <c r="V616" s="46"/>
      <c r="W616" s="46"/>
      <c r="X616" s="46"/>
      <c r="Y616" s="46"/>
      <c r="Z616" s="46"/>
      <c r="AA616" s="46"/>
      <c r="AB616" s="46"/>
      <c r="AC616" s="46"/>
      <c r="AD616" s="46"/>
      <c r="AE616" s="46"/>
      <c r="AF616" s="46"/>
      <c r="AG616" s="123"/>
      <c r="AH616" s="123"/>
      <c r="AI616" s="123"/>
      <c r="AJ616" s="123"/>
      <c r="AK616" s="46"/>
      <c r="AL616" s="46"/>
      <c r="AM616" s="46"/>
      <c r="AN616" s="46"/>
      <c r="AO616" s="46"/>
    </row>
    <row r="617">
      <c r="A617" s="17"/>
      <c r="B617" s="46"/>
      <c r="C617" s="46"/>
      <c r="D617" s="46"/>
      <c r="E617" s="17"/>
      <c r="F617" s="46"/>
      <c r="G617" s="46"/>
      <c r="H617" s="46"/>
      <c r="I617" s="17"/>
      <c r="J617" s="46"/>
      <c r="K617" s="46"/>
      <c r="L617" s="46"/>
      <c r="M617" s="17"/>
      <c r="N617" s="46"/>
      <c r="O617" s="46"/>
      <c r="P617" s="46"/>
      <c r="Q617" s="46"/>
      <c r="R617" s="46"/>
      <c r="S617" s="46"/>
      <c r="T617" s="46"/>
      <c r="U617" s="46"/>
      <c r="V617" s="46"/>
      <c r="W617" s="46"/>
      <c r="X617" s="46"/>
      <c r="Y617" s="46"/>
      <c r="Z617" s="46"/>
      <c r="AA617" s="46"/>
      <c r="AB617" s="46"/>
      <c r="AC617" s="46"/>
      <c r="AD617" s="46"/>
      <c r="AE617" s="46"/>
      <c r="AF617" s="46"/>
      <c r="AG617" s="123"/>
      <c r="AH617" s="123"/>
      <c r="AI617" s="123"/>
      <c r="AJ617" s="123"/>
      <c r="AK617" s="46"/>
      <c r="AL617" s="46"/>
      <c r="AM617" s="46"/>
      <c r="AN617" s="46"/>
      <c r="AO617" s="46"/>
    </row>
    <row r="618">
      <c r="A618" s="17"/>
      <c r="B618" s="46"/>
      <c r="C618" s="46"/>
      <c r="D618" s="46"/>
      <c r="E618" s="17"/>
      <c r="F618" s="46"/>
      <c r="G618" s="46"/>
      <c r="H618" s="46"/>
      <c r="I618" s="17"/>
      <c r="J618" s="46"/>
      <c r="K618" s="46"/>
      <c r="L618" s="46"/>
      <c r="M618" s="17"/>
      <c r="N618" s="46"/>
      <c r="O618" s="46"/>
      <c r="P618" s="46"/>
      <c r="Q618" s="46"/>
      <c r="R618" s="46"/>
      <c r="S618" s="46"/>
      <c r="T618" s="46"/>
      <c r="U618" s="46"/>
      <c r="V618" s="46"/>
      <c r="W618" s="46"/>
      <c r="X618" s="46"/>
      <c r="Y618" s="46"/>
      <c r="Z618" s="46"/>
      <c r="AA618" s="46"/>
      <c r="AB618" s="46"/>
      <c r="AC618" s="46"/>
      <c r="AD618" s="46"/>
      <c r="AE618" s="46"/>
      <c r="AF618" s="46"/>
      <c r="AG618" s="123"/>
      <c r="AH618" s="123"/>
      <c r="AI618" s="123"/>
      <c r="AJ618" s="123"/>
      <c r="AK618" s="46"/>
      <c r="AL618" s="46"/>
      <c r="AM618" s="46"/>
      <c r="AN618" s="46"/>
      <c r="AO618" s="46"/>
    </row>
    <row r="619">
      <c r="A619" s="17"/>
      <c r="B619" s="46"/>
      <c r="C619" s="46"/>
      <c r="D619" s="46"/>
      <c r="E619" s="17"/>
      <c r="F619" s="46"/>
      <c r="G619" s="46"/>
      <c r="H619" s="46"/>
      <c r="I619" s="17"/>
      <c r="J619" s="46"/>
      <c r="K619" s="46"/>
      <c r="L619" s="46"/>
      <c r="M619" s="17"/>
      <c r="N619" s="46"/>
      <c r="O619" s="46"/>
      <c r="P619" s="46"/>
      <c r="Q619" s="46"/>
      <c r="R619" s="46"/>
      <c r="S619" s="46"/>
      <c r="T619" s="46"/>
      <c r="U619" s="46"/>
      <c r="V619" s="46"/>
      <c r="W619" s="46"/>
      <c r="X619" s="46"/>
      <c r="Y619" s="46"/>
      <c r="Z619" s="46"/>
      <c r="AA619" s="46"/>
      <c r="AB619" s="46"/>
      <c r="AC619" s="46"/>
      <c r="AD619" s="46"/>
      <c r="AE619" s="46"/>
      <c r="AF619" s="46"/>
      <c r="AG619" s="123"/>
      <c r="AH619" s="123"/>
      <c r="AI619" s="123"/>
      <c r="AJ619" s="123"/>
      <c r="AK619" s="46"/>
      <c r="AL619" s="46"/>
      <c r="AM619" s="46"/>
      <c r="AN619" s="46"/>
      <c r="AO619" s="46"/>
    </row>
    <row r="620">
      <c r="A620" s="17"/>
      <c r="B620" s="46"/>
      <c r="C620" s="46"/>
      <c r="D620" s="46"/>
      <c r="E620" s="17"/>
      <c r="F620" s="46"/>
      <c r="G620" s="46"/>
      <c r="H620" s="46"/>
      <c r="I620" s="17"/>
      <c r="J620" s="46"/>
      <c r="K620" s="46"/>
      <c r="L620" s="46"/>
      <c r="M620" s="17"/>
      <c r="N620" s="46"/>
      <c r="O620" s="46"/>
      <c r="P620" s="46"/>
      <c r="Q620" s="46"/>
      <c r="R620" s="46"/>
      <c r="S620" s="46"/>
      <c r="T620" s="46"/>
      <c r="U620" s="46"/>
      <c r="V620" s="46"/>
      <c r="W620" s="46"/>
      <c r="X620" s="46"/>
      <c r="Y620" s="46"/>
      <c r="Z620" s="46"/>
      <c r="AA620" s="46"/>
      <c r="AB620" s="46"/>
      <c r="AC620" s="46"/>
      <c r="AD620" s="46"/>
      <c r="AE620" s="46"/>
      <c r="AF620" s="46"/>
      <c r="AG620" s="123"/>
      <c r="AH620" s="123"/>
      <c r="AI620" s="123"/>
      <c r="AJ620" s="123"/>
      <c r="AK620" s="46"/>
      <c r="AL620" s="46"/>
      <c r="AM620" s="46"/>
      <c r="AN620" s="46"/>
      <c r="AO620" s="46"/>
    </row>
    <row r="621">
      <c r="A621" s="17"/>
      <c r="B621" s="46"/>
      <c r="C621" s="46"/>
      <c r="D621" s="46"/>
      <c r="E621" s="17"/>
      <c r="F621" s="46"/>
      <c r="G621" s="46"/>
      <c r="H621" s="46"/>
      <c r="I621" s="17"/>
      <c r="J621" s="46"/>
      <c r="K621" s="46"/>
      <c r="L621" s="46"/>
      <c r="M621" s="17"/>
      <c r="N621" s="46"/>
      <c r="O621" s="46"/>
      <c r="P621" s="46"/>
      <c r="Q621" s="46"/>
      <c r="R621" s="46"/>
      <c r="S621" s="46"/>
      <c r="T621" s="46"/>
      <c r="U621" s="46"/>
      <c r="V621" s="46"/>
      <c r="W621" s="46"/>
      <c r="X621" s="46"/>
      <c r="Y621" s="46"/>
      <c r="Z621" s="46"/>
      <c r="AA621" s="46"/>
      <c r="AB621" s="46"/>
      <c r="AC621" s="46"/>
      <c r="AD621" s="46"/>
      <c r="AE621" s="46"/>
      <c r="AF621" s="46"/>
      <c r="AG621" s="123"/>
      <c r="AH621" s="123"/>
      <c r="AI621" s="123"/>
      <c r="AJ621" s="123"/>
      <c r="AK621" s="46"/>
      <c r="AL621" s="46"/>
      <c r="AM621" s="46"/>
      <c r="AN621" s="46"/>
      <c r="AO621" s="46"/>
    </row>
    <row r="622">
      <c r="A622" s="17"/>
      <c r="B622" s="46"/>
      <c r="C622" s="46"/>
      <c r="D622" s="46"/>
      <c r="E622" s="17"/>
      <c r="F622" s="46"/>
      <c r="G622" s="46"/>
      <c r="H622" s="46"/>
      <c r="I622" s="17"/>
      <c r="J622" s="46"/>
      <c r="K622" s="46"/>
      <c r="L622" s="46"/>
      <c r="M622" s="17"/>
      <c r="N622" s="46"/>
      <c r="O622" s="46"/>
      <c r="P622" s="46"/>
      <c r="Q622" s="46"/>
      <c r="R622" s="46"/>
      <c r="S622" s="46"/>
      <c r="T622" s="46"/>
      <c r="U622" s="46"/>
      <c r="V622" s="46"/>
      <c r="W622" s="46"/>
      <c r="X622" s="46"/>
      <c r="Y622" s="46"/>
      <c r="Z622" s="46"/>
      <c r="AA622" s="46"/>
      <c r="AB622" s="46"/>
      <c r="AC622" s="46"/>
      <c r="AD622" s="46"/>
      <c r="AE622" s="46"/>
      <c r="AF622" s="46"/>
      <c r="AG622" s="123"/>
      <c r="AH622" s="123"/>
      <c r="AI622" s="123"/>
      <c r="AJ622" s="123"/>
      <c r="AK622" s="46"/>
      <c r="AL622" s="46"/>
      <c r="AM622" s="46"/>
      <c r="AN622" s="46"/>
      <c r="AO622" s="46"/>
    </row>
    <row r="623">
      <c r="A623" s="17"/>
      <c r="B623" s="46"/>
      <c r="C623" s="46"/>
      <c r="D623" s="46"/>
      <c r="E623" s="17"/>
      <c r="F623" s="46"/>
      <c r="G623" s="46"/>
      <c r="H623" s="46"/>
      <c r="I623" s="17"/>
      <c r="J623" s="46"/>
      <c r="K623" s="46"/>
      <c r="L623" s="46"/>
      <c r="M623" s="17"/>
      <c r="N623" s="46"/>
      <c r="O623" s="46"/>
      <c r="P623" s="46"/>
      <c r="Q623" s="46"/>
      <c r="R623" s="46"/>
      <c r="S623" s="46"/>
      <c r="T623" s="46"/>
      <c r="U623" s="46"/>
      <c r="V623" s="46"/>
      <c r="W623" s="46"/>
      <c r="X623" s="46"/>
      <c r="Y623" s="46"/>
      <c r="Z623" s="46"/>
      <c r="AA623" s="46"/>
      <c r="AB623" s="46"/>
      <c r="AC623" s="46"/>
      <c r="AD623" s="46"/>
      <c r="AE623" s="46"/>
      <c r="AF623" s="46"/>
      <c r="AG623" s="123"/>
      <c r="AH623" s="123"/>
      <c r="AI623" s="123"/>
      <c r="AJ623" s="123"/>
      <c r="AK623" s="46"/>
      <c r="AL623" s="46"/>
      <c r="AM623" s="46"/>
      <c r="AN623" s="46"/>
      <c r="AO623" s="46"/>
    </row>
    <row r="624">
      <c r="A624" s="17"/>
      <c r="B624" s="46"/>
      <c r="C624" s="46"/>
      <c r="D624" s="46"/>
      <c r="E624" s="17"/>
      <c r="F624" s="46"/>
      <c r="G624" s="46"/>
      <c r="H624" s="46"/>
      <c r="I624" s="17"/>
      <c r="J624" s="46"/>
      <c r="K624" s="46"/>
      <c r="L624" s="46"/>
      <c r="M624" s="17"/>
      <c r="N624" s="46"/>
      <c r="O624" s="46"/>
      <c r="P624" s="46"/>
      <c r="Q624" s="46"/>
      <c r="R624" s="46"/>
      <c r="S624" s="46"/>
      <c r="T624" s="46"/>
      <c r="U624" s="46"/>
      <c r="V624" s="46"/>
      <c r="W624" s="46"/>
      <c r="X624" s="46"/>
      <c r="Y624" s="46"/>
      <c r="Z624" s="46"/>
      <c r="AA624" s="46"/>
      <c r="AB624" s="46"/>
      <c r="AC624" s="46"/>
      <c r="AD624" s="46"/>
      <c r="AE624" s="46"/>
      <c r="AF624" s="46"/>
      <c r="AG624" s="123"/>
      <c r="AH624" s="123"/>
      <c r="AI624" s="123"/>
      <c r="AJ624" s="123"/>
      <c r="AK624" s="46"/>
      <c r="AL624" s="46"/>
      <c r="AM624" s="46"/>
      <c r="AN624" s="46"/>
      <c r="AO624" s="46"/>
    </row>
    <row r="625">
      <c r="A625" s="17"/>
      <c r="B625" s="46"/>
      <c r="C625" s="46"/>
      <c r="D625" s="46"/>
      <c r="E625" s="17"/>
      <c r="F625" s="46"/>
      <c r="G625" s="46"/>
      <c r="H625" s="46"/>
      <c r="I625" s="17"/>
      <c r="J625" s="46"/>
      <c r="K625" s="46"/>
      <c r="L625" s="46"/>
      <c r="M625" s="17"/>
      <c r="N625" s="46"/>
      <c r="O625" s="46"/>
      <c r="P625" s="46"/>
      <c r="Q625" s="46"/>
      <c r="R625" s="46"/>
      <c r="S625" s="46"/>
      <c r="T625" s="46"/>
      <c r="U625" s="46"/>
      <c r="V625" s="46"/>
      <c r="W625" s="46"/>
      <c r="X625" s="46"/>
      <c r="Y625" s="46"/>
      <c r="Z625" s="46"/>
      <c r="AA625" s="46"/>
      <c r="AB625" s="46"/>
      <c r="AC625" s="46"/>
      <c r="AD625" s="46"/>
      <c r="AE625" s="46"/>
      <c r="AF625" s="46"/>
      <c r="AG625" s="123"/>
      <c r="AH625" s="123"/>
      <c r="AI625" s="123"/>
      <c r="AJ625" s="123"/>
      <c r="AK625" s="46"/>
      <c r="AL625" s="46"/>
      <c r="AM625" s="46"/>
      <c r="AN625" s="46"/>
      <c r="AO625" s="46"/>
    </row>
    <row r="626">
      <c r="A626" s="17"/>
      <c r="B626" s="46"/>
      <c r="C626" s="46"/>
      <c r="D626" s="46"/>
      <c r="E626" s="17"/>
      <c r="F626" s="46"/>
      <c r="G626" s="46"/>
      <c r="H626" s="46"/>
      <c r="I626" s="17"/>
      <c r="J626" s="46"/>
      <c r="K626" s="46"/>
      <c r="L626" s="46"/>
      <c r="M626" s="17"/>
      <c r="N626" s="46"/>
      <c r="O626" s="46"/>
      <c r="P626" s="46"/>
      <c r="Q626" s="46"/>
      <c r="R626" s="46"/>
      <c r="S626" s="46"/>
      <c r="T626" s="46"/>
      <c r="U626" s="46"/>
      <c r="V626" s="46"/>
      <c r="W626" s="46"/>
      <c r="X626" s="46"/>
      <c r="Y626" s="46"/>
      <c r="Z626" s="46"/>
      <c r="AA626" s="46"/>
      <c r="AB626" s="46"/>
      <c r="AC626" s="46"/>
      <c r="AD626" s="46"/>
      <c r="AE626" s="46"/>
      <c r="AF626" s="46"/>
      <c r="AG626" s="123"/>
      <c r="AH626" s="123"/>
      <c r="AI626" s="123"/>
      <c r="AJ626" s="123"/>
      <c r="AK626" s="46"/>
      <c r="AL626" s="46"/>
      <c r="AM626" s="46"/>
      <c r="AN626" s="46"/>
      <c r="AO626" s="46"/>
    </row>
    <row r="627">
      <c r="A627" s="17"/>
      <c r="B627" s="46"/>
      <c r="C627" s="46"/>
      <c r="D627" s="46"/>
      <c r="E627" s="17"/>
      <c r="F627" s="46"/>
      <c r="G627" s="46"/>
      <c r="H627" s="46"/>
      <c r="I627" s="17"/>
      <c r="J627" s="46"/>
      <c r="K627" s="46"/>
      <c r="L627" s="46"/>
      <c r="M627" s="17"/>
      <c r="N627" s="46"/>
      <c r="O627" s="46"/>
      <c r="P627" s="46"/>
      <c r="Q627" s="46"/>
      <c r="R627" s="46"/>
      <c r="S627" s="46"/>
      <c r="T627" s="46"/>
      <c r="U627" s="46"/>
      <c r="V627" s="46"/>
      <c r="W627" s="46"/>
      <c r="X627" s="46"/>
      <c r="Y627" s="46"/>
      <c r="Z627" s="46"/>
      <c r="AA627" s="46"/>
      <c r="AB627" s="46"/>
      <c r="AC627" s="46"/>
      <c r="AD627" s="46"/>
      <c r="AE627" s="46"/>
      <c r="AF627" s="46"/>
      <c r="AG627" s="123"/>
      <c r="AH627" s="123"/>
      <c r="AI627" s="123"/>
      <c r="AJ627" s="123"/>
      <c r="AK627" s="46"/>
      <c r="AL627" s="46"/>
      <c r="AM627" s="46"/>
      <c r="AN627" s="46"/>
      <c r="AO627" s="46"/>
    </row>
    <row r="628">
      <c r="A628" s="17"/>
      <c r="B628" s="46"/>
      <c r="C628" s="46"/>
      <c r="D628" s="46"/>
      <c r="E628" s="17"/>
      <c r="F628" s="46"/>
      <c r="G628" s="46"/>
      <c r="H628" s="46"/>
      <c r="I628" s="17"/>
      <c r="J628" s="46"/>
      <c r="K628" s="46"/>
      <c r="L628" s="46"/>
      <c r="M628" s="17"/>
      <c r="N628" s="46"/>
      <c r="O628" s="46"/>
      <c r="P628" s="46"/>
      <c r="Q628" s="46"/>
      <c r="R628" s="46"/>
      <c r="S628" s="46"/>
      <c r="T628" s="46"/>
      <c r="U628" s="46"/>
      <c r="V628" s="46"/>
      <c r="W628" s="46"/>
      <c r="X628" s="46"/>
      <c r="Y628" s="46"/>
      <c r="Z628" s="46"/>
      <c r="AA628" s="46"/>
      <c r="AB628" s="46"/>
      <c r="AC628" s="46"/>
      <c r="AD628" s="46"/>
      <c r="AE628" s="46"/>
      <c r="AF628" s="46"/>
      <c r="AG628" s="123"/>
      <c r="AH628" s="123"/>
      <c r="AI628" s="123"/>
      <c r="AJ628" s="123"/>
      <c r="AK628" s="46"/>
      <c r="AL628" s="46"/>
      <c r="AM628" s="46"/>
      <c r="AN628" s="46"/>
      <c r="AO628" s="46"/>
    </row>
    <row r="629">
      <c r="A629" s="17"/>
      <c r="B629" s="46"/>
      <c r="C629" s="46"/>
      <c r="D629" s="46"/>
      <c r="E629" s="17"/>
      <c r="F629" s="46"/>
      <c r="G629" s="46"/>
      <c r="H629" s="46"/>
      <c r="I629" s="17"/>
      <c r="J629" s="46"/>
      <c r="K629" s="46"/>
      <c r="L629" s="46"/>
      <c r="M629" s="17"/>
      <c r="N629" s="46"/>
      <c r="O629" s="46"/>
      <c r="P629" s="46"/>
      <c r="Q629" s="46"/>
      <c r="R629" s="46"/>
      <c r="S629" s="46"/>
      <c r="T629" s="46"/>
      <c r="U629" s="46"/>
      <c r="V629" s="46"/>
      <c r="W629" s="46"/>
      <c r="X629" s="46"/>
      <c r="Y629" s="46"/>
      <c r="Z629" s="46"/>
      <c r="AA629" s="46"/>
      <c r="AB629" s="46"/>
      <c r="AC629" s="46"/>
      <c r="AD629" s="46"/>
      <c r="AE629" s="46"/>
      <c r="AF629" s="46"/>
      <c r="AG629" s="123"/>
      <c r="AH629" s="123"/>
      <c r="AI629" s="123"/>
      <c r="AJ629" s="123"/>
      <c r="AK629" s="46"/>
      <c r="AL629" s="46"/>
      <c r="AM629" s="46"/>
      <c r="AN629" s="46"/>
      <c r="AO629" s="46"/>
    </row>
    <row r="630">
      <c r="A630" s="17"/>
      <c r="B630" s="46"/>
      <c r="C630" s="46"/>
      <c r="D630" s="46"/>
      <c r="E630" s="17"/>
      <c r="F630" s="46"/>
      <c r="G630" s="46"/>
      <c r="H630" s="46"/>
      <c r="I630" s="17"/>
      <c r="J630" s="46"/>
      <c r="K630" s="46"/>
      <c r="L630" s="46"/>
      <c r="M630" s="17"/>
      <c r="N630" s="46"/>
      <c r="O630" s="46"/>
      <c r="P630" s="46"/>
      <c r="Q630" s="46"/>
      <c r="R630" s="46"/>
      <c r="S630" s="46"/>
      <c r="T630" s="46"/>
      <c r="U630" s="46"/>
      <c r="V630" s="46"/>
      <c r="W630" s="46"/>
      <c r="X630" s="46"/>
      <c r="Y630" s="46"/>
      <c r="Z630" s="46"/>
      <c r="AA630" s="46"/>
      <c r="AB630" s="46"/>
      <c r="AC630" s="46"/>
      <c r="AD630" s="46"/>
      <c r="AE630" s="46"/>
      <c r="AF630" s="46"/>
      <c r="AG630" s="123"/>
      <c r="AH630" s="123"/>
      <c r="AI630" s="123"/>
      <c r="AJ630" s="123"/>
      <c r="AK630" s="46"/>
      <c r="AL630" s="46"/>
      <c r="AM630" s="46"/>
      <c r="AN630" s="46"/>
      <c r="AO630" s="46"/>
    </row>
    <row r="631">
      <c r="A631" s="17"/>
      <c r="B631" s="46"/>
      <c r="C631" s="46"/>
      <c r="D631" s="46"/>
      <c r="E631" s="17"/>
      <c r="F631" s="46"/>
      <c r="G631" s="46"/>
      <c r="H631" s="46"/>
      <c r="I631" s="17"/>
      <c r="J631" s="46"/>
      <c r="K631" s="46"/>
      <c r="L631" s="46"/>
      <c r="M631" s="17"/>
      <c r="N631" s="46"/>
      <c r="O631" s="46"/>
      <c r="P631" s="46"/>
      <c r="Q631" s="46"/>
      <c r="R631" s="46"/>
      <c r="S631" s="46"/>
      <c r="T631" s="46"/>
      <c r="U631" s="46"/>
      <c r="V631" s="46"/>
      <c r="W631" s="46"/>
      <c r="X631" s="46"/>
      <c r="Y631" s="46"/>
      <c r="Z631" s="46"/>
      <c r="AA631" s="46"/>
      <c r="AB631" s="46"/>
      <c r="AC631" s="46"/>
      <c r="AD631" s="46"/>
      <c r="AE631" s="46"/>
      <c r="AF631" s="46"/>
      <c r="AG631" s="123"/>
      <c r="AH631" s="123"/>
      <c r="AI631" s="123"/>
      <c r="AJ631" s="123"/>
      <c r="AK631" s="46"/>
      <c r="AL631" s="46"/>
      <c r="AM631" s="46"/>
      <c r="AN631" s="46"/>
      <c r="AO631" s="46"/>
    </row>
    <row r="632">
      <c r="A632" s="17"/>
      <c r="B632" s="46"/>
      <c r="C632" s="46"/>
      <c r="D632" s="46"/>
      <c r="E632" s="17"/>
      <c r="F632" s="46"/>
      <c r="G632" s="46"/>
      <c r="H632" s="46"/>
      <c r="I632" s="17"/>
      <c r="J632" s="46"/>
      <c r="K632" s="46"/>
      <c r="L632" s="46"/>
      <c r="M632" s="17"/>
      <c r="N632" s="46"/>
      <c r="O632" s="46"/>
      <c r="P632" s="46"/>
      <c r="Q632" s="46"/>
      <c r="R632" s="46"/>
      <c r="S632" s="46"/>
      <c r="T632" s="46"/>
      <c r="U632" s="46"/>
      <c r="V632" s="46"/>
      <c r="W632" s="46"/>
      <c r="X632" s="46"/>
      <c r="Y632" s="46"/>
      <c r="Z632" s="46"/>
      <c r="AA632" s="46"/>
      <c r="AB632" s="46"/>
      <c r="AC632" s="46"/>
      <c r="AD632" s="46"/>
      <c r="AE632" s="46"/>
      <c r="AF632" s="46"/>
      <c r="AG632" s="123"/>
      <c r="AH632" s="123"/>
      <c r="AI632" s="123"/>
      <c r="AJ632" s="123"/>
      <c r="AK632" s="46"/>
      <c r="AL632" s="46"/>
      <c r="AM632" s="46"/>
      <c r="AN632" s="46"/>
      <c r="AO632" s="46"/>
    </row>
    <row r="633">
      <c r="A633" s="17"/>
      <c r="B633" s="46"/>
      <c r="C633" s="46"/>
      <c r="D633" s="46"/>
      <c r="E633" s="17"/>
      <c r="F633" s="46"/>
      <c r="G633" s="46"/>
      <c r="H633" s="46"/>
      <c r="I633" s="17"/>
      <c r="J633" s="46"/>
      <c r="K633" s="46"/>
      <c r="L633" s="46"/>
      <c r="M633" s="17"/>
      <c r="N633" s="46"/>
      <c r="O633" s="46"/>
      <c r="P633" s="46"/>
      <c r="Q633" s="46"/>
      <c r="R633" s="46"/>
      <c r="S633" s="46"/>
      <c r="T633" s="46"/>
      <c r="U633" s="46"/>
      <c r="V633" s="46"/>
      <c r="W633" s="46"/>
      <c r="X633" s="46"/>
      <c r="Y633" s="46"/>
      <c r="Z633" s="46"/>
      <c r="AA633" s="46"/>
      <c r="AB633" s="46"/>
      <c r="AC633" s="46"/>
      <c r="AD633" s="46"/>
      <c r="AE633" s="46"/>
      <c r="AF633" s="46"/>
      <c r="AG633" s="123"/>
      <c r="AH633" s="123"/>
      <c r="AI633" s="123"/>
      <c r="AJ633" s="123"/>
      <c r="AK633" s="46"/>
      <c r="AL633" s="46"/>
      <c r="AM633" s="46"/>
      <c r="AN633" s="46"/>
      <c r="AO633" s="46"/>
    </row>
    <row r="634">
      <c r="A634" s="17"/>
      <c r="B634" s="46"/>
      <c r="C634" s="46"/>
      <c r="D634" s="46"/>
      <c r="E634" s="17"/>
      <c r="F634" s="46"/>
      <c r="G634" s="46"/>
      <c r="H634" s="46"/>
      <c r="I634" s="17"/>
      <c r="J634" s="46"/>
      <c r="K634" s="46"/>
      <c r="L634" s="46"/>
      <c r="M634" s="17"/>
      <c r="N634" s="46"/>
      <c r="O634" s="46"/>
      <c r="P634" s="46"/>
      <c r="Q634" s="46"/>
      <c r="R634" s="46"/>
      <c r="S634" s="46"/>
      <c r="T634" s="46"/>
      <c r="U634" s="46"/>
      <c r="V634" s="46"/>
      <c r="W634" s="46"/>
      <c r="X634" s="46"/>
      <c r="Y634" s="46"/>
      <c r="Z634" s="46"/>
      <c r="AA634" s="46"/>
      <c r="AB634" s="46"/>
      <c r="AC634" s="46"/>
      <c r="AD634" s="46"/>
      <c r="AE634" s="46"/>
      <c r="AF634" s="46"/>
      <c r="AG634" s="123"/>
      <c r="AH634" s="123"/>
      <c r="AI634" s="123"/>
      <c r="AJ634" s="123"/>
      <c r="AK634" s="46"/>
      <c r="AL634" s="46"/>
      <c r="AM634" s="46"/>
      <c r="AN634" s="46"/>
      <c r="AO634" s="46"/>
    </row>
    <row r="635">
      <c r="A635" s="17"/>
      <c r="B635" s="46"/>
      <c r="C635" s="46"/>
      <c r="D635" s="46"/>
      <c r="E635" s="17"/>
      <c r="F635" s="46"/>
      <c r="G635" s="46"/>
      <c r="H635" s="46"/>
      <c r="I635" s="17"/>
      <c r="J635" s="46"/>
      <c r="K635" s="46"/>
      <c r="L635" s="46"/>
      <c r="M635" s="17"/>
      <c r="N635" s="46"/>
      <c r="O635" s="46"/>
      <c r="P635" s="46"/>
      <c r="Q635" s="46"/>
      <c r="R635" s="46"/>
      <c r="S635" s="46"/>
      <c r="T635" s="46"/>
      <c r="U635" s="46"/>
      <c r="V635" s="46"/>
      <c r="W635" s="46"/>
      <c r="X635" s="46"/>
      <c r="Y635" s="46"/>
      <c r="Z635" s="46"/>
      <c r="AA635" s="46"/>
      <c r="AB635" s="46"/>
      <c r="AC635" s="46"/>
      <c r="AD635" s="46"/>
      <c r="AE635" s="46"/>
      <c r="AF635" s="46"/>
      <c r="AG635" s="123"/>
      <c r="AH635" s="123"/>
      <c r="AI635" s="123"/>
      <c r="AJ635" s="123"/>
      <c r="AK635" s="46"/>
      <c r="AL635" s="46"/>
      <c r="AM635" s="46"/>
      <c r="AN635" s="46"/>
      <c r="AO635" s="46"/>
    </row>
    <row r="636">
      <c r="A636" s="17"/>
      <c r="B636" s="46"/>
      <c r="C636" s="46"/>
      <c r="D636" s="46"/>
      <c r="E636" s="17"/>
      <c r="F636" s="46"/>
      <c r="G636" s="46"/>
      <c r="H636" s="46"/>
      <c r="I636" s="17"/>
      <c r="J636" s="46"/>
      <c r="K636" s="46"/>
      <c r="L636" s="46"/>
      <c r="M636" s="17"/>
      <c r="N636" s="46"/>
      <c r="O636" s="46"/>
      <c r="P636" s="46"/>
      <c r="Q636" s="46"/>
      <c r="R636" s="46"/>
      <c r="S636" s="46"/>
      <c r="T636" s="46"/>
      <c r="U636" s="46"/>
      <c r="V636" s="46"/>
      <c r="W636" s="46"/>
      <c r="X636" s="46"/>
      <c r="Y636" s="46"/>
      <c r="Z636" s="46"/>
      <c r="AA636" s="46"/>
      <c r="AB636" s="46"/>
      <c r="AC636" s="46"/>
      <c r="AD636" s="46"/>
      <c r="AE636" s="46"/>
      <c r="AF636" s="46"/>
      <c r="AG636" s="123"/>
      <c r="AH636" s="123"/>
      <c r="AI636" s="123"/>
      <c r="AJ636" s="123"/>
      <c r="AK636" s="46"/>
      <c r="AL636" s="46"/>
      <c r="AM636" s="46"/>
      <c r="AN636" s="46"/>
      <c r="AO636" s="46"/>
    </row>
    <row r="637">
      <c r="A637" s="17"/>
      <c r="B637" s="46"/>
      <c r="C637" s="46"/>
      <c r="D637" s="46"/>
      <c r="E637" s="17"/>
      <c r="F637" s="46"/>
      <c r="G637" s="46"/>
      <c r="H637" s="46"/>
      <c r="I637" s="17"/>
      <c r="J637" s="46"/>
      <c r="K637" s="46"/>
      <c r="L637" s="46"/>
      <c r="M637" s="17"/>
      <c r="N637" s="46"/>
      <c r="O637" s="46"/>
      <c r="P637" s="46"/>
      <c r="Q637" s="46"/>
      <c r="R637" s="46"/>
      <c r="S637" s="46"/>
      <c r="T637" s="46"/>
      <c r="U637" s="46"/>
      <c r="V637" s="46"/>
      <c r="W637" s="46"/>
      <c r="X637" s="46"/>
      <c r="Y637" s="46"/>
      <c r="Z637" s="46"/>
      <c r="AA637" s="46"/>
      <c r="AB637" s="46"/>
      <c r="AC637" s="46"/>
      <c r="AD637" s="46"/>
      <c r="AE637" s="46"/>
      <c r="AF637" s="46"/>
      <c r="AG637" s="123"/>
      <c r="AH637" s="123"/>
      <c r="AI637" s="123"/>
      <c r="AJ637" s="123"/>
      <c r="AK637" s="46"/>
      <c r="AL637" s="46"/>
      <c r="AM637" s="46"/>
      <c r="AN637" s="46"/>
      <c r="AO637" s="46"/>
    </row>
    <row r="638">
      <c r="A638" s="17"/>
      <c r="B638" s="46"/>
      <c r="C638" s="46"/>
      <c r="D638" s="46"/>
      <c r="E638" s="17"/>
      <c r="F638" s="46"/>
      <c r="G638" s="46"/>
      <c r="H638" s="46"/>
      <c r="I638" s="17"/>
      <c r="J638" s="46"/>
      <c r="K638" s="46"/>
      <c r="L638" s="46"/>
      <c r="M638" s="17"/>
      <c r="N638" s="46"/>
      <c r="O638" s="46"/>
      <c r="P638" s="46"/>
      <c r="Q638" s="46"/>
      <c r="R638" s="46"/>
      <c r="S638" s="46"/>
      <c r="T638" s="46"/>
      <c r="U638" s="46"/>
      <c r="V638" s="46"/>
      <c r="W638" s="46"/>
      <c r="X638" s="46"/>
      <c r="Y638" s="46"/>
      <c r="Z638" s="46"/>
      <c r="AA638" s="46"/>
      <c r="AB638" s="46"/>
      <c r="AC638" s="46"/>
      <c r="AD638" s="46"/>
      <c r="AE638" s="46"/>
      <c r="AF638" s="46"/>
      <c r="AG638" s="123"/>
      <c r="AH638" s="123"/>
      <c r="AI638" s="123"/>
      <c r="AJ638" s="123"/>
      <c r="AK638" s="46"/>
      <c r="AL638" s="46"/>
      <c r="AM638" s="46"/>
      <c r="AN638" s="46"/>
      <c r="AO638" s="46"/>
    </row>
    <row r="639">
      <c r="A639" s="17"/>
      <c r="B639" s="46"/>
      <c r="C639" s="46"/>
      <c r="D639" s="46"/>
      <c r="E639" s="17"/>
      <c r="F639" s="46"/>
      <c r="G639" s="46"/>
      <c r="H639" s="46"/>
      <c r="I639" s="17"/>
      <c r="J639" s="46"/>
      <c r="K639" s="46"/>
      <c r="L639" s="46"/>
      <c r="M639" s="17"/>
      <c r="N639" s="46"/>
      <c r="O639" s="46"/>
      <c r="P639" s="46"/>
      <c r="Q639" s="46"/>
      <c r="R639" s="46"/>
      <c r="S639" s="46"/>
      <c r="T639" s="46"/>
      <c r="U639" s="46"/>
      <c r="V639" s="46"/>
      <c r="W639" s="46"/>
      <c r="X639" s="46"/>
      <c r="Y639" s="46"/>
      <c r="Z639" s="46"/>
      <c r="AA639" s="46"/>
      <c r="AB639" s="46"/>
      <c r="AC639" s="46"/>
      <c r="AD639" s="46"/>
      <c r="AE639" s="46"/>
      <c r="AF639" s="46"/>
      <c r="AG639" s="123"/>
      <c r="AH639" s="123"/>
      <c r="AI639" s="123"/>
      <c r="AJ639" s="123"/>
      <c r="AK639" s="46"/>
      <c r="AL639" s="46"/>
      <c r="AM639" s="46"/>
      <c r="AN639" s="46"/>
      <c r="AO639" s="46"/>
    </row>
    <row r="640">
      <c r="A640" s="17"/>
      <c r="B640" s="46"/>
      <c r="C640" s="46"/>
      <c r="D640" s="46"/>
      <c r="E640" s="17"/>
      <c r="F640" s="46"/>
      <c r="G640" s="46"/>
      <c r="H640" s="46"/>
      <c r="I640" s="17"/>
      <c r="J640" s="46"/>
      <c r="K640" s="46"/>
      <c r="L640" s="46"/>
      <c r="M640" s="17"/>
      <c r="N640" s="46"/>
      <c r="O640" s="46"/>
      <c r="P640" s="46"/>
      <c r="Q640" s="46"/>
      <c r="R640" s="46"/>
      <c r="S640" s="46"/>
      <c r="T640" s="46"/>
      <c r="U640" s="46"/>
      <c r="V640" s="46"/>
      <c r="W640" s="46"/>
      <c r="X640" s="46"/>
      <c r="Y640" s="46"/>
      <c r="Z640" s="46"/>
      <c r="AA640" s="46"/>
      <c r="AB640" s="46"/>
      <c r="AC640" s="46"/>
      <c r="AD640" s="46"/>
      <c r="AE640" s="46"/>
      <c r="AF640" s="46"/>
      <c r="AG640" s="123"/>
      <c r="AH640" s="123"/>
      <c r="AI640" s="123"/>
      <c r="AJ640" s="123"/>
      <c r="AK640" s="46"/>
      <c r="AL640" s="46"/>
      <c r="AM640" s="46"/>
      <c r="AN640" s="46"/>
      <c r="AO640" s="46"/>
    </row>
    <row r="641">
      <c r="A641" s="17"/>
      <c r="B641" s="46"/>
      <c r="C641" s="46"/>
      <c r="D641" s="46"/>
      <c r="E641" s="17"/>
      <c r="F641" s="46"/>
      <c r="G641" s="46"/>
      <c r="H641" s="46"/>
      <c r="I641" s="17"/>
      <c r="J641" s="46"/>
      <c r="K641" s="46"/>
      <c r="L641" s="46"/>
      <c r="M641" s="17"/>
      <c r="N641" s="46"/>
      <c r="O641" s="46"/>
      <c r="P641" s="46"/>
      <c r="Q641" s="46"/>
      <c r="R641" s="46"/>
      <c r="S641" s="46"/>
      <c r="T641" s="46"/>
      <c r="U641" s="46"/>
      <c r="V641" s="46"/>
      <c r="W641" s="46"/>
      <c r="X641" s="46"/>
      <c r="Y641" s="46"/>
      <c r="Z641" s="46"/>
      <c r="AA641" s="46"/>
      <c r="AB641" s="46"/>
      <c r="AC641" s="46"/>
      <c r="AD641" s="46"/>
      <c r="AE641" s="46"/>
      <c r="AF641" s="46"/>
      <c r="AG641" s="123"/>
      <c r="AH641" s="123"/>
      <c r="AI641" s="123"/>
      <c r="AJ641" s="123"/>
      <c r="AK641" s="46"/>
      <c r="AL641" s="46"/>
      <c r="AM641" s="46"/>
      <c r="AN641" s="46"/>
      <c r="AO641" s="46"/>
    </row>
    <row r="642">
      <c r="A642" s="17"/>
      <c r="B642" s="46"/>
      <c r="C642" s="46"/>
      <c r="D642" s="46"/>
      <c r="E642" s="17"/>
      <c r="F642" s="46"/>
      <c r="G642" s="46"/>
      <c r="H642" s="46"/>
      <c r="I642" s="17"/>
      <c r="J642" s="46"/>
      <c r="K642" s="46"/>
      <c r="L642" s="46"/>
      <c r="M642" s="17"/>
      <c r="N642" s="46"/>
      <c r="O642" s="46"/>
      <c r="P642" s="46"/>
      <c r="Q642" s="46"/>
      <c r="R642" s="46"/>
      <c r="S642" s="46"/>
      <c r="T642" s="46"/>
      <c r="U642" s="46"/>
      <c r="V642" s="46"/>
      <c r="W642" s="46"/>
      <c r="X642" s="46"/>
      <c r="Y642" s="46"/>
      <c r="Z642" s="46"/>
      <c r="AA642" s="46"/>
      <c r="AB642" s="46"/>
      <c r="AC642" s="46"/>
      <c r="AD642" s="46"/>
      <c r="AE642" s="46"/>
      <c r="AF642" s="46"/>
      <c r="AG642" s="123"/>
      <c r="AH642" s="123"/>
      <c r="AI642" s="123"/>
      <c r="AJ642" s="123"/>
      <c r="AK642" s="46"/>
      <c r="AL642" s="46"/>
      <c r="AM642" s="46"/>
      <c r="AN642" s="46"/>
      <c r="AO642" s="46"/>
    </row>
    <row r="643">
      <c r="A643" s="17"/>
      <c r="B643" s="46"/>
      <c r="C643" s="46"/>
      <c r="D643" s="46"/>
      <c r="E643" s="17"/>
      <c r="F643" s="46"/>
      <c r="G643" s="46"/>
      <c r="H643" s="46"/>
      <c r="I643" s="17"/>
      <c r="J643" s="46"/>
      <c r="K643" s="46"/>
      <c r="L643" s="46"/>
      <c r="M643" s="17"/>
      <c r="N643" s="46"/>
      <c r="O643" s="46"/>
      <c r="P643" s="46"/>
      <c r="Q643" s="46"/>
      <c r="R643" s="46"/>
      <c r="S643" s="46"/>
      <c r="T643" s="46"/>
      <c r="U643" s="46"/>
      <c r="V643" s="46"/>
      <c r="W643" s="46"/>
      <c r="X643" s="46"/>
      <c r="Y643" s="46"/>
      <c r="Z643" s="46"/>
      <c r="AA643" s="46"/>
      <c r="AB643" s="46"/>
      <c r="AC643" s="46"/>
      <c r="AD643" s="46"/>
      <c r="AE643" s="46"/>
      <c r="AF643" s="46"/>
      <c r="AG643" s="123"/>
      <c r="AH643" s="123"/>
      <c r="AI643" s="123"/>
      <c r="AJ643" s="123"/>
      <c r="AK643" s="46"/>
      <c r="AL643" s="46"/>
      <c r="AM643" s="46"/>
      <c r="AN643" s="46"/>
      <c r="AO643" s="46"/>
    </row>
    <row r="644">
      <c r="A644" s="17"/>
      <c r="B644" s="46"/>
      <c r="C644" s="46"/>
      <c r="D644" s="46"/>
      <c r="E644" s="17"/>
      <c r="F644" s="46"/>
      <c r="G644" s="46"/>
      <c r="H644" s="46"/>
      <c r="I644" s="17"/>
      <c r="J644" s="46"/>
      <c r="K644" s="46"/>
      <c r="L644" s="46"/>
      <c r="M644" s="17"/>
      <c r="N644" s="46"/>
      <c r="O644" s="46"/>
      <c r="P644" s="46"/>
      <c r="Q644" s="46"/>
      <c r="R644" s="46"/>
      <c r="S644" s="46"/>
      <c r="T644" s="46"/>
      <c r="U644" s="46"/>
      <c r="V644" s="46"/>
      <c r="W644" s="46"/>
      <c r="X644" s="46"/>
      <c r="Y644" s="46"/>
      <c r="Z644" s="46"/>
      <c r="AA644" s="46"/>
      <c r="AB644" s="46"/>
      <c r="AC644" s="46"/>
      <c r="AD644" s="46"/>
      <c r="AE644" s="46"/>
      <c r="AF644" s="46"/>
      <c r="AG644" s="123"/>
      <c r="AH644" s="123"/>
      <c r="AI644" s="123"/>
      <c r="AJ644" s="123"/>
      <c r="AK644" s="46"/>
      <c r="AL644" s="46"/>
      <c r="AM644" s="46"/>
      <c r="AN644" s="46"/>
      <c r="AO644" s="46"/>
    </row>
    <row r="645">
      <c r="A645" s="17"/>
      <c r="B645" s="46"/>
      <c r="C645" s="46"/>
      <c r="D645" s="46"/>
      <c r="E645" s="17"/>
      <c r="F645" s="46"/>
      <c r="G645" s="46"/>
      <c r="H645" s="46"/>
      <c r="I645" s="17"/>
      <c r="J645" s="46"/>
      <c r="K645" s="46"/>
      <c r="L645" s="46"/>
      <c r="M645" s="17"/>
      <c r="N645" s="46"/>
      <c r="O645" s="46"/>
      <c r="P645" s="46"/>
      <c r="Q645" s="46"/>
      <c r="R645" s="46"/>
      <c r="S645" s="46"/>
      <c r="T645" s="46"/>
      <c r="U645" s="46"/>
      <c r="V645" s="46"/>
      <c r="W645" s="46"/>
      <c r="X645" s="46"/>
      <c r="Y645" s="46"/>
      <c r="Z645" s="46"/>
      <c r="AA645" s="46"/>
      <c r="AB645" s="46"/>
      <c r="AC645" s="46"/>
      <c r="AD645" s="46"/>
      <c r="AE645" s="46"/>
      <c r="AF645" s="46"/>
      <c r="AG645" s="123"/>
      <c r="AH645" s="123"/>
      <c r="AI645" s="123"/>
      <c r="AJ645" s="123"/>
      <c r="AK645" s="46"/>
      <c r="AL645" s="46"/>
      <c r="AM645" s="46"/>
      <c r="AN645" s="46"/>
      <c r="AO645" s="46"/>
    </row>
    <row r="646">
      <c r="A646" s="17"/>
      <c r="B646" s="46"/>
      <c r="C646" s="46"/>
      <c r="D646" s="46"/>
      <c r="E646" s="17"/>
      <c r="F646" s="46"/>
      <c r="G646" s="46"/>
      <c r="H646" s="46"/>
      <c r="I646" s="17"/>
      <c r="J646" s="46"/>
      <c r="K646" s="46"/>
      <c r="L646" s="46"/>
      <c r="M646" s="17"/>
      <c r="N646" s="46"/>
      <c r="O646" s="46"/>
      <c r="P646" s="46"/>
      <c r="Q646" s="46"/>
      <c r="R646" s="46"/>
      <c r="S646" s="46"/>
      <c r="T646" s="46"/>
      <c r="U646" s="46"/>
      <c r="V646" s="46"/>
      <c r="W646" s="46"/>
      <c r="X646" s="46"/>
      <c r="Y646" s="46"/>
      <c r="Z646" s="46"/>
      <c r="AA646" s="46"/>
      <c r="AB646" s="46"/>
      <c r="AC646" s="46"/>
      <c r="AD646" s="46"/>
      <c r="AE646" s="46"/>
      <c r="AF646" s="46"/>
      <c r="AG646" s="123"/>
      <c r="AH646" s="123"/>
      <c r="AI646" s="123"/>
      <c r="AJ646" s="123"/>
      <c r="AK646" s="46"/>
      <c r="AL646" s="46"/>
      <c r="AM646" s="46"/>
      <c r="AN646" s="46"/>
      <c r="AO646" s="46"/>
    </row>
    <row r="647">
      <c r="A647" s="17"/>
      <c r="B647" s="46"/>
      <c r="C647" s="46"/>
      <c r="D647" s="46"/>
      <c r="E647" s="17"/>
      <c r="F647" s="46"/>
      <c r="G647" s="46"/>
      <c r="H647" s="46"/>
      <c r="I647" s="17"/>
      <c r="J647" s="46"/>
      <c r="K647" s="46"/>
      <c r="L647" s="46"/>
      <c r="M647" s="17"/>
      <c r="N647" s="46"/>
      <c r="O647" s="46"/>
      <c r="P647" s="46"/>
      <c r="Q647" s="46"/>
      <c r="R647" s="46"/>
      <c r="S647" s="46"/>
      <c r="T647" s="46"/>
      <c r="U647" s="46"/>
      <c r="V647" s="46"/>
      <c r="W647" s="46"/>
      <c r="X647" s="46"/>
      <c r="Y647" s="46"/>
      <c r="Z647" s="46"/>
      <c r="AA647" s="46"/>
      <c r="AB647" s="46"/>
      <c r="AC647" s="46"/>
      <c r="AD647" s="46"/>
      <c r="AE647" s="46"/>
      <c r="AF647" s="46"/>
      <c r="AG647" s="123"/>
      <c r="AH647" s="123"/>
      <c r="AI647" s="123"/>
      <c r="AJ647" s="123"/>
      <c r="AK647" s="46"/>
      <c r="AL647" s="46"/>
      <c r="AM647" s="46"/>
      <c r="AN647" s="46"/>
      <c r="AO647" s="46"/>
    </row>
    <row r="648">
      <c r="A648" s="17"/>
      <c r="B648" s="46"/>
      <c r="C648" s="46"/>
      <c r="D648" s="46"/>
      <c r="E648" s="17"/>
      <c r="F648" s="46"/>
      <c r="G648" s="46"/>
      <c r="H648" s="46"/>
      <c r="I648" s="17"/>
      <c r="J648" s="46"/>
      <c r="K648" s="46"/>
      <c r="L648" s="46"/>
      <c r="M648" s="17"/>
      <c r="N648" s="46"/>
      <c r="O648" s="46"/>
      <c r="P648" s="46"/>
      <c r="Q648" s="46"/>
      <c r="R648" s="46"/>
      <c r="S648" s="46"/>
      <c r="T648" s="46"/>
      <c r="U648" s="46"/>
      <c r="V648" s="46"/>
      <c r="W648" s="46"/>
      <c r="X648" s="46"/>
      <c r="Y648" s="46"/>
      <c r="Z648" s="46"/>
      <c r="AA648" s="46"/>
      <c r="AB648" s="46"/>
      <c r="AC648" s="46"/>
      <c r="AD648" s="46"/>
      <c r="AE648" s="46"/>
      <c r="AF648" s="46"/>
      <c r="AG648" s="123"/>
      <c r="AH648" s="123"/>
      <c r="AI648" s="123"/>
      <c r="AJ648" s="123"/>
      <c r="AK648" s="46"/>
      <c r="AL648" s="46"/>
      <c r="AM648" s="46"/>
      <c r="AN648" s="46"/>
      <c r="AO648" s="46"/>
    </row>
    <row r="649">
      <c r="A649" s="17"/>
      <c r="B649" s="46"/>
      <c r="C649" s="46"/>
      <c r="D649" s="46"/>
      <c r="E649" s="17"/>
      <c r="F649" s="46"/>
      <c r="G649" s="46"/>
      <c r="H649" s="46"/>
      <c r="I649" s="17"/>
      <c r="J649" s="46"/>
      <c r="K649" s="46"/>
      <c r="L649" s="46"/>
      <c r="M649" s="17"/>
      <c r="N649" s="46"/>
      <c r="O649" s="46"/>
      <c r="P649" s="46"/>
      <c r="Q649" s="46"/>
      <c r="R649" s="46"/>
      <c r="S649" s="46"/>
      <c r="T649" s="46"/>
      <c r="U649" s="46"/>
      <c r="V649" s="46"/>
      <c r="W649" s="46"/>
      <c r="X649" s="46"/>
      <c r="Y649" s="46"/>
      <c r="Z649" s="46"/>
      <c r="AA649" s="46"/>
      <c r="AB649" s="46"/>
      <c r="AC649" s="46"/>
      <c r="AD649" s="46"/>
      <c r="AE649" s="46"/>
      <c r="AF649" s="46"/>
      <c r="AG649" s="123"/>
      <c r="AH649" s="123"/>
      <c r="AI649" s="123"/>
      <c r="AJ649" s="123"/>
      <c r="AK649" s="46"/>
      <c r="AL649" s="46"/>
      <c r="AM649" s="46"/>
      <c r="AN649" s="46"/>
      <c r="AO649" s="46"/>
    </row>
    <row r="650">
      <c r="A650" s="17"/>
      <c r="B650" s="46"/>
      <c r="C650" s="46"/>
      <c r="D650" s="46"/>
      <c r="E650" s="17"/>
      <c r="F650" s="46"/>
      <c r="G650" s="46"/>
      <c r="H650" s="46"/>
      <c r="I650" s="17"/>
      <c r="J650" s="46"/>
      <c r="K650" s="46"/>
      <c r="L650" s="46"/>
      <c r="M650" s="17"/>
      <c r="N650" s="46"/>
      <c r="O650" s="46"/>
      <c r="P650" s="46"/>
      <c r="Q650" s="46"/>
      <c r="R650" s="46"/>
      <c r="S650" s="46"/>
      <c r="T650" s="46"/>
      <c r="U650" s="46"/>
      <c r="V650" s="46"/>
      <c r="W650" s="46"/>
      <c r="X650" s="46"/>
      <c r="Y650" s="46"/>
      <c r="Z650" s="46"/>
      <c r="AA650" s="46"/>
      <c r="AB650" s="46"/>
      <c r="AC650" s="46"/>
      <c r="AD650" s="46"/>
      <c r="AE650" s="46"/>
      <c r="AF650" s="46"/>
      <c r="AG650" s="123"/>
      <c r="AH650" s="123"/>
      <c r="AI650" s="123"/>
      <c r="AJ650" s="123"/>
      <c r="AK650" s="46"/>
      <c r="AL650" s="46"/>
      <c r="AM650" s="46"/>
      <c r="AN650" s="46"/>
      <c r="AO650" s="46"/>
    </row>
    <row r="651">
      <c r="A651" s="17"/>
      <c r="B651" s="46"/>
      <c r="C651" s="46"/>
      <c r="D651" s="46"/>
      <c r="E651" s="17"/>
      <c r="F651" s="46"/>
      <c r="G651" s="46"/>
      <c r="H651" s="46"/>
      <c r="I651" s="17"/>
      <c r="J651" s="46"/>
      <c r="K651" s="46"/>
      <c r="L651" s="46"/>
      <c r="M651" s="17"/>
      <c r="N651" s="46"/>
      <c r="O651" s="46"/>
      <c r="P651" s="46"/>
      <c r="Q651" s="46"/>
      <c r="R651" s="46"/>
      <c r="S651" s="46"/>
      <c r="T651" s="46"/>
      <c r="U651" s="46"/>
      <c r="V651" s="46"/>
      <c r="W651" s="46"/>
      <c r="X651" s="46"/>
      <c r="Y651" s="46"/>
      <c r="Z651" s="46"/>
      <c r="AA651" s="46"/>
      <c r="AB651" s="46"/>
      <c r="AC651" s="46"/>
      <c r="AD651" s="46"/>
      <c r="AE651" s="46"/>
      <c r="AF651" s="46"/>
      <c r="AG651" s="123"/>
      <c r="AH651" s="123"/>
      <c r="AI651" s="123"/>
      <c r="AJ651" s="123"/>
      <c r="AK651" s="46"/>
      <c r="AL651" s="46"/>
      <c r="AM651" s="46"/>
      <c r="AN651" s="46"/>
      <c r="AO651" s="46"/>
    </row>
    <row r="652">
      <c r="A652" s="17"/>
      <c r="B652" s="46"/>
      <c r="C652" s="46"/>
      <c r="D652" s="46"/>
      <c r="E652" s="17"/>
      <c r="F652" s="46"/>
      <c r="G652" s="46"/>
      <c r="H652" s="46"/>
      <c r="I652" s="17"/>
      <c r="J652" s="46"/>
      <c r="K652" s="46"/>
      <c r="L652" s="46"/>
      <c r="M652" s="17"/>
      <c r="N652" s="46"/>
      <c r="O652" s="46"/>
      <c r="P652" s="46"/>
      <c r="Q652" s="46"/>
      <c r="R652" s="46"/>
      <c r="S652" s="46"/>
      <c r="T652" s="46"/>
      <c r="U652" s="46"/>
      <c r="V652" s="46"/>
      <c r="W652" s="46"/>
      <c r="X652" s="46"/>
      <c r="Y652" s="46"/>
      <c r="Z652" s="46"/>
      <c r="AA652" s="46"/>
      <c r="AB652" s="46"/>
      <c r="AC652" s="46"/>
      <c r="AD652" s="46"/>
      <c r="AE652" s="46"/>
      <c r="AF652" s="46"/>
      <c r="AG652" s="123"/>
      <c r="AH652" s="123"/>
      <c r="AI652" s="123"/>
      <c r="AJ652" s="123"/>
      <c r="AK652" s="46"/>
      <c r="AL652" s="46"/>
      <c r="AM652" s="46"/>
      <c r="AN652" s="46"/>
      <c r="AO652" s="46"/>
    </row>
    <row r="653">
      <c r="A653" s="17"/>
      <c r="B653" s="46"/>
      <c r="C653" s="46"/>
      <c r="D653" s="46"/>
      <c r="E653" s="17"/>
      <c r="F653" s="46"/>
      <c r="G653" s="46"/>
      <c r="H653" s="46"/>
      <c r="I653" s="17"/>
      <c r="J653" s="46"/>
      <c r="K653" s="46"/>
      <c r="L653" s="46"/>
      <c r="M653" s="17"/>
      <c r="N653" s="46"/>
      <c r="O653" s="46"/>
      <c r="P653" s="46"/>
      <c r="Q653" s="46"/>
      <c r="R653" s="46"/>
      <c r="S653" s="46"/>
      <c r="T653" s="46"/>
      <c r="U653" s="46"/>
      <c r="V653" s="46"/>
      <c r="W653" s="46"/>
      <c r="X653" s="46"/>
      <c r="Y653" s="46"/>
      <c r="Z653" s="46"/>
      <c r="AA653" s="46"/>
      <c r="AB653" s="46"/>
      <c r="AC653" s="46"/>
      <c r="AD653" s="46"/>
      <c r="AE653" s="46"/>
      <c r="AF653" s="46"/>
      <c r="AG653" s="123"/>
      <c r="AH653" s="123"/>
      <c r="AI653" s="123"/>
      <c r="AJ653" s="123"/>
      <c r="AK653" s="46"/>
      <c r="AL653" s="46"/>
      <c r="AM653" s="46"/>
      <c r="AN653" s="46"/>
      <c r="AO653" s="46"/>
    </row>
    <row r="654">
      <c r="A654" s="17"/>
      <c r="B654" s="46"/>
      <c r="C654" s="46"/>
      <c r="D654" s="46"/>
      <c r="E654" s="17"/>
      <c r="F654" s="46"/>
      <c r="G654" s="46"/>
      <c r="H654" s="46"/>
      <c r="I654" s="17"/>
      <c r="J654" s="46"/>
      <c r="K654" s="46"/>
      <c r="L654" s="46"/>
      <c r="M654" s="17"/>
      <c r="N654" s="46"/>
      <c r="O654" s="46"/>
      <c r="P654" s="46"/>
      <c r="Q654" s="46"/>
      <c r="R654" s="46"/>
      <c r="S654" s="46"/>
      <c r="T654" s="46"/>
      <c r="U654" s="46"/>
      <c r="V654" s="46"/>
      <c r="W654" s="46"/>
      <c r="X654" s="46"/>
      <c r="Y654" s="46"/>
      <c r="Z654" s="46"/>
      <c r="AA654" s="46"/>
      <c r="AB654" s="46"/>
      <c r="AC654" s="46"/>
      <c r="AD654" s="46"/>
      <c r="AE654" s="46"/>
      <c r="AF654" s="46"/>
      <c r="AG654" s="123"/>
      <c r="AH654" s="123"/>
      <c r="AI654" s="123"/>
      <c r="AJ654" s="123"/>
      <c r="AK654" s="46"/>
      <c r="AL654" s="46"/>
      <c r="AM654" s="46"/>
      <c r="AN654" s="46"/>
      <c r="AO654" s="46"/>
    </row>
    <row r="655">
      <c r="A655" s="17"/>
      <c r="B655" s="46"/>
      <c r="C655" s="46"/>
      <c r="D655" s="46"/>
      <c r="E655" s="17"/>
      <c r="F655" s="46"/>
      <c r="G655" s="46"/>
      <c r="H655" s="46"/>
      <c r="I655" s="17"/>
      <c r="J655" s="46"/>
      <c r="K655" s="46"/>
      <c r="L655" s="46"/>
      <c r="M655" s="17"/>
      <c r="N655" s="46"/>
      <c r="O655" s="46"/>
      <c r="P655" s="46"/>
      <c r="Q655" s="46"/>
      <c r="R655" s="46"/>
      <c r="S655" s="46"/>
      <c r="T655" s="46"/>
      <c r="U655" s="46"/>
      <c r="V655" s="46"/>
      <c r="W655" s="46"/>
      <c r="X655" s="46"/>
      <c r="Y655" s="46"/>
      <c r="Z655" s="46"/>
      <c r="AA655" s="46"/>
      <c r="AB655" s="46"/>
      <c r="AC655" s="46"/>
      <c r="AD655" s="46"/>
      <c r="AE655" s="46"/>
      <c r="AF655" s="46"/>
      <c r="AG655" s="123"/>
      <c r="AH655" s="123"/>
      <c r="AI655" s="123"/>
      <c r="AJ655" s="123"/>
      <c r="AK655" s="46"/>
      <c r="AL655" s="46"/>
      <c r="AM655" s="46"/>
      <c r="AN655" s="46"/>
      <c r="AO655" s="46"/>
    </row>
    <row r="656">
      <c r="A656" s="17"/>
      <c r="B656" s="46"/>
      <c r="C656" s="46"/>
      <c r="D656" s="46"/>
      <c r="E656" s="17"/>
      <c r="F656" s="46"/>
      <c r="G656" s="46"/>
      <c r="H656" s="46"/>
      <c r="I656" s="17"/>
      <c r="J656" s="46"/>
      <c r="K656" s="46"/>
      <c r="L656" s="46"/>
      <c r="M656" s="17"/>
      <c r="N656" s="46"/>
      <c r="O656" s="46"/>
      <c r="P656" s="46"/>
      <c r="Q656" s="46"/>
      <c r="R656" s="46"/>
      <c r="S656" s="46"/>
      <c r="T656" s="46"/>
      <c r="U656" s="46"/>
      <c r="V656" s="46"/>
      <c r="W656" s="46"/>
      <c r="X656" s="46"/>
      <c r="Y656" s="46"/>
      <c r="Z656" s="46"/>
      <c r="AA656" s="46"/>
      <c r="AB656" s="46"/>
      <c r="AC656" s="46"/>
      <c r="AD656" s="46"/>
      <c r="AE656" s="46"/>
      <c r="AF656" s="46"/>
      <c r="AG656" s="123"/>
      <c r="AH656" s="123"/>
      <c r="AI656" s="123"/>
      <c r="AJ656" s="123"/>
      <c r="AK656" s="46"/>
      <c r="AL656" s="46"/>
      <c r="AM656" s="46"/>
      <c r="AN656" s="46"/>
      <c r="AO656" s="46"/>
    </row>
    <row r="657">
      <c r="A657" s="17"/>
      <c r="B657" s="46"/>
      <c r="C657" s="46"/>
      <c r="D657" s="46"/>
      <c r="E657" s="17"/>
      <c r="F657" s="46"/>
      <c r="G657" s="46"/>
      <c r="H657" s="46"/>
      <c r="I657" s="17"/>
      <c r="J657" s="46"/>
      <c r="K657" s="46"/>
      <c r="L657" s="46"/>
      <c r="M657" s="17"/>
      <c r="N657" s="46"/>
      <c r="O657" s="46"/>
      <c r="P657" s="46"/>
      <c r="Q657" s="46"/>
      <c r="R657" s="46"/>
      <c r="S657" s="46"/>
      <c r="T657" s="46"/>
      <c r="U657" s="46"/>
      <c r="V657" s="46"/>
      <c r="W657" s="46"/>
      <c r="X657" s="46"/>
      <c r="Y657" s="46"/>
      <c r="Z657" s="46"/>
      <c r="AA657" s="46"/>
      <c r="AB657" s="46"/>
      <c r="AC657" s="46"/>
      <c r="AD657" s="46"/>
      <c r="AE657" s="46"/>
      <c r="AF657" s="46"/>
      <c r="AG657" s="123"/>
      <c r="AH657" s="123"/>
      <c r="AI657" s="123"/>
      <c r="AJ657" s="123"/>
      <c r="AK657" s="46"/>
      <c r="AL657" s="46"/>
      <c r="AM657" s="46"/>
      <c r="AN657" s="46"/>
      <c r="AO657" s="46"/>
    </row>
    <row r="658">
      <c r="A658" s="17"/>
      <c r="B658" s="46"/>
      <c r="C658" s="46"/>
      <c r="D658" s="46"/>
      <c r="E658" s="17"/>
      <c r="F658" s="46"/>
      <c r="G658" s="46"/>
      <c r="H658" s="46"/>
      <c r="I658" s="17"/>
      <c r="J658" s="46"/>
      <c r="K658" s="46"/>
      <c r="L658" s="46"/>
      <c r="M658" s="17"/>
      <c r="N658" s="46"/>
      <c r="O658" s="46"/>
      <c r="P658" s="46"/>
      <c r="Q658" s="46"/>
      <c r="R658" s="46"/>
      <c r="S658" s="46"/>
      <c r="T658" s="46"/>
      <c r="U658" s="46"/>
      <c r="V658" s="46"/>
      <c r="W658" s="46"/>
      <c r="X658" s="46"/>
      <c r="Y658" s="46"/>
      <c r="Z658" s="46"/>
      <c r="AA658" s="46"/>
      <c r="AB658" s="46"/>
      <c r="AC658" s="46"/>
      <c r="AD658" s="46"/>
      <c r="AE658" s="46"/>
      <c r="AF658" s="46"/>
      <c r="AG658" s="123"/>
      <c r="AH658" s="123"/>
      <c r="AI658" s="123"/>
      <c r="AJ658" s="123"/>
      <c r="AK658" s="46"/>
      <c r="AL658" s="46"/>
      <c r="AM658" s="46"/>
      <c r="AN658" s="46"/>
      <c r="AO658" s="46"/>
    </row>
    <row r="659">
      <c r="A659" s="17"/>
      <c r="B659" s="46"/>
      <c r="C659" s="46"/>
      <c r="D659" s="46"/>
      <c r="E659" s="17"/>
      <c r="F659" s="46"/>
      <c r="G659" s="46"/>
      <c r="H659" s="46"/>
      <c r="I659" s="17"/>
      <c r="J659" s="46"/>
      <c r="K659" s="46"/>
      <c r="L659" s="46"/>
      <c r="M659" s="17"/>
      <c r="N659" s="46"/>
      <c r="O659" s="46"/>
      <c r="P659" s="46"/>
      <c r="Q659" s="46"/>
      <c r="R659" s="46"/>
      <c r="S659" s="46"/>
      <c r="T659" s="46"/>
      <c r="U659" s="46"/>
      <c r="V659" s="46"/>
      <c r="W659" s="46"/>
      <c r="X659" s="46"/>
      <c r="Y659" s="46"/>
      <c r="Z659" s="46"/>
      <c r="AA659" s="46"/>
      <c r="AB659" s="46"/>
      <c r="AC659" s="46"/>
      <c r="AD659" s="46"/>
      <c r="AE659" s="46"/>
      <c r="AF659" s="46"/>
      <c r="AG659" s="123"/>
      <c r="AH659" s="123"/>
      <c r="AI659" s="123"/>
      <c r="AJ659" s="123"/>
      <c r="AK659" s="46"/>
      <c r="AL659" s="46"/>
      <c r="AM659" s="46"/>
      <c r="AN659" s="46"/>
      <c r="AO659" s="46"/>
    </row>
    <row r="660">
      <c r="A660" s="17"/>
      <c r="B660" s="46"/>
      <c r="C660" s="46"/>
      <c r="D660" s="46"/>
      <c r="E660" s="17"/>
      <c r="F660" s="46"/>
      <c r="G660" s="46"/>
      <c r="H660" s="46"/>
      <c r="I660" s="17"/>
      <c r="J660" s="46"/>
      <c r="K660" s="46"/>
      <c r="L660" s="46"/>
      <c r="M660" s="17"/>
      <c r="N660" s="46"/>
      <c r="O660" s="46"/>
      <c r="P660" s="46"/>
      <c r="Q660" s="46"/>
      <c r="R660" s="46"/>
      <c r="S660" s="46"/>
      <c r="T660" s="46"/>
      <c r="U660" s="46"/>
      <c r="V660" s="46"/>
      <c r="W660" s="46"/>
      <c r="X660" s="46"/>
      <c r="Y660" s="46"/>
      <c r="Z660" s="46"/>
      <c r="AA660" s="46"/>
      <c r="AB660" s="46"/>
      <c r="AC660" s="46"/>
      <c r="AD660" s="46"/>
      <c r="AE660" s="46"/>
      <c r="AF660" s="46"/>
      <c r="AG660" s="123"/>
      <c r="AH660" s="123"/>
      <c r="AI660" s="123"/>
      <c r="AJ660" s="123"/>
      <c r="AK660" s="46"/>
      <c r="AL660" s="46"/>
      <c r="AM660" s="46"/>
      <c r="AN660" s="46"/>
      <c r="AO660" s="46"/>
    </row>
    <row r="661">
      <c r="A661" s="17"/>
      <c r="B661" s="46"/>
      <c r="C661" s="46"/>
      <c r="D661" s="46"/>
      <c r="E661" s="17"/>
      <c r="F661" s="46"/>
      <c r="G661" s="46"/>
      <c r="H661" s="46"/>
      <c r="I661" s="17"/>
      <c r="J661" s="46"/>
      <c r="K661" s="46"/>
      <c r="L661" s="46"/>
      <c r="M661" s="17"/>
      <c r="N661" s="46"/>
      <c r="O661" s="46"/>
      <c r="P661" s="46"/>
      <c r="Q661" s="46"/>
      <c r="R661" s="46"/>
      <c r="S661" s="46"/>
      <c r="T661" s="46"/>
      <c r="U661" s="46"/>
      <c r="V661" s="46"/>
      <c r="W661" s="46"/>
      <c r="X661" s="46"/>
      <c r="Y661" s="46"/>
      <c r="Z661" s="46"/>
      <c r="AA661" s="46"/>
      <c r="AB661" s="46"/>
      <c r="AC661" s="46"/>
      <c r="AD661" s="46"/>
      <c r="AE661" s="46"/>
      <c r="AF661" s="46"/>
      <c r="AG661" s="123"/>
      <c r="AH661" s="123"/>
      <c r="AI661" s="123"/>
      <c r="AJ661" s="123"/>
      <c r="AK661" s="46"/>
      <c r="AL661" s="46"/>
      <c r="AM661" s="46"/>
      <c r="AN661" s="46"/>
      <c r="AO661" s="46"/>
    </row>
    <row r="662">
      <c r="A662" s="17"/>
      <c r="B662" s="46"/>
      <c r="C662" s="46"/>
      <c r="D662" s="46"/>
      <c r="E662" s="17"/>
      <c r="F662" s="46"/>
      <c r="G662" s="46"/>
      <c r="H662" s="46"/>
      <c r="I662" s="17"/>
      <c r="J662" s="46"/>
      <c r="K662" s="46"/>
      <c r="L662" s="46"/>
      <c r="M662" s="17"/>
      <c r="N662" s="46"/>
      <c r="O662" s="46"/>
      <c r="P662" s="46"/>
      <c r="Q662" s="46"/>
      <c r="R662" s="46"/>
      <c r="S662" s="46"/>
      <c r="T662" s="46"/>
      <c r="U662" s="46"/>
      <c r="V662" s="46"/>
      <c r="W662" s="46"/>
      <c r="X662" s="46"/>
      <c r="Y662" s="46"/>
      <c r="Z662" s="46"/>
      <c r="AA662" s="46"/>
      <c r="AB662" s="46"/>
      <c r="AC662" s="46"/>
      <c r="AD662" s="46"/>
      <c r="AE662" s="46"/>
      <c r="AF662" s="46"/>
      <c r="AG662" s="123"/>
      <c r="AH662" s="123"/>
      <c r="AI662" s="123"/>
      <c r="AJ662" s="123"/>
      <c r="AK662" s="46"/>
      <c r="AL662" s="46"/>
      <c r="AM662" s="46"/>
      <c r="AN662" s="46"/>
      <c r="AO662" s="46"/>
    </row>
    <row r="663">
      <c r="A663" s="17"/>
      <c r="B663" s="46"/>
      <c r="C663" s="46"/>
      <c r="D663" s="46"/>
      <c r="E663" s="17"/>
      <c r="F663" s="46"/>
      <c r="G663" s="46"/>
      <c r="H663" s="46"/>
      <c r="I663" s="17"/>
      <c r="J663" s="46"/>
      <c r="K663" s="46"/>
      <c r="L663" s="46"/>
      <c r="M663" s="17"/>
      <c r="N663" s="46"/>
      <c r="O663" s="46"/>
      <c r="P663" s="46"/>
      <c r="Q663" s="46"/>
      <c r="R663" s="46"/>
      <c r="S663" s="46"/>
      <c r="T663" s="46"/>
      <c r="U663" s="46"/>
      <c r="V663" s="46"/>
      <c r="W663" s="46"/>
      <c r="X663" s="46"/>
      <c r="Y663" s="46"/>
      <c r="Z663" s="46"/>
      <c r="AA663" s="46"/>
      <c r="AB663" s="46"/>
      <c r="AC663" s="46"/>
      <c r="AD663" s="46"/>
      <c r="AE663" s="46"/>
      <c r="AF663" s="46"/>
      <c r="AG663" s="123"/>
      <c r="AH663" s="123"/>
      <c r="AI663" s="123"/>
      <c r="AJ663" s="123"/>
      <c r="AK663" s="46"/>
      <c r="AL663" s="46"/>
      <c r="AM663" s="46"/>
      <c r="AN663" s="46"/>
      <c r="AO663" s="46"/>
    </row>
    <row r="664">
      <c r="A664" s="17"/>
      <c r="B664" s="46"/>
      <c r="C664" s="46"/>
      <c r="D664" s="46"/>
      <c r="E664" s="17"/>
      <c r="F664" s="46"/>
      <c r="G664" s="46"/>
      <c r="H664" s="46"/>
      <c r="I664" s="17"/>
      <c r="J664" s="46"/>
      <c r="K664" s="46"/>
      <c r="L664" s="46"/>
      <c r="M664" s="17"/>
      <c r="N664" s="46"/>
      <c r="O664" s="46"/>
      <c r="P664" s="46"/>
      <c r="Q664" s="46"/>
      <c r="R664" s="46"/>
      <c r="S664" s="46"/>
      <c r="T664" s="46"/>
      <c r="U664" s="46"/>
      <c r="V664" s="46"/>
      <c r="W664" s="46"/>
      <c r="X664" s="46"/>
      <c r="Y664" s="46"/>
      <c r="Z664" s="46"/>
      <c r="AA664" s="46"/>
      <c r="AB664" s="46"/>
      <c r="AC664" s="46"/>
      <c r="AD664" s="46"/>
      <c r="AE664" s="46"/>
      <c r="AF664" s="46"/>
      <c r="AG664" s="123"/>
      <c r="AH664" s="123"/>
      <c r="AI664" s="123"/>
      <c r="AJ664" s="123"/>
      <c r="AK664" s="46"/>
      <c r="AL664" s="46"/>
      <c r="AM664" s="46"/>
      <c r="AN664" s="46"/>
      <c r="AO664" s="46"/>
    </row>
    <row r="665">
      <c r="A665" s="17"/>
      <c r="B665" s="46"/>
      <c r="C665" s="46"/>
      <c r="D665" s="46"/>
      <c r="E665" s="17"/>
      <c r="F665" s="46"/>
      <c r="G665" s="46"/>
      <c r="H665" s="46"/>
      <c r="I665" s="17"/>
      <c r="J665" s="46"/>
      <c r="K665" s="46"/>
      <c r="L665" s="46"/>
      <c r="M665" s="17"/>
      <c r="N665" s="46"/>
      <c r="O665" s="46"/>
      <c r="P665" s="46"/>
      <c r="Q665" s="46"/>
      <c r="R665" s="46"/>
      <c r="S665" s="46"/>
      <c r="T665" s="46"/>
      <c r="U665" s="46"/>
      <c r="V665" s="46"/>
      <c r="W665" s="46"/>
      <c r="X665" s="46"/>
      <c r="Y665" s="46"/>
      <c r="Z665" s="46"/>
      <c r="AA665" s="46"/>
      <c r="AB665" s="46"/>
      <c r="AC665" s="46"/>
      <c r="AD665" s="46"/>
      <c r="AE665" s="46"/>
      <c r="AF665" s="46"/>
      <c r="AG665" s="123"/>
      <c r="AH665" s="123"/>
      <c r="AI665" s="123"/>
      <c r="AJ665" s="123"/>
      <c r="AK665" s="46"/>
      <c r="AL665" s="46"/>
      <c r="AM665" s="46"/>
      <c r="AN665" s="46"/>
      <c r="AO665" s="46"/>
    </row>
    <row r="666">
      <c r="A666" s="17"/>
      <c r="B666" s="46"/>
      <c r="C666" s="46"/>
      <c r="D666" s="46"/>
      <c r="E666" s="17"/>
      <c r="F666" s="46"/>
      <c r="G666" s="46"/>
      <c r="H666" s="46"/>
      <c r="I666" s="17"/>
      <c r="J666" s="46"/>
      <c r="K666" s="46"/>
      <c r="L666" s="46"/>
      <c r="M666" s="17"/>
      <c r="N666" s="46"/>
      <c r="O666" s="46"/>
      <c r="P666" s="46"/>
      <c r="Q666" s="46"/>
      <c r="R666" s="46"/>
      <c r="S666" s="46"/>
      <c r="T666" s="46"/>
      <c r="U666" s="46"/>
      <c r="V666" s="46"/>
      <c r="W666" s="46"/>
      <c r="X666" s="46"/>
      <c r="Y666" s="46"/>
      <c r="Z666" s="46"/>
      <c r="AA666" s="46"/>
      <c r="AB666" s="46"/>
      <c r="AC666" s="46"/>
      <c r="AD666" s="46"/>
      <c r="AE666" s="46"/>
      <c r="AF666" s="46"/>
      <c r="AG666" s="123"/>
      <c r="AH666" s="123"/>
      <c r="AI666" s="123"/>
      <c r="AJ666" s="123"/>
      <c r="AK666" s="46"/>
      <c r="AL666" s="46"/>
      <c r="AM666" s="46"/>
      <c r="AN666" s="46"/>
      <c r="AO666" s="46"/>
    </row>
    <row r="667">
      <c r="A667" s="17"/>
      <c r="B667" s="46"/>
      <c r="C667" s="46"/>
      <c r="D667" s="46"/>
      <c r="E667" s="17"/>
      <c r="F667" s="46"/>
      <c r="G667" s="46"/>
      <c r="H667" s="46"/>
      <c r="I667" s="17"/>
      <c r="J667" s="46"/>
      <c r="K667" s="46"/>
      <c r="L667" s="46"/>
      <c r="M667" s="17"/>
      <c r="N667" s="46"/>
      <c r="O667" s="46"/>
      <c r="P667" s="46"/>
      <c r="Q667" s="46"/>
      <c r="R667" s="46"/>
      <c r="S667" s="46"/>
      <c r="T667" s="46"/>
      <c r="U667" s="46"/>
      <c r="V667" s="46"/>
      <c r="W667" s="46"/>
      <c r="X667" s="46"/>
      <c r="Y667" s="46"/>
      <c r="Z667" s="46"/>
      <c r="AA667" s="46"/>
      <c r="AB667" s="46"/>
      <c r="AC667" s="46"/>
      <c r="AD667" s="46"/>
      <c r="AE667" s="46"/>
      <c r="AF667" s="46"/>
      <c r="AG667" s="123"/>
      <c r="AH667" s="123"/>
      <c r="AI667" s="123"/>
      <c r="AJ667" s="123"/>
      <c r="AK667" s="46"/>
      <c r="AL667" s="46"/>
      <c r="AM667" s="46"/>
      <c r="AN667" s="46"/>
      <c r="AO667" s="46"/>
    </row>
    <row r="668">
      <c r="A668" s="17"/>
      <c r="B668" s="46"/>
      <c r="C668" s="46"/>
      <c r="D668" s="46"/>
      <c r="E668" s="17"/>
      <c r="F668" s="46"/>
      <c r="G668" s="46"/>
      <c r="H668" s="46"/>
      <c r="I668" s="17"/>
      <c r="J668" s="46"/>
      <c r="K668" s="46"/>
      <c r="L668" s="46"/>
      <c r="M668" s="17"/>
      <c r="N668" s="46"/>
      <c r="O668" s="46"/>
      <c r="P668" s="46"/>
      <c r="Q668" s="46"/>
      <c r="R668" s="46"/>
      <c r="S668" s="46"/>
      <c r="T668" s="46"/>
      <c r="U668" s="46"/>
      <c r="V668" s="46"/>
      <c r="W668" s="46"/>
      <c r="X668" s="46"/>
      <c r="Y668" s="46"/>
      <c r="Z668" s="46"/>
      <c r="AA668" s="46"/>
      <c r="AB668" s="46"/>
      <c r="AC668" s="46"/>
      <c r="AD668" s="46"/>
      <c r="AE668" s="46"/>
      <c r="AF668" s="46"/>
      <c r="AG668" s="123"/>
      <c r="AH668" s="123"/>
      <c r="AI668" s="123"/>
      <c r="AJ668" s="123"/>
      <c r="AK668" s="46"/>
      <c r="AL668" s="46"/>
      <c r="AM668" s="46"/>
      <c r="AN668" s="46"/>
      <c r="AO668" s="46"/>
    </row>
    <row r="669">
      <c r="A669" s="17"/>
      <c r="B669" s="46"/>
      <c r="C669" s="46"/>
      <c r="D669" s="46"/>
      <c r="E669" s="17"/>
      <c r="F669" s="46"/>
      <c r="G669" s="46"/>
      <c r="H669" s="46"/>
      <c r="I669" s="17"/>
      <c r="J669" s="46"/>
      <c r="K669" s="46"/>
      <c r="L669" s="46"/>
      <c r="M669" s="17"/>
      <c r="N669" s="46"/>
      <c r="O669" s="46"/>
      <c r="P669" s="46"/>
      <c r="Q669" s="46"/>
      <c r="R669" s="46"/>
      <c r="S669" s="46"/>
      <c r="T669" s="46"/>
      <c r="U669" s="46"/>
      <c r="V669" s="46"/>
      <c r="W669" s="46"/>
      <c r="X669" s="46"/>
      <c r="Y669" s="46"/>
      <c r="Z669" s="46"/>
      <c r="AA669" s="46"/>
      <c r="AB669" s="46"/>
      <c r="AC669" s="46"/>
      <c r="AD669" s="46"/>
      <c r="AE669" s="46"/>
      <c r="AF669" s="46"/>
      <c r="AG669" s="123"/>
      <c r="AH669" s="123"/>
      <c r="AI669" s="123"/>
      <c r="AJ669" s="123"/>
      <c r="AK669" s="46"/>
      <c r="AL669" s="46"/>
      <c r="AM669" s="46"/>
      <c r="AN669" s="46"/>
      <c r="AO669" s="46"/>
    </row>
    <row r="670">
      <c r="A670" s="17"/>
      <c r="B670" s="46"/>
      <c r="C670" s="46"/>
      <c r="D670" s="46"/>
      <c r="E670" s="17"/>
      <c r="F670" s="46"/>
      <c r="G670" s="46"/>
      <c r="H670" s="46"/>
      <c r="I670" s="17"/>
      <c r="J670" s="46"/>
      <c r="K670" s="46"/>
      <c r="L670" s="46"/>
      <c r="M670" s="17"/>
      <c r="N670" s="46"/>
      <c r="O670" s="46"/>
      <c r="P670" s="46"/>
      <c r="Q670" s="46"/>
      <c r="R670" s="46"/>
      <c r="S670" s="46"/>
      <c r="T670" s="46"/>
      <c r="U670" s="46"/>
      <c r="V670" s="46"/>
      <c r="W670" s="46"/>
      <c r="X670" s="46"/>
      <c r="Y670" s="46"/>
      <c r="Z670" s="46"/>
      <c r="AA670" s="46"/>
      <c r="AB670" s="46"/>
      <c r="AC670" s="46"/>
      <c r="AD670" s="46"/>
      <c r="AE670" s="46"/>
      <c r="AF670" s="46"/>
      <c r="AG670" s="123"/>
      <c r="AH670" s="123"/>
      <c r="AI670" s="123"/>
      <c r="AJ670" s="123"/>
      <c r="AK670" s="46"/>
      <c r="AL670" s="46"/>
      <c r="AM670" s="46"/>
      <c r="AN670" s="46"/>
      <c r="AO670" s="46"/>
    </row>
    <row r="671">
      <c r="A671" s="17"/>
      <c r="B671" s="46"/>
      <c r="C671" s="46"/>
      <c r="D671" s="46"/>
      <c r="E671" s="17"/>
      <c r="F671" s="46"/>
      <c r="G671" s="46"/>
      <c r="H671" s="46"/>
      <c r="I671" s="17"/>
      <c r="J671" s="46"/>
      <c r="K671" s="46"/>
      <c r="L671" s="46"/>
      <c r="M671" s="17"/>
      <c r="N671" s="46"/>
      <c r="O671" s="46"/>
      <c r="P671" s="46"/>
      <c r="Q671" s="46"/>
      <c r="R671" s="46"/>
      <c r="S671" s="46"/>
      <c r="T671" s="46"/>
      <c r="U671" s="46"/>
      <c r="V671" s="46"/>
      <c r="W671" s="46"/>
      <c r="X671" s="46"/>
      <c r="Y671" s="46"/>
      <c r="Z671" s="46"/>
      <c r="AA671" s="46"/>
      <c r="AB671" s="46"/>
      <c r="AC671" s="46"/>
      <c r="AD671" s="46"/>
      <c r="AE671" s="46"/>
      <c r="AF671" s="46"/>
      <c r="AG671" s="123"/>
      <c r="AH671" s="123"/>
      <c r="AI671" s="123"/>
      <c r="AJ671" s="123"/>
      <c r="AK671" s="46"/>
      <c r="AL671" s="46"/>
      <c r="AM671" s="46"/>
      <c r="AN671" s="46"/>
      <c r="AO671" s="46"/>
    </row>
    <row r="672">
      <c r="A672" s="17"/>
      <c r="B672" s="46"/>
      <c r="C672" s="46"/>
      <c r="D672" s="46"/>
      <c r="E672" s="17"/>
      <c r="F672" s="46"/>
      <c r="G672" s="46"/>
      <c r="H672" s="46"/>
      <c r="I672" s="17"/>
      <c r="J672" s="46"/>
      <c r="K672" s="46"/>
      <c r="L672" s="46"/>
      <c r="M672" s="17"/>
      <c r="N672" s="46"/>
      <c r="O672" s="46"/>
      <c r="P672" s="46"/>
      <c r="Q672" s="46"/>
      <c r="R672" s="46"/>
      <c r="S672" s="46"/>
      <c r="T672" s="46"/>
      <c r="U672" s="46"/>
      <c r="V672" s="46"/>
      <c r="W672" s="46"/>
      <c r="X672" s="46"/>
      <c r="Y672" s="46"/>
      <c r="Z672" s="46"/>
      <c r="AA672" s="46"/>
      <c r="AB672" s="46"/>
      <c r="AC672" s="46"/>
      <c r="AD672" s="46"/>
      <c r="AE672" s="46"/>
      <c r="AF672" s="46"/>
      <c r="AG672" s="123"/>
      <c r="AH672" s="123"/>
      <c r="AI672" s="123"/>
      <c r="AJ672" s="123"/>
      <c r="AK672" s="46"/>
      <c r="AL672" s="46"/>
      <c r="AM672" s="46"/>
      <c r="AN672" s="46"/>
      <c r="AO672" s="46"/>
    </row>
    <row r="673">
      <c r="A673" s="17"/>
      <c r="B673" s="46"/>
      <c r="C673" s="46"/>
      <c r="D673" s="46"/>
      <c r="E673" s="17"/>
      <c r="F673" s="46"/>
      <c r="G673" s="46"/>
      <c r="H673" s="46"/>
      <c r="I673" s="17"/>
      <c r="J673" s="46"/>
      <c r="K673" s="46"/>
      <c r="L673" s="46"/>
      <c r="M673" s="17"/>
      <c r="N673" s="46"/>
      <c r="O673" s="46"/>
      <c r="P673" s="46"/>
      <c r="Q673" s="46"/>
      <c r="R673" s="46"/>
      <c r="S673" s="46"/>
      <c r="T673" s="46"/>
      <c r="U673" s="46"/>
      <c r="V673" s="46"/>
      <c r="W673" s="46"/>
      <c r="X673" s="46"/>
      <c r="Y673" s="46"/>
      <c r="Z673" s="46"/>
      <c r="AA673" s="46"/>
      <c r="AB673" s="46"/>
      <c r="AC673" s="46"/>
      <c r="AD673" s="46"/>
      <c r="AE673" s="46"/>
      <c r="AF673" s="46"/>
      <c r="AG673" s="123"/>
      <c r="AH673" s="123"/>
      <c r="AI673" s="123"/>
      <c r="AJ673" s="123"/>
      <c r="AK673" s="46"/>
      <c r="AL673" s="46"/>
      <c r="AM673" s="46"/>
      <c r="AN673" s="46"/>
      <c r="AO673" s="46"/>
    </row>
    <row r="674">
      <c r="A674" s="17"/>
      <c r="B674" s="46"/>
      <c r="C674" s="46"/>
      <c r="D674" s="46"/>
      <c r="E674" s="17"/>
      <c r="F674" s="46"/>
      <c r="G674" s="46"/>
      <c r="H674" s="46"/>
      <c r="I674" s="17"/>
      <c r="J674" s="46"/>
      <c r="K674" s="46"/>
      <c r="L674" s="46"/>
      <c r="M674" s="17"/>
      <c r="N674" s="46"/>
      <c r="O674" s="46"/>
      <c r="P674" s="46"/>
      <c r="Q674" s="46"/>
      <c r="R674" s="46"/>
      <c r="S674" s="46"/>
      <c r="T674" s="46"/>
      <c r="U674" s="46"/>
      <c r="V674" s="46"/>
      <c r="W674" s="46"/>
      <c r="X674" s="46"/>
      <c r="Y674" s="46"/>
      <c r="Z674" s="46"/>
      <c r="AA674" s="46"/>
      <c r="AB674" s="46"/>
      <c r="AC674" s="46"/>
      <c r="AD674" s="46"/>
      <c r="AE674" s="46"/>
      <c r="AF674" s="46"/>
      <c r="AG674" s="123"/>
      <c r="AH674" s="123"/>
      <c r="AI674" s="123"/>
      <c r="AJ674" s="123"/>
      <c r="AK674" s="46"/>
      <c r="AL674" s="46"/>
      <c r="AM674" s="46"/>
      <c r="AN674" s="46"/>
      <c r="AO674" s="46"/>
    </row>
    <row r="675">
      <c r="A675" s="17"/>
      <c r="B675" s="46"/>
      <c r="C675" s="46"/>
      <c r="D675" s="46"/>
      <c r="E675" s="17"/>
      <c r="F675" s="46"/>
      <c r="G675" s="46"/>
      <c r="H675" s="46"/>
      <c r="I675" s="17"/>
      <c r="J675" s="46"/>
      <c r="K675" s="46"/>
      <c r="L675" s="46"/>
      <c r="M675" s="17"/>
      <c r="N675" s="46"/>
      <c r="O675" s="46"/>
      <c r="P675" s="46"/>
      <c r="Q675" s="46"/>
      <c r="R675" s="46"/>
      <c r="S675" s="46"/>
      <c r="T675" s="46"/>
      <c r="U675" s="46"/>
      <c r="V675" s="46"/>
      <c r="W675" s="46"/>
      <c r="X675" s="46"/>
      <c r="Y675" s="46"/>
      <c r="Z675" s="46"/>
      <c r="AA675" s="46"/>
      <c r="AB675" s="46"/>
      <c r="AC675" s="46"/>
      <c r="AD675" s="46"/>
      <c r="AE675" s="46"/>
      <c r="AF675" s="46"/>
      <c r="AG675" s="123"/>
      <c r="AH675" s="123"/>
      <c r="AI675" s="123"/>
      <c r="AJ675" s="123"/>
      <c r="AK675" s="46"/>
      <c r="AL675" s="46"/>
      <c r="AM675" s="46"/>
      <c r="AN675" s="46"/>
      <c r="AO675" s="46"/>
    </row>
    <row r="676">
      <c r="A676" s="17"/>
      <c r="B676" s="46"/>
      <c r="C676" s="46"/>
      <c r="D676" s="46"/>
      <c r="E676" s="17"/>
      <c r="F676" s="46"/>
      <c r="G676" s="46"/>
      <c r="H676" s="46"/>
      <c r="I676" s="17"/>
      <c r="J676" s="46"/>
      <c r="K676" s="46"/>
      <c r="L676" s="46"/>
      <c r="M676" s="17"/>
      <c r="N676" s="46"/>
      <c r="O676" s="46"/>
      <c r="P676" s="46"/>
      <c r="Q676" s="46"/>
      <c r="R676" s="46"/>
      <c r="S676" s="46"/>
      <c r="T676" s="46"/>
      <c r="U676" s="46"/>
      <c r="V676" s="46"/>
      <c r="W676" s="46"/>
      <c r="X676" s="46"/>
      <c r="Y676" s="46"/>
      <c r="Z676" s="46"/>
      <c r="AA676" s="46"/>
      <c r="AB676" s="46"/>
      <c r="AC676" s="46"/>
      <c r="AD676" s="46"/>
      <c r="AE676" s="46"/>
      <c r="AF676" s="46"/>
      <c r="AG676" s="123"/>
      <c r="AH676" s="123"/>
      <c r="AI676" s="123"/>
      <c r="AJ676" s="123"/>
      <c r="AK676" s="46"/>
      <c r="AL676" s="46"/>
      <c r="AM676" s="46"/>
      <c r="AN676" s="46"/>
      <c r="AO676" s="46"/>
    </row>
    <row r="677">
      <c r="A677" s="17"/>
      <c r="B677" s="46"/>
      <c r="C677" s="46"/>
      <c r="D677" s="46"/>
      <c r="E677" s="17"/>
      <c r="F677" s="46"/>
      <c r="G677" s="46"/>
      <c r="H677" s="46"/>
      <c r="I677" s="17"/>
      <c r="J677" s="46"/>
      <c r="K677" s="46"/>
      <c r="L677" s="46"/>
      <c r="M677" s="17"/>
      <c r="N677" s="46"/>
      <c r="O677" s="46"/>
      <c r="P677" s="46"/>
      <c r="Q677" s="46"/>
      <c r="R677" s="46"/>
      <c r="S677" s="46"/>
      <c r="T677" s="46"/>
      <c r="U677" s="46"/>
      <c r="V677" s="46"/>
      <c r="W677" s="46"/>
      <c r="X677" s="46"/>
      <c r="Y677" s="46"/>
      <c r="Z677" s="46"/>
      <c r="AA677" s="46"/>
      <c r="AB677" s="46"/>
      <c r="AC677" s="46"/>
      <c r="AD677" s="46"/>
      <c r="AE677" s="46"/>
      <c r="AF677" s="46"/>
      <c r="AG677" s="123"/>
      <c r="AH677" s="123"/>
      <c r="AI677" s="123"/>
      <c r="AJ677" s="123"/>
      <c r="AK677" s="46"/>
      <c r="AL677" s="46"/>
      <c r="AM677" s="46"/>
      <c r="AN677" s="46"/>
      <c r="AO677" s="46"/>
    </row>
    <row r="678">
      <c r="A678" s="17"/>
      <c r="B678" s="46"/>
      <c r="C678" s="46"/>
      <c r="D678" s="46"/>
      <c r="E678" s="17"/>
      <c r="F678" s="46"/>
      <c r="G678" s="46"/>
      <c r="H678" s="46"/>
      <c r="I678" s="17"/>
      <c r="J678" s="46"/>
      <c r="K678" s="46"/>
      <c r="L678" s="46"/>
      <c r="M678" s="17"/>
      <c r="N678" s="46"/>
      <c r="O678" s="46"/>
      <c r="P678" s="46"/>
      <c r="Q678" s="46"/>
      <c r="R678" s="46"/>
      <c r="S678" s="46"/>
      <c r="T678" s="46"/>
      <c r="U678" s="46"/>
      <c r="V678" s="46"/>
      <c r="W678" s="46"/>
      <c r="X678" s="46"/>
      <c r="Y678" s="46"/>
      <c r="Z678" s="46"/>
      <c r="AA678" s="46"/>
      <c r="AB678" s="46"/>
      <c r="AC678" s="46"/>
      <c r="AD678" s="46"/>
      <c r="AE678" s="46"/>
      <c r="AF678" s="46"/>
      <c r="AG678" s="123"/>
      <c r="AH678" s="123"/>
      <c r="AI678" s="123"/>
      <c r="AJ678" s="123"/>
      <c r="AK678" s="46"/>
      <c r="AL678" s="46"/>
      <c r="AM678" s="46"/>
      <c r="AN678" s="46"/>
      <c r="AO678" s="46"/>
    </row>
    <row r="679">
      <c r="A679" s="17"/>
      <c r="B679" s="46"/>
      <c r="C679" s="46"/>
      <c r="D679" s="46"/>
      <c r="E679" s="17"/>
      <c r="F679" s="46"/>
      <c r="G679" s="46"/>
      <c r="H679" s="46"/>
      <c r="I679" s="17"/>
      <c r="J679" s="46"/>
      <c r="K679" s="46"/>
      <c r="L679" s="46"/>
      <c r="M679" s="17"/>
      <c r="N679" s="46"/>
      <c r="O679" s="46"/>
      <c r="P679" s="46"/>
      <c r="Q679" s="46"/>
      <c r="R679" s="46"/>
      <c r="S679" s="46"/>
      <c r="T679" s="46"/>
      <c r="U679" s="46"/>
      <c r="V679" s="46"/>
      <c r="W679" s="46"/>
      <c r="X679" s="46"/>
      <c r="Y679" s="46"/>
      <c r="Z679" s="46"/>
      <c r="AA679" s="46"/>
      <c r="AB679" s="46"/>
      <c r="AC679" s="46"/>
      <c r="AD679" s="46"/>
      <c r="AE679" s="46"/>
      <c r="AF679" s="46"/>
      <c r="AG679" s="123"/>
      <c r="AH679" s="123"/>
      <c r="AI679" s="123"/>
      <c r="AJ679" s="123"/>
      <c r="AK679" s="46"/>
      <c r="AL679" s="46"/>
      <c r="AM679" s="46"/>
      <c r="AN679" s="46"/>
      <c r="AO679" s="46"/>
    </row>
    <row r="680">
      <c r="A680" s="17"/>
      <c r="B680" s="46"/>
      <c r="C680" s="46"/>
      <c r="D680" s="46"/>
      <c r="E680" s="17"/>
      <c r="F680" s="46"/>
      <c r="G680" s="46"/>
      <c r="H680" s="46"/>
      <c r="I680" s="17"/>
      <c r="J680" s="46"/>
      <c r="K680" s="46"/>
      <c r="L680" s="46"/>
      <c r="M680" s="17"/>
      <c r="N680" s="46"/>
      <c r="O680" s="46"/>
      <c r="P680" s="46"/>
      <c r="Q680" s="46"/>
      <c r="R680" s="46"/>
      <c r="S680" s="46"/>
      <c r="T680" s="46"/>
      <c r="U680" s="46"/>
      <c r="V680" s="46"/>
      <c r="W680" s="46"/>
      <c r="X680" s="46"/>
      <c r="Y680" s="46"/>
      <c r="Z680" s="46"/>
      <c r="AA680" s="46"/>
      <c r="AB680" s="46"/>
      <c r="AC680" s="46"/>
      <c r="AD680" s="46"/>
      <c r="AE680" s="46"/>
      <c r="AF680" s="46"/>
      <c r="AG680" s="123"/>
      <c r="AH680" s="123"/>
      <c r="AI680" s="123"/>
      <c r="AJ680" s="123"/>
      <c r="AK680" s="46"/>
      <c r="AL680" s="46"/>
      <c r="AM680" s="46"/>
      <c r="AN680" s="46"/>
      <c r="AO680" s="46"/>
    </row>
    <row r="681">
      <c r="A681" s="17"/>
      <c r="B681" s="46"/>
      <c r="C681" s="46"/>
      <c r="D681" s="46"/>
      <c r="E681" s="17"/>
      <c r="F681" s="46"/>
      <c r="G681" s="46"/>
      <c r="H681" s="46"/>
      <c r="I681" s="17"/>
      <c r="J681" s="46"/>
      <c r="K681" s="46"/>
      <c r="L681" s="46"/>
      <c r="M681" s="17"/>
      <c r="N681" s="46"/>
      <c r="O681" s="46"/>
      <c r="P681" s="46"/>
      <c r="Q681" s="46"/>
      <c r="R681" s="46"/>
      <c r="S681" s="46"/>
      <c r="T681" s="46"/>
      <c r="U681" s="46"/>
      <c r="V681" s="46"/>
      <c r="W681" s="46"/>
      <c r="X681" s="46"/>
      <c r="Y681" s="46"/>
      <c r="Z681" s="46"/>
      <c r="AA681" s="46"/>
      <c r="AB681" s="46"/>
      <c r="AC681" s="46"/>
      <c r="AD681" s="46"/>
      <c r="AE681" s="46"/>
      <c r="AF681" s="46"/>
      <c r="AG681" s="123"/>
      <c r="AH681" s="123"/>
      <c r="AI681" s="123"/>
      <c r="AJ681" s="123"/>
      <c r="AK681" s="46"/>
      <c r="AL681" s="46"/>
      <c r="AM681" s="46"/>
      <c r="AN681" s="46"/>
      <c r="AO681" s="46"/>
    </row>
    <row r="682">
      <c r="A682" s="17"/>
      <c r="B682" s="46"/>
      <c r="C682" s="46"/>
      <c r="D682" s="46"/>
      <c r="E682" s="17"/>
      <c r="F682" s="46"/>
      <c r="G682" s="46"/>
      <c r="H682" s="46"/>
      <c r="I682" s="17"/>
      <c r="J682" s="46"/>
      <c r="K682" s="46"/>
      <c r="L682" s="46"/>
      <c r="M682" s="17"/>
      <c r="N682" s="46"/>
      <c r="O682" s="46"/>
      <c r="P682" s="46"/>
      <c r="Q682" s="46"/>
      <c r="R682" s="46"/>
      <c r="S682" s="46"/>
      <c r="T682" s="46"/>
      <c r="U682" s="46"/>
      <c r="V682" s="46"/>
      <c r="W682" s="46"/>
      <c r="X682" s="46"/>
      <c r="Y682" s="46"/>
      <c r="Z682" s="46"/>
      <c r="AA682" s="46"/>
      <c r="AB682" s="46"/>
      <c r="AC682" s="46"/>
      <c r="AD682" s="46"/>
      <c r="AE682" s="46"/>
      <c r="AF682" s="46"/>
      <c r="AG682" s="123"/>
      <c r="AH682" s="123"/>
      <c r="AI682" s="123"/>
      <c r="AJ682" s="123"/>
      <c r="AK682" s="46"/>
      <c r="AL682" s="46"/>
      <c r="AM682" s="46"/>
      <c r="AN682" s="46"/>
      <c r="AO682" s="46"/>
    </row>
    <row r="683">
      <c r="A683" s="17"/>
      <c r="B683" s="46"/>
      <c r="C683" s="46"/>
      <c r="D683" s="46"/>
      <c r="E683" s="17"/>
      <c r="F683" s="46"/>
      <c r="G683" s="46"/>
      <c r="H683" s="46"/>
      <c r="I683" s="17"/>
      <c r="J683" s="46"/>
      <c r="K683" s="46"/>
      <c r="L683" s="46"/>
      <c r="M683" s="17"/>
      <c r="N683" s="46"/>
      <c r="O683" s="46"/>
      <c r="P683" s="46"/>
      <c r="Q683" s="46"/>
      <c r="R683" s="46"/>
      <c r="S683" s="46"/>
      <c r="T683" s="46"/>
      <c r="U683" s="46"/>
      <c r="V683" s="46"/>
      <c r="W683" s="46"/>
      <c r="X683" s="46"/>
      <c r="Y683" s="46"/>
      <c r="Z683" s="46"/>
      <c r="AA683" s="46"/>
      <c r="AB683" s="46"/>
      <c r="AC683" s="46"/>
      <c r="AD683" s="46"/>
      <c r="AE683" s="46"/>
      <c r="AF683" s="46"/>
      <c r="AG683" s="123"/>
      <c r="AH683" s="123"/>
      <c r="AI683" s="123"/>
      <c r="AJ683" s="123"/>
      <c r="AK683" s="46"/>
      <c r="AL683" s="46"/>
      <c r="AM683" s="46"/>
      <c r="AN683" s="46"/>
      <c r="AO683" s="46"/>
    </row>
    <row r="684">
      <c r="A684" s="17"/>
      <c r="B684" s="46"/>
      <c r="C684" s="46"/>
      <c r="D684" s="46"/>
      <c r="E684" s="17"/>
      <c r="F684" s="46"/>
      <c r="G684" s="46"/>
      <c r="H684" s="46"/>
      <c r="I684" s="17"/>
      <c r="J684" s="46"/>
      <c r="K684" s="46"/>
      <c r="L684" s="46"/>
      <c r="M684" s="17"/>
      <c r="N684" s="46"/>
      <c r="O684" s="46"/>
      <c r="P684" s="46"/>
      <c r="Q684" s="46"/>
      <c r="R684" s="46"/>
      <c r="S684" s="46"/>
      <c r="T684" s="46"/>
      <c r="U684" s="46"/>
      <c r="V684" s="46"/>
      <c r="W684" s="46"/>
      <c r="X684" s="46"/>
      <c r="Y684" s="46"/>
      <c r="Z684" s="46"/>
      <c r="AA684" s="46"/>
      <c r="AB684" s="46"/>
      <c r="AC684" s="46"/>
      <c r="AD684" s="46"/>
      <c r="AE684" s="46"/>
      <c r="AF684" s="46"/>
      <c r="AG684" s="123"/>
      <c r="AH684" s="123"/>
      <c r="AI684" s="123"/>
      <c r="AJ684" s="123"/>
      <c r="AK684" s="46"/>
      <c r="AL684" s="46"/>
      <c r="AM684" s="46"/>
      <c r="AN684" s="46"/>
      <c r="AO684" s="46"/>
    </row>
    <row r="685">
      <c r="A685" s="17"/>
      <c r="B685" s="46"/>
      <c r="C685" s="46"/>
      <c r="D685" s="46"/>
      <c r="E685" s="17"/>
      <c r="F685" s="46"/>
      <c r="G685" s="46"/>
      <c r="H685" s="46"/>
      <c r="I685" s="17"/>
      <c r="J685" s="46"/>
      <c r="K685" s="46"/>
      <c r="L685" s="46"/>
      <c r="M685" s="17"/>
      <c r="N685" s="46"/>
      <c r="O685" s="46"/>
      <c r="P685" s="46"/>
      <c r="Q685" s="46"/>
      <c r="R685" s="46"/>
      <c r="S685" s="46"/>
      <c r="T685" s="46"/>
      <c r="U685" s="46"/>
      <c r="V685" s="46"/>
      <c r="W685" s="46"/>
      <c r="X685" s="46"/>
      <c r="Y685" s="46"/>
      <c r="Z685" s="46"/>
      <c r="AA685" s="46"/>
      <c r="AB685" s="46"/>
      <c r="AC685" s="46"/>
      <c r="AD685" s="46"/>
      <c r="AE685" s="46"/>
      <c r="AF685" s="46"/>
      <c r="AG685" s="123"/>
      <c r="AH685" s="123"/>
      <c r="AI685" s="123"/>
      <c r="AJ685" s="123"/>
      <c r="AK685" s="46"/>
      <c r="AL685" s="46"/>
      <c r="AM685" s="46"/>
      <c r="AN685" s="46"/>
      <c r="AO685" s="46"/>
    </row>
    <row r="686">
      <c r="A686" s="17"/>
      <c r="B686" s="46"/>
      <c r="C686" s="46"/>
      <c r="D686" s="46"/>
      <c r="E686" s="17"/>
      <c r="F686" s="46"/>
      <c r="G686" s="46"/>
      <c r="H686" s="46"/>
      <c r="I686" s="17"/>
      <c r="J686" s="46"/>
      <c r="K686" s="46"/>
      <c r="L686" s="46"/>
      <c r="M686" s="17"/>
      <c r="N686" s="46"/>
      <c r="O686" s="46"/>
      <c r="P686" s="46"/>
      <c r="Q686" s="46"/>
      <c r="R686" s="46"/>
      <c r="S686" s="46"/>
      <c r="T686" s="46"/>
      <c r="U686" s="46"/>
      <c r="V686" s="46"/>
      <c r="W686" s="46"/>
      <c r="X686" s="46"/>
      <c r="Y686" s="46"/>
      <c r="Z686" s="46"/>
      <c r="AA686" s="46"/>
      <c r="AB686" s="46"/>
      <c r="AC686" s="46"/>
      <c r="AD686" s="46"/>
      <c r="AE686" s="46"/>
      <c r="AF686" s="46"/>
      <c r="AG686" s="123"/>
      <c r="AH686" s="123"/>
      <c r="AI686" s="123"/>
      <c r="AJ686" s="123"/>
      <c r="AK686" s="46"/>
      <c r="AL686" s="46"/>
      <c r="AM686" s="46"/>
      <c r="AN686" s="46"/>
      <c r="AO686" s="46"/>
    </row>
    <row r="687">
      <c r="A687" s="17"/>
      <c r="B687" s="46"/>
      <c r="C687" s="46"/>
      <c r="D687" s="46"/>
      <c r="E687" s="17"/>
      <c r="F687" s="46"/>
      <c r="G687" s="46"/>
      <c r="H687" s="46"/>
      <c r="I687" s="17"/>
      <c r="J687" s="46"/>
      <c r="K687" s="46"/>
      <c r="L687" s="46"/>
      <c r="M687" s="17"/>
      <c r="N687" s="46"/>
      <c r="O687" s="46"/>
      <c r="P687" s="46"/>
      <c r="Q687" s="46"/>
      <c r="R687" s="46"/>
      <c r="S687" s="46"/>
      <c r="T687" s="46"/>
      <c r="U687" s="46"/>
      <c r="V687" s="46"/>
      <c r="W687" s="46"/>
      <c r="X687" s="46"/>
      <c r="Y687" s="46"/>
      <c r="Z687" s="46"/>
      <c r="AA687" s="46"/>
      <c r="AB687" s="46"/>
      <c r="AC687" s="46"/>
      <c r="AD687" s="46"/>
      <c r="AE687" s="46"/>
      <c r="AF687" s="46"/>
      <c r="AG687" s="123"/>
      <c r="AH687" s="123"/>
      <c r="AI687" s="123"/>
      <c r="AJ687" s="123"/>
      <c r="AK687" s="46"/>
      <c r="AL687" s="46"/>
      <c r="AM687" s="46"/>
      <c r="AN687" s="46"/>
      <c r="AO687" s="46"/>
    </row>
    <row r="688">
      <c r="A688" s="17"/>
      <c r="B688" s="46"/>
      <c r="C688" s="46"/>
      <c r="D688" s="46"/>
      <c r="E688" s="17"/>
      <c r="F688" s="46"/>
      <c r="G688" s="46"/>
      <c r="H688" s="46"/>
      <c r="I688" s="17"/>
      <c r="J688" s="46"/>
      <c r="K688" s="46"/>
      <c r="L688" s="46"/>
      <c r="M688" s="17"/>
      <c r="N688" s="46"/>
      <c r="O688" s="46"/>
      <c r="P688" s="46"/>
      <c r="Q688" s="46"/>
      <c r="R688" s="46"/>
      <c r="S688" s="46"/>
      <c r="T688" s="46"/>
      <c r="U688" s="46"/>
      <c r="V688" s="46"/>
      <c r="W688" s="46"/>
      <c r="X688" s="46"/>
      <c r="Y688" s="46"/>
      <c r="Z688" s="46"/>
      <c r="AA688" s="46"/>
      <c r="AB688" s="46"/>
      <c r="AC688" s="46"/>
      <c r="AD688" s="46"/>
      <c r="AE688" s="46"/>
      <c r="AF688" s="46"/>
      <c r="AG688" s="123"/>
      <c r="AH688" s="123"/>
      <c r="AI688" s="123"/>
      <c r="AJ688" s="123"/>
      <c r="AK688" s="46"/>
      <c r="AL688" s="46"/>
      <c r="AM688" s="46"/>
      <c r="AN688" s="46"/>
      <c r="AO688" s="46"/>
    </row>
    <row r="689">
      <c r="A689" s="17"/>
      <c r="B689" s="46"/>
      <c r="C689" s="46"/>
      <c r="D689" s="46"/>
      <c r="E689" s="17"/>
      <c r="F689" s="46"/>
      <c r="G689" s="46"/>
      <c r="H689" s="46"/>
      <c r="I689" s="17"/>
      <c r="J689" s="46"/>
      <c r="K689" s="46"/>
      <c r="L689" s="46"/>
      <c r="M689" s="17"/>
      <c r="N689" s="46"/>
      <c r="O689" s="46"/>
      <c r="P689" s="46"/>
      <c r="Q689" s="46"/>
      <c r="R689" s="46"/>
      <c r="S689" s="46"/>
      <c r="T689" s="46"/>
      <c r="U689" s="46"/>
      <c r="V689" s="46"/>
      <c r="W689" s="46"/>
      <c r="X689" s="46"/>
      <c r="Y689" s="46"/>
      <c r="Z689" s="46"/>
      <c r="AA689" s="46"/>
      <c r="AB689" s="46"/>
      <c r="AC689" s="46"/>
      <c r="AD689" s="46"/>
      <c r="AE689" s="46"/>
      <c r="AF689" s="46"/>
      <c r="AG689" s="123"/>
      <c r="AH689" s="123"/>
      <c r="AI689" s="123"/>
      <c r="AJ689" s="123"/>
      <c r="AK689" s="46"/>
      <c r="AL689" s="46"/>
      <c r="AM689" s="46"/>
      <c r="AN689" s="46"/>
      <c r="AO689" s="46"/>
    </row>
    <row r="690">
      <c r="A690" s="17"/>
      <c r="B690" s="46"/>
      <c r="C690" s="46"/>
      <c r="D690" s="46"/>
      <c r="E690" s="17"/>
      <c r="F690" s="46"/>
      <c r="G690" s="46"/>
      <c r="H690" s="46"/>
      <c r="I690" s="17"/>
      <c r="J690" s="46"/>
      <c r="K690" s="46"/>
      <c r="L690" s="46"/>
      <c r="M690" s="17"/>
      <c r="N690" s="46"/>
      <c r="O690" s="46"/>
      <c r="P690" s="46"/>
      <c r="Q690" s="46"/>
      <c r="R690" s="46"/>
      <c r="S690" s="46"/>
      <c r="T690" s="46"/>
      <c r="U690" s="46"/>
      <c r="V690" s="46"/>
      <c r="W690" s="46"/>
      <c r="X690" s="46"/>
      <c r="Y690" s="46"/>
      <c r="Z690" s="46"/>
      <c r="AA690" s="46"/>
      <c r="AB690" s="46"/>
      <c r="AC690" s="46"/>
      <c r="AD690" s="46"/>
      <c r="AE690" s="46"/>
      <c r="AF690" s="46"/>
      <c r="AG690" s="123"/>
      <c r="AH690" s="123"/>
      <c r="AI690" s="123"/>
      <c r="AJ690" s="123"/>
      <c r="AK690" s="46"/>
      <c r="AL690" s="46"/>
      <c r="AM690" s="46"/>
      <c r="AN690" s="46"/>
      <c r="AO690" s="46"/>
    </row>
    <row r="691">
      <c r="A691" s="17"/>
      <c r="B691" s="46"/>
      <c r="C691" s="46"/>
      <c r="D691" s="46"/>
      <c r="E691" s="17"/>
      <c r="F691" s="46"/>
      <c r="G691" s="46"/>
      <c r="H691" s="46"/>
      <c r="I691" s="17"/>
      <c r="J691" s="46"/>
      <c r="K691" s="46"/>
      <c r="L691" s="46"/>
      <c r="M691" s="17"/>
      <c r="N691" s="46"/>
      <c r="O691" s="46"/>
      <c r="P691" s="46"/>
      <c r="Q691" s="46"/>
      <c r="R691" s="46"/>
      <c r="S691" s="46"/>
      <c r="T691" s="46"/>
      <c r="U691" s="46"/>
      <c r="V691" s="46"/>
      <c r="W691" s="46"/>
      <c r="X691" s="46"/>
      <c r="Y691" s="46"/>
      <c r="Z691" s="46"/>
      <c r="AA691" s="46"/>
      <c r="AB691" s="46"/>
      <c r="AC691" s="46"/>
      <c r="AD691" s="46"/>
      <c r="AE691" s="46"/>
      <c r="AF691" s="46"/>
      <c r="AG691" s="123"/>
      <c r="AH691" s="123"/>
      <c r="AI691" s="123"/>
      <c r="AJ691" s="123"/>
      <c r="AK691" s="46"/>
      <c r="AL691" s="46"/>
      <c r="AM691" s="46"/>
      <c r="AN691" s="46"/>
      <c r="AO691" s="46"/>
    </row>
    <row r="692">
      <c r="A692" s="17"/>
      <c r="B692" s="46"/>
      <c r="C692" s="46"/>
      <c r="D692" s="46"/>
      <c r="E692" s="17"/>
      <c r="F692" s="46"/>
      <c r="G692" s="46"/>
      <c r="H692" s="46"/>
      <c r="I692" s="17"/>
      <c r="J692" s="46"/>
      <c r="K692" s="46"/>
      <c r="L692" s="46"/>
      <c r="M692" s="17"/>
      <c r="N692" s="46"/>
      <c r="O692" s="46"/>
      <c r="P692" s="46"/>
      <c r="Q692" s="46"/>
      <c r="R692" s="46"/>
      <c r="S692" s="46"/>
      <c r="T692" s="46"/>
      <c r="U692" s="46"/>
      <c r="V692" s="46"/>
      <c r="W692" s="46"/>
      <c r="X692" s="46"/>
      <c r="Y692" s="46"/>
      <c r="Z692" s="46"/>
      <c r="AA692" s="46"/>
      <c r="AB692" s="46"/>
      <c r="AC692" s="46"/>
      <c r="AD692" s="46"/>
      <c r="AE692" s="46"/>
      <c r="AF692" s="46"/>
      <c r="AG692" s="123"/>
      <c r="AH692" s="123"/>
      <c r="AI692" s="123"/>
      <c r="AJ692" s="123"/>
      <c r="AK692" s="46"/>
      <c r="AL692" s="46"/>
      <c r="AM692" s="46"/>
      <c r="AN692" s="46"/>
      <c r="AO692" s="46"/>
    </row>
    <row r="693">
      <c r="A693" s="17"/>
      <c r="B693" s="46"/>
      <c r="C693" s="46"/>
      <c r="D693" s="46"/>
      <c r="E693" s="17"/>
      <c r="F693" s="46"/>
      <c r="G693" s="46"/>
      <c r="H693" s="46"/>
      <c r="I693" s="17"/>
      <c r="J693" s="46"/>
      <c r="K693" s="46"/>
      <c r="L693" s="46"/>
      <c r="M693" s="17"/>
      <c r="N693" s="46"/>
      <c r="O693" s="46"/>
      <c r="P693" s="46"/>
      <c r="Q693" s="46"/>
      <c r="R693" s="46"/>
      <c r="S693" s="46"/>
      <c r="T693" s="46"/>
      <c r="U693" s="46"/>
      <c r="V693" s="46"/>
      <c r="W693" s="46"/>
      <c r="X693" s="46"/>
      <c r="Y693" s="46"/>
      <c r="Z693" s="46"/>
      <c r="AA693" s="46"/>
      <c r="AB693" s="46"/>
      <c r="AC693" s="46"/>
      <c r="AD693" s="46"/>
      <c r="AE693" s="46"/>
      <c r="AF693" s="46"/>
      <c r="AG693" s="123"/>
      <c r="AH693" s="123"/>
      <c r="AI693" s="123"/>
      <c r="AJ693" s="123"/>
      <c r="AK693" s="46"/>
      <c r="AL693" s="46"/>
      <c r="AM693" s="46"/>
      <c r="AN693" s="46"/>
      <c r="AO693" s="46"/>
    </row>
    <row r="694">
      <c r="A694" s="17"/>
      <c r="B694" s="46"/>
      <c r="C694" s="46"/>
      <c r="D694" s="46"/>
      <c r="E694" s="17"/>
      <c r="F694" s="46"/>
      <c r="G694" s="46"/>
      <c r="H694" s="46"/>
      <c r="I694" s="17"/>
      <c r="J694" s="46"/>
      <c r="K694" s="46"/>
      <c r="L694" s="46"/>
      <c r="M694" s="17"/>
      <c r="N694" s="46"/>
      <c r="O694" s="46"/>
      <c r="P694" s="46"/>
      <c r="Q694" s="46"/>
      <c r="R694" s="46"/>
      <c r="S694" s="46"/>
      <c r="T694" s="46"/>
      <c r="U694" s="46"/>
      <c r="V694" s="46"/>
      <c r="W694" s="46"/>
      <c r="X694" s="46"/>
      <c r="Y694" s="46"/>
      <c r="Z694" s="46"/>
      <c r="AA694" s="46"/>
      <c r="AB694" s="46"/>
      <c r="AC694" s="46"/>
      <c r="AD694" s="46"/>
      <c r="AE694" s="46"/>
      <c r="AF694" s="46"/>
      <c r="AG694" s="123"/>
      <c r="AH694" s="123"/>
      <c r="AI694" s="123"/>
      <c r="AJ694" s="123"/>
      <c r="AK694" s="46"/>
      <c r="AL694" s="46"/>
      <c r="AM694" s="46"/>
      <c r="AN694" s="46"/>
      <c r="AO694" s="46"/>
    </row>
    <row r="695">
      <c r="A695" s="17"/>
      <c r="B695" s="46"/>
      <c r="C695" s="46"/>
      <c r="D695" s="46"/>
      <c r="E695" s="17"/>
      <c r="F695" s="46"/>
      <c r="G695" s="46"/>
      <c r="H695" s="46"/>
      <c r="I695" s="17"/>
      <c r="J695" s="46"/>
      <c r="K695" s="46"/>
      <c r="L695" s="46"/>
      <c r="M695" s="17"/>
      <c r="N695" s="46"/>
      <c r="O695" s="46"/>
      <c r="P695" s="46"/>
      <c r="Q695" s="46"/>
      <c r="R695" s="46"/>
      <c r="S695" s="46"/>
      <c r="T695" s="46"/>
      <c r="U695" s="46"/>
      <c r="V695" s="46"/>
      <c r="W695" s="46"/>
      <c r="X695" s="46"/>
      <c r="Y695" s="46"/>
      <c r="Z695" s="46"/>
      <c r="AA695" s="46"/>
      <c r="AB695" s="46"/>
      <c r="AC695" s="46"/>
      <c r="AD695" s="46"/>
      <c r="AE695" s="46"/>
      <c r="AF695" s="46"/>
      <c r="AG695" s="123"/>
      <c r="AH695" s="123"/>
      <c r="AI695" s="123"/>
      <c r="AJ695" s="123"/>
      <c r="AK695" s="46"/>
      <c r="AL695" s="46"/>
      <c r="AM695" s="46"/>
      <c r="AN695" s="46"/>
      <c r="AO695" s="46"/>
    </row>
    <row r="696">
      <c r="A696" s="17"/>
      <c r="B696" s="46"/>
      <c r="C696" s="46"/>
      <c r="D696" s="46"/>
      <c r="E696" s="17"/>
      <c r="F696" s="46"/>
      <c r="G696" s="46"/>
      <c r="H696" s="46"/>
      <c r="I696" s="17"/>
      <c r="J696" s="46"/>
      <c r="K696" s="46"/>
      <c r="L696" s="46"/>
      <c r="M696" s="17"/>
      <c r="N696" s="46"/>
      <c r="O696" s="46"/>
      <c r="P696" s="46"/>
      <c r="Q696" s="46"/>
      <c r="R696" s="46"/>
      <c r="S696" s="46"/>
      <c r="T696" s="46"/>
      <c r="U696" s="46"/>
      <c r="V696" s="46"/>
      <c r="W696" s="46"/>
      <c r="X696" s="46"/>
      <c r="Y696" s="46"/>
      <c r="Z696" s="46"/>
      <c r="AA696" s="46"/>
      <c r="AB696" s="46"/>
      <c r="AC696" s="46"/>
      <c r="AD696" s="46"/>
      <c r="AE696" s="46"/>
      <c r="AF696" s="46"/>
      <c r="AG696" s="123"/>
      <c r="AH696" s="123"/>
      <c r="AI696" s="123"/>
      <c r="AJ696" s="123"/>
      <c r="AK696" s="46"/>
      <c r="AL696" s="46"/>
      <c r="AM696" s="46"/>
      <c r="AN696" s="46"/>
      <c r="AO696" s="46"/>
    </row>
    <row r="697">
      <c r="A697" s="17"/>
      <c r="B697" s="46"/>
      <c r="C697" s="46"/>
      <c r="D697" s="46"/>
      <c r="E697" s="17"/>
      <c r="F697" s="46"/>
      <c r="G697" s="46"/>
      <c r="H697" s="46"/>
      <c r="I697" s="17"/>
      <c r="J697" s="46"/>
      <c r="K697" s="46"/>
      <c r="L697" s="46"/>
      <c r="M697" s="17"/>
      <c r="N697" s="46"/>
      <c r="O697" s="46"/>
      <c r="P697" s="46"/>
      <c r="Q697" s="46"/>
      <c r="R697" s="46"/>
      <c r="S697" s="46"/>
      <c r="T697" s="46"/>
      <c r="U697" s="46"/>
      <c r="V697" s="46"/>
      <c r="W697" s="46"/>
      <c r="X697" s="46"/>
      <c r="Y697" s="46"/>
      <c r="Z697" s="46"/>
      <c r="AA697" s="46"/>
      <c r="AB697" s="46"/>
      <c r="AC697" s="46"/>
      <c r="AD697" s="46"/>
      <c r="AE697" s="46"/>
      <c r="AF697" s="46"/>
      <c r="AG697" s="123"/>
      <c r="AH697" s="123"/>
      <c r="AI697" s="123"/>
      <c r="AJ697" s="123"/>
      <c r="AK697" s="46"/>
      <c r="AL697" s="46"/>
      <c r="AM697" s="46"/>
      <c r="AN697" s="46"/>
      <c r="AO697" s="46"/>
    </row>
    <row r="698">
      <c r="A698" s="17"/>
      <c r="B698" s="46"/>
      <c r="C698" s="46"/>
      <c r="D698" s="46"/>
      <c r="E698" s="17"/>
      <c r="F698" s="46"/>
      <c r="G698" s="46"/>
      <c r="H698" s="46"/>
      <c r="I698" s="17"/>
      <c r="J698" s="46"/>
      <c r="K698" s="46"/>
      <c r="L698" s="46"/>
      <c r="M698" s="17"/>
      <c r="N698" s="46"/>
      <c r="O698" s="46"/>
      <c r="P698" s="46"/>
      <c r="Q698" s="46"/>
      <c r="R698" s="46"/>
      <c r="S698" s="46"/>
      <c r="T698" s="46"/>
      <c r="U698" s="46"/>
      <c r="V698" s="46"/>
      <c r="W698" s="46"/>
      <c r="X698" s="46"/>
      <c r="Y698" s="46"/>
      <c r="Z698" s="46"/>
      <c r="AA698" s="46"/>
      <c r="AB698" s="46"/>
      <c r="AC698" s="46"/>
      <c r="AD698" s="46"/>
      <c r="AE698" s="46"/>
      <c r="AF698" s="46"/>
      <c r="AG698" s="123"/>
      <c r="AH698" s="123"/>
      <c r="AI698" s="123"/>
      <c r="AJ698" s="123"/>
      <c r="AK698" s="46"/>
      <c r="AL698" s="46"/>
      <c r="AM698" s="46"/>
      <c r="AN698" s="46"/>
      <c r="AO698" s="46"/>
    </row>
    <row r="699">
      <c r="A699" s="17"/>
      <c r="B699" s="46"/>
      <c r="C699" s="46"/>
      <c r="D699" s="46"/>
      <c r="E699" s="17"/>
      <c r="F699" s="46"/>
      <c r="G699" s="46"/>
      <c r="H699" s="46"/>
      <c r="I699" s="17"/>
      <c r="J699" s="46"/>
      <c r="K699" s="46"/>
      <c r="L699" s="46"/>
      <c r="M699" s="17"/>
      <c r="N699" s="46"/>
      <c r="O699" s="46"/>
      <c r="P699" s="46"/>
      <c r="Q699" s="46"/>
      <c r="R699" s="46"/>
      <c r="S699" s="46"/>
      <c r="T699" s="46"/>
      <c r="U699" s="46"/>
      <c r="V699" s="46"/>
      <c r="W699" s="46"/>
      <c r="X699" s="46"/>
      <c r="Y699" s="46"/>
      <c r="Z699" s="46"/>
      <c r="AA699" s="46"/>
      <c r="AB699" s="46"/>
      <c r="AC699" s="46"/>
      <c r="AD699" s="46"/>
      <c r="AE699" s="46"/>
      <c r="AF699" s="46"/>
      <c r="AG699" s="123"/>
      <c r="AH699" s="123"/>
      <c r="AI699" s="123"/>
      <c r="AJ699" s="123"/>
      <c r="AK699" s="46"/>
      <c r="AL699" s="46"/>
      <c r="AM699" s="46"/>
      <c r="AN699" s="46"/>
      <c r="AO699" s="46"/>
    </row>
    <row r="700">
      <c r="A700" s="17"/>
      <c r="B700" s="46"/>
      <c r="C700" s="46"/>
      <c r="D700" s="46"/>
      <c r="E700" s="17"/>
      <c r="F700" s="46"/>
      <c r="G700" s="46"/>
      <c r="H700" s="46"/>
      <c r="I700" s="17"/>
      <c r="J700" s="46"/>
      <c r="K700" s="46"/>
      <c r="L700" s="46"/>
      <c r="M700" s="17"/>
      <c r="N700" s="46"/>
      <c r="O700" s="46"/>
      <c r="P700" s="46"/>
      <c r="Q700" s="46"/>
      <c r="R700" s="46"/>
      <c r="S700" s="46"/>
      <c r="T700" s="46"/>
      <c r="U700" s="46"/>
      <c r="V700" s="46"/>
      <c r="W700" s="46"/>
      <c r="X700" s="46"/>
      <c r="Y700" s="46"/>
      <c r="Z700" s="46"/>
      <c r="AA700" s="46"/>
      <c r="AB700" s="46"/>
      <c r="AC700" s="46"/>
      <c r="AD700" s="46"/>
      <c r="AE700" s="46"/>
      <c r="AF700" s="46"/>
      <c r="AG700" s="123"/>
      <c r="AH700" s="123"/>
      <c r="AI700" s="123"/>
      <c r="AJ700" s="123"/>
      <c r="AK700" s="46"/>
      <c r="AL700" s="46"/>
      <c r="AM700" s="46"/>
      <c r="AN700" s="46"/>
      <c r="AO700" s="46"/>
    </row>
    <row r="701">
      <c r="A701" s="17"/>
      <c r="B701" s="46"/>
      <c r="C701" s="46"/>
      <c r="D701" s="46"/>
      <c r="E701" s="17"/>
      <c r="F701" s="46"/>
      <c r="G701" s="46"/>
      <c r="H701" s="46"/>
      <c r="I701" s="17"/>
      <c r="J701" s="46"/>
      <c r="K701" s="46"/>
      <c r="L701" s="46"/>
      <c r="M701" s="17"/>
      <c r="N701" s="46"/>
      <c r="O701" s="46"/>
      <c r="P701" s="46"/>
      <c r="Q701" s="46"/>
      <c r="R701" s="46"/>
      <c r="S701" s="46"/>
      <c r="T701" s="46"/>
      <c r="U701" s="46"/>
      <c r="V701" s="46"/>
      <c r="W701" s="46"/>
      <c r="X701" s="46"/>
      <c r="Y701" s="46"/>
      <c r="Z701" s="46"/>
      <c r="AA701" s="46"/>
      <c r="AB701" s="46"/>
      <c r="AC701" s="46"/>
      <c r="AD701" s="46"/>
      <c r="AE701" s="46"/>
      <c r="AF701" s="46"/>
      <c r="AG701" s="123"/>
      <c r="AH701" s="123"/>
      <c r="AI701" s="123"/>
      <c r="AJ701" s="123"/>
      <c r="AK701" s="46"/>
      <c r="AL701" s="46"/>
      <c r="AM701" s="46"/>
      <c r="AN701" s="46"/>
      <c r="AO701" s="46"/>
    </row>
    <row r="702">
      <c r="A702" s="17"/>
      <c r="B702" s="46"/>
      <c r="C702" s="46"/>
      <c r="D702" s="46"/>
      <c r="E702" s="17"/>
      <c r="F702" s="46"/>
      <c r="G702" s="46"/>
      <c r="H702" s="46"/>
      <c r="I702" s="17"/>
      <c r="J702" s="46"/>
      <c r="K702" s="46"/>
      <c r="L702" s="46"/>
      <c r="M702" s="17"/>
      <c r="N702" s="46"/>
      <c r="O702" s="46"/>
      <c r="P702" s="46"/>
      <c r="Q702" s="46"/>
      <c r="R702" s="46"/>
      <c r="S702" s="46"/>
      <c r="T702" s="46"/>
      <c r="U702" s="46"/>
      <c r="V702" s="46"/>
      <c r="W702" s="46"/>
      <c r="X702" s="46"/>
      <c r="Y702" s="46"/>
      <c r="Z702" s="46"/>
      <c r="AA702" s="46"/>
      <c r="AB702" s="46"/>
      <c r="AC702" s="46"/>
      <c r="AD702" s="46"/>
      <c r="AE702" s="46"/>
      <c r="AF702" s="46"/>
      <c r="AG702" s="123"/>
      <c r="AH702" s="123"/>
      <c r="AI702" s="123"/>
      <c r="AJ702" s="123"/>
      <c r="AK702" s="46"/>
      <c r="AL702" s="46"/>
      <c r="AM702" s="46"/>
      <c r="AN702" s="46"/>
      <c r="AO702" s="46"/>
    </row>
    <row r="703">
      <c r="A703" s="17"/>
      <c r="B703" s="46"/>
      <c r="C703" s="46"/>
      <c r="D703" s="46"/>
      <c r="E703" s="17"/>
      <c r="F703" s="46"/>
      <c r="G703" s="46"/>
      <c r="H703" s="46"/>
      <c r="I703" s="17"/>
      <c r="J703" s="46"/>
      <c r="K703" s="46"/>
      <c r="L703" s="46"/>
      <c r="M703" s="17"/>
      <c r="N703" s="46"/>
      <c r="O703" s="46"/>
      <c r="P703" s="46"/>
      <c r="Q703" s="46"/>
      <c r="R703" s="46"/>
      <c r="S703" s="46"/>
      <c r="T703" s="46"/>
      <c r="U703" s="46"/>
      <c r="V703" s="46"/>
      <c r="W703" s="46"/>
      <c r="X703" s="46"/>
      <c r="Y703" s="46"/>
      <c r="Z703" s="46"/>
      <c r="AA703" s="46"/>
      <c r="AB703" s="46"/>
      <c r="AC703" s="46"/>
      <c r="AD703" s="46"/>
      <c r="AE703" s="46"/>
      <c r="AF703" s="46"/>
      <c r="AG703" s="123"/>
      <c r="AH703" s="123"/>
      <c r="AI703" s="123"/>
      <c r="AJ703" s="123"/>
      <c r="AK703" s="46"/>
      <c r="AL703" s="46"/>
      <c r="AM703" s="46"/>
      <c r="AN703" s="46"/>
      <c r="AO703" s="46"/>
    </row>
    <row r="704">
      <c r="A704" s="17"/>
      <c r="B704" s="46"/>
      <c r="C704" s="46"/>
      <c r="D704" s="46"/>
      <c r="E704" s="17"/>
      <c r="F704" s="46"/>
      <c r="G704" s="46"/>
      <c r="H704" s="46"/>
      <c r="I704" s="17"/>
      <c r="J704" s="46"/>
      <c r="K704" s="46"/>
      <c r="L704" s="46"/>
      <c r="M704" s="17"/>
      <c r="N704" s="46"/>
      <c r="O704" s="46"/>
      <c r="P704" s="46"/>
      <c r="Q704" s="46"/>
      <c r="R704" s="46"/>
      <c r="S704" s="46"/>
      <c r="T704" s="46"/>
      <c r="U704" s="46"/>
      <c r="V704" s="46"/>
      <c r="W704" s="46"/>
      <c r="X704" s="46"/>
      <c r="Y704" s="46"/>
      <c r="Z704" s="46"/>
      <c r="AA704" s="46"/>
      <c r="AB704" s="46"/>
      <c r="AC704" s="46"/>
      <c r="AD704" s="46"/>
      <c r="AE704" s="46"/>
      <c r="AF704" s="46"/>
      <c r="AG704" s="123"/>
      <c r="AH704" s="123"/>
      <c r="AI704" s="123"/>
      <c r="AJ704" s="123"/>
      <c r="AK704" s="46"/>
      <c r="AL704" s="46"/>
      <c r="AM704" s="46"/>
      <c r="AN704" s="46"/>
      <c r="AO704" s="46"/>
    </row>
    <row r="705">
      <c r="A705" s="17"/>
      <c r="B705" s="46"/>
      <c r="C705" s="46"/>
      <c r="D705" s="46"/>
      <c r="E705" s="17"/>
      <c r="F705" s="46"/>
      <c r="G705" s="46"/>
      <c r="H705" s="46"/>
      <c r="I705" s="17"/>
      <c r="J705" s="46"/>
      <c r="K705" s="46"/>
      <c r="L705" s="46"/>
      <c r="M705" s="17"/>
      <c r="N705" s="46"/>
      <c r="O705" s="46"/>
      <c r="P705" s="46"/>
      <c r="Q705" s="46"/>
      <c r="R705" s="46"/>
      <c r="S705" s="46"/>
      <c r="T705" s="46"/>
      <c r="U705" s="46"/>
      <c r="V705" s="46"/>
      <c r="W705" s="46"/>
      <c r="X705" s="46"/>
      <c r="Y705" s="46"/>
      <c r="Z705" s="46"/>
      <c r="AA705" s="46"/>
      <c r="AB705" s="46"/>
      <c r="AC705" s="46"/>
      <c r="AD705" s="46"/>
      <c r="AE705" s="46"/>
      <c r="AF705" s="46"/>
      <c r="AG705" s="123"/>
      <c r="AH705" s="123"/>
      <c r="AI705" s="123"/>
      <c r="AJ705" s="123"/>
      <c r="AK705" s="46"/>
      <c r="AL705" s="46"/>
      <c r="AM705" s="46"/>
      <c r="AN705" s="46"/>
      <c r="AO705" s="46"/>
    </row>
    <row r="706">
      <c r="A706" s="17"/>
      <c r="B706" s="46"/>
      <c r="C706" s="46"/>
      <c r="D706" s="46"/>
      <c r="E706" s="17"/>
      <c r="F706" s="46"/>
      <c r="G706" s="46"/>
      <c r="H706" s="46"/>
      <c r="I706" s="17"/>
      <c r="J706" s="46"/>
      <c r="K706" s="46"/>
      <c r="L706" s="46"/>
      <c r="M706" s="17"/>
      <c r="N706" s="46"/>
      <c r="O706" s="46"/>
      <c r="P706" s="46"/>
      <c r="Q706" s="46"/>
      <c r="R706" s="46"/>
      <c r="S706" s="46"/>
      <c r="T706" s="46"/>
      <c r="U706" s="46"/>
      <c r="V706" s="46"/>
      <c r="W706" s="46"/>
      <c r="X706" s="46"/>
      <c r="Y706" s="46"/>
      <c r="Z706" s="46"/>
      <c r="AA706" s="46"/>
      <c r="AB706" s="46"/>
      <c r="AC706" s="46"/>
      <c r="AD706" s="46"/>
      <c r="AE706" s="46"/>
      <c r="AF706" s="46"/>
      <c r="AG706" s="123"/>
      <c r="AH706" s="123"/>
      <c r="AI706" s="123"/>
      <c r="AJ706" s="123"/>
      <c r="AK706" s="46"/>
      <c r="AL706" s="46"/>
      <c r="AM706" s="46"/>
      <c r="AN706" s="46"/>
      <c r="AO706" s="46"/>
    </row>
    <row r="707">
      <c r="A707" s="17"/>
      <c r="B707" s="46"/>
      <c r="C707" s="46"/>
      <c r="D707" s="46"/>
      <c r="E707" s="17"/>
      <c r="F707" s="46"/>
      <c r="G707" s="46"/>
      <c r="H707" s="46"/>
      <c r="I707" s="17"/>
      <c r="J707" s="46"/>
      <c r="K707" s="46"/>
      <c r="L707" s="46"/>
      <c r="M707" s="17"/>
      <c r="N707" s="46"/>
      <c r="O707" s="46"/>
      <c r="P707" s="46"/>
      <c r="Q707" s="46"/>
      <c r="R707" s="46"/>
      <c r="S707" s="46"/>
      <c r="T707" s="46"/>
      <c r="U707" s="46"/>
      <c r="V707" s="46"/>
      <c r="W707" s="46"/>
      <c r="X707" s="46"/>
      <c r="Y707" s="46"/>
      <c r="Z707" s="46"/>
      <c r="AA707" s="46"/>
      <c r="AB707" s="46"/>
      <c r="AC707" s="46"/>
      <c r="AD707" s="46"/>
      <c r="AE707" s="46"/>
      <c r="AF707" s="46"/>
      <c r="AG707" s="123"/>
      <c r="AH707" s="123"/>
      <c r="AI707" s="123"/>
      <c r="AJ707" s="123"/>
      <c r="AK707" s="46"/>
      <c r="AL707" s="46"/>
      <c r="AM707" s="46"/>
      <c r="AN707" s="46"/>
      <c r="AO707" s="46"/>
    </row>
    <row r="708">
      <c r="A708" s="17"/>
      <c r="B708" s="46"/>
      <c r="C708" s="46"/>
      <c r="D708" s="46"/>
      <c r="E708" s="17"/>
      <c r="F708" s="46"/>
      <c r="G708" s="46"/>
      <c r="H708" s="46"/>
      <c r="I708" s="17"/>
      <c r="J708" s="46"/>
      <c r="K708" s="46"/>
      <c r="L708" s="46"/>
      <c r="M708" s="17"/>
      <c r="N708" s="46"/>
      <c r="O708" s="46"/>
      <c r="P708" s="46"/>
      <c r="Q708" s="46"/>
      <c r="R708" s="46"/>
      <c r="S708" s="46"/>
      <c r="T708" s="46"/>
      <c r="U708" s="46"/>
      <c r="V708" s="46"/>
      <c r="W708" s="46"/>
      <c r="X708" s="46"/>
      <c r="Y708" s="46"/>
      <c r="Z708" s="46"/>
      <c r="AA708" s="46"/>
      <c r="AB708" s="46"/>
      <c r="AC708" s="46"/>
      <c r="AD708" s="46"/>
      <c r="AE708" s="46"/>
      <c r="AF708" s="46"/>
      <c r="AG708" s="123"/>
      <c r="AH708" s="123"/>
      <c r="AI708" s="123"/>
      <c r="AJ708" s="123"/>
      <c r="AK708" s="46"/>
      <c r="AL708" s="46"/>
      <c r="AM708" s="46"/>
      <c r="AN708" s="46"/>
      <c r="AO708" s="46"/>
    </row>
    <row r="709">
      <c r="A709" s="17"/>
      <c r="B709" s="46"/>
      <c r="C709" s="46"/>
      <c r="D709" s="46"/>
      <c r="E709" s="17"/>
      <c r="F709" s="46"/>
      <c r="G709" s="46"/>
      <c r="H709" s="46"/>
      <c r="I709" s="17"/>
      <c r="J709" s="46"/>
      <c r="K709" s="46"/>
      <c r="L709" s="46"/>
      <c r="M709" s="17"/>
      <c r="N709" s="46"/>
      <c r="O709" s="46"/>
      <c r="P709" s="46"/>
      <c r="Q709" s="46"/>
      <c r="R709" s="46"/>
      <c r="S709" s="46"/>
      <c r="T709" s="46"/>
      <c r="U709" s="46"/>
      <c r="V709" s="46"/>
      <c r="W709" s="46"/>
      <c r="X709" s="46"/>
      <c r="Y709" s="46"/>
      <c r="Z709" s="46"/>
      <c r="AA709" s="46"/>
      <c r="AB709" s="46"/>
      <c r="AC709" s="46"/>
      <c r="AD709" s="46"/>
      <c r="AE709" s="46"/>
      <c r="AF709" s="46"/>
      <c r="AG709" s="123"/>
      <c r="AH709" s="123"/>
      <c r="AI709" s="123"/>
      <c r="AJ709" s="123"/>
      <c r="AK709" s="46"/>
      <c r="AL709" s="46"/>
      <c r="AM709" s="46"/>
      <c r="AN709" s="46"/>
      <c r="AO709" s="46"/>
    </row>
    <row r="710">
      <c r="A710" s="17"/>
      <c r="B710" s="46"/>
      <c r="C710" s="46"/>
      <c r="D710" s="46"/>
      <c r="E710" s="17"/>
      <c r="F710" s="46"/>
      <c r="G710" s="46"/>
      <c r="H710" s="46"/>
      <c r="I710" s="17"/>
      <c r="J710" s="46"/>
      <c r="K710" s="46"/>
      <c r="L710" s="46"/>
      <c r="M710" s="17"/>
      <c r="N710" s="46"/>
      <c r="O710" s="46"/>
      <c r="P710" s="46"/>
      <c r="Q710" s="46"/>
      <c r="R710" s="46"/>
      <c r="S710" s="46"/>
      <c r="T710" s="46"/>
      <c r="U710" s="46"/>
      <c r="V710" s="46"/>
      <c r="W710" s="46"/>
      <c r="X710" s="46"/>
      <c r="Y710" s="46"/>
      <c r="Z710" s="46"/>
      <c r="AA710" s="46"/>
      <c r="AB710" s="46"/>
      <c r="AC710" s="46"/>
      <c r="AD710" s="46"/>
      <c r="AE710" s="46"/>
      <c r="AF710" s="46"/>
      <c r="AG710" s="123"/>
      <c r="AH710" s="123"/>
      <c r="AI710" s="123"/>
      <c r="AJ710" s="123"/>
      <c r="AK710" s="46"/>
      <c r="AL710" s="46"/>
      <c r="AM710" s="46"/>
      <c r="AN710" s="46"/>
      <c r="AO710" s="46"/>
    </row>
    <row r="711">
      <c r="A711" s="17"/>
      <c r="B711" s="46"/>
      <c r="C711" s="46"/>
      <c r="D711" s="46"/>
      <c r="E711" s="17"/>
      <c r="F711" s="46"/>
      <c r="G711" s="46"/>
      <c r="H711" s="46"/>
      <c r="I711" s="17"/>
      <c r="J711" s="46"/>
      <c r="K711" s="46"/>
      <c r="L711" s="46"/>
      <c r="M711" s="17"/>
      <c r="N711" s="46"/>
      <c r="O711" s="46"/>
      <c r="P711" s="46"/>
      <c r="Q711" s="46"/>
      <c r="R711" s="46"/>
      <c r="S711" s="46"/>
      <c r="T711" s="46"/>
      <c r="U711" s="46"/>
      <c r="V711" s="46"/>
      <c r="W711" s="46"/>
      <c r="X711" s="46"/>
      <c r="Y711" s="46"/>
      <c r="Z711" s="46"/>
      <c r="AA711" s="46"/>
      <c r="AB711" s="46"/>
      <c r="AC711" s="46"/>
      <c r="AD711" s="46"/>
      <c r="AE711" s="46"/>
      <c r="AF711" s="46"/>
      <c r="AG711" s="123"/>
      <c r="AH711" s="123"/>
      <c r="AI711" s="123"/>
      <c r="AJ711" s="123"/>
      <c r="AK711" s="46"/>
      <c r="AL711" s="46"/>
      <c r="AM711" s="46"/>
      <c r="AN711" s="46"/>
      <c r="AO711" s="46"/>
    </row>
    <row r="712">
      <c r="A712" s="17"/>
      <c r="B712" s="46"/>
      <c r="C712" s="46"/>
      <c r="D712" s="46"/>
      <c r="E712" s="17"/>
      <c r="F712" s="46"/>
      <c r="G712" s="46"/>
      <c r="H712" s="46"/>
      <c r="I712" s="17"/>
      <c r="J712" s="46"/>
      <c r="K712" s="46"/>
      <c r="L712" s="46"/>
      <c r="M712" s="17"/>
      <c r="N712" s="46"/>
      <c r="O712" s="46"/>
      <c r="P712" s="46"/>
      <c r="Q712" s="46"/>
      <c r="R712" s="46"/>
      <c r="S712" s="46"/>
      <c r="T712" s="46"/>
      <c r="U712" s="46"/>
      <c r="V712" s="46"/>
      <c r="W712" s="46"/>
      <c r="X712" s="46"/>
      <c r="Y712" s="46"/>
      <c r="Z712" s="46"/>
      <c r="AA712" s="46"/>
      <c r="AB712" s="46"/>
      <c r="AC712" s="46"/>
      <c r="AD712" s="46"/>
      <c r="AE712" s="46"/>
      <c r="AF712" s="46"/>
      <c r="AG712" s="123"/>
      <c r="AH712" s="123"/>
      <c r="AI712" s="123"/>
      <c r="AJ712" s="123"/>
      <c r="AK712" s="46"/>
      <c r="AL712" s="46"/>
      <c r="AM712" s="46"/>
      <c r="AN712" s="46"/>
      <c r="AO712" s="46"/>
    </row>
    <row r="713">
      <c r="A713" s="17"/>
      <c r="B713" s="46"/>
      <c r="C713" s="46"/>
      <c r="D713" s="46"/>
      <c r="E713" s="17"/>
      <c r="F713" s="46"/>
      <c r="G713" s="46"/>
      <c r="H713" s="46"/>
      <c r="I713" s="17"/>
      <c r="J713" s="46"/>
      <c r="K713" s="46"/>
      <c r="L713" s="46"/>
      <c r="M713" s="17"/>
      <c r="N713" s="46"/>
      <c r="O713" s="46"/>
      <c r="P713" s="46"/>
      <c r="Q713" s="46"/>
      <c r="R713" s="46"/>
      <c r="S713" s="46"/>
      <c r="T713" s="46"/>
      <c r="U713" s="46"/>
      <c r="V713" s="46"/>
      <c r="W713" s="46"/>
      <c r="X713" s="46"/>
      <c r="Y713" s="46"/>
      <c r="Z713" s="46"/>
      <c r="AA713" s="46"/>
      <c r="AB713" s="46"/>
      <c r="AC713" s="46"/>
      <c r="AD713" s="46"/>
      <c r="AE713" s="46"/>
      <c r="AF713" s="46"/>
      <c r="AG713" s="123"/>
      <c r="AH713" s="123"/>
      <c r="AI713" s="123"/>
      <c r="AJ713" s="123"/>
      <c r="AK713" s="46"/>
      <c r="AL713" s="46"/>
      <c r="AM713" s="46"/>
      <c r="AN713" s="46"/>
      <c r="AO713" s="46"/>
    </row>
    <row r="714">
      <c r="A714" s="17"/>
      <c r="B714" s="46"/>
      <c r="C714" s="46"/>
      <c r="D714" s="46"/>
      <c r="E714" s="17"/>
      <c r="F714" s="46"/>
      <c r="G714" s="46"/>
      <c r="H714" s="46"/>
      <c r="I714" s="17"/>
      <c r="J714" s="46"/>
      <c r="K714" s="46"/>
      <c r="L714" s="46"/>
      <c r="M714" s="17"/>
      <c r="N714" s="46"/>
      <c r="O714" s="46"/>
      <c r="P714" s="46"/>
      <c r="Q714" s="46"/>
      <c r="R714" s="46"/>
      <c r="S714" s="46"/>
      <c r="T714" s="46"/>
      <c r="U714" s="46"/>
      <c r="V714" s="46"/>
      <c r="W714" s="46"/>
      <c r="X714" s="46"/>
      <c r="Y714" s="46"/>
      <c r="Z714" s="46"/>
      <c r="AA714" s="46"/>
      <c r="AB714" s="46"/>
      <c r="AC714" s="46"/>
      <c r="AD714" s="46"/>
      <c r="AE714" s="46"/>
      <c r="AF714" s="46"/>
      <c r="AG714" s="123"/>
      <c r="AH714" s="123"/>
      <c r="AI714" s="123"/>
      <c r="AJ714" s="123"/>
      <c r="AK714" s="46"/>
      <c r="AL714" s="46"/>
      <c r="AM714" s="46"/>
      <c r="AN714" s="46"/>
      <c r="AO714" s="46"/>
    </row>
    <row r="715">
      <c r="A715" s="17"/>
      <c r="B715" s="46"/>
      <c r="C715" s="46"/>
      <c r="D715" s="46"/>
      <c r="E715" s="17"/>
      <c r="F715" s="46"/>
      <c r="G715" s="46"/>
      <c r="H715" s="46"/>
      <c r="I715" s="17"/>
      <c r="J715" s="46"/>
      <c r="K715" s="46"/>
      <c r="L715" s="46"/>
      <c r="M715" s="17"/>
      <c r="N715" s="46"/>
      <c r="O715" s="46"/>
      <c r="P715" s="46"/>
      <c r="Q715" s="46"/>
      <c r="R715" s="46"/>
      <c r="S715" s="46"/>
      <c r="T715" s="46"/>
      <c r="U715" s="46"/>
      <c r="V715" s="46"/>
      <c r="W715" s="46"/>
      <c r="X715" s="46"/>
      <c r="Y715" s="46"/>
      <c r="Z715" s="46"/>
      <c r="AA715" s="46"/>
      <c r="AB715" s="46"/>
      <c r="AC715" s="46"/>
      <c r="AD715" s="46"/>
      <c r="AE715" s="46"/>
      <c r="AF715" s="46"/>
      <c r="AG715" s="123"/>
      <c r="AH715" s="123"/>
      <c r="AI715" s="123"/>
      <c r="AJ715" s="123"/>
      <c r="AK715" s="46"/>
      <c r="AL715" s="46"/>
      <c r="AM715" s="46"/>
      <c r="AN715" s="46"/>
      <c r="AO715" s="46"/>
    </row>
    <row r="716">
      <c r="A716" s="17"/>
      <c r="B716" s="46"/>
      <c r="C716" s="46"/>
      <c r="D716" s="46"/>
      <c r="E716" s="17"/>
      <c r="F716" s="46"/>
      <c r="G716" s="46"/>
      <c r="H716" s="46"/>
      <c r="I716" s="17"/>
      <c r="J716" s="46"/>
      <c r="K716" s="46"/>
      <c r="L716" s="46"/>
      <c r="M716" s="17"/>
      <c r="N716" s="46"/>
      <c r="O716" s="46"/>
      <c r="P716" s="46"/>
      <c r="Q716" s="46"/>
      <c r="R716" s="46"/>
      <c r="S716" s="46"/>
      <c r="T716" s="46"/>
      <c r="U716" s="46"/>
      <c r="V716" s="46"/>
      <c r="W716" s="46"/>
      <c r="X716" s="46"/>
      <c r="Y716" s="46"/>
      <c r="Z716" s="46"/>
      <c r="AA716" s="46"/>
      <c r="AB716" s="46"/>
      <c r="AC716" s="46"/>
      <c r="AD716" s="46"/>
      <c r="AE716" s="46"/>
      <c r="AF716" s="46"/>
      <c r="AG716" s="123"/>
      <c r="AH716" s="123"/>
      <c r="AI716" s="123"/>
      <c r="AJ716" s="123"/>
      <c r="AK716" s="46"/>
      <c r="AL716" s="46"/>
      <c r="AM716" s="46"/>
      <c r="AN716" s="46"/>
      <c r="AO716" s="46"/>
    </row>
    <row r="717">
      <c r="A717" s="17"/>
      <c r="B717" s="46"/>
      <c r="C717" s="46"/>
      <c r="D717" s="46"/>
      <c r="E717" s="17"/>
      <c r="F717" s="46"/>
      <c r="G717" s="46"/>
      <c r="H717" s="46"/>
      <c r="I717" s="17"/>
      <c r="J717" s="46"/>
      <c r="K717" s="46"/>
      <c r="L717" s="46"/>
      <c r="M717" s="17"/>
      <c r="N717" s="46"/>
      <c r="O717" s="46"/>
      <c r="P717" s="46"/>
      <c r="Q717" s="46"/>
      <c r="R717" s="46"/>
      <c r="S717" s="46"/>
      <c r="T717" s="46"/>
      <c r="U717" s="46"/>
      <c r="V717" s="46"/>
      <c r="W717" s="46"/>
      <c r="X717" s="46"/>
      <c r="Y717" s="46"/>
      <c r="Z717" s="46"/>
      <c r="AA717" s="46"/>
      <c r="AB717" s="46"/>
      <c r="AC717" s="46"/>
      <c r="AD717" s="46"/>
      <c r="AE717" s="46"/>
      <c r="AF717" s="46"/>
      <c r="AG717" s="123"/>
      <c r="AH717" s="123"/>
      <c r="AI717" s="123"/>
      <c r="AJ717" s="123"/>
      <c r="AK717" s="46"/>
      <c r="AL717" s="46"/>
      <c r="AM717" s="46"/>
      <c r="AN717" s="46"/>
      <c r="AO717" s="46"/>
    </row>
    <row r="718">
      <c r="A718" s="17"/>
      <c r="B718" s="46"/>
      <c r="C718" s="46"/>
      <c r="D718" s="46"/>
      <c r="E718" s="17"/>
      <c r="F718" s="46"/>
      <c r="G718" s="46"/>
      <c r="H718" s="46"/>
      <c r="I718" s="17"/>
      <c r="J718" s="46"/>
      <c r="K718" s="46"/>
      <c r="L718" s="46"/>
      <c r="M718" s="17"/>
      <c r="N718" s="46"/>
      <c r="O718" s="46"/>
      <c r="P718" s="46"/>
      <c r="Q718" s="46"/>
      <c r="R718" s="46"/>
      <c r="S718" s="46"/>
      <c r="T718" s="46"/>
      <c r="U718" s="46"/>
      <c r="V718" s="46"/>
      <c r="W718" s="46"/>
      <c r="X718" s="46"/>
      <c r="Y718" s="46"/>
      <c r="Z718" s="46"/>
      <c r="AA718" s="46"/>
      <c r="AB718" s="46"/>
      <c r="AC718" s="46"/>
      <c r="AD718" s="46"/>
      <c r="AE718" s="46"/>
      <c r="AF718" s="46"/>
      <c r="AG718" s="123"/>
      <c r="AH718" s="123"/>
      <c r="AI718" s="123"/>
      <c r="AJ718" s="123"/>
      <c r="AK718" s="46"/>
      <c r="AL718" s="46"/>
      <c r="AM718" s="46"/>
      <c r="AN718" s="46"/>
      <c r="AO718" s="46"/>
    </row>
    <row r="719">
      <c r="A719" s="17"/>
      <c r="B719" s="46"/>
      <c r="C719" s="46"/>
      <c r="D719" s="46"/>
      <c r="E719" s="17"/>
      <c r="F719" s="46"/>
      <c r="G719" s="46"/>
      <c r="H719" s="46"/>
      <c r="I719" s="17"/>
      <c r="J719" s="46"/>
      <c r="K719" s="46"/>
      <c r="L719" s="46"/>
      <c r="M719" s="17"/>
      <c r="N719" s="46"/>
      <c r="O719" s="46"/>
      <c r="P719" s="46"/>
      <c r="Q719" s="46"/>
      <c r="R719" s="46"/>
      <c r="S719" s="46"/>
      <c r="T719" s="46"/>
      <c r="U719" s="46"/>
      <c r="V719" s="46"/>
      <c r="W719" s="46"/>
      <c r="X719" s="46"/>
      <c r="Y719" s="46"/>
      <c r="Z719" s="46"/>
      <c r="AA719" s="46"/>
      <c r="AB719" s="46"/>
      <c r="AC719" s="46"/>
      <c r="AD719" s="46"/>
      <c r="AE719" s="46"/>
      <c r="AF719" s="46"/>
      <c r="AG719" s="123"/>
      <c r="AH719" s="123"/>
      <c r="AI719" s="123"/>
      <c r="AJ719" s="123"/>
      <c r="AK719" s="46"/>
      <c r="AL719" s="46"/>
      <c r="AM719" s="46"/>
      <c r="AN719" s="46"/>
      <c r="AO719" s="46"/>
    </row>
    <row r="720">
      <c r="A720" s="17"/>
      <c r="B720" s="46"/>
      <c r="C720" s="46"/>
      <c r="D720" s="46"/>
      <c r="E720" s="17"/>
      <c r="F720" s="46"/>
      <c r="G720" s="46"/>
      <c r="H720" s="46"/>
      <c r="I720" s="17"/>
      <c r="J720" s="46"/>
      <c r="K720" s="46"/>
      <c r="L720" s="46"/>
      <c r="M720" s="17"/>
      <c r="N720" s="46"/>
      <c r="O720" s="46"/>
      <c r="P720" s="46"/>
      <c r="Q720" s="46"/>
      <c r="R720" s="46"/>
      <c r="S720" s="46"/>
      <c r="T720" s="46"/>
      <c r="U720" s="46"/>
      <c r="V720" s="46"/>
      <c r="W720" s="46"/>
      <c r="X720" s="46"/>
      <c r="Y720" s="46"/>
      <c r="Z720" s="46"/>
      <c r="AA720" s="46"/>
      <c r="AB720" s="46"/>
      <c r="AC720" s="46"/>
      <c r="AD720" s="46"/>
      <c r="AE720" s="46"/>
      <c r="AF720" s="46"/>
      <c r="AG720" s="123"/>
      <c r="AH720" s="123"/>
      <c r="AI720" s="123"/>
      <c r="AJ720" s="123"/>
      <c r="AK720" s="46"/>
      <c r="AL720" s="46"/>
      <c r="AM720" s="46"/>
      <c r="AN720" s="46"/>
      <c r="AO720" s="46"/>
    </row>
    <row r="721">
      <c r="A721" s="17"/>
      <c r="B721" s="46"/>
      <c r="C721" s="46"/>
      <c r="D721" s="46"/>
      <c r="E721" s="17"/>
      <c r="F721" s="46"/>
      <c r="G721" s="46"/>
      <c r="H721" s="46"/>
      <c r="I721" s="17"/>
      <c r="J721" s="46"/>
      <c r="K721" s="46"/>
      <c r="L721" s="46"/>
      <c r="M721" s="17"/>
      <c r="N721" s="46"/>
      <c r="O721" s="46"/>
      <c r="P721" s="46"/>
      <c r="Q721" s="46"/>
      <c r="R721" s="46"/>
      <c r="S721" s="46"/>
      <c r="T721" s="46"/>
      <c r="U721" s="46"/>
      <c r="V721" s="46"/>
      <c r="W721" s="46"/>
      <c r="X721" s="46"/>
      <c r="Y721" s="46"/>
      <c r="Z721" s="46"/>
      <c r="AA721" s="46"/>
      <c r="AB721" s="46"/>
      <c r="AC721" s="46"/>
      <c r="AD721" s="46"/>
      <c r="AE721" s="46"/>
      <c r="AF721" s="46"/>
      <c r="AG721" s="123"/>
      <c r="AH721" s="123"/>
      <c r="AI721" s="123"/>
      <c r="AJ721" s="123"/>
      <c r="AK721" s="46"/>
      <c r="AL721" s="46"/>
      <c r="AM721" s="46"/>
      <c r="AN721" s="46"/>
      <c r="AO721" s="46"/>
    </row>
    <row r="722">
      <c r="A722" s="17"/>
      <c r="B722" s="46"/>
      <c r="C722" s="46"/>
      <c r="D722" s="46"/>
      <c r="E722" s="17"/>
      <c r="F722" s="46"/>
      <c r="G722" s="46"/>
      <c r="H722" s="46"/>
      <c r="I722" s="17"/>
      <c r="J722" s="46"/>
      <c r="K722" s="46"/>
      <c r="L722" s="46"/>
      <c r="M722" s="17"/>
      <c r="N722" s="46"/>
      <c r="O722" s="46"/>
      <c r="P722" s="46"/>
      <c r="Q722" s="46"/>
      <c r="R722" s="46"/>
      <c r="S722" s="46"/>
      <c r="T722" s="46"/>
      <c r="U722" s="46"/>
      <c r="V722" s="46"/>
      <c r="W722" s="46"/>
      <c r="X722" s="46"/>
      <c r="Y722" s="46"/>
      <c r="Z722" s="46"/>
      <c r="AA722" s="46"/>
      <c r="AB722" s="46"/>
      <c r="AC722" s="46"/>
      <c r="AD722" s="46"/>
      <c r="AE722" s="46"/>
      <c r="AF722" s="46"/>
      <c r="AG722" s="123"/>
      <c r="AH722" s="123"/>
      <c r="AI722" s="123"/>
      <c r="AJ722" s="123"/>
      <c r="AK722" s="46"/>
      <c r="AL722" s="46"/>
      <c r="AM722" s="46"/>
      <c r="AN722" s="46"/>
      <c r="AO722" s="46"/>
    </row>
    <row r="723">
      <c r="A723" s="17"/>
      <c r="B723" s="46"/>
      <c r="C723" s="46"/>
      <c r="D723" s="46"/>
      <c r="E723" s="17"/>
      <c r="F723" s="46"/>
      <c r="G723" s="46"/>
      <c r="H723" s="46"/>
      <c r="I723" s="17"/>
      <c r="J723" s="46"/>
      <c r="K723" s="46"/>
      <c r="L723" s="46"/>
      <c r="M723" s="17"/>
      <c r="N723" s="46"/>
      <c r="O723" s="46"/>
      <c r="P723" s="46"/>
      <c r="Q723" s="46"/>
      <c r="R723" s="46"/>
      <c r="S723" s="46"/>
      <c r="T723" s="46"/>
      <c r="U723" s="46"/>
      <c r="V723" s="46"/>
      <c r="W723" s="46"/>
      <c r="X723" s="46"/>
      <c r="Y723" s="46"/>
      <c r="Z723" s="46"/>
      <c r="AA723" s="46"/>
      <c r="AB723" s="46"/>
      <c r="AC723" s="46"/>
      <c r="AD723" s="46"/>
      <c r="AE723" s="46"/>
      <c r="AF723" s="46"/>
      <c r="AG723" s="123"/>
      <c r="AH723" s="123"/>
      <c r="AI723" s="123"/>
      <c r="AJ723" s="123"/>
      <c r="AK723" s="46"/>
      <c r="AL723" s="46"/>
      <c r="AM723" s="46"/>
      <c r="AN723" s="46"/>
      <c r="AO723" s="46"/>
    </row>
    <row r="724">
      <c r="A724" s="17"/>
      <c r="B724" s="46"/>
      <c r="C724" s="46"/>
      <c r="D724" s="46"/>
      <c r="E724" s="17"/>
      <c r="F724" s="46"/>
      <c r="G724" s="46"/>
      <c r="H724" s="46"/>
      <c r="I724" s="17"/>
      <c r="J724" s="46"/>
      <c r="K724" s="46"/>
      <c r="L724" s="46"/>
      <c r="M724" s="17"/>
      <c r="N724" s="46"/>
      <c r="O724" s="46"/>
      <c r="P724" s="46"/>
      <c r="Q724" s="46"/>
      <c r="R724" s="46"/>
      <c r="S724" s="46"/>
      <c r="T724" s="46"/>
      <c r="U724" s="46"/>
      <c r="V724" s="46"/>
      <c r="W724" s="46"/>
      <c r="X724" s="46"/>
      <c r="Y724" s="46"/>
      <c r="Z724" s="46"/>
      <c r="AA724" s="46"/>
      <c r="AB724" s="46"/>
      <c r="AC724" s="46"/>
      <c r="AD724" s="46"/>
      <c r="AE724" s="46"/>
      <c r="AF724" s="46"/>
      <c r="AG724" s="123"/>
      <c r="AH724" s="123"/>
      <c r="AI724" s="123"/>
      <c r="AJ724" s="123"/>
      <c r="AK724" s="46"/>
      <c r="AL724" s="46"/>
      <c r="AM724" s="46"/>
      <c r="AN724" s="46"/>
      <c r="AO724" s="46"/>
    </row>
    <row r="725">
      <c r="A725" s="17"/>
      <c r="B725" s="46"/>
      <c r="C725" s="46"/>
      <c r="D725" s="46"/>
      <c r="E725" s="17"/>
      <c r="F725" s="46"/>
      <c r="G725" s="46"/>
      <c r="H725" s="46"/>
      <c r="I725" s="17"/>
      <c r="J725" s="46"/>
      <c r="K725" s="46"/>
      <c r="L725" s="46"/>
      <c r="M725" s="17"/>
      <c r="N725" s="46"/>
      <c r="O725" s="46"/>
      <c r="P725" s="46"/>
      <c r="Q725" s="46"/>
      <c r="R725" s="46"/>
      <c r="S725" s="46"/>
      <c r="T725" s="46"/>
      <c r="U725" s="46"/>
      <c r="V725" s="46"/>
      <c r="W725" s="46"/>
      <c r="X725" s="46"/>
      <c r="Y725" s="46"/>
      <c r="Z725" s="46"/>
      <c r="AA725" s="46"/>
      <c r="AB725" s="46"/>
      <c r="AC725" s="46"/>
      <c r="AD725" s="46"/>
      <c r="AE725" s="46"/>
      <c r="AF725" s="46"/>
      <c r="AG725" s="123"/>
      <c r="AH725" s="123"/>
      <c r="AI725" s="123"/>
      <c r="AJ725" s="123"/>
      <c r="AK725" s="46"/>
      <c r="AL725" s="46"/>
      <c r="AM725" s="46"/>
      <c r="AN725" s="46"/>
      <c r="AO725" s="46"/>
    </row>
    <row r="726">
      <c r="A726" s="17"/>
      <c r="B726" s="46"/>
      <c r="C726" s="46"/>
      <c r="D726" s="46"/>
      <c r="E726" s="17"/>
      <c r="F726" s="46"/>
      <c r="G726" s="46"/>
      <c r="H726" s="46"/>
      <c r="I726" s="17"/>
      <c r="J726" s="46"/>
      <c r="K726" s="46"/>
      <c r="L726" s="46"/>
      <c r="M726" s="17"/>
      <c r="N726" s="46"/>
      <c r="O726" s="46"/>
      <c r="P726" s="46"/>
      <c r="Q726" s="46"/>
      <c r="R726" s="46"/>
      <c r="S726" s="46"/>
      <c r="T726" s="46"/>
      <c r="U726" s="46"/>
      <c r="V726" s="46"/>
      <c r="W726" s="46"/>
      <c r="X726" s="46"/>
      <c r="Y726" s="46"/>
      <c r="Z726" s="46"/>
      <c r="AA726" s="46"/>
      <c r="AB726" s="46"/>
      <c r="AC726" s="46"/>
      <c r="AD726" s="46"/>
      <c r="AE726" s="46"/>
      <c r="AF726" s="46"/>
      <c r="AG726" s="123"/>
      <c r="AH726" s="123"/>
      <c r="AI726" s="123"/>
      <c r="AJ726" s="123"/>
      <c r="AK726" s="46"/>
      <c r="AL726" s="46"/>
      <c r="AM726" s="46"/>
      <c r="AN726" s="46"/>
      <c r="AO726" s="46"/>
    </row>
    <row r="727">
      <c r="A727" s="17"/>
      <c r="B727" s="46"/>
      <c r="C727" s="46"/>
      <c r="D727" s="46"/>
      <c r="E727" s="17"/>
      <c r="F727" s="46"/>
      <c r="G727" s="46"/>
      <c r="H727" s="46"/>
      <c r="I727" s="17"/>
      <c r="J727" s="46"/>
      <c r="K727" s="46"/>
      <c r="L727" s="46"/>
      <c r="M727" s="17"/>
      <c r="N727" s="46"/>
      <c r="O727" s="46"/>
      <c r="P727" s="46"/>
      <c r="Q727" s="46"/>
      <c r="R727" s="46"/>
      <c r="S727" s="46"/>
      <c r="T727" s="46"/>
      <c r="U727" s="46"/>
      <c r="V727" s="46"/>
      <c r="W727" s="46"/>
      <c r="X727" s="46"/>
      <c r="Y727" s="46"/>
      <c r="Z727" s="46"/>
      <c r="AA727" s="46"/>
      <c r="AB727" s="46"/>
      <c r="AC727" s="46"/>
      <c r="AD727" s="46"/>
      <c r="AE727" s="46"/>
      <c r="AF727" s="46"/>
      <c r="AG727" s="123"/>
      <c r="AH727" s="123"/>
      <c r="AI727" s="123"/>
      <c r="AJ727" s="123"/>
      <c r="AK727" s="46"/>
      <c r="AL727" s="46"/>
      <c r="AM727" s="46"/>
      <c r="AN727" s="46"/>
      <c r="AO727" s="46"/>
    </row>
    <row r="728">
      <c r="A728" s="17"/>
      <c r="B728" s="46"/>
      <c r="C728" s="46"/>
      <c r="D728" s="46"/>
      <c r="E728" s="17"/>
      <c r="F728" s="46"/>
      <c r="G728" s="46"/>
      <c r="H728" s="46"/>
      <c r="I728" s="17"/>
      <c r="J728" s="46"/>
      <c r="K728" s="46"/>
      <c r="L728" s="46"/>
      <c r="M728" s="17"/>
      <c r="N728" s="46"/>
      <c r="O728" s="46"/>
      <c r="P728" s="46"/>
      <c r="Q728" s="46"/>
      <c r="R728" s="46"/>
      <c r="S728" s="46"/>
      <c r="T728" s="46"/>
      <c r="U728" s="46"/>
      <c r="V728" s="46"/>
      <c r="W728" s="46"/>
      <c r="X728" s="46"/>
      <c r="Y728" s="46"/>
      <c r="Z728" s="46"/>
      <c r="AA728" s="46"/>
      <c r="AB728" s="46"/>
      <c r="AC728" s="46"/>
      <c r="AD728" s="46"/>
      <c r="AE728" s="46"/>
      <c r="AF728" s="46"/>
      <c r="AG728" s="123"/>
      <c r="AH728" s="123"/>
      <c r="AI728" s="123"/>
      <c r="AJ728" s="123"/>
      <c r="AK728" s="46"/>
      <c r="AL728" s="46"/>
      <c r="AM728" s="46"/>
      <c r="AN728" s="46"/>
      <c r="AO728" s="46"/>
    </row>
    <row r="729">
      <c r="A729" s="17"/>
      <c r="B729" s="46"/>
      <c r="C729" s="46"/>
      <c r="D729" s="46"/>
      <c r="E729" s="17"/>
      <c r="F729" s="46"/>
      <c r="G729" s="46"/>
      <c r="H729" s="46"/>
      <c r="I729" s="17"/>
      <c r="J729" s="46"/>
      <c r="K729" s="46"/>
      <c r="L729" s="46"/>
      <c r="M729" s="17"/>
      <c r="N729" s="46"/>
      <c r="O729" s="46"/>
      <c r="P729" s="46"/>
      <c r="Q729" s="46"/>
      <c r="R729" s="46"/>
      <c r="S729" s="46"/>
      <c r="T729" s="46"/>
      <c r="U729" s="46"/>
      <c r="V729" s="46"/>
      <c r="W729" s="46"/>
      <c r="X729" s="46"/>
      <c r="Y729" s="46"/>
      <c r="Z729" s="46"/>
      <c r="AA729" s="46"/>
      <c r="AB729" s="46"/>
      <c r="AC729" s="46"/>
      <c r="AD729" s="46"/>
      <c r="AE729" s="46"/>
      <c r="AF729" s="46"/>
      <c r="AG729" s="123"/>
      <c r="AH729" s="123"/>
      <c r="AI729" s="123"/>
      <c r="AJ729" s="123"/>
      <c r="AK729" s="46"/>
      <c r="AL729" s="46"/>
      <c r="AM729" s="46"/>
      <c r="AN729" s="46"/>
      <c r="AO729" s="46"/>
    </row>
    <row r="730">
      <c r="A730" s="17"/>
      <c r="B730" s="46"/>
      <c r="C730" s="46"/>
      <c r="D730" s="46"/>
      <c r="E730" s="17"/>
      <c r="F730" s="46"/>
      <c r="G730" s="46"/>
      <c r="H730" s="46"/>
      <c r="I730" s="17"/>
      <c r="J730" s="46"/>
      <c r="K730" s="46"/>
      <c r="L730" s="46"/>
      <c r="M730" s="17"/>
      <c r="N730" s="46"/>
      <c r="O730" s="46"/>
      <c r="P730" s="46"/>
      <c r="Q730" s="46"/>
      <c r="R730" s="46"/>
      <c r="S730" s="46"/>
      <c r="T730" s="46"/>
      <c r="U730" s="46"/>
      <c r="V730" s="46"/>
      <c r="W730" s="46"/>
      <c r="X730" s="46"/>
      <c r="Y730" s="46"/>
      <c r="Z730" s="46"/>
      <c r="AA730" s="46"/>
      <c r="AB730" s="46"/>
      <c r="AC730" s="46"/>
      <c r="AD730" s="46"/>
      <c r="AE730" s="46"/>
      <c r="AF730" s="46"/>
      <c r="AG730" s="123"/>
      <c r="AH730" s="123"/>
      <c r="AI730" s="123"/>
      <c r="AJ730" s="123"/>
      <c r="AK730" s="46"/>
      <c r="AL730" s="46"/>
      <c r="AM730" s="46"/>
      <c r="AN730" s="46"/>
      <c r="AO730" s="46"/>
    </row>
    <row r="731">
      <c r="A731" s="17"/>
      <c r="B731" s="46"/>
      <c r="C731" s="46"/>
      <c r="D731" s="46"/>
      <c r="E731" s="17"/>
      <c r="F731" s="46"/>
      <c r="G731" s="46"/>
      <c r="H731" s="46"/>
      <c r="I731" s="17"/>
      <c r="J731" s="46"/>
      <c r="K731" s="46"/>
      <c r="L731" s="46"/>
      <c r="M731" s="17"/>
      <c r="N731" s="46"/>
      <c r="O731" s="46"/>
      <c r="P731" s="46"/>
      <c r="Q731" s="46"/>
      <c r="R731" s="46"/>
      <c r="S731" s="46"/>
      <c r="T731" s="46"/>
      <c r="U731" s="46"/>
      <c r="V731" s="46"/>
      <c r="W731" s="46"/>
      <c r="X731" s="46"/>
      <c r="Y731" s="46"/>
      <c r="Z731" s="46"/>
      <c r="AA731" s="46"/>
      <c r="AB731" s="46"/>
      <c r="AC731" s="46"/>
      <c r="AD731" s="46"/>
      <c r="AE731" s="46"/>
      <c r="AF731" s="46"/>
      <c r="AG731" s="123"/>
      <c r="AH731" s="123"/>
      <c r="AI731" s="123"/>
      <c r="AJ731" s="123"/>
      <c r="AK731" s="46"/>
      <c r="AL731" s="46"/>
      <c r="AM731" s="46"/>
      <c r="AN731" s="46"/>
      <c r="AO731" s="46"/>
    </row>
    <row r="732">
      <c r="A732" s="17"/>
      <c r="B732" s="46"/>
      <c r="C732" s="46"/>
      <c r="D732" s="46"/>
      <c r="E732" s="17"/>
      <c r="F732" s="46"/>
      <c r="G732" s="46"/>
      <c r="H732" s="46"/>
      <c r="I732" s="17"/>
      <c r="J732" s="46"/>
      <c r="K732" s="46"/>
      <c r="L732" s="46"/>
      <c r="M732" s="17"/>
      <c r="N732" s="46"/>
      <c r="O732" s="46"/>
      <c r="P732" s="46"/>
      <c r="Q732" s="46"/>
      <c r="R732" s="46"/>
      <c r="S732" s="46"/>
      <c r="T732" s="46"/>
      <c r="U732" s="46"/>
      <c r="V732" s="46"/>
      <c r="W732" s="46"/>
      <c r="X732" s="46"/>
      <c r="Y732" s="46"/>
      <c r="Z732" s="46"/>
      <c r="AA732" s="46"/>
      <c r="AB732" s="46"/>
      <c r="AC732" s="46"/>
      <c r="AD732" s="46"/>
      <c r="AE732" s="46"/>
      <c r="AF732" s="46"/>
      <c r="AG732" s="123"/>
      <c r="AH732" s="123"/>
      <c r="AI732" s="123"/>
      <c r="AJ732" s="123"/>
      <c r="AK732" s="46"/>
      <c r="AL732" s="46"/>
      <c r="AM732" s="46"/>
      <c r="AN732" s="46"/>
      <c r="AO732" s="46"/>
    </row>
    <row r="733">
      <c r="A733" s="17"/>
      <c r="B733" s="46"/>
      <c r="C733" s="46"/>
      <c r="D733" s="46"/>
      <c r="E733" s="17"/>
      <c r="F733" s="46"/>
      <c r="G733" s="46"/>
      <c r="H733" s="46"/>
      <c r="I733" s="17"/>
      <c r="J733" s="46"/>
      <c r="K733" s="46"/>
      <c r="L733" s="46"/>
      <c r="M733" s="17"/>
      <c r="N733" s="46"/>
      <c r="O733" s="46"/>
      <c r="P733" s="46"/>
      <c r="Q733" s="46"/>
      <c r="R733" s="46"/>
      <c r="S733" s="46"/>
      <c r="T733" s="46"/>
      <c r="U733" s="46"/>
      <c r="V733" s="46"/>
      <c r="W733" s="46"/>
      <c r="X733" s="46"/>
      <c r="Y733" s="46"/>
      <c r="Z733" s="46"/>
      <c r="AA733" s="46"/>
      <c r="AB733" s="46"/>
      <c r="AC733" s="46"/>
      <c r="AD733" s="46"/>
      <c r="AE733" s="46"/>
      <c r="AF733" s="46"/>
      <c r="AG733" s="123"/>
      <c r="AH733" s="123"/>
      <c r="AI733" s="123"/>
      <c r="AJ733" s="123"/>
      <c r="AK733" s="46"/>
      <c r="AL733" s="46"/>
      <c r="AM733" s="46"/>
      <c r="AN733" s="46"/>
      <c r="AO733" s="46"/>
    </row>
    <row r="734">
      <c r="A734" s="17"/>
      <c r="B734" s="46"/>
      <c r="C734" s="46"/>
      <c r="D734" s="46"/>
      <c r="E734" s="17"/>
      <c r="F734" s="46"/>
      <c r="G734" s="46"/>
      <c r="H734" s="46"/>
      <c r="I734" s="17"/>
      <c r="J734" s="46"/>
      <c r="K734" s="46"/>
      <c r="L734" s="46"/>
      <c r="M734" s="17"/>
      <c r="N734" s="46"/>
      <c r="O734" s="46"/>
      <c r="P734" s="46"/>
      <c r="Q734" s="46"/>
      <c r="R734" s="46"/>
      <c r="S734" s="46"/>
      <c r="T734" s="46"/>
      <c r="U734" s="46"/>
      <c r="V734" s="46"/>
      <c r="W734" s="46"/>
      <c r="X734" s="46"/>
      <c r="Y734" s="46"/>
      <c r="Z734" s="46"/>
      <c r="AA734" s="46"/>
      <c r="AB734" s="46"/>
      <c r="AC734" s="46"/>
      <c r="AD734" s="46"/>
      <c r="AE734" s="46"/>
      <c r="AF734" s="46"/>
      <c r="AG734" s="123"/>
      <c r="AH734" s="123"/>
      <c r="AI734" s="123"/>
      <c r="AJ734" s="123"/>
      <c r="AK734" s="46"/>
      <c r="AL734" s="46"/>
      <c r="AM734" s="46"/>
      <c r="AN734" s="46"/>
      <c r="AO734" s="46"/>
    </row>
    <row r="735">
      <c r="A735" s="17"/>
      <c r="B735" s="46"/>
      <c r="C735" s="46"/>
      <c r="D735" s="46"/>
      <c r="E735" s="17"/>
      <c r="F735" s="46"/>
      <c r="G735" s="46"/>
      <c r="H735" s="46"/>
      <c r="I735" s="17"/>
      <c r="J735" s="46"/>
      <c r="K735" s="46"/>
      <c r="L735" s="46"/>
      <c r="M735" s="17"/>
      <c r="N735" s="46"/>
      <c r="O735" s="46"/>
      <c r="P735" s="46"/>
      <c r="Q735" s="46"/>
      <c r="R735" s="46"/>
      <c r="S735" s="46"/>
      <c r="T735" s="46"/>
      <c r="U735" s="46"/>
      <c r="V735" s="46"/>
      <c r="W735" s="46"/>
      <c r="X735" s="46"/>
      <c r="Y735" s="46"/>
      <c r="Z735" s="46"/>
      <c r="AA735" s="46"/>
      <c r="AB735" s="46"/>
      <c r="AC735" s="46"/>
      <c r="AD735" s="46"/>
      <c r="AE735" s="46"/>
      <c r="AF735" s="46"/>
      <c r="AG735" s="123"/>
      <c r="AH735" s="123"/>
      <c r="AI735" s="123"/>
      <c r="AJ735" s="123"/>
      <c r="AK735" s="46"/>
      <c r="AL735" s="46"/>
      <c r="AM735" s="46"/>
      <c r="AN735" s="46"/>
      <c r="AO735" s="46"/>
    </row>
    <row r="736">
      <c r="A736" s="17"/>
      <c r="B736" s="46"/>
      <c r="C736" s="46"/>
      <c r="D736" s="46"/>
      <c r="E736" s="17"/>
      <c r="F736" s="46"/>
      <c r="G736" s="46"/>
      <c r="H736" s="46"/>
      <c r="I736" s="17"/>
      <c r="J736" s="46"/>
      <c r="K736" s="46"/>
      <c r="L736" s="46"/>
      <c r="M736" s="17"/>
      <c r="N736" s="46"/>
      <c r="O736" s="46"/>
      <c r="P736" s="46"/>
      <c r="Q736" s="46"/>
      <c r="R736" s="46"/>
      <c r="S736" s="46"/>
      <c r="T736" s="46"/>
      <c r="U736" s="46"/>
      <c r="V736" s="46"/>
      <c r="W736" s="46"/>
      <c r="X736" s="46"/>
      <c r="Y736" s="46"/>
      <c r="Z736" s="46"/>
      <c r="AA736" s="46"/>
      <c r="AB736" s="46"/>
      <c r="AC736" s="46"/>
      <c r="AD736" s="46"/>
      <c r="AE736" s="46"/>
      <c r="AF736" s="46"/>
      <c r="AG736" s="123"/>
      <c r="AH736" s="123"/>
      <c r="AI736" s="123"/>
      <c r="AJ736" s="123"/>
      <c r="AK736" s="46"/>
      <c r="AL736" s="46"/>
      <c r="AM736" s="46"/>
      <c r="AN736" s="46"/>
      <c r="AO736" s="46"/>
    </row>
    <row r="737">
      <c r="A737" s="17"/>
      <c r="B737" s="46"/>
      <c r="C737" s="46"/>
      <c r="D737" s="46"/>
      <c r="E737" s="17"/>
      <c r="F737" s="46"/>
      <c r="G737" s="46"/>
      <c r="H737" s="46"/>
      <c r="I737" s="17"/>
      <c r="J737" s="46"/>
      <c r="K737" s="46"/>
      <c r="L737" s="46"/>
      <c r="M737" s="17"/>
      <c r="N737" s="46"/>
      <c r="O737" s="46"/>
      <c r="P737" s="46"/>
      <c r="Q737" s="46"/>
      <c r="R737" s="46"/>
      <c r="S737" s="46"/>
      <c r="T737" s="46"/>
      <c r="U737" s="46"/>
      <c r="V737" s="46"/>
      <c r="W737" s="46"/>
      <c r="X737" s="46"/>
      <c r="Y737" s="46"/>
      <c r="Z737" s="46"/>
      <c r="AA737" s="46"/>
      <c r="AB737" s="46"/>
      <c r="AC737" s="46"/>
      <c r="AD737" s="46"/>
      <c r="AE737" s="46"/>
      <c r="AF737" s="46"/>
      <c r="AG737" s="123"/>
      <c r="AH737" s="123"/>
      <c r="AI737" s="123"/>
      <c r="AJ737" s="123"/>
      <c r="AK737" s="46"/>
      <c r="AL737" s="46"/>
      <c r="AM737" s="46"/>
      <c r="AN737" s="46"/>
      <c r="AO737" s="46"/>
    </row>
    <row r="738">
      <c r="A738" s="17"/>
      <c r="B738" s="46"/>
      <c r="C738" s="46"/>
      <c r="D738" s="46"/>
      <c r="E738" s="17"/>
      <c r="F738" s="46"/>
      <c r="G738" s="46"/>
      <c r="H738" s="46"/>
      <c r="I738" s="17"/>
      <c r="J738" s="46"/>
      <c r="K738" s="46"/>
      <c r="L738" s="46"/>
      <c r="M738" s="17"/>
      <c r="N738" s="46"/>
      <c r="O738" s="46"/>
      <c r="P738" s="46"/>
      <c r="Q738" s="46"/>
      <c r="R738" s="46"/>
      <c r="S738" s="46"/>
      <c r="T738" s="46"/>
      <c r="U738" s="46"/>
      <c r="V738" s="46"/>
      <c r="W738" s="46"/>
      <c r="X738" s="46"/>
      <c r="Y738" s="46"/>
      <c r="Z738" s="46"/>
      <c r="AA738" s="46"/>
      <c r="AB738" s="46"/>
      <c r="AC738" s="46"/>
      <c r="AD738" s="46"/>
      <c r="AE738" s="46"/>
      <c r="AF738" s="46"/>
      <c r="AG738" s="123"/>
      <c r="AH738" s="123"/>
      <c r="AI738" s="123"/>
      <c r="AJ738" s="123"/>
      <c r="AK738" s="46"/>
      <c r="AL738" s="46"/>
      <c r="AM738" s="46"/>
      <c r="AN738" s="46"/>
      <c r="AO738" s="46"/>
    </row>
    <row r="739">
      <c r="A739" s="17"/>
      <c r="B739" s="46"/>
      <c r="C739" s="46"/>
      <c r="D739" s="46"/>
      <c r="E739" s="17"/>
      <c r="F739" s="46"/>
      <c r="G739" s="46"/>
      <c r="H739" s="46"/>
      <c r="I739" s="17"/>
      <c r="J739" s="46"/>
      <c r="K739" s="46"/>
      <c r="L739" s="46"/>
      <c r="M739" s="17"/>
      <c r="N739" s="46"/>
      <c r="O739" s="46"/>
      <c r="P739" s="46"/>
      <c r="Q739" s="46"/>
      <c r="R739" s="46"/>
      <c r="S739" s="46"/>
      <c r="T739" s="46"/>
      <c r="U739" s="46"/>
      <c r="V739" s="46"/>
      <c r="W739" s="46"/>
      <c r="X739" s="46"/>
      <c r="Y739" s="46"/>
      <c r="Z739" s="46"/>
      <c r="AA739" s="46"/>
      <c r="AB739" s="46"/>
      <c r="AC739" s="46"/>
      <c r="AD739" s="46"/>
      <c r="AE739" s="46"/>
      <c r="AF739" s="46"/>
      <c r="AG739" s="123"/>
      <c r="AH739" s="123"/>
      <c r="AI739" s="123"/>
      <c r="AJ739" s="123"/>
      <c r="AK739" s="46"/>
      <c r="AL739" s="46"/>
      <c r="AM739" s="46"/>
      <c r="AN739" s="46"/>
      <c r="AO739" s="46"/>
    </row>
    <row r="740">
      <c r="A740" s="17"/>
      <c r="B740" s="46"/>
      <c r="C740" s="46"/>
      <c r="D740" s="46"/>
      <c r="E740" s="17"/>
      <c r="F740" s="46"/>
      <c r="G740" s="46"/>
      <c r="H740" s="46"/>
      <c r="I740" s="17"/>
      <c r="J740" s="46"/>
      <c r="K740" s="46"/>
      <c r="L740" s="46"/>
      <c r="M740" s="17"/>
      <c r="N740" s="46"/>
      <c r="O740" s="46"/>
      <c r="P740" s="46"/>
      <c r="Q740" s="46"/>
      <c r="R740" s="46"/>
      <c r="S740" s="46"/>
      <c r="T740" s="46"/>
      <c r="U740" s="46"/>
      <c r="V740" s="46"/>
      <c r="W740" s="46"/>
      <c r="X740" s="46"/>
      <c r="Y740" s="46"/>
      <c r="Z740" s="46"/>
      <c r="AA740" s="46"/>
      <c r="AB740" s="46"/>
      <c r="AC740" s="46"/>
      <c r="AD740" s="46"/>
      <c r="AE740" s="46"/>
      <c r="AF740" s="46"/>
      <c r="AG740" s="123"/>
      <c r="AH740" s="123"/>
      <c r="AI740" s="123"/>
      <c r="AJ740" s="123"/>
      <c r="AK740" s="46"/>
      <c r="AL740" s="46"/>
      <c r="AM740" s="46"/>
      <c r="AN740" s="46"/>
      <c r="AO740" s="46"/>
    </row>
    <row r="741">
      <c r="A741" s="17"/>
      <c r="B741" s="46"/>
      <c r="C741" s="46"/>
      <c r="D741" s="46"/>
      <c r="E741" s="17"/>
      <c r="F741" s="46"/>
      <c r="G741" s="46"/>
      <c r="H741" s="46"/>
      <c r="I741" s="17"/>
      <c r="J741" s="46"/>
      <c r="K741" s="46"/>
      <c r="L741" s="46"/>
      <c r="M741" s="17"/>
      <c r="N741" s="46"/>
      <c r="O741" s="46"/>
      <c r="P741" s="46"/>
      <c r="Q741" s="46"/>
      <c r="R741" s="46"/>
      <c r="S741" s="46"/>
      <c r="T741" s="46"/>
      <c r="U741" s="46"/>
      <c r="V741" s="46"/>
      <c r="W741" s="46"/>
      <c r="X741" s="46"/>
      <c r="Y741" s="46"/>
      <c r="Z741" s="46"/>
      <c r="AA741" s="46"/>
      <c r="AB741" s="46"/>
      <c r="AC741" s="46"/>
      <c r="AD741" s="46"/>
      <c r="AE741" s="46"/>
      <c r="AF741" s="46"/>
      <c r="AG741" s="123"/>
      <c r="AH741" s="123"/>
      <c r="AI741" s="123"/>
      <c r="AJ741" s="123"/>
      <c r="AK741" s="46"/>
      <c r="AL741" s="46"/>
      <c r="AM741" s="46"/>
      <c r="AN741" s="46"/>
      <c r="AO741" s="46"/>
    </row>
    <row r="742">
      <c r="A742" s="17"/>
      <c r="B742" s="46"/>
      <c r="C742" s="46"/>
      <c r="D742" s="46"/>
      <c r="E742" s="17"/>
      <c r="F742" s="46"/>
      <c r="G742" s="46"/>
      <c r="H742" s="46"/>
      <c r="I742" s="17"/>
      <c r="J742" s="46"/>
      <c r="K742" s="46"/>
      <c r="L742" s="46"/>
      <c r="M742" s="17"/>
      <c r="N742" s="46"/>
      <c r="O742" s="46"/>
      <c r="P742" s="46"/>
      <c r="Q742" s="46"/>
      <c r="R742" s="46"/>
      <c r="S742" s="46"/>
      <c r="T742" s="46"/>
      <c r="U742" s="46"/>
      <c r="V742" s="46"/>
      <c r="W742" s="46"/>
      <c r="X742" s="46"/>
      <c r="Y742" s="46"/>
      <c r="Z742" s="46"/>
      <c r="AA742" s="46"/>
      <c r="AB742" s="46"/>
      <c r="AC742" s="46"/>
      <c r="AD742" s="46"/>
      <c r="AE742" s="46"/>
      <c r="AF742" s="46"/>
      <c r="AG742" s="123"/>
      <c r="AH742" s="123"/>
      <c r="AI742" s="123"/>
      <c r="AJ742" s="123"/>
      <c r="AK742" s="46"/>
      <c r="AL742" s="46"/>
      <c r="AM742" s="46"/>
      <c r="AN742" s="46"/>
      <c r="AO742" s="46"/>
    </row>
    <row r="743">
      <c r="A743" s="17"/>
      <c r="B743" s="46"/>
      <c r="C743" s="46"/>
      <c r="D743" s="46"/>
      <c r="E743" s="17"/>
      <c r="F743" s="46"/>
      <c r="G743" s="46"/>
      <c r="H743" s="46"/>
      <c r="I743" s="17"/>
      <c r="J743" s="46"/>
      <c r="K743" s="46"/>
      <c r="L743" s="46"/>
      <c r="M743" s="17"/>
      <c r="N743" s="46"/>
      <c r="O743" s="46"/>
      <c r="P743" s="46"/>
      <c r="Q743" s="46"/>
      <c r="R743" s="46"/>
      <c r="S743" s="46"/>
      <c r="T743" s="46"/>
      <c r="U743" s="46"/>
      <c r="V743" s="46"/>
      <c r="W743" s="46"/>
      <c r="X743" s="46"/>
      <c r="Y743" s="46"/>
      <c r="Z743" s="46"/>
      <c r="AA743" s="46"/>
      <c r="AB743" s="46"/>
      <c r="AC743" s="46"/>
      <c r="AD743" s="46"/>
      <c r="AE743" s="46"/>
      <c r="AF743" s="46"/>
      <c r="AG743" s="123"/>
      <c r="AH743" s="123"/>
      <c r="AI743" s="123"/>
      <c r="AJ743" s="123"/>
      <c r="AK743" s="46"/>
      <c r="AL743" s="46"/>
      <c r="AM743" s="46"/>
      <c r="AN743" s="46"/>
      <c r="AO743" s="46"/>
    </row>
    <row r="744">
      <c r="A744" s="17"/>
      <c r="B744" s="46"/>
      <c r="C744" s="46"/>
      <c r="D744" s="46"/>
      <c r="E744" s="17"/>
      <c r="F744" s="46"/>
      <c r="G744" s="46"/>
      <c r="H744" s="46"/>
      <c r="I744" s="17"/>
      <c r="J744" s="46"/>
      <c r="K744" s="46"/>
      <c r="L744" s="46"/>
      <c r="M744" s="17"/>
      <c r="N744" s="46"/>
      <c r="O744" s="46"/>
      <c r="P744" s="46"/>
      <c r="Q744" s="46"/>
      <c r="R744" s="46"/>
      <c r="S744" s="46"/>
      <c r="T744" s="46"/>
      <c r="U744" s="46"/>
      <c r="V744" s="46"/>
      <c r="W744" s="46"/>
      <c r="X744" s="46"/>
      <c r="Y744" s="46"/>
      <c r="Z744" s="46"/>
      <c r="AA744" s="46"/>
      <c r="AB744" s="46"/>
      <c r="AC744" s="46"/>
      <c r="AD744" s="46"/>
      <c r="AE744" s="46"/>
      <c r="AF744" s="46"/>
      <c r="AG744" s="123"/>
      <c r="AH744" s="123"/>
      <c r="AI744" s="123"/>
      <c r="AJ744" s="123"/>
      <c r="AK744" s="46"/>
      <c r="AL744" s="46"/>
      <c r="AM744" s="46"/>
      <c r="AN744" s="46"/>
      <c r="AO744" s="46"/>
    </row>
    <row r="745">
      <c r="A745" s="17"/>
      <c r="B745" s="46"/>
      <c r="C745" s="46"/>
      <c r="D745" s="46"/>
      <c r="E745" s="17"/>
      <c r="F745" s="46"/>
      <c r="G745" s="46"/>
      <c r="H745" s="46"/>
      <c r="I745" s="17"/>
      <c r="J745" s="46"/>
      <c r="K745" s="46"/>
      <c r="L745" s="46"/>
      <c r="M745" s="17"/>
      <c r="N745" s="46"/>
      <c r="O745" s="46"/>
      <c r="P745" s="46"/>
      <c r="Q745" s="46"/>
      <c r="R745" s="46"/>
      <c r="S745" s="46"/>
      <c r="T745" s="46"/>
      <c r="U745" s="46"/>
      <c r="V745" s="46"/>
      <c r="W745" s="46"/>
      <c r="X745" s="46"/>
      <c r="Y745" s="46"/>
      <c r="Z745" s="46"/>
      <c r="AA745" s="46"/>
      <c r="AB745" s="46"/>
      <c r="AC745" s="46"/>
      <c r="AD745" s="46"/>
      <c r="AE745" s="46"/>
      <c r="AF745" s="46"/>
      <c r="AG745" s="123"/>
      <c r="AH745" s="123"/>
      <c r="AI745" s="123"/>
      <c r="AJ745" s="123"/>
      <c r="AK745" s="46"/>
      <c r="AL745" s="46"/>
      <c r="AM745" s="46"/>
      <c r="AN745" s="46"/>
      <c r="AO745" s="46"/>
    </row>
    <row r="746">
      <c r="A746" s="17"/>
      <c r="B746" s="46"/>
      <c r="C746" s="46"/>
      <c r="D746" s="46"/>
      <c r="E746" s="17"/>
      <c r="F746" s="46"/>
      <c r="G746" s="46"/>
      <c r="H746" s="46"/>
      <c r="I746" s="17"/>
      <c r="J746" s="46"/>
      <c r="K746" s="46"/>
      <c r="L746" s="46"/>
      <c r="M746" s="17"/>
      <c r="N746" s="46"/>
      <c r="O746" s="46"/>
      <c r="P746" s="46"/>
      <c r="Q746" s="46"/>
      <c r="R746" s="46"/>
      <c r="S746" s="46"/>
      <c r="T746" s="46"/>
      <c r="U746" s="46"/>
      <c r="V746" s="46"/>
      <c r="W746" s="46"/>
      <c r="X746" s="46"/>
      <c r="Y746" s="46"/>
      <c r="Z746" s="46"/>
      <c r="AA746" s="46"/>
      <c r="AB746" s="46"/>
      <c r="AC746" s="46"/>
      <c r="AD746" s="46"/>
      <c r="AE746" s="46"/>
      <c r="AF746" s="46"/>
      <c r="AG746" s="123"/>
      <c r="AH746" s="123"/>
      <c r="AI746" s="123"/>
      <c r="AJ746" s="123"/>
      <c r="AK746" s="46"/>
      <c r="AL746" s="46"/>
      <c r="AM746" s="46"/>
      <c r="AN746" s="46"/>
      <c r="AO746" s="46"/>
    </row>
    <row r="747">
      <c r="A747" s="17"/>
      <c r="B747" s="46"/>
      <c r="C747" s="46"/>
      <c r="D747" s="46"/>
      <c r="E747" s="17"/>
      <c r="F747" s="46"/>
      <c r="G747" s="46"/>
      <c r="H747" s="46"/>
      <c r="I747" s="17"/>
      <c r="J747" s="46"/>
      <c r="K747" s="46"/>
      <c r="L747" s="46"/>
      <c r="M747" s="17"/>
      <c r="N747" s="46"/>
      <c r="O747" s="46"/>
      <c r="P747" s="46"/>
      <c r="Q747" s="46"/>
      <c r="R747" s="46"/>
      <c r="S747" s="46"/>
      <c r="T747" s="46"/>
      <c r="U747" s="46"/>
      <c r="V747" s="46"/>
      <c r="W747" s="46"/>
      <c r="X747" s="46"/>
      <c r="Y747" s="46"/>
      <c r="Z747" s="46"/>
      <c r="AA747" s="46"/>
      <c r="AB747" s="46"/>
      <c r="AC747" s="46"/>
      <c r="AD747" s="46"/>
      <c r="AE747" s="46"/>
      <c r="AF747" s="46"/>
      <c r="AG747" s="123"/>
      <c r="AH747" s="123"/>
      <c r="AI747" s="123"/>
      <c r="AJ747" s="123"/>
      <c r="AK747" s="46"/>
      <c r="AL747" s="46"/>
      <c r="AM747" s="46"/>
      <c r="AN747" s="46"/>
      <c r="AO747" s="46"/>
    </row>
    <row r="748">
      <c r="A748" s="17"/>
      <c r="B748" s="46"/>
      <c r="C748" s="46"/>
      <c r="D748" s="46"/>
      <c r="E748" s="17"/>
      <c r="F748" s="46"/>
      <c r="G748" s="46"/>
      <c r="H748" s="46"/>
      <c r="I748" s="17"/>
      <c r="J748" s="46"/>
      <c r="K748" s="46"/>
      <c r="L748" s="46"/>
      <c r="M748" s="17"/>
      <c r="N748" s="46"/>
      <c r="O748" s="46"/>
      <c r="P748" s="46"/>
      <c r="Q748" s="46"/>
      <c r="R748" s="46"/>
      <c r="S748" s="46"/>
      <c r="T748" s="46"/>
      <c r="U748" s="46"/>
      <c r="V748" s="46"/>
      <c r="W748" s="46"/>
      <c r="X748" s="46"/>
      <c r="Y748" s="46"/>
      <c r="Z748" s="46"/>
      <c r="AA748" s="46"/>
      <c r="AB748" s="46"/>
      <c r="AC748" s="46"/>
      <c r="AD748" s="46"/>
      <c r="AE748" s="46"/>
      <c r="AF748" s="46"/>
      <c r="AG748" s="123"/>
      <c r="AH748" s="123"/>
      <c r="AI748" s="123"/>
      <c r="AJ748" s="123"/>
      <c r="AK748" s="46"/>
      <c r="AL748" s="46"/>
      <c r="AM748" s="46"/>
      <c r="AN748" s="46"/>
      <c r="AO748" s="46"/>
    </row>
    <row r="749">
      <c r="A749" s="17"/>
      <c r="B749" s="46"/>
      <c r="C749" s="46"/>
      <c r="D749" s="46"/>
      <c r="E749" s="17"/>
      <c r="F749" s="46"/>
      <c r="G749" s="46"/>
      <c r="H749" s="46"/>
      <c r="I749" s="17"/>
      <c r="J749" s="46"/>
      <c r="K749" s="46"/>
      <c r="L749" s="46"/>
      <c r="M749" s="17"/>
      <c r="N749" s="46"/>
      <c r="O749" s="46"/>
      <c r="P749" s="46"/>
      <c r="Q749" s="46"/>
      <c r="R749" s="46"/>
      <c r="S749" s="46"/>
      <c r="T749" s="46"/>
      <c r="U749" s="46"/>
      <c r="V749" s="46"/>
      <c r="W749" s="46"/>
      <c r="X749" s="46"/>
      <c r="Y749" s="46"/>
      <c r="Z749" s="46"/>
      <c r="AA749" s="46"/>
      <c r="AB749" s="46"/>
      <c r="AC749" s="46"/>
      <c r="AD749" s="46"/>
      <c r="AE749" s="46"/>
      <c r="AF749" s="46"/>
      <c r="AG749" s="123"/>
      <c r="AH749" s="123"/>
      <c r="AI749" s="123"/>
      <c r="AJ749" s="123"/>
      <c r="AK749" s="46"/>
      <c r="AL749" s="46"/>
      <c r="AM749" s="46"/>
      <c r="AN749" s="46"/>
      <c r="AO749" s="46"/>
    </row>
    <row r="750">
      <c r="A750" s="17"/>
      <c r="B750" s="46"/>
      <c r="C750" s="46"/>
      <c r="D750" s="46"/>
      <c r="E750" s="17"/>
      <c r="F750" s="46"/>
      <c r="G750" s="46"/>
      <c r="H750" s="46"/>
      <c r="I750" s="17"/>
      <c r="J750" s="46"/>
      <c r="K750" s="46"/>
      <c r="L750" s="46"/>
      <c r="M750" s="17"/>
      <c r="N750" s="46"/>
      <c r="O750" s="46"/>
      <c r="P750" s="46"/>
      <c r="Q750" s="46"/>
      <c r="R750" s="46"/>
      <c r="S750" s="46"/>
      <c r="T750" s="46"/>
      <c r="U750" s="46"/>
      <c r="V750" s="46"/>
      <c r="W750" s="46"/>
      <c r="X750" s="46"/>
      <c r="Y750" s="46"/>
      <c r="Z750" s="46"/>
      <c r="AA750" s="46"/>
      <c r="AB750" s="46"/>
      <c r="AC750" s="46"/>
      <c r="AD750" s="46"/>
      <c r="AE750" s="46"/>
      <c r="AF750" s="46"/>
      <c r="AG750" s="123"/>
      <c r="AH750" s="123"/>
      <c r="AI750" s="123"/>
      <c r="AJ750" s="123"/>
      <c r="AK750" s="46"/>
      <c r="AL750" s="46"/>
      <c r="AM750" s="46"/>
      <c r="AN750" s="46"/>
      <c r="AO750" s="46"/>
    </row>
    <row r="751">
      <c r="A751" s="17"/>
      <c r="B751" s="46"/>
      <c r="C751" s="46"/>
      <c r="D751" s="46"/>
      <c r="E751" s="17"/>
      <c r="F751" s="46"/>
      <c r="G751" s="46"/>
      <c r="H751" s="46"/>
      <c r="I751" s="17"/>
      <c r="J751" s="46"/>
      <c r="K751" s="46"/>
      <c r="L751" s="46"/>
      <c r="M751" s="17"/>
      <c r="N751" s="46"/>
      <c r="O751" s="46"/>
      <c r="P751" s="46"/>
      <c r="Q751" s="46"/>
      <c r="R751" s="46"/>
      <c r="S751" s="46"/>
      <c r="T751" s="46"/>
      <c r="U751" s="46"/>
      <c r="V751" s="46"/>
      <c r="W751" s="46"/>
      <c r="X751" s="46"/>
      <c r="Y751" s="46"/>
      <c r="Z751" s="46"/>
      <c r="AA751" s="46"/>
      <c r="AB751" s="46"/>
      <c r="AC751" s="46"/>
      <c r="AD751" s="46"/>
      <c r="AE751" s="46"/>
      <c r="AF751" s="46"/>
      <c r="AG751" s="123"/>
      <c r="AH751" s="123"/>
      <c r="AI751" s="123"/>
      <c r="AJ751" s="123"/>
      <c r="AK751" s="46"/>
      <c r="AL751" s="46"/>
      <c r="AM751" s="46"/>
      <c r="AN751" s="46"/>
      <c r="AO751" s="46"/>
    </row>
    <row r="752">
      <c r="A752" s="17"/>
      <c r="B752" s="46"/>
      <c r="C752" s="46"/>
      <c r="D752" s="46"/>
      <c r="E752" s="17"/>
      <c r="F752" s="46"/>
      <c r="G752" s="46"/>
      <c r="H752" s="46"/>
      <c r="I752" s="17"/>
      <c r="J752" s="46"/>
      <c r="K752" s="46"/>
      <c r="L752" s="46"/>
      <c r="M752" s="17"/>
      <c r="N752" s="46"/>
      <c r="O752" s="46"/>
      <c r="P752" s="46"/>
      <c r="Q752" s="46"/>
      <c r="R752" s="46"/>
      <c r="S752" s="46"/>
      <c r="T752" s="46"/>
      <c r="U752" s="46"/>
      <c r="V752" s="46"/>
      <c r="W752" s="46"/>
      <c r="X752" s="46"/>
      <c r="Y752" s="46"/>
      <c r="Z752" s="46"/>
      <c r="AA752" s="46"/>
      <c r="AB752" s="46"/>
      <c r="AC752" s="46"/>
      <c r="AD752" s="46"/>
      <c r="AE752" s="46"/>
      <c r="AF752" s="46"/>
      <c r="AG752" s="123"/>
      <c r="AH752" s="123"/>
      <c r="AI752" s="123"/>
      <c r="AJ752" s="123"/>
      <c r="AK752" s="46"/>
      <c r="AL752" s="46"/>
      <c r="AM752" s="46"/>
      <c r="AN752" s="46"/>
      <c r="AO752" s="46"/>
    </row>
    <row r="753">
      <c r="A753" s="17"/>
      <c r="B753" s="46"/>
      <c r="C753" s="46"/>
      <c r="D753" s="46"/>
      <c r="E753" s="17"/>
      <c r="F753" s="46"/>
      <c r="G753" s="46"/>
      <c r="H753" s="46"/>
      <c r="I753" s="17"/>
      <c r="J753" s="46"/>
      <c r="K753" s="46"/>
      <c r="L753" s="46"/>
      <c r="M753" s="17"/>
      <c r="N753" s="46"/>
      <c r="O753" s="46"/>
      <c r="P753" s="46"/>
      <c r="Q753" s="46"/>
      <c r="R753" s="46"/>
      <c r="S753" s="46"/>
      <c r="T753" s="46"/>
      <c r="U753" s="46"/>
      <c r="V753" s="46"/>
      <c r="W753" s="46"/>
      <c r="X753" s="46"/>
      <c r="Y753" s="46"/>
      <c r="Z753" s="46"/>
      <c r="AA753" s="46"/>
      <c r="AB753" s="46"/>
      <c r="AC753" s="46"/>
      <c r="AD753" s="46"/>
      <c r="AE753" s="46"/>
      <c r="AF753" s="46"/>
      <c r="AG753" s="123"/>
      <c r="AH753" s="123"/>
      <c r="AI753" s="123"/>
      <c r="AJ753" s="123"/>
      <c r="AK753" s="46"/>
      <c r="AL753" s="46"/>
      <c r="AM753" s="46"/>
      <c r="AN753" s="46"/>
      <c r="AO753" s="46"/>
    </row>
    <row r="754">
      <c r="A754" s="17"/>
      <c r="B754" s="46"/>
      <c r="C754" s="46"/>
      <c r="D754" s="46"/>
      <c r="E754" s="17"/>
      <c r="F754" s="46"/>
      <c r="G754" s="46"/>
      <c r="H754" s="46"/>
      <c r="I754" s="17"/>
      <c r="J754" s="46"/>
      <c r="K754" s="46"/>
      <c r="L754" s="46"/>
      <c r="M754" s="17"/>
      <c r="N754" s="46"/>
      <c r="O754" s="46"/>
      <c r="P754" s="46"/>
      <c r="Q754" s="46"/>
      <c r="R754" s="46"/>
      <c r="S754" s="46"/>
      <c r="T754" s="46"/>
      <c r="U754" s="46"/>
      <c r="V754" s="46"/>
      <c r="W754" s="46"/>
      <c r="X754" s="46"/>
      <c r="Y754" s="46"/>
      <c r="Z754" s="46"/>
      <c r="AA754" s="46"/>
      <c r="AB754" s="46"/>
      <c r="AC754" s="46"/>
      <c r="AD754" s="46"/>
      <c r="AE754" s="46"/>
      <c r="AF754" s="46"/>
      <c r="AG754" s="123"/>
      <c r="AH754" s="123"/>
      <c r="AI754" s="123"/>
      <c r="AJ754" s="123"/>
      <c r="AK754" s="46"/>
      <c r="AL754" s="46"/>
      <c r="AM754" s="46"/>
      <c r="AN754" s="46"/>
      <c r="AO754" s="46"/>
    </row>
    <row r="755">
      <c r="A755" s="17"/>
      <c r="B755" s="46"/>
      <c r="C755" s="46"/>
      <c r="D755" s="46"/>
      <c r="E755" s="17"/>
      <c r="F755" s="46"/>
      <c r="G755" s="46"/>
      <c r="H755" s="46"/>
      <c r="I755" s="17"/>
      <c r="J755" s="46"/>
      <c r="K755" s="46"/>
      <c r="L755" s="46"/>
      <c r="M755" s="17"/>
      <c r="N755" s="46"/>
      <c r="O755" s="46"/>
      <c r="P755" s="46"/>
      <c r="Q755" s="46"/>
      <c r="R755" s="46"/>
      <c r="S755" s="46"/>
      <c r="T755" s="46"/>
      <c r="U755" s="46"/>
      <c r="V755" s="46"/>
      <c r="W755" s="46"/>
      <c r="X755" s="46"/>
      <c r="Y755" s="46"/>
      <c r="Z755" s="46"/>
      <c r="AA755" s="46"/>
      <c r="AB755" s="46"/>
      <c r="AC755" s="46"/>
      <c r="AD755" s="46"/>
      <c r="AE755" s="46"/>
      <c r="AF755" s="46"/>
      <c r="AG755" s="123"/>
      <c r="AH755" s="123"/>
      <c r="AI755" s="123"/>
      <c r="AJ755" s="123"/>
      <c r="AK755" s="46"/>
      <c r="AL755" s="46"/>
      <c r="AM755" s="46"/>
      <c r="AN755" s="46"/>
      <c r="AO755" s="46"/>
    </row>
    <row r="756">
      <c r="A756" s="17"/>
      <c r="B756" s="46"/>
      <c r="C756" s="46"/>
      <c r="D756" s="46"/>
      <c r="E756" s="17"/>
      <c r="F756" s="46"/>
      <c r="G756" s="46"/>
      <c r="H756" s="46"/>
      <c r="I756" s="17"/>
      <c r="J756" s="46"/>
      <c r="K756" s="46"/>
      <c r="L756" s="46"/>
      <c r="M756" s="17"/>
      <c r="N756" s="46"/>
      <c r="O756" s="46"/>
      <c r="P756" s="46"/>
      <c r="Q756" s="46"/>
      <c r="R756" s="46"/>
      <c r="S756" s="46"/>
      <c r="T756" s="46"/>
      <c r="U756" s="46"/>
      <c r="V756" s="46"/>
      <c r="W756" s="46"/>
      <c r="X756" s="46"/>
      <c r="Y756" s="46"/>
      <c r="Z756" s="46"/>
      <c r="AA756" s="46"/>
      <c r="AB756" s="46"/>
      <c r="AC756" s="46"/>
      <c r="AD756" s="46"/>
      <c r="AE756" s="46"/>
      <c r="AF756" s="46"/>
      <c r="AG756" s="123"/>
      <c r="AH756" s="123"/>
      <c r="AI756" s="123"/>
      <c r="AJ756" s="123"/>
      <c r="AK756" s="46"/>
      <c r="AL756" s="46"/>
      <c r="AM756" s="46"/>
      <c r="AN756" s="46"/>
      <c r="AO756" s="46"/>
    </row>
    <row r="757">
      <c r="A757" s="17"/>
      <c r="B757" s="46"/>
      <c r="C757" s="46"/>
      <c r="D757" s="46"/>
      <c r="E757" s="17"/>
      <c r="F757" s="46"/>
      <c r="G757" s="46"/>
      <c r="H757" s="46"/>
      <c r="I757" s="17"/>
      <c r="J757" s="46"/>
      <c r="K757" s="46"/>
      <c r="L757" s="46"/>
      <c r="M757" s="17"/>
      <c r="N757" s="46"/>
      <c r="O757" s="46"/>
      <c r="P757" s="46"/>
      <c r="Q757" s="46"/>
      <c r="R757" s="46"/>
      <c r="S757" s="46"/>
      <c r="T757" s="46"/>
      <c r="U757" s="46"/>
      <c r="V757" s="46"/>
      <c r="W757" s="46"/>
      <c r="X757" s="46"/>
      <c r="Y757" s="46"/>
      <c r="Z757" s="46"/>
      <c r="AA757" s="46"/>
      <c r="AB757" s="46"/>
      <c r="AC757" s="46"/>
      <c r="AD757" s="46"/>
      <c r="AE757" s="46"/>
      <c r="AF757" s="46"/>
      <c r="AG757" s="123"/>
      <c r="AH757" s="123"/>
      <c r="AI757" s="123"/>
      <c r="AJ757" s="123"/>
      <c r="AK757" s="46"/>
      <c r="AL757" s="46"/>
      <c r="AM757" s="46"/>
      <c r="AN757" s="46"/>
      <c r="AO757" s="46"/>
    </row>
    <row r="758">
      <c r="A758" s="17"/>
      <c r="B758" s="46"/>
      <c r="C758" s="46"/>
      <c r="D758" s="46"/>
      <c r="E758" s="17"/>
      <c r="F758" s="46"/>
      <c r="G758" s="46"/>
      <c r="H758" s="46"/>
      <c r="I758" s="17"/>
      <c r="J758" s="46"/>
      <c r="K758" s="46"/>
      <c r="L758" s="46"/>
      <c r="M758" s="17"/>
      <c r="N758" s="46"/>
      <c r="O758" s="46"/>
      <c r="P758" s="46"/>
      <c r="Q758" s="46"/>
      <c r="R758" s="46"/>
      <c r="S758" s="46"/>
      <c r="T758" s="46"/>
      <c r="U758" s="46"/>
      <c r="V758" s="46"/>
      <c r="W758" s="46"/>
      <c r="X758" s="46"/>
      <c r="Y758" s="46"/>
      <c r="Z758" s="46"/>
      <c r="AA758" s="46"/>
      <c r="AB758" s="46"/>
      <c r="AC758" s="46"/>
      <c r="AD758" s="46"/>
      <c r="AE758" s="46"/>
      <c r="AF758" s="46"/>
      <c r="AG758" s="123"/>
      <c r="AH758" s="123"/>
      <c r="AI758" s="123"/>
      <c r="AJ758" s="123"/>
      <c r="AK758" s="46"/>
      <c r="AL758" s="46"/>
      <c r="AM758" s="46"/>
      <c r="AN758" s="46"/>
      <c r="AO758" s="46"/>
    </row>
    <row r="759">
      <c r="A759" s="17"/>
      <c r="B759" s="46"/>
      <c r="C759" s="46"/>
      <c r="D759" s="46"/>
      <c r="E759" s="17"/>
      <c r="F759" s="46"/>
      <c r="G759" s="46"/>
      <c r="H759" s="46"/>
      <c r="I759" s="17"/>
      <c r="J759" s="46"/>
      <c r="K759" s="46"/>
      <c r="L759" s="46"/>
      <c r="M759" s="17"/>
      <c r="N759" s="46"/>
      <c r="O759" s="46"/>
      <c r="P759" s="46"/>
      <c r="Q759" s="46"/>
      <c r="R759" s="46"/>
      <c r="S759" s="46"/>
      <c r="T759" s="46"/>
      <c r="U759" s="46"/>
      <c r="V759" s="46"/>
      <c r="W759" s="46"/>
      <c r="X759" s="46"/>
      <c r="Y759" s="46"/>
      <c r="Z759" s="46"/>
      <c r="AA759" s="46"/>
      <c r="AB759" s="46"/>
      <c r="AC759" s="46"/>
      <c r="AD759" s="46"/>
      <c r="AE759" s="46"/>
      <c r="AF759" s="46"/>
      <c r="AG759" s="123"/>
      <c r="AH759" s="123"/>
      <c r="AI759" s="123"/>
      <c r="AJ759" s="123"/>
      <c r="AK759" s="46"/>
      <c r="AL759" s="46"/>
      <c r="AM759" s="46"/>
      <c r="AN759" s="46"/>
      <c r="AO759" s="46"/>
    </row>
    <row r="760">
      <c r="A760" s="17"/>
      <c r="B760" s="46"/>
      <c r="C760" s="46"/>
      <c r="D760" s="46"/>
      <c r="E760" s="17"/>
      <c r="F760" s="46"/>
      <c r="G760" s="46"/>
      <c r="H760" s="46"/>
      <c r="I760" s="17"/>
      <c r="J760" s="46"/>
      <c r="K760" s="46"/>
      <c r="L760" s="46"/>
      <c r="M760" s="17"/>
      <c r="N760" s="46"/>
      <c r="O760" s="46"/>
      <c r="P760" s="46"/>
      <c r="Q760" s="46"/>
      <c r="R760" s="46"/>
      <c r="S760" s="46"/>
      <c r="T760" s="46"/>
      <c r="U760" s="46"/>
      <c r="V760" s="46"/>
      <c r="W760" s="46"/>
      <c r="X760" s="46"/>
      <c r="Y760" s="46"/>
      <c r="Z760" s="46"/>
      <c r="AA760" s="46"/>
      <c r="AB760" s="46"/>
      <c r="AC760" s="46"/>
      <c r="AD760" s="46"/>
      <c r="AE760" s="46"/>
      <c r="AF760" s="46"/>
      <c r="AG760" s="123"/>
      <c r="AH760" s="123"/>
      <c r="AI760" s="123"/>
      <c r="AJ760" s="123"/>
      <c r="AK760" s="46"/>
      <c r="AL760" s="46"/>
      <c r="AM760" s="46"/>
      <c r="AN760" s="46"/>
      <c r="AO760" s="46"/>
    </row>
    <row r="761">
      <c r="A761" s="17"/>
      <c r="B761" s="46"/>
      <c r="C761" s="46"/>
      <c r="D761" s="46"/>
      <c r="E761" s="17"/>
      <c r="F761" s="46"/>
      <c r="G761" s="46"/>
      <c r="H761" s="46"/>
      <c r="I761" s="17"/>
      <c r="J761" s="46"/>
      <c r="K761" s="46"/>
      <c r="L761" s="46"/>
      <c r="M761" s="17"/>
      <c r="N761" s="46"/>
      <c r="O761" s="46"/>
      <c r="P761" s="46"/>
      <c r="Q761" s="46"/>
      <c r="R761" s="46"/>
      <c r="S761" s="46"/>
      <c r="T761" s="46"/>
      <c r="U761" s="46"/>
      <c r="V761" s="46"/>
      <c r="W761" s="46"/>
      <c r="X761" s="46"/>
      <c r="Y761" s="46"/>
      <c r="Z761" s="46"/>
      <c r="AA761" s="46"/>
      <c r="AB761" s="46"/>
      <c r="AC761" s="46"/>
      <c r="AD761" s="46"/>
      <c r="AE761" s="46"/>
      <c r="AF761" s="46"/>
      <c r="AG761" s="123"/>
      <c r="AH761" s="123"/>
      <c r="AI761" s="123"/>
      <c r="AJ761" s="123"/>
      <c r="AK761" s="46"/>
      <c r="AL761" s="46"/>
      <c r="AM761" s="46"/>
      <c r="AN761" s="46"/>
      <c r="AO761" s="46"/>
    </row>
    <row r="762">
      <c r="A762" s="17"/>
      <c r="B762" s="46"/>
      <c r="C762" s="46"/>
      <c r="D762" s="46"/>
      <c r="E762" s="17"/>
      <c r="F762" s="46"/>
      <c r="G762" s="46"/>
      <c r="H762" s="46"/>
      <c r="I762" s="17"/>
      <c r="J762" s="46"/>
      <c r="K762" s="46"/>
      <c r="L762" s="46"/>
      <c r="M762" s="17"/>
      <c r="N762" s="46"/>
      <c r="O762" s="46"/>
      <c r="P762" s="46"/>
      <c r="Q762" s="46"/>
      <c r="R762" s="46"/>
      <c r="S762" s="46"/>
      <c r="T762" s="46"/>
      <c r="U762" s="46"/>
      <c r="V762" s="46"/>
      <c r="W762" s="46"/>
      <c r="X762" s="46"/>
      <c r="Y762" s="46"/>
      <c r="Z762" s="46"/>
      <c r="AA762" s="46"/>
      <c r="AB762" s="46"/>
      <c r="AC762" s="46"/>
      <c r="AD762" s="46"/>
      <c r="AE762" s="46"/>
      <c r="AF762" s="46"/>
      <c r="AG762" s="123"/>
      <c r="AH762" s="123"/>
      <c r="AI762" s="123"/>
      <c r="AJ762" s="123"/>
      <c r="AK762" s="46"/>
      <c r="AL762" s="46"/>
      <c r="AM762" s="46"/>
      <c r="AN762" s="46"/>
      <c r="AO762" s="46"/>
    </row>
    <row r="763">
      <c r="A763" s="17"/>
      <c r="B763" s="46"/>
      <c r="C763" s="46"/>
      <c r="D763" s="46"/>
      <c r="E763" s="17"/>
      <c r="F763" s="46"/>
      <c r="G763" s="46"/>
      <c r="H763" s="46"/>
      <c r="I763" s="17"/>
      <c r="J763" s="46"/>
      <c r="K763" s="46"/>
      <c r="L763" s="46"/>
      <c r="M763" s="17"/>
      <c r="N763" s="46"/>
      <c r="O763" s="46"/>
      <c r="P763" s="46"/>
      <c r="Q763" s="46"/>
      <c r="R763" s="46"/>
      <c r="S763" s="46"/>
      <c r="T763" s="46"/>
      <c r="U763" s="46"/>
      <c r="V763" s="46"/>
      <c r="W763" s="46"/>
      <c r="X763" s="46"/>
      <c r="Y763" s="46"/>
      <c r="Z763" s="46"/>
      <c r="AA763" s="46"/>
      <c r="AB763" s="46"/>
      <c r="AC763" s="46"/>
      <c r="AD763" s="46"/>
      <c r="AE763" s="46"/>
      <c r="AF763" s="46"/>
      <c r="AG763" s="123"/>
      <c r="AH763" s="123"/>
      <c r="AI763" s="123"/>
      <c r="AJ763" s="123"/>
      <c r="AK763" s="46"/>
      <c r="AL763" s="46"/>
      <c r="AM763" s="46"/>
      <c r="AN763" s="46"/>
      <c r="AO763" s="46"/>
    </row>
    <row r="764">
      <c r="A764" s="17"/>
      <c r="B764" s="46"/>
      <c r="C764" s="46"/>
      <c r="D764" s="46"/>
      <c r="E764" s="17"/>
      <c r="F764" s="46"/>
      <c r="G764" s="46"/>
      <c r="H764" s="46"/>
      <c r="I764" s="17"/>
      <c r="J764" s="46"/>
      <c r="K764" s="46"/>
      <c r="L764" s="46"/>
      <c r="M764" s="17"/>
      <c r="N764" s="46"/>
      <c r="O764" s="46"/>
      <c r="P764" s="46"/>
      <c r="Q764" s="46"/>
      <c r="R764" s="46"/>
      <c r="S764" s="46"/>
      <c r="T764" s="46"/>
      <c r="U764" s="46"/>
      <c r="V764" s="46"/>
      <c r="W764" s="46"/>
      <c r="X764" s="46"/>
      <c r="Y764" s="46"/>
      <c r="Z764" s="46"/>
      <c r="AA764" s="46"/>
      <c r="AB764" s="46"/>
      <c r="AC764" s="46"/>
      <c r="AD764" s="46"/>
      <c r="AE764" s="46"/>
      <c r="AF764" s="46"/>
      <c r="AG764" s="123"/>
      <c r="AH764" s="123"/>
      <c r="AI764" s="123"/>
      <c r="AJ764" s="123"/>
      <c r="AK764" s="46"/>
      <c r="AL764" s="46"/>
      <c r="AM764" s="46"/>
      <c r="AN764" s="46"/>
      <c r="AO764" s="46"/>
    </row>
    <row r="765">
      <c r="A765" s="17"/>
      <c r="B765" s="46"/>
      <c r="C765" s="46"/>
      <c r="D765" s="46"/>
      <c r="E765" s="17"/>
      <c r="F765" s="46"/>
      <c r="G765" s="46"/>
      <c r="H765" s="46"/>
      <c r="I765" s="17"/>
      <c r="J765" s="46"/>
      <c r="K765" s="46"/>
      <c r="L765" s="46"/>
      <c r="M765" s="17"/>
      <c r="N765" s="46"/>
      <c r="O765" s="46"/>
      <c r="P765" s="46"/>
      <c r="Q765" s="46"/>
      <c r="R765" s="46"/>
      <c r="S765" s="46"/>
      <c r="T765" s="46"/>
      <c r="U765" s="46"/>
      <c r="V765" s="46"/>
      <c r="W765" s="46"/>
      <c r="X765" s="46"/>
      <c r="Y765" s="46"/>
      <c r="Z765" s="46"/>
      <c r="AA765" s="46"/>
      <c r="AB765" s="46"/>
      <c r="AC765" s="46"/>
      <c r="AD765" s="46"/>
      <c r="AE765" s="46"/>
      <c r="AF765" s="46"/>
      <c r="AG765" s="123"/>
      <c r="AH765" s="123"/>
      <c r="AI765" s="123"/>
      <c r="AJ765" s="123"/>
      <c r="AK765" s="46"/>
      <c r="AL765" s="46"/>
      <c r="AM765" s="46"/>
      <c r="AN765" s="46"/>
      <c r="AO765" s="46"/>
    </row>
    <row r="766">
      <c r="A766" s="17"/>
      <c r="B766" s="46"/>
      <c r="C766" s="46"/>
      <c r="D766" s="46"/>
      <c r="E766" s="17"/>
      <c r="F766" s="46"/>
      <c r="G766" s="46"/>
      <c r="H766" s="46"/>
      <c r="I766" s="17"/>
      <c r="J766" s="46"/>
      <c r="K766" s="46"/>
      <c r="L766" s="46"/>
      <c r="M766" s="17"/>
      <c r="N766" s="46"/>
      <c r="O766" s="46"/>
      <c r="P766" s="46"/>
      <c r="Q766" s="46"/>
      <c r="R766" s="46"/>
      <c r="S766" s="46"/>
      <c r="T766" s="46"/>
      <c r="U766" s="46"/>
      <c r="V766" s="46"/>
      <c r="W766" s="46"/>
      <c r="X766" s="46"/>
      <c r="Y766" s="46"/>
      <c r="Z766" s="46"/>
      <c r="AA766" s="46"/>
      <c r="AB766" s="46"/>
      <c r="AC766" s="46"/>
      <c r="AD766" s="46"/>
      <c r="AE766" s="46"/>
      <c r="AF766" s="46"/>
      <c r="AG766" s="123"/>
      <c r="AH766" s="123"/>
      <c r="AI766" s="123"/>
      <c r="AJ766" s="123"/>
      <c r="AK766" s="46"/>
      <c r="AL766" s="46"/>
      <c r="AM766" s="46"/>
      <c r="AN766" s="46"/>
      <c r="AO766" s="46"/>
    </row>
    <row r="767">
      <c r="A767" s="17"/>
      <c r="B767" s="46"/>
      <c r="C767" s="46"/>
      <c r="D767" s="46"/>
      <c r="E767" s="17"/>
      <c r="F767" s="46"/>
      <c r="G767" s="46"/>
      <c r="H767" s="46"/>
      <c r="I767" s="17"/>
      <c r="J767" s="46"/>
      <c r="K767" s="46"/>
      <c r="L767" s="46"/>
      <c r="M767" s="17"/>
      <c r="N767" s="46"/>
      <c r="O767" s="46"/>
      <c r="P767" s="46"/>
      <c r="Q767" s="46"/>
      <c r="R767" s="46"/>
      <c r="S767" s="46"/>
      <c r="T767" s="46"/>
      <c r="U767" s="46"/>
      <c r="V767" s="46"/>
      <c r="W767" s="46"/>
      <c r="X767" s="46"/>
      <c r="Y767" s="46"/>
      <c r="Z767" s="46"/>
      <c r="AA767" s="46"/>
      <c r="AB767" s="46"/>
      <c r="AC767" s="46"/>
      <c r="AD767" s="46"/>
      <c r="AE767" s="46"/>
      <c r="AF767" s="46"/>
      <c r="AG767" s="123"/>
      <c r="AH767" s="123"/>
      <c r="AI767" s="123"/>
      <c r="AJ767" s="123"/>
      <c r="AK767" s="46"/>
      <c r="AL767" s="46"/>
      <c r="AM767" s="46"/>
      <c r="AN767" s="46"/>
      <c r="AO767" s="46"/>
    </row>
    <row r="768">
      <c r="A768" s="17"/>
      <c r="B768" s="46"/>
      <c r="C768" s="46"/>
      <c r="D768" s="46"/>
      <c r="E768" s="17"/>
      <c r="F768" s="46"/>
      <c r="G768" s="46"/>
      <c r="H768" s="46"/>
      <c r="I768" s="17"/>
      <c r="J768" s="46"/>
      <c r="K768" s="46"/>
      <c r="L768" s="46"/>
      <c r="M768" s="17"/>
      <c r="N768" s="46"/>
      <c r="O768" s="46"/>
      <c r="P768" s="46"/>
      <c r="Q768" s="46"/>
      <c r="R768" s="46"/>
      <c r="S768" s="46"/>
      <c r="T768" s="46"/>
      <c r="U768" s="46"/>
      <c r="V768" s="46"/>
      <c r="W768" s="46"/>
      <c r="X768" s="46"/>
      <c r="Y768" s="46"/>
      <c r="Z768" s="46"/>
      <c r="AA768" s="46"/>
      <c r="AB768" s="46"/>
      <c r="AC768" s="46"/>
      <c r="AD768" s="46"/>
      <c r="AE768" s="46"/>
      <c r="AF768" s="46"/>
      <c r="AG768" s="123"/>
      <c r="AH768" s="123"/>
      <c r="AI768" s="123"/>
      <c r="AJ768" s="123"/>
      <c r="AK768" s="46"/>
      <c r="AL768" s="46"/>
      <c r="AM768" s="46"/>
      <c r="AN768" s="46"/>
      <c r="AO768" s="46"/>
    </row>
    <row r="769">
      <c r="A769" s="17"/>
      <c r="B769" s="46"/>
      <c r="C769" s="46"/>
      <c r="D769" s="46"/>
      <c r="E769" s="17"/>
      <c r="F769" s="46"/>
      <c r="G769" s="46"/>
      <c r="H769" s="46"/>
      <c r="I769" s="17"/>
      <c r="J769" s="46"/>
      <c r="K769" s="46"/>
      <c r="L769" s="46"/>
      <c r="M769" s="17"/>
      <c r="N769" s="46"/>
      <c r="O769" s="46"/>
      <c r="P769" s="46"/>
      <c r="Q769" s="46"/>
      <c r="R769" s="46"/>
      <c r="S769" s="46"/>
      <c r="T769" s="46"/>
      <c r="U769" s="46"/>
      <c r="V769" s="46"/>
      <c r="W769" s="46"/>
      <c r="X769" s="46"/>
      <c r="Y769" s="46"/>
      <c r="Z769" s="46"/>
      <c r="AA769" s="46"/>
      <c r="AB769" s="46"/>
      <c r="AC769" s="46"/>
      <c r="AD769" s="46"/>
      <c r="AE769" s="46"/>
      <c r="AF769" s="46"/>
      <c r="AG769" s="123"/>
      <c r="AH769" s="123"/>
      <c r="AI769" s="123"/>
      <c r="AJ769" s="123"/>
      <c r="AK769" s="46"/>
      <c r="AL769" s="46"/>
      <c r="AM769" s="46"/>
      <c r="AN769" s="46"/>
      <c r="AO769" s="46"/>
    </row>
    <row r="770">
      <c r="A770" s="17"/>
      <c r="B770" s="46"/>
      <c r="C770" s="46"/>
      <c r="D770" s="46"/>
      <c r="E770" s="17"/>
      <c r="F770" s="46"/>
      <c r="G770" s="46"/>
      <c r="H770" s="46"/>
      <c r="I770" s="17"/>
      <c r="J770" s="46"/>
      <c r="K770" s="46"/>
      <c r="L770" s="46"/>
      <c r="M770" s="17"/>
      <c r="N770" s="46"/>
      <c r="O770" s="46"/>
      <c r="P770" s="46"/>
      <c r="Q770" s="46"/>
      <c r="R770" s="46"/>
      <c r="S770" s="46"/>
      <c r="T770" s="46"/>
      <c r="U770" s="46"/>
      <c r="V770" s="46"/>
      <c r="W770" s="46"/>
      <c r="X770" s="46"/>
      <c r="Y770" s="46"/>
      <c r="Z770" s="46"/>
      <c r="AA770" s="46"/>
      <c r="AB770" s="46"/>
      <c r="AC770" s="46"/>
      <c r="AD770" s="46"/>
      <c r="AE770" s="46"/>
      <c r="AF770" s="46"/>
      <c r="AG770" s="123"/>
      <c r="AH770" s="123"/>
      <c r="AI770" s="123"/>
      <c r="AJ770" s="123"/>
      <c r="AK770" s="46"/>
      <c r="AL770" s="46"/>
      <c r="AM770" s="46"/>
      <c r="AN770" s="46"/>
      <c r="AO770" s="46"/>
    </row>
    <row r="771">
      <c r="A771" s="17"/>
      <c r="B771" s="46"/>
      <c r="C771" s="46"/>
      <c r="D771" s="46"/>
      <c r="E771" s="17"/>
      <c r="F771" s="46"/>
      <c r="G771" s="46"/>
      <c r="H771" s="46"/>
      <c r="I771" s="17"/>
      <c r="J771" s="46"/>
      <c r="K771" s="46"/>
      <c r="L771" s="46"/>
      <c r="M771" s="17"/>
      <c r="N771" s="46"/>
      <c r="O771" s="46"/>
      <c r="P771" s="46"/>
      <c r="Q771" s="46"/>
      <c r="R771" s="46"/>
      <c r="S771" s="46"/>
      <c r="T771" s="46"/>
      <c r="U771" s="46"/>
      <c r="V771" s="46"/>
      <c r="W771" s="46"/>
      <c r="X771" s="46"/>
      <c r="Y771" s="46"/>
      <c r="Z771" s="46"/>
      <c r="AA771" s="46"/>
      <c r="AB771" s="46"/>
      <c r="AC771" s="46"/>
      <c r="AD771" s="46"/>
      <c r="AE771" s="46"/>
      <c r="AF771" s="46"/>
      <c r="AG771" s="123"/>
      <c r="AH771" s="123"/>
      <c r="AI771" s="123"/>
      <c r="AJ771" s="123"/>
      <c r="AK771" s="46"/>
      <c r="AL771" s="46"/>
      <c r="AM771" s="46"/>
      <c r="AN771" s="46"/>
      <c r="AO771" s="46"/>
    </row>
    <row r="772">
      <c r="A772" s="17"/>
      <c r="B772" s="46"/>
      <c r="C772" s="46"/>
      <c r="D772" s="46"/>
      <c r="E772" s="17"/>
      <c r="F772" s="46"/>
      <c r="G772" s="46"/>
      <c r="H772" s="46"/>
      <c r="I772" s="17"/>
      <c r="J772" s="46"/>
      <c r="K772" s="46"/>
      <c r="L772" s="46"/>
      <c r="M772" s="17"/>
      <c r="N772" s="46"/>
      <c r="O772" s="46"/>
      <c r="P772" s="46"/>
      <c r="Q772" s="46"/>
      <c r="R772" s="46"/>
      <c r="S772" s="46"/>
      <c r="T772" s="46"/>
      <c r="U772" s="46"/>
      <c r="V772" s="46"/>
      <c r="W772" s="46"/>
      <c r="X772" s="46"/>
      <c r="Y772" s="46"/>
      <c r="Z772" s="46"/>
      <c r="AA772" s="46"/>
      <c r="AB772" s="46"/>
      <c r="AC772" s="46"/>
      <c r="AD772" s="46"/>
      <c r="AE772" s="46"/>
      <c r="AF772" s="46"/>
      <c r="AG772" s="123"/>
      <c r="AH772" s="123"/>
      <c r="AI772" s="123"/>
      <c r="AJ772" s="123"/>
      <c r="AK772" s="46"/>
      <c r="AL772" s="46"/>
      <c r="AM772" s="46"/>
      <c r="AN772" s="46"/>
      <c r="AO772" s="46"/>
    </row>
    <row r="773">
      <c r="A773" s="17"/>
      <c r="B773" s="46"/>
      <c r="C773" s="46"/>
      <c r="D773" s="46"/>
      <c r="E773" s="17"/>
      <c r="F773" s="46"/>
      <c r="G773" s="46"/>
      <c r="H773" s="46"/>
      <c r="I773" s="17"/>
      <c r="J773" s="46"/>
      <c r="K773" s="46"/>
      <c r="L773" s="46"/>
      <c r="M773" s="17"/>
      <c r="N773" s="46"/>
      <c r="O773" s="46"/>
      <c r="P773" s="46"/>
      <c r="Q773" s="46"/>
      <c r="R773" s="46"/>
      <c r="S773" s="46"/>
      <c r="T773" s="46"/>
      <c r="U773" s="46"/>
      <c r="V773" s="46"/>
      <c r="W773" s="46"/>
      <c r="X773" s="46"/>
      <c r="Y773" s="46"/>
      <c r="Z773" s="46"/>
      <c r="AA773" s="46"/>
      <c r="AB773" s="46"/>
      <c r="AC773" s="46"/>
      <c r="AD773" s="46"/>
      <c r="AE773" s="46"/>
      <c r="AF773" s="46"/>
      <c r="AG773" s="123"/>
      <c r="AH773" s="123"/>
      <c r="AI773" s="123"/>
      <c r="AJ773" s="123"/>
      <c r="AK773" s="46"/>
      <c r="AL773" s="46"/>
      <c r="AM773" s="46"/>
      <c r="AN773" s="46"/>
      <c r="AO773" s="46"/>
    </row>
    <row r="774">
      <c r="A774" s="17"/>
      <c r="B774" s="46"/>
      <c r="C774" s="46"/>
      <c r="D774" s="46"/>
      <c r="E774" s="17"/>
      <c r="F774" s="46"/>
      <c r="G774" s="46"/>
      <c r="H774" s="46"/>
      <c r="I774" s="17"/>
      <c r="J774" s="46"/>
      <c r="K774" s="46"/>
      <c r="L774" s="46"/>
      <c r="M774" s="17"/>
      <c r="N774" s="46"/>
      <c r="O774" s="46"/>
      <c r="P774" s="46"/>
      <c r="Q774" s="46"/>
      <c r="R774" s="46"/>
      <c r="S774" s="46"/>
      <c r="T774" s="46"/>
      <c r="U774" s="46"/>
      <c r="V774" s="46"/>
      <c r="W774" s="46"/>
      <c r="X774" s="46"/>
      <c r="Y774" s="46"/>
      <c r="Z774" s="46"/>
      <c r="AA774" s="46"/>
      <c r="AB774" s="46"/>
      <c r="AC774" s="46"/>
      <c r="AD774" s="46"/>
      <c r="AE774" s="46"/>
      <c r="AF774" s="46"/>
      <c r="AG774" s="123"/>
      <c r="AH774" s="123"/>
      <c r="AI774" s="123"/>
      <c r="AJ774" s="123"/>
      <c r="AK774" s="46"/>
      <c r="AL774" s="46"/>
      <c r="AM774" s="46"/>
      <c r="AN774" s="46"/>
      <c r="AO774" s="46"/>
    </row>
    <row r="775">
      <c r="A775" s="17"/>
      <c r="B775" s="46"/>
      <c r="C775" s="46"/>
      <c r="D775" s="46"/>
      <c r="E775" s="17"/>
      <c r="F775" s="46"/>
      <c r="G775" s="46"/>
      <c r="H775" s="46"/>
      <c r="I775" s="17"/>
      <c r="J775" s="46"/>
      <c r="K775" s="46"/>
      <c r="L775" s="46"/>
      <c r="M775" s="17"/>
      <c r="N775" s="46"/>
      <c r="O775" s="46"/>
      <c r="P775" s="46"/>
      <c r="Q775" s="46"/>
      <c r="R775" s="46"/>
      <c r="S775" s="46"/>
      <c r="T775" s="46"/>
      <c r="U775" s="46"/>
      <c r="V775" s="46"/>
      <c r="W775" s="46"/>
      <c r="X775" s="46"/>
      <c r="Y775" s="46"/>
      <c r="Z775" s="46"/>
      <c r="AA775" s="46"/>
      <c r="AB775" s="46"/>
      <c r="AC775" s="46"/>
      <c r="AD775" s="46"/>
      <c r="AE775" s="46"/>
      <c r="AF775" s="46"/>
      <c r="AG775" s="123"/>
      <c r="AH775" s="123"/>
      <c r="AI775" s="123"/>
      <c r="AJ775" s="123"/>
      <c r="AK775" s="46"/>
      <c r="AL775" s="46"/>
      <c r="AM775" s="46"/>
      <c r="AN775" s="46"/>
      <c r="AO775" s="46"/>
    </row>
    <row r="776">
      <c r="A776" s="17"/>
      <c r="B776" s="46"/>
      <c r="C776" s="46"/>
      <c r="D776" s="46"/>
      <c r="E776" s="17"/>
      <c r="F776" s="46"/>
      <c r="G776" s="46"/>
      <c r="H776" s="46"/>
      <c r="I776" s="17"/>
      <c r="J776" s="46"/>
      <c r="K776" s="46"/>
      <c r="L776" s="46"/>
      <c r="M776" s="17"/>
      <c r="N776" s="46"/>
      <c r="O776" s="46"/>
      <c r="P776" s="46"/>
      <c r="Q776" s="46"/>
      <c r="R776" s="46"/>
      <c r="S776" s="46"/>
      <c r="T776" s="46"/>
      <c r="U776" s="46"/>
      <c r="V776" s="46"/>
      <c r="W776" s="46"/>
      <c r="X776" s="46"/>
      <c r="Y776" s="46"/>
      <c r="Z776" s="46"/>
      <c r="AA776" s="46"/>
      <c r="AB776" s="46"/>
      <c r="AC776" s="46"/>
      <c r="AD776" s="46"/>
      <c r="AE776" s="46"/>
      <c r="AF776" s="46"/>
      <c r="AG776" s="123"/>
      <c r="AH776" s="123"/>
      <c r="AI776" s="123"/>
      <c r="AJ776" s="123"/>
      <c r="AK776" s="46"/>
      <c r="AL776" s="46"/>
      <c r="AM776" s="46"/>
      <c r="AN776" s="46"/>
      <c r="AO776" s="46"/>
    </row>
    <row r="777">
      <c r="A777" s="17"/>
      <c r="B777" s="46"/>
      <c r="C777" s="46"/>
      <c r="D777" s="46"/>
      <c r="E777" s="17"/>
      <c r="F777" s="46"/>
      <c r="G777" s="46"/>
      <c r="H777" s="46"/>
      <c r="I777" s="17"/>
      <c r="J777" s="46"/>
      <c r="K777" s="46"/>
      <c r="L777" s="46"/>
      <c r="M777" s="17"/>
      <c r="N777" s="46"/>
      <c r="O777" s="46"/>
      <c r="P777" s="46"/>
      <c r="Q777" s="46"/>
      <c r="R777" s="46"/>
      <c r="S777" s="46"/>
      <c r="T777" s="46"/>
      <c r="U777" s="46"/>
      <c r="V777" s="46"/>
      <c r="W777" s="46"/>
      <c r="X777" s="46"/>
      <c r="Y777" s="46"/>
      <c r="Z777" s="46"/>
      <c r="AA777" s="46"/>
      <c r="AB777" s="46"/>
      <c r="AC777" s="46"/>
      <c r="AD777" s="46"/>
      <c r="AE777" s="46"/>
      <c r="AF777" s="46"/>
      <c r="AG777" s="123"/>
      <c r="AH777" s="123"/>
      <c r="AI777" s="123"/>
      <c r="AJ777" s="123"/>
      <c r="AK777" s="46"/>
      <c r="AL777" s="46"/>
      <c r="AM777" s="46"/>
      <c r="AN777" s="46"/>
      <c r="AO777" s="46"/>
    </row>
    <row r="778">
      <c r="A778" s="17"/>
      <c r="B778" s="46"/>
      <c r="C778" s="46"/>
      <c r="D778" s="46"/>
      <c r="E778" s="17"/>
      <c r="F778" s="46"/>
      <c r="G778" s="46"/>
      <c r="H778" s="46"/>
      <c r="I778" s="17"/>
      <c r="J778" s="46"/>
      <c r="K778" s="46"/>
      <c r="L778" s="46"/>
      <c r="M778" s="17"/>
      <c r="N778" s="46"/>
      <c r="O778" s="46"/>
      <c r="P778" s="46"/>
      <c r="Q778" s="46"/>
      <c r="R778" s="46"/>
      <c r="S778" s="46"/>
      <c r="T778" s="46"/>
      <c r="U778" s="46"/>
      <c r="V778" s="46"/>
      <c r="W778" s="46"/>
      <c r="X778" s="46"/>
      <c r="Y778" s="46"/>
      <c r="Z778" s="46"/>
      <c r="AA778" s="46"/>
      <c r="AB778" s="46"/>
      <c r="AC778" s="46"/>
      <c r="AD778" s="46"/>
      <c r="AE778" s="46"/>
      <c r="AF778" s="46"/>
      <c r="AG778" s="123"/>
      <c r="AH778" s="123"/>
      <c r="AI778" s="123"/>
      <c r="AJ778" s="123"/>
      <c r="AK778" s="46"/>
      <c r="AL778" s="46"/>
      <c r="AM778" s="46"/>
      <c r="AN778" s="46"/>
      <c r="AO778" s="46"/>
    </row>
    <row r="779">
      <c r="A779" s="17"/>
      <c r="B779" s="46"/>
      <c r="C779" s="46"/>
      <c r="D779" s="46"/>
      <c r="E779" s="17"/>
      <c r="F779" s="46"/>
      <c r="G779" s="46"/>
      <c r="H779" s="46"/>
      <c r="I779" s="17"/>
      <c r="J779" s="46"/>
      <c r="K779" s="46"/>
      <c r="L779" s="46"/>
      <c r="M779" s="17"/>
      <c r="N779" s="46"/>
      <c r="O779" s="46"/>
      <c r="P779" s="46"/>
      <c r="Q779" s="46"/>
      <c r="R779" s="46"/>
      <c r="S779" s="46"/>
      <c r="T779" s="46"/>
      <c r="U779" s="46"/>
      <c r="V779" s="46"/>
      <c r="W779" s="46"/>
      <c r="X779" s="46"/>
      <c r="Y779" s="46"/>
      <c r="Z779" s="46"/>
      <c r="AA779" s="46"/>
      <c r="AB779" s="46"/>
      <c r="AC779" s="46"/>
      <c r="AD779" s="46"/>
      <c r="AE779" s="46"/>
      <c r="AF779" s="46"/>
      <c r="AG779" s="123"/>
      <c r="AH779" s="123"/>
      <c r="AI779" s="123"/>
      <c r="AJ779" s="123"/>
      <c r="AK779" s="46"/>
      <c r="AL779" s="46"/>
      <c r="AM779" s="46"/>
      <c r="AN779" s="46"/>
      <c r="AO779" s="46"/>
    </row>
    <row r="780">
      <c r="A780" s="17"/>
      <c r="B780" s="46"/>
      <c r="C780" s="46"/>
      <c r="D780" s="46"/>
      <c r="E780" s="17"/>
      <c r="F780" s="46"/>
      <c r="G780" s="46"/>
      <c r="H780" s="46"/>
      <c r="I780" s="17"/>
      <c r="J780" s="46"/>
      <c r="K780" s="46"/>
      <c r="L780" s="46"/>
      <c r="M780" s="17"/>
      <c r="N780" s="46"/>
      <c r="O780" s="46"/>
      <c r="P780" s="46"/>
      <c r="Q780" s="46"/>
      <c r="R780" s="46"/>
      <c r="S780" s="46"/>
      <c r="T780" s="46"/>
      <c r="U780" s="46"/>
      <c r="V780" s="46"/>
      <c r="W780" s="46"/>
      <c r="X780" s="46"/>
      <c r="Y780" s="46"/>
      <c r="Z780" s="46"/>
      <c r="AA780" s="46"/>
      <c r="AB780" s="46"/>
      <c r="AC780" s="46"/>
      <c r="AD780" s="46"/>
      <c r="AE780" s="46"/>
      <c r="AF780" s="46"/>
      <c r="AG780" s="123"/>
      <c r="AH780" s="123"/>
      <c r="AI780" s="123"/>
      <c r="AJ780" s="123"/>
      <c r="AK780" s="46"/>
      <c r="AL780" s="46"/>
      <c r="AM780" s="46"/>
      <c r="AN780" s="46"/>
      <c r="AO780" s="46"/>
    </row>
    <row r="781">
      <c r="A781" s="17"/>
      <c r="B781" s="46"/>
      <c r="C781" s="46"/>
      <c r="D781" s="46"/>
      <c r="E781" s="17"/>
      <c r="F781" s="46"/>
      <c r="G781" s="46"/>
      <c r="H781" s="46"/>
      <c r="I781" s="17"/>
      <c r="J781" s="46"/>
      <c r="K781" s="46"/>
      <c r="L781" s="46"/>
      <c r="M781" s="17"/>
      <c r="N781" s="46"/>
      <c r="O781" s="46"/>
      <c r="P781" s="46"/>
      <c r="Q781" s="46"/>
      <c r="R781" s="46"/>
      <c r="S781" s="46"/>
      <c r="T781" s="46"/>
      <c r="U781" s="46"/>
      <c r="V781" s="46"/>
      <c r="W781" s="46"/>
      <c r="X781" s="46"/>
      <c r="Y781" s="46"/>
      <c r="Z781" s="46"/>
      <c r="AA781" s="46"/>
      <c r="AB781" s="46"/>
      <c r="AC781" s="46"/>
      <c r="AD781" s="46"/>
      <c r="AE781" s="46"/>
      <c r="AF781" s="46"/>
      <c r="AG781" s="123"/>
      <c r="AH781" s="123"/>
      <c r="AI781" s="123"/>
      <c r="AJ781" s="123"/>
      <c r="AK781" s="46"/>
      <c r="AL781" s="46"/>
      <c r="AM781" s="46"/>
      <c r="AN781" s="46"/>
      <c r="AO781" s="46"/>
    </row>
    <row r="782">
      <c r="A782" s="17"/>
      <c r="B782" s="46"/>
      <c r="C782" s="46"/>
      <c r="D782" s="46"/>
      <c r="E782" s="17"/>
      <c r="F782" s="46"/>
      <c r="G782" s="46"/>
      <c r="H782" s="46"/>
      <c r="I782" s="17"/>
      <c r="J782" s="46"/>
      <c r="K782" s="46"/>
      <c r="L782" s="46"/>
      <c r="M782" s="17"/>
      <c r="N782" s="46"/>
      <c r="O782" s="46"/>
      <c r="P782" s="46"/>
      <c r="Q782" s="46"/>
      <c r="R782" s="46"/>
      <c r="S782" s="46"/>
      <c r="T782" s="46"/>
      <c r="U782" s="46"/>
      <c r="V782" s="46"/>
      <c r="W782" s="46"/>
      <c r="X782" s="46"/>
      <c r="Y782" s="46"/>
      <c r="Z782" s="46"/>
      <c r="AA782" s="46"/>
      <c r="AB782" s="46"/>
      <c r="AC782" s="46"/>
      <c r="AD782" s="46"/>
      <c r="AE782" s="46"/>
      <c r="AF782" s="46"/>
      <c r="AG782" s="123"/>
      <c r="AH782" s="123"/>
      <c r="AI782" s="123"/>
      <c r="AJ782" s="123"/>
      <c r="AK782" s="46"/>
      <c r="AL782" s="46"/>
      <c r="AM782" s="46"/>
      <c r="AN782" s="46"/>
      <c r="AO782" s="46"/>
    </row>
    <row r="783">
      <c r="A783" s="17"/>
      <c r="B783" s="46"/>
      <c r="C783" s="46"/>
      <c r="D783" s="46"/>
      <c r="E783" s="17"/>
      <c r="F783" s="46"/>
      <c r="G783" s="46"/>
      <c r="H783" s="46"/>
      <c r="I783" s="17"/>
      <c r="J783" s="46"/>
      <c r="K783" s="46"/>
      <c r="L783" s="46"/>
      <c r="M783" s="17"/>
      <c r="N783" s="46"/>
      <c r="O783" s="46"/>
      <c r="P783" s="46"/>
      <c r="Q783" s="46"/>
      <c r="R783" s="46"/>
      <c r="S783" s="46"/>
      <c r="T783" s="46"/>
      <c r="U783" s="46"/>
      <c r="V783" s="46"/>
      <c r="W783" s="46"/>
      <c r="X783" s="46"/>
      <c r="Y783" s="46"/>
      <c r="Z783" s="46"/>
      <c r="AA783" s="46"/>
      <c r="AB783" s="46"/>
      <c r="AC783" s="46"/>
      <c r="AD783" s="46"/>
      <c r="AE783" s="46"/>
      <c r="AF783" s="46"/>
      <c r="AG783" s="123"/>
      <c r="AH783" s="123"/>
      <c r="AI783" s="123"/>
      <c r="AJ783" s="123"/>
      <c r="AK783" s="46"/>
      <c r="AL783" s="46"/>
      <c r="AM783" s="46"/>
      <c r="AN783" s="46"/>
      <c r="AO783" s="46"/>
    </row>
    <row r="784">
      <c r="A784" s="17"/>
      <c r="B784" s="46"/>
      <c r="C784" s="46"/>
      <c r="D784" s="46"/>
      <c r="E784" s="17"/>
      <c r="F784" s="46"/>
      <c r="G784" s="46"/>
      <c r="H784" s="46"/>
      <c r="I784" s="17"/>
      <c r="J784" s="46"/>
      <c r="K784" s="46"/>
      <c r="L784" s="46"/>
      <c r="M784" s="17"/>
      <c r="N784" s="46"/>
      <c r="O784" s="46"/>
      <c r="P784" s="46"/>
      <c r="Q784" s="46"/>
      <c r="R784" s="46"/>
      <c r="S784" s="46"/>
      <c r="T784" s="46"/>
      <c r="U784" s="46"/>
      <c r="V784" s="46"/>
      <c r="W784" s="46"/>
      <c r="X784" s="46"/>
      <c r="Y784" s="46"/>
      <c r="Z784" s="46"/>
      <c r="AA784" s="46"/>
      <c r="AB784" s="46"/>
      <c r="AC784" s="46"/>
      <c r="AD784" s="46"/>
      <c r="AE784" s="46"/>
      <c r="AF784" s="46"/>
      <c r="AG784" s="123"/>
      <c r="AH784" s="123"/>
      <c r="AI784" s="123"/>
      <c r="AJ784" s="123"/>
      <c r="AK784" s="46"/>
      <c r="AL784" s="46"/>
      <c r="AM784" s="46"/>
      <c r="AN784" s="46"/>
      <c r="AO784" s="46"/>
    </row>
    <row r="785">
      <c r="A785" s="17"/>
      <c r="B785" s="46"/>
      <c r="C785" s="46"/>
      <c r="D785" s="46"/>
      <c r="E785" s="17"/>
      <c r="F785" s="46"/>
      <c r="G785" s="46"/>
      <c r="H785" s="46"/>
      <c r="I785" s="17"/>
      <c r="J785" s="46"/>
      <c r="K785" s="46"/>
      <c r="L785" s="46"/>
      <c r="M785" s="17"/>
      <c r="N785" s="46"/>
      <c r="O785" s="46"/>
      <c r="P785" s="46"/>
      <c r="Q785" s="46"/>
      <c r="R785" s="46"/>
      <c r="S785" s="46"/>
      <c r="T785" s="46"/>
      <c r="U785" s="46"/>
      <c r="V785" s="46"/>
      <c r="W785" s="46"/>
      <c r="X785" s="46"/>
      <c r="Y785" s="46"/>
      <c r="Z785" s="46"/>
      <c r="AA785" s="46"/>
      <c r="AB785" s="46"/>
      <c r="AC785" s="46"/>
      <c r="AD785" s="46"/>
      <c r="AE785" s="46"/>
      <c r="AF785" s="46"/>
      <c r="AG785" s="123"/>
      <c r="AH785" s="123"/>
      <c r="AI785" s="123"/>
      <c r="AJ785" s="123"/>
      <c r="AK785" s="46"/>
      <c r="AL785" s="46"/>
      <c r="AM785" s="46"/>
      <c r="AN785" s="46"/>
      <c r="AO785" s="46"/>
    </row>
    <row r="786">
      <c r="A786" s="17"/>
      <c r="B786" s="46"/>
      <c r="C786" s="46"/>
      <c r="D786" s="46"/>
      <c r="E786" s="17"/>
      <c r="F786" s="46"/>
      <c r="G786" s="46"/>
      <c r="H786" s="46"/>
      <c r="I786" s="17"/>
      <c r="J786" s="46"/>
      <c r="K786" s="46"/>
      <c r="L786" s="46"/>
      <c r="M786" s="17"/>
      <c r="N786" s="46"/>
      <c r="O786" s="46"/>
      <c r="P786" s="46"/>
      <c r="Q786" s="46"/>
      <c r="R786" s="46"/>
      <c r="S786" s="46"/>
      <c r="T786" s="46"/>
      <c r="U786" s="46"/>
      <c r="V786" s="46"/>
      <c r="W786" s="46"/>
      <c r="X786" s="46"/>
      <c r="Y786" s="46"/>
      <c r="Z786" s="46"/>
      <c r="AA786" s="46"/>
      <c r="AB786" s="46"/>
      <c r="AC786" s="46"/>
      <c r="AD786" s="46"/>
      <c r="AE786" s="46"/>
      <c r="AF786" s="46"/>
      <c r="AG786" s="123"/>
      <c r="AH786" s="123"/>
      <c r="AI786" s="123"/>
      <c r="AJ786" s="123"/>
      <c r="AK786" s="46"/>
      <c r="AL786" s="46"/>
      <c r="AM786" s="46"/>
      <c r="AN786" s="46"/>
      <c r="AO786" s="46"/>
    </row>
    <row r="787">
      <c r="A787" s="17"/>
      <c r="B787" s="46"/>
      <c r="C787" s="46"/>
      <c r="D787" s="46"/>
      <c r="E787" s="17"/>
      <c r="F787" s="46"/>
      <c r="G787" s="46"/>
      <c r="H787" s="46"/>
      <c r="I787" s="17"/>
      <c r="J787" s="46"/>
      <c r="K787" s="46"/>
      <c r="L787" s="46"/>
      <c r="M787" s="17"/>
      <c r="N787" s="46"/>
      <c r="O787" s="46"/>
      <c r="P787" s="46"/>
      <c r="Q787" s="46"/>
      <c r="R787" s="46"/>
      <c r="S787" s="46"/>
      <c r="T787" s="46"/>
      <c r="U787" s="46"/>
      <c r="V787" s="46"/>
      <c r="W787" s="46"/>
      <c r="X787" s="46"/>
      <c r="Y787" s="46"/>
      <c r="Z787" s="46"/>
      <c r="AA787" s="46"/>
      <c r="AB787" s="46"/>
      <c r="AC787" s="46"/>
      <c r="AD787" s="46"/>
      <c r="AE787" s="46"/>
      <c r="AF787" s="46"/>
      <c r="AG787" s="123"/>
      <c r="AH787" s="123"/>
      <c r="AI787" s="123"/>
      <c r="AJ787" s="123"/>
      <c r="AK787" s="46"/>
      <c r="AL787" s="46"/>
      <c r="AM787" s="46"/>
      <c r="AN787" s="46"/>
      <c r="AO787" s="46"/>
    </row>
    <row r="788">
      <c r="A788" s="17"/>
      <c r="B788" s="46"/>
      <c r="C788" s="46"/>
      <c r="D788" s="46"/>
      <c r="E788" s="17"/>
      <c r="F788" s="46"/>
      <c r="G788" s="46"/>
      <c r="H788" s="46"/>
      <c r="I788" s="17"/>
      <c r="J788" s="46"/>
      <c r="K788" s="46"/>
      <c r="L788" s="46"/>
      <c r="M788" s="17"/>
      <c r="N788" s="46"/>
      <c r="O788" s="46"/>
      <c r="P788" s="46"/>
      <c r="Q788" s="46"/>
      <c r="R788" s="46"/>
      <c r="S788" s="46"/>
      <c r="T788" s="46"/>
      <c r="U788" s="46"/>
      <c r="V788" s="46"/>
      <c r="W788" s="46"/>
      <c r="X788" s="46"/>
      <c r="Y788" s="46"/>
      <c r="Z788" s="46"/>
      <c r="AA788" s="46"/>
      <c r="AB788" s="46"/>
      <c r="AC788" s="46"/>
      <c r="AD788" s="46"/>
      <c r="AE788" s="46"/>
      <c r="AF788" s="46"/>
      <c r="AG788" s="123"/>
      <c r="AH788" s="123"/>
      <c r="AI788" s="123"/>
      <c r="AJ788" s="123"/>
      <c r="AK788" s="46"/>
      <c r="AL788" s="46"/>
      <c r="AM788" s="46"/>
      <c r="AN788" s="46"/>
      <c r="AO788" s="46"/>
    </row>
    <row r="789">
      <c r="A789" s="17"/>
      <c r="B789" s="46"/>
      <c r="C789" s="46"/>
      <c r="D789" s="46"/>
      <c r="E789" s="17"/>
      <c r="F789" s="46"/>
      <c r="G789" s="46"/>
      <c r="H789" s="46"/>
      <c r="I789" s="17"/>
      <c r="J789" s="46"/>
      <c r="K789" s="46"/>
      <c r="L789" s="46"/>
      <c r="M789" s="17"/>
      <c r="N789" s="46"/>
      <c r="O789" s="46"/>
      <c r="P789" s="46"/>
      <c r="Q789" s="46"/>
      <c r="R789" s="46"/>
      <c r="S789" s="46"/>
      <c r="T789" s="46"/>
      <c r="U789" s="46"/>
      <c r="V789" s="46"/>
      <c r="W789" s="46"/>
      <c r="X789" s="46"/>
      <c r="Y789" s="46"/>
      <c r="Z789" s="46"/>
      <c r="AA789" s="46"/>
      <c r="AB789" s="46"/>
      <c r="AC789" s="46"/>
      <c r="AD789" s="46"/>
      <c r="AE789" s="46"/>
      <c r="AF789" s="46"/>
      <c r="AG789" s="123"/>
      <c r="AH789" s="123"/>
      <c r="AI789" s="123"/>
      <c r="AJ789" s="123"/>
      <c r="AK789" s="46"/>
      <c r="AL789" s="46"/>
      <c r="AM789" s="46"/>
      <c r="AN789" s="46"/>
      <c r="AO789" s="46"/>
    </row>
    <row r="790">
      <c r="A790" s="17"/>
      <c r="B790" s="46"/>
      <c r="C790" s="46"/>
      <c r="D790" s="46"/>
      <c r="E790" s="17"/>
      <c r="F790" s="46"/>
      <c r="G790" s="46"/>
      <c r="H790" s="46"/>
      <c r="I790" s="17"/>
      <c r="J790" s="46"/>
      <c r="K790" s="46"/>
      <c r="L790" s="46"/>
      <c r="M790" s="17"/>
      <c r="N790" s="46"/>
      <c r="O790" s="46"/>
      <c r="P790" s="46"/>
      <c r="Q790" s="46"/>
      <c r="R790" s="46"/>
      <c r="S790" s="46"/>
      <c r="T790" s="46"/>
      <c r="U790" s="46"/>
      <c r="V790" s="46"/>
      <c r="W790" s="46"/>
      <c r="X790" s="46"/>
      <c r="Y790" s="46"/>
      <c r="Z790" s="46"/>
      <c r="AA790" s="46"/>
      <c r="AB790" s="46"/>
      <c r="AC790" s="46"/>
      <c r="AD790" s="46"/>
      <c r="AE790" s="46"/>
      <c r="AF790" s="46"/>
      <c r="AG790" s="123"/>
      <c r="AH790" s="123"/>
      <c r="AI790" s="123"/>
      <c r="AJ790" s="123"/>
      <c r="AK790" s="46"/>
      <c r="AL790" s="46"/>
      <c r="AM790" s="46"/>
      <c r="AN790" s="46"/>
      <c r="AO790" s="46"/>
    </row>
    <row r="791">
      <c r="A791" s="17"/>
      <c r="B791" s="46"/>
      <c r="C791" s="46"/>
      <c r="D791" s="46"/>
      <c r="E791" s="17"/>
      <c r="F791" s="46"/>
      <c r="G791" s="46"/>
      <c r="H791" s="46"/>
      <c r="I791" s="17"/>
      <c r="J791" s="46"/>
      <c r="K791" s="46"/>
      <c r="L791" s="46"/>
      <c r="M791" s="17"/>
      <c r="N791" s="46"/>
      <c r="O791" s="46"/>
      <c r="P791" s="46"/>
      <c r="Q791" s="46"/>
      <c r="R791" s="46"/>
      <c r="S791" s="46"/>
      <c r="T791" s="46"/>
      <c r="U791" s="46"/>
      <c r="V791" s="46"/>
      <c r="W791" s="46"/>
      <c r="X791" s="46"/>
      <c r="Y791" s="46"/>
      <c r="Z791" s="46"/>
      <c r="AA791" s="46"/>
      <c r="AB791" s="46"/>
      <c r="AC791" s="46"/>
      <c r="AD791" s="46"/>
      <c r="AE791" s="46"/>
      <c r="AF791" s="46"/>
      <c r="AG791" s="123"/>
      <c r="AH791" s="123"/>
      <c r="AI791" s="123"/>
      <c r="AJ791" s="123"/>
      <c r="AK791" s="46"/>
      <c r="AL791" s="46"/>
      <c r="AM791" s="46"/>
      <c r="AN791" s="46"/>
      <c r="AO791" s="46"/>
    </row>
    <row r="792">
      <c r="A792" s="17"/>
      <c r="B792" s="46"/>
      <c r="C792" s="46"/>
      <c r="D792" s="46"/>
      <c r="E792" s="17"/>
      <c r="F792" s="46"/>
      <c r="G792" s="46"/>
      <c r="H792" s="46"/>
      <c r="I792" s="17"/>
      <c r="J792" s="46"/>
      <c r="K792" s="46"/>
      <c r="L792" s="46"/>
      <c r="M792" s="17"/>
      <c r="N792" s="46"/>
      <c r="O792" s="46"/>
      <c r="P792" s="46"/>
      <c r="Q792" s="46"/>
      <c r="R792" s="46"/>
      <c r="S792" s="46"/>
      <c r="T792" s="46"/>
      <c r="U792" s="46"/>
      <c r="V792" s="46"/>
      <c r="W792" s="46"/>
      <c r="X792" s="46"/>
      <c r="Y792" s="46"/>
      <c r="Z792" s="46"/>
      <c r="AA792" s="46"/>
      <c r="AB792" s="46"/>
      <c r="AC792" s="46"/>
      <c r="AD792" s="46"/>
      <c r="AE792" s="46"/>
      <c r="AF792" s="46"/>
      <c r="AG792" s="123"/>
      <c r="AH792" s="123"/>
      <c r="AI792" s="123"/>
      <c r="AJ792" s="123"/>
      <c r="AK792" s="46"/>
      <c r="AL792" s="46"/>
      <c r="AM792" s="46"/>
      <c r="AN792" s="46"/>
      <c r="AO792" s="46"/>
    </row>
    <row r="793">
      <c r="A793" s="17"/>
      <c r="B793" s="46"/>
      <c r="C793" s="46"/>
      <c r="D793" s="46"/>
      <c r="E793" s="17"/>
      <c r="F793" s="46"/>
      <c r="G793" s="46"/>
      <c r="H793" s="46"/>
      <c r="I793" s="17"/>
      <c r="J793" s="46"/>
      <c r="K793" s="46"/>
      <c r="L793" s="46"/>
      <c r="M793" s="17"/>
      <c r="N793" s="46"/>
      <c r="O793" s="46"/>
      <c r="P793" s="46"/>
      <c r="Q793" s="46"/>
      <c r="R793" s="46"/>
      <c r="S793" s="46"/>
      <c r="T793" s="46"/>
      <c r="U793" s="46"/>
      <c r="V793" s="46"/>
      <c r="W793" s="46"/>
      <c r="X793" s="46"/>
      <c r="Y793" s="46"/>
      <c r="Z793" s="46"/>
      <c r="AA793" s="46"/>
      <c r="AB793" s="46"/>
      <c r="AC793" s="46"/>
      <c r="AD793" s="46"/>
      <c r="AE793" s="46"/>
      <c r="AF793" s="46"/>
      <c r="AG793" s="123"/>
      <c r="AH793" s="123"/>
      <c r="AI793" s="123"/>
      <c r="AJ793" s="123"/>
      <c r="AK793" s="46"/>
      <c r="AL793" s="46"/>
      <c r="AM793" s="46"/>
      <c r="AN793" s="46"/>
      <c r="AO793" s="46"/>
    </row>
    <row r="794">
      <c r="A794" s="17"/>
      <c r="B794" s="46"/>
      <c r="C794" s="46"/>
      <c r="D794" s="46"/>
      <c r="E794" s="17"/>
      <c r="F794" s="46"/>
      <c r="G794" s="46"/>
      <c r="H794" s="46"/>
      <c r="I794" s="17"/>
      <c r="J794" s="46"/>
      <c r="K794" s="46"/>
      <c r="L794" s="46"/>
      <c r="M794" s="17"/>
      <c r="N794" s="46"/>
      <c r="O794" s="46"/>
      <c r="P794" s="46"/>
      <c r="Q794" s="46"/>
      <c r="R794" s="46"/>
      <c r="S794" s="46"/>
      <c r="T794" s="46"/>
      <c r="U794" s="46"/>
      <c r="V794" s="46"/>
      <c r="W794" s="46"/>
      <c r="X794" s="46"/>
      <c r="Y794" s="46"/>
      <c r="Z794" s="46"/>
      <c r="AA794" s="46"/>
      <c r="AB794" s="46"/>
      <c r="AC794" s="46"/>
      <c r="AD794" s="46"/>
      <c r="AE794" s="46"/>
      <c r="AF794" s="46"/>
      <c r="AG794" s="123"/>
      <c r="AH794" s="123"/>
      <c r="AI794" s="123"/>
      <c r="AJ794" s="123"/>
      <c r="AK794" s="46"/>
      <c r="AL794" s="46"/>
      <c r="AM794" s="46"/>
      <c r="AN794" s="46"/>
      <c r="AO794" s="46"/>
    </row>
    <row r="795">
      <c r="A795" s="17"/>
      <c r="B795" s="46"/>
      <c r="C795" s="46"/>
      <c r="D795" s="46"/>
      <c r="E795" s="17"/>
      <c r="F795" s="46"/>
      <c r="G795" s="46"/>
      <c r="H795" s="46"/>
      <c r="I795" s="17"/>
      <c r="J795" s="46"/>
      <c r="K795" s="46"/>
      <c r="L795" s="46"/>
      <c r="M795" s="17"/>
      <c r="N795" s="46"/>
      <c r="O795" s="46"/>
      <c r="P795" s="46"/>
      <c r="Q795" s="46"/>
      <c r="R795" s="46"/>
      <c r="S795" s="46"/>
      <c r="T795" s="46"/>
      <c r="U795" s="46"/>
      <c r="V795" s="46"/>
      <c r="W795" s="46"/>
      <c r="X795" s="46"/>
      <c r="Y795" s="46"/>
      <c r="Z795" s="46"/>
      <c r="AA795" s="46"/>
      <c r="AB795" s="46"/>
      <c r="AC795" s="46"/>
      <c r="AD795" s="46"/>
      <c r="AE795" s="46"/>
      <c r="AF795" s="46"/>
      <c r="AG795" s="123"/>
      <c r="AH795" s="123"/>
      <c r="AI795" s="123"/>
      <c r="AJ795" s="123"/>
      <c r="AK795" s="46"/>
      <c r="AL795" s="46"/>
      <c r="AM795" s="46"/>
      <c r="AN795" s="46"/>
      <c r="AO795" s="46"/>
    </row>
    <row r="796">
      <c r="A796" s="17"/>
      <c r="B796" s="46"/>
      <c r="C796" s="46"/>
      <c r="D796" s="46"/>
      <c r="E796" s="17"/>
      <c r="F796" s="46"/>
      <c r="G796" s="46"/>
      <c r="H796" s="46"/>
      <c r="I796" s="17"/>
      <c r="J796" s="46"/>
      <c r="K796" s="46"/>
      <c r="L796" s="46"/>
      <c r="M796" s="17"/>
      <c r="N796" s="46"/>
      <c r="O796" s="46"/>
      <c r="P796" s="46"/>
      <c r="Q796" s="46"/>
      <c r="R796" s="46"/>
      <c r="S796" s="46"/>
      <c r="T796" s="46"/>
      <c r="U796" s="46"/>
      <c r="V796" s="46"/>
      <c r="W796" s="46"/>
      <c r="X796" s="46"/>
      <c r="Y796" s="46"/>
      <c r="Z796" s="46"/>
      <c r="AA796" s="46"/>
      <c r="AB796" s="46"/>
      <c r="AC796" s="46"/>
      <c r="AD796" s="46"/>
      <c r="AE796" s="46"/>
      <c r="AF796" s="46"/>
      <c r="AG796" s="123"/>
      <c r="AH796" s="123"/>
      <c r="AI796" s="123"/>
      <c r="AJ796" s="123"/>
      <c r="AK796" s="46"/>
      <c r="AL796" s="46"/>
      <c r="AM796" s="46"/>
      <c r="AN796" s="46"/>
      <c r="AO796" s="46"/>
    </row>
    <row r="797">
      <c r="A797" s="17"/>
      <c r="B797" s="46"/>
      <c r="C797" s="46"/>
      <c r="D797" s="46"/>
      <c r="E797" s="17"/>
      <c r="F797" s="46"/>
      <c r="G797" s="46"/>
      <c r="H797" s="46"/>
      <c r="I797" s="17"/>
      <c r="J797" s="46"/>
      <c r="K797" s="46"/>
      <c r="L797" s="46"/>
      <c r="M797" s="17"/>
      <c r="N797" s="46"/>
      <c r="O797" s="46"/>
      <c r="P797" s="46"/>
      <c r="Q797" s="46"/>
      <c r="R797" s="46"/>
      <c r="S797" s="46"/>
      <c r="T797" s="46"/>
      <c r="U797" s="46"/>
      <c r="V797" s="46"/>
      <c r="W797" s="46"/>
      <c r="X797" s="46"/>
      <c r="Y797" s="46"/>
      <c r="Z797" s="46"/>
      <c r="AA797" s="46"/>
      <c r="AB797" s="46"/>
      <c r="AC797" s="46"/>
      <c r="AD797" s="46"/>
      <c r="AE797" s="46"/>
      <c r="AF797" s="46"/>
      <c r="AG797" s="123"/>
      <c r="AH797" s="123"/>
      <c r="AI797" s="123"/>
      <c r="AJ797" s="123"/>
      <c r="AK797" s="46"/>
      <c r="AL797" s="46"/>
      <c r="AM797" s="46"/>
      <c r="AN797" s="46"/>
      <c r="AO797" s="46"/>
    </row>
    <row r="798">
      <c r="A798" s="17"/>
      <c r="B798" s="46"/>
      <c r="C798" s="46"/>
      <c r="D798" s="46"/>
      <c r="E798" s="17"/>
      <c r="F798" s="46"/>
      <c r="G798" s="46"/>
      <c r="H798" s="46"/>
      <c r="I798" s="17"/>
      <c r="J798" s="46"/>
      <c r="K798" s="46"/>
      <c r="L798" s="46"/>
      <c r="M798" s="17"/>
      <c r="N798" s="46"/>
      <c r="O798" s="46"/>
      <c r="P798" s="46"/>
      <c r="Q798" s="46"/>
      <c r="R798" s="46"/>
      <c r="S798" s="46"/>
      <c r="T798" s="46"/>
      <c r="U798" s="46"/>
      <c r="V798" s="46"/>
      <c r="W798" s="46"/>
      <c r="X798" s="46"/>
      <c r="Y798" s="46"/>
      <c r="Z798" s="46"/>
      <c r="AA798" s="46"/>
      <c r="AB798" s="46"/>
      <c r="AC798" s="46"/>
      <c r="AD798" s="46"/>
      <c r="AE798" s="46"/>
      <c r="AF798" s="46"/>
      <c r="AG798" s="123"/>
      <c r="AH798" s="123"/>
      <c r="AI798" s="123"/>
      <c r="AJ798" s="123"/>
      <c r="AK798" s="46"/>
      <c r="AL798" s="46"/>
      <c r="AM798" s="46"/>
      <c r="AN798" s="46"/>
      <c r="AO798" s="46"/>
    </row>
    <row r="799">
      <c r="A799" s="17"/>
      <c r="B799" s="46"/>
      <c r="C799" s="46"/>
      <c r="D799" s="46"/>
      <c r="E799" s="17"/>
      <c r="F799" s="46"/>
      <c r="G799" s="46"/>
      <c r="H799" s="46"/>
      <c r="I799" s="17"/>
      <c r="J799" s="46"/>
      <c r="K799" s="46"/>
      <c r="L799" s="46"/>
      <c r="M799" s="17"/>
      <c r="N799" s="46"/>
      <c r="O799" s="46"/>
      <c r="P799" s="46"/>
      <c r="Q799" s="46"/>
      <c r="R799" s="46"/>
      <c r="S799" s="46"/>
      <c r="T799" s="46"/>
      <c r="U799" s="46"/>
      <c r="V799" s="46"/>
      <c r="W799" s="46"/>
      <c r="X799" s="46"/>
      <c r="Y799" s="46"/>
      <c r="Z799" s="46"/>
      <c r="AA799" s="46"/>
      <c r="AB799" s="46"/>
      <c r="AC799" s="46"/>
      <c r="AD799" s="46"/>
      <c r="AE799" s="46"/>
      <c r="AF799" s="46"/>
      <c r="AG799" s="123"/>
      <c r="AH799" s="123"/>
      <c r="AI799" s="123"/>
      <c r="AJ799" s="123"/>
      <c r="AK799" s="46"/>
      <c r="AL799" s="46"/>
      <c r="AM799" s="46"/>
      <c r="AN799" s="46"/>
      <c r="AO799" s="46"/>
    </row>
    <row r="800">
      <c r="A800" s="17"/>
      <c r="B800" s="46"/>
      <c r="C800" s="46"/>
      <c r="D800" s="46"/>
      <c r="E800" s="17"/>
      <c r="F800" s="46"/>
      <c r="G800" s="46"/>
      <c r="H800" s="46"/>
      <c r="I800" s="17"/>
      <c r="J800" s="46"/>
      <c r="K800" s="46"/>
      <c r="L800" s="46"/>
      <c r="M800" s="17"/>
      <c r="N800" s="46"/>
      <c r="O800" s="46"/>
      <c r="P800" s="46"/>
      <c r="Q800" s="46"/>
      <c r="R800" s="46"/>
      <c r="S800" s="46"/>
      <c r="T800" s="46"/>
      <c r="U800" s="46"/>
      <c r="V800" s="46"/>
      <c r="W800" s="46"/>
      <c r="X800" s="46"/>
      <c r="Y800" s="46"/>
      <c r="Z800" s="46"/>
      <c r="AA800" s="46"/>
      <c r="AB800" s="46"/>
      <c r="AC800" s="46"/>
      <c r="AD800" s="46"/>
      <c r="AE800" s="46"/>
      <c r="AF800" s="46"/>
      <c r="AG800" s="123"/>
      <c r="AH800" s="123"/>
      <c r="AI800" s="123"/>
      <c r="AJ800" s="123"/>
      <c r="AK800" s="46"/>
      <c r="AL800" s="46"/>
      <c r="AM800" s="46"/>
      <c r="AN800" s="46"/>
      <c r="AO800" s="46"/>
    </row>
    <row r="801">
      <c r="A801" s="17"/>
      <c r="B801" s="46"/>
      <c r="C801" s="46"/>
      <c r="D801" s="46"/>
      <c r="E801" s="17"/>
      <c r="F801" s="46"/>
      <c r="G801" s="46"/>
      <c r="H801" s="46"/>
      <c r="I801" s="17"/>
      <c r="J801" s="46"/>
      <c r="K801" s="46"/>
      <c r="L801" s="46"/>
      <c r="M801" s="17"/>
      <c r="N801" s="46"/>
      <c r="O801" s="46"/>
      <c r="P801" s="46"/>
      <c r="Q801" s="46"/>
      <c r="R801" s="46"/>
      <c r="S801" s="46"/>
      <c r="T801" s="46"/>
      <c r="U801" s="46"/>
      <c r="V801" s="46"/>
      <c r="W801" s="46"/>
      <c r="X801" s="46"/>
      <c r="Y801" s="46"/>
      <c r="Z801" s="46"/>
      <c r="AA801" s="46"/>
      <c r="AB801" s="46"/>
      <c r="AC801" s="46"/>
      <c r="AD801" s="46"/>
      <c r="AE801" s="46"/>
      <c r="AF801" s="46"/>
      <c r="AG801" s="123"/>
      <c r="AH801" s="123"/>
      <c r="AI801" s="123"/>
      <c r="AJ801" s="123"/>
      <c r="AK801" s="46"/>
      <c r="AL801" s="46"/>
      <c r="AM801" s="46"/>
      <c r="AN801" s="46"/>
      <c r="AO801" s="46"/>
    </row>
    <row r="802">
      <c r="A802" s="17"/>
      <c r="B802" s="46"/>
      <c r="C802" s="46"/>
      <c r="D802" s="46"/>
      <c r="E802" s="17"/>
      <c r="F802" s="46"/>
      <c r="G802" s="46"/>
      <c r="H802" s="46"/>
      <c r="I802" s="17"/>
      <c r="J802" s="46"/>
      <c r="K802" s="46"/>
      <c r="L802" s="46"/>
      <c r="M802" s="17"/>
      <c r="N802" s="46"/>
      <c r="O802" s="46"/>
      <c r="P802" s="46"/>
      <c r="Q802" s="46"/>
      <c r="R802" s="46"/>
      <c r="S802" s="46"/>
      <c r="T802" s="46"/>
      <c r="U802" s="46"/>
      <c r="V802" s="46"/>
      <c r="W802" s="46"/>
      <c r="X802" s="46"/>
      <c r="Y802" s="46"/>
      <c r="Z802" s="46"/>
      <c r="AA802" s="46"/>
      <c r="AB802" s="46"/>
      <c r="AC802" s="46"/>
      <c r="AD802" s="46"/>
      <c r="AE802" s="46"/>
      <c r="AF802" s="46"/>
      <c r="AG802" s="123"/>
      <c r="AH802" s="123"/>
      <c r="AI802" s="123"/>
      <c r="AJ802" s="123"/>
      <c r="AK802" s="46"/>
      <c r="AL802" s="46"/>
      <c r="AM802" s="46"/>
      <c r="AN802" s="46"/>
      <c r="AO802" s="46"/>
    </row>
    <row r="803">
      <c r="A803" s="17"/>
      <c r="B803" s="46"/>
      <c r="C803" s="46"/>
      <c r="D803" s="46"/>
      <c r="E803" s="17"/>
      <c r="F803" s="46"/>
      <c r="G803" s="46"/>
      <c r="H803" s="46"/>
      <c r="I803" s="17"/>
      <c r="J803" s="46"/>
      <c r="K803" s="46"/>
      <c r="L803" s="46"/>
      <c r="M803" s="17"/>
      <c r="N803" s="46"/>
      <c r="O803" s="46"/>
      <c r="P803" s="46"/>
      <c r="Q803" s="46"/>
      <c r="R803" s="46"/>
      <c r="S803" s="46"/>
      <c r="T803" s="46"/>
      <c r="U803" s="46"/>
      <c r="V803" s="46"/>
      <c r="W803" s="46"/>
      <c r="X803" s="46"/>
      <c r="Y803" s="46"/>
      <c r="Z803" s="46"/>
      <c r="AA803" s="46"/>
      <c r="AB803" s="46"/>
      <c r="AC803" s="46"/>
      <c r="AD803" s="46"/>
      <c r="AE803" s="46"/>
      <c r="AF803" s="46"/>
      <c r="AG803" s="123"/>
      <c r="AH803" s="123"/>
      <c r="AI803" s="123"/>
      <c r="AJ803" s="123"/>
      <c r="AK803" s="46"/>
      <c r="AL803" s="46"/>
      <c r="AM803" s="46"/>
      <c r="AN803" s="46"/>
      <c r="AO803" s="46"/>
    </row>
    <row r="804">
      <c r="A804" s="17"/>
      <c r="B804" s="46"/>
      <c r="C804" s="46"/>
      <c r="D804" s="46"/>
      <c r="E804" s="17"/>
      <c r="F804" s="46"/>
      <c r="G804" s="46"/>
      <c r="H804" s="46"/>
      <c r="I804" s="17"/>
      <c r="J804" s="46"/>
      <c r="K804" s="46"/>
      <c r="L804" s="46"/>
      <c r="M804" s="17"/>
      <c r="N804" s="46"/>
      <c r="O804" s="46"/>
      <c r="P804" s="46"/>
      <c r="Q804" s="46"/>
      <c r="R804" s="46"/>
      <c r="S804" s="46"/>
      <c r="T804" s="46"/>
      <c r="U804" s="46"/>
      <c r="V804" s="46"/>
      <c r="W804" s="46"/>
      <c r="X804" s="46"/>
      <c r="Y804" s="46"/>
      <c r="Z804" s="46"/>
      <c r="AA804" s="46"/>
      <c r="AB804" s="46"/>
      <c r="AC804" s="46"/>
      <c r="AD804" s="46"/>
      <c r="AE804" s="46"/>
      <c r="AF804" s="46"/>
      <c r="AG804" s="123"/>
      <c r="AH804" s="123"/>
      <c r="AI804" s="123"/>
      <c r="AJ804" s="123"/>
      <c r="AK804" s="46"/>
      <c r="AL804" s="46"/>
      <c r="AM804" s="46"/>
      <c r="AN804" s="46"/>
      <c r="AO804" s="46"/>
    </row>
    <row r="805">
      <c r="A805" s="17"/>
      <c r="B805" s="46"/>
      <c r="C805" s="46"/>
      <c r="D805" s="46"/>
      <c r="E805" s="17"/>
      <c r="F805" s="46"/>
      <c r="G805" s="46"/>
      <c r="H805" s="46"/>
      <c r="I805" s="17"/>
      <c r="J805" s="46"/>
      <c r="K805" s="46"/>
      <c r="L805" s="46"/>
      <c r="M805" s="17"/>
      <c r="N805" s="46"/>
      <c r="O805" s="46"/>
      <c r="P805" s="46"/>
      <c r="Q805" s="46"/>
      <c r="R805" s="46"/>
      <c r="S805" s="46"/>
      <c r="T805" s="46"/>
      <c r="U805" s="46"/>
      <c r="V805" s="46"/>
      <c r="W805" s="46"/>
      <c r="X805" s="46"/>
      <c r="Y805" s="46"/>
      <c r="Z805" s="46"/>
      <c r="AA805" s="46"/>
      <c r="AB805" s="46"/>
      <c r="AC805" s="46"/>
      <c r="AD805" s="46"/>
      <c r="AE805" s="46"/>
      <c r="AF805" s="46"/>
      <c r="AG805" s="123"/>
      <c r="AH805" s="123"/>
      <c r="AI805" s="123"/>
      <c r="AJ805" s="123"/>
      <c r="AK805" s="46"/>
      <c r="AL805" s="46"/>
      <c r="AM805" s="46"/>
      <c r="AN805" s="46"/>
      <c r="AO805" s="46"/>
    </row>
    <row r="806">
      <c r="A806" s="17"/>
      <c r="B806" s="46"/>
      <c r="C806" s="46"/>
      <c r="D806" s="46"/>
      <c r="E806" s="17"/>
      <c r="F806" s="46"/>
      <c r="G806" s="46"/>
      <c r="H806" s="46"/>
      <c r="I806" s="17"/>
      <c r="J806" s="46"/>
      <c r="K806" s="46"/>
      <c r="L806" s="46"/>
      <c r="M806" s="17"/>
      <c r="N806" s="46"/>
      <c r="O806" s="46"/>
      <c r="P806" s="46"/>
      <c r="Q806" s="46"/>
      <c r="R806" s="46"/>
      <c r="S806" s="46"/>
      <c r="T806" s="46"/>
      <c r="U806" s="46"/>
      <c r="V806" s="46"/>
      <c r="W806" s="46"/>
      <c r="X806" s="46"/>
      <c r="Y806" s="46"/>
      <c r="Z806" s="46"/>
      <c r="AA806" s="46"/>
      <c r="AB806" s="46"/>
      <c r="AC806" s="46"/>
      <c r="AD806" s="46"/>
      <c r="AE806" s="46"/>
      <c r="AF806" s="46"/>
      <c r="AG806" s="123"/>
      <c r="AH806" s="123"/>
      <c r="AI806" s="123"/>
      <c r="AJ806" s="123"/>
      <c r="AK806" s="46"/>
      <c r="AL806" s="46"/>
      <c r="AM806" s="46"/>
      <c r="AN806" s="46"/>
      <c r="AO806" s="46"/>
    </row>
    <row r="807">
      <c r="A807" s="17"/>
      <c r="B807" s="46"/>
      <c r="C807" s="46"/>
      <c r="D807" s="46"/>
      <c r="E807" s="17"/>
      <c r="F807" s="46"/>
      <c r="G807" s="46"/>
      <c r="H807" s="46"/>
      <c r="I807" s="17"/>
      <c r="J807" s="46"/>
      <c r="K807" s="46"/>
      <c r="L807" s="46"/>
      <c r="M807" s="17"/>
      <c r="N807" s="46"/>
      <c r="O807" s="46"/>
      <c r="P807" s="46"/>
      <c r="Q807" s="46"/>
      <c r="R807" s="46"/>
      <c r="S807" s="46"/>
      <c r="T807" s="46"/>
      <c r="U807" s="46"/>
      <c r="V807" s="46"/>
      <c r="W807" s="46"/>
      <c r="X807" s="46"/>
      <c r="Y807" s="46"/>
      <c r="Z807" s="46"/>
      <c r="AA807" s="46"/>
      <c r="AB807" s="46"/>
      <c r="AC807" s="46"/>
      <c r="AD807" s="46"/>
      <c r="AE807" s="46"/>
      <c r="AF807" s="46"/>
      <c r="AG807" s="123"/>
      <c r="AH807" s="123"/>
      <c r="AI807" s="123"/>
      <c r="AJ807" s="123"/>
      <c r="AK807" s="46"/>
      <c r="AL807" s="46"/>
      <c r="AM807" s="46"/>
      <c r="AN807" s="46"/>
      <c r="AO807" s="46"/>
    </row>
    <row r="808">
      <c r="A808" s="17"/>
      <c r="B808" s="46"/>
      <c r="C808" s="46"/>
      <c r="D808" s="46"/>
      <c r="E808" s="17"/>
      <c r="F808" s="46"/>
      <c r="G808" s="46"/>
      <c r="H808" s="46"/>
      <c r="I808" s="17"/>
      <c r="J808" s="46"/>
      <c r="K808" s="46"/>
      <c r="L808" s="46"/>
      <c r="M808" s="17"/>
      <c r="N808" s="46"/>
      <c r="O808" s="46"/>
      <c r="P808" s="46"/>
      <c r="Q808" s="46"/>
      <c r="R808" s="46"/>
      <c r="S808" s="46"/>
      <c r="T808" s="46"/>
      <c r="U808" s="46"/>
      <c r="V808" s="46"/>
      <c r="W808" s="46"/>
      <c r="X808" s="46"/>
      <c r="Y808" s="46"/>
      <c r="Z808" s="46"/>
      <c r="AA808" s="46"/>
      <c r="AB808" s="46"/>
      <c r="AC808" s="46"/>
      <c r="AD808" s="46"/>
      <c r="AE808" s="46"/>
      <c r="AF808" s="46"/>
      <c r="AG808" s="123"/>
      <c r="AH808" s="123"/>
      <c r="AI808" s="123"/>
      <c r="AJ808" s="123"/>
      <c r="AK808" s="46"/>
      <c r="AL808" s="46"/>
      <c r="AM808" s="46"/>
      <c r="AN808" s="46"/>
      <c r="AO808" s="46"/>
    </row>
    <row r="809">
      <c r="A809" s="17"/>
      <c r="B809" s="46"/>
      <c r="C809" s="46"/>
      <c r="D809" s="46"/>
      <c r="E809" s="17"/>
      <c r="F809" s="46"/>
      <c r="G809" s="46"/>
      <c r="H809" s="46"/>
      <c r="I809" s="17"/>
      <c r="J809" s="46"/>
      <c r="K809" s="46"/>
      <c r="L809" s="46"/>
      <c r="M809" s="17"/>
      <c r="N809" s="46"/>
      <c r="O809" s="46"/>
      <c r="P809" s="46"/>
      <c r="Q809" s="46"/>
      <c r="R809" s="46"/>
      <c r="S809" s="46"/>
      <c r="T809" s="46"/>
      <c r="U809" s="46"/>
      <c r="V809" s="46"/>
      <c r="W809" s="46"/>
      <c r="X809" s="46"/>
      <c r="Y809" s="46"/>
      <c r="Z809" s="46"/>
      <c r="AA809" s="46"/>
      <c r="AB809" s="46"/>
      <c r="AC809" s="46"/>
      <c r="AD809" s="46"/>
      <c r="AE809" s="46"/>
      <c r="AF809" s="46"/>
      <c r="AG809" s="123"/>
      <c r="AH809" s="123"/>
      <c r="AI809" s="123"/>
      <c r="AJ809" s="123"/>
      <c r="AK809" s="46"/>
      <c r="AL809" s="46"/>
      <c r="AM809" s="46"/>
      <c r="AN809" s="46"/>
      <c r="AO809" s="46"/>
    </row>
    <row r="810">
      <c r="A810" s="17"/>
      <c r="B810" s="46"/>
      <c r="C810" s="46"/>
      <c r="D810" s="46"/>
      <c r="E810" s="17"/>
      <c r="F810" s="46"/>
      <c r="G810" s="46"/>
      <c r="H810" s="46"/>
      <c r="I810" s="17"/>
      <c r="J810" s="46"/>
      <c r="K810" s="46"/>
      <c r="L810" s="46"/>
      <c r="M810" s="17"/>
      <c r="N810" s="46"/>
      <c r="O810" s="46"/>
      <c r="P810" s="46"/>
      <c r="Q810" s="46"/>
      <c r="R810" s="46"/>
      <c r="S810" s="46"/>
      <c r="T810" s="46"/>
      <c r="U810" s="46"/>
      <c r="V810" s="46"/>
      <c r="W810" s="46"/>
      <c r="X810" s="46"/>
      <c r="Y810" s="46"/>
      <c r="Z810" s="46"/>
      <c r="AA810" s="46"/>
      <c r="AB810" s="46"/>
      <c r="AC810" s="46"/>
      <c r="AD810" s="46"/>
      <c r="AE810" s="46"/>
      <c r="AF810" s="46"/>
      <c r="AG810" s="123"/>
      <c r="AH810" s="123"/>
      <c r="AI810" s="123"/>
      <c r="AJ810" s="123"/>
      <c r="AK810" s="46"/>
      <c r="AL810" s="46"/>
      <c r="AM810" s="46"/>
      <c r="AN810" s="46"/>
      <c r="AO810" s="46"/>
    </row>
    <row r="811">
      <c r="A811" s="17"/>
      <c r="B811" s="46"/>
      <c r="C811" s="46"/>
      <c r="D811" s="46"/>
      <c r="E811" s="17"/>
      <c r="F811" s="46"/>
      <c r="G811" s="46"/>
      <c r="H811" s="46"/>
      <c r="I811" s="17"/>
      <c r="J811" s="46"/>
      <c r="K811" s="46"/>
      <c r="L811" s="46"/>
      <c r="M811" s="17"/>
      <c r="N811" s="46"/>
      <c r="O811" s="46"/>
      <c r="P811" s="46"/>
      <c r="Q811" s="46"/>
      <c r="R811" s="46"/>
      <c r="S811" s="46"/>
      <c r="T811" s="46"/>
      <c r="U811" s="46"/>
      <c r="V811" s="46"/>
      <c r="W811" s="46"/>
      <c r="X811" s="46"/>
      <c r="Y811" s="46"/>
      <c r="Z811" s="46"/>
      <c r="AA811" s="46"/>
      <c r="AB811" s="46"/>
      <c r="AC811" s="46"/>
      <c r="AD811" s="46"/>
      <c r="AE811" s="46"/>
      <c r="AF811" s="46"/>
      <c r="AG811" s="123"/>
      <c r="AH811" s="123"/>
      <c r="AI811" s="123"/>
      <c r="AJ811" s="123"/>
      <c r="AK811" s="46"/>
      <c r="AL811" s="46"/>
      <c r="AM811" s="46"/>
      <c r="AN811" s="46"/>
      <c r="AO811" s="46"/>
    </row>
    <row r="812">
      <c r="A812" s="17"/>
      <c r="B812" s="46"/>
      <c r="C812" s="46"/>
      <c r="D812" s="46"/>
      <c r="E812" s="17"/>
      <c r="F812" s="46"/>
      <c r="G812" s="46"/>
      <c r="H812" s="46"/>
      <c r="I812" s="17"/>
      <c r="J812" s="46"/>
      <c r="K812" s="46"/>
      <c r="L812" s="46"/>
      <c r="M812" s="17"/>
      <c r="N812" s="46"/>
      <c r="O812" s="46"/>
      <c r="P812" s="46"/>
      <c r="Q812" s="46"/>
      <c r="R812" s="46"/>
      <c r="S812" s="46"/>
      <c r="T812" s="46"/>
      <c r="U812" s="46"/>
      <c r="V812" s="46"/>
      <c r="W812" s="46"/>
      <c r="X812" s="46"/>
      <c r="Y812" s="46"/>
      <c r="Z812" s="46"/>
      <c r="AA812" s="46"/>
      <c r="AB812" s="46"/>
      <c r="AC812" s="46"/>
      <c r="AD812" s="46"/>
      <c r="AE812" s="46"/>
      <c r="AF812" s="46"/>
      <c r="AG812" s="123"/>
      <c r="AH812" s="123"/>
      <c r="AI812" s="123"/>
      <c r="AJ812" s="123"/>
      <c r="AK812" s="46"/>
      <c r="AL812" s="46"/>
      <c r="AM812" s="46"/>
      <c r="AN812" s="46"/>
      <c r="AO812" s="46"/>
    </row>
    <row r="813">
      <c r="A813" s="17"/>
      <c r="B813" s="46"/>
      <c r="C813" s="46"/>
      <c r="D813" s="46"/>
      <c r="E813" s="17"/>
      <c r="F813" s="46"/>
      <c r="G813" s="46"/>
      <c r="H813" s="46"/>
      <c r="I813" s="17"/>
      <c r="J813" s="46"/>
      <c r="K813" s="46"/>
      <c r="L813" s="46"/>
      <c r="M813" s="17"/>
      <c r="N813" s="46"/>
      <c r="O813" s="46"/>
      <c r="P813" s="46"/>
      <c r="Q813" s="46"/>
      <c r="R813" s="46"/>
      <c r="S813" s="46"/>
      <c r="T813" s="46"/>
      <c r="U813" s="46"/>
      <c r="V813" s="46"/>
      <c r="W813" s="46"/>
      <c r="X813" s="46"/>
      <c r="Y813" s="46"/>
      <c r="Z813" s="46"/>
      <c r="AA813" s="46"/>
      <c r="AB813" s="46"/>
      <c r="AC813" s="46"/>
      <c r="AD813" s="46"/>
      <c r="AE813" s="46"/>
      <c r="AF813" s="46"/>
      <c r="AG813" s="123"/>
      <c r="AH813" s="123"/>
      <c r="AI813" s="123"/>
      <c r="AJ813" s="123"/>
      <c r="AK813" s="46"/>
      <c r="AL813" s="46"/>
      <c r="AM813" s="46"/>
      <c r="AN813" s="46"/>
      <c r="AO813" s="46"/>
    </row>
    <row r="814">
      <c r="A814" s="17"/>
      <c r="B814" s="46"/>
      <c r="C814" s="46"/>
      <c r="D814" s="46"/>
      <c r="E814" s="17"/>
      <c r="F814" s="46"/>
      <c r="G814" s="46"/>
      <c r="H814" s="46"/>
      <c r="I814" s="17"/>
      <c r="J814" s="46"/>
      <c r="K814" s="46"/>
      <c r="L814" s="46"/>
      <c r="M814" s="17"/>
      <c r="N814" s="46"/>
      <c r="O814" s="46"/>
      <c r="P814" s="46"/>
      <c r="Q814" s="46"/>
      <c r="R814" s="46"/>
      <c r="S814" s="46"/>
      <c r="T814" s="46"/>
      <c r="U814" s="46"/>
      <c r="V814" s="46"/>
      <c r="W814" s="46"/>
      <c r="X814" s="46"/>
      <c r="Y814" s="46"/>
      <c r="Z814" s="46"/>
      <c r="AA814" s="46"/>
      <c r="AB814" s="46"/>
      <c r="AC814" s="46"/>
      <c r="AD814" s="46"/>
      <c r="AE814" s="46"/>
      <c r="AF814" s="46"/>
      <c r="AG814" s="123"/>
      <c r="AH814" s="123"/>
      <c r="AI814" s="123"/>
      <c r="AJ814" s="123"/>
      <c r="AK814" s="46"/>
      <c r="AL814" s="46"/>
      <c r="AM814" s="46"/>
      <c r="AN814" s="46"/>
      <c r="AO814" s="46"/>
    </row>
    <row r="815">
      <c r="A815" s="17"/>
      <c r="B815" s="46"/>
      <c r="C815" s="46"/>
      <c r="D815" s="46"/>
      <c r="E815" s="17"/>
      <c r="F815" s="46"/>
      <c r="G815" s="46"/>
      <c r="H815" s="46"/>
      <c r="I815" s="17"/>
      <c r="J815" s="46"/>
      <c r="K815" s="46"/>
      <c r="L815" s="46"/>
      <c r="M815" s="17"/>
      <c r="N815" s="46"/>
      <c r="O815" s="46"/>
      <c r="P815" s="46"/>
      <c r="Q815" s="46"/>
      <c r="R815" s="46"/>
      <c r="S815" s="46"/>
      <c r="T815" s="46"/>
      <c r="U815" s="46"/>
      <c r="V815" s="46"/>
      <c r="W815" s="46"/>
      <c r="X815" s="46"/>
      <c r="Y815" s="46"/>
      <c r="Z815" s="46"/>
      <c r="AA815" s="46"/>
      <c r="AB815" s="46"/>
      <c r="AC815" s="46"/>
      <c r="AD815" s="46"/>
      <c r="AE815" s="46"/>
      <c r="AF815" s="46"/>
      <c r="AG815" s="123"/>
      <c r="AH815" s="123"/>
      <c r="AI815" s="123"/>
      <c r="AJ815" s="123"/>
      <c r="AK815" s="46"/>
      <c r="AL815" s="46"/>
      <c r="AM815" s="46"/>
      <c r="AN815" s="46"/>
      <c r="AO815" s="46"/>
    </row>
    <row r="816">
      <c r="A816" s="17"/>
      <c r="B816" s="46"/>
      <c r="C816" s="46"/>
      <c r="D816" s="46"/>
      <c r="E816" s="17"/>
      <c r="F816" s="46"/>
      <c r="G816" s="46"/>
      <c r="H816" s="46"/>
      <c r="I816" s="17"/>
      <c r="J816" s="46"/>
      <c r="K816" s="46"/>
      <c r="L816" s="46"/>
      <c r="M816" s="17"/>
      <c r="N816" s="46"/>
      <c r="O816" s="46"/>
      <c r="P816" s="46"/>
      <c r="Q816" s="46"/>
      <c r="R816" s="46"/>
      <c r="S816" s="46"/>
      <c r="T816" s="46"/>
      <c r="U816" s="46"/>
      <c r="V816" s="46"/>
      <c r="W816" s="46"/>
      <c r="X816" s="46"/>
      <c r="Y816" s="46"/>
      <c r="Z816" s="46"/>
      <c r="AA816" s="46"/>
      <c r="AB816" s="46"/>
      <c r="AC816" s="46"/>
      <c r="AD816" s="46"/>
      <c r="AE816" s="46"/>
      <c r="AF816" s="46"/>
      <c r="AG816" s="123"/>
      <c r="AH816" s="123"/>
      <c r="AI816" s="123"/>
      <c r="AJ816" s="123"/>
      <c r="AK816" s="46"/>
      <c r="AL816" s="46"/>
      <c r="AM816" s="46"/>
      <c r="AN816" s="46"/>
      <c r="AO816" s="46"/>
    </row>
    <row r="817">
      <c r="A817" s="17"/>
      <c r="B817" s="46"/>
      <c r="C817" s="46"/>
      <c r="D817" s="46"/>
      <c r="E817" s="17"/>
      <c r="F817" s="46"/>
      <c r="G817" s="46"/>
      <c r="H817" s="46"/>
      <c r="I817" s="17"/>
      <c r="J817" s="46"/>
      <c r="K817" s="46"/>
      <c r="L817" s="46"/>
      <c r="M817" s="17"/>
      <c r="N817" s="46"/>
      <c r="O817" s="46"/>
      <c r="P817" s="46"/>
      <c r="Q817" s="46"/>
      <c r="R817" s="46"/>
      <c r="S817" s="46"/>
      <c r="T817" s="46"/>
      <c r="U817" s="46"/>
      <c r="V817" s="46"/>
      <c r="W817" s="46"/>
      <c r="X817" s="46"/>
      <c r="Y817" s="46"/>
      <c r="Z817" s="46"/>
      <c r="AA817" s="46"/>
      <c r="AB817" s="46"/>
      <c r="AC817" s="46"/>
      <c r="AD817" s="46"/>
      <c r="AE817" s="46"/>
      <c r="AF817" s="46"/>
      <c r="AG817" s="123"/>
      <c r="AH817" s="123"/>
      <c r="AI817" s="123"/>
      <c r="AJ817" s="123"/>
      <c r="AK817" s="46"/>
      <c r="AL817" s="46"/>
      <c r="AM817" s="46"/>
      <c r="AN817" s="46"/>
      <c r="AO817" s="46"/>
    </row>
    <row r="818">
      <c r="A818" s="17"/>
      <c r="B818" s="46"/>
      <c r="C818" s="46"/>
      <c r="D818" s="46"/>
      <c r="E818" s="17"/>
      <c r="F818" s="46"/>
      <c r="G818" s="46"/>
      <c r="H818" s="46"/>
      <c r="I818" s="17"/>
      <c r="J818" s="46"/>
      <c r="K818" s="46"/>
      <c r="L818" s="46"/>
      <c r="M818" s="17"/>
      <c r="N818" s="46"/>
      <c r="O818" s="46"/>
      <c r="P818" s="46"/>
      <c r="Q818" s="46"/>
      <c r="R818" s="46"/>
      <c r="S818" s="46"/>
      <c r="T818" s="46"/>
      <c r="U818" s="46"/>
      <c r="V818" s="46"/>
      <c r="W818" s="46"/>
      <c r="X818" s="46"/>
      <c r="Y818" s="46"/>
      <c r="Z818" s="46"/>
      <c r="AA818" s="46"/>
      <c r="AB818" s="46"/>
      <c r="AC818" s="46"/>
      <c r="AD818" s="46"/>
      <c r="AE818" s="46"/>
      <c r="AF818" s="46"/>
      <c r="AG818" s="123"/>
      <c r="AH818" s="123"/>
      <c r="AI818" s="123"/>
      <c r="AJ818" s="123"/>
      <c r="AK818" s="46"/>
      <c r="AL818" s="46"/>
      <c r="AM818" s="46"/>
      <c r="AN818" s="46"/>
      <c r="AO818" s="46"/>
    </row>
    <row r="819">
      <c r="A819" s="17"/>
      <c r="B819" s="46"/>
      <c r="C819" s="46"/>
      <c r="D819" s="46"/>
      <c r="E819" s="17"/>
      <c r="F819" s="46"/>
      <c r="G819" s="46"/>
      <c r="H819" s="46"/>
      <c r="I819" s="17"/>
      <c r="J819" s="46"/>
      <c r="K819" s="46"/>
      <c r="L819" s="46"/>
      <c r="M819" s="17"/>
      <c r="N819" s="46"/>
      <c r="O819" s="46"/>
      <c r="P819" s="46"/>
      <c r="Q819" s="46"/>
      <c r="R819" s="46"/>
      <c r="S819" s="46"/>
      <c r="T819" s="46"/>
      <c r="U819" s="46"/>
      <c r="V819" s="46"/>
      <c r="W819" s="46"/>
      <c r="X819" s="46"/>
      <c r="Y819" s="46"/>
      <c r="Z819" s="46"/>
      <c r="AA819" s="46"/>
      <c r="AB819" s="46"/>
      <c r="AC819" s="46"/>
      <c r="AD819" s="46"/>
      <c r="AE819" s="46"/>
      <c r="AF819" s="46"/>
      <c r="AG819" s="123"/>
      <c r="AH819" s="123"/>
      <c r="AI819" s="123"/>
      <c r="AJ819" s="123"/>
      <c r="AK819" s="46"/>
      <c r="AL819" s="46"/>
      <c r="AM819" s="46"/>
      <c r="AN819" s="46"/>
      <c r="AO819" s="46"/>
    </row>
    <row r="820">
      <c r="A820" s="17"/>
      <c r="B820" s="46"/>
      <c r="C820" s="46"/>
      <c r="D820" s="46"/>
      <c r="E820" s="17"/>
      <c r="F820" s="46"/>
      <c r="G820" s="46"/>
      <c r="H820" s="46"/>
      <c r="I820" s="17"/>
      <c r="J820" s="46"/>
      <c r="K820" s="46"/>
      <c r="L820" s="46"/>
      <c r="M820" s="17"/>
      <c r="N820" s="46"/>
      <c r="O820" s="46"/>
      <c r="P820" s="46"/>
      <c r="Q820" s="46"/>
      <c r="R820" s="46"/>
      <c r="S820" s="46"/>
      <c r="T820" s="46"/>
      <c r="U820" s="46"/>
      <c r="V820" s="46"/>
      <c r="W820" s="46"/>
      <c r="X820" s="46"/>
      <c r="Y820" s="46"/>
      <c r="Z820" s="46"/>
      <c r="AA820" s="46"/>
      <c r="AB820" s="46"/>
      <c r="AC820" s="46"/>
      <c r="AD820" s="46"/>
      <c r="AE820" s="46"/>
      <c r="AF820" s="46"/>
      <c r="AG820" s="123"/>
      <c r="AH820" s="123"/>
      <c r="AI820" s="123"/>
      <c r="AJ820" s="123"/>
      <c r="AK820" s="46"/>
      <c r="AL820" s="46"/>
      <c r="AM820" s="46"/>
      <c r="AN820" s="46"/>
      <c r="AO820" s="46"/>
    </row>
    <row r="821">
      <c r="A821" s="17"/>
      <c r="B821" s="46"/>
      <c r="C821" s="46"/>
      <c r="D821" s="46"/>
      <c r="E821" s="17"/>
      <c r="F821" s="46"/>
      <c r="G821" s="46"/>
      <c r="H821" s="46"/>
      <c r="I821" s="17"/>
      <c r="J821" s="46"/>
      <c r="K821" s="46"/>
      <c r="L821" s="46"/>
      <c r="M821" s="17"/>
      <c r="N821" s="46"/>
      <c r="O821" s="46"/>
      <c r="P821" s="46"/>
      <c r="Q821" s="46"/>
      <c r="R821" s="46"/>
      <c r="S821" s="46"/>
      <c r="T821" s="46"/>
      <c r="U821" s="46"/>
      <c r="V821" s="46"/>
      <c r="W821" s="46"/>
      <c r="X821" s="46"/>
      <c r="Y821" s="46"/>
      <c r="Z821" s="46"/>
      <c r="AA821" s="46"/>
      <c r="AB821" s="46"/>
      <c r="AC821" s="46"/>
      <c r="AD821" s="46"/>
      <c r="AE821" s="46"/>
      <c r="AF821" s="46"/>
      <c r="AG821" s="123"/>
      <c r="AH821" s="123"/>
      <c r="AI821" s="123"/>
      <c r="AJ821" s="123"/>
      <c r="AK821" s="46"/>
      <c r="AL821" s="46"/>
      <c r="AM821" s="46"/>
      <c r="AN821" s="46"/>
      <c r="AO821" s="46"/>
    </row>
    <row r="822">
      <c r="A822" s="17"/>
      <c r="B822" s="46"/>
      <c r="C822" s="46"/>
      <c r="D822" s="46"/>
      <c r="E822" s="17"/>
      <c r="F822" s="46"/>
      <c r="G822" s="46"/>
      <c r="H822" s="46"/>
      <c r="I822" s="17"/>
      <c r="J822" s="46"/>
      <c r="K822" s="46"/>
      <c r="L822" s="46"/>
      <c r="M822" s="17"/>
      <c r="N822" s="46"/>
      <c r="O822" s="46"/>
      <c r="P822" s="46"/>
      <c r="Q822" s="46"/>
      <c r="R822" s="46"/>
      <c r="S822" s="46"/>
      <c r="T822" s="46"/>
      <c r="U822" s="46"/>
      <c r="V822" s="46"/>
      <c r="W822" s="46"/>
      <c r="X822" s="46"/>
      <c r="Y822" s="46"/>
      <c r="Z822" s="46"/>
      <c r="AA822" s="46"/>
      <c r="AB822" s="46"/>
      <c r="AC822" s="46"/>
      <c r="AD822" s="46"/>
      <c r="AE822" s="46"/>
      <c r="AF822" s="46"/>
      <c r="AG822" s="123"/>
      <c r="AH822" s="123"/>
      <c r="AI822" s="123"/>
      <c r="AJ822" s="123"/>
      <c r="AK822" s="46"/>
      <c r="AL822" s="46"/>
      <c r="AM822" s="46"/>
      <c r="AN822" s="46"/>
      <c r="AO822" s="46"/>
    </row>
    <row r="823">
      <c r="A823" s="17"/>
      <c r="B823" s="46"/>
      <c r="C823" s="46"/>
      <c r="D823" s="46"/>
      <c r="E823" s="17"/>
      <c r="F823" s="46"/>
      <c r="G823" s="46"/>
      <c r="H823" s="46"/>
      <c r="I823" s="17"/>
      <c r="J823" s="46"/>
      <c r="K823" s="46"/>
      <c r="L823" s="46"/>
      <c r="M823" s="17"/>
      <c r="N823" s="46"/>
      <c r="O823" s="46"/>
      <c r="P823" s="46"/>
      <c r="Q823" s="46"/>
      <c r="R823" s="46"/>
      <c r="S823" s="46"/>
      <c r="T823" s="46"/>
      <c r="U823" s="46"/>
      <c r="V823" s="46"/>
      <c r="W823" s="46"/>
      <c r="X823" s="46"/>
      <c r="Y823" s="46"/>
      <c r="Z823" s="46"/>
      <c r="AA823" s="46"/>
      <c r="AB823" s="46"/>
      <c r="AC823" s="46"/>
      <c r="AD823" s="46"/>
      <c r="AE823" s="46"/>
      <c r="AF823" s="46"/>
      <c r="AG823" s="123"/>
      <c r="AH823" s="123"/>
      <c r="AI823" s="123"/>
      <c r="AJ823" s="123"/>
      <c r="AK823" s="46"/>
      <c r="AL823" s="46"/>
      <c r="AM823" s="46"/>
      <c r="AN823" s="46"/>
      <c r="AO823" s="46"/>
    </row>
    <row r="824">
      <c r="A824" s="17"/>
      <c r="B824" s="46"/>
      <c r="C824" s="46"/>
      <c r="D824" s="46"/>
      <c r="E824" s="17"/>
      <c r="F824" s="46"/>
      <c r="G824" s="46"/>
      <c r="H824" s="46"/>
      <c r="I824" s="17"/>
      <c r="J824" s="46"/>
      <c r="K824" s="46"/>
      <c r="L824" s="46"/>
      <c r="M824" s="17"/>
      <c r="N824" s="46"/>
      <c r="O824" s="46"/>
      <c r="P824" s="46"/>
      <c r="Q824" s="46"/>
      <c r="R824" s="46"/>
      <c r="S824" s="46"/>
      <c r="T824" s="46"/>
      <c r="U824" s="46"/>
      <c r="V824" s="46"/>
      <c r="W824" s="46"/>
      <c r="X824" s="46"/>
      <c r="Y824" s="46"/>
      <c r="Z824" s="46"/>
      <c r="AA824" s="46"/>
      <c r="AB824" s="46"/>
      <c r="AC824" s="46"/>
      <c r="AD824" s="46"/>
      <c r="AE824" s="46"/>
      <c r="AF824" s="46"/>
      <c r="AG824" s="123"/>
      <c r="AH824" s="123"/>
      <c r="AI824" s="123"/>
      <c r="AJ824" s="123"/>
      <c r="AK824" s="46"/>
      <c r="AL824" s="46"/>
      <c r="AM824" s="46"/>
      <c r="AN824" s="46"/>
      <c r="AO824" s="46"/>
    </row>
    <row r="825">
      <c r="A825" s="17"/>
      <c r="B825" s="46"/>
      <c r="C825" s="46"/>
      <c r="D825" s="46"/>
      <c r="E825" s="17"/>
      <c r="F825" s="46"/>
      <c r="G825" s="46"/>
      <c r="H825" s="46"/>
      <c r="I825" s="17"/>
      <c r="J825" s="46"/>
      <c r="K825" s="46"/>
      <c r="L825" s="46"/>
      <c r="M825" s="17"/>
      <c r="N825" s="46"/>
      <c r="O825" s="46"/>
      <c r="P825" s="46"/>
      <c r="Q825" s="46"/>
      <c r="R825" s="46"/>
      <c r="S825" s="46"/>
      <c r="T825" s="46"/>
      <c r="U825" s="46"/>
      <c r="V825" s="46"/>
      <c r="W825" s="46"/>
      <c r="X825" s="46"/>
      <c r="Y825" s="46"/>
      <c r="Z825" s="46"/>
      <c r="AA825" s="46"/>
      <c r="AB825" s="46"/>
      <c r="AC825" s="46"/>
      <c r="AD825" s="46"/>
      <c r="AE825" s="46"/>
      <c r="AF825" s="46"/>
      <c r="AG825" s="123"/>
      <c r="AH825" s="123"/>
      <c r="AI825" s="123"/>
      <c r="AJ825" s="123"/>
      <c r="AK825" s="46"/>
      <c r="AL825" s="46"/>
      <c r="AM825" s="46"/>
      <c r="AN825" s="46"/>
      <c r="AO825" s="46"/>
    </row>
    <row r="826">
      <c r="A826" s="17"/>
      <c r="B826" s="46"/>
      <c r="C826" s="46"/>
      <c r="D826" s="46"/>
      <c r="E826" s="17"/>
      <c r="F826" s="46"/>
      <c r="G826" s="46"/>
      <c r="H826" s="46"/>
      <c r="I826" s="17"/>
      <c r="J826" s="46"/>
      <c r="K826" s="46"/>
      <c r="L826" s="46"/>
      <c r="M826" s="17"/>
      <c r="N826" s="46"/>
      <c r="O826" s="46"/>
      <c r="P826" s="46"/>
      <c r="Q826" s="46"/>
      <c r="R826" s="46"/>
      <c r="S826" s="46"/>
      <c r="T826" s="46"/>
      <c r="U826" s="46"/>
      <c r="V826" s="46"/>
      <c r="W826" s="46"/>
      <c r="X826" s="46"/>
      <c r="Y826" s="46"/>
      <c r="Z826" s="46"/>
      <c r="AA826" s="46"/>
      <c r="AB826" s="46"/>
      <c r="AC826" s="46"/>
      <c r="AD826" s="46"/>
      <c r="AE826" s="46"/>
      <c r="AF826" s="46"/>
      <c r="AG826" s="123"/>
      <c r="AH826" s="123"/>
      <c r="AI826" s="123"/>
      <c r="AJ826" s="123"/>
      <c r="AK826" s="46"/>
      <c r="AL826" s="46"/>
      <c r="AM826" s="46"/>
      <c r="AN826" s="46"/>
      <c r="AO826" s="46"/>
    </row>
    <row r="827">
      <c r="A827" s="17"/>
      <c r="B827" s="46"/>
      <c r="C827" s="46"/>
      <c r="D827" s="46"/>
      <c r="E827" s="17"/>
      <c r="F827" s="46"/>
      <c r="G827" s="46"/>
      <c r="H827" s="46"/>
      <c r="I827" s="17"/>
      <c r="J827" s="46"/>
      <c r="K827" s="46"/>
      <c r="L827" s="46"/>
      <c r="M827" s="17"/>
      <c r="N827" s="46"/>
      <c r="O827" s="46"/>
      <c r="P827" s="46"/>
      <c r="Q827" s="46"/>
      <c r="R827" s="46"/>
      <c r="S827" s="46"/>
      <c r="T827" s="46"/>
      <c r="U827" s="46"/>
      <c r="V827" s="46"/>
      <c r="W827" s="46"/>
      <c r="X827" s="46"/>
      <c r="Y827" s="46"/>
      <c r="Z827" s="46"/>
      <c r="AA827" s="46"/>
      <c r="AB827" s="46"/>
      <c r="AC827" s="46"/>
      <c r="AD827" s="46"/>
      <c r="AE827" s="46"/>
      <c r="AF827" s="46"/>
      <c r="AG827" s="123"/>
      <c r="AH827" s="123"/>
      <c r="AI827" s="123"/>
      <c r="AJ827" s="123"/>
      <c r="AK827" s="46"/>
      <c r="AL827" s="46"/>
      <c r="AM827" s="46"/>
      <c r="AN827" s="46"/>
      <c r="AO827" s="46"/>
    </row>
    <row r="828">
      <c r="A828" s="17"/>
      <c r="B828" s="46"/>
      <c r="C828" s="46"/>
      <c r="D828" s="46"/>
      <c r="E828" s="17"/>
      <c r="F828" s="46"/>
      <c r="G828" s="46"/>
      <c r="H828" s="46"/>
      <c r="I828" s="17"/>
      <c r="J828" s="46"/>
      <c r="K828" s="46"/>
      <c r="L828" s="46"/>
      <c r="M828" s="17"/>
      <c r="N828" s="46"/>
      <c r="O828" s="46"/>
      <c r="P828" s="46"/>
      <c r="Q828" s="46"/>
      <c r="R828" s="46"/>
      <c r="S828" s="46"/>
      <c r="T828" s="46"/>
      <c r="U828" s="46"/>
      <c r="V828" s="46"/>
      <c r="W828" s="46"/>
      <c r="X828" s="46"/>
      <c r="Y828" s="46"/>
      <c r="Z828" s="46"/>
      <c r="AA828" s="46"/>
      <c r="AB828" s="46"/>
      <c r="AC828" s="46"/>
      <c r="AD828" s="46"/>
      <c r="AE828" s="46"/>
      <c r="AF828" s="46"/>
      <c r="AG828" s="123"/>
      <c r="AH828" s="123"/>
      <c r="AI828" s="123"/>
      <c r="AJ828" s="123"/>
      <c r="AK828" s="46"/>
      <c r="AL828" s="46"/>
      <c r="AM828" s="46"/>
      <c r="AN828" s="46"/>
      <c r="AO828" s="46"/>
    </row>
    <row r="829">
      <c r="A829" s="17"/>
      <c r="B829" s="46"/>
      <c r="C829" s="46"/>
      <c r="D829" s="46"/>
      <c r="E829" s="17"/>
      <c r="F829" s="46"/>
      <c r="G829" s="46"/>
      <c r="H829" s="46"/>
      <c r="I829" s="17"/>
      <c r="J829" s="46"/>
      <c r="K829" s="46"/>
      <c r="L829" s="46"/>
      <c r="M829" s="17"/>
      <c r="N829" s="46"/>
      <c r="O829" s="46"/>
      <c r="P829" s="46"/>
      <c r="Q829" s="46"/>
      <c r="R829" s="46"/>
      <c r="S829" s="46"/>
      <c r="T829" s="46"/>
      <c r="U829" s="46"/>
      <c r="V829" s="46"/>
      <c r="W829" s="46"/>
      <c r="X829" s="46"/>
      <c r="Y829" s="46"/>
      <c r="Z829" s="46"/>
      <c r="AA829" s="46"/>
      <c r="AB829" s="46"/>
      <c r="AC829" s="46"/>
      <c r="AD829" s="46"/>
      <c r="AE829" s="46"/>
      <c r="AF829" s="46"/>
      <c r="AG829" s="123"/>
      <c r="AH829" s="123"/>
      <c r="AI829" s="123"/>
      <c r="AJ829" s="123"/>
      <c r="AK829" s="46"/>
      <c r="AL829" s="46"/>
      <c r="AM829" s="46"/>
      <c r="AN829" s="46"/>
      <c r="AO829" s="46"/>
    </row>
    <row r="830">
      <c r="A830" s="17"/>
      <c r="B830" s="46"/>
      <c r="C830" s="46"/>
      <c r="D830" s="46"/>
      <c r="E830" s="17"/>
      <c r="F830" s="46"/>
      <c r="G830" s="46"/>
      <c r="H830" s="46"/>
      <c r="I830" s="17"/>
      <c r="J830" s="46"/>
      <c r="K830" s="46"/>
      <c r="L830" s="46"/>
      <c r="M830" s="17"/>
      <c r="N830" s="46"/>
      <c r="O830" s="46"/>
      <c r="P830" s="46"/>
      <c r="Q830" s="46"/>
      <c r="R830" s="46"/>
      <c r="S830" s="46"/>
      <c r="T830" s="46"/>
      <c r="U830" s="46"/>
      <c r="V830" s="46"/>
      <c r="W830" s="46"/>
      <c r="X830" s="46"/>
      <c r="Y830" s="46"/>
      <c r="Z830" s="46"/>
      <c r="AA830" s="46"/>
      <c r="AB830" s="46"/>
      <c r="AC830" s="46"/>
      <c r="AD830" s="46"/>
      <c r="AE830" s="46"/>
      <c r="AF830" s="46"/>
      <c r="AG830" s="123"/>
      <c r="AH830" s="123"/>
      <c r="AI830" s="123"/>
      <c r="AJ830" s="123"/>
      <c r="AK830" s="46"/>
      <c r="AL830" s="46"/>
      <c r="AM830" s="46"/>
      <c r="AN830" s="46"/>
      <c r="AO830" s="46"/>
    </row>
    <row r="831">
      <c r="A831" s="17"/>
      <c r="B831" s="46"/>
      <c r="C831" s="46"/>
      <c r="D831" s="46"/>
      <c r="E831" s="17"/>
      <c r="F831" s="46"/>
      <c r="G831" s="46"/>
      <c r="H831" s="46"/>
      <c r="I831" s="17"/>
      <c r="J831" s="46"/>
      <c r="K831" s="46"/>
      <c r="L831" s="46"/>
      <c r="M831" s="17"/>
      <c r="N831" s="46"/>
      <c r="O831" s="46"/>
      <c r="P831" s="46"/>
      <c r="Q831" s="46"/>
      <c r="R831" s="46"/>
      <c r="S831" s="46"/>
      <c r="T831" s="46"/>
      <c r="U831" s="46"/>
      <c r="V831" s="46"/>
      <c r="W831" s="46"/>
      <c r="X831" s="46"/>
      <c r="Y831" s="46"/>
      <c r="Z831" s="46"/>
      <c r="AA831" s="46"/>
      <c r="AB831" s="46"/>
      <c r="AC831" s="46"/>
      <c r="AD831" s="46"/>
      <c r="AE831" s="46"/>
      <c r="AF831" s="46"/>
      <c r="AG831" s="123"/>
      <c r="AH831" s="123"/>
      <c r="AI831" s="123"/>
      <c r="AJ831" s="123"/>
      <c r="AK831" s="46"/>
      <c r="AL831" s="46"/>
      <c r="AM831" s="46"/>
      <c r="AN831" s="46"/>
      <c r="AO831" s="46"/>
    </row>
    <row r="832">
      <c r="A832" s="17"/>
      <c r="B832" s="46"/>
      <c r="C832" s="46"/>
      <c r="D832" s="46"/>
      <c r="E832" s="17"/>
      <c r="F832" s="46"/>
      <c r="G832" s="46"/>
      <c r="H832" s="46"/>
      <c r="I832" s="17"/>
      <c r="J832" s="46"/>
      <c r="K832" s="46"/>
      <c r="L832" s="46"/>
      <c r="M832" s="17"/>
      <c r="N832" s="46"/>
      <c r="O832" s="46"/>
      <c r="P832" s="46"/>
      <c r="Q832" s="46"/>
      <c r="R832" s="46"/>
      <c r="S832" s="46"/>
      <c r="T832" s="46"/>
      <c r="U832" s="46"/>
      <c r="V832" s="46"/>
      <c r="W832" s="46"/>
      <c r="X832" s="46"/>
      <c r="Y832" s="46"/>
      <c r="Z832" s="46"/>
      <c r="AA832" s="46"/>
      <c r="AB832" s="46"/>
      <c r="AC832" s="46"/>
      <c r="AD832" s="46"/>
      <c r="AE832" s="46"/>
      <c r="AF832" s="46"/>
      <c r="AG832" s="123"/>
      <c r="AH832" s="123"/>
      <c r="AI832" s="123"/>
      <c r="AJ832" s="123"/>
      <c r="AK832" s="46"/>
      <c r="AL832" s="46"/>
      <c r="AM832" s="46"/>
      <c r="AN832" s="46"/>
      <c r="AO832" s="46"/>
    </row>
    <row r="833">
      <c r="A833" s="17"/>
      <c r="B833" s="46"/>
      <c r="C833" s="46"/>
      <c r="D833" s="46"/>
      <c r="E833" s="17"/>
      <c r="F833" s="46"/>
      <c r="G833" s="46"/>
      <c r="H833" s="46"/>
      <c r="I833" s="17"/>
      <c r="J833" s="46"/>
      <c r="K833" s="46"/>
      <c r="L833" s="46"/>
      <c r="M833" s="17"/>
      <c r="N833" s="46"/>
      <c r="O833" s="46"/>
      <c r="P833" s="46"/>
      <c r="Q833" s="46"/>
      <c r="R833" s="46"/>
      <c r="S833" s="46"/>
      <c r="T833" s="46"/>
      <c r="U833" s="46"/>
      <c r="V833" s="46"/>
      <c r="W833" s="46"/>
      <c r="X833" s="46"/>
      <c r="Y833" s="46"/>
      <c r="Z833" s="46"/>
      <c r="AA833" s="46"/>
      <c r="AB833" s="46"/>
      <c r="AC833" s="46"/>
      <c r="AD833" s="46"/>
      <c r="AE833" s="46"/>
      <c r="AF833" s="46"/>
      <c r="AG833" s="123"/>
      <c r="AH833" s="123"/>
      <c r="AI833" s="123"/>
      <c r="AJ833" s="123"/>
      <c r="AK833" s="46"/>
      <c r="AL833" s="46"/>
      <c r="AM833" s="46"/>
      <c r="AN833" s="46"/>
      <c r="AO833" s="46"/>
    </row>
    <row r="834">
      <c r="A834" s="17"/>
      <c r="B834" s="46"/>
      <c r="C834" s="46"/>
      <c r="D834" s="46"/>
      <c r="E834" s="17"/>
      <c r="F834" s="46"/>
      <c r="G834" s="46"/>
      <c r="H834" s="46"/>
      <c r="I834" s="17"/>
      <c r="J834" s="46"/>
      <c r="K834" s="46"/>
      <c r="L834" s="46"/>
      <c r="M834" s="17"/>
      <c r="N834" s="46"/>
      <c r="O834" s="46"/>
      <c r="P834" s="46"/>
      <c r="Q834" s="46"/>
      <c r="R834" s="46"/>
      <c r="S834" s="46"/>
      <c r="T834" s="46"/>
      <c r="U834" s="46"/>
      <c r="V834" s="46"/>
      <c r="W834" s="46"/>
      <c r="X834" s="46"/>
      <c r="Y834" s="46"/>
      <c r="Z834" s="46"/>
      <c r="AA834" s="46"/>
      <c r="AB834" s="46"/>
      <c r="AC834" s="46"/>
      <c r="AD834" s="46"/>
      <c r="AE834" s="46"/>
      <c r="AF834" s="46"/>
      <c r="AG834" s="123"/>
      <c r="AH834" s="123"/>
      <c r="AI834" s="123"/>
      <c r="AJ834" s="123"/>
      <c r="AK834" s="46"/>
      <c r="AL834" s="46"/>
      <c r="AM834" s="46"/>
      <c r="AN834" s="46"/>
      <c r="AO834" s="46"/>
    </row>
    <row r="835">
      <c r="A835" s="17"/>
      <c r="B835" s="46"/>
      <c r="C835" s="46"/>
      <c r="D835" s="46"/>
      <c r="E835" s="17"/>
      <c r="F835" s="46"/>
      <c r="G835" s="46"/>
      <c r="H835" s="46"/>
      <c r="I835" s="17"/>
      <c r="J835" s="46"/>
      <c r="K835" s="46"/>
      <c r="L835" s="46"/>
      <c r="M835" s="17"/>
      <c r="N835" s="46"/>
      <c r="O835" s="46"/>
      <c r="P835" s="46"/>
      <c r="Q835" s="46"/>
      <c r="R835" s="46"/>
      <c r="S835" s="46"/>
      <c r="T835" s="46"/>
      <c r="U835" s="46"/>
      <c r="V835" s="46"/>
      <c r="W835" s="46"/>
      <c r="X835" s="46"/>
      <c r="Y835" s="46"/>
      <c r="Z835" s="46"/>
      <c r="AA835" s="46"/>
      <c r="AB835" s="46"/>
      <c r="AC835" s="46"/>
      <c r="AD835" s="46"/>
      <c r="AE835" s="46"/>
      <c r="AF835" s="46"/>
      <c r="AG835" s="123"/>
      <c r="AH835" s="123"/>
      <c r="AI835" s="123"/>
      <c r="AJ835" s="123"/>
      <c r="AK835" s="46"/>
      <c r="AL835" s="46"/>
      <c r="AM835" s="46"/>
      <c r="AN835" s="46"/>
      <c r="AO835" s="46"/>
    </row>
    <row r="836">
      <c r="A836" s="17"/>
      <c r="B836" s="46"/>
      <c r="C836" s="46"/>
      <c r="D836" s="46"/>
      <c r="E836" s="17"/>
      <c r="F836" s="46"/>
      <c r="G836" s="46"/>
      <c r="H836" s="46"/>
      <c r="I836" s="17"/>
      <c r="J836" s="46"/>
      <c r="K836" s="46"/>
      <c r="L836" s="46"/>
      <c r="M836" s="17"/>
      <c r="N836" s="46"/>
      <c r="O836" s="46"/>
      <c r="P836" s="46"/>
      <c r="Q836" s="46"/>
      <c r="R836" s="46"/>
      <c r="S836" s="46"/>
      <c r="T836" s="46"/>
      <c r="U836" s="46"/>
      <c r="V836" s="46"/>
      <c r="W836" s="46"/>
      <c r="X836" s="46"/>
      <c r="Y836" s="46"/>
      <c r="Z836" s="46"/>
      <c r="AA836" s="46"/>
      <c r="AB836" s="46"/>
      <c r="AC836" s="46"/>
      <c r="AD836" s="46"/>
      <c r="AE836" s="46"/>
      <c r="AF836" s="46"/>
      <c r="AG836" s="123"/>
      <c r="AH836" s="123"/>
      <c r="AI836" s="123"/>
      <c r="AJ836" s="123"/>
      <c r="AK836" s="46"/>
      <c r="AL836" s="46"/>
      <c r="AM836" s="46"/>
      <c r="AN836" s="46"/>
      <c r="AO836" s="46"/>
    </row>
    <row r="837">
      <c r="A837" s="17"/>
      <c r="B837" s="46"/>
      <c r="C837" s="46"/>
      <c r="D837" s="46"/>
      <c r="E837" s="17"/>
      <c r="F837" s="46"/>
      <c r="G837" s="46"/>
      <c r="H837" s="46"/>
      <c r="I837" s="17"/>
      <c r="J837" s="46"/>
      <c r="K837" s="46"/>
      <c r="L837" s="46"/>
      <c r="M837" s="17"/>
      <c r="N837" s="46"/>
      <c r="O837" s="46"/>
      <c r="P837" s="46"/>
      <c r="Q837" s="46"/>
      <c r="R837" s="46"/>
      <c r="S837" s="46"/>
      <c r="T837" s="46"/>
      <c r="U837" s="46"/>
      <c r="V837" s="46"/>
      <c r="W837" s="46"/>
      <c r="X837" s="46"/>
      <c r="Y837" s="46"/>
      <c r="Z837" s="46"/>
      <c r="AA837" s="46"/>
      <c r="AB837" s="46"/>
      <c r="AC837" s="46"/>
      <c r="AD837" s="46"/>
      <c r="AE837" s="46"/>
      <c r="AF837" s="46"/>
      <c r="AG837" s="123"/>
      <c r="AH837" s="123"/>
      <c r="AI837" s="123"/>
      <c r="AJ837" s="123"/>
      <c r="AK837" s="46"/>
      <c r="AL837" s="46"/>
      <c r="AM837" s="46"/>
      <c r="AN837" s="46"/>
      <c r="AO837" s="46"/>
    </row>
    <row r="838">
      <c r="A838" s="17"/>
      <c r="B838" s="46"/>
      <c r="C838" s="46"/>
      <c r="D838" s="46"/>
      <c r="E838" s="17"/>
      <c r="F838" s="46"/>
      <c r="G838" s="46"/>
      <c r="H838" s="46"/>
      <c r="I838" s="17"/>
      <c r="J838" s="46"/>
      <c r="K838" s="46"/>
      <c r="L838" s="46"/>
      <c r="M838" s="17"/>
      <c r="N838" s="46"/>
      <c r="O838" s="46"/>
      <c r="P838" s="46"/>
      <c r="Q838" s="46"/>
      <c r="R838" s="46"/>
      <c r="S838" s="46"/>
      <c r="T838" s="46"/>
      <c r="U838" s="46"/>
      <c r="V838" s="46"/>
      <c r="W838" s="46"/>
      <c r="X838" s="46"/>
      <c r="Y838" s="46"/>
      <c r="Z838" s="46"/>
      <c r="AA838" s="46"/>
      <c r="AB838" s="46"/>
      <c r="AC838" s="46"/>
      <c r="AD838" s="46"/>
      <c r="AE838" s="46"/>
      <c r="AF838" s="46"/>
      <c r="AG838" s="123"/>
      <c r="AH838" s="123"/>
      <c r="AI838" s="123"/>
      <c r="AJ838" s="123"/>
      <c r="AK838" s="46"/>
      <c r="AL838" s="46"/>
      <c r="AM838" s="46"/>
      <c r="AN838" s="46"/>
      <c r="AO838" s="46"/>
    </row>
    <row r="839">
      <c r="A839" s="17"/>
      <c r="B839" s="46"/>
      <c r="C839" s="46"/>
      <c r="D839" s="46"/>
      <c r="E839" s="17"/>
      <c r="F839" s="46"/>
      <c r="G839" s="46"/>
      <c r="H839" s="46"/>
      <c r="I839" s="17"/>
      <c r="J839" s="46"/>
      <c r="K839" s="46"/>
      <c r="L839" s="46"/>
      <c r="M839" s="17"/>
      <c r="N839" s="46"/>
      <c r="O839" s="46"/>
      <c r="P839" s="46"/>
      <c r="Q839" s="46"/>
      <c r="R839" s="46"/>
      <c r="S839" s="46"/>
      <c r="T839" s="46"/>
      <c r="U839" s="46"/>
      <c r="V839" s="46"/>
      <c r="W839" s="46"/>
      <c r="X839" s="46"/>
      <c r="Y839" s="46"/>
      <c r="Z839" s="46"/>
      <c r="AA839" s="46"/>
      <c r="AB839" s="46"/>
      <c r="AC839" s="46"/>
      <c r="AD839" s="46"/>
      <c r="AE839" s="46"/>
      <c r="AF839" s="46"/>
      <c r="AG839" s="123"/>
      <c r="AH839" s="123"/>
      <c r="AI839" s="123"/>
      <c r="AJ839" s="123"/>
      <c r="AK839" s="46"/>
      <c r="AL839" s="46"/>
      <c r="AM839" s="46"/>
      <c r="AN839" s="46"/>
      <c r="AO839" s="46"/>
    </row>
    <row r="840">
      <c r="A840" s="17"/>
      <c r="B840" s="46"/>
      <c r="C840" s="46"/>
      <c r="D840" s="46"/>
      <c r="E840" s="17"/>
      <c r="F840" s="46"/>
      <c r="G840" s="46"/>
      <c r="H840" s="46"/>
      <c r="I840" s="17"/>
      <c r="J840" s="46"/>
      <c r="K840" s="46"/>
      <c r="L840" s="46"/>
      <c r="M840" s="17"/>
      <c r="N840" s="46"/>
      <c r="O840" s="46"/>
      <c r="P840" s="46"/>
      <c r="Q840" s="46"/>
      <c r="R840" s="46"/>
      <c r="S840" s="46"/>
      <c r="T840" s="46"/>
      <c r="U840" s="46"/>
      <c r="V840" s="46"/>
      <c r="W840" s="46"/>
      <c r="X840" s="46"/>
      <c r="Y840" s="46"/>
      <c r="Z840" s="46"/>
      <c r="AA840" s="46"/>
      <c r="AB840" s="46"/>
      <c r="AC840" s="46"/>
      <c r="AD840" s="46"/>
      <c r="AE840" s="46"/>
      <c r="AF840" s="46"/>
      <c r="AG840" s="123"/>
      <c r="AH840" s="123"/>
      <c r="AI840" s="123"/>
      <c r="AJ840" s="123"/>
      <c r="AK840" s="46"/>
      <c r="AL840" s="46"/>
      <c r="AM840" s="46"/>
      <c r="AN840" s="46"/>
      <c r="AO840" s="46"/>
    </row>
    <row r="841">
      <c r="A841" s="17"/>
      <c r="B841" s="46"/>
      <c r="C841" s="46"/>
      <c r="D841" s="46"/>
      <c r="E841" s="17"/>
      <c r="F841" s="46"/>
      <c r="G841" s="46"/>
      <c r="H841" s="46"/>
      <c r="I841" s="17"/>
      <c r="J841" s="46"/>
      <c r="K841" s="46"/>
      <c r="L841" s="46"/>
      <c r="M841" s="17"/>
      <c r="N841" s="46"/>
      <c r="O841" s="46"/>
      <c r="P841" s="46"/>
      <c r="Q841" s="46"/>
      <c r="R841" s="46"/>
      <c r="S841" s="46"/>
      <c r="T841" s="46"/>
      <c r="U841" s="46"/>
      <c r="V841" s="46"/>
      <c r="W841" s="46"/>
      <c r="X841" s="46"/>
      <c r="Y841" s="46"/>
      <c r="Z841" s="46"/>
      <c r="AA841" s="46"/>
      <c r="AB841" s="46"/>
      <c r="AC841" s="46"/>
      <c r="AD841" s="46"/>
      <c r="AE841" s="46"/>
      <c r="AF841" s="46"/>
      <c r="AG841" s="123"/>
      <c r="AH841" s="123"/>
      <c r="AI841" s="123"/>
      <c r="AJ841" s="123"/>
      <c r="AK841" s="46"/>
      <c r="AL841" s="46"/>
      <c r="AM841" s="46"/>
      <c r="AN841" s="46"/>
      <c r="AO841" s="46"/>
    </row>
    <row r="842">
      <c r="A842" s="17"/>
      <c r="B842" s="46"/>
      <c r="C842" s="46"/>
      <c r="D842" s="46"/>
      <c r="E842" s="17"/>
      <c r="F842" s="46"/>
      <c r="G842" s="46"/>
      <c r="H842" s="46"/>
      <c r="I842" s="17"/>
      <c r="J842" s="46"/>
      <c r="K842" s="46"/>
      <c r="L842" s="46"/>
      <c r="M842" s="17"/>
      <c r="N842" s="46"/>
      <c r="O842" s="46"/>
      <c r="P842" s="46"/>
      <c r="Q842" s="46"/>
      <c r="R842" s="46"/>
      <c r="S842" s="46"/>
      <c r="T842" s="46"/>
      <c r="U842" s="46"/>
      <c r="V842" s="46"/>
      <c r="W842" s="46"/>
      <c r="X842" s="46"/>
      <c r="Y842" s="46"/>
      <c r="Z842" s="46"/>
      <c r="AA842" s="46"/>
      <c r="AB842" s="46"/>
      <c r="AC842" s="46"/>
      <c r="AD842" s="46"/>
      <c r="AE842" s="46"/>
      <c r="AF842" s="46"/>
      <c r="AG842" s="123"/>
      <c r="AH842" s="123"/>
      <c r="AI842" s="123"/>
      <c r="AJ842" s="123"/>
      <c r="AK842" s="46"/>
      <c r="AL842" s="46"/>
      <c r="AM842" s="46"/>
      <c r="AN842" s="46"/>
      <c r="AO842" s="46"/>
    </row>
    <row r="843">
      <c r="A843" s="17"/>
      <c r="B843" s="46"/>
      <c r="C843" s="46"/>
      <c r="D843" s="46"/>
      <c r="E843" s="17"/>
      <c r="F843" s="46"/>
      <c r="G843" s="46"/>
      <c r="H843" s="46"/>
      <c r="I843" s="17"/>
      <c r="J843" s="46"/>
      <c r="K843" s="46"/>
      <c r="L843" s="46"/>
      <c r="M843" s="17"/>
      <c r="N843" s="46"/>
      <c r="O843" s="46"/>
      <c r="P843" s="46"/>
      <c r="Q843" s="46"/>
      <c r="R843" s="46"/>
      <c r="S843" s="46"/>
      <c r="T843" s="46"/>
      <c r="U843" s="46"/>
      <c r="V843" s="46"/>
      <c r="W843" s="46"/>
      <c r="X843" s="46"/>
      <c r="Y843" s="46"/>
      <c r="Z843" s="46"/>
      <c r="AA843" s="46"/>
      <c r="AB843" s="46"/>
      <c r="AC843" s="46"/>
      <c r="AD843" s="46"/>
      <c r="AE843" s="46"/>
      <c r="AF843" s="46"/>
      <c r="AG843" s="123"/>
      <c r="AH843" s="123"/>
      <c r="AI843" s="123"/>
      <c r="AJ843" s="123"/>
      <c r="AK843" s="46"/>
      <c r="AL843" s="46"/>
      <c r="AM843" s="46"/>
      <c r="AN843" s="46"/>
      <c r="AO843" s="46"/>
    </row>
    <row r="844">
      <c r="A844" s="17"/>
      <c r="B844" s="46"/>
      <c r="C844" s="46"/>
      <c r="D844" s="46"/>
      <c r="E844" s="17"/>
      <c r="F844" s="46"/>
      <c r="G844" s="46"/>
      <c r="H844" s="46"/>
      <c r="I844" s="17"/>
      <c r="J844" s="46"/>
      <c r="K844" s="46"/>
      <c r="L844" s="46"/>
      <c r="M844" s="17"/>
      <c r="N844" s="46"/>
      <c r="O844" s="46"/>
      <c r="P844" s="46"/>
      <c r="Q844" s="46"/>
      <c r="R844" s="46"/>
      <c r="S844" s="46"/>
      <c r="T844" s="46"/>
      <c r="U844" s="46"/>
      <c r="V844" s="46"/>
      <c r="W844" s="46"/>
      <c r="X844" s="46"/>
      <c r="Y844" s="46"/>
      <c r="Z844" s="46"/>
      <c r="AA844" s="46"/>
      <c r="AB844" s="46"/>
      <c r="AC844" s="46"/>
      <c r="AD844" s="46"/>
      <c r="AE844" s="46"/>
      <c r="AF844" s="46"/>
      <c r="AG844" s="123"/>
      <c r="AH844" s="123"/>
      <c r="AI844" s="123"/>
      <c r="AJ844" s="123"/>
      <c r="AK844" s="46"/>
      <c r="AL844" s="46"/>
      <c r="AM844" s="46"/>
      <c r="AN844" s="46"/>
      <c r="AO844" s="46"/>
    </row>
    <row r="845">
      <c r="A845" s="17"/>
      <c r="B845" s="46"/>
      <c r="C845" s="46"/>
      <c r="D845" s="46"/>
      <c r="E845" s="17"/>
      <c r="F845" s="46"/>
      <c r="G845" s="46"/>
      <c r="H845" s="46"/>
      <c r="I845" s="17"/>
      <c r="J845" s="46"/>
      <c r="K845" s="46"/>
      <c r="L845" s="46"/>
      <c r="M845" s="17"/>
      <c r="N845" s="46"/>
      <c r="O845" s="46"/>
      <c r="P845" s="46"/>
      <c r="Q845" s="46"/>
      <c r="R845" s="46"/>
      <c r="S845" s="46"/>
      <c r="T845" s="46"/>
      <c r="U845" s="46"/>
      <c r="V845" s="46"/>
      <c r="W845" s="46"/>
      <c r="X845" s="46"/>
      <c r="Y845" s="46"/>
      <c r="Z845" s="46"/>
      <c r="AA845" s="46"/>
      <c r="AB845" s="46"/>
      <c r="AC845" s="46"/>
      <c r="AD845" s="46"/>
      <c r="AE845" s="46"/>
      <c r="AF845" s="46"/>
      <c r="AG845" s="123"/>
      <c r="AH845" s="123"/>
      <c r="AI845" s="123"/>
      <c r="AJ845" s="123"/>
      <c r="AK845" s="46"/>
      <c r="AL845" s="46"/>
      <c r="AM845" s="46"/>
      <c r="AN845" s="46"/>
      <c r="AO845" s="46"/>
    </row>
    <row r="846">
      <c r="A846" s="17"/>
      <c r="B846" s="46"/>
      <c r="C846" s="46"/>
      <c r="D846" s="46"/>
      <c r="E846" s="17"/>
      <c r="F846" s="46"/>
      <c r="G846" s="46"/>
      <c r="H846" s="46"/>
      <c r="I846" s="17"/>
      <c r="J846" s="46"/>
      <c r="K846" s="46"/>
      <c r="L846" s="46"/>
      <c r="M846" s="17"/>
      <c r="N846" s="46"/>
      <c r="O846" s="46"/>
      <c r="P846" s="46"/>
      <c r="Q846" s="46"/>
      <c r="R846" s="46"/>
      <c r="S846" s="46"/>
      <c r="T846" s="46"/>
      <c r="U846" s="46"/>
      <c r="V846" s="46"/>
      <c r="W846" s="46"/>
      <c r="X846" s="46"/>
      <c r="Y846" s="46"/>
      <c r="Z846" s="46"/>
      <c r="AA846" s="46"/>
      <c r="AB846" s="46"/>
      <c r="AC846" s="46"/>
      <c r="AD846" s="46"/>
      <c r="AE846" s="46"/>
      <c r="AF846" s="46"/>
      <c r="AG846" s="123"/>
      <c r="AH846" s="123"/>
      <c r="AI846" s="123"/>
      <c r="AJ846" s="123"/>
      <c r="AK846" s="46"/>
      <c r="AL846" s="46"/>
      <c r="AM846" s="46"/>
      <c r="AN846" s="46"/>
      <c r="AO846" s="46"/>
    </row>
    <row r="847">
      <c r="A847" s="17"/>
      <c r="B847" s="46"/>
      <c r="C847" s="46"/>
      <c r="D847" s="46"/>
      <c r="E847" s="17"/>
      <c r="F847" s="46"/>
      <c r="G847" s="46"/>
      <c r="H847" s="46"/>
      <c r="I847" s="17"/>
      <c r="J847" s="46"/>
      <c r="K847" s="46"/>
      <c r="L847" s="46"/>
      <c r="M847" s="17"/>
      <c r="N847" s="46"/>
      <c r="O847" s="46"/>
      <c r="P847" s="46"/>
      <c r="Q847" s="46"/>
      <c r="R847" s="46"/>
      <c r="S847" s="46"/>
      <c r="T847" s="46"/>
      <c r="U847" s="46"/>
      <c r="V847" s="46"/>
      <c r="W847" s="46"/>
      <c r="X847" s="46"/>
      <c r="Y847" s="46"/>
      <c r="Z847" s="46"/>
      <c r="AA847" s="46"/>
      <c r="AB847" s="46"/>
      <c r="AC847" s="46"/>
      <c r="AD847" s="46"/>
      <c r="AE847" s="46"/>
      <c r="AF847" s="46"/>
      <c r="AG847" s="123"/>
      <c r="AH847" s="123"/>
      <c r="AI847" s="123"/>
      <c r="AJ847" s="123"/>
      <c r="AK847" s="46"/>
      <c r="AL847" s="46"/>
      <c r="AM847" s="46"/>
      <c r="AN847" s="46"/>
      <c r="AO847" s="46"/>
    </row>
    <row r="848">
      <c r="A848" s="17"/>
      <c r="B848" s="46"/>
      <c r="C848" s="46"/>
      <c r="D848" s="46"/>
      <c r="E848" s="17"/>
      <c r="F848" s="46"/>
      <c r="G848" s="46"/>
      <c r="H848" s="46"/>
      <c r="I848" s="17"/>
      <c r="J848" s="46"/>
      <c r="K848" s="46"/>
      <c r="L848" s="46"/>
      <c r="M848" s="17"/>
      <c r="N848" s="46"/>
      <c r="O848" s="46"/>
      <c r="P848" s="46"/>
      <c r="Q848" s="46"/>
      <c r="R848" s="46"/>
      <c r="S848" s="46"/>
      <c r="T848" s="46"/>
      <c r="U848" s="46"/>
      <c r="V848" s="46"/>
      <c r="W848" s="46"/>
      <c r="X848" s="46"/>
      <c r="Y848" s="46"/>
      <c r="Z848" s="46"/>
      <c r="AA848" s="46"/>
      <c r="AB848" s="46"/>
      <c r="AC848" s="46"/>
      <c r="AD848" s="46"/>
      <c r="AE848" s="46"/>
      <c r="AF848" s="46"/>
      <c r="AG848" s="123"/>
      <c r="AH848" s="123"/>
      <c r="AI848" s="123"/>
      <c r="AJ848" s="123"/>
      <c r="AK848" s="46"/>
      <c r="AL848" s="46"/>
      <c r="AM848" s="46"/>
      <c r="AN848" s="46"/>
      <c r="AO848" s="46"/>
    </row>
    <row r="849">
      <c r="A849" s="17"/>
      <c r="B849" s="46"/>
      <c r="C849" s="46"/>
      <c r="D849" s="46"/>
      <c r="E849" s="17"/>
      <c r="F849" s="46"/>
      <c r="G849" s="46"/>
      <c r="H849" s="46"/>
      <c r="I849" s="17"/>
      <c r="J849" s="46"/>
      <c r="K849" s="46"/>
      <c r="L849" s="46"/>
      <c r="M849" s="17"/>
      <c r="N849" s="46"/>
      <c r="O849" s="46"/>
      <c r="P849" s="46"/>
      <c r="Q849" s="46"/>
      <c r="R849" s="46"/>
      <c r="S849" s="46"/>
      <c r="T849" s="46"/>
      <c r="U849" s="46"/>
      <c r="V849" s="46"/>
      <c r="W849" s="46"/>
      <c r="X849" s="46"/>
      <c r="Y849" s="46"/>
      <c r="Z849" s="46"/>
      <c r="AA849" s="46"/>
      <c r="AB849" s="46"/>
      <c r="AC849" s="46"/>
      <c r="AD849" s="46"/>
      <c r="AE849" s="46"/>
      <c r="AF849" s="46"/>
      <c r="AG849" s="123"/>
      <c r="AH849" s="123"/>
      <c r="AI849" s="123"/>
      <c r="AJ849" s="123"/>
      <c r="AK849" s="46"/>
      <c r="AL849" s="46"/>
      <c r="AM849" s="46"/>
      <c r="AN849" s="46"/>
      <c r="AO849" s="46"/>
    </row>
    <row r="850">
      <c r="A850" s="17"/>
      <c r="B850" s="46"/>
      <c r="C850" s="46"/>
      <c r="D850" s="46"/>
      <c r="E850" s="17"/>
      <c r="F850" s="46"/>
      <c r="G850" s="46"/>
      <c r="H850" s="46"/>
      <c r="I850" s="17"/>
      <c r="J850" s="46"/>
      <c r="K850" s="46"/>
      <c r="L850" s="46"/>
      <c r="M850" s="17"/>
      <c r="N850" s="46"/>
      <c r="O850" s="46"/>
      <c r="P850" s="46"/>
      <c r="Q850" s="46"/>
      <c r="R850" s="46"/>
      <c r="S850" s="46"/>
      <c r="T850" s="46"/>
      <c r="U850" s="46"/>
      <c r="V850" s="46"/>
      <c r="W850" s="46"/>
      <c r="X850" s="46"/>
      <c r="Y850" s="46"/>
      <c r="Z850" s="46"/>
      <c r="AA850" s="46"/>
      <c r="AB850" s="46"/>
      <c r="AC850" s="46"/>
      <c r="AD850" s="46"/>
      <c r="AE850" s="46"/>
      <c r="AF850" s="46"/>
      <c r="AG850" s="123"/>
      <c r="AH850" s="123"/>
      <c r="AI850" s="123"/>
      <c r="AJ850" s="123"/>
      <c r="AK850" s="46"/>
      <c r="AL850" s="46"/>
      <c r="AM850" s="46"/>
      <c r="AN850" s="46"/>
      <c r="AO850" s="46"/>
    </row>
    <row r="851">
      <c r="A851" s="17"/>
      <c r="B851" s="46"/>
      <c r="C851" s="46"/>
      <c r="D851" s="46"/>
      <c r="E851" s="17"/>
      <c r="F851" s="46"/>
      <c r="G851" s="46"/>
      <c r="H851" s="46"/>
      <c r="I851" s="17"/>
      <c r="J851" s="46"/>
      <c r="K851" s="46"/>
      <c r="L851" s="46"/>
      <c r="M851" s="17"/>
      <c r="N851" s="46"/>
      <c r="O851" s="46"/>
      <c r="P851" s="46"/>
      <c r="Q851" s="46"/>
      <c r="R851" s="46"/>
      <c r="S851" s="46"/>
      <c r="T851" s="46"/>
      <c r="U851" s="46"/>
      <c r="V851" s="46"/>
      <c r="W851" s="46"/>
      <c r="X851" s="46"/>
      <c r="Y851" s="46"/>
      <c r="Z851" s="46"/>
      <c r="AA851" s="46"/>
      <c r="AB851" s="46"/>
      <c r="AC851" s="46"/>
      <c r="AD851" s="46"/>
      <c r="AE851" s="46"/>
      <c r="AF851" s="46"/>
      <c r="AG851" s="123"/>
      <c r="AH851" s="123"/>
      <c r="AI851" s="123"/>
      <c r="AJ851" s="123"/>
      <c r="AK851" s="46"/>
      <c r="AL851" s="46"/>
      <c r="AM851" s="46"/>
      <c r="AN851" s="46"/>
      <c r="AO851" s="46"/>
    </row>
    <row r="852">
      <c r="A852" s="17"/>
      <c r="B852" s="46"/>
      <c r="C852" s="46"/>
      <c r="D852" s="46"/>
      <c r="E852" s="17"/>
      <c r="F852" s="46"/>
      <c r="G852" s="46"/>
      <c r="H852" s="46"/>
      <c r="I852" s="17"/>
      <c r="J852" s="46"/>
      <c r="K852" s="46"/>
      <c r="L852" s="46"/>
      <c r="M852" s="17"/>
      <c r="N852" s="46"/>
      <c r="O852" s="46"/>
      <c r="P852" s="46"/>
      <c r="Q852" s="46"/>
      <c r="R852" s="46"/>
      <c r="S852" s="46"/>
      <c r="T852" s="46"/>
      <c r="U852" s="46"/>
      <c r="V852" s="46"/>
      <c r="W852" s="46"/>
      <c r="X852" s="46"/>
      <c r="Y852" s="46"/>
      <c r="Z852" s="46"/>
      <c r="AA852" s="46"/>
      <c r="AB852" s="46"/>
      <c r="AC852" s="46"/>
      <c r="AD852" s="46"/>
      <c r="AE852" s="46"/>
      <c r="AF852" s="46"/>
      <c r="AG852" s="123"/>
      <c r="AH852" s="123"/>
      <c r="AI852" s="123"/>
      <c r="AJ852" s="123"/>
      <c r="AK852" s="46"/>
      <c r="AL852" s="46"/>
      <c r="AM852" s="46"/>
      <c r="AN852" s="46"/>
      <c r="AO852" s="46"/>
    </row>
    <row r="853">
      <c r="A853" s="17"/>
      <c r="B853" s="46"/>
      <c r="C853" s="46"/>
      <c r="D853" s="46"/>
      <c r="E853" s="17"/>
      <c r="F853" s="46"/>
      <c r="G853" s="46"/>
      <c r="H853" s="46"/>
      <c r="I853" s="17"/>
      <c r="J853" s="46"/>
      <c r="K853" s="46"/>
      <c r="L853" s="46"/>
      <c r="M853" s="17"/>
      <c r="N853" s="46"/>
      <c r="O853" s="46"/>
      <c r="P853" s="46"/>
      <c r="Q853" s="46"/>
      <c r="R853" s="46"/>
      <c r="S853" s="46"/>
      <c r="T853" s="46"/>
      <c r="U853" s="46"/>
      <c r="V853" s="46"/>
      <c r="W853" s="46"/>
      <c r="X853" s="46"/>
      <c r="Y853" s="46"/>
      <c r="Z853" s="46"/>
      <c r="AA853" s="46"/>
      <c r="AB853" s="46"/>
      <c r="AC853" s="46"/>
      <c r="AD853" s="46"/>
      <c r="AE853" s="46"/>
      <c r="AF853" s="46"/>
      <c r="AG853" s="123"/>
      <c r="AH853" s="123"/>
      <c r="AI853" s="123"/>
      <c r="AJ853" s="123"/>
      <c r="AK853" s="46"/>
      <c r="AL853" s="46"/>
      <c r="AM853" s="46"/>
      <c r="AN853" s="46"/>
      <c r="AO853" s="46"/>
    </row>
    <row r="854">
      <c r="A854" s="17"/>
      <c r="B854" s="46"/>
      <c r="C854" s="46"/>
      <c r="D854" s="46"/>
      <c r="E854" s="17"/>
      <c r="F854" s="46"/>
      <c r="G854" s="46"/>
      <c r="H854" s="46"/>
      <c r="I854" s="17"/>
      <c r="J854" s="46"/>
      <c r="K854" s="46"/>
      <c r="L854" s="46"/>
      <c r="M854" s="17"/>
      <c r="N854" s="46"/>
      <c r="O854" s="46"/>
      <c r="P854" s="46"/>
      <c r="Q854" s="46"/>
      <c r="R854" s="46"/>
      <c r="S854" s="46"/>
      <c r="T854" s="46"/>
      <c r="U854" s="46"/>
      <c r="V854" s="46"/>
      <c r="W854" s="46"/>
      <c r="X854" s="46"/>
      <c r="Y854" s="46"/>
      <c r="Z854" s="46"/>
      <c r="AA854" s="46"/>
      <c r="AB854" s="46"/>
      <c r="AC854" s="46"/>
      <c r="AD854" s="46"/>
      <c r="AE854" s="46"/>
      <c r="AF854" s="46"/>
      <c r="AG854" s="123"/>
      <c r="AH854" s="123"/>
      <c r="AI854" s="123"/>
      <c r="AJ854" s="123"/>
      <c r="AK854" s="46"/>
      <c r="AL854" s="46"/>
      <c r="AM854" s="46"/>
      <c r="AN854" s="46"/>
      <c r="AO854" s="46"/>
    </row>
    <row r="855">
      <c r="A855" s="17"/>
      <c r="B855" s="46"/>
      <c r="C855" s="46"/>
      <c r="D855" s="46"/>
      <c r="E855" s="17"/>
      <c r="F855" s="46"/>
      <c r="G855" s="46"/>
      <c r="H855" s="46"/>
      <c r="I855" s="17"/>
      <c r="J855" s="46"/>
      <c r="K855" s="46"/>
      <c r="L855" s="46"/>
      <c r="M855" s="17"/>
      <c r="N855" s="46"/>
      <c r="O855" s="46"/>
      <c r="P855" s="46"/>
      <c r="Q855" s="46"/>
      <c r="R855" s="46"/>
      <c r="S855" s="46"/>
      <c r="T855" s="46"/>
      <c r="U855" s="46"/>
      <c r="V855" s="46"/>
      <c r="W855" s="46"/>
      <c r="X855" s="46"/>
      <c r="Y855" s="46"/>
      <c r="Z855" s="46"/>
      <c r="AA855" s="46"/>
      <c r="AB855" s="46"/>
      <c r="AC855" s="46"/>
      <c r="AD855" s="46"/>
      <c r="AE855" s="46"/>
      <c r="AF855" s="46"/>
      <c r="AG855" s="123"/>
      <c r="AH855" s="123"/>
      <c r="AI855" s="123"/>
      <c r="AJ855" s="123"/>
      <c r="AK855" s="46"/>
      <c r="AL855" s="46"/>
      <c r="AM855" s="46"/>
      <c r="AN855" s="46"/>
      <c r="AO855" s="46"/>
    </row>
    <row r="856">
      <c r="A856" s="17"/>
      <c r="B856" s="46"/>
      <c r="C856" s="46"/>
      <c r="D856" s="46"/>
      <c r="E856" s="17"/>
      <c r="F856" s="46"/>
      <c r="G856" s="46"/>
      <c r="H856" s="46"/>
      <c r="I856" s="17"/>
      <c r="J856" s="46"/>
      <c r="K856" s="46"/>
      <c r="L856" s="46"/>
      <c r="M856" s="17"/>
      <c r="N856" s="46"/>
      <c r="O856" s="46"/>
      <c r="P856" s="46"/>
      <c r="Q856" s="46"/>
      <c r="R856" s="46"/>
      <c r="S856" s="46"/>
      <c r="T856" s="46"/>
      <c r="U856" s="46"/>
      <c r="V856" s="46"/>
      <c r="W856" s="46"/>
      <c r="X856" s="46"/>
      <c r="Y856" s="46"/>
      <c r="Z856" s="46"/>
      <c r="AA856" s="46"/>
      <c r="AB856" s="46"/>
      <c r="AC856" s="46"/>
      <c r="AD856" s="46"/>
      <c r="AE856" s="46"/>
      <c r="AF856" s="46"/>
      <c r="AG856" s="123"/>
      <c r="AH856" s="123"/>
      <c r="AI856" s="123"/>
      <c r="AJ856" s="123"/>
      <c r="AK856" s="46"/>
      <c r="AL856" s="46"/>
      <c r="AM856" s="46"/>
      <c r="AN856" s="46"/>
      <c r="AO856" s="46"/>
    </row>
    <row r="857">
      <c r="A857" s="17"/>
      <c r="B857" s="46"/>
      <c r="C857" s="46"/>
      <c r="D857" s="46"/>
      <c r="E857" s="17"/>
      <c r="F857" s="46"/>
      <c r="G857" s="46"/>
      <c r="H857" s="46"/>
      <c r="I857" s="17"/>
      <c r="J857" s="46"/>
      <c r="K857" s="46"/>
      <c r="L857" s="46"/>
      <c r="M857" s="17"/>
      <c r="N857" s="46"/>
      <c r="O857" s="46"/>
      <c r="P857" s="46"/>
      <c r="Q857" s="46"/>
      <c r="R857" s="46"/>
      <c r="S857" s="46"/>
      <c r="T857" s="46"/>
      <c r="U857" s="46"/>
      <c r="V857" s="46"/>
      <c r="W857" s="46"/>
      <c r="X857" s="46"/>
      <c r="Y857" s="46"/>
      <c r="Z857" s="46"/>
      <c r="AA857" s="46"/>
      <c r="AB857" s="46"/>
      <c r="AC857" s="46"/>
      <c r="AD857" s="46"/>
      <c r="AE857" s="46"/>
      <c r="AF857" s="46"/>
      <c r="AG857" s="123"/>
      <c r="AH857" s="123"/>
      <c r="AI857" s="123"/>
      <c r="AJ857" s="123"/>
      <c r="AK857" s="46"/>
      <c r="AL857" s="46"/>
      <c r="AM857" s="46"/>
      <c r="AN857" s="46"/>
      <c r="AO857" s="46"/>
    </row>
    <row r="858">
      <c r="A858" s="17"/>
      <c r="B858" s="46"/>
      <c r="C858" s="46"/>
      <c r="D858" s="46"/>
      <c r="E858" s="17"/>
      <c r="F858" s="46"/>
      <c r="G858" s="46"/>
      <c r="H858" s="46"/>
      <c r="I858" s="17"/>
      <c r="J858" s="46"/>
      <c r="K858" s="46"/>
      <c r="L858" s="46"/>
      <c r="M858" s="17"/>
      <c r="N858" s="46"/>
      <c r="O858" s="46"/>
      <c r="P858" s="46"/>
      <c r="Q858" s="46"/>
      <c r="R858" s="46"/>
      <c r="S858" s="46"/>
      <c r="T858" s="46"/>
      <c r="U858" s="46"/>
      <c r="V858" s="46"/>
      <c r="W858" s="46"/>
      <c r="X858" s="46"/>
      <c r="Y858" s="46"/>
      <c r="Z858" s="46"/>
      <c r="AA858" s="46"/>
      <c r="AB858" s="46"/>
      <c r="AC858" s="46"/>
      <c r="AD858" s="46"/>
      <c r="AE858" s="46"/>
      <c r="AF858" s="46"/>
      <c r="AG858" s="123"/>
      <c r="AH858" s="123"/>
      <c r="AI858" s="123"/>
      <c r="AJ858" s="123"/>
      <c r="AK858" s="46"/>
      <c r="AL858" s="46"/>
      <c r="AM858" s="46"/>
      <c r="AN858" s="46"/>
      <c r="AO858" s="46"/>
    </row>
    <row r="859">
      <c r="A859" s="17"/>
      <c r="B859" s="46"/>
      <c r="C859" s="46"/>
      <c r="D859" s="46"/>
      <c r="E859" s="17"/>
      <c r="F859" s="46"/>
      <c r="G859" s="46"/>
      <c r="H859" s="46"/>
      <c r="I859" s="17"/>
      <c r="J859" s="46"/>
      <c r="K859" s="46"/>
      <c r="L859" s="46"/>
      <c r="M859" s="17"/>
      <c r="N859" s="46"/>
      <c r="O859" s="46"/>
      <c r="P859" s="46"/>
      <c r="Q859" s="46"/>
      <c r="R859" s="46"/>
      <c r="S859" s="46"/>
      <c r="T859" s="46"/>
      <c r="U859" s="46"/>
      <c r="V859" s="46"/>
      <c r="W859" s="46"/>
      <c r="X859" s="46"/>
      <c r="Y859" s="46"/>
      <c r="Z859" s="46"/>
      <c r="AA859" s="46"/>
      <c r="AB859" s="46"/>
      <c r="AC859" s="46"/>
      <c r="AD859" s="46"/>
      <c r="AE859" s="46"/>
      <c r="AF859" s="46"/>
      <c r="AG859" s="123"/>
      <c r="AH859" s="123"/>
      <c r="AI859" s="123"/>
      <c r="AJ859" s="123"/>
      <c r="AK859" s="46"/>
      <c r="AL859" s="46"/>
      <c r="AM859" s="46"/>
      <c r="AN859" s="46"/>
      <c r="AO859" s="46"/>
    </row>
    <row r="860">
      <c r="A860" s="17"/>
      <c r="B860" s="46"/>
      <c r="C860" s="46"/>
      <c r="D860" s="46"/>
      <c r="E860" s="17"/>
      <c r="F860" s="46"/>
      <c r="G860" s="46"/>
      <c r="H860" s="46"/>
      <c r="I860" s="17"/>
      <c r="J860" s="46"/>
      <c r="K860" s="46"/>
      <c r="L860" s="46"/>
      <c r="M860" s="17"/>
      <c r="N860" s="46"/>
      <c r="O860" s="46"/>
      <c r="P860" s="46"/>
      <c r="Q860" s="46"/>
      <c r="R860" s="46"/>
      <c r="S860" s="46"/>
      <c r="T860" s="46"/>
      <c r="U860" s="46"/>
      <c r="V860" s="46"/>
      <c r="W860" s="46"/>
      <c r="X860" s="46"/>
      <c r="Y860" s="46"/>
      <c r="Z860" s="46"/>
      <c r="AA860" s="46"/>
      <c r="AB860" s="46"/>
      <c r="AC860" s="46"/>
      <c r="AD860" s="46"/>
      <c r="AE860" s="46"/>
      <c r="AF860" s="46"/>
      <c r="AG860" s="123"/>
      <c r="AH860" s="123"/>
      <c r="AI860" s="123"/>
      <c r="AJ860" s="123"/>
      <c r="AK860" s="46"/>
      <c r="AL860" s="46"/>
      <c r="AM860" s="46"/>
      <c r="AN860" s="46"/>
      <c r="AO860" s="46"/>
    </row>
    <row r="861">
      <c r="A861" s="17"/>
      <c r="B861" s="46"/>
      <c r="C861" s="46"/>
      <c r="D861" s="46"/>
      <c r="E861" s="17"/>
      <c r="F861" s="46"/>
      <c r="G861" s="46"/>
      <c r="H861" s="46"/>
      <c r="I861" s="17"/>
      <c r="J861" s="46"/>
      <c r="K861" s="46"/>
      <c r="L861" s="46"/>
      <c r="M861" s="17"/>
      <c r="N861" s="46"/>
      <c r="O861" s="46"/>
      <c r="P861" s="46"/>
      <c r="Q861" s="46"/>
      <c r="R861" s="46"/>
      <c r="S861" s="46"/>
      <c r="T861" s="46"/>
      <c r="U861" s="46"/>
      <c r="V861" s="46"/>
      <c r="W861" s="46"/>
      <c r="X861" s="46"/>
      <c r="Y861" s="46"/>
      <c r="Z861" s="46"/>
      <c r="AA861" s="46"/>
      <c r="AB861" s="46"/>
      <c r="AC861" s="46"/>
      <c r="AD861" s="46"/>
      <c r="AE861" s="46"/>
      <c r="AF861" s="46"/>
      <c r="AG861" s="123"/>
      <c r="AH861" s="123"/>
      <c r="AI861" s="123"/>
      <c r="AJ861" s="123"/>
      <c r="AK861" s="46"/>
      <c r="AL861" s="46"/>
      <c r="AM861" s="46"/>
      <c r="AN861" s="46"/>
      <c r="AO861" s="46"/>
    </row>
    <row r="862">
      <c r="A862" s="17"/>
      <c r="B862" s="46"/>
      <c r="C862" s="46"/>
      <c r="D862" s="46"/>
      <c r="E862" s="17"/>
      <c r="F862" s="46"/>
      <c r="G862" s="46"/>
      <c r="H862" s="46"/>
      <c r="I862" s="17"/>
      <c r="J862" s="46"/>
      <c r="K862" s="46"/>
      <c r="L862" s="46"/>
      <c r="M862" s="17"/>
      <c r="N862" s="46"/>
      <c r="O862" s="46"/>
      <c r="P862" s="46"/>
      <c r="Q862" s="46"/>
      <c r="R862" s="46"/>
      <c r="S862" s="46"/>
      <c r="T862" s="46"/>
      <c r="U862" s="46"/>
      <c r="V862" s="46"/>
      <c r="W862" s="46"/>
      <c r="X862" s="46"/>
      <c r="Y862" s="46"/>
      <c r="Z862" s="46"/>
      <c r="AA862" s="46"/>
      <c r="AB862" s="46"/>
      <c r="AC862" s="46"/>
      <c r="AD862" s="46"/>
      <c r="AE862" s="46"/>
      <c r="AF862" s="46"/>
      <c r="AG862" s="123"/>
      <c r="AH862" s="123"/>
      <c r="AI862" s="123"/>
      <c r="AJ862" s="123"/>
      <c r="AK862" s="46"/>
      <c r="AL862" s="46"/>
      <c r="AM862" s="46"/>
      <c r="AN862" s="46"/>
      <c r="AO862" s="46"/>
    </row>
    <row r="863">
      <c r="A863" s="17"/>
      <c r="B863" s="46"/>
      <c r="C863" s="46"/>
      <c r="D863" s="46"/>
      <c r="E863" s="17"/>
      <c r="F863" s="46"/>
      <c r="G863" s="46"/>
      <c r="H863" s="46"/>
      <c r="I863" s="17"/>
      <c r="J863" s="46"/>
      <c r="K863" s="46"/>
      <c r="L863" s="46"/>
      <c r="M863" s="17"/>
      <c r="N863" s="46"/>
      <c r="O863" s="46"/>
      <c r="P863" s="46"/>
      <c r="Q863" s="46"/>
      <c r="R863" s="46"/>
      <c r="S863" s="46"/>
      <c r="T863" s="46"/>
      <c r="U863" s="46"/>
      <c r="V863" s="46"/>
      <c r="W863" s="46"/>
      <c r="X863" s="46"/>
      <c r="Y863" s="46"/>
      <c r="Z863" s="46"/>
      <c r="AA863" s="46"/>
      <c r="AB863" s="46"/>
      <c r="AC863" s="46"/>
      <c r="AD863" s="46"/>
      <c r="AE863" s="46"/>
      <c r="AF863" s="46"/>
      <c r="AG863" s="123"/>
      <c r="AH863" s="123"/>
      <c r="AI863" s="123"/>
      <c r="AJ863" s="123"/>
      <c r="AK863" s="46"/>
      <c r="AL863" s="46"/>
      <c r="AM863" s="46"/>
      <c r="AN863" s="46"/>
      <c r="AO863" s="46"/>
    </row>
    <row r="864">
      <c r="A864" s="17"/>
      <c r="B864" s="46"/>
      <c r="C864" s="46"/>
      <c r="D864" s="46"/>
      <c r="E864" s="17"/>
      <c r="F864" s="46"/>
      <c r="G864" s="46"/>
      <c r="H864" s="46"/>
      <c r="I864" s="17"/>
      <c r="J864" s="46"/>
      <c r="K864" s="46"/>
      <c r="L864" s="46"/>
      <c r="M864" s="17"/>
      <c r="N864" s="46"/>
      <c r="O864" s="46"/>
      <c r="P864" s="46"/>
      <c r="Q864" s="46"/>
      <c r="R864" s="46"/>
      <c r="S864" s="46"/>
      <c r="T864" s="46"/>
      <c r="U864" s="46"/>
      <c r="V864" s="46"/>
      <c r="W864" s="46"/>
      <c r="X864" s="46"/>
      <c r="Y864" s="46"/>
      <c r="Z864" s="46"/>
      <c r="AA864" s="46"/>
      <c r="AB864" s="46"/>
      <c r="AC864" s="46"/>
      <c r="AD864" s="46"/>
      <c r="AE864" s="46"/>
      <c r="AF864" s="46"/>
      <c r="AG864" s="123"/>
      <c r="AH864" s="123"/>
      <c r="AI864" s="123"/>
      <c r="AJ864" s="123"/>
      <c r="AK864" s="46"/>
      <c r="AL864" s="46"/>
      <c r="AM864" s="46"/>
      <c r="AN864" s="46"/>
      <c r="AO864" s="46"/>
    </row>
    <row r="865">
      <c r="A865" s="17"/>
      <c r="B865" s="46"/>
      <c r="C865" s="46"/>
      <c r="D865" s="46"/>
      <c r="E865" s="17"/>
      <c r="F865" s="46"/>
      <c r="G865" s="46"/>
      <c r="H865" s="46"/>
      <c r="I865" s="17"/>
      <c r="J865" s="46"/>
      <c r="K865" s="46"/>
      <c r="L865" s="46"/>
      <c r="M865" s="17"/>
      <c r="N865" s="46"/>
      <c r="O865" s="46"/>
      <c r="P865" s="46"/>
      <c r="Q865" s="46"/>
      <c r="R865" s="46"/>
      <c r="S865" s="46"/>
      <c r="T865" s="46"/>
      <c r="U865" s="46"/>
      <c r="V865" s="46"/>
      <c r="W865" s="46"/>
      <c r="X865" s="46"/>
      <c r="Y865" s="46"/>
      <c r="Z865" s="46"/>
      <c r="AA865" s="46"/>
      <c r="AB865" s="46"/>
      <c r="AC865" s="46"/>
      <c r="AD865" s="46"/>
      <c r="AE865" s="46"/>
      <c r="AF865" s="46"/>
      <c r="AG865" s="123"/>
      <c r="AH865" s="123"/>
      <c r="AI865" s="123"/>
      <c r="AJ865" s="123"/>
      <c r="AK865" s="46"/>
      <c r="AL865" s="46"/>
      <c r="AM865" s="46"/>
      <c r="AN865" s="46"/>
      <c r="AO865" s="46"/>
    </row>
    <row r="866">
      <c r="A866" s="17"/>
      <c r="B866" s="46"/>
      <c r="C866" s="46"/>
      <c r="D866" s="46"/>
      <c r="E866" s="17"/>
      <c r="F866" s="46"/>
      <c r="G866" s="46"/>
      <c r="H866" s="46"/>
      <c r="I866" s="17"/>
      <c r="J866" s="46"/>
      <c r="K866" s="46"/>
      <c r="L866" s="46"/>
      <c r="M866" s="17"/>
      <c r="N866" s="46"/>
      <c r="O866" s="46"/>
      <c r="P866" s="46"/>
      <c r="Q866" s="46"/>
      <c r="R866" s="46"/>
      <c r="S866" s="46"/>
      <c r="T866" s="46"/>
      <c r="U866" s="46"/>
      <c r="V866" s="46"/>
      <c r="W866" s="46"/>
      <c r="X866" s="46"/>
      <c r="Y866" s="46"/>
      <c r="Z866" s="46"/>
      <c r="AA866" s="46"/>
      <c r="AB866" s="46"/>
      <c r="AC866" s="46"/>
      <c r="AD866" s="46"/>
      <c r="AE866" s="46"/>
      <c r="AF866" s="46"/>
      <c r="AG866" s="123"/>
      <c r="AH866" s="123"/>
      <c r="AI866" s="123"/>
      <c r="AJ866" s="123"/>
      <c r="AK866" s="46"/>
      <c r="AL866" s="46"/>
      <c r="AM866" s="46"/>
      <c r="AN866" s="46"/>
      <c r="AO866" s="46"/>
    </row>
    <row r="867">
      <c r="A867" s="17"/>
      <c r="B867" s="46"/>
      <c r="C867" s="46"/>
      <c r="D867" s="46"/>
      <c r="E867" s="17"/>
      <c r="F867" s="46"/>
      <c r="G867" s="46"/>
      <c r="H867" s="46"/>
      <c r="I867" s="17"/>
      <c r="J867" s="46"/>
      <c r="K867" s="46"/>
      <c r="L867" s="46"/>
      <c r="M867" s="17"/>
      <c r="N867" s="46"/>
      <c r="O867" s="46"/>
      <c r="P867" s="46"/>
      <c r="Q867" s="46"/>
      <c r="R867" s="46"/>
      <c r="S867" s="46"/>
      <c r="T867" s="46"/>
      <c r="U867" s="46"/>
      <c r="V867" s="46"/>
      <c r="W867" s="46"/>
      <c r="X867" s="46"/>
      <c r="Y867" s="46"/>
      <c r="Z867" s="46"/>
      <c r="AA867" s="46"/>
      <c r="AB867" s="46"/>
      <c r="AC867" s="46"/>
      <c r="AD867" s="46"/>
      <c r="AE867" s="46"/>
      <c r="AF867" s="46"/>
      <c r="AG867" s="123"/>
      <c r="AH867" s="123"/>
      <c r="AI867" s="123"/>
      <c r="AJ867" s="123"/>
      <c r="AK867" s="46"/>
      <c r="AL867" s="46"/>
      <c r="AM867" s="46"/>
      <c r="AN867" s="46"/>
      <c r="AO867" s="46"/>
    </row>
    <row r="868">
      <c r="A868" s="17"/>
      <c r="B868" s="46"/>
      <c r="C868" s="46"/>
      <c r="D868" s="46"/>
      <c r="E868" s="17"/>
      <c r="F868" s="46"/>
      <c r="G868" s="46"/>
      <c r="H868" s="46"/>
      <c r="I868" s="17"/>
      <c r="J868" s="46"/>
      <c r="K868" s="46"/>
      <c r="L868" s="46"/>
      <c r="M868" s="17"/>
      <c r="N868" s="46"/>
      <c r="O868" s="46"/>
      <c r="P868" s="46"/>
      <c r="Q868" s="46"/>
      <c r="R868" s="46"/>
      <c r="S868" s="46"/>
      <c r="T868" s="46"/>
      <c r="U868" s="46"/>
      <c r="V868" s="46"/>
      <c r="W868" s="46"/>
      <c r="X868" s="46"/>
      <c r="Y868" s="46"/>
      <c r="Z868" s="46"/>
      <c r="AA868" s="46"/>
      <c r="AB868" s="46"/>
      <c r="AC868" s="46"/>
      <c r="AD868" s="46"/>
      <c r="AE868" s="46"/>
      <c r="AF868" s="46"/>
      <c r="AG868" s="123"/>
      <c r="AH868" s="123"/>
      <c r="AI868" s="123"/>
      <c r="AJ868" s="123"/>
      <c r="AK868" s="46"/>
      <c r="AL868" s="46"/>
      <c r="AM868" s="46"/>
      <c r="AN868" s="46"/>
      <c r="AO868" s="46"/>
    </row>
    <row r="869">
      <c r="A869" s="17"/>
      <c r="B869" s="46"/>
      <c r="C869" s="46"/>
      <c r="D869" s="46"/>
      <c r="E869" s="17"/>
      <c r="F869" s="46"/>
      <c r="G869" s="46"/>
      <c r="H869" s="46"/>
      <c r="I869" s="17"/>
      <c r="J869" s="46"/>
      <c r="K869" s="46"/>
      <c r="L869" s="46"/>
      <c r="M869" s="17"/>
      <c r="N869" s="46"/>
      <c r="O869" s="46"/>
      <c r="P869" s="46"/>
      <c r="Q869" s="46"/>
      <c r="R869" s="46"/>
      <c r="S869" s="46"/>
      <c r="T869" s="46"/>
      <c r="U869" s="46"/>
      <c r="V869" s="46"/>
      <c r="W869" s="46"/>
      <c r="X869" s="46"/>
      <c r="Y869" s="46"/>
      <c r="Z869" s="46"/>
      <c r="AA869" s="46"/>
      <c r="AB869" s="46"/>
      <c r="AC869" s="46"/>
      <c r="AD869" s="46"/>
      <c r="AE869" s="46"/>
      <c r="AF869" s="46"/>
      <c r="AG869" s="123"/>
      <c r="AH869" s="123"/>
      <c r="AI869" s="123"/>
      <c r="AJ869" s="123"/>
      <c r="AK869" s="46"/>
      <c r="AL869" s="46"/>
      <c r="AM869" s="46"/>
      <c r="AN869" s="46"/>
      <c r="AO869" s="46"/>
    </row>
    <row r="870">
      <c r="A870" s="17"/>
      <c r="B870" s="46"/>
      <c r="C870" s="46"/>
      <c r="D870" s="46"/>
      <c r="E870" s="17"/>
      <c r="F870" s="46"/>
      <c r="G870" s="46"/>
      <c r="H870" s="46"/>
      <c r="I870" s="17"/>
      <c r="J870" s="46"/>
      <c r="K870" s="46"/>
      <c r="L870" s="46"/>
      <c r="M870" s="17"/>
      <c r="N870" s="46"/>
      <c r="O870" s="46"/>
      <c r="P870" s="46"/>
      <c r="Q870" s="46"/>
      <c r="R870" s="46"/>
      <c r="S870" s="46"/>
      <c r="T870" s="46"/>
      <c r="U870" s="46"/>
      <c r="V870" s="46"/>
      <c r="W870" s="46"/>
      <c r="X870" s="46"/>
      <c r="Y870" s="46"/>
      <c r="Z870" s="46"/>
      <c r="AA870" s="46"/>
      <c r="AB870" s="46"/>
      <c r="AC870" s="46"/>
      <c r="AD870" s="46"/>
      <c r="AE870" s="46"/>
      <c r="AF870" s="46"/>
      <c r="AG870" s="123"/>
      <c r="AH870" s="123"/>
      <c r="AI870" s="123"/>
      <c r="AJ870" s="123"/>
      <c r="AK870" s="46"/>
      <c r="AL870" s="46"/>
      <c r="AM870" s="46"/>
      <c r="AN870" s="46"/>
      <c r="AO870" s="46"/>
    </row>
    <row r="871">
      <c r="A871" s="17"/>
      <c r="B871" s="46"/>
      <c r="C871" s="46"/>
      <c r="D871" s="46"/>
      <c r="E871" s="17"/>
      <c r="F871" s="46"/>
      <c r="G871" s="46"/>
      <c r="H871" s="46"/>
      <c r="I871" s="17"/>
      <c r="J871" s="46"/>
      <c r="K871" s="46"/>
      <c r="L871" s="46"/>
      <c r="M871" s="17"/>
      <c r="N871" s="46"/>
      <c r="O871" s="46"/>
      <c r="P871" s="46"/>
      <c r="Q871" s="46"/>
      <c r="R871" s="46"/>
      <c r="S871" s="46"/>
      <c r="T871" s="46"/>
      <c r="U871" s="46"/>
      <c r="V871" s="46"/>
      <c r="W871" s="46"/>
      <c r="X871" s="46"/>
      <c r="Y871" s="46"/>
      <c r="Z871" s="46"/>
      <c r="AA871" s="46"/>
      <c r="AB871" s="46"/>
      <c r="AC871" s="46"/>
      <c r="AD871" s="46"/>
      <c r="AE871" s="46"/>
      <c r="AF871" s="46"/>
      <c r="AG871" s="123"/>
      <c r="AH871" s="123"/>
      <c r="AI871" s="123"/>
      <c r="AJ871" s="123"/>
      <c r="AK871" s="46"/>
      <c r="AL871" s="46"/>
      <c r="AM871" s="46"/>
      <c r="AN871" s="46"/>
      <c r="AO871" s="46"/>
    </row>
    <row r="872">
      <c r="A872" s="17"/>
      <c r="B872" s="46"/>
      <c r="C872" s="46"/>
      <c r="D872" s="46"/>
      <c r="E872" s="17"/>
      <c r="F872" s="46"/>
      <c r="G872" s="46"/>
      <c r="H872" s="46"/>
      <c r="I872" s="17"/>
      <c r="J872" s="46"/>
      <c r="K872" s="46"/>
      <c r="L872" s="46"/>
      <c r="M872" s="17"/>
      <c r="N872" s="46"/>
      <c r="O872" s="46"/>
      <c r="P872" s="46"/>
      <c r="Q872" s="46"/>
      <c r="R872" s="46"/>
      <c r="S872" s="46"/>
      <c r="T872" s="46"/>
      <c r="U872" s="46"/>
      <c r="V872" s="46"/>
      <c r="W872" s="46"/>
      <c r="X872" s="46"/>
      <c r="Y872" s="46"/>
      <c r="Z872" s="46"/>
      <c r="AA872" s="46"/>
      <c r="AB872" s="46"/>
      <c r="AC872" s="46"/>
      <c r="AD872" s="46"/>
      <c r="AE872" s="46"/>
      <c r="AF872" s="46"/>
      <c r="AG872" s="123"/>
      <c r="AH872" s="123"/>
      <c r="AI872" s="123"/>
      <c r="AJ872" s="123"/>
      <c r="AK872" s="46"/>
      <c r="AL872" s="46"/>
      <c r="AM872" s="46"/>
      <c r="AN872" s="46"/>
      <c r="AO872" s="46"/>
    </row>
    <row r="873">
      <c r="A873" s="17"/>
      <c r="B873" s="46"/>
      <c r="C873" s="46"/>
      <c r="D873" s="46"/>
      <c r="E873" s="17"/>
      <c r="F873" s="46"/>
      <c r="G873" s="46"/>
      <c r="H873" s="46"/>
      <c r="I873" s="17"/>
      <c r="J873" s="46"/>
      <c r="K873" s="46"/>
      <c r="L873" s="46"/>
      <c r="M873" s="17"/>
      <c r="N873" s="46"/>
      <c r="O873" s="46"/>
      <c r="P873" s="46"/>
      <c r="Q873" s="46"/>
      <c r="R873" s="46"/>
      <c r="S873" s="46"/>
      <c r="T873" s="46"/>
      <c r="U873" s="46"/>
      <c r="V873" s="46"/>
      <c r="W873" s="46"/>
      <c r="X873" s="46"/>
      <c r="Y873" s="46"/>
      <c r="Z873" s="46"/>
      <c r="AA873" s="46"/>
      <c r="AB873" s="46"/>
      <c r="AC873" s="46"/>
      <c r="AD873" s="46"/>
      <c r="AE873" s="46"/>
      <c r="AF873" s="46"/>
      <c r="AG873" s="123"/>
      <c r="AH873" s="123"/>
      <c r="AI873" s="123"/>
      <c r="AJ873" s="123"/>
      <c r="AK873" s="46"/>
      <c r="AL873" s="46"/>
      <c r="AM873" s="46"/>
      <c r="AN873" s="46"/>
      <c r="AO873" s="46"/>
    </row>
    <row r="874">
      <c r="A874" s="17"/>
      <c r="B874" s="46"/>
      <c r="C874" s="46"/>
      <c r="D874" s="46"/>
      <c r="E874" s="17"/>
      <c r="F874" s="46"/>
      <c r="G874" s="46"/>
      <c r="H874" s="46"/>
      <c r="I874" s="17"/>
      <c r="J874" s="46"/>
      <c r="K874" s="46"/>
      <c r="L874" s="46"/>
      <c r="M874" s="17"/>
      <c r="N874" s="46"/>
      <c r="O874" s="46"/>
      <c r="P874" s="46"/>
      <c r="Q874" s="46"/>
      <c r="R874" s="46"/>
      <c r="S874" s="46"/>
      <c r="T874" s="46"/>
      <c r="U874" s="46"/>
      <c r="V874" s="46"/>
      <c r="W874" s="46"/>
      <c r="X874" s="46"/>
      <c r="Y874" s="46"/>
      <c r="Z874" s="46"/>
      <c r="AA874" s="46"/>
      <c r="AB874" s="46"/>
      <c r="AC874" s="46"/>
      <c r="AD874" s="46"/>
      <c r="AE874" s="46"/>
      <c r="AF874" s="46"/>
      <c r="AG874" s="123"/>
      <c r="AH874" s="123"/>
      <c r="AI874" s="123"/>
      <c r="AJ874" s="123"/>
      <c r="AK874" s="46"/>
      <c r="AL874" s="46"/>
      <c r="AM874" s="46"/>
      <c r="AN874" s="46"/>
      <c r="AO874" s="46"/>
    </row>
    <row r="875">
      <c r="A875" s="17"/>
      <c r="B875" s="46"/>
      <c r="C875" s="46"/>
      <c r="D875" s="46"/>
      <c r="E875" s="17"/>
      <c r="F875" s="46"/>
      <c r="G875" s="46"/>
      <c r="H875" s="46"/>
      <c r="I875" s="17"/>
      <c r="J875" s="46"/>
      <c r="K875" s="46"/>
      <c r="L875" s="46"/>
      <c r="M875" s="17"/>
      <c r="N875" s="46"/>
      <c r="O875" s="46"/>
      <c r="P875" s="46"/>
      <c r="Q875" s="46"/>
      <c r="R875" s="46"/>
      <c r="S875" s="46"/>
      <c r="T875" s="46"/>
      <c r="U875" s="46"/>
      <c r="V875" s="46"/>
      <c r="W875" s="46"/>
      <c r="X875" s="46"/>
      <c r="Y875" s="46"/>
      <c r="Z875" s="46"/>
      <c r="AA875" s="46"/>
      <c r="AB875" s="46"/>
      <c r="AC875" s="46"/>
      <c r="AD875" s="46"/>
      <c r="AE875" s="46"/>
      <c r="AF875" s="46"/>
      <c r="AG875" s="123"/>
      <c r="AH875" s="123"/>
      <c r="AI875" s="123"/>
      <c r="AJ875" s="123"/>
      <c r="AK875" s="46"/>
      <c r="AL875" s="46"/>
      <c r="AM875" s="46"/>
      <c r="AN875" s="46"/>
      <c r="AO875" s="46"/>
    </row>
    <row r="876">
      <c r="A876" s="17"/>
      <c r="B876" s="46"/>
      <c r="C876" s="46"/>
      <c r="D876" s="46"/>
      <c r="E876" s="17"/>
      <c r="F876" s="46"/>
      <c r="G876" s="46"/>
      <c r="H876" s="46"/>
      <c r="I876" s="17"/>
      <c r="J876" s="46"/>
      <c r="K876" s="46"/>
      <c r="L876" s="46"/>
      <c r="M876" s="17"/>
      <c r="N876" s="46"/>
      <c r="O876" s="46"/>
      <c r="P876" s="46"/>
      <c r="Q876" s="46"/>
      <c r="R876" s="46"/>
      <c r="S876" s="46"/>
      <c r="T876" s="46"/>
      <c r="U876" s="46"/>
      <c r="V876" s="46"/>
      <c r="W876" s="46"/>
      <c r="X876" s="46"/>
      <c r="Y876" s="46"/>
      <c r="Z876" s="46"/>
      <c r="AA876" s="46"/>
      <c r="AB876" s="46"/>
      <c r="AC876" s="46"/>
      <c r="AD876" s="46"/>
      <c r="AE876" s="46"/>
      <c r="AF876" s="46"/>
      <c r="AG876" s="123"/>
      <c r="AH876" s="123"/>
      <c r="AI876" s="123"/>
      <c r="AJ876" s="123"/>
      <c r="AK876" s="46"/>
      <c r="AL876" s="46"/>
      <c r="AM876" s="46"/>
      <c r="AN876" s="46"/>
      <c r="AO876" s="46"/>
    </row>
    <row r="877">
      <c r="A877" s="17"/>
      <c r="B877" s="46"/>
      <c r="C877" s="46"/>
      <c r="D877" s="46"/>
      <c r="E877" s="17"/>
      <c r="F877" s="46"/>
      <c r="G877" s="46"/>
      <c r="H877" s="46"/>
      <c r="I877" s="17"/>
      <c r="J877" s="46"/>
      <c r="K877" s="46"/>
      <c r="L877" s="46"/>
      <c r="M877" s="17"/>
      <c r="N877" s="46"/>
      <c r="O877" s="46"/>
      <c r="P877" s="46"/>
      <c r="Q877" s="46"/>
      <c r="R877" s="46"/>
      <c r="S877" s="46"/>
      <c r="T877" s="46"/>
      <c r="U877" s="46"/>
      <c r="V877" s="46"/>
      <c r="W877" s="46"/>
      <c r="X877" s="46"/>
      <c r="Y877" s="46"/>
      <c r="Z877" s="46"/>
      <c r="AA877" s="46"/>
      <c r="AB877" s="46"/>
      <c r="AC877" s="46"/>
      <c r="AD877" s="46"/>
      <c r="AE877" s="46"/>
      <c r="AF877" s="46"/>
      <c r="AG877" s="123"/>
      <c r="AH877" s="123"/>
      <c r="AI877" s="123"/>
      <c r="AJ877" s="123"/>
      <c r="AK877" s="46"/>
      <c r="AL877" s="46"/>
      <c r="AM877" s="46"/>
      <c r="AN877" s="46"/>
      <c r="AO877" s="46"/>
    </row>
    <row r="878">
      <c r="A878" s="17"/>
      <c r="B878" s="46"/>
      <c r="C878" s="46"/>
      <c r="D878" s="46"/>
      <c r="E878" s="17"/>
      <c r="F878" s="46"/>
      <c r="G878" s="46"/>
      <c r="H878" s="46"/>
      <c r="I878" s="17"/>
      <c r="J878" s="46"/>
      <c r="K878" s="46"/>
      <c r="L878" s="46"/>
      <c r="M878" s="17"/>
      <c r="N878" s="46"/>
      <c r="O878" s="46"/>
      <c r="P878" s="46"/>
      <c r="Q878" s="46"/>
      <c r="R878" s="46"/>
      <c r="S878" s="46"/>
      <c r="T878" s="46"/>
      <c r="U878" s="46"/>
      <c r="V878" s="46"/>
      <c r="W878" s="46"/>
      <c r="X878" s="46"/>
      <c r="Y878" s="46"/>
      <c r="Z878" s="46"/>
      <c r="AA878" s="46"/>
      <c r="AB878" s="46"/>
      <c r="AC878" s="46"/>
      <c r="AD878" s="46"/>
      <c r="AE878" s="46"/>
      <c r="AF878" s="46"/>
      <c r="AG878" s="123"/>
      <c r="AH878" s="123"/>
      <c r="AI878" s="123"/>
      <c r="AJ878" s="123"/>
      <c r="AK878" s="46"/>
      <c r="AL878" s="46"/>
      <c r="AM878" s="46"/>
      <c r="AN878" s="46"/>
      <c r="AO878" s="46"/>
    </row>
    <row r="879">
      <c r="A879" s="17"/>
      <c r="B879" s="46"/>
      <c r="C879" s="46"/>
      <c r="D879" s="46"/>
      <c r="E879" s="17"/>
      <c r="F879" s="46"/>
      <c r="G879" s="46"/>
      <c r="H879" s="46"/>
      <c r="I879" s="17"/>
      <c r="J879" s="46"/>
      <c r="K879" s="46"/>
      <c r="L879" s="46"/>
      <c r="M879" s="17"/>
      <c r="N879" s="46"/>
      <c r="O879" s="46"/>
      <c r="P879" s="46"/>
      <c r="Q879" s="46"/>
      <c r="R879" s="46"/>
      <c r="S879" s="46"/>
      <c r="T879" s="46"/>
      <c r="U879" s="46"/>
      <c r="V879" s="46"/>
      <c r="W879" s="46"/>
      <c r="X879" s="46"/>
      <c r="Y879" s="46"/>
      <c r="Z879" s="46"/>
      <c r="AA879" s="46"/>
      <c r="AB879" s="46"/>
      <c r="AC879" s="46"/>
      <c r="AD879" s="46"/>
      <c r="AE879" s="46"/>
      <c r="AF879" s="46"/>
      <c r="AG879" s="123"/>
      <c r="AH879" s="123"/>
      <c r="AI879" s="123"/>
      <c r="AJ879" s="123"/>
      <c r="AK879" s="46"/>
      <c r="AL879" s="46"/>
      <c r="AM879" s="46"/>
      <c r="AN879" s="46"/>
      <c r="AO879" s="46"/>
    </row>
    <row r="880">
      <c r="A880" s="17"/>
      <c r="B880" s="46"/>
      <c r="C880" s="46"/>
      <c r="D880" s="46"/>
      <c r="E880" s="17"/>
      <c r="F880" s="46"/>
      <c r="G880" s="46"/>
      <c r="H880" s="46"/>
      <c r="I880" s="17"/>
      <c r="J880" s="46"/>
      <c r="K880" s="46"/>
      <c r="L880" s="46"/>
      <c r="M880" s="17"/>
      <c r="N880" s="46"/>
      <c r="O880" s="46"/>
      <c r="P880" s="46"/>
      <c r="Q880" s="46"/>
      <c r="R880" s="46"/>
      <c r="S880" s="46"/>
      <c r="T880" s="46"/>
      <c r="U880" s="46"/>
      <c r="V880" s="46"/>
      <c r="W880" s="46"/>
      <c r="X880" s="46"/>
      <c r="Y880" s="46"/>
      <c r="Z880" s="46"/>
      <c r="AA880" s="46"/>
      <c r="AB880" s="46"/>
      <c r="AC880" s="46"/>
      <c r="AD880" s="46"/>
      <c r="AE880" s="46"/>
      <c r="AF880" s="46"/>
      <c r="AG880" s="123"/>
      <c r="AH880" s="123"/>
      <c r="AI880" s="123"/>
      <c r="AJ880" s="123"/>
      <c r="AK880" s="46"/>
      <c r="AL880" s="46"/>
      <c r="AM880" s="46"/>
      <c r="AN880" s="46"/>
      <c r="AO880" s="46"/>
    </row>
    <row r="881">
      <c r="A881" s="17"/>
      <c r="B881" s="46"/>
      <c r="C881" s="46"/>
      <c r="D881" s="46"/>
      <c r="E881" s="17"/>
      <c r="F881" s="46"/>
      <c r="G881" s="46"/>
      <c r="H881" s="46"/>
      <c r="I881" s="17"/>
      <c r="J881" s="46"/>
      <c r="K881" s="46"/>
      <c r="L881" s="46"/>
      <c r="M881" s="17"/>
      <c r="N881" s="46"/>
      <c r="O881" s="46"/>
      <c r="P881" s="46"/>
      <c r="Q881" s="46"/>
      <c r="R881" s="46"/>
      <c r="S881" s="46"/>
      <c r="T881" s="46"/>
      <c r="U881" s="46"/>
      <c r="V881" s="46"/>
      <c r="W881" s="46"/>
      <c r="X881" s="46"/>
      <c r="Y881" s="46"/>
      <c r="Z881" s="46"/>
      <c r="AA881" s="46"/>
      <c r="AB881" s="46"/>
      <c r="AC881" s="46"/>
      <c r="AD881" s="46"/>
      <c r="AE881" s="46"/>
      <c r="AF881" s="46"/>
      <c r="AG881" s="123"/>
      <c r="AH881" s="123"/>
      <c r="AI881" s="123"/>
      <c r="AJ881" s="123"/>
      <c r="AK881" s="46"/>
      <c r="AL881" s="46"/>
      <c r="AM881" s="46"/>
      <c r="AN881" s="46"/>
      <c r="AO881" s="46"/>
    </row>
    <row r="882">
      <c r="A882" s="17"/>
      <c r="B882" s="46"/>
      <c r="C882" s="46"/>
      <c r="D882" s="46"/>
      <c r="E882" s="17"/>
      <c r="F882" s="46"/>
      <c r="G882" s="46"/>
      <c r="H882" s="46"/>
      <c r="I882" s="17"/>
      <c r="J882" s="46"/>
      <c r="K882" s="46"/>
      <c r="L882" s="46"/>
      <c r="M882" s="17"/>
      <c r="N882" s="46"/>
      <c r="O882" s="46"/>
      <c r="P882" s="46"/>
      <c r="Q882" s="46"/>
      <c r="R882" s="46"/>
      <c r="S882" s="46"/>
      <c r="T882" s="46"/>
      <c r="U882" s="46"/>
      <c r="V882" s="46"/>
      <c r="W882" s="46"/>
      <c r="X882" s="46"/>
      <c r="Y882" s="46"/>
      <c r="Z882" s="46"/>
      <c r="AA882" s="46"/>
      <c r="AB882" s="46"/>
      <c r="AC882" s="46"/>
      <c r="AD882" s="46"/>
      <c r="AE882" s="46"/>
      <c r="AF882" s="46"/>
      <c r="AG882" s="123"/>
      <c r="AH882" s="123"/>
      <c r="AI882" s="123"/>
      <c r="AJ882" s="123"/>
      <c r="AK882" s="46"/>
      <c r="AL882" s="46"/>
      <c r="AM882" s="46"/>
      <c r="AN882" s="46"/>
      <c r="AO882" s="46"/>
    </row>
    <row r="883">
      <c r="A883" s="17"/>
      <c r="B883" s="46"/>
      <c r="C883" s="46"/>
      <c r="D883" s="46"/>
      <c r="E883" s="17"/>
      <c r="F883" s="46"/>
      <c r="G883" s="46"/>
      <c r="H883" s="46"/>
      <c r="I883" s="17"/>
      <c r="J883" s="46"/>
      <c r="K883" s="46"/>
      <c r="L883" s="46"/>
      <c r="M883" s="17"/>
      <c r="N883" s="46"/>
      <c r="O883" s="46"/>
      <c r="P883" s="46"/>
      <c r="Q883" s="46"/>
      <c r="R883" s="46"/>
      <c r="S883" s="46"/>
      <c r="T883" s="46"/>
      <c r="U883" s="46"/>
      <c r="V883" s="46"/>
      <c r="W883" s="46"/>
      <c r="X883" s="46"/>
      <c r="Y883" s="46"/>
      <c r="Z883" s="46"/>
      <c r="AA883" s="46"/>
      <c r="AB883" s="46"/>
      <c r="AC883" s="46"/>
      <c r="AD883" s="46"/>
      <c r="AE883" s="46"/>
      <c r="AF883" s="46"/>
      <c r="AG883" s="123"/>
      <c r="AH883" s="123"/>
      <c r="AI883" s="123"/>
      <c r="AJ883" s="123"/>
      <c r="AK883" s="46"/>
      <c r="AL883" s="46"/>
      <c r="AM883" s="46"/>
      <c r="AN883" s="46"/>
      <c r="AO883" s="46"/>
    </row>
    <row r="884">
      <c r="A884" s="17"/>
      <c r="B884" s="46"/>
      <c r="C884" s="46"/>
      <c r="D884" s="46"/>
      <c r="E884" s="17"/>
      <c r="F884" s="46"/>
      <c r="G884" s="46"/>
      <c r="H884" s="46"/>
      <c r="I884" s="17"/>
      <c r="J884" s="46"/>
      <c r="K884" s="46"/>
      <c r="L884" s="46"/>
      <c r="M884" s="17"/>
      <c r="N884" s="46"/>
      <c r="O884" s="46"/>
      <c r="P884" s="46"/>
      <c r="Q884" s="46"/>
      <c r="R884" s="46"/>
      <c r="S884" s="46"/>
      <c r="T884" s="46"/>
      <c r="U884" s="46"/>
      <c r="V884" s="46"/>
      <c r="W884" s="46"/>
      <c r="X884" s="46"/>
      <c r="Y884" s="46"/>
      <c r="Z884" s="46"/>
      <c r="AA884" s="46"/>
      <c r="AB884" s="46"/>
      <c r="AC884" s="46"/>
      <c r="AD884" s="46"/>
      <c r="AE884" s="46"/>
      <c r="AF884" s="46"/>
      <c r="AG884" s="123"/>
      <c r="AH884" s="123"/>
      <c r="AI884" s="123"/>
      <c r="AJ884" s="123"/>
      <c r="AK884" s="46"/>
      <c r="AL884" s="46"/>
      <c r="AM884" s="46"/>
      <c r="AN884" s="46"/>
      <c r="AO884" s="46"/>
    </row>
    <row r="885">
      <c r="A885" s="17"/>
      <c r="B885" s="46"/>
      <c r="C885" s="46"/>
      <c r="D885" s="46"/>
      <c r="E885" s="17"/>
      <c r="F885" s="46"/>
      <c r="G885" s="46"/>
      <c r="H885" s="46"/>
      <c r="I885" s="17"/>
      <c r="J885" s="46"/>
      <c r="K885" s="46"/>
      <c r="L885" s="46"/>
      <c r="M885" s="17"/>
      <c r="N885" s="46"/>
      <c r="O885" s="46"/>
      <c r="P885" s="46"/>
      <c r="Q885" s="46"/>
      <c r="R885" s="46"/>
      <c r="S885" s="46"/>
      <c r="T885" s="46"/>
      <c r="U885" s="46"/>
      <c r="V885" s="46"/>
      <c r="W885" s="46"/>
      <c r="X885" s="46"/>
      <c r="Y885" s="46"/>
      <c r="Z885" s="46"/>
      <c r="AA885" s="46"/>
      <c r="AB885" s="46"/>
      <c r="AC885" s="46"/>
      <c r="AD885" s="46"/>
      <c r="AE885" s="46"/>
      <c r="AF885" s="46"/>
      <c r="AG885" s="123"/>
      <c r="AH885" s="123"/>
      <c r="AI885" s="123"/>
      <c r="AJ885" s="123"/>
      <c r="AK885" s="46"/>
      <c r="AL885" s="46"/>
      <c r="AM885" s="46"/>
      <c r="AN885" s="46"/>
      <c r="AO885" s="46"/>
    </row>
    <row r="886">
      <c r="A886" s="17"/>
      <c r="B886" s="46"/>
      <c r="C886" s="46"/>
      <c r="D886" s="46"/>
      <c r="E886" s="17"/>
      <c r="F886" s="46"/>
      <c r="G886" s="46"/>
      <c r="H886" s="46"/>
      <c r="I886" s="17"/>
      <c r="J886" s="46"/>
      <c r="K886" s="46"/>
      <c r="L886" s="46"/>
      <c r="M886" s="17"/>
      <c r="N886" s="46"/>
      <c r="O886" s="46"/>
      <c r="P886" s="46"/>
      <c r="Q886" s="46"/>
      <c r="R886" s="46"/>
      <c r="S886" s="46"/>
      <c r="T886" s="46"/>
      <c r="U886" s="46"/>
      <c r="V886" s="46"/>
      <c r="W886" s="46"/>
      <c r="X886" s="46"/>
      <c r="Y886" s="46"/>
      <c r="Z886" s="46"/>
      <c r="AA886" s="46"/>
      <c r="AB886" s="46"/>
      <c r="AC886" s="46"/>
      <c r="AD886" s="46"/>
      <c r="AE886" s="46"/>
      <c r="AF886" s="46"/>
      <c r="AG886" s="123"/>
      <c r="AH886" s="123"/>
      <c r="AI886" s="123"/>
      <c r="AJ886" s="123"/>
      <c r="AK886" s="46"/>
      <c r="AL886" s="46"/>
      <c r="AM886" s="46"/>
      <c r="AN886" s="46"/>
      <c r="AO886" s="46"/>
    </row>
    <row r="887">
      <c r="A887" s="17"/>
      <c r="B887" s="46"/>
      <c r="C887" s="46"/>
      <c r="D887" s="46"/>
      <c r="E887" s="17"/>
      <c r="F887" s="46"/>
      <c r="G887" s="46"/>
      <c r="H887" s="46"/>
      <c r="I887" s="17"/>
      <c r="J887" s="46"/>
      <c r="K887" s="46"/>
      <c r="L887" s="46"/>
      <c r="M887" s="17"/>
      <c r="N887" s="46"/>
      <c r="O887" s="46"/>
      <c r="P887" s="46"/>
      <c r="Q887" s="46"/>
      <c r="R887" s="46"/>
      <c r="S887" s="46"/>
      <c r="T887" s="46"/>
      <c r="U887" s="46"/>
      <c r="V887" s="46"/>
      <c r="W887" s="46"/>
      <c r="X887" s="46"/>
      <c r="Y887" s="46"/>
      <c r="Z887" s="46"/>
      <c r="AA887" s="46"/>
      <c r="AB887" s="46"/>
      <c r="AC887" s="46"/>
      <c r="AD887" s="46"/>
      <c r="AE887" s="46"/>
      <c r="AF887" s="46"/>
      <c r="AG887" s="123"/>
      <c r="AH887" s="123"/>
      <c r="AI887" s="123"/>
      <c r="AJ887" s="123"/>
      <c r="AK887" s="46"/>
      <c r="AL887" s="46"/>
      <c r="AM887" s="46"/>
      <c r="AN887" s="46"/>
      <c r="AO887" s="46"/>
    </row>
    <row r="888">
      <c r="A888" s="17"/>
      <c r="B888" s="46"/>
      <c r="C888" s="46"/>
      <c r="D888" s="46"/>
      <c r="E888" s="17"/>
      <c r="F888" s="46"/>
      <c r="G888" s="46"/>
      <c r="H888" s="46"/>
      <c r="I888" s="17"/>
      <c r="J888" s="46"/>
      <c r="K888" s="46"/>
      <c r="L888" s="46"/>
      <c r="M888" s="17"/>
      <c r="N888" s="46"/>
      <c r="O888" s="46"/>
      <c r="P888" s="46"/>
      <c r="Q888" s="46"/>
      <c r="R888" s="46"/>
      <c r="S888" s="46"/>
      <c r="T888" s="46"/>
      <c r="U888" s="46"/>
      <c r="V888" s="46"/>
      <c r="W888" s="46"/>
      <c r="X888" s="46"/>
      <c r="Y888" s="46"/>
      <c r="Z888" s="46"/>
      <c r="AA888" s="46"/>
      <c r="AB888" s="46"/>
      <c r="AC888" s="46"/>
      <c r="AD888" s="46"/>
      <c r="AE888" s="46"/>
      <c r="AF888" s="46"/>
      <c r="AG888" s="123"/>
      <c r="AH888" s="123"/>
      <c r="AI888" s="123"/>
      <c r="AJ888" s="123"/>
      <c r="AK888" s="46"/>
      <c r="AL888" s="46"/>
      <c r="AM888" s="46"/>
      <c r="AN888" s="46"/>
      <c r="AO888" s="46"/>
    </row>
    <row r="889">
      <c r="A889" s="17"/>
      <c r="B889" s="46"/>
      <c r="C889" s="46"/>
      <c r="D889" s="46"/>
      <c r="E889" s="17"/>
      <c r="F889" s="46"/>
      <c r="G889" s="46"/>
      <c r="H889" s="46"/>
      <c r="I889" s="17"/>
      <c r="J889" s="46"/>
      <c r="K889" s="46"/>
      <c r="L889" s="46"/>
      <c r="M889" s="17"/>
      <c r="N889" s="46"/>
      <c r="O889" s="46"/>
      <c r="P889" s="46"/>
      <c r="Q889" s="46"/>
      <c r="R889" s="46"/>
      <c r="S889" s="46"/>
      <c r="T889" s="46"/>
      <c r="U889" s="46"/>
      <c r="V889" s="46"/>
      <c r="W889" s="46"/>
      <c r="X889" s="46"/>
      <c r="Y889" s="46"/>
      <c r="Z889" s="46"/>
      <c r="AA889" s="46"/>
      <c r="AB889" s="46"/>
      <c r="AC889" s="46"/>
      <c r="AD889" s="46"/>
      <c r="AE889" s="46"/>
      <c r="AF889" s="46"/>
      <c r="AG889" s="123"/>
      <c r="AH889" s="123"/>
      <c r="AI889" s="123"/>
      <c r="AJ889" s="123"/>
      <c r="AK889" s="46"/>
      <c r="AL889" s="46"/>
      <c r="AM889" s="46"/>
      <c r="AN889" s="46"/>
      <c r="AO889" s="46"/>
    </row>
    <row r="890">
      <c r="A890" s="17"/>
      <c r="B890" s="46"/>
      <c r="C890" s="46"/>
      <c r="D890" s="46"/>
      <c r="E890" s="17"/>
      <c r="F890" s="46"/>
      <c r="G890" s="46"/>
      <c r="H890" s="46"/>
      <c r="I890" s="17"/>
      <c r="J890" s="46"/>
      <c r="K890" s="46"/>
      <c r="L890" s="46"/>
      <c r="M890" s="17"/>
      <c r="N890" s="46"/>
      <c r="O890" s="46"/>
      <c r="P890" s="46"/>
      <c r="Q890" s="46"/>
      <c r="R890" s="46"/>
      <c r="S890" s="46"/>
      <c r="T890" s="46"/>
      <c r="U890" s="46"/>
      <c r="V890" s="46"/>
      <c r="W890" s="46"/>
      <c r="X890" s="46"/>
      <c r="Y890" s="46"/>
      <c r="Z890" s="46"/>
      <c r="AA890" s="46"/>
      <c r="AB890" s="46"/>
      <c r="AC890" s="46"/>
      <c r="AD890" s="46"/>
      <c r="AE890" s="46"/>
      <c r="AF890" s="46"/>
      <c r="AG890" s="123"/>
      <c r="AH890" s="123"/>
      <c r="AI890" s="123"/>
      <c r="AJ890" s="123"/>
      <c r="AK890" s="46"/>
      <c r="AL890" s="46"/>
      <c r="AM890" s="46"/>
      <c r="AN890" s="46"/>
      <c r="AO890" s="46"/>
    </row>
    <row r="891">
      <c r="A891" s="17"/>
      <c r="B891" s="46"/>
      <c r="C891" s="46"/>
      <c r="D891" s="46"/>
      <c r="E891" s="17"/>
      <c r="F891" s="46"/>
      <c r="G891" s="46"/>
      <c r="H891" s="46"/>
      <c r="I891" s="17"/>
      <c r="J891" s="46"/>
      <c r="K891" s="46"/>
      <c r="L891" s="46"/>
      <c r="M891" s="17"/>
      <c r="N891" s="46"/>
      <c r="O891" s="46"/>
      <c r="P891" s="46"/>
      <c r="Q891" s="46"/>
      <c r="R891" s="46"/>
      <c r="S891" s="46"/>
      <c r="T891" s="46"/>
      <c r="U891" s="46"/>
      <c r="V891" s="46"/>
      <c r="W891" s="46"/>
      <c r="X891" s="46"/>
      <c r="Y891" s="46"/>
      <c r="Z891" s="46"/>
      <c r="AA891" s="46"/>
      <c r="AB891" s="46"/>
      <c r="AC891" s="46"/>
      <c r="AD891" s="46"/>
      <c r="AE891" s="46"/>
      <c r="AF891" s="46"/>
      <c r="AG891" s="123"/>
      <c r="AH891" s="123"/>
      <c r="AI891" s="123"/>
      <c r="AJ891" s="123"/>
      <c r="AK891" s="46"/>
      <c r="AL891" s="46"/>
      <c r="AM891" s="46"/>
      <c r="AN891" s="46"/>
      <c r="AO891" s="46"/>
    </row>
    <row r="892">
      <c r="A892" s="17"/>
      <c r="B892" s="46"/>
      <c r="C892" s="46"/>
      <c r="D892" s="46"/>
      <c r="E892" s="17"/>
      <c r="F892" s="46"/>
      <c r="G892" s="46"/>
      <c r="H892" s="46"/>
      <c r="I892" s="17"/>
      <c r="J892" s="46"/>
      <c r="K892" s="46"/>
      <c r="L892" s="46"/>
      <c r="M892" s="17"/>
      <c r="N892" s="46"/>
      <c r="O892" s="46"/>
      <c r="P892" s="46"/>
      <c r="Q892" s="46"/>
      <c r="R892" s="46"/>
      <c r="S892" s="46"/>
      <c r="T892" s="46"/>
      <c r="U892" s="46"/>
      <c r="V892" s="46"/>
      <c r="W892" s="46"/>
      <c r="X892" s="46"/>
      <c r="Y892" s="46"/>
      <c r="Z892" s="46"/>
      <c r="AA892" s="46"/>
      <c r="AB892" s="46"/>
      <c r="AC892" s="46"/>
      <c r="AD892" s="46"/>
      <c r="AE892" s="46"/>
      <c r="AF892" s="46"/>
      <c r="AG892" s="123"/>
      <c r="AH892" s="123"/>
      <c r="AI892" s="123"/>
      <c r="AJ892" s="123"/>
      <c r="AK892" s="46"/>
      <c r="AL892" s="46"/>
      <c r="AM892" s="46"/>
      <c r="AN892" s="46"/>
      <c r="AO892" s="46"/>
    </row>
    <row r="893">
      <c r="A893" s="17"/>
      <c r="B893" s="46"/>
      <c r="C893" s="46"/>
      <c r="D893" s="46"/>
      <c r="E893" s="17"/>
      <c r="F893" s="46"/>
      <c r="G893" s="46"/>
      <c r="H893" s="46"/>
      <c r="I893" s="17"/>
      <c r="J893" s="46"/>
      <c r="K893" s="46"/>
      <c r="L893" s="46"/>
      <c r="M893" s="17"/>
      <c r="N893" s="46"/>
      <c r="O893" s="46"/>
      <c r="P893" s="46"/>
      <c r="Q893" s="46"/>
      <c r="R893" s="46"/>
      <c r="S893" s="46"/>
      <c r="T893" s="46"/>
      <c r="U893" s="46"/>
      <c r="V893" s="46"/>
      <c r="W893" s="46"/>
      <c r="X893" s="46"/>
      <c r="Y893" s="46"/>
      <c r="Z893" s="46"/>
      <c r="AA893" s="46"/>
      <c r="AB893" s="46"/>
      <c r="AC893" s="46"/>
      <c r="AD893" s="46"/>
      <c r="AE893" s="46"/>
      <c r="AF893" s="46"/>
      <c r="AG893" s="123"/>
      <c r="AH893" s="123"/>
      <c r="AI893" s="123"/>
      <c r="AJ893" s="123"/>
      <c r="AK893" s="46"/>
      <c r="AL893" s="46"/>
      <c r="AM893" s="46"/>
      <c r="AN893" s="46"/>
      <c r="AO893" s="46"/>
    </row>
    <row r="894">
      <c r="A894" s="17"/>
      <c r="B894" s="46"/>
      <c r="C894" s="46"/>
      <c r="D894" s="46"/>
      <c r="E894" s="17"/>
      <c r="F894" s="46"/>
      <c r="G894" s="46"/>
      <c r="H894" s="46"/>
      <c r="I894" s="17"/>
      <c r="J894" s="46"/>
      <c r="K894" s="46"/>
      <c r="L894" s="46"/>
      <c r="M894" s="17"/>
      <c r="N894" s="46"/>
      <c r="O894" s="46"/>
      <c r="P894" s="46"/>
      <c r="Q894" s="46"/>
      <c r="R894" s="46"/>
      <c r="S894" s="46"/>
      <c r="T894" s="46"/>
      <c r="U894" s="46"/>
      <c r="V894" s="46"/>
      <c r="W894" s="46"/>
      <c r="X894" s="46"/>
      <c r="Y894" s="46"/>
      <c r="Z894" s="46"/>
      <c r="AA894" s="46"/>
      <c r="AB894" s="46"/>
      <c r="AC894" s="46"/>
      <c r="AD894" s="46"/>
      <c r="AE894" s="46"/>
      <c r="AF894" s="46"/>
      <c r="AG894" s="123"/>
      <c r="AH894" s="123"/>
      <c r="AI894" s="123"/>
      <c r="AJ894" s="123"/>
      <c r="AK894" s="46"/>
      <c r="AL894" s="46"/>
      <c r="AM894" s="46"/>
      <c r="AN894" s="46"/>
      <c r="AO894" s="46"/>
    </row>
    <row r="895">
      <c r="A895" s="17"/>
      <c r="B895" s="46"/>
      <c r="C895" s="46"/>
      <c r="D895" s="46"/>
      <c r="E895" s="17"/>
      <c r="F895" s="46"/>
      <c r="G895" s="46"/>
      <c r="H895" s="46"/>
      <c r="I895" s="17"/>
      <c r="J895" s="46"/>
      <c r="K895" s="46"/>
      <c r="L895" s="46"/>
      <c r="M895" s="17"/>
      <c r="N895" s="46"/>
      <c r="O895" s="46"/>
      <c r="P895" s="46"/>
      <c r="Q895" s="46"/>
      <c r="R895" s="46"/>
      <c r="S895" s="46"/>
      <c r="T895" s="46"/>
      <c r="U895" s="46"/>
      <c r="V895" s="46"/>
      <c r="W895" s="46"/>
      <c r="X895" s="46"/>
      <c r="Y895" s="46"/>
      <c r="Z895" s="46"/>
      <c r="AA895" s="46"/>
      <c r="AB895" s="46"/>
      <c r="AC895" s="46"/>
      <c r="AD895" s="46"/>
      <c r="AE895" s="46"/>
      <c r="AF895" s="46"/>
      <c r="AG895" s="123"/>
      <c r="AH895" s="123"/>
      <c r="AI895" s="123"/>
      <c r="AJ895" s="123"/>
      <c r="AK895" s="46"/>
      <c r="AL895" s="46"/>
      <c r="AM895" s="46"/>
      <c r="AN895" s="46"/>
      <c r="AO895" s="46"/>
    </row>
    <row r="896">
      <c r="A896" s="17"/>
      <c r="B896" s="46"/>
      <c r="C896" s="46"/>
      <c r="D896" s="46"/>
      <c r="E896" s="17"/>
      <c r="F896" s="46"/>
      <c r="G896" s="46"/>
      <c r="H896" s="46"/>
      <c r="I896" s="17"/>
      <c r="J896" s="46"/>
      <c r="K896" s="46"/>
      <c r="L896" s="46"/>
      <c r="M896" s="17"/>
      <c r="N896" s="46"/>
      <c r="O896" s="46"/>
      <c r="P896" s="46"/>
      <c r="Q896" s="46"/>
      <c r="R896" s="46"/>
      <c r="S896" s="46"/>
      <c r="T896" s="46"/>
      <c r="U896" s="46"/>
      <c r="V896" s="46"/>
      <c r="W896" s="46"/>
      <c r="X896" s="46"/>
      <c r="Y896" s="46"/>
      <c r="Z896" s="46"/>
      <c r="AA896" s="46"/>
      <c r="AB896" s="46"/>
      <c r="AC896" s="46"/>
      <c r="AD896" s="46"/>
      <c r="AE896" s="46"/>
      <c r="AF896" s="46"/>
      <c r="AG896" s="123"/>
      <c r="AH896" s="123"/>
      <c r="AI896" s="123"/>
      <c r="AJ896" s="123"/>
      <c r="AK896" s="46"/>
      <c r="AL896" s="46"/>
      <c r="AM896" s="46"/>
      <c r="AN896" s="46"/>
      <c r="AO896" s="46"/>
    </row>
    <row r="897">
      <c r="A897" s="17"/>
      <c r="B897" s="46"/>
      <c r="C897" s="46"/>
      <c r="D897" s="46"/>
      <c r="E897" s="17"/>
      <c r="F897" s="46"/>
      <c r="G897" s="46"/>
      <c r="H897" s="46"/>
      <c r="I897" s="17"/>
      <c r="J897" s="46"/>
      <c r="K897" s="46"/>
      <c r="L897" s="46"/>
      <c r="M897" s="17"/>
      <c r="N897" s="46"/>
      <c r="O897" s="46"/>
      <c r="P897" s="46"/>
      <c r="Q897" s="46"/>
      <c r="R897" s="46"/>
      <c r="S897" s="46"/>
      <c r="T897" s="46"/>
      <c r="U897" s="46"/>
      <c r="V897" s="46"/>
      <c r="W897" s="46"/>
      <c r="X897" s="46"/>
      <c r="Y897" s="46"/>
      <c r="Z897" s="46"/>
      <c r="AA897" s="46"/>
      <c r="AB897" s="46"/>
      <c r="AC897" s="46"/>
      <c r="AD897" s="46"/>
      <c r="AE897" s="46"/>
      <c r="AF897" s="46"/>
      <c r="AG897" s="123"/>
      <c r="AH897" s="123"/>
      <c r="AI897" s="123"/>
      <c r="AJ897" s="123"/>
      <c r="AK897" s="46"/>
      <c r="AL897" s="46"/>
      <c r="AM897" s="46"/>
      <c r="AN897" s="46"/>
      <c r="AO897" s="46"/>
    </row>
    <row r="898">
      <c r="A898" s="17"/>
      <c r="B898" s="46"/>
      <c r="C898" s="46"/>
      <c r="D898" s="46"/>
      <c r="E898" s="17"/>
      <c r="F898" s="46"/>
      <c r="G898" s="46"/>
      <c r="H898" s="46"/>
      <c r="I898" s="17"/>
      <c r="J898" s="46"/>
      <c r="K898" s="46"/>
      <c r="L898" s="46"/>
      <c r="M898" s="17"/>
      <c r="N898" s="46"/>
      <c r="O898" s="46"/>
      <c r="P898" s="46"/>
      <c r="Q898" s="46"/>
      <c r="R898" s="46"/>
      <c r="S898" s="46"/>
      <c r="T898" s="46"/>
      <c r="U898" s="46"/>
      <c r="V898" s="46"/>
      <c r="W898" s="46"/>
      <c r="X898" s="46"/>
      <c r="Y898" s="46"/>
      <c r="Z898" s="46"/>
      <c r="AA898" s="46"/>
      <c r="AB898" s="46"/>
      <c r="AC898" s="46"/>
      <c r="AD898" s="46"/>
      <c r="AE898" s="46"/>
      <c r="AF898" s="46"/>
      <c r="AG898" s="123"/>
      <c r="AH898" s="123"/>
      <c r="AI898" s="123"/>
      <c r="AJ898" s="123"/>
      <c r="AK898" s="46"/>
      <c r="AL898" s="46"/>
      <c r="AM898" s="46"/>
      <c r="AN898" s="46"/>
      <c r="AO898" s="46"/>
    </row>
    <row r="899">
      <c r="A899" s="17"/>
      <c r="B899" s="46"/>
      <c r="C899" s="46"/>
      <c r="D899" s="46"/>
      <c r="E899" s="17"/>
      <c r="F899" s="46"/>
      <c r="G899" s="46"/>
      <c r="H899" s="46"/>
      <c r="I899" s="17"/>
      <c r="J899" s="46"/>
      <c r="K899" s="46"/>
      <c r="L899" s="46"/>
      <c r="M899" s="17"/>
      <c r="N899" s="46"/>
      <c r="O899" s="46"/>
      <c r="P899" s="46"/>
      <c r="Q899" s="46"/>
      <c r="R899" s="46"/>
      <c r="S899" s="46"/>
      <c r="T899" s="46"/>
      <c r="U899" s="46"/>
      <c r="V899" s="46"/>
      <c r="W899" s="46"/>
      <c r="X899" s="46"/>
      <c r="Y899" s="46"/>
      <c r="Z899" s="46"/>
      <c r="AA899" s="46"/>
      <c r="AB899" s="46"/>
      <c r="AC899" s="46"/>
      <c r="AD899" s="46"/>
      <c r="AE899" s="46"/>
      <c r="AF899" s="46"/>
      <c r="AG899" s="123"/>
      <c r="AH899" s="123"/>
      <c r="AI899" s="123"/>
      <c r="AJ899" s="123"/>
      <c r="AK899" s="46"/>
      <c r="AL899" s="46"/>
      <c r="AM899" s="46"/>
      <c r="AN899" s="46"/>
      <c r="AO899" s="46"/>
    </row>
    <row r="900">
      <c r="A900" s="17"/>
      <c r="B900" s="46"/>
      <c r="C900" s="46"/>
      <c r="D900" s="46"/>
      <c r="E900" s="17"/>
      <c r="F900" s="46"/>
      <c r="G900" s="46"/>
      <c r="H900" s="46"/>
      <c r="I900" s="17"/>
      <c r="J900" s="46"/>
      <c r="K900" s="46"/>
      <c r="L900" s="46"/>
      <c r="M900" s="17"/>
      <c r="N900" s="46"/>
      <c r="O900" s="46"/>
      <c r="P900" s="46"/>
      <c r="Q900" s="46"/>
      <c r="R900" s="46"/>
      <c r="S900" s="46"/>
      <c r="T900" s="46"/>
      <c r="U900" s="46"/>
      <c r="V900" s="46"/>
      <c r="W900" s="46"/>
      <c r="X900" s="46"/>
      <c r="Y900" s="46"/>
      <c r="Z900" s="46"/>
      <c r="AA900" s="46"/>
      <c r="AB900" s="46"/>
      <c r="AC900" s="46"/>
      <c r="AD900" s="46"/>
      <c r="AE900" s="46"/>
      <c r="AF900" s="46"/>
      <c r="AG900" s="123"/>
      <c r="AH900" s="123"/>
      <c r="AI900" s="123"/>
      <c r="AJ900" s="123"/>
      <c r="AK900" s="46"/>
      <c r="AL900" s="46"/>
      <c r="AM900" s="46"/>
      <c r="AN900" s="46"/>
      <c r="AO900" s="46"/>
    </row>
    <row r="901">
      <c r="A901" s="17"/>
      <c r="B901" s="46"/>
      <c r="C901" s="46"/>
      <c r="D901" s="46"/>
      <c r="E901" s="17"/>
      <c r="F901" s="46"/>
      <c r="G901" s="46"/>
      <c r="H901" s="46"/>
      <c r="I901" s="17"/>
      <c r="J901" s="46"/>
      <c r="K901" s="46"/>
      <c r="L901" s="46"/>
      <c r="M901" s="17"/>
      <c r="N901" s="46"/>
      <c r="O901" s="46"/>
      <c r="P901" s="46"/>
      <c r="Q901" s="46"/>
      <c r="R901" s="46"/>
      <c r="S901" s="46"/>
      <c r="T901" s="46"/>
      <c r="U901" s="46"/>
      <c r="V901" s="46"/>
      <c r="W901" s="46"/>
      <c r="X901" s="46"/>
      <c r="Y901" s="46"/>
      <c r="Z901" s="46"/>
      <c r="AA901" s="46"/>
      <c r="AB901" s="46"/>
      <c r="AC901" s="46"/>
      <c r="AD901" s="46"/>
      <c r="AE901" s="46"/>
      <c r="AF901" s="46"/>
      <c r="AG901" s="123"/>
      <c r="AH901" s="123"/>
      <c r="AI901" s="123"/>
      <c r="AJ901" s="123"/>
      <c r="AK901" s="46"/>
      <c r="AL901" s="46"/>
      <c r="AM901" s="46"/>
      <c r="AN901" s="46"/>
      <c r="AO901" s="46"/>
    </row>
    <row r="902">
      <c r="A902" s="17"/>
      <c r="B902" s="46"/>
      <c r="C902" s="46"/>
      <c r="D902" s="46"/>
      <c r="E902" s="17"/>
      <c r="F902" s="46"/>
      <c r="G902" s="46"/>
      <c r="H902" s="46"/>
      <c r="I902" s="17"/>
      <c r="J902" s="46"/>
      <c r="K902" s="46"/>
      <c r="L902" s="46"/>
      <c r="M902" s="17"/>
      <c r="N902" s="46"/>
      <c r="O902" s="46"/>
      <c r="P902" s="46"/>
      <c r="Q902" s="46"/>
      <c r="R902" s="46"/>
      <c r="S902" s="46"/>
      <c r="T902" s="46"/>
      <c r="U902" s="46"/>
      <c r="V902" s="46"/>
      <c r="W902" s="46"/>
      <c r="X902" s="46"/>
      <c r="Y902" s="46"/>
      <c r="Z902" s="46"/>
      <c r="AA902" s="46"/>
      <c r="AB902" s="46"/>
      <c r="AC902" s="46"/>
      <c r="AD902" s="46"/>
      <c r="AE902" s="46"/>
      <c r="AF902" s="46"/>
      <c r="AG902" s="123"/>
      <c r="AH902" s="123"/>
      <c r="AI902" s="123"/>
      <c r="AJ902" s="123"/>
      <c r="AK902" s="46"/>
      <c r="AL902" s="46"/>
      <c r="AM902" s="46"/>
      <c r="AN902" s="46"/>
      <c r="AO902" s="46"/>
    </row>
    <row r="903">
      <c r="A903" s="17"/>
      <c r="B903" s="46"/>
      <c r="C903" s="46"/>
      <c r="D903" s="46"/>
      <c r="E903" s="17"/>
      <c r="F903" s="46"/>
      <c r="G903" s="46"/>
      <c r="H903" s="46"/>
      <c r="I903" s="17"/>
      <c r="J903" s="46"/>
      <c r="K903" s="46"/>
      <c r="L903" s="46"/>
      <c r="M903" s="17"/>
      <c r="N903" s="46"/>
      <c r="O903" s="46"/>
      <c r="P903" s="46"/>
      <c r="Q903" s="46"/>
      <c r="R903" s="46"/>
      <c r="S903" s="46"/>
      <c r="T903" s="46"/>
      <c r="U903" s="46"/>
      <c r="V903" s="46"/>
      <c r="W903" s="46"/>
      <c r="X903" s="46"/>
      <c r="Y903" s="46"/>
      <c r="Z903" s="46"/>
      <c r="AA903" s="46"/>
      <c r="AB903" s="46"/>
      <c r="AC903" s="46"/>
      <c r="AD903" s="46"/>
      <c r="AE903" s="46"/>
      <c r="AF903" s="46"/>
      <c r="AG903" s="123"/>
      <c r="AH903" s="123"/>
      <c r="AI903" s="123"/>
      <c r="AJ903" s="123"/>
      <c r="AK903" s="46"/>
      <c r="AL903" s="46"/>
      <c r="AM903" s="46"/>
      <c r="AN903" s="46"/>
      <c r="AO903" s="46"/>
    </row>
    <row r="904">
      <c r="A904" s="17"/>
      <c r="B904" s="46"/>
      <c r="C904" s="46"/>
      <c r="D904" s="46"/>
      <c r="E904" s="17"/>
      <c r="F904" s="46"/>
      <c r="G904" s="46"/>
      <c r="H904" s="46"/>
      <c r="I904" s="17"/>
      <c r="J904" s="46"/>
      <c r="K904" s="46"/>
      <c r="L904" s="46"/>
      <c r="M904" s="17"/>
      <c r="N904" s="46"/>
      <c r="O904" s="46"/>
      <c r="P904" s="46"/>
      <c r="Q904" s="46"/>
      <c r="R904" s="46"/>
      <c r="S904" s="46"/>
      <c r="T904" s="46"/>
      <c r="U904" s="46"/>
      <c r="V904" s="46"/>
      <c r="W904" s="46"/>
      <c r="X904" s="46"/>
      <c r="Y904" s="46"/>
      <c r="Z904" s="46"/>
      <c r="AA904" s="46"/>
      <c r="AB904" s="46"/>
      <c r="AC904" s="46"/>
      <c r="AD904" s="46"/>
      <c r="AE904" s="46"/>
      <c r="AF904" s="46"/>
      <c r="AG904" s="123"/>
      <c r="AH904" s="123"/>
      <c r="AI904" s="123"/>
      <c r="AJ904" s="123"/>
      <c r="AK904" s="46"/>
      <c r="AL904" s="46"/>
      <c r="AM904" s="46"/>
      <c r="AN904" s="46"/>
      <c r="AO904" s="46"/>
    </row>
    <row r="905">
      <c r="A905" s="17"/>
      <c r="B905" s="46"/>
      <c r="C905" s="46"/>
      <c r="D905" s="46"/>
      <c r="E905" s="17"/>
      <c r="F905" s="46"/>
      <c r="G905" s="46"/>
      <c r="H905" s="46"/>
      <c r="I905" s="17"/>
      <c r="J905" s="46"/>
      <c r="K905" s="46"/>
      <c r="L905" s="46"/>
      <c r="M905" s="17"/>
      <c r="N905" s="46"/>
      <c r="O905" s="46"/>
      <c r="P905" s="46"/>
      <c r="Q905" s="46"/>
      <c r="R905" s="46"/>
      <c r="S905" s="46"/>
      <c r="T905" s="46"/>
      <c r="U905" s="46"/>
      <c r="V905" s="46"/>
      <c r="W905" s="46"/>
      <c r="X905" s="46"/>
      <c r="Y905" s="46"/>
      <c r="Z905" s="46"/>
      <c r="AA905" s="46"/>
      <c r="AB905" s="46"/>
      <c r="AC905" s="46"/>
      <c r="AD905" s="46"/>
      <c r="AE905" s="46"/>
      <c r="AF905" s="46"/>
      <c r="AG905" s="123"/>
      <c r="AH905" s="123"/>
      <c r="AI905" s="123"/>
      <c r="AJ905" s="123"/>
      <c r="AK905" s="46"/>
      <c r="AL905" s="46"/>
      <c r="AM905" s="46"/>
      <c r="AN905" s="46"/>
      <c r="AO905" s="46"/>
    </row>
    <row r="906">
      <c r="A906" s="17"/>
      <c r="B906" s="46"/>
      <c r="C906" s="46"/>
      <c r="D906" s="46"/>
      <c r="E906" s="17"/>
      <c r="F906" s="46"/>
      <c r="G906" s="46"/>
      <c r="H906" s="46"/>
      <c r="I906" s="17"/>
      <c r="J906" s="46"/>
      <c r="K906" s="46"/>
      <c r="L906" s="46"/>
      <c r="M906" s="17"/>
      <c r="N906" s="46"/>
      <c r="O906" s="46"/>
      <c r="P906" s="46"/>
      <c r="Q906" s="46"/>
      <c r="R906" s="46"/>
      <c r="S906" s="46"/>
      <c r="T906" s="46"/>
      <c r="U906" s="46"/>
      <c r="V906" s="46"/>
      <c r="W906" s="46"/>
      <c r="X906" s="46"/>
      <c r="Y906" s="46"/>
      <c r="Z906" s="46"/>
      <c r="AA906" s="46"/>
      <c r="AB906" s="46"/>
      <c r="AC906" s="46"/>
      <c r="AD906" s="46"/>
      <c r="AE906" s="46"/>
      <c r="AF906" s="46"/>
      <c r="AG906" s="123"/>
      <c r="AH906" s="123"/>
      <c r="AI906" s="123"/>
      <c r="AJ906" s="123"/>
      <c r="AK906" s="46"/>
      <c r="AL906" s="46"/>
      <c r="AM906" s="46"/>
      <c r="AN906" s="46"/>
      <c r="AO906" s="46"/>
    </row>
    <row r="907">
      <c r="A907" s="17"/>
      <c r="B907" s="46"/>
      <c r="C907" s="46"/>
      <c r="D907" s="46"/>
      <c r="E907" s="17"/>
      <c r="F907" s="46"/>
      <c r="G907" s="46"/>
      <c r="H907" s="46"/>
      <c r="I907" s="17"/>
      <c r="J907" s="46"/>
      <c r="K907" s="46"/>
      <c r="L907" s="46"/>
      <c r="M907" s="17"/>
      <c r="N907" s="46"/>
      <c r="O907" s="46"/>
      <c r="P907" s="46"/>
      <c r="Q907" s="46"/>
      <c r="R907" s="46"/>
      <c r="S907" s="46"/>
      <c r="T907" s="46"/>
      <c r="U907" s="46"/>
      <c r="V907" s="46"/>
      <c r="W907" s="46"/>
      <c r="X907" s="46"/>
      <c r="Y907" s="46"/>
      <c r="Z907" s="46"/>
      <c r="AA907" s="46"/>
      <c r="AB907" s="46"/>
      <c r="AC907" s="46"/>
      <c r="AD907" s="46"/>
      <c r="AE907" s="46"/>
      <c r="AF907" s="46"/>
      <c r="AG907" s="123"/>
      <c r="AH907" s="123"/>
      <c r="AI907" s="123"/>
      <c r="AJ907" s="123"/>
      <c r="AK907" s="46"/>
      <c r="AL907" s="46"/>
      <c r="AM907" s="46"/>
      <c r="AN907" s="46"/>
      <c r="AO907" s="46"/>
    </row>
    <row r="908">
      <c r="A908" s="17"/>
      <c r="B908" s="46"/>
      <c r="C908" s="46"/>
      <c r="D908" s="46"/>
      <c r="E908" s="17"/>
      <c r="F908" s="46"/>
      <c r="G908" s="46"/>
      <c r="H908" s="46"/>
      <c r="I908" s="17"/>
      <c r="J908" s="46"/>
      <c r="K908" s="46"/>
      <c r="L908" s="46"/>
      <c r="M908" s="17"/>
      <c r="N908" s="46"/>
      <c r="O908" s="46"/>
      <c r="P908" s="46"/>
      <c r="Q908" s="46"/>
      <c r="R908" s="46"/>
      <c r="S908" s="46"/>
      <c r="T908" s="46"/>
      <c r="U908" s="46"/>
      <c r="V908" s="46"/>
      <c r="W908" s="46"/>
      <c r="X908" s="46"/>
      <c r="Y908" s="46"/>
      <c r="Z908" s="46"/>
      <c r="AA908" s="46"/>
      <c r="AB908" s="46"/>
      <c r="AC908" s="46"/>
      <c r="AD908" s="46"/>
      <c r="AE908" s="46"/>
      <c r="AF908" s="46"/>
      <c r="AG908" s="123"/>
      <c r="AH908" s="123"/>
      <c r="AI908" s="123"/>
      <c r="AJ908" s="123"/>
      <c r="AK908" s="46"/>
      <c r="AL908" s="46"/>
      <c r="AM908" s="46"/>
      <c r="AN908" s="46"/>
      <c r="AO908" s="46"/>
    </row>
    <row r="909">
      <c r="A909" s="17"/>
      <c r="B909" s="46"/>
      <c r="C909" s="46"/>
      <c r="D909" s="46"/>
      <c r="E909" s="17"/>
      <c r="F909" s="46"/>
      <c r="G909" s="46"/>
      <c r="H909" s="46"/>
      <c r="I909" s="17"/>
      <c r="J909" s="46"/>
      <c r="K909" s="46"/>
      <c r="L909" s="46"/>
      <c r="M909" s="17"/>
      <c r="N909" s="46"/>
      <c r="O909" s="46"/>
      <c r="P909" s="46"/>
      <c r="Q909" s="46"/>
      <c r="R909" s="46"/>
      <c r="S909" s="46"/>
      <c r="T909" s="46"/>
      <c r="U909" s="46"/>
      <c r="V909" s="46"/>
      <c r="W909" s="46"/>
      <c r="X909" s="46"/>
      <c r="Y909" s="46"/>
      <c r="Z909" s="46"/>
      <c r="AA909" s="46"/>
      <c r="AB909" s="46"/>
      <c r="AC909" s="46"/>
      <c r="AD909" s="46"/>
      <c r="AE909" s="46"/>
      <c r="AF909" s="46"/>
      <c r="AG909" s="123"/>
      <c r="AH909" s="123"/>
      <c r="AI909" s="123"/>
      <c r="AJ909" s="123"/>
      <c r="AK909" s="46"/>
      <c r="AL909" s="46"/>
      <c r="AM909" s="46"/>
      <c r="AN909" s="46"/>
      <c r="AO909" s="46"/>
    </row>
    <row r="910">
      <c r="A910" s="17"/>
      <c r="B910" s="46"/>
      <c r="C910" s="46"/>
      <c r="D910" s="46"/>
      <c r="E910" s="17"/>
      <c r="F910" s="46"/>
      <c r="G910" s="46"/>
      <c r="H910" s="46"/>
      <c r="I910" s="17"/>
      <c r="J910" s="46"/>
      <c r="K910" s="46"/>
      <c r="L910" s="46"/>
      <c r="M910" s="17"/>
      <c r="N910" s="46"/>
      <c r="O910" s="46"/>
      <c r="P910" s="46"/>
      <c r="Q910" s="46"/>
      <c r="R910" s="46"/>
      <c r="S910" s="46"/>
      <c r="T910" s="46"/>
      <c r="U910" s="46"/>
      <c r="V910" s="46"/>
      <c r="W910" s="46"/>
      <c r="X910" s="46"/>
      <c r="Y910" s="46"/>
      <c r="Z910" s="46"/>
      <c r="AA910" s="46"/>
      <c r="AB910" s="46"/>
      <c r="AC910" s="46"/>
      <c r="AD910" s="46"/>
      <c r="AE910" s="46"/>
      <c r="AF910" s="46"/>
      <c r="AG910" s="123"/>
      <c r="AH910" s="123"/>
      <c r="AI910" s="123"/>
      <c r="AJ910" s="123"/>
      <c r="AK910" s="46"/>
      <c r="AL910" s="46"/>
      <c r="AM910" s="46"/>
      <c r="AN910" s="46"/>
      <c r="AO910" s="46"/>
    </row>
    <row r="911">
      <c r="A911" s="17"/>
      <c r="B911" s="46"/>
      <c r="C911" s="46"/>
      <c r="D911" s="46"/>
      <c r="E911" s="17"/>
      <c r="F911" s="46"/>
      <c r="G911" s="46"/>
      <c r="H911" s="46"/>
      <c r="I911" s="17"/>
      <c r="J911" s="46"/>
      <c r="K911" s="46"/>
      <c r="L911" s="46"/>
      <c r="M911" s="17"/>
      <c r="N911" s="46"/>
      <c r="O911" s="46"/>
      <c r="P911" s="46"/>
      <c r="Q911" s="46"/>
      <c r="R911" s="46"/>
      <c r="S911" s="46"/>
      <c r="T911" s="46"/>
      <c r="U911" s="46"/>
      <c r="V911" s="46"/>
      <c r="W911" s="46"/>
      <c r="X911" s="46"/>
      <c r="Y911" s="46"/>
      <c r="Z911" s="46"/>
      <c r="AA911" s="46"/>
      <c r="AB911" s="46"/>
      <c r="AC911" s="46"/>
      <c r="AD911" s="46"/>
      <c r="AE911" s="46"/>
      <c r="AF911" s="46"/>
      <c r="AG911" s="123"/>
      <c r="AH911" s="123"/>
      <c r="AI911" s="123"/>
      <c r="AJ911" s="123"/>
      <c r="AK911" s="46"/>
      <c r="AL911" s="46"/>
      <c r="AM911" s="46"/>
      <c r="AN911" s="46"/>
      <c r="AO911" s="46"/>
    </row>
    <row r="912">
      <c r="A912" s="17"/>
      <c r="B912" s="46"/>
      <c r="C912" s="46"/>
      <c r="D912" s="46"/>
      <c r="E912" s="17"/>
      <c r="F912" s="46"/>
      <c r="G912" s="46"/>
      <c r="H912" s="46"/>
      <c r="I912" s="17"/>
      <c r="J912" s="46"/>
      <c r="K912" s="46"/>
      <c r="L912" s="46"/>
      <c r="M912" s="17"/>
      <c r="N912" s="46"/>
      <c r="O912" s="46"/>
      <c r="P912" s="46"/>
      <c r="Q912" s="46"/>
      <c r="R912" s="46"/>
      <c r="S912" s="46"/>
      <c r="T912" s="46"/>
      <c r="U912" s="46"/>
      <c r="V912" s="46"/>
      <c r="W912" s="46"/>
      <c r="X912" s="46"/>
      <c r="Y912" s="46"/>
      <c r="Z912" s="46"/>
      <c r="AA912" s="46"/>
      <c r="AB912" s="46"/>
      <c r="AC912" s="46"/>
      <c r="AD912" s="46"/>
      <c r="AE912" s="46"/>
      <c r="AF912" s="46"/>
      <c r="AG912" s="123"/>
      <c r="AH912" s="123"/>
      <c r="AI912" s="123"/>
      <c r="AJ912" s="123"/>
      <c r="AK912" s="46"/>
      <c r="AL912" s="46"/>
      <c r="AM912" s="46"/>
      <c r="AN912" s="46"/>
      <c r="AO912" s="46"/>
    </row>
    <row r="913">
      <c r="A913" s="17"/>
      <c r="B913" s="46"/>
      <c r="C913" s="46"/>
      <c r="D913" s="46"/>
      <c r="E913" s="17"/>
      <c r="F913" s="46"/>
      <c r="G913" s="46"/>
      <c r="H913" s="46"/>
      <c r="I913" s="17"/>
      <c r="J913" s="46"/>
      <c r="K913" s="46"/>
      <c r="L913" s="46"/>
      <c r="M913" s="17"/>
      <c r="N913" s="46"/>
      <c r="O913" s="46"/>
      <c r="P913" s="46"/>
      <c r="Q913" s="46"/>
      <c r="R913" s="46"/>
      <c r="S913" s="46"/>
      <c r="T913" s="46"/>
      <c r="U913" s="46"/>
      <c r="V913" s="46"/>
      <c r="W913" s="46"/>
      <c r="X913" s="46"/>
      <c r="Y913" s="46"/>
      <c r="Z913" s="46"/>
      <c r="AA913" s="46"/>
      <c r="AB913" s="46"/>
      <c r="AC913" s="46"/>
      <c r="AD913" s="46"/>
      <c r="AE913" s="46"/>
      <c r="AF913" s="46"/>
      <c r="AG913" s="123"/>
      <c r="AH913" s="123"/>
      <c r="AI913" s="123"/>
      <c r="AJ913" s="123"/>
      <c r="AK913" s="46"/>
      <c r="AL913" s="46"/>
      <c r="AM913" s="46"/>
      <c r="AN913" s="46"/>
      <c r="AO913" s="46"/>
    </row>
    <row r="914">
      <c r="A914" s="17"/>
      <c r="B914" s="46"/>
      <c r="C914" s="46"/>
      <c r="D914" s="46"/>
      <c r="E914" s="17"/>
      <c r="F914" s="46"/>
      <c r="G914" s="46"/>
      <c r="H914" s="46"/>
      <c r="I914" s="17"/>
      <c r="J914" s="46"/>
      <c r="K914" s="46"/>
      <c r="L914" s="46"/>
      <c r="M914" s="17"/>
      <c r="N914" s="46"/>
      <c r="O914" s="46"/>
      <c r="P914" s="46"/>
      <c r="Q914" s="46"/>
      <c r="R914" s="46"/>
      <c r="S914" s="46"/>
      <c r="T914" s="46"/>
      <c r="U914" s="46"/>
      <c r="V914" s="46"/>
      <c r="W914" s="46"/>
      <c r="X914" s="46"/>
      <c r="Y914" s="46"/>
      <c r="Z914" s="46"/>
      <c r="AA914" s="46"/>
      <c r="AB914" s="46"/>
      <c r="AC914" s="46"/>
      <c r="AD914" s="46"/>
      <c r="AE914" s="46"/>
      <c r="AF914" s="46"/>
      <c r="AG914" s="123"/>
      <c r="AH914" s="123"/>
      <c r="AI914" s="123"/>
      <c r="AJ914" s="123"/>
      <c r="AK914" s="46"/>
      <c r="AL914" s="46"/>
      <c r="AM914" s="46"/>
      <c r="AN914" s="46"/>
      <c r="AO914" s="46"/>
    </row>
    <row r="915">
      <c r="A915" s="17"/>
      <c r="B915" s="46"/>
      <c r="C915" s="46"/>
      <c r="D915" s="46"/>
      <c r="E915" s="17"/>
      <c r="F915" s="46"/>
      <c r="G915" s="46"/>
      <c r="H915" s="46"/>
      <c r="I915" s="17"/>
      <c r="J915" s="46"/>
      <c r="K915" s="46"/>
      <c r="L915" s="46"/>
      <c r="M915" s="17"/>
      <c r="N915" s="46"/>
      <c r="O915" s="46"/>
      <c r="P915" s="46"/>
      <c r="Q915" s="46"/>
      <c r="R915" s="46"/>
      <c r="S915" s="46"/>
      <c r="T915" s="46"/>
      <c r="U915" s="46"/>
      <c r="V915" s="46"/>
      <c r="W915" s="46"/>
      <c r="X915" s="46"/>
      <c r="Y915" s="46"/>
      <c r="Z915" s="46"/>
      <c r="AA915" s="46"/>
      <c r="AB915" s="46"/>
      <c r="AC915" s="46"/>
      <c r="AD915" s="46"/>
      <c r="AE915" s="46"/>
      <c r="AF915" s="46"/>
      <c r="AG915" s="123"/>
      <c r="AH915" s="123"/>
      <c r="AI915" s="123"/>
      <c r="AJ915" s="123"/>
      <c r="AK915" s="46"/>
      <c r="AL915" s="46"/>
      <c r="AM915" s="46"/>
      <c r="AN915" s="46"/>
      <c r="AO915" s="46"/>
    </row>
    <row r="916">
      <c r="A916" s="17"/>
      <c r="B916" s="46"/>
      <c r="C916" s="46"/>
      <c r="D916" s="46"/>
      <c r="E916" s="17"/>
      <c r="F916" s="46"/>
      <c r="G916" s="46"/>
      <c r="H916" s="46"/>
      <c r="I916" s="17"/>
      <c r="J916" s="46"/>
      <c r="K916" s="46"/>
      <c r="L916" s="46"/>
      <c r="M916" s="17"/>
      <c r="N916" s="46"/>
      <c r="O916" s="46"/>
      <c r="P916" s="46"/>
      <c r="Q916" s="46"/>
      <c r="R916" s="46"/>
      <c r="S916" s="46"/>
      <c r="T916" s="46"/>
      <c r="U916" s="46"/>
      <c r="V916" s="46"/>
      <c r="W916" s="46"/>
      <c r="X916" s="46"/>
      <c r="Y916" s="46"/>
      <c r="Z916" s="46"/>
      <c r="AA916" s="46"/>
      <c r="AB916" s="46"/>
      <c r="AC916" s="46"/>
      <c r="AD916" s="46"/>
      <c r="AE916" s="46"/>
      <c r="AF916" s="46"/>
      <c r="AG916" s="123"/>
      <c r="AH916" s="123"/>
      <c r="AI916" s="123"/>
      <c r="AJ916" s="123"/>
      <c r="AK916" s="46"/>
      <c r="AL916" s="46"/>
      <c r="AM916" s="46"/>
      <c r="AN916" s="46"/>
      <c r="AO916" s="46"/>
    </row>
    <row r="917">
      <c r="A917" s="17"/>
      <c r="B917" s="46"/>
      <c r="C917" s="46"/>
      <c r="D917" s="46"/>
      <c r="E917" s="17"/>
      <c r="F917" s="46"/>
      <c r="G917" s="46"/>
      <c r="H917" s="46"/>
      <c r="I917" s="17"/>
      <c r="J917" s="46"/>
      <c r="K917" s="46"/>
      <c r="L917" s="46"/>
      <c r="M917" s="17"/>
      <c r="N917" s="46"/>
      <c r="O917" s="46"/>
      <c r="P917" s="46"/>
      <c r="Q917" s="46"/>
      <c r="R917" s="46"/>
      <c r="S917" s="46"/>
      <c r="T917" s="46"/>
      <c r="U917" s="46"/>
      <c r="V917" s="46"/>
      <c r="W917" s="46"/>
      <c r="X917" s="46"/>
      <c r="Y917" s="46"/>
      <c r="Z917" s="46"/>
      <c r="AA917" s="46"/>
      <c r="AB917" s="46"/>
      <c r="AC917" s="46"/>
      <c r="AD917" s="46"/>
      <c r="AE917" s="46"/>
      <c r="AF917" s="46"/>
      <c r="AG917" s="123"/>
      <c r="AH917" s="123"/>
      <c r="AI917" s="123"/>
      <c r="AJ917" s="123"/>
      <c r="AK917" s="46"/>
      <c r="AL917" s="46"/>
      <c r="AM917" s="46"/>
      <c r="AN917" s="46"/>
      <c r="AO917" s="46"/>
    </row>
    <row r="918">
      <c r="A918" s="17"/>
      <c r="B918" s="46"/>
      <c r="C918" s="46"/>
      <c r="D918" s="46"/>
      <c r="E918" s="17"/>
      <c r="F918" s="46"/>
      <c r="G918" s="46"/>
      <c r="H918" s="46"/>
      <c r="I918" s="17"/>
      <c r="J918" s="46"/>
      <c r="K918" s="46"/>
      <c r="L918" s="46"/>
      <c r="M918" s="17"/>
      <c r="N918" s="46"/>
      <c r="O918" s="46"/>
      <c r="P918" s="46"/>
      <c r="Q918" s="46"/>
      <c r="R918" s="46"/>
      <c r="S918" s="46"/>
      <c r="T918" s="46"/>
      <c r="U918" s="46"/>
      <c r="V918" s="46"/>
      <c r="W918" s="46"/>
      <c r="X918" s="46"/>
      <c r="Y918" s="46"/>
      <c r="Z918" s="46"/>
      <c r="AA918" s="46"/>
      <c r="AB918" s="46"/>
      <c r="AC918" s="46"/>
      <c r="AD918" s="46"/>
      <c r="AE918" s="46"/>
      <c r="AF918" s="46"/>
      <c r="AG918" s="123"/>
      <c r="AH918" s="123"/>
      <c r="AI918" s="123"/>
      <c r="AJ918" s="123"/>
      <c r="AK918" s="46"/>
      <c r="AL918" s="46"/>
      <c r="AM918" s="46"/>
      <c r="AN918" s="46"/>
      <c r="AO918" s="46"/>
    </row>
    <row r="919">
      <c r="A919" s="17"/>
      <c r="B919" s="46"/>
      <c r="C919" s="46"/>
      <c r="D919" s="46"/>
      <c r="E919" s="17"/>
      <c r="F919" s="46"/>
      <c r="G919" s="46"/>
      <c r="H919" s="46"/>
      <c r="I919" s="17"/>
      <c r="J919" s="46"/>
      <c r="K919" s="46"/>
      <c r="L919" s="46"/>
      <c r="M919" s="17"/>
      <c r="N919" s="46"/>
      <c r="O919" s="46"/>
      <c r="P919" s="46"/>
      <c r="Q919" s="46"/>
      <c r="R919" s="46"/>
      <c r="S919" s="46"/>
      <c r="T919" s="46"/>
      <c r="U919" s="46"/>
      <c r="V919" s="46"/>
      <c r="W919" s="46"/>
      <c r="X919" s="46"/>
      <c r="Y919" s="46"/>
      <c r="Z919" s="46"/>
      <c r="AA919" s="46"/>
      <c r="AB919" s="46"/>
      <c r="AC919" s="46"/>
      <c r="AD919" s="46"/>
      <c r="AE919" s="46"/>
      <c r="AF919" s="46"/>
      <c r="AG919" s="123"/>
      <c r="AH919" s="123"/>
      <c r="AI919" s="123"/>
      <c r="AJ919" s="123"/>
      <c r="AK919" s="46"/>
      <c r="AL919" s="46"/>
      <c r="AM919" s="46"/>
      <c r="AN919" s="46"/>
      <c r="AO919" s="46"/>
    </row>
    <row r="920">
      <c r="A920" s="17"/>
      <c r="B920" s="46"/>
      <c r="C920" s="46"/>
      <c r="D920" s="46"/>
      <c r="E920" s="17"/>
      <c r="F920" s="46"/>
      <c r="G920" s="46"/>
      <c r="H920" s="46"/>
      <c r="I920" s="17"/>
      <c r="J920" s="46"/>
      <c r="K920" s="46"/>
      <c r="L920" s="46"/>
      <c r="M920" s="17"/>
      <c r="N920" s="46"/>
      <c r="O920" s="46"/>
      <c r="P920" s="46"/>
      <c r="Q920" s="46"/>
      <c r="R920" s="46"/>
      <c r="S920" s="46"/>
      <c r="T920" s="46"/>
      <c r="U920" s="46"/>
      <c r="V920" s="46"/>
      <c r="W920" s="46"/>
      <c r="X920" s="46"/>
      <c r="Y920" s="46"/>
      <c r="Z920" s="46"/>
      <c r="AA920" s="46"/>
      <c r="AB920" s="46"/>
      <c r="AC920" s="46"/>
      <c r="AD920" s="46"/>
      <c r="AE920" s="46"/>
      <c r="AF920" s="46"/>
      <c r="AG920" s="123"/>
      <c r="AH920" s="123"/>
      <c r="AI920" s="123"/>
      <c r="AJ920" s="123"/>
      <c r="AK920" s="46"/>
      <c r="AL920" s="46"/>
      <c r="AM920" s="46"/>
      <c r="AN920" s="46"/>
      <c r="AO920" s="46"/>
    </row>
    <row r="921">
      <c r="A921" s="17"/>
      <c r="B921" s="46"/>
      <c r="C921" s="46"/>
      <c r="D921" s="46"/>
      <c r="E921" s="17"/>
      <c r="F921" s="46"/>
      <c r="G921" s="46"/>
      <c r="H921" s="46"/>
      <c r="I921" s="17"/>
      <c r="J921" s="46"/>
      <c r="K921" s="46"/>
      <c r="L921" s="46"/>
      <c r="M921" s="17"/>
      <c r="N921" s="46"/>
      <c r="O921" s="46"/>
      <c r="P921" s="46"/>
      <c r="Q921" s="46"/>
      <c r="R921" s="46"/>
      <c r="S921" s="46"/>
      <c r="T921" s="46"/>
      <c r="U921" s="46"/>
      <c r="V921" s="46"/>
      <c r="W921" s="46"/>
      <c r="X921" s="46"/>
      <c r="Y921" s="46"/>
      <c r="Z921" s="46"/>
      <c r="AA921" s="46"/>
      <c r="AB921" s="46"/>
      <c r="AC921" s="46"/>
      <c r="AD921" s="46"/>
      <c r="AE921" s="46"/>
      <c r="AF921" s="46"/>
      <c r="AG921" s="123"/>
      <c r="AH921" s="123"/>
      <c r="AI921" s="123"/>
      <c r="AJ921" s="123"/>
      <c r="AK921" s="46"/>
      <c r="AL921" s="46"/>
      <c r="AM921" s="46"/>
      <c r="AN921" s="46"/>
      <c r="AO921" s="46"/>
    </row>
    <row r="922">
      <c r="A922" s="17"/>
      <c r="B922" s="46"/>
      <c r="C922" s="46"/>
      <c r="D922" s="46"/>
      <c r="E922" s="17"/>
      <c r="F922" s="46"/>
      <c r="G922" s="46"/>
      <c r="H922" s="46"/>
      <c r="I922" s="17"/>
      <c r="J922" s="46"/>
      <c r="K922" s="46"/>
      <c r="L922" s="46"/>
      <c r="M922" s="17"/>
      <c r="N922" s="46"/>
      <c r="O922" s="46"/>
      <c r="P922" s="46"/>
      <c r="Q922" s="46"/>
      <c r="R922" s="46"/>
      <c r="S922" s="46"/>
      <c r="T922" s="46"/>
      <c r="U922" s="46"/>
      <c r="V922" s="46"/>
      <c r="W922" s="46"/>
      <c r="X922" s="46"/>
      <c r="Y922" s="46"/>
      <c r="Z922" s="46"/>
      <c r="AA922" s="46"/>
      <c r="AB922" s="46"/>
      <c r="AC922" s="46"/>
      <c r="AD922" s="46"/>
      <c r="AE922" s="46"/>
      <c r="AF922" s="46"/>
      <c r="AG922" s="123"/>
      <c r="AH922" s="123"/>
      <c r="AI922" s="123"/>
      <c r="AJ922" s="123"/>
      <c r="AK922" s="46"/>
      <c r="AL922" s="46"/>
      <c r="AM922" s="46"/>
      <c r="AN922" s="46"/>
      <c r="AO922" s="46"/>
    </row>
    <row r="923">
      <c r="A923" s="17"/>
      <c r="B923" s="46"/>
      <c r="C923" s="46"/>
      <c r="D923" s="46"/>
      <c r="E923" s="17"/>
      <c r="F923" s="46"/>
      <c r="G923" s="46"/>
      <c r="H923" s="46"/>
      <c r="I923" s="17"/>
      <c r="J923" s="46"/>
      <c r="K923" s="46"/>
      <c r="L923" s="46"/>
      <c r="M923" s="17"/>
      <c r="N923" s="46"/>
      <c r="O923" s="46"/>
      <c r="P923" s="46"/>
      <c r="Q923" s="46"/>
      <c r="R923" s="46"/>
      <c r="S923" s="46"/>
      <c r="T923" s="46"/>
      <c r="U923" s="46"/>
      <c r="V923" s="46"/>
      <c r="W923" s="46"/>
      <c r="X923" s="46"/>
      <c r="Y923" s="46"/>
      <c r="Z923" s="46"/>
      <c r="AA923" s="46"/>
      <c r="AB923" s="46"/>
      <c r="AC923" s="46"/>
      <c r="AD923" s="46"/>
      <c r="AE923" s="46"/>
      <c r="AF923" s="46"/>
      <c r="AG923" s="123"/>
      <c r="AH923" s="123"/>
      <c r="AI923" s="123"/>
      <c r="AJ923" s="123"/>
      <c r="AK923" s="46"/>
      <c r="AL923" s="46"/>
      <c r="AM923" s="46"/>
      <c r="AN923" s="46"/>
      <c r="AO923" s="46"/>
    </row>
    <row r="924">
      <c r="A924" s="17"/>
      <c r="B924" s="46"/>
      <c r="C924" s="46"/>
      <c r="D924" s="46"/>
      <c r="E924" s="17"/>
      <c r="F924" s="46"/>
      <c r="G924" s="46"/>
      <c r="H924" s="46"/>
      <c r="I924" s="17"/>
      <c r="J924" s="46"/>
      <c r="K924" s="46"/>
      <c r="L924" s="46"/>
      <c r="M924" s="17"/>
      <c r="N924" s="46"/>
      <c r="O924" s="46"/>
      <c r="P924" s="46"/>
      <c r="Q924" s="46"/>
      <c r="R924" s="46"/>
      <c r="S924" s="46"/>
      <c r="T924" s="46"/>
      <c r="U924" s="46"/>
      <c r="V924" s="46"/>
      <c r="W924" s="46"/>
      <c r="X924" s="46"/>
      <c r="Y924" s="46"/>
      <c r="Z924" s="46"/>
      <c r="AA924" s="46"/>
      <c r="AB924" s="46"/>
      <c r="AC924" s="46"/>
      <c r="AD924" s="46"/>
      <c r="AE924" s="46"/>
      <c r="AF924" s="46"/>
      <c r="AG924" s="123"/>
      <c r="AH924" s="123"/>
      <c r="AI924" s="123"/>
      <c r="AJ924" s="123"/>
      <c r="AK924" s="46"/>
      <c r="AL924" s="46"/>
      <c r="AM924" s="46"/>
      <c r="AN924" s="46"/>
      <c r="AO924" s="46"/>
    </row>
    <row r="925">
      <c r="A925" s="17"/>
      <c r="B925" s="46"/>
      <c r="C925" s="46"/>
      <c r="D925" s="46"/>
      <c r="E925" s="17"/>
      <c r="F925" s="46"/>
      <c r="G925" s="46"/>
      <c r="H925" s="46"/>
      <c r="I925" s="17"/>
      <c r="J925" s="46"/>
      <c r="K925" s="46"/>
      <c r="L925" s="46"/>
      <c r="M925" s="17"/>
      <c r="N925" s="46"/>
      <c r="O925" s="46"/>
      <c r="P925" s="46"/>
      <c r="Q925" s="46"/>
      <c r="R925" s="46"/>
      <c r="S925" s="46"/>
      <c r="T925" s="46"/>
      <c r="U925" s="46"/>
      <c r="V925" s="46"/>
      <c r="W925" s="46"/>
      <c r="X925" s="46"/>
      <c r="Y925" s="46"/>
      <c r="Z925" s="46"/>
      <c r="AA925" s="46"/>
      <c r="AB925" s="46"/>
      <c r="AC925" s="46"/>
      <c r="AD925" s="46"/>
      <c r="AE925" s="46"/>
      <c r="AF925" s="46"/>
      <c r="AG925" s="123"/>
      <c r="AH925" s="123"/>
      <c r="AI925" s="123"/>
      <c r="AJ925" s="123"/>
      <c r="AK925" s="46"/>
      <c r="AL925" s="46"/>
      <c r="AM925" s="46"/>
      <c r="AN925" s="46"/>
      <c r="AO925" s="46"/>
    </row>
    <row r="926">
      <c r="A926" s="17"/>
      <c r="B926" s="46"/>
      <c r="C926" s="46"/>
      <c r="D926" s="46"/>
      <c r="E926" s="17"/>
      <c r="F926" s="46"/>
      <c r="G926" s="46"/>
      <c r="H926" s="46"/>
      <c r="I926" s="17"/>
      <c r="J926" s="46"/>
      <c r="K926" s="46"/>
      <c r="L926" s="46"/>
      <c r="M926" s="17"/>
      <c r="N926" s="46"/>
      <c r="O926" s="46"/>
      <c r="P926" s="46"/>
      <c r="Q926" s="46"/>
      <c r="R926" s="46"/>
      <c r="S926" s="46"/>
      <c r="T926" s="46"/>
      <c r="U926" s="46"/>
      <c r="V926" s="46"/>
      <c r="W926" s="46"/>
      <c r="X926" s="46"/>
      <c r="Y926" s="46"/>
      <c r="Z926" s="46"/>
      <c r="AA926" s="46"/>
      <c r="AB926" s="46"/>
      <c r="AC926" s="46"/>
      <c r="AD926" s="46"/>
      <c r="AE926" s="46"/>
      <c r="AF926" s="46"/>
      <c r="AG926" s="123"/>
      <c r="AH926" s="123"/>
      <c r="AI926" s="123"/>
      <c r="AJ926" s="123"/>
      <c r="AK926" s="46"/>
      <c r="AL926" s="46"/>
      <c r="AM926" s="46"/>
      <c r="AN926" s="46"/>
      <c r="AO926" s="46"/>
    </row>
    <row r="927">
      <c r="A927" s="17"/>
      <c r="B927" s="46"/>
      <c r="C927" s="46"/>
      <c r="D927" s="46"/>
      <c r="E927" s="17"/>
      <c r="F927" s="46"/>
      <c r="G927" s="46"/>
      <c r="H927" s="46"/>
      <c r="I927" s="17"/>
      <c r="J927" s="46"/>
      <c r="K927" s="46"/>
      <c r="L927" s="46"/>
      <c r="M927" s="17"/>
      <c r="N927" s="46"/>
      <c r="O927" s="46"/>
      <c r="P927" s="46"/>
      <c r="Q927" s="46"/>
      <c r="R927" s="46"/>
      <c r="S927" s="46"/>
      <c r="T927" s="46"/>
      <c r="U927" s="46"/>
      <c r="V927" s="46"/>
      <c r="W927" s="46"/>
      <c r="X927" s="46"/>
      <c r="Y927" s="46"/>
      <c r="Z927" s="46"/>
      <c r="AA927" s="46"/>
      <c r="AB927" s="46"/>
      <c r="AC927" s="46"/>
      <c r="AD927" s="46"/>
      <c r="AE927" s="46"/>
      <c r="AF927" s="46"/>
      <c r="AG927" s="123"/>
      <c r="AH927" s="123"/>
      <c r="AI927" s="123"/>
      <c r="AJ927" s="123"/>
      <c r="AK927" s="46"/>
      <c r="AL927" s="46"/>
      <c r="AM927" s="46"/>
      <c r="AN927" s="46"/>
      <c r="AO927" s="46"/>
    </row>
    <row r="928">
      <c r="A928" s="17"/>
      <c r="B928" s="46"/>
      <c r="C928" s="46"/>
      <c r="D928" s="46"/>
      <c r="E928" s="17"/>
      <c r="F928" s="46"/>
      <c r="G928" s="46"/>
      <c r="H928" s="46"/>
      <c r="I928" s="17"/>
      <c r="J928" s="46"/>
      <c r="K928" s="46"/>
      <c r="L928" s="46"/>
      <c r="M928" s="17"/>
      <c r="N928" s="46"/>
      <c r="O928" s="46"/>
      <c r="P928" s="46"/>
      <c r="Q928" s="46"/>
      <c r="R928" s="46"/>
      <c r="S928" s="46"/>
      <c r="T928" s="46"/>
      <c r="U928" s="46"/>
      <c r="V928" s="46"/>
      <c r="W928" s="46"/>
      <c r="X928" s="46"/>
      <c r="Y928" s="46"/>
      <c r="Z928" s="46"/>
      <c r="AA928" s="46"/>
      <c r="AB928" s="46"/>
      <c r="AC928" s="46"/>
      <c r="AD928" s="46"/>
      <c r="AE928" s="46"/>
      <c r="AF928" s="46"/>
      <c r="AG928" s="123"/>
      <c r="AH928" s="123"/>
      <c r="AI928" s="123"/>
      <c r="AJ928" s="123"/>
      <c r="AK928" s="46"/>
      <c r="AL928" s="46"/>
      <c r="AM928" s="46"/>
      <c r="AN928" s="46"/>
      <c r="AO928" s="46"/>
    </row>
    <row r="929">
      <c r="A929" s="17"/>
      <c r="B929" s="46"/>
      <c r="C929" s="46"/>
      <c r="D929" s="46"/>
      <c r="E929" s="17"/>
      <c r="F929" s="46"/>
      <c r="G929" s="46"/>
      <c r="H929" s="46"/>
      <c r="I929" s="17"/>
      <c r="J929" s="46"/>
      <c r="K929" s="46"/>
      <c r="L929" s="46"/>
      <c r="M929" s="17"/>
      <c r="N929" s="46"/>
      <c r="O929" s="46"/>
      <c r="P929" s="46"/>
      <c r="Q929" s="46"/>
      <c r="R929" s="46"/>
      <c r="S929" s="46"/>
      <c r="T929" s="46"/>
      <c r="U929" s="46"/>
      <c r="V929" s="46"/>
      <c r="W929" s="46"/>
      <c r="X929" s="46"/>
      <c r="Y929" s="46"/>
      <c r="Z929" s="46"/>
      <c r="AA929" s="46"/>
      <c r="AB929" s="46"/>
      <c r="AC929" s="46"/>
      <c r="AD929" s="46"/>
      <c r="AE929" s="46"/>
      <c r="AF929" s="46"/>
      <c r="AG929" s="123"/>
      <c r="AH929" s="123"/>
      <c r="AI929" s="123"/>
      <c r="AJ929" s="123"/>
      <c r="AK929" s="46"/>
      <c r="AL929" s="46"/>
      <c r="AM929" s="46"/>
      <c r="AN929" s="46"/>
      <c r="AO929" s="46"/>
    </row>
    <row r="930">
      <c r="A930" s="17"/>
      <c r="B930" s="46"/>
      <c r="C930" s="46"/>
      <c r="D930" s="46"/>
      <c r="E930" s="17"/>
      <c r="F930" s="46"/>
      <c r="G930" s="46"/>
      <c r="H930" s="46"/>
      <c r="I930" s="17"/>
      <c r="J930" s="46"/>
      <c r="K930" s="46"/>
      <c r="L930" s="46"/>
      <c r="M930" s="17"/>
      <c r="N930" s="46"/>
      <c r="O930" s="46"/>
      <c r="P930" s="46"/>
      <c r="Q930" s="46"/>
      <c r="R930" s="46"/>
      <c r="S930" s="46"/>
      <c r="T930" s="46"/>
      <c r="U930" s="46"/>
      <c r="V930" s="46"/>
      <c r="W930" s="46"/>
      <c r="X930" s="46"/>
      <c r="Y930" s="46"/>
      <c r="Z930" s="46"/>
      <c r="AA930" s="46"/>
      <c r="AB930" s="46"/>
      <c r="AC930" s="46"/>
      <c r="AD930" s="46"/>
      <c r="AE930" s="46"/>
      <c r="AF930" s="46"/>
      <c r="AG930" s="123"/>
      <c r="AH930" s="123"/>
      <c r="AI930" s="123"/>
      <c r="AJ930" s="123"/>
      <c r="AK930" s="46"/>
      <c r="AL930" s="46"/>
      <c r="AM930" s="46"/>
      <c r="AN930" s="46"/>
      <c r="AO930" s="46"/>
    </row>
    <row r="931">
      <c r="A931" s="17"/>
      <c r="B931" s="46"/>
      <c r="C931" s="46"/>
      <c r="D931" s="46"/>
      <c r="E931" s="17"/>
      <c r="F931" s="46"/>
      <c r="G931" s="46"/>
      <c r="H931" s="46"/>
      <c r="I931" s="17"/>
      <c r="J931" s="46"/>
      <c r="K931" s="46"/>
      <c r="L931" s="46"/>
      <c r="M931" s="17"/>
      <c r="N931" s="46"/>
      <c r="O931" s="46"/>
      <c r="P931" s="46"/>
      <c r="Q931" s="46"/>
      <c r="R931" s="46"/>
      <c r="S931" s="46"/>
      <c r="T931" s="46"/>
      <c r="U931" s="46"/>
      <c r="V931" s="46"/>
      <c r="W931" s="46"/>
      <c r="X931" s="46"/>
      <c r="Y931" s="46"/>
      <c r="Z931" s="46"/>
      <c r="AA931" s="46"/>
      <c r="AB931" s="46"/>
      <c r="AC931" s="46"/>
      <c r="AD931" s="46"/>
      <c r="AE931" s="46"/>
      <c r="AF931" s="46"/>
      <c r="AG931" s="123"/>
      <c r="AH931" s="123"/>
      <c r="AI931" s="123"/>
      <c r="AJ931" s="123"/>
      <c r="AK931" s="46"/>
      <c r="AL931" s="46"/>
      <c r="AM931" s="46"/>
      <c r="AN931" s="46"/>
      <c r="AO931" s="46"/>
    </row>
    <row r="932">
      <c r="A932" s="17"/>
      <c r="B932" s="46"/>
      <c r="C932" s="46"/>
      <c r="D932" s="46"/>
      <c r="E932" s="17"/>
      <c r="F932" s="46"/>
      <c r="G932" s="46"/>
      <c r="H932" s="46"/>
      <c r="I932" s="17"/>
      <c r="J932" s="46"/>
      <c r="K932" s="46"/>
      <c r="L932" s="46"/>
      <c r="M932" s="17"/>
      <c r="N932" s="46"/>
      <c r="O932" s="46"/>
      <c r="P932" s="46"/>
      <c r="Q932" s="46"/>
      <c r="R932" s="46"/>
      <c r="S932" s="46"/>
      <c r="T932" s="46"/>
      <c r="U932" s="46"/>
      <c r="V932" s="46"/>
      <c r="W932" s="46"/>
      <c r="X932" s="46"/>
      <c r="Y932" s="46"/>
      <c r="Z932" s="46"/>
      <c r="AA932" s="46"/>
      <c r="AB932" s="46"/>
      <c r="AC932" s="46"/>
      <c r="AD932" s="46"/>
      <c r="AE932" s="46"/>
      <c r="AF932" s="46"/>
      <c r="AG932" s="123"/>
      <c r="AH932" s="123"/>
      <c r="AI932" s="123"/>
      <c r="AJ932" s="123"/>
      <c r="AK932" s="46"/>
      <c r="AL932" s="46"/>
      <c r="AM932" s="46"/>
      <c r="AN932" s="46"/>
      <c r="AO932" s="46"/>
    </row>
    <row r="933">
      <c r="A933" s="17"/>
      <c r="B933" s="46"/>
      <c r="C933" s="46"/>
      <c r="D933" s="46"/>
      <c r="E933" s="17"/>
      <c r="F933" s="46"/>
      <c r="G933" s="46"/>
      <c r="H933" s="46"/>
      <c r="I933" s="17"/>
      <c r="J933" s="46"/>
      <c r="K933" s="46"/>
      <c r="L933" s="46"/>
      <c r="M933" s="17"/>
      <c r="N933" s="46"/>
      <c r="O933" s="46"/>
      <c r="P933" s="46"/>
      <c r="Q933" s="46"/>
      <c r="R933" s="46"/>
      <c r="S933" s="46"/>
      <c r="T933" s="46"/>
      <c r="U933" s="46"/>
      <c r="V933" s="46"/>
      <c r="W933" s="46"/>
      <c r="X933" s="46"/>
      <c r="Y933" s="46"/>
      <c r="Z933" s="46"/>
      <c r="AA933" s="46"/>
      <c r="AB933" s="46"/>
      <c r="AC933" s="46"/>
      <c r="AD933" s="46"/>
      <c r="AE933" s="46"/>
      <c r="AF933" s="46"/>
      <c r="AG933" s="123"/>
      <c r="AH933" s="123"/>
      <c r="AI933" s="123"/>
      <c r="AJ933" s="123"/>
      <c r="AK933" s="46"/>
      <c r="AL933" s="46"/>
      <c r="AM933" s="46"/>
      <c r="AN933" s="46"/>
      <c r="AO933" s="46"/>
    </row>
    <row r="934">
      <c r="A934" s="17"/>
      <c r="B934" s="46"/>
      <c r="C934" s="46"/>
      <c r="D934" s="46"/>
      <c r="E934" s="17"/>
      <c r="F934" s="46"/>
      <c r="G934" s="46"/>
      <c r="H934" s="46"/>
      <c r="I934" s="17"/>
      <c r="J934" s="46"/>
      <c r="K934" s="46"/>
      <c r="L934" s="46"/>
      <c r="M934" s="17"/>
      <c r="N934" s="46"/>
      <c r="O934" s="46"/>
      <c r="P934" s="46"/>
      <c r="Q934" s="46"/>
      <c r="R934" s="46"/>
      <c r="S934" s="46"/>
      <c r="T934" s="46"/>
      <c r="U934" s="46"/>
      <c r="V934" s="46"/>
      <c r="W934" s="46"/>
      <c r="X934" s="46"/>
      <c r="Y934" s="46"/>
      <c r="Z934" s="46"/>
      <c r="AA934" s="46"/>
      <c r="AB934" s="46"/>
      <c r="AC934" s="46"/>
      <c r="AD934" s="46"/>
      <c r="AE934" s="46"/>
      <c r="AF934" s="46"/>
      <c r="AG934" s="123"/>
      <c r="AH934" s="123"/>
      <c r="AI934" s="123"/>
      <c r="AJ934" s="123"/>
      <c r="AK934" s="46"/>
      <c r="AL934" s="46"/>
      <c r="AM934" s="46"/>
      <c r="AN934" s="46"/>
      <c r="AO934" s="46"/>
    </row>
    <row r="935">
      <c r="A935" s="17"/>
      <c r="B935" s="46"/>
      <c r="C935" s="46"/>
      <c r="D935" s="46"/>
      <c r="E935" s="17"/>
      <c r="F935" s="46"/>
      <c r="G935" s="46"/>
      <c r="H935" s="46"/>
      <c r="I935" s="17"/>
      <c r="J935" s="46"/>
      <c r="K935" s="46"/>
      <c r="L935" s="46"/>
      <c r="M935" s="17"/>
      <c r="N935" s="46"/>
      <c r="O935" s="46"/>
      <c r="P935" s="46"/>
      <c r="Q935" s="46"/>
      <c r="R935" s="46"/>
      <c r="S935" s="46"/>
      <c r="T935" s="46"/>
      <c r="U935" s="46"/>
      <c r="V935" s="46"/>
      <c r="W935" s="46"/>
      <c r="X935" s="46"/>
      <c r="Y935" s="46"/>
      <c r="Z935" s="46"/>
      <c r="AA935" s="46"/>
      <c r="AB935" s="46"/>
      <c r="AC935" s="46"/>
      <c r="AD935" s="46"/>
      <c r="AE935" s="46"/>
      <c r="AF935" s="46"/>
      <c r="AG935" s="123"/>
      <c r="AH935" s="123"/>
      <c r="AI935" s="123"/>
      <c r="AJ935" s="123"/>
      <c r="AK935" s="46"/>
      <c r="AL935" s="46"/>
      <c r="AM935" s="46"/>
      <c r="AN935" s="46"/>
      <c r="AO935" s="46"/>
    </row>
    <row r="936">
      <c r="A936" s="17"/>
      <c r="B936" s="46"/>
      <c r="C936" s="46"/>
      <c r="D936" s="46"/>
      <c r="E936" s="17"/>
      <c r="F936" s="46"/>
      <c r="G936" s="46"/>
      <c r="H936" s="46"/>
      <c r="I936" s="17"/>
      <c r="J936" s="46"/>
      <c r="K936" s="46"/>
      <c r="L936" s="46"/>
      <c r="M936" s="17"/>
      <c r="N936" s="46"/>
      <c r="O936" s="46"/>
      <c r="P936" s="46"/>
      <c r="Q936" s="46"/>
      <c r="R936" s="46"/>
      <c r="S936" s="46"/>
      <c r="T936" s="46"/>
      <c r="U936" s="46"/>
      <c r="V936" s="46"/>
      <c r="W936" s="46"/>
      <c r="X936" s="46"/>
      <c r="Y936" s="46"/>
      <c r="Z936" s="46"/>
      <c r="AA936" s="46"/>
      <c r="AB936" s="46"/>
      <c r="AC936" s="46"/>
      <c r="AD936" s="46"/>
      <c r="AE936" s="46"/>
      <c r="AF936" s="46"/>
      <c r="AG936" s="123"/>
      <c r="AH936" s="123"/>
      <c r="AI936" s="123"/>
      <c r="AJ936" s="123"/>
      <c r="AK936" s="46"/>
      <c r="AL936" s="46"/>
      <c r="AM936" s="46"/>
      <c r="AN936" s="46"/>
      <c r="AO936" s="46"/>
    </row>
    <row r="937">
      <c r="A937" s="17"/>
      <c r="B937" s="46"/>
      <c r="C937" s="46"/>
      <c r="D937" s="46"/>
      <c r="E937" s="17"/>
      <c r="F937" s="46"/>
      <c r="G937" s="46"/>
      <c r="H937" s="46"/>
      <c r="I937" s="17"/>
      <c r="J937" s="46"/>
      <c r="K937" s="46"/>
      <c r="L937" s="46"/>
      <c r="M937" s="17"/>
      <c r="N937" s="46"/>
      <c r="O937" s="46"/>
      <c r="P937" s="46"/>
      <c r="Q937" s="46"/>
      <c r="R937" s="46"/>
      <c r="S937" s="46"/>
      <c r="T937" s="46"/>
      <c r="U937" s="46"/>
      <c r="V937" s="46"/>
      <c r="W937" s="46"/>
      <c r="X937" s="46"/>
      <c r="Y937" s="46"/>
      <c r="Z937" s="46"/>
      <c r="AA937" s="46"/>
      <c r="AB937" s="46"/>
      <c r="AC937" s="46"/>
      <c r="AD937" s="46"/>
      <c r="AE937" s="46"/>
      <c r="AF937" s="46"/>
      <c r="AG937" s="123"/>
      <c r="AH937" s="123"/>
      <c r="AI937" s="123"/>
      <c r="AJ937" s="123"/>
      <c r="AK937" s="46"/>
      <c r="AL937" s="46"/>
      <c r="AM937" s="46"/>
      <c r="AN937" s="46"/>
      <c r="AO937" s="46"/>
    </row>
    <row r="938">
      <c r="A938" s="17"/>
      <c r="B938" s="46"/>
      <c r="C938" s="46"/>
      <c r="D938" s="46"/>
      <c r="E938" s="17"/>
      <c r="F938" s="46"/>
      <c r="G938" s="46"/>
      <c r="H938" s="46"/>
      <c r="I938" s="17"/>
      <c r="J938" s="46"/>
      <c r="K938" s="46"/>
      <c r="L938" s="46"/>
      <c r="M938" s="17"/>
      <c r="N938" s="46"/>
      <c r="O938" s="46"/>
      <c r="P938" s="46"/>
      <c r="Q938" s="46"/>
      <c r="R938" s="46"/>
      <c r="S938" s="46"/>
      <c r="T938" s="46"/>
      <c r="U938" s="46"/>
      <c r="V938" s="46"/>
      <c r="W938" s="46"/>
      <c r="X938" s="46"/>
      <c r="Y938" s="46"/>
      <c r="Z938" s="46"/>
      <c r="AA938" s="46"/>
      <c r="AB938" s="46"/>
      <c r="AC938" s="46"/>
      <c r="AD938" s="46"/>
      <c r="AE938" s="46"/>
      <c r="AF938" s="46"/>
      <c r="AG938" s="123"/>
      <c r="AH938" s="123"/>
      <c r="AI938" s="123"/>
      <c r="AJ938" s="123"/>
      <c r="AK938" s="46"/>
      <c r="AL938" s="46"/>
      <c r="AM938" s="46"/>
      <c r="AN938" s="46"/>
      <c r="AO938" s="46"/>
    </row>
    <row r="939">
      <c r="A939" s="17"/>
      <c r="B939" s="46"/>
      <c r="C939" s="46"/>
      <c r="D939" s="46"/>
      <c r="E939" s="17"/>
      <c r="F939" s="46"/>
      <c r="G939" s="46"/>
      <c r="H939" s="46"/>
      <c r="I939" s="17"/>
      <c r="J939" s="46"/>
      <c r="K939" s="46"/>
      <c r="L939" s="46"/>
      <c r="M939" s="17"/>
      <c r="N939" s="46"/>
      <c r="O939" s="46"/>
      <c r="P939" s="46"/>
      <c r="Q939" s="46"/>
      <c r="R939" s="46"/>
      <c r="S939" s="46"/>
      <c r="T939" s="46"/>
      <c r="U939" s="46"/>
      <c r="V939" s="46"/>
      <c r="W939" s="46"/>
      <c r="X939" s="46"/>
      <c r="Y939" s="46"/>
      <c r="Z939" s="46"/>
      <c r="AA939" s="46"/>
      <c r="AB939" s="46"/>
      <c r="AC939" s="46"/>
      <c r="AD939" s="46"/>
      <c r="AE939" s="46"/>
      <c r="AF939" s="46"/>
      <c r="AG939" s="123"/>
      <c r="AH939" s="123"/>
      <c r="AI939" s="123"/>
      <c r="AJ939" s="123"/>
      <c r="AK939" s="46"/>
      <c r="AL939" s="46"/>
      <c r="AM939" s="46"/>
      <c r="AN939" s="46"/>
      <c r="AO939" s="46"/>
    </row>
    <row r="940">
      <c r="A940" s="17"/>
      <c r="B940" s="46"/>
      <c r="C940" s="46"/>
      <c r="D940" s="46"/>
      <c r="E940" s="17"/>
      <c r="F940" s="46"/>
      <c r="G940" s="46"/>
      <c r="H940" s="46"/>
      <c r="I940" s="17"/>
      <c r="J940" s="46"/>
      <c r="K940" s="46"/>
      <c r="L940" s="46"/>
      <c r="M940" s="17"/>
      <c r="N940" s="46"/>
      <c r="O940" s="46"/>
      <c r="P940" s="46"/>
      <c r="Q940" s="46"/>
      <c r="R940" s="46"/>
      <c r="S940" s="46"/>
      <c r="T940" s="46"/>
      <c r="U940" s="46"/>
      <c r="V940" s="46"/>
      <c r="W940" s="46"/>
      <c r="X940" s="46"/>
      <c r="Y940" s="46"/>
      <c r="Z940" s="46"/>
      <c r="AA940" s="46"/>
      <c r="AB940" s="46"/>
      <c r="AC940" s="46"/>
      <c r="AD940" s="46"/>
      <c r="AE940" s="46"/>
      <c r="AF940" s="46"/>
      <c r="AG940" s="123"/>
      <c r="AH940" s="123"/>
      <c r="AI940" s="123"/>
      <c r="AJ940" s="123"/>
      <c r="AK940" s="46"/>
      <c r="AL940" s="46"/>
      <c r="AM940" s="46"/>
      <c r="AN940" s="46"/>
      <c r="AO940" s="46"/>
    </row>
    <row r="941">
      <c r="A941" s="17"/>
      <c r="B941" s="46"/>
      <c r="C941" s="46"/>
      <c r="D941" s="46"/>
      <c r="E941" s="17"/>
      <c r="F941" s="46"/>
      <c r="G941" s="46"/>
      <c r="H941" s="46"/>
      <c r="I941" s="17"/>
      <c r="J941" s="46"/>
      <c r="K941" s="46"/>
      <c r="L941" s="46"/>
      <c r="M941" s="17"/>
      <c r="N941" s="46"/>
      <c r="O941" s="46"/>
      <c r="P941" s="46"/>
      <c r="Q941" s="46"/>
      <c r="R941" s="46"/>
      <c r="S941" s="46"/>
      <c r="T941" s="46"/>
      <c r="U941" s="46"/>
      <c r="V941" s="46"/>
      <c r="W941" s="46"/>
      <c r="X941" s="46"/>
      <c r="Y941" s="46"/>
      <c r="Z941" s="46"/>
      <c r="AA941" s="46"/>
      <c r="AB941" s="46"/>
      <c r="AC941" s="46"/>
      <c r="AD941" s="46"/>
      <c r="AE941" s="46"/>
      <c r="AF941" s="46"/>
      <c r="AG941" s="123"/>
      <c r="AH941" s="123"/>
      <c r="AI941" s="123"/>
      <c r="AJ941" s="123"/>
      <c r="AK941" s="46"/>
      <c r="AL941" s="46"/>
      <c r="AM941" s="46"/>
      <c r="AN941" s="46"/>
      <c r="AO941" s="46"/>
    </row>
    <row r="942">
      <c r="A942" s="17"/>
      <c r="B942" s="46"/>
      <c r="C942" s="46"/>
      <c r="D942" s="46"/>
      <c r="E942" s="17"/>
      <c r="F942" s="46"/>
      <c r="G942" s="46"/>
      <c r="H942" s="46"/>
      <c r="I942" s="17"/>
      <c r="J942" s="46"/>
      <c r="K942" s="46"/>
      <c r="L942" s="46"/>
      <c r="M942" s="17"/>
      <c r="N942" s="46"/>
      <c r="O942" s="46"/>
      <c r="P942" s="46"/>
      <c r="Q942" s="46"/>
      <c r="R942" s="46"/>
      <c r="S942" s="46"/>
      <c r="T942" s="46"/>
      <c r="U942" s="46"/>
      <c r="V942" s="46"/>
      <c r="W942" s="46"/>
      <c r="X942" s="46"/>
      <c r="Y942" s="46"/>
      <c r="Z942" s="46"/>
      <c r="AA942" s="46"/>
      <c r="AB942" s="46"/>
      <c r="AC942" s="46"/>
      <c r="AD942" s="46"/>
      <c r="AE942" s="46"/>
      <c r="AF942" s="46"/>
      <c r="AG942" s="123"/>
      <c r="AH942" s="123"/>
      <c r="AI942" s="123"/>
      <c r="AJ942" s="123"/>
      <c r="AK942" s="46"/>
      <c r="AL942" s="46"/>
      <c r="AM942" s="46"/>
      <c r="AN942" s="46"/>
      <c r="AO942" s="46"/>
    </row>
    <row r="943">
      <c r="A943" s="17"/>
      <c r="B943" s="46"/>
      <c r="C943" s="46"/>
      <c r="D943" s="46"/>
      <c r="E943" s="17"/>
      <c r="F943" s="46"/>
      <c r="G943" s="46"/>
      <c r="H943" s="46"/>
      <c r="I943" s="17"/>
      <c r="J943" s="46"/>
      <c r="K943" s="46"/>
      <c r="L943" s="46"/>
      <c r="M943" s="17"/>
      <c r="N943" s="46"/>
      <c r="O943" s="46"/>
      <c r="P943" s="46"/>
      <c r="Q943" s="46"/>
      <c r="R943" s="46"/>
      <c r="S943" s="46"/>
      <c r="T943" s="46"/>
      <c r="U943" s="46"/>
      <c r="V943" s="46"/>
      <c r="W943" s="46"/>
      <c r="X943" s="46"/>
      <c r="Y943" s="46"/>
      <c r="Z943" s="46"/>
      <c r="AA943" s="46"/>
      <c r="AB943" s="46"/>
      <c r="AC943" s="46"/>
      <c r="AD943" s="46"/>
      <c r="AE943" s="46"/>
      <c r="AF943" s="46"/>
      <c r="AG943" s="123"/>
      <c r="AH943" s="123"/>
      <c r="AI943" s="123"/>
      <c r="AJ943" s="123"/>
      <c r="AK943" s="46"/>
      <c r="AL943" s="46"/>
      <c r="AM943" s="46"/>
      <c r="AN943" s="46"/>
      <c r="AO943" s="46"/>
    </row>
    <row r="944">
      <c r="A944" s="17"/>
      <c r="B944" s="46"/>
      <c r="C944" s="46"/>
      <c r="D944" s="46"/>
      <c r="E944" s="17"/>
      <c r="F944" s="46"/>
      <c r="G944" s="46"/>
      <c r="H944" s="46"/>
      <c r="I944" s="17"/>
      <c r="J944" s="46"/>
      <c r="K944" s="46"/>
      <c r="L944" s="46"/>
      <c r="M944" s="17"/>
      <c r="N944" s="46"/>
      <c r="O944" s="46"/>
      <c r="P944" s="46"/>
      <c r="Q944" s="46"/>
      <c r="R944" s="46"/>
      <c r="S944" s="46"/>
      <c r="T944" s="46"/>
      <c r="U944" s="46"/>
      <c r="V944" s="46"/>
      <c r="W944" s="46"/>
      <c r="X944" s="46"/>
      <c r="Y944" s="46"/>
      <c r="Z944" s="46"/>
      <c r="AA944" s="46"/>
      <c r="AB944" s="46"/>
      <c r="AC944" s="46"/>
      <c r="AD944" s="46"/>
      <c r="AE944" s="46"/>
      <c r="AF944" s="46"/>
      <c r="AG944" s="131"/>
      <c r="AH944" s="132"/>
      <c r="AI944" s="133"/>
      <c r="AJ944" s="134"/>
      <c r="AK944" s="46"/>
      <c r="AL944" s="46"/>
      <c r="AM944" s="46"/>
      <c r="AN944" s="46"/>
      <c r="AO944" s="46"/>
    </row>
    <row r="945">
      <c r="A945" s="17"/>
      <c r="B945" s="46"/>
      <c r="C945" s="46"/>
      <c r="D945" s="46"/>
      <c r="E945" s="17"/>
      <c r="F945" s="46"/>
      <c r="G945" s="46"/>
      <c r="H945" s="46"/>
      <c r="I945" s="17"/>
      <c r="J945" s="46"/>
      <c r="K945" s="46"/>
      <c r="L945" s="46"/>
      <c r="M945" s="17"/>
      <c r="N945" s="46"/>
      <c r="O945" s="46"/>
      <c r="P945" s="46"/>
      <c r="Q945" s="46"/>
      <c r="R945" s="46"/>
      <c r="S945" s="46"/>
      <c r="T945" s="46"/>
      <c r="U945" s="46"/>
      <c r="V945" s="46"/>
      <c r="W945" s="46"/>
      <c r="X945" s="46"/>
      <c r="Y945" s="46"/>
      <c r="Z945" s="46"/>
      <c r="AA945" s="46"/>
      <c r="AB945" s="46"/>
      <c r="AC945" s="46"/>
      <c r="AD945" s="46"/>
      <c r="AE945" s="46"/>
      <c r="AF945" s="46"/>
      <c r="AG945" s="131"/>
      <c r="AH945" s="132"/>
      <c r="AI945" s="133"/>
      <c r="AJ945" s="134"/>
      <c r="AK945" s="46"/>
      <c r="AL945" s="46"/>
      <c r="AM945" s="46"/>
      <c r="AN945" s="46"/>
      <c r="AO945" s="46"/>
    </row>
    <row r="946">
      <c r="A946" s="17"/>
      <c r="B946" s="46"/>
      <c r="C946" s="46"/>
      <c r="D946" s="46"/>
      <c r="E946" s="17"/>
      <c r="F946" s="46"/>
      <c r="G946" s="46"/>
      <c r="H946" s="46"/>
      <c r="I946" s="17"/>
      <c r="J946" s="46"/>
      <c r="K946" s="46"/>
      <c r="L946" s="46"/>
      <c r="M946" s="17"/>
      <c r="N946" s="46"/>
      <c r="O946" s="46"/>
      <c r="P946" s="46"/>
      <c r="Q946" s="46"/>
      <c r="R946" s="46"/>
      <c r="S946" s="46"/>
      <c r="T946" s="46"/>
      <c r="U946" s="46"/>
      <c r="V946" s="46"/>
      <c r="W946" s="46"/>
      <c r="X946" s="46"/>
      <c r="Y946" s="46"/>
      <c r="Z946" s="46"/>
      <c r="AA946" s="46"/>
      <c r="AB946" s="46"/>
      <c r="AC946" s="46"/>
      <c r="AD946" s="46"/>
      <c r="AE946" s="46"/>
      <c r="AF946" s="46"/>
      <c r="AG946" s="131"/>
      <c r="AH946" s="132"/>
      <c r="AI946" s="133"/>
      <c r="AJ946" s="134"/>
      <c r="AK946" s="46"/>
      <c r="AL946" s="46"/>
      <c r="AM946" s="46"/>
      <c r="AN946" s="46"/>
      <c r="AO946" s="46"/>
    </row>
    <row r="947">
      <c r="A947" s="17"/>
      <c r="B947" s="46"/>
      <c r="C947" s="46"/>
      <c r="D947" s="46"/>
      <c r="E947" s="17"/>
      <c r="F947" s="46"/>
      <c r="G947" s="46"/>
      <c r="H947" s="46"/>
      <c r="I947" s="17"/>
      <c r="J947" s="46"/>
      <c r="K947" s="46"/>
      <c r="L947" s="46"/>
      <c r="M947" s="17"/>
      <c r="N947" s="46"/>
      <c r="O947" s="46"/>
      <c r="P947" s="46"/>
      <c r="Q947" s="46"/>
      <c r="R947" s="46"/>
      <c r="S947" s="46"/>
      <c r="T947" s="46"/>
      <c r="U947" s="46"/>
      <c r="V947" s="46"/>
      <c r="W947" s="46"/>
      <c r="X947" s="46"/>
      <c r="Y947" s="46"/>
      <c r="Z947" s="46"/>
      <c r="AA947" s="46"/>
      <c r="AB947" s="46"/>
      <c r="AC947" s="46"/>
      <c r="AD947" s="46"/>
      <c r="AE947" s="46"/>
      <c r="AF947" s="46"/>
      <c r="AG947" s="131"/>
      <c r="AH947" s="132"/>
      <c r="AI947" s="133"/>
      <c r="AJ947" s="134"/>
      <c r="AK947" s="46"/>
      <c r="AL947" s="46"/>
      <c r="AM947" s="46"/>
      <c r="AN947" s="46"/>
      <c r="AO947" s="46"/>
    </row>
    <row r="948">
      <c r="A948" s="17"/>
      <c r="B948" s="46"/>
      <c r="C948" s="46"/>
      <c r="D948" s="46"/>
      <c r="E948" s="17"/>
      <c r="F948" s="46"/>
      <c r="G948" s="46"/>
      <c r="H948" s="46"/>
      <c r="I948" s="17"/>
      <c r="J948" s="46"/>
      <c r="K948" s="46"/>
      <c r="L948" s="46"/>
      <c r="M948" s="17"/>
      <c r="N948" s="46"/>
      <c r="O948" s="46"/>
      <c r="P948" s="46"/>
      <c r="Q948" s="46"/>
      <c r="R948" s="46"/>
      <c r="S948" s="46"/>
      <c r="T948" s="46"/>
      <c r="U948" s="46"/>
      <c r="V948" s="46"/>
      <c r="W948" s="46"/>
      <c r="X948" s="46"/>
      <c r="Y948" s="46"/>
      <c r="Z948" s="46"/>
      <c r="AA948" s="46"/>
      <c r="AB948" s="46"/>
      <c r="AC948" s="46"/>
      <c r="AD948" s="46"/>
      <c r="AE948" s="46"/>
      <c r="AF948" s="46"/>
      <c r="AG948" s="131"/>
      <c r="AH948" s="132"/>
      <c r="AI948" s="133"/>
      <c r="AJ948" s="134"/>
      <c r="AK948" s="46"/>
      <c r="AL948" s="46"/>
      <c r="AM948" s="46"/>
      <c r="AN948" s="46"/>
      <c r="AO948" s="46"/>
    </row>
    <row r="949">
      <c r="A949" s="17"/>
      <c r="B949" s="46"/>
      <c r="C949" s="46"/>
      <c r="D949" s="46"/>
      <c r="E949" s="17"/>
      <c r="F949" s="46"/>
      <c r="G949" s="46"/>
      <c r="H949" s="46"/>
      <c r="I949" s="17"/>
      <c r="J949" s="46"/>
      <c r="K949" s="46"/>
      <c r="L949" s="46"/>
      <c r="M949" s="17"/>
      <c r="N949" s="46"/>
      <c r="O949" s="46"/>
      <c r="P949" s="46"/>
      <c r="Q949" s="46"/>
      <c r="R949" s="46"/>
      <c r="S949" s="46"/>
      <c r="T949" s="46"/>
      <c r="U949" s="46"/>
      <c r="V949" s="46"/>
      <c r="W949" s="46"/>
      <c r="X949" s="46"/>
      <c r="Y949" s="46"/>
      <c r="Z949" s="46"/>
      <c r="AA949" s="46"/>
      <c r="AB949" s="46"/>
      <c r="AC949" s="46"/>
      <c r="AD949" s="46"/>
      <c r="AE949" s="46"/>
      <c r="AF949" s="46"/>
      <c r="AG949" s="131"/>
      <c r="AH949" s="132"/>
      <c r="AI949" s="133"/>
      <c r="AJ949" s="134"/>
      <c r="AK949" s="46"/>
      <c r="AL949" s="46"/>
      <c r="AM949" s="46"/>
      <c r="AN949" s="46"/>
      <c r="AO949" s="46"/>
    </row>
    <row r="950">
      <c r="A950" s="17"/>
      <c r="B950" s="46"/>
      <c r="C950" s="46"/>
      <c r="D950" s="46"/>
      <c r="E950" s="17"/>
      <c r="F950" s="46"/>
      <c r="G950" s="46"/>
      <c r="H950" s="46"/>
      <c r="I950" s="17"/>
      <c r="J950" s="46"/>
      <c r="K950" s="46"/>
      <c r="L950" s="46"/>
      <c r="M950" s="17"/>
      <c r="N950" s="46"/>
      <c r="O950" s="46"/>
      <c r="P950" s="46"/>
      <c r="Q950" s="46"/>
      <c r="R950" s="46"/>
      <c r="S950" s="46"/>
      <c r="T950" s="46"/>
      <c r="U950" s="46"/>
      <c r="V950" s="46"/>
      <c r="W950" s="46"/>
      <c r="X950" s="46"/>
      <c r="Y950" s="46"/>
      <c r="Z950" s="46"/>
      <c r="AA950" s="46"/>
      <c r="AB950" s="46"/>
      <c r="AC950" s="46"/>
      <c r="AD950" s="46"/>
      <c r="AE950" s="46"/>
      <c r="AF950" s="46"/>
      <c r="AG950" s="131"/>
      <c r="AH950" s="132"/>
      <c r="AI950" s="133"/>
      <c r="AJ950" s="134"/>
      <c r="AK950" s="46"/>
      <c r="AL950" s="46"/>
      <c r="AM950" s="46"/>
      <c r="AN950" s="46"/>
      <c r="AO950" s="46"/>
    </row>
    <row r="951">
      <c r="A951" s="17"/>
      <c r="B951" s="46"/>
      <c r="C951" s="46"/>
      <c r="D951" s="46"/>
      <c r="E951" s="17"/>
      <c r="F951" s="46"/>
      <c r="G951" s="46"/>
      <c r="H951" s="46"/>
      <c r="I951" s="17"/>
      <c r="J951" s="46"/>
      <c r="K951" s="46"/>
      <c r="L951" s="46"/>
      <c r="M951" s="17"/>
      <c r="N951" s="46"/>
      <c r="O951" s="46"/>
      <c r="P951" s="46"/>
      <c r="Q951" s="46"/>
      <c r="R951" s="46"/>
      <c r="S951" s="46"/>
      <c r="T951" s="46"/>
      <c r="U951" s="46"/>
      <c r="V951" s="46"/>
      <c r="W951" s="46"/>
      <c r="X951" s="46"/>
      <c r="Y951" s="46"/>
      <c r="Z951" s="46"/>
      <c r="AA951" s="46"/>
      <c r="AB951" s="46"/>
      <c r="AC951" s="46"/>
      <c r="AD951" s="46"/>
      <c r="AE951" s="46"/>
      <c r="AF951" s="46"/>
      <c r="AG951" s="131"/>
      <c r="AH951" s="132"/>
      <c r="AI951" s="133"/>
      <c r="AJ951" s="134"/>
      <c r="AK951" s="46"/>
      <c r="AL951" s="46"/>
      <c r="AM951" s="46"/>
      <c r="AN951" s="46"/>
      <c r="AO951" s="46"/>
    </row>
    <row r="952">
      <c r="A952" s="17"/>
      <c r="B952" s="46"/>
      <c r="C952" s="46"/>
      <c r="D952" s="46"/>
      <c r="E952" s="17"/>
      <c r="F952" s="46"/>
      <c r="G952" s="46"/>
      <c r="H952" s="46"/>
      <c r="I952" s="17"/>
      <c r="J952" s="46"/>
      <c r="K952" s="46"/>
      <c r="L952" s="46"/>
      <c r="M952" s="17"/>
      <c r="N952" s="46"/>
      <c r="O952" s="46"/>
      <c r="P952" s="46"/>
      <c r="Q952" s="46"/>
      <c r="R952" s="46"/>
      <c r="S952" s="46"/>
      <c r="T952" s="46"/>
      <c r="U952" s="46"/>
      <c r="V952" s="46"/>
      <c r="W952" s="46"/>
      <c r="X952" s="46"/>
      <c r="Y952" s="46"/>
      <c r="Z952" s="46"/>
      <c r="AA952" s="46"/>
      <c r="AB952" s="46"/>
      <c r="AC952" s="46"/>
      <c r="AD952" s="46"/>
      <c r="AE952" s="46"/>
      <c r="AF952" s="46"/>
      <c r="AG952" s="131"/>
      <c r="AH952" s="132"/>
      <c r="AI952" s="133"/>
      <c r="AJ952" s="134"/>
      <c r="AK952" s="46"/>
      <c r="AL952" s="46"/>
      <c r="AM952" s="46"/>
      <c r="AN952" s="46"/>
      <c r="AO952" s="46"/>
    </row>
    <row r="953">
      <c r="A953" s="17"/>
      <c r="B953" s="46"/>
      <c r="C953" s="46"/>
      <c r="D953" s="46"/>
      <c r="E953" s="17"/>
      <c r="F953" s="46"/>
      <c r="G953" s="46"/>
      <c r="H953" s="46"/>
      <c r="I953" s="17"/>
      <c r="J953" s="46"/>
      <c r="K953" s="46"/>
      <c r="L953" s="46"/>
      <c r="M953" s="17"/>
      <c r="N953" s="46"/>
      <c r="O953" s="46"/>
      <c r="P953" s="46"/>
      <c r="Q953" s="46"/>
      <c r="R953" s="46"/>
      <c r="S953" s="46"/>
      <c r="T953" s="46"/>
      <c r="U953" s="46"/>
      <c r="V953" s="46"/>
      <c r="W953" s="46"/>
      <c r="X953" s="46"/>
      <c r="Y953" s="46"/>
      <c r="Z953" s="46"/>
      <c r="AA953" s="46"/>
      <c r="AB953" s="46"/>
      <c r="AC953" s="46"/>
      <c r="AD953" s="46"/>
      <c r="AE953" s="46"/>
      <c r="AF953" s="46"/>
      <c r="AG953" s="131"/>
      <c r="AH953" s="132"/>
      <c r="AI953" s="133"/>
      <c r="AJ953" s="134"/>
      <c r="AK953" s="46"/>
      <c r="AL953" s="46"/>
      <c r="AM953" s="46"/>
      <c r="AN953" s="46"/>
      <c r="AO953" s="46"/>
    </row>
    <row r="954">
      <c r="A954" s="17"/>
      <c r="B954" s="46"/>
      <c r="C954" s="46"/>
      <c r="D954" s="46"/>
      <c r="E954" s="17"/>
      <c r="F954" s="46"/>
      <c r="G954" s="46"/>
      <c r="H954" s="46"/>
      <c r="I954" s="17"/>
      <c r="J954" s="46"/>
      <c r="K954" s="46"/>
      <c r="L954" s="46"/>
      <c r="M954" s="17"/>
      <c r="N954" s="46"/>
      <c r="O954" s="46"/>
      <c r="P954" s="46"/>
      <c r="Q954" s="46"/>
      <c r="R954" s="46"/>
      <c r="S954" s="46"/>
      <c r="T954" s="46"/>
      <c r="U954" s="46"/>
      <c r="V954" s="46"/>
      <c r="W954" s="46"/>
      <c r="X954" s="46"/>
      <c r="Y954" s="46"/>
      <c r="Z954" s="46"/>
      <c r="AA954" s="46"/>
      <c r="AB954" s="46"/>
      <c r="AC954" s="46"/>
      <c r="AD954" s="46"/>
      <c r="AE954" s="46"/>
      <c r="AF954" s="46"/>
      <c r="AG954" s="131"/>
      <c r="AH954" s="132"/>
      <c r="AI954" s="133"/>
      <c r="AJ954" s="134"/>
      <c r="AK954" s="46"/>
      <c r="AL954" s="46"/>
      <c r="AM954" s="46"/>
      <c r="AN954" s="46"/>
      <c r="AO954" s="46"/>
    </row>
    <row r="955">
      <c r="A955" s="17"/>
      <c r="B955" s="46"/>
      <c r="C955" s="46"/>
      <c r="D955" s="46"/>
      <c r="E955" s="17"/>
      <c r="F955" s="46"/>
      <c r="G955" s="46"/>
      <c r="H955" s="46"/>
      <c r="I955" s="17"/>
      <c r="J955" s="46"/>
      <c r="K955" s="46"/>
      <c r="L955" s="46"/>
      <c r="M955" s="17"/>
      <c r="N955" s="46"/>
      <c r="O955" s="46"/>
      <c r="P955" s="46"/>
      <c r="Q955" s="46"/>
      <c r="R955" s="46"/>
      <c r="S955" s="46"/>
      <c r="T955" s="46"/>
      <c r="U955" s="46"/>
      <c r="V955" s="46"/>
      <c r="W955" s="46"/>
      <c r="X955" s="46"/>
      <c r="Y955" s="46"/>
      <c r="Z955" s="46"/>
      <c r="AA955" s="46"/>
      <c r="AB955" s="46"/>
      <c r="AC955" s="46"/>
      <c r="AD955" s="46"/>
      <c r="AE955" s="46"/>
      <c r="AF955" s="46"/>
      <c r="AG955" s="131"/>
      <c r="AH955" s="132"/>
      <c r="AI955" s="133"/>
      <c r="AJ955" s="134"/>
      <c r="AK955" s="46"/>
      <c r="AL955" s="46"/>
      <c r="AM955" s="46"/>
      <c r="AN955" s="46"/>
      <c r="AO955" s="46"/>
    </row>
    <row r="956">
      <c r="A956" s="17"/>
      <c r="B956" s="46"/>
      <c r="C956" s="46"/>
      <c r="D956" s="46"/>
      <c r="E956" s="17"/>
      <c r="F956" s="46"/>
      <c r="G956" s="46"/>
      <c r="H956" s="46"/>
      <c r="I956" s="17"/>
      <c r="J956" s="46"/>
      <c r="K956" s="46"/>
      <c r="L956" s="46"/>
      <c r="M956" s="17"/>
      <c r="N956" s="46"/>
      <c r="O956" s="46"/>
      <c r="P956" s="46"/>
      <c r="Q956" s="46"/>
      <c r="R956" s="46"/>
      <c r="S956" s="46"/>
      <c r="T956" s="46"/>
      <c r="U956" s="46"/>
      <c r="V956" s="46"/>
      <c r="W956" s="46"/>
      <c r="X956" s="46"/>
      <c r="Y956" s="46"/>
      <c r="Z956" s="46"/>
      <c r="AA956" s="46"/>
      <c r="AB956" s="46"/>
      <c r="AC956" s="46"/>
      <c r="AD956" s="46"/>
      <c r="AE956" s="46"/>
      <c r="AF956" s="46"/>
      <c r="AG956" s="131"/>
      <c r="AH956" s="132"/>
      <c r="AI956" s="133"/>
      <c r="AJ956" s="134"/>
      <c r="AK956" s="46"/>
      <c r="AL956" s="46"/>
      <c r="AM956" s="46"/>
      <c r="AN956" s="46"/>
      <c r="AO956" s="46"/>
    </row>
    <row r="957">
      <c r="A957" s="17"/>
      <c r="B957" s="46"/>
      <c r="C957" s="46"/>
      <c r="D957" s="46"/>
      <c r="E957" s="17"/>
      <c r="F957" s="46"/>
      <c r="G957" s="46"/>
      <c r="H957" s="46"/>
      <c r="I957" s="17"/>
      <c r="J957" s="46"/>
      <c r="K957" s="46"/>
      <c r="L957" s="46"/>
      <c r="M957" s="17"/>
      <c r="N957" s="46"/>
      <c r="O957" s="46"/>
      <c r="P957" s="46"/>
      <c r="Q957" s="46"/>
      <c r="R957" s="46"/>
      <c r="S957" s="46"/>
      <c r="T957" s="46"/>
      <c r="U957" s="46"/>
      <c r="V957" s="46"/>
      <c r="W957" s="46"/>
      <c r="X957" s="46"/>
      <c r="Y957" s="46"/>
      <c r="Z957" s="46"/>
      <c r="AA957" s="46"/>
      <c r="AB957" s="46"/>
      <c r="AC957" s="46"/>
      <c r="AD957" s="46"/>
      <c r="AE957" s="46"/>
      <c r="AF957" s="46"/>
      <c r="AG957" s="131"/>
      <c r="AH957" s="132"/>
      <c r="AI957" s="133"/>
      <c r="AJ957" s="134"/>
      <c r="AK957" s="46"/>
      <c r="AL957" s="46"/>
      <c r="AM957" s="46"/>
      <c r="AN957" s="46"/>
      <c r="AO957" s="46"/>
    </row>
    <row r="958">
      <c r="A958" s="17"/>
      <c r="B958" s="46"/>
      <c r="C958" s="46"/>
      <c r="D958" s="46"/>
      <c r="E958" s="17"/>
      <c r="F958" s="46"/>
      <c r="G958" s="46"/>
      <c r="H958" s="46"/>
      <c r="I958" s="17"/>
      <c r="J958" s="46"/>
      <c r="K958" s="46"/>
      <c r="L958" s="46"/>
      <c r="M958" s="17"/>
      <c r="N958" s="46"/>
      <c r="O958" s="46"/>
      <c r="P958" s="46"/>
      <c r="Q958" s="46"/>
      <c r="R958" s="46"/>
      <c r="S958" s="46"/>
      <c r="T958" s="46"/>
      <c r="U958" s="46"/>
      <c r="V958" s="46"/>
      <c r="W958" s="46"/>
      <c r="X958" s="46"/>
      <c r="Y958" s="46"/>
      <c r="Z958" s="46"/>
      <c r="AA958" s="46"/>
      <c r="AB958" s="46"/>
      <c r="AC958" s="46"/>
      <c r="AD958" s="46"/>
      <c r="AE958" s="46"/>
      <c r="AF958" s="46"/>
      <c r="AG958" s="131"/>
      <c r="AH958" s="132"/>
      <c r="AI958" s="133"/>
      <c r="AJ958" s="134"/>
      <c r="AK958" s="46"/>
      <c r="AL958" s="46"/>
      <c r="AM958" s="46"/>
      <c r="AN958" s="46"/>
      <c r="AO958" s="46"/>
    </row>
    <row r="959">
      <c r="A959" s="17"/>
      <c r="B959" s="46"/>
      <c r="C959" s="46"/>
      <c r="D959" s="46"/>
      <c r="E959" s="17"/>
      <c r="F959" s="46"/>
      <c r="G959" s="46"/>
      <c r="H959" s="46"/>
      <c r="I959" s="17"/>
      <c r="J959" s="46"/>
      <c r="K959" s="46"/>
      <c r="L959" s="46"/>
      <c r="M959" s="17"/>
      <c r="N959" s="46"/>
      <c r="O959" s="46"/>
      <c r="P959" s="46"/>
      <c r="Q959" s="46"/>
      <c r="R959" s="46"/>
      <c r="S959" s="46"/>
      <c r="T959" s="46"/>
      <c r="U959" s="46"/>
      <c r="V959" s="46"/>
      <c r="W959" s="46"/>
      <c r="X959" s="46"/>
      <c r="Y959" s="46"/>
      <c r="Z959" s="46"/>
      <c r="AA959" s="46"/>
      <c r="AB959" s="46"/>
      <c r="AC959" s="46"/>
      <c r="AD959" s="46"/>
      <c r="AE959" s="46"/>
      <c r="AF959" s="46"/>
      <c r="AG959" s="131"/>
      <c r="AH959" s="132"/>
      <c r="AI959" s="133"/>
      <c r="AJ959" s="134"/>
      <c r="AK959" s="46"/>
      <c r="AL959" s="46"/>
      <c r="AM959" s="46"/>
      <c r="AN959" s="46"/>
      <c r="AO959" s="46"/>
    </row>
    <row r="960">
      <c r="A960" s="17"/>
      <c r="B960" s="46"/>
      <c r="C960" s="46"/>
      <c r="D960" s="46"/>
      <c r="E960" s="17"/>
      <c r="F960" s="46"/>
      <c r="G960" s="46"/>
      <c r="H960" s="46"/>
      <c r="I960" s="17"/>
      <c r="J960" s="46"/>
      <c r="K960" s="46"/>
      <c r="L960" s="46"/>
      <c r="M960" s="17"/>
      <c r="N960" s="46"/>
      <c r="O960" s="46"/>
      <c r="P960" s="46"/>
      <c r="Q960" s="46"/>
      <c r="R960" s="46"/>
      <c r="S960" s="46"/>
      <c r="T960" s="46"/>
      <c r="U960" s="46"/>
      <c r="V960" s="46"/>
      <c r="W960" s="46"/>
      <c r="X960" s="46"/>
      <c r="Y960" s="46"/>
      <c r="Z960" s="46"/>
      <c r="AA960" s="46"/>
      <c r="AB960" s="46"/>
      <c r="AC960" s="46"/>
      <c r="AD960" s="46"/>
      <c r="AE960" s="46"/>
      <c r="AF960" s="46"/>
      <c r="AG960" s="131"/>
      <c r="AH960" s="132"/>
      <c r="AI960" s="133"/>
      <c r="AJ960" s="134"/>
      <c r="AK960" s="46"/>
      <c r="AL960" s="46"/>
      <c r="AM960" s="46"/>
      <c r="AN960" s="46"/>
      <c r="AO960" s="46"/>
    </row>
    <row r="961">
      <c r="A961" s="17"/>
      <c r="B961" s="46"/>
      <c r="C961" s="46"/>
      <c r="D961" s="46"/>
      <c r="E961" s="17"/>
      <c r="F961" s="46"/>
      <c r="G961" s="46"/>
      <c r="H961" s="46"/>
      <c r="I961" s="17"/>
      <c r="J961" s="46"/>
      <c r="K961" s="46"/>
      <c r="L961" s="46"/>
      <c r="M961" s="17"/>
      <c r="N961" s="46"/>
      <c r="O961" s="46"/>
      <c r="P961" s="46"/>
      <c r="Q961" s="46"/>
      <c r="R961" s="46"/>
      <c r="S961" s="46"/>
      <c r="T961" s="46"/>
      <c r="U961" s="46"/>
      <c r="V961" s="46"/>
      <c r="W961" s="46"/>
      <c r="X961" s="46"/>
      <c r="Y961" s="46"/>
      <c r="Z961" s="46"/>
      <c r="AA961" s="46"/>
      <c r="AB961" s="46"/>
      <c r="AC961" s="46"/>
      <c r="AD961" s="46"/>
      <c r="AE961" s="46"/>
      <c r="AF961" s="46"/>
      <c r="AG961" s="131"/>
      <c r="AH961" s="132"/>
      <c r="AI961" s="133"/>
      <c r="AJ961" s="134"/>
      <c r="AK961" s="46"/>
      <c r="AL961" s="46"/>
      <c r="AM961" s="46"/>
      <c r="AN961" s="46"/>
      <c r="AO961" s="46"/>
    </row>
    <row r="962">
      <c r="A962" s="17"/>
      <c r="B962" s="46"/>
      <c r="C962" s="46"/>
      <c r="D962" s="46"/>
      <c r="E962" s="17"/>
      <c r="F962" s="46"/>
      <c r="G962" s="46"/>
      <c r="H962" s="46"/>
      <c r="I962" s="17"/>
      <c r="J962" s="46"/>
      <c r="K962" s="46"/>
      <c r="L962" s="46"/>
      <c r="M962" s="17"/>
      <c r="N962" s="46"/>
      <c r="O962" s="46"/>
      <c r="P962" s="46"/>
      <c r="Q962" s="46"/>
      <c r="R962" s="46"/>
      <c r="S962" s="46"/>
      <c r="T962" s="46"/>
      <c r="U962" s="46"/>
      <c r="V962" s="46"/>
      <c r="W962" s="46"/>
      <c r="X962" s="46"/>
      <c r="Y962" s="46"/>
      <c r="Z962" s="46"/>
      <c r="AA962" s="46"/>
      <c r="AB962" s="46"/>
      <c r="AC962" s="46"/>
      <c r="AD962" s="46"/>
      <c r="AE962" s="46"/>
      <c r="AF962" s="46"/>
      <c r="AG962" s="131"/>
      <c r="AH962" s="132"/>
      <c r="AI962" s="133"/>
      <c r="AJ962" s="134"/>
      <c r="AK962" s="46"/>
      <c r="AL962" s="46"/>
      <c r="AM962" s="46"/>
      <c r="AN962" s="46"/>
      <c r="AO962" s="46"/>
    </row>
    <row r="963">
      <c r="A963" s="17"/>
      <c r="B963" s="46"/>
      <c r="C963" s="46"/>
      <c r="D963" s="46"/>
      <c r="E963" s="17"/>
      <c r="F963" s="46"/>
      <c r="G963" s="46"/>
      <c r="H963" s="46"/>
      <c r="I963" s="17"/>
      <c r="J963" s="46"/>
      <c r="K963" s="46"/>
      <c r="L963" s="46"/>
      <c r="M963" s="17"/>
      <c r="N963" s="46"/>
      <c r="O963" s="46"/>
      <c r="P963" s="46"/>
      <c r="Q963" s="46"/>
      <c r="R963" s="46"/>
      <c r="S963" s="46"/>
      <c r="T963" s="46"/>
      <c r="U963" s="46"/>
      <c r="V963" s="46"/>
      <c r="W963" s="46"/>
      <c r="X963" s="46"/>
      <c r="Y963" s="46"/>
      <c r="Z963" s="46"/>
      <c r="AA963" s="46"/>
      <c r="AB963" s="46"/>
      <c r="AC963" s="46"/>
      <c r="AD963" s="46"/>
      <c r="AE963" s="46"/>
      <c r="AF963" s="46"/>
      <c r="AG963" s="131"/>
      <c r="AH963" s="132"/>
      <c r="AI963" s="133"/>
      <c r="AJ963" s="134"/>
      <c r="AK963" s="46"/>
      <c r="AL963" s="46"/>
      <c r="AM963" s="46"/>
      <c r="AN963" s="46"/>
      <c r="AO963" s="46"/>
    </row>
    <row r="964">
      <c r="A964" s="17"/>
      <c r="B964" s="46"/>
      <c r="C964" s="46"/>
      <c r="D964" s="46"/>
      <c r="E964" s="17"/>
      <c r="F964" s="46"/>
      <c r="G964" s="46"/>
      <c r="H964" s="46"/>
      <c r="I964" s="17"/>
      <c r="J964" s="46"/>
      <c r="K964" s="46"/>
      <c r="L964" s="46"/>
      <c r="M964" s="17"/>
      <c r="N964" s="46"/>
      <c r="O964" s="46"/>
      <c r="P964" s="46"/>
      <c r="Q964" s="46"/>
      <c r="R964" s="46"/>
      <c r="S964" s="46"/>
      <c r="T964" s="46"/>
      <c r="U964" s="46"/>
      <c r="V964" s="46"/>
      <c r="W964" s="46"/>
      <c r="X964" s="46"/>
      <c r="Y964" s="46"/>
      <c r="Z964" s="46"/>
      <c r="AA964" s="46"/>
      <c r="AB964" s="46"/>
      <c r="AC964" s="46"/>
      <c r="AD964" s="46"/>
      <c r="AE964" s="46"/>
      <c r="AF964" s="46"/>
      <c r="AG964" s="131"/>
      <c r="AH964" s="132"/>
      <c r="AI964" s="133"/>
      <c r="AJ964" s="134"/>
      <c r="AK964" s="46"/>
      <c r="AL964" s="46"/>
      <c r="AM964" s="46"/>
      <c r="AN964" s="46"/>
      <c r="AO964" s="46"/>
    </row>
    <row r="965">
      <c r="A965" s="17"/>
      <c r="B965" s="46"/>
      <c r="C965" s="46"/>
      <c r="D965" s="46"/>
      <c r="E965" s="17"/>
      <c r="F965" s="46"/>
      <c r="G965" s="46"/>
      <c r="H965" s="46"/>
      <c r="I965" s="17"/>
      <c r="J965" s="46"/>
      <c r="K965" s="46"/>
      <c r="L965" s="46"/>
      <c r="M965" s="17"/>
      <c r="N965" s="46"/>
      <c r="O965" s="46"/>
      <c r="P965" s="46"/>
      <c r="Q965" s="46"/>
      <c r="R965" s="46"/>
      <c r="S965" s="46"/>
      <c r="T965" s="46"/>
      <c r="U965" s="46"/>
      <c r="V965" s="46"/>
      <c r="W965" s="46"/>
      <c r="X965" s="46"/>
      <c r="Y965" s="46"/>
      <c r="Z965" s="46"/>
      <c r="AA965" s="46"/>
      <c r="AB965" s="46"/>
      <c r="AC965" s="46"/>
      <c r="AD965" s="46"/>
      <c r="AE965" s="46"/>
      <c r="AF965" s="46"/>
      <c r="AG965" s="131"/>
      <c r="AH965" s="132"/>
      <c r="AI965" s="133"/>
      <c r="AJ965" s="134"/>
      <c r="AK965" s="46"/>
      <c r="AL965" s="46"/>
      <c r="AM965" s="46"/>
      <c r="AN965" s="46"/>
      <c r="AO965" s="46"/>
    </row>
    <row r="966">
      <c r="A966" s="17"/>
      <c r="B966" s="46"/>
      <c r="C966" s="46"/>
      <c r="D966" s="46"/>
      <c r="E966" s="17"/>
      <c r="F966" s="46"/>
      <c r="G966" s="46"/>
      <c r="H966" s="46"/>
      <c r="I966" s="17"/>
      <c r="J966" s="46"/>
      <c r="K966" s="46"/>
      <c r="L966" s="46"/>
      <c r="M966" s="17"/>
      <c r="N966" s="46"/>
      <c r="O966" s="46"/>
      <c r="P966" s="46"/>
      <c r="Q966" s="46"/>
      <c r="R966" s="46"/>
      <c r="S966" s="46"/>
      <c r="T966" s="46"/>
      <c r="U966" s="46"/>
      <c r="V966" s="46"/>
      <c r="W966" s="46"/>
      <c r="X966" s="46"/>
      <c r="Y966" s="46"/>
      <c r="Z966" s="46"/>
      <c r="AA966" s="46"/>
      <c r="AB966" s="46"/>
      <c r="AC966" s="46"/>
      <c r="AD966" s="46"/>
      <c r="AE966" s="46"/>
      <c r="AF966" s="46"/>
      <c r="AG966" s="131"/>
      <c r="AH966" s="132"/>
      <c r="AI966" s="133"/>
      <c r="AJ966" s="134"/>
      <c r="AK966" s="46"/>
      <c r="AL966" s="46"/>
      <c r="AM966" s="46"/>
      <c r="AN966" s="46"/>
      <c r="AO966" s="46"/>
    </row>
    <row r="967">
      <c r="A967" s="17"/>
      <c r="B967" s="46"/>
      <c r="C967" s="46"/>
      <c r="D967" s="46"/>
      <c r="E967" s="17"/>
      <c r="F967" s="46"/>
      <c r="G967" s="46"/>
      <c r="H967" s="46"/>
      <c r="I967" s="17"/>
      <c r="J967" s="46"/>
      <c r="K967" s="46"/>
      <c r="L967" s="46"/>
      <c r="M967" s="17"/>
      <c r="N967" s="46"/>
      <c r="O967" s="46"/>
      <c r="P967" s="46"/>
      <c r="Q967" s="46"/>
      <c r="R967" s="46"/>
      <c r="S967" s="46"/>
      <c r="T967" s="46"/>
      <c r="U967" s="46"/>
      <c r="V967" s="46"/>
      <c r="W967" s="46"/>
      <c r="X967" s="46"/>
      <c r="Y967" s="46"/>
      <c r="Z967" s="46"/>
      <c r="AA967" s="46"/>
      <c r="AB967" s="46"/>
      <c r="AC967" s="46"/>
      <c r="AD967" s="46"/>
      <c r="AE967" s="46"/>
      <c r="AF967" s="46"/>
      <c r="AG967" s="131"/>
      <c r="AH967" s="132"/>
      <c r="AI967" s="133"/>
      <c r="AJ967" s="134"/>
      <c r="AK967" s="46"/>
      <c r="AL967" s="46"/>
      <c r="AM967" s="46"/>
      <c r="AN967" s="46"/>
      <c r="AO967" s="46"/>
    </row>
    <row r="968">
      <c r="A968" s="17"/>
      <c r="B968" s="46"/>
      <c r="C968" s="46"/>
      <c r="D968" s="46"/>
      <c r="E968" s="17"/>
      <c r="F968" s="46"/>
      <c r="G968" s="46"/>
      <c r="H968" s="46"/>
      <c r="I968" s="17"/>
      <c r="J968" s="46"/>
      <c r="K968" s="46"/>
      <c r="L968" s="46"/>
      <c r="M968" s="17"/>
      <c r="N968" s="46"/>
      <c r="O968" s="46"/>
      <c r="P968" s="46"/>
      <c r="Q968" s="46"/>
      <c r="R968" s="46"/>
      <c r="S968" s="46"/>
      <c r="T968" s="46"/>
      <c r="U968" s="46"/>
      <c r="V968" s="46"/>
      <c r="W968" s="46"/>
      <c r="X968" s="46"/>
      <c r="Y968" s="46"/>
      <c r="Z968" s="46"/>
      <c r="AA968" s="46"/>
      <c r="AB968" s="46"/>
      <c r="AC968" s="46"/>
      <c r="AD968" s="46"/>
      <c r="AE968" s="46"/>
      <c r="AF968" s="46"/>
      <c r="AG968" s="131"/>
      <c r="AH968" s="132"/>
      <c r="AI968" s="133"/>
      <c r="AJ968" s="134"/>
      <c r="AK968" s="46"/>
      <c r="AL968" s="46"/>
      <c r="AM968" s="46"/>
      <c r="AN968" s="46"/>
      <c r="AO968" s="46"/>
    </row>
    <row r="969">
      <c r="A969" s="17"/>
      <c r="B969" s="46"/>
      <c r="C969" s="46"/>
      <c r="D969" s="46"/>
      <c r="E969" s="17"/>
      <c r="F969" s="46"/>
      <c r="G969" s="46"/>
      <c r="H969" s="46"/>
      <c r="I969" s="17"/>
      <c r="J969" s="46"/>
      <c r="K969" s="46"/>
      <c r="L969" s="46"/>
      <c r="M969" s="17"/>
      <c r="N969" s="46"/>
      <c r="O969" s="46"/>
      <c r="P969" s="46"/>
      <c r="Q969" s="46"/>
      <c r="R969" s="46"/>
      <c r="S969" s="46"/>
      <c r="T969" s="46"/>
      <c r="U969" s="46"/>
      <c r="V969" s="46"/>
      <c r="W969" s="46"/>
      <c r="X969" s="46"/>
      <c r="Y969" s="46"/>
      <c r="Z969" s="46"/>
      <c r="AA969" s="46"/>
      <c r="AB969" s="46"/>
      <c r="AC969" s="46"/>
      <c r="AD969" s="46"/>
      <c r="AE969" s="46"/>
      <c r="AF969" s="46"/>
      <c r="AG969" s="131"/>
      <c r="AH969" s="132"/>
      <c r="AI969" s="133"/>
      <c r="AJ969" s="134"/>
      <c r="AK969" s="46"/>
      <c r="AL969" s="46"/>
      <c r="AM969" s="46"/>
      <c r="AN969" s="46"/>
      <c r="AO969" s="46"/>
    </row>
    <row r="970">
      <c r="A970" s="17"/>
      <c r="B970" s="46"/>
      <c r="C970" s="46"/>
      <c r="D970" s="46"/>
      <c r="E970" s="17"/>
      <c r="F970" s="46"/>
      <c r="G970" s="46"/>
      <c r="H970" s="46"/>
      <c r="I970" s="17"/>
      <c r="J970" s="46"/>
      <c r="K970" s="46"/>
      <c r="L970" s="46"/>
      <c r="M970" s="17"/>
      <c r="N970" s="46"/>
      <c r="O970" s="46"/>
      <c r="P970" s="46"/>
      <c r="Q970" s="46"/>
      <c r="R970" s="46"/>
      <c r="S970" s="46"/>
      <c r="T970" s="46"/>
      <c r="U970" s="46"/>
      <c r="V970" s="46"/>
      <c r="W970" s="46"/>
      <c r="X970" s="46"/>
      <c r="Y970" s="46"/>
      <c r="Z970" s="46"/>
      <c r="AA970" s="46"/>
      <c r="AB970" s="46"/>
      <c r="AC970" s="46"/>
      <c r="AD970" s="46"/>
      <c r="AE970" s="46"/>
      <c r="AF970" s="46"/>
      <c r="AG970" s="131"/>
      <c r="AH970" s="132"/>
      <c r="AI970" s="133"/>
      <c r="AJ970" s="134"/>
      <c r="AK970" s="46"/>
      <c r="AL970" s="46"/>
      <c r="AM970" s="46"/>
      <c r="AN970" s="46"/>
      <c r="AO970" s="46"/>
    </row>
    <row r="971">
      <c r="A971" s="17"/>
      <c r="B971" s="46"/>
      <c r="C971" s="46"/>
      <c r="D971" s="46"/>
      <c r="E971" s="17"/>
      <c r="F971" s="46"/>
      <c r="G971" s="46"/>
      <c r="H971" s="46"/>
      <c r="I971" s="17"/>
      <c r="J971" s="46"/>
      <c r="K971" s="46"/>
      <c r="L971" s="46"/>
      <c r="M971" s="17"/>
      <c r="N971" s="46"/>
      <c r="O971" s="46"/>
      <c r="P971" s="46"/>
      <c r="Q971" s="46"/>
      <c r="R971" s="46"/>
      <c r="S971" s="46"/>
      <c r="T971" s="46"/>
      <c r="U971" s="46"/>
      <c r="V971" s="46"/>
      <c r="W971" s="46"/>
      <c r="X971" s="46"/>
      <c r="Y971" s="46"/>
      <c r="Z971" s="46"/>
      <c r="AA971" s="46"/>
      <c r="AB971" s="46"/>
      <c r="AC971" s="46"/>
      <c r="AD971" s="46"/>
      <c r="AE971" s="46"/>
      <c r="AF971" s="46"/>
      <c r="AG971" s="131"/>
      <c r="AH971" s="132"/>
      <c r="AI971" s="133"/>
      <c r="AJ971" s="134"/>
      <c r="AK971" s="46"/>
      <c r="AL971" s="46"/>
      <c r="AM971" s="46"/>
      <c r="AN971" s="46"/>
      <c r="AO971" s="46"/>
    </row>
    <row r="972">
      <c r="A972" s="17"/>
      <c r="B972" s="46"/>
      <c r="C972" s="46"/>
      <c r="D972" s="46"/>
      <c r="E972" s="17"/>
      <c r="F972" s="46"/>
      <c r="G972" s="46"/>
      <c r="H972" s="46"/>
      <c r="I972" s="17"/>
      <c r="J972" s="46"/>
      <c r="K972" s="46"/>
      <c r="L972" s="46"/>
      <c r="M972" s="17"/>
      <c r="N972" s="46"/>
      <c r="O972" s="46"/>
      <c r="P972" s="46"/>
      <c r="Q972" s="46"/>
      <c r="R972" s="46"/>
      <c r="S972" s="46"/>
      <c r="T972" s="46"/>
      <c r="U972" s="46"/>
      <c r="V972" s="46"/>
      <c r="W972" s="46"/>
      <c r="X972" s="46"/>
      <c r="Y972" s="46"/>
      <c r="Z972" s="46"/>
      <c r="AA972" s="46"/>
      <c r="AB972" s="46"/>
      <c r="AC972" s="46"/>
      <c r="AD972" s="46"/>
      <c r="AE972" s="46"/>
      <c r="AF972" s="46"/>
      <c r="AG972" s="131"/>
      <c r="AH972" s="132"/>
      <c r="AI972" s="133"/>
      <c r="AJ972" s="134"/>
      <c r="AK972" s="46"/>
      <c r="AL972" s="46"/>
      <c r="AM972" s="46"/>
      <c r="AN972" s="46"/>
      <c r="AO972" s="46"/>
    </row>
    <row r="973">
      <c r="A973" s="17"/>
      <c r="B973" s="46"/>
      <c r="C973" s="46"/>
      <c r="D973" s="46"/>
      <c r="E973" s="17"/>
      <c r="F973" s="46"/>
      <c r="G973" s="46"/>
      <c r="H973" s="46"/>
      <c r="I973" s="17"/>
      <c r="J973" s="46"/>
      <c r="K973" s="46"/>
      <c r="L973" s="46"/>
      <c r="M973" s="17"/>
      <c r="N973" s="46"/>
      <c r="O973" s="46"/>
      <c r="P973" s="46"/>
      <c r="Q973" s="46"/>
      <c r="R973" s="46"/>
      <c r="S973" s="46"/>
      <c r="T973" s="46"/>
      <c r="U973" s="46"/>
      <c r="V973" s="46"/>
      <c r="W973" s="46"/>
      <c r="X973" s="46"/>
      <c r="Y973" s="46"/>
      <c r="Z973" s="46"/>
      <c r="AA973" s="46"/>
      <c r="AB973" s="46"/>
      <c r="AC973" s="46"/>
      <c r="AD973" s="46"/>
      <c r="AE973" s="46"/>
      <c r="AF973" s="46"/>
      <c r="AG973" s="131"/>
      <c r="AH973" s="132"/>
      <c r="AI973" s="133"/>
      <c r="AJ973" s="134"/>
      <c r="AK973" s="46"/>
      <c r="AL973" s="46"/>
      <c r="AM973" s="46"/>
      <c r="AN973" s="46"/>
      <c r="AO973" s="46"/>
    </row>
    <row r="974">
      <c r="A974" s="17"/>
      <c r="B974" s="46"/>
      <c r="C974" s="46"/>
      <c r="D974" s="46"/>
      <c r="E974" s="17"/>
      <c r="F974" s="46"/>
      <c r="G974" s="46"/>
      <c r="H974" s="46"/>
      <c r="I974" s="17"/>
      <c r="J974" s="46"/>
      <c r="K974" s="46"/>
      <c r="L974" s="46"/>
      <c r="M974" s="17"/>
      <c r="N974" s="46"/>
      <c r="O974" s="46"/>
      <c r="P974" s="46"/>
      <c r="Q974" s="46"/>
      <c r="R974" s="46"/>
      <c r="S974" s="46"/>
      <c r="T974" s="46"/>
      <c r="U974" s="46"/>
      <c r="V974" s="46"/>
      <c r="W974" s="46"/>
      <c r="X974" s="46"/>
      <c r="Y974" s="46"/>
      <c r="Z974" s="46"/>
      <c r="AA974" s="46"/>
      <c r="AB974" s="46"/>
      <c r="AC974" s="46"/>
      <c r="AD974" s="46"/>
      <c r="AE974" s="46"/>
      <c r="AF974" s="46"/>
      <c r="AG974" s="131"/>
      <c r="AH974" s="132"/>
      <c r="AI974" s="133"/>
      <c r="AJ974" s="134"/>
      <c r="AK974" s="46"/>
      <c r="AL974" s="46"/>
      <c r="AM974" s="46"/>
      <c r="AN974" s="46"/>
      <c r="AO974" s="46"/>
    </row>
    <row r="975">
      <c r="A975" s="17"/>
      <c r="B975" s="46"/>
      <c r="C975" s="46"/>
      <c r="D975" s="46"/>
      <c r="E975" s="17"/>
      <c r="F975" s="46"/>
      <c r="G975" s="46"/>
      <c r="H975" s="46"/>
      <c r="I975" s="17"/>
      <c r="J975" s="46"/>
      <c r="K975" s="46"/>
      <c r="L975" s="46"/>
      <c r="M975" s="17"/>
      <c r="N975" s="46"/>
      <c r="O975" s="46"/>
      <c r="P975" s="46"/>
      <c r="Q975" s="46"/>
      <c r="R975" s="46"/>
      <c r="S975" s="46"/>
      <c r="T975" s="46"/>
      <c r="U975" s="46"/>
      <c r="V975" s="46"/>
      <c r="W975" s="46"/>
      <c r="X975" s="46"/>
      <c r="Y975" s="46"/>
      <c r="Z975" s="46"/>
      <c r="AA975" s="46"/>
      <c r="AB975" s="46"/>
      <c r="AC975" s="46"/>
      <c r="AD975" s="46"/>
      <c r="AE975" s="46"/>
      <c r="AF975" s="46"/>
      <c r="AG975" s="131"/>
      <c r="AH975" s="132"/>
      <c r="AI975" s="133"/>
      <c r="AJ975" s="134"/>
      <c r="AK975" s="46"/>
      <c r="AL975" s="46"/>
      <c r="AM975" s="46"/>
      <c r="AN975" s="46"/>
      <c r="AO975" s="46"/>
    </row>
    <row r="976">
      <c r="A976" s="17"/>
      <c r="B976" s="46"/>
      <c r="C976" s="46"/>
      <c r="D976" s="46"/>
      <c r="E976" s="17"/>
      <c r="F976" s="46"/>
      <c r="G976" s="46"/>
      <c r="H976" s="46"/>
      <c r="I976" s="17"/>
      <c r="J976" s="46"/>
      <c r="K976" s="46"/>
      <c r="L976" s="46"/>
      <c r="M976" s="17"/>
      <c r="N976" s="46"/>
      <c r="O976" s="46"/>
      <c r="P976" s="46"/>
      <c r="Q976" s="46"/>
      <c r="R976" s="46"/>
      <c r="S976" s="46"/>
      <c r="T976" s="46"/>
      <c r="U976" s="46"/>
      <c r="V976" s="46"/>
      <c r="W976" s="46"/>
      <c r="X976" s="46"/>
      <c r="Y976" s="46"/>
      <c r="Z976" s="46"/>
      <c r="AA976" s="46"/>
      <c r="AB976" s="46"/>
      <c r="AC976" s="46"/>
      <c r="AD976" s="46"/>
      <c r="AE976" s="46"/>
      <c r="AF976" s="46"/>
      <c r="AG976" s="131"/>
      <c r="AH976" s="132"/>
      <c r="AI976" s="133"/>
      <c r="AJ976" s="134"/>
      <c r="AK976" s="46"/>
      <c r="AL976" s="46"/>
      <c r="AM976" s="46"/>
      <c r="AN976" s="46"/>
      <c r="AO976" s="46"/>
    </row>
    <row r="977">
      <c r="A977" s="17"/>
      <c r="B977" s="46"/>
      <c r="C977" s="46"/>
      <c r="D977" s="46"/>
      <c r="E977" s="17"/>
      <c r="F977" s="46"/>
      <c r="G977" s="46"/>
      <c r="H977" s="46"/>
      <c r="I977" s="17"/>
      <c r="J977" s="46"/>
      <c r="K977" s="46"/>
      <c r="L977" s="46"/>
      <c r="M977" s="17"/>
      <c r="N977" s="46"/>
      <c r="O977" s="46"/>
      <c r="P977" s="46"/>
      <c r="Q977" s="46"/>
      <c r="R977" s="46"/>
      <c r="S977" s="46"/>
      <c r="T977" s="46"/>
      <c r="U977" s="46"/>
      <c r="V977" s="46"/>
      <c r="W977" s="46"/>
      <c r="X977" s="46"/>
      <c r="Y977" s="46"/>
      <c r="Z977" s="46"/>
      <c r="AA977" s="46"/>
      <c r="AB977" s="46"/>
      <c r="AC977" s="46"/>
      <c r="AD977" s="46"/>
      <c r="AE977" s="46"/>
      <c r="AF977" s="46"/>
      <c r="AG977" s="131"/>
      <c r="AH977" s="132"/>
      <c r="AI977" s="133"/>
      <c r="AJ977" s="134"/>
      <c r="AK977" s="46"/>
      <c r="AL977" s="46"/>
      <c r="AM977" s="46"/>
      <c r="AN977" s="46"/>
      <c r="AO977" s="46"/>
    </row>
    <row r="978">
      <c r="A978" s="17"/>
      <c r="B978" s="46"/>
      <c r="C978" s="46"/>
      <c r="D978" s="46"/>
      <c r="E978" s="17"/>
      <c r="F978" s="46"/>
      <c r="G978" s="46"/>
      <c r="H978" s="46"/>
      <c r="I978" s="17"/>
      <c r="J978" s="46"/>
      <c r="K978" s="46"/>
      <c r="L978" s="46"/>
      <c r="M978" s="17"/>
      <c r="N978" s="46"/>
      <c r="O978" s="46"/>
      <c r="P978" s="46"/>
      <c r="Q978" s="46"/>
      <c r="R978" s="46"/>
      <c r="S978" s="46"/>
      <c r="T978" s="46"/>
      <c r="U978" s="46"/>
      <c r="V978" s="46"/>
      <c r="W978" s="46"/>
      <c r="X978" s="46"/>
      <c r="Y978" s="46"/>
      <c r="Z978" s="46"/>
      <c r="AA978" s="46"/>
      <c r="AB978" s="46"/>
      <c r="AC978" s="46"/>
      <c r="AD978" s="46"/>
      <c r="AE978" s="46"/>
      <c r="AF978" s="46"/>
      <c r="AG978" s="131"/>
      <c r="AH978" s="132"/>
      <c r="AI978" s="133"/>
      <c r="AJ978" s="134"/>
      <c r="AK978" s="46"/>
      <c r="AL978" s="46"/>
      <c r="AM978" s="46"/>
      <c r="AN978" s="46"/>
      <c r="AO978" s="46"/>
    </row>
    <row r="979">
      <c r="A979" s="17"/>
      <c r="B979" s="46"/>
      <c r="C979" s="46"/>
      <c r="D979" s="46"/>
      <c r="E979" s="17"/>
      <c r="F979" s="46"/>
      <c r="G979" s="46"/>
      <c r="H979" s="46"/>
      <c r="I979" s="17"/>
      <c r="J979" s="46"/>
      <c r="K979" s="46"/>
      <c r="L979" s="46"/>
      <c r="M979" s="17"/>
      <c r="N979" s="46"/>
      <c r="O979" s="46"/>
      <c r="P979" s="46"/>
      <c r="Q979" s="46"/>
      <c r="R979" s="46"/>
      <c r="S979" s="46"/>
      <c r="T979" s="46"/>
      <c r="U979" s="46"/>
      <c r="V979" s="46"/>
      <c r="W979" s="46"/>
      <c r="X979" s="46"/>
      <c r="Y979" s="46"/>
      <c r="Z979" s="46"/>
      <c r="AA979" s="46"/>
      <c r="AB979" s="46"/>
      <c r="AC979" s="46"/>
      <c r="AD979" s="46"/>
      <c r="AE979" s="46"/>
      <c r="AF979" s="46"/>
      <c r="AG979" s="131"/>
      <c r="AH979" s="132"/>
      <c r="AI979" s="133"/>
      <c r="AJ979" s="134"/>
      <c r="AK979" s="46"/>
      <c r="AL979" s="46"/>
      <c r="AM979" s="46"/>
      <c r="AN979" s="46"/>
      <c r="AO979" s="46"/>
    </row>
    <row r="980">
      <c r="A980" s="17"/>
      <c r="B980" s="46"/>
      <c r="C980" s="46"/>
      <c r="D980" s="46"/>
      <c r="E980" s="17"/>
      <c r="F980" s="46"/>
      <c r="G980" s="46"/>
      <c r="H980" s="46"/>
      <c r="I980" s="17"/>
      <c r="J980" s="46"/>
      <c r="K980" s="46"/>
      <c r="L980" s="46"/>
      <c r="M980" s="17"/>
      <c r="N980" s="46"/>
      <c r="O980" s="46"/>
      <c r="P980" s="46"/>
      <c r="Q980" s="46"/>
      <c r="R980" s="46"/>
      <c r="S980" s="46"/>
      <c r="T980" s="46"/>
      <c r="U980" s="46"/>
      <c r="V980" s="46"/>
      <c r="W980" s="46"/>
      <c r="X980" s="46"/>
      <c r="Y980" s="46"/>
      <c r="Z980" s="46"/>
      <c r="AA980" s="46"/>
      <c r="AB980" s="46"/>
      <c r="AC980" s="46"/>
      <c r="AD980" s="46"/>
      <c r="AE980" s="46"/>
      <c r="AF980" s="46"/>
      <c r="AG980" s="131"/>
      <c r="AH980" s="132"/>
      <c r="AI980" s="133"/>
      <c r="AJ980" s="134"/>
      <c r="AK980" s="46"/>
      <c r="AL980" s="46"/>
      <c r="AM980" s="46"/>
      <c r="AN980" s="46"/>
      <c r="AO980" s="46"/>
    </row>
    <row r="981">
      <c r="A981" s="17"/>
      <c r="B981" s="46"/>
      <c r="C981" s="46"/>
      <c r="D981" s="46"/>
      <c r="E981" s="17"/>
      <c r="F981" s="46"/>
      <c r="G981" s="46"/>
      <c r="H981" s="46"/>
      <c r="I981" s="17"/>
      <c r="J981" s="46"/>
      <c r="K981" s="46"/>
      <c r="L981" s="46"/>
      <c r="M981" s="17"/>
      <c r="N981" s="46"/>
      <c r="O981" s="46"/>
      <c r="P981" s="46"/>
      <c r="Q981" s="46"/>
      <c r="R981" s="46"/>
      <c r="S981" s="46"/>
      <c r="T981" s="46"/>
      <c r="U981" s="46"/>
      <c r="V981" s="46"/>
      <c r="W981" s="46"/>
      <c r="X981" s="46"/>
      <c r="Y981" s="46"/>
      <c r="Z981" s="46"/>
      <c r="AA981" s="46"/>
      <c r="AB981" s="46"/>
      <c r="AC981" s="46"/>
      <c r="AD981" s="46"/>
      <c r="AE981" s="46"/>
      <c r="AF981" s="46"/>
      <c r="AG981" s="131"/>
      <c r="AH981" s="132"/>
      <c r="AI981" s="133"/>
      <c r="AJ981" s="134"/>
      <c r="AK981" s="46"/>
      <c r="AL981" s="46"/>
      <c r="AM981" s="46"/>
      <c r="AN981" s="46"/>
      <c r="AO981" s="46"/>
    </row>
    <row r="982">
      <c r="A982" s="17"/>
      <c r="B982" s="46"/>
      <c r="C982" s="46"/>
      <c r="D982" s="46"/>
      <c r="E982" s="17"/>
      <c r="F982" s="46"/>
      <c r="G982" s="46"/>
      <c r="H982" s="46"/>
      <c r="I982" s="17"/>
      <c r="J982" s="46"/>
      <c r="K982" s="46"/>
      <c r="L982" s="46"/>
      <c r="M982" s="17"/>
      <c r="N982" s="46"/>
      <c r="O982" s="46"/>
      <c r="P982" s="46"/>
      <c r="Q982" s="46"/>
      <c r="R982" s="46"/>
      <c r="S982" s="46"/>
      <c r="T982" s="46"/>
      <c r="U982" s="46"/>
      <c r="V982" s="46"/>
      <c r="W982" s="46"/>
      <c r="X982" s="46"/>
      <c r="Y982" s="46"/>
      <c r="Z982" s="46"/>
      <c r="AA982" s="46"/>
      <c r="AB982" s="46"/>
      <c r="AC982" s="46"/>
      <c r="AD982" s="46"/>
      <c r="AE982" s="46"/>
      <c r="AF982" s="46"/>
      <c r="AG982" s="131"/>
      <c r="AH982" s="132"/>
      <c r="AI982" s="133"/>
      <c r="AJ982" s="134"/>
      <c r="AK982" s="46"/>
      <c r="AL982" s="46"/>
      <c r="AM982" s="46"/>
      <c r="AN982" s="46"/>
      <c r="AO982" s="46"/>
    </row>
    <row r="983">
      <c r="A983" s="17"/>
      <c r="B983" s="46"/>
      <c r="C983" s="46"/>
      <c r="D983" s="46"/>
      <c r="E983" s="17"/>
      <c r="F983" s="46"/>
      <c r="G983" s="46"/>
      <c r="H983" s="46"/>
      <c r="I983" s="17"/>
      <c r="J983" s="46"/>
      <c r="K983" s="46"/>
      <c r="L983" s="46"/>
      <c r="M983" s="17"/>
      <c r="N983" s="46"/>
      <c r="O983" s="46"/>
      <c r="P983" s="46"/>
      <c r="Q983" s="46"/>
      <c r="R983" s="46"/>
      <c r="S983" s="46"/>
      <c r="T983" s="46"/>
      <c r="U983" s="46"/>
      <c r="V983" s="46"/>
      <c r="W983" s="46"/>
      <c r="X983" s="46"/>
      <c r="Y983" s="46"/>
      <c r="Z983" s="46"/>
      <c r="AA983" s="46"/>
      <c r="AB983" s="46"/>
      <c r="AC983" s="46"/>
      <c r="AD983" s="46"/>
      <c r="AE983" s="46"/>
      <c r="AF983" s="46"/>
      <c r="AG983" s="131"/>
      <c r="AH983" s="132"/>
      <c r="AI983" s="133"/>
      <c r="AJ983" s="134"/>
      <c r="AK983" s="46"/>
      <c r="AL983" s="46"/>
      <c r="AM983" s="46"/>
      <c r="AN983" s="46"/>
      <c r="AO983" s="46"/>
    </row>
    <row r="984">
      <c r="A984" s="17"/>
      <c r="B984" s="46"/>
      <c r="C984" s="46"/>
      <c r="D984" s="46"/>
      <c r="E984" s="17"/>
      <c r="F984" s="46"/>
      <c r="G984" s="46"/>
      <c r="H984" s="46"/>
      <c r="I984" s="17"/>
      <c r="J984" s="46"/>
      <c r="K984" s="46"/>
      <c r="L984" s="46"/>
      <c r="M984" s="17"/>
      <c r="N984" s="46"/>
      <c r="O984" s="46"/>
      <c r="P984" s="46"/>
      <c r="Q984" s="46"/>
      <c r="R984" s="46"/>
      <c r="S984" s="46"/>
      <c r="T984" s="46"/>
      <c r="U984" s="46"/>
      <c r="V984" s="46"/>
      <c r="W984" s="46"/>
      <c r="X984" s="46"/>
      <c r="Y984" s="46"/>
      <c r="Z984" s="46"/>
      <c r="AA984" s="46"/>
      <c r="AB984" s="46"/>
      <c r="AC984" s="46"/>
      <c r="AD984" s="46"/>
      <c r="AE984" s="46"/>
      <c r="AF984" s="46"/>
      <c r="AG984" s="131"/>
      <c r="AH984" s="132"/>
      <c r="AI984" s="133"/>
      <c r="AJ984" s="134"/>
      <c r="AK984" s="46"/>
      <c r="AL984" s="46"/>
      <c r="AM984" s="46"/>
      <c r="AN984" s="46"/>
      <c r="AO984" s="46"/>
    </row>
    <row r="985">
      <c r="A985" s="17"/>
      <c r="B985" s="46"/>
      <c r="C985" s="46"/>
      <c r="D985" s="46"/>
      <c r="E985" s="17"/>
      <c r="F985" s="46"/>
      <c r="G985" s="46"/>
      <c r="H985" s="46"/>
      <c r="I985" s="17"/>
      <c r="J985" s="46"/>
      <c r="K985" s="46"/>
      <c r="L985" s="46"/>
      <c r="M985" s="17"/>
      <c r="N985" s="46"/>
      <c r="O985" s="46"/>
      <c r="P985" s="46"/>
      <c r="Q985" s="46"/>
      <c r="R985" s="46"/>
      <c r="S985" s="46"/>
      <c r="T985" s="46"/>
      <c r="U985" s="46"/>
      <c r="V985" s="46"/>
      <c r="W985" s="46"/>
      <c r="X985" s="46"/>
      <c r="Y985" s="46"/>
      <c r="Z985" s="46"/>
      <c r="AA985" s="46"/>
      <c r="AB985" s="46"/>
      <c r="AC985" s="46"/>
      <c r="AD985" s="46"/>
      <c r="AE985" s="46"/>
      <c r="AF985" s="46"/>
      <c r="AG985" s="131"/>
      <c r="AH985" s="132"/>
      <c r="AI985" s="133"/>
      <c r="AJ985" s="134"/>
      <c r="AK985" s="46"/>
      <c r="AL985" s="46"/>
      <c r="AM985" s="46"/>
      <c r="AN985" s="46"/>
      <c r="AO985" s="46"/>
    </row>
    <row r="986">
      <c r="A986" s="17"/>
      <c r="B986" s="46"/>
      <c r="C986" s="46"/>
      <c r="D986" s="46"/>
      <c r="E986" s="17"/>
      <c r="F986" s="46"/>
      <c r="G986" s="46"/>
      <c r="H986" s="46"/>
      <c r="I986" s="17"/>
      <c r="J986" s="46"/>
      <c r="K986" s="46"/>
      <c r="L986" s="46"/>
      <c r="M986" s="17"/>
      <c r="N986" s="46"/>
      <c r="O986" s="46"/>
      <c r="P986" s="46"/>
      <c r="Q986" s="46"/>
      <c r="R986" s="46"/>
      <c r="S986" s="46"/>
      <c r="T986" s="46"/>
      <c r="U986" s="46"/>
      <c r="V986" s="46"/>
      <c r="W986" s="46"/>
      <c r="X986" s="46"/>
      <c r="Y986" s="46"/>
      <c r="Z986" s="46"/>
      <c r="AA986" s="46"/>
      <c r="AB986" s="46"/>
      <c r="AC986" s="46"/>
      <c r="AD986" s="46"/>
      <c r="AE986" s="46"/>
      <c r="AF986" s="46"/>
      <c r="AG986" s="131"/>
      <c r="AH986" s="132"/>
      <c r="AI986" s="133"/>
      <c r="AJ986" s="134"/>
      <c r="AK986" s="46"/>
      <c r="AL986" s="46"/>
      <c r="AM986" s="46"/>
      <c r="AN986" s="46"/>
      <c r="AO986" s="46"/>
    </row>
    <row r="987">
      <c r="A987" s="17"/>
      <c r="B987" s="46"/>
      <c r="C987" s="46"/>
      <c r="D987" s="46"/>
      <c r="E987" s="17"/>
      <c r="F987" s="46"/>
      <c r="G987" s="46"/>
      <c r="H987" s="46"/>
      <c r="I987" s="17"/>
      <c r="J987" s="46"/>
      <c r="K987" s="46"/>
      <c r="L987" s="46"/>
      <c r="M987" s="17"/>
      <c r="N987" s="46"/>
      <c r="O987" s="46"/>
      <c r="P987" s="46"/>
      <c r="Q987" s="46"/>
      <c r="R987" s="46"/>
      <c r="S987" s="46"/>
      <c r="T987" s="46"/>
      <c r="U987" s="46"/>
      <c r="V987" s="46"/>
      <c r="W987" s="46"/>
      <c r="X987" s="46"/>
      <c r="Y987" s="46"/>
      <c r="Z987" s="46"/>
      <c r="AA987" s="46"/>
      <c r="AB987" s="46"/>
      <c r="AC987" s="46"/>
      <c r="AD987" s="46"/>
      <c r="AE987" s="46"/>
      <c r="AF987" s="46"/>
      <c r="AG987" s="131"/>
      <c r="AH987" s="132"/>
      <c r="AI987" s="133"/>
      <c r="AJ987" s="134"/>
      <c r="AK987" s="46"/>
      <c r="AL987" s="46"/>
      <c r="AM987" s="46"/>
      <c r="AN987" s="46"/>
      <c r="AO987" s="46"/>
    </row>
    <row r="988">
      <c r="A988" s="17"/>
      <c r="B988" s="46"/>
      <c r="C988" s="46"/>
      <c r="D988" s="46"/>
      <c r="E988" s="17"/>
      <c r="F988" s="46"/>
      <c r="G988" s="46"/>
      <c r="H988" s="46"/>
      <c r="I988" s="17"/>
      <c r="J988" s="46"/>
      <c r="K988" s="46"/>
      <c r="L988" s="46"/>
      <c r="M988" s="17"/>
      <c r="N988" s="46"/>
      <c r="O988" s="46"/>
      <c r="P988" s="46"/>
      <c r="Q988" s="46"/>
      <c r="R988" s="46"/>
      <c r="S988" s="46"/>
      <c r="T988" s="46"/>
      <c r="U988" s="46"/>
      <c r="V988" s="46"/>
      <c r="W988" s="46"/>
      <c r="X988" s="46"/>
      <c r="Y988" s="46"/>
      <c r="Z988" s="46"/>
      <c r="AA988" s="46"/>
      <c r="AB988" s="46"/>
      <c r="AC988" s="46"/>
      <c r="AD988" s="46"/>
      <c r="AE988" s="46"/>
      <c r="AF988" s="46"/>
      <c r="AG988" s="131"/>
      <c r="AH988" s="132"/>
      <c r="AI988" s="133"/>
      <c r="AJ988" s="134"/>
      <c r="AK988" s="46"/>
      <c r="AL988" s="46"/>
      <c r="AM988" s="46"/>
      <c r="AN988" s="46"/>
      <c r="AO988" s="46"/>
    </row>
    <row r="989">
      <c r="A989" s="17"/>
      <c r="B989" s="46"/>
      <c r="C989" s="46"/>
      <c r="D989" s="46"/>
      <c r="E989" s="17"/>
      <c r="F989" s="46"/>
      <c r="G989" s="46"/>
      <c r="H989" s="46"/>
      <c r="I989" s="17"/>
      <c r="J989" s="46"/>
      <c r="K989" s="46"/>
      <c r="L989" s="46"/>
      <c r="M989" s="17"/>
      <c r="N989" s="46"/>
      <c r="O989" s="46"/>
      <c r="P989" s="46"/>
      <c r="Q989" s="46"/>
      <c r="R989" s="46"/>
      <c r="S989" s="46"/>
      <c r="T989" s="46"/>
      <c r="U989" s="46"/>
      <c r="V989" s="46"/>
      <c r="W989" s="46"/>
      <c r="X989" s="46"/>
      <c r="Y989" s="46"/>
      <c r="Z989" s="46"/>
      <c r="AA989" s="46"/>
      <c r="AB989" s="46"/>
      <c r="AC989" s="46"/>
      <c r="AD989" s="46"/>
      <c r="AE989" s="46"/>
      <c r="AF989" s="46"/>
      <c r="AG989" s="131"/>
      <c r="AH989" s="132"/>
      <c r="AI989" s="133"/>
      <c r="AJ989" s="134"/>
      <c r="AK989" s="46"/>
      <c r="AL989" s="46"/>
      <c r="AM989" s="46"/>
      <c r="AN989" s="46"/>
      <c r="AO989" s="46"/>
    </row>
    <row r="990">
      <c r="A990" s="115"/>
      <c r="B990" s="88"/>
      <c r="C990" s="89"/>
      <c r="D990" s="55"/>
      <c r="E990" s="115"/>
      <c r="F990" s="88"/>
      <c r="G990" s="89"/>
      <c r="H990" s="55"/>
      <c r="I990" s="115"/>
      <c r="J990" s="88"/>
      <c r="K990" s="89"/>
      <c r="L990" s="55"/>
      <c r="M990" s="115"/>
      <c r="N990" s="88"/>
      <c r="O990" s="89"/>
      <c r="P990" s="55"/>
      <c r="Q990" s="46"/>
      <c r="R990" s="46"/>
      <c r="S990" s="46"/>
      <c r="T990" s="46"/>
      <c r="U990" s="46"/>
      <c r="V990" s="46"/>
      <c r="W990" s="46"/>
      <c r="X990" s="46"/>
      <c r="Y990" s="116"/>
      <c r="Z990" s="135"/>
      <c r="AA990" s="135"/>
      <c r="AB990" s="135"/>
      <c r="AC990" s="116"/>
      <c r="AD990" s="46"/>
      <c r="AE990" s="136"/>
      <c r="AF990" s="136"/>
      <c r="AG990" s="131"/>
      <c r="AH990" s="132"/>
      <c r="AI990" s="133"/>
      <c r="AJ990" s="134"/>
      <c r="AK990" s="55"/>
      <c r="AL990" s="55"/>
      <c r="AM990" s="55"/>
      <c r="AN990" s="55"/>
      <c r="AO990" s="55"/>
    </row>
    <row r="991">
      <c r="A991" s="115"/>
      <c r="B991" s="88"/>
      <c r="C991" s="89"/>
      <c r="D991" s="55"/>
      <c r="E991" s="115"/>
      <c r="F991" s="88"/>
      <c r="G991" s="89"/>
      <c r="H991" s="55"/>
      <c r="I991" s="115"/>
      <c r="J991" s="88"/>
      <c r="K991" s="89"/>
      <c r="L991" s="55"/>
      <c r="M991" s="115"/>
      <c r="N991" s="88"/>
      <c r="O991" s="89"/>
      <c r="P991" s="55"/>
      <c r="Q991" s="46"/>
      <c r="R991" s="46"/>
      <c r="S991" s="46"/>
      <c r="T991" s="46"/>
      <c r="U991" s="46"/>
      <c r="V991" s="46"/>
      <c r="W991" s="46"/>
      <c r="X991" s="46"/>
      <c r="Y991" s="116"/>
      <c r="Z991" s="135"/>
      <c r="AA991" s="135"/>
      <c r="AB991" s="135"/>
      <c r="AC991" s="116"/>
      <c r="AD991" s="46"/>
      <c r="AE991" s="136"/>
      <c r="AF991" s="136"/>
      <c r="AG991" s="131"/>
      <c r="AH991" s="132"/>
      <c r="AI991" s="133"/>
      <c r="AJ991" s="134"/>
      <c r="AK991" s="55"/>
      <c r="AL991" s="55"/>
      <c r="AM991" s="55"/>
      <c r="AN991" s="55"/>
      <c r="AO991" s="55"/>
    </row>
    <row r="992">
      <c r="A992" s="115"/>
      <c r="B992" s="88"/>
      <c r="C992" s="89"/>
      <c r="D992" s="55"/>
      <c r="E992" s="115"/>
      <c r="F992" s="88"/>
      <c r="G992" s="89"/>
      <c r="H992" s="55"/>
      <c r="I992" s="115"/>
      <c r="J992" s="88"/>
      <c r="K992" s="89"/>
      <c r="L992" s="55"/>
      <c r="M992" s="115"/>
      <c r="N992" s="88"/>
      <c r="O992" s="89"/>
      <c r="P992" s="55"/>
      <c r="Q992" s="46"/>
      <c r="R992" s="46"/>
      <c r="S992" s="46"/>
      <c r="T992" s="46"/>
      <c r="U992" s="46"/>
      <c r="V992" s="46"/>
      <c r="W992" s="46"/>
      <c r="X992" s="46"/>
      <c r="Y992" s="116"/>
      <c r="Z992" s="135"/>
      <c r="AA992" s="135"/>
      <c r="AB992" s="135"/>
      <c r="AC992" s="116"/>
      <c r="AD992" s="46"/>
      <c r="AE992" s="136"/>
      <c r="AF992" s="136"/>
      <c r="AG992" s="131"/>
      <c r="AH992" s="132"/>
      <c r="AI992" s="133"/>
      <c r="AJ992" s="134"/>
      <c r="AK992" s="55"/>
      <c r="AL992" s="55"/>
      <c r="AM992" s="55"/>
      <c r="AN992" s="55"/>
      <c r="AO992" s="55"/>
    </row>
    <row r="993">
      <c r="A993" s="115"/>
      <c r="B993" s="88"/>
      <c r="C993" s="89"/>
      <c r="D993" s="55"/>
      <c r="E993" s="115"/>
      <c r="F993" s="88"/>
      <c r="G993" s="89"/>
      <c r="H993" s="55"/>
      <c r="I993" s="115"/>
      <c r="J993" s="88"/>
      <c r="K993" s="89"/>
      <c r="L993" s="55"/>
      <c r="M993" s="115"/>
      <c r="N993" s="88"/>
      <c r="O993" s="89"/>
      <c r="P993" s="55"/>
      <c r="Q993" s="46"/>
      <c r="R993" s="46"/>
      <c r="S993" s="46"/>
      <c r="T993" s="46"/>
      <c r="U993" s="46"/>
      <c r="V993" s="46"/>
      <c r="W993" s="46"/>
      <c r="X993" s="46"/>
      <c r="Y993" s="116"/>
      <c r="Z993" s="135"/>
      <c r="AA993" s="135"/>
      <c r="AB993" s="135"/>
      <c r="AC993" s="116"/>
      <c r="AD993" s="46"/>
      <c r="AE993" s="136"/>
      <c r="AF993" s="136"/>
      <c r="AG993" s="131"/>
      <c r="AH993" s="132"/>
      <c r="AI993" s="133"/>
      <c r="AJ993" s="134"/>
      <c r="AK993" s="55"/>
      <c r="AL993" s="55"/>
      <c r="AM993" s="55"/>
      <c r="AN993" s="55"/>
      <c r="AO993" s="55"/>
    </row>
    <row r="994">
      <c r="A994" s="115"/>
      <c r="B994" s="88"/>
      <c r="C994" s="89"/>
      <c r="D994" s="55"/>
      <c r="E994" s="115"/>
      <c r="F994" s="88"/>
      <c r="G994" s="89"/>
      <c r="H994" s="55"/>
      <c r="I994" s="115"/>
      <c r="J994" s="88"/>
      <c r="K994" s="89"/>
      <c r="L994" s="55"/>
      <c r="M994" s="115"/>
      <c r="N994" s="88"/>
      <c r="O994" s="89"/>
      <c r="P994" s="55"/>
      <c r="Q994" s="46"/>
      <c r="R994" s="46"/>
      <c r="S994" s="46"/>
      <c r="T994" s="46"/>
      <c r="U994" s="46"/>
      <c r="V994" s="46"/>
      <c r="W994" s="46"/>
      <c r="X994" s="46"/>
      <c r="Y994" s="116"/>
      <c r="Z994" s="135"/>
      <c r="AA994" s="135"/>
      <c r="AB994" s="135"/>
      <c r="AC994" s="116"/>
      <c r="AD994" s="46"/>
      <c r="AE994" s="136"/>
      <c r="AF994" s="136"/>
      <c r="AG994" s="131"/>
      <c r="AH994" s="132"/>
      <c r="AI994" s="133"/>
      <c r="AJ994" s="134"/>
      <c r="AK994" s="55"/>
      <c r="AL994" s="55"/>
      <c r="AM994" s="55"/>
      <c r="AN994" s="55"/>
      <c r="AO994" s="55"/>
    </row>
    <row r="995">
      <c r="A995" s="115"/>
      <c r="B995" s="88"/>
      <c r="C995" s="89"/>
      <c r="D995" s="55"/>
      <c r="E995" s="115"/>
      <c r="F995" s="88"/>
      <c r="G995" s="89"/>
      <c r="H995" s="55"/>
      <c r="I995" s="115"/>
      <c r="J995" s="88"/>
      <c r="K995" s="89"/>
      <c r="L995" s="55"/>
      <c r="M995" s="115"/>
      <c r="N995" s="88"/>
      <c r="O995" s="89"/>
      <c r="P995" s="55"/>
      <c r="Q995" s="46"/>
      <c r="R995" s="46"/>
      <c r="S995" s="46"/>
      <c r="T995" s="46"/>
      <c r="U995" s="46"/>
      <c r="V995" s="46"/>
      <c r="W995" s="46"/>
      <c r="X995" s="46"/>
      <c r="Y995" s="116"/>
      <c r="Z995" s="135"/>
      <c r="AA995" s="135"/>
      <c r="AB995" s="135"/>
      <c r="AC995" s="116"/>
      <c r="AD995" s="46"/>
      <c r="AE995" s="136"/>
      <c r="AF995" s="136"/>
      <c r="AG995" s="131"/>
      <c r="AH995" s="132"/>
      <c r="AI995" s="133"/>
      <c r="AJ995" s="134"/>
      <c r="AK995" s="55"/>
      <c r="AL995" s="55"/>
      <c r="AM995" s="55"/>
      <c r="AN995" s="55"/>
      <c r="AO995" s="55"/>
    </row>
    <row r="996">
      <c r="A996" s="115"/>
      <c r="B996" s="88"/>
      <c r="C996" s="89"/>
      <c r="D996" s="55"/>
      <c r="E996" s="115"/>
      <c r="F996" s="88"/>
      <c r="G996" s="89"/>
      <c r="H996" s="55"/>
      <c r="I996" s="115"/>
      <c r="J996" s="88"/>
      <c r="K996" s="89"/>
      <c r="L996" s="55"/>
      <c r="M996" s="115"/>
      <c r="N996" s="88"/>
      <c r="O996" s="89"/>
      <c r="P996" s="55"/>
      <c r="Q996" s="46"/>
      <c r="R996" s="46"/>
      <c r="S996" s="46"/>
      <c r="T996" s="46"/>
      <c r="U996" s="46"/>
      <c r="V996" s="46"/>
      <c r="W996" s="46"/>
      <c r="X996" s="46"/>
      <c r="Y996" s="116"/>
      <c r="Z996" s="135"/>
      <c r="AA996" s="135"/>
      <c r="AB996" s="135"/>
      <c r="AC996" s="116"/>
      <c r="AD996" s="46"/>
      <c r="AE996" s="136"/>
      <c r="AF996" s="136"/>
      <c r="AG996" s="131"/>
      <c r="AH996" s="132"/>
      <c r="AI996" s="133"/>
      <c r="AJ996" s="134"/>
      <c r="AK996" s="55"/>
      <c r="AL996" s="55"/>
      <c r="AM996" s="55"/>
      <c r="AN996" s="55"/>
      <c r="AO996" s="55"/>
    </row>
    <row r="997">
      <c r="A997" s="115"/>
      <c r="B997" s="88"/>
      <c r="C997" s="89"/>
      <c r="D997" s="55"/>
      <c r="E997" s="115"/>
      <c r="F997" s="88"/>
      <c r="G997" s="89"/>
      <c r="H997" s="55"/>
      <c r="I997" s="115"/>
      <c r="J997" s="88"/>
      <c r="K997" s="89"/>
      <c r="L997" s="55"/>
      <c r="M997" s="115"/>
      <c r="N997" s="88"/>
      <c r="O997" s="89"/>
      <c r="P997" s="55"/>
      <c r="Q997" s="46"/>
      <c r="R997" s="46"/>
      <c r="S997" s="46"/>
      <c r="T997" s="46"/>
      <c r="U997" s="46"/>
      <c r="V997" s="46"/>
      <c r="W997" s="46"/>
      <c r="X997" s="46"/>
      <c r="Y997" s="116"/>
      <c r="Z997" s="135"/>
      <c r="AA997" s="135"/>
      <c r="AB997" s="135"/>
      <c r="AC997" s="116"/>
      <c r="AD997" s="46"/>
      <c r="AE997" s="136"/>
      <c r="AF997" s="136"/>
      <c r="AG997" s="131"/>
      <c r="AH997" s="132"/>
      <c r="AI997" s="133"/>
      <c r="AJ997" s="134"/>
      <c r="AK997" s="55"/>
      <c r="AL997" s="55"/>
      <c r="AM997" s="55"/>
      <c r="AN997" s="55"/>
      <c r="AO997" s="55"/>
    </row>
    <row r="998">
      <c r="A998" s="115"/>
      <c r="B998" s="88"/>
      <c r="C998" s="89"/>
      <c r="D998" s="55"/>
      <c r="E998" s="115"/>
      <c r="F998" s="88"/>
      <c r="G998" s="89"/>
      <c r="H998" s="55"/>
      <c r="I998" s="115"/>
      <c r="J998" s="88"/>
      <c r="K998" s="89"/>
      <c r="L998" s="55"/>
      <c r="M998" s="115"/>
      <c r="N998" s="88"/>
      <c r="O998" s="89"/>
      <c r="P998" s="55"/>
      <c r="Q998" s="46"/>
      <c r="R998" s="46"/>
      <c r="S998" s="46"/>
      <c r="T998" s="46"/>
      <c r="U998" s="46"/>
      <c r="V998" s="46"/>
      <c r="W998" s="46"/>
      <c r="X998" s="46"/>
      <c r="Y998" s="116"/>
      <c r="Z998" s="135"/>
      <c r="AA998" s="135"/>
      <c r="AB998" s="135"/>
      <c r="AC998" s="116"/>
      <c r="AD998" s="46"/>
      <c r="AE998" s="136"/>
      <c r="AF998" s="136"/>
      <c r="AG998" s="131"/>
      <c r="AH998" s="132"/>
      <c r="AI998" s="133"/>
      <c r="AJ998" s="134"/>
      <c r="AK998" s="55"/>
      <c r="AL998" s="55"/>
      <c r="AM998" s="55"/>
      <c r="AN998" s="55"/>
      <c r="AO998" s="55"/>
    </row>
    <row r="999">
      <c r="A999" s="115"/>
      <c r="B999" s="88"/>
      <c r="C999" s="89"/>
      <c r="D999" s="55"/>
      <c r="E999" s="115"/>
      <c r="F999" s="88"/>
      <c r="G999" s="89"/>
      <c r="H999" s="55"/>
      <c r="I999" s="115"/>
      <c r="J999" s="88"/>
      <c r="K999" s="89"/>
      <c r="L999" s="55"/>
      <c r="M999" s="115"/>
      <c r="N999" s="88"/>
      <c r="O999" s="89"/>
      <c r="P999" s="55"/>
      <c r="Q999" s="46"/>
      <c r="R999" s="46"/>
      <c r="S999" s="46"/>
      <c r="T999" s="46"/>
      <c r="U999" s="46"/>
      <c r="V999" s="46"/>
      <c r="W999" s="46"/>
      <c r="X999" s="46"/>
      <c r="Y999" s="116"/>
      <c r="Z999" s="135"/>
      <c r="AA999" s="135"/>
      <c r="AB999" s="135"/>
      <c r="AC999" s="116"/>
      <c r="AD999" s="46"/>
      <c r="AE999" s="136"/>
      <c r="AF999" s="136"/>
      <c r="AG999" s="131"/>
      <c r="AH999" s="132"/>
      <c r="AI999" s="133"/>
      <c r="AJ999" s="134"/>
      <c r="AK999" s="55"/>
      <c r="AL999" s="55"/>
      <c r="AM999" s="55"/>
      <c r="AN999" s="55"/>
      <c r="AO999" s="55"/>
    </row>
    <row r="1000">
      <c r="A1000" s="115"/>
      <c r="B1000" s="88"/>
      <c r="C1000" s="89"/>
      <c r="D1000" s="55"/>
      <c r="E1000" s="115"/>
      <c r="F1000" s="88"/>
      <c r="G1000" s="89"/>
      <c r="H1000" s="55"/>
      <c r="I1000" s="115"/>
      <c r="J1000" s="88"/>
      <c r="K1000" s="89"/>
      <c r="L1000" s="55"/>
      <c r="M1000" s="115"/>
      <c r="N1000" s="88"/>
      <c r="O1000" s="89"/>
      <c r="P1000" s="55"/>
      <c r="Q1000" s="46"/>
      <c r="R1000" s="46"/>
      <c r="S1000" s="46"/>
      <c r="T1000" s="46"/>
      <c r="U1000" s="46"/>
      <c r="V1000" s="46"/>
      <c r="W1000" s="46"/>
      <c r="X1000" s="46"/>
      <c r="Y1000" s="116"/>
      <c r="Z1000" s="135"/>
      <c r="AA1000" s="135"/>
      <c r="AB1000" s="135"/>
      <c r="AC1000" s="116"/>
      <c r="AD1000" s="46"/>
      <c r="AE1000" s="136"/>
      <c r="AF1000" s="136"/>
      <c r="AG1000" s="131"/>
      <c r="AH1000" s="132"/>
      <c r="AI1000" s="133"/>
      <c r="AJ1000" s="134"/>
      <c r="AK1000" s="55"/>
      <c r="AL1000" s="55"/>
      <c r="AM1000" s="55"/>
      <c r="AN1000" s="55"/>
      <c r="AO1000" s="55"/>
    </row>
    <row r="1001">
      <c r="A1001" s="115"/>
      <c r="B1001" s="88"/>
      <c r="C1001" s="89"/>
      <c r="D1001" s="55"/>
      <c r="E1001" s="115"/>
      <c r="F1001" s="88"/>
      <c r="G1001" s="89"/>
      <c r="H1001" s="55"/>
      <c r="I1001" s="115"/>
      <c r="J1001" s="88"/>
      <c r="K1001" s="89"/>
      <c r="L1001" s="55"/>
      <c r="M1001" s="115"/>
      <c r="N1001" s="88"/>
      <c r="O1001" s="89"/>
      <c r="P1001" s="55"/>
      <c r="Q1001" s="46"/>
      <c r="R1001" s="46"/>
      <c r="S1001" s="46"/>
      <c r="T1001" s="46"/>
      <c r="U1001" s="46"/>
      <c r="V1001" s="46"/>
      <c r="W1001" s="46"/>
      <c r="X1001" s="46"/>
      <c r="Y1001" s="116"/>
      <c r="Z1001" s="135"/>
      <c r="AA1001" s="135"/>
      <c r="AB1001" s="135"/>
      <c r="AC1001" s="116"/>
      <c r="AD1001" s="46"/>
      <c r="AE1001" s="136"/>
      <c r="AF1001" s="136"/>
      <c r="AG1001" s="131"/>
      <c r="AH1001" s="132"/>
      <c r="AI1001" s="133"/>
      <c r="AJ1001" s="134"/>
      <c r="AK1001" s="55"/>
      <c r="AL1001" s="55"/>
      <c r="AM1001" s="55"/>
      <c r="AN1001" s="55"/>
      <c r="AO1001" s="55"/>
    </row>
    <row r="1002">
      <c r="A1002" s="115"/>
      <c r="B1002" s="88"/>
      <c r="C1002" s="89"/>
      <c r="D1002" s="55"/>
      <c r="E1002" s="115"/>
      <c r="F1002" s="88"/>
      <c r="G1002" s="89"/>
      <c r="H1002" s="55"/>
      <c r="I1002" s="115"/>
      <c r="J1002" s="88"/>
      <c r="K1002" s="89"/>
      <c r="L1002" s="55"/>
      <c r="M1002" s="115"/>
      <c r="N1002" s="88"/>
      <c r="O1002" s="89"/>
      <c r="P1002" s="55"/>
      <c r="Q1002" s="46"/>
      <c r="R1002" s="46"/>
      <c r="S1002" s="46"/>
      <c r="T1002" s="46"/>
      <c r="U1002" s="46"/>
      <c r="V1002" s="46"/>
      <c r="W1002" s="46"/>
      <c r="X1002" s="46"/>
      <c r="Y1002" s="116"/>
      <c r="Z1002" s="135"/>
      <c r="AA1002" s="135"/>
      <c r="AB1002" s="135"/>
      <c r="AC1002" s="116"/>
      <c r="AD1002" s="46"/>
      <c r="AE1002" s="136"/>
      <c r="AF1002" s="136"/>
      <c r="AG1002" s="131"/>
      <c r="AH1002" s="132"/>
      <c r="AI1002" s="133"/>
      <c r="AJ1002" s="134"/>
      <c r="AK1002" s="55"/>
      <c r="AL1002" s="55"/>
      <c r="AM1002" s="55"/>
      <c r="AN1002" s="55"/>
      <c r="AO1002" s="55"/>
    </row>
    <row r="1003">
      <c r="A1003" s="115"/>
      <c r="B1003" s="88"/>
      <c r="C1003" s="89"/>
      <c r="D1003" s="55"/>
      <c r="E1003" s="115"/>
      <c r="F1003" s="88"/>
      <c r="G1003" s="89"/>
      <c r="H1003" s="55"/>
      <c r="I1003" s="115"/>
      <c r="J1003" s="88"/>
      <c r="K1003" s="89"/>
      <c r="L1003" s="55"/>
      <c r="M1003" s="115"/>
      <c r="N1003" s="88"/>
      <c r="O1003" s="89"/>
      <c r="P1003" s="55"/>
      <c r="Q1003" s="46"/>
      <c r="R1003" s="46"/>
      <c r="S1003" s="46"/>
      <c r="T1003" s="46"/>
      <c r="U1003" s="46"/>
      <c r="V1003" s="46"/>
      <c r="W1003" s="46"/>
      <c r="X1003" s="46"/>
      <c r="Y1003" s="116"/>
      <c r="Z1003" s="135"/>
      <c r="AA1003" s="135"/>
      <c r="AB1003" s="135"/>
      <c r="AC1003" s="116"/>
      <c r="AD1003" s="46"/>
      <c r="AE1003" s="136"/>
      <c r="AF1003" s="136"/>
      <c r="AG1003" s="131"/>
      <c r="AH1003" s="132"/>
      <c r="AI1003" s="133"/>
      <c r="AJ1003" s="134"/>
      <c r="AK1003" s="55"/>
      <c r="AL1003" s="55"/>
      <c r="AM1003" s="55"/>
      <c r="AN1003" s="55"/>
      <c r="AO1003" s="55"/>
    </row>
    <row r="1004">
      <c r="A1004" s="115"/>
      <c r="B1004" s="88"/>
      <c r="C1004" s="89"/>
      <c r="D1004" s="55"/>
      <c r="E1004" s="115"/>
      <c r="F1004" s="88"/>
      <c r="G1004" s="89"/>
      <c r="H1004" s="55"/>
      <c r="I1004" s="115"/>
      <c r="J1004" s="88"/>
      <c r="K1004" s="89"/>
      <c r="L1004" s="55"/>
      <c r="M1004" s="115"/>
      <c r="N1004" s="88"/>
      <c r="O1004" s="89"/>
      <c r="P1004" s="55"/>
      <c r="Q1004" s="46"/>
      <c r="R1004" s="46"/>
      <c r="S1004" s="46"/>
      <c r="T1004" s="46"/>
      <c r="U1004" s="46"/>
      <c r="V1004" s="46"/>
      <c r="W1004" s="46"/>
      <c r="X1004" s="46"/>
      <c r="Y1004" s="116"/>
      <c r="Z1004" s="135"/>
      <c r="AA1004" s="135"/>
      <c r="AB1004" s="135"/>
      <c r="AC1004" s="116"/>
      <c r="AD1004" s="46"/>
      <c r="AE1004" s="136"/>
      <c r="AF1004" s="136"/>
      <c r="AG1004" s="131"/>
      <c r="AH1004" s="132"/>
      <c r="AI1004" s="133"/>
      <c r="AJ1004" s="134"/>
      <c r="AK1004" s="55"/>
      <c r="AL1004" s="55"/>
      <c r="AM1004" s="55"/>
      <c r="AN1004" s="55"/>
      <c r="AO1004" s="55"/>
    </row>
    <row r="1005">
      <c r="A1005" s="115"/>
      <c r="B1005" s="88"/>
      <c r="C1005" s="89"/>
      <c r="D1005" s="55"/>
      <c r="E1005" s="115"/>
      <c r="F1005" s="88"/>
      <c r="G1005" s="89"/>
      <c r="H1005" s="55"/>
      <c r="I1005" s="115"/>
      <c r="J1005" s="88"/>
      <c r="K1005" s="89"/>
      <c r="L1005" s="55"/>
      <c r="M1005" s="115"/>
      <c r="N1005" s="88"/>
      <c r="O1005" s="89"/>
      <c r="P1005" s="55"/>
      <c r="Q1005" s="46"/>
      <c r="R1005" s="46"/>
      <c r="S1005" s="46"/>
      <c r="T1005" s="46"/>
      <c r="U1005" s="46"/>
      <c r="V1005" s="46"/>
      <c r="W1005" s="46"/>
      <c r="X1005" s="46"/>
      <c r="Y1005" s="116"/>
      <c r="Z1005" s="135"/>
      <c r="AA1005" s="135"/>
      <c r="AB1005" s="135"/>
      <c r="AC1005" s="116"/>
      <c r="AD1005" s="46"/>
      <c r="AE1005" s="136"/>
      <c r="AF1005" s="136"/>
      <c r="AG1005" s="131"/>
      <c r="AH1005" s="132"/>
      <c r="AI1005" s="133"/>
      <c r="AJ1005" s="134"/>
      <c r="AK1005" s="55"/>
      <c r="AL1005" s="55"/>
      <c r="AM1005" s="55"/>
      <c r="AN1005" s="55"/>
      <c r="AO1005" s="55"/>
    </row>
    <row r="1006">
      <c r="A1006" s="115"/>
      <c r="B1006" s="88"/>
      <c r="C1006" s="89"/>
      <c r="D1006" s="55"/>
      <c r="E1006" s="115"/>
      <c r="F1006" s="88"/>
      <c r="G1006" s="89"/>
      <c r="H1006" s="55"/>
      <c r="I1006" s="115"/>
      <c r="J1006" s="88"/>
      <c r="K1006" s="89"/>
      <c r="L1006" s="55"/>
      <c r="M1006" s="115"/>
      <c r="N1006" s="88"/>
      <c r="O1006" s="89"/>
      <c r="P1006" s="55"/>
      <c r="Q1006" s="46"/>
      <c r="R1006" s="46"/>
      <c r="S1006" s="46"/>
      <c r="T1006" s="46"/>
      <c r="U1006" s="46"/>
      <c r="V1006" s="46"/>
      <c r="W1006" s="46"/>
      <c r="X1006" s="46"/>
      <c r="Y1006" s="116"/>
      <c r="Z1006" s="135"/>
      <c r="AA1006" s="135"/>
      <c r="AB1006" s="135"/>
      <c r="AC1006" s="116"/>
      <c r="AD1006" s="46"/>
      <c r="AE1006" s="136"/>
      <c r="AF1006" s="136"/>
      <c r="AG1006" s="131"/>
      <c r="AH1006" s="132"/>
      <c r="AI1006" s="133"/>
      <c r="AJ1006" s="134"/>
      <c r="AK1006" s="55"/>
      <c r="AL1006" s="55"/>
      <c r="AM1006" s="55"/>
      <c r="AN1006" s="55"/>
      <c r="AO1006" s="55"/>
    </row>
    <row r="1007">
      <c r="A1007" s="115"/>
      <c r="B1007" s="88"/>
      <c r="C1007" s="89"/>
      <c r="D1007" s="55"/>
      <c r="E1007" s="115"/>
      <c r="F1007" s="88"/>
      <c r="G1007" s="89"/>
      <c r="H1007" s="55"/>
      <c r="I1007" s="115"/>
      <c r="J1007" s="88"/>
      <c r="K1007" s="89"/>
      <c r="L1007" s="55"/>
      <c r="M1007" s="115"/>
      <c r="N1007" s="88"/>
      <c r="O1007" s="89"/>
      <c r="P1007" s="55"/>
      <c r="Q1007" s="46"/>
      <c r="R1007" s="46"/>
      <c r="S1007" s="46"/>
      <c r="T1007" s="46"/>
      <c r="U1007" s="46"/>
      <c r="V1007" s="46"/>
      <c r="W1007" s="46"/>
      <c r="X1007" s="46"/>
      <c r="Y1007" s="116"/>
      <c r="Z1007" s="135"/>
      <c r="AA1007" s="135"/>
      <c r="AB1007" s="135"/>
      <c r="AC1007" s="116"/>
      <c r="AD1007" s="46"/>
      <c r="AE1007" s="136"/>
      <c r="AF1007" s="136"/>
      <c r="AG1007" s="131"/>
      <c r="AH1007" s="132"/>
      <c r="AI1007" s="133"/>
      <c r="AJ1007" s="134"/>
      <c r="AK1007" s="55"/>
      <c r="AL1007" s="55"/>
      <c r="AM1007" s="55"/>
      <c r="AN1007" s="55"/>
      <c r="AO1007" s="55"/>
    </row>
    <row r="1008">
      <c r="A1008" s="115"/>
      <c r="B1008" s="88"/>
      <c r="C1008" s="89"/>
      <c r="D1008" s="55"/>
      <c r="E1008" s="115"/>
      <c r="F1008" s="88"/>
      <c r="G1008" s="89"/>
      <c r="H1008" s="55"/>
      <c r="I1008" s="115"/>
      <c r="J1008" s="88"/>
      <c r="K1008" s="89"/>
      <c r="L1008" s="55"/>
      <c r="M1008" s="115"/>
      <c r="N1008" s="88"/>
      <c r="O1008" s="89"/>
      <c r="P1008" s="55"/>
      <c r="Q1008" s="46"/>
      <c r="R1008" s="46"/>
      <c r="S1008" s="46"/>
      <c r="T1008" s="46"/>
      <c r="U1008" s="46"/>
      <c r="V1008" s="46"/>
      <c r="W1008" s="46"/>
      <c r="X1008" s="46"/>
      <c r="Y1008" s="116"/>
      <c r="Z1008" s="135"/>
      <c r="AA1008" s="135"/>
      <c r="AB1008" s="135"/>
      <c r="AC1008" s="116"/>
      <c r="AD1008" s="46"/>
      <c r="AE1008" s="136"/>
      <c r="AF1008" s="136"/>
      <c r="AG1008" s="131"/>
      <c r="AH1008" s="132"/>
      <c r="AI1008" s="133"/>
      <c r="AJ1008" s="134"/>
      <c r="AK1008" s="55"/>
      <c r="AL1008" s="55"/>
      <c r="AM1008" s="55"/>
      <c r="AN1008" s="55"/>
      <c r="AO1008" s="55"/>
    </row>
    <row r="1009">
      <c r="A1009" s="115"/>
      <c r="B1009" s="88"/>
      <c r="C1009" s="89"/>
      <c r="D1009" s="55"/>
      <c r="E1009" s="115"/>
      <c r="F1009" s="88"/>
      <c r="G1009" s="89"/>
      <c r="H1009" s="55"/>
      <c r="I1009" s="115"/>
      <c r="J1009" s="88"/>
      <c r="K1009" s="89"/>
      <c r="L1009" s="55"/>
      <c r="M1009" s="115"/>
      <c r="N1009" s="88"/>
      <c r="O1009" s="89"/>
      <c r="P1009" s="55"/>
      <c r="Q1009" s="46"/>
      <c r="R1009" s="46"/>
      <c r="S1009" s="46"/>
      <c r="T1009" s="46"/>
      <c r="U1009" s="46"/>
      <c r="V1009" s="46"/>
      <c r="W1009" s="46"/>
      <c r="X1009" s="46"/>
      <c r="Y1009" s="116"/>
      <c r="Z1009" s="135"/>
      <c r="AA1009" s="135"/>
      <c r="AB1009" s="135"/>
      <c r="AC1009" s="116"/>
      <c r="AD1009" s="46"/>
      <c r="AE1009" s="136"/>
      <c r="AF1009" s="136"/>
      <c r="AG1009" s="131"/>
      <c r="AH1009" s="132"/>
      <c r="AI1009" s="133"/>
      <c r="AJ1009" s="134"/>
      <c r="AK1009" s="55"/>
      <c r="AL1009" s="55"/>
      <c r="AM1009" s="55"/>
      <c r="AN1009" s="55"/>
      <c r="AO1009" s="55"/>
    </row>
    <row r="1010">
      <c r="A1010" s="115"/>
      <c r="B1010" s="88"/>
      <c r="C1010" s="89"/>
      <c r="D1010" s="55"/>
      <c r="E1010" s="115"/>
      <c r="F1010" s="88"/>
      <c r="G1010" s="89"/>
      <c r="H1010" s="55"/>
      <c r="I1010" s="115"/>
      <c r="J1010" s="88"/>
      <c r="K1010" s="89"/>
      <c r="L1010" s="55"/>
      <c r="M1010" s="115"/>
      <c r="N1010" s="88"/>
      <c r="O1010" s="89"/>
      <c r="P1010" s="55"/>
      <c r="Q1010" s="46"/>
      <c r="R1010" s="46"/>
      <c r="S1010" s="46"/>
      <c r="T1010" s="46"/>
      <c r="U1010" s="46"/>
      <c r="V1010" s="46"/>
      <c r="W1010" s="46"/>
      <c r="X1010" s="46"/>
      <c r="Y1010" s="116"/>
      <c r="Z1010" s="135"/>
      <c r="AA1010" s="135"/>
      <c r="AB1010" s="135"/>
      <c r="AC1010" s="116"/>
      <c r="AD1010" s="46"/>
      <c r="AE1010" s="136"/>
      <c r="AF1010" s="136"/>
      <c r="AG1010" s="131"/>
      <c r="AH1010" s="132"/>
      <c r="AI1010" s="133"/>
      <c r="AJ1010" s="134"/>
      <c r="AK1010" s="55"/>
      <c r="AL1010" s="55"/>
      <c r="AM1010" s="55"/>
      <c r="AN1010" s="55"/>
      <c r="AO1010" s="55"/>
    </row>
    <row r="1011">
      <c r="A1011" s="115"/>
      <c r="B1011" s="88"/>
      <c r="C1011" s="89"/>
      <c r="D1011" s="55"/>
      <c r="E1011" s="115"/>
      <c r="F1011" s="88"/>
      <c r="G1011" s="89"/>
      <c r="H1011" s="55"/>
      <c r="I1011" s="115"/>
      <c r="J1011" s="88"/>
      <c r="K1011" s="89"/>
      <c r="L1011" s="55"/>
      <c r="M1011" s="115"/>
      <c r="N1011" s="88"/>
      <c r="O1011" s="89"/>
      <c r="P1011" s="55"/>
      <c r="Q1011" s="46"/>
      <c r="R1011" s="46"/>
      <c r="S1011" s="46"/>
      <c r="T1011" s="46"/>
      <c r="U1011" s="46"/>
      <c r="V1011" s="46"/>
      <c r="W1011" s="46"/>
      <c r="X1011" s="46"/>
      <c r="Y1011" s="116"/>
      <c r="Z1011" s="135"/>
      <c r="AA1011" s="135"/>
      <c r="AB1011" s="135"/>
      <c r="AC1011" s="116"/>
      <c r="AD1011" s="46"/>
      <c r="AE1011" s="136"/>
      <c r="AF1011" s="136"/>
      <c r="AG1011" s="131"/>
      <c r="AH1011" s="132"/>
      <c r="AI1011" s="133"/>
      <c r="AJ1011" s="134"/>
      <c r="AK1011" s="55"/>
      <c r="AL1011" s="55"/>
      <c r="AM1011" s="55"/>
      <c r="AN1011" s="55"/>
      <c r="AO1011" s="55"/>
    </row>
    <row r="1012">
      <c r="A1012" s="115"/>
      <c r="B1012" s="88"/>
      <c r="C1012" s="89"/>
      <c r="D1012" s="55"/>
      <c r="E1012" s="115"/>
      <c r="F1012" s="88"/>
      <c r="G1012" s="89"/>
      <c r="H1012" s="55"/>
      <c r="I1012" s="115"/>
      <c r="J1012" s="88"/>
      <c r="K1012" s="89"/>
      <c r="L1012" s="55"/>
      <c r="M1012" s="115"/>
      <c r="N1012" s="88"/>
      <c r="O1012" s="89"/>
      <c r="P1012" s="55"/>
      <c r="Q1012" s="46"/>
      <c r="R1012" s="46"/>
      <c r="S1012" s="46"/>
      <c r="T1012" s="46"/>
      <c r="U1012" s="46"/>
      <c r="V1012" s="46"/>
      <c r="W1012" s="46"/>
      <c r="X1012" s="46"/>
      <c r="Y1012" s="116"/>
      <c r="Z1012" s="135"/>
      <c r="AA1012" s="135"/>
      <c r="AB1012" s="135"/>
      <c r="AC1012" s="116"/>
      <c r="AD1012" s="46"/>
      <c r="AE1012" s="136"/>
      <c r="AF1012" s="136"/>
      <c r="AG1012" s="131"/>
      <c r="AH1012" s="132"/>
      <c r="AI1012" s="133"/>
      <c r="AJ1012" s="134"/>
      <c r="AK1012" s="55"/>
      <c r="AL1012" s="55"/>
      <c r="AM1012" s="55"/>
      <c r="AN1012" s="55"/>
      <c r="AO1012" s="55"/>
    </row>
    <row r="1013">
      <c r="A1013" s="115"/>
      <c r="B1013" s="88"/>
      <c r="C1013" s="89"/>
      <c r="D1013" s="55"/>
      <c r="E1013" s="115"/>
      <c r="F1013" s="88"/>
      <c r="G1013" s="89"/>
      <c r="H1013" s="55"/>
      <c r="I1013" s="115"/>
      <c r="J1013" s="88"/>
      <c r="K1013" s="89"/>
      <c r="L1013" s="55"/>
      <c r="M1013" s="115"/>
      <c r="N1013" s="88"/>
      <c r="O1013" s="89"/>
      <c r="P1013" s="55"/>
      <c r="Q1013" s="46"/>
      <c r="R1013" s="46"/>
      <c r="S1013" s="46"/>
      <c r="T1013" s="46"/>
      <c r="U1013" s="46"/>
      <c r="V1013" s="46"/>
      <c r="W1013" s="46"/>
      <c r="X1013" s="46"/>
      <c r="Y1013" s="116"/>
      <c r="Z1013" s="135"/>
      <c r="AA1013" s="135"/>
      <c r="AB1013" s="135"/>
      <c r="AC1013" s="116"/>
      <c r="AD1013" s="46"/>
      <c r="AE1013" s="136"/>
      <c r="AF1013" s="136"/>
      <c r="AG1013" s="131"/>
      <c r="AH1013" s="132"/>
      <c r="AI1013" s="133"/>
      <c r="AJ1013" s="134"/>
      <c r="AK1013" s="55"/>
      <c r="AL1013" s="55"/>
      <c r="AM1013" s="55"/>
      <c r="AN1013" s="55"/>
      <c r="AO1013" s="55"/>
    </row>
    <row r="1014">
      <c r="A1014" s="115"/>
      <c r="B1014" s="88"/>
      <c r="C1014" s="89"/>
      <c r="D1014" s="55"/>
      <c r="E1014" s="115"/>
      <c r="F1014" s="88"/>
      <c r="G1014" s="89"/>
      <c r="H1014" s="55"/>
      <c r="I1014" s="115"/>
      <c r="J1014" s="88"/>
      <c r="K1014" s="89"/>
      <c r="L1014" s="55"/>
      <c r="M1014" s="115"/>
      <c r="N1014" s="88"/>
      <c r="O1014" s="89"/>
      <c r="P1014" s="55"/>
      <c r="Q1014" s="46"/>
      <c r="R1014" s="46"/>
      <c r="S1014" s="46"/>
      <c r="T1014" s="46"/>
      <c r="U1014" s="46"/>
      <c r="V1014" s="46"/>
      <c r="W1014" s="46"/>
      <c r="X1014" s="46"/>
      <c r="Y1014" s="116"/>
      <c r="Z1014" s="135"/>
      <c r="AA1014" s="135"/>
      <c r="AB1014" s="135"/>
      <c r="AC1014" s="116"/>
      <c r="AD1014" s="46"/>
      <c r="AE1014" s="136"/>
      <c r="AF1014" s="136"/>
      <c r="AG1014" s="131"/>
      <c r="AH1014" s="132"/>
      <c r="AI1014" s="133"/>
      <c r="AJ1014" s="134"/>
      <c r="AK1014" s="55"/>
      <c r="AL1014" s="55"/>
      <c r="AM1014" s="55"/>
      <c r="AN1014" s="55"/>
      <c r="AO1014" s="55"/>
    </row>
    <row r="1015">
      <c r="A1015" s="115"/>
      <c r="B1015" s="88"/>
      <c r="C1015" s="89"/>
      <c r="D1015" s="55"/>
      <c r="E1015" s="115"/>
      <c r="F1015" s="88"/>
      <c r="G1015" s="89"/>
      <c r="H1015" s="55"/>
      <c r="I1015" s="115"/>
      <c r="J1015" s="88"/>
      <c r="K1015" s="89"/>
      <c r="L1015" s="55"/>
      <c r="M1015" s="115"/>
      <c r="N1015" s="88"/>
      <c r="O1015" s="89"/>
      <c r="P1015" s="55"/>
      <c r="Q1015" s="46"/>
      <c r="R1015" s="46"/>
      <c r="S1015" s="46"/>
      <c r="T1015" s="46"/>
      <c r="U1015" s="46"/>
      <c r="V1015" s="46"/>
      <c r="W1015" s="46"/>
      <c r="X1015" s="46"/>
      <c r="Y1015" s="116"/>
      <c r="Z1015" s="135"/>
      <c r="AA1015" s="135"/>
      <c r="AB1015" s="135"/>
      <c r="AC1015" s="116"/>
      <c r="AD1015" s="46"/>
      <c r="AE1015" s="136"/>
      <c r="AF1015" s="136"/>
      <c r="AG1015" s="131"/>
      <c r="AH1015" s="132"/>
      <c r="AI1015" s="133"/>
      <c r="AJ1015" s="134"/>
      <c r="AK1015" s="55"/>
      <c r="AL1015" s="55"/>
      <c r="AM1015" s="55"/>
      <c r="AN1015" s="55"/>
      <c r="AO1015" s="55"/>
    </row>
    <row r="1016">
      <c r="A1016" s="115"/>
      <c r="B1016" s="88"/>
      <c r="C1016" s="89"/>
      <c r="D1016" s="55"/>
      <c r="E1016" s="115"/>
      <c r="F1016" s="88"/>
      <c r="G1016" s="89"/>
      <c r="H1016" s="55"/>
      <c r="I1016" s="115"/>
      <c r="J1016" s="88"/>
      <c r="K1016" s="89"/>
      <c r="L1016" s="55"/>
      <c r="M1016" s="115"/>
      <c r="N1016" s="88"/>
      <c r="O1016" s="89"/>
      <c r="P1016" s="55"/>
      <c r="Q1016" s="46"/>
      <c r="R1016" s="46"/>
      <c r="S1016" s="46"/>
      <c r="T1016" s="46"/>
      <c r="U1016" s="46"/>
      <c r="V1016" s="46"/>
      <c r="W1016" s="46"/>
      <c r="X1016" s="46"/>
      <c r="Y1016" s="116"/>
      <c r="Z1016" s="135"/>
      <c r="AA1016" s="135"/>
      <c r="AB1016" s="135"/>
      <c r="AC1016" s="116"/>
      <c r="AD1016" s="46"/>
      <c r="AE1016" s="136"/>
      <c r="AF1016" s="136"/>
      <c r="AG1016" s="131"/>
      <c r="AH1016" s="132"/>
      <c r="AI1016" s="133"/>
      <c r="AJ1016" s="134"/>
      <c r="AK1016" s="55"/>
      <c r="AL1016" s="55"/>
      <c r="AM1016" s="55"/>
      <c r="AN1016" s="55"/>
      <c r="AO1016" s="55"/>
    </row>
  </sheetData>
  <mergeCells count="81">
    <mergeCell ref="AC1:AF2"/>
    <mergeCell ref="AG1:AJ2"/>
    <mergeCell ref="A1:D2"/>
    <mergeCell ref="E1:H2"/>
    <mergeCell ref="I1:L2"/>
    <mergeCell ref="M1:P2"/>
    <mergeCell ref="Q1:T2"/>
    <mergeCell ref="U1:X2"/>
    <mergeCell ref="Y1:AB2"/>
    <mergeCell ref="AD5:AF5"/>
    <mergeCell ref="AH5:AJ5"/>
    <mergeCell ref="B5:D5"/>
    <mergeCell ref="F5:H5"/>
    <mergeCell ref="J5:L5"/>
    <mergeCell ref="N5:P5"/>
    <mergeCell ref="R5:T5"/>
    <mergeCell ref="V5:X5"/>
    <mergeCell ref="Z5:AB5"/>
    <mergeCell ref="AC6:AC9"/>
    <mergeCell ref="AD6:AD9"/>
    <mergeCell ref="AG6:AG9"/>
    <mergeCell ref="AH6:AH9"/>
    <mergeCell ref="N6:N9"/>
    <mergeCell ref="Q6:Q9"/>
    <mergeCell ref="R6:R9"/>
    <mergeCell ref="U6:U9"/>
    <mergeCell ref="V6:V9"/>
    <mergeCell ref="Y6:Y9"/>
    <mergeCell ref="Z6:Z9"/>
    <mergeCell ref="A6:A9"/>
    <mergeCell ref="B6:B9"/>
    <mergeCell ref="E6:E9"/>
    <mergeCell ref="F6:F9"/>
    <mergeCell ref="I6:I9"/>
    <mergeCell ref="J6:J9"/>
    <mergeCell ref="M6:M9"/>
    <mergeCell ref="AD87:AF87"/>
    <mergeCell ref="AH87:AJ87"/>
    <mergeCell ref="B87:D87"/>
    <mergeCell ref="F87:H87"/>
    <mergeCell ref="J87:L87"/>
    <mergeCell ref="N87:P87"/>
    <mergeCell ref="R87:T87"/>
    <mergeCell ref="V87:X87"/>
    <mergeCell ref="Z87:AB87"/>
    <mergeCell ref="AD34:AF34"/>
    <mergeCell ref="AH34:AJ34"/>
    <mergeCell ref="B34:D34"/>
    <mergeCell ref="F34:H34"/>
    <mergeCell ref="J34:L34"/>
    <mergeCell ref="N34:P34"/>
    <mergeCell ref="R34:T34"/>
    <mergeCell ref="V34:X34"/>
    <mergeCell ref="Z34:AB34"/>
    <mergeCell ref="AD49:AF49"/>
    <mergeCell ref="AH49:AJ49"/>
    <mergeCell ref="B49:D49"/>
    <mergeCell ref="F49:H49"/>
    <mergeCell ref="J49:L49"/>
    <mergeCell ref="N49:P49"/>
    <mergeCell ref="R49:T49"/>
    <mergeCell ref="V49:X49"/>
    <mergeCell ref="Z49:AB49"/>
    <mergeCell ref="AD80:AF80"/>
    <mergeCell ref="AH80:AJ80"/>
    <mergeCell ref="B80:D80"/>
    <mergeCell ref="F80:H80"/>
    <mergeCell ref="J80:L80"/>
    <mergeCell ref="N80:P80"/>
    <mergeCell ref="R80:T80"/>
    <mergeCell ref="V80:X80"/>
    <mergeCell ref="Z80:AB80"/>
    <mergeCell ref="AD97:AF97"/>
    <mergeCell ref="AH97:AJ97"/>
    <mergeCell ref="B97:D97"/>
    <mergeCell ref="F97:H97"/>
    <mergeCell ref="J97:L97"/>
    <mergeCell ref="N97:P97"/>
    <mergeCell ref="R97:T97"/>
    <mergeCell ref="V97:X97"/>
    <mergeCell ref="Z97:AB97"/>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26.38"/>
    <col customWidth="1" min="4" max="4" width="23.75"/>
    <col customWidth="1" min="5" max="5" width="5.38"/>
    <col customWidth="1" min="6" max="8" width="24.88"/>
    <col customWidth="1" min="9" max="9" width="5.38"/>
    <col customWidth="1" min="10" max="10" width="26.63"/>
    <col customWidth="1" min="11" max="11" width="28.63"/>
    <col customWidth="1" min="12" max="12" width="26.63"/>
    <col customWidth="1" min="13" max="13" width="5.38"/>
    <col customWidth="1" min="14" max="16" width="27.63"/>
    <col customWidth="1" min="17" max="17" width="9.25"/>
    <col customWidth="1" min="18" max="18" width="18.63"/>
    <col customWidth="1" min="19" max="20" width="30.5"/>
    <col customWidth="1" min="21" max="21" width="9.25"/>
    <col customWidth="1" min="22" max="22" width="18.63"/>
    <col customWidth="1" min="23" max="24" width="30.5"/>
    <col customWidth="1" min="25" max="25" width="5.38"/>
    <col customWidth="1" min="26" max="26" width="19.0"/>
    <col customWidth="1" min="27" max="28" width="33.63"/>
    <col customWidth="1" min="29" max="29" width="5.38"/>
    <col customWidth="1" min="30" max="30" width="19.0"/>
    <col customWidth="1" min="31" max="32" width="33.63"/>
    <col customWidth="1" min="33" max="33" width="5.38"/>
    <col customWidth="1" min="34" max="34" width="21.13"/>
    <col customWidth="1" min="35" max="35" width="37.38"/>
    <col customWidth="1" min="36" max="36" width="31.63"/>
    <col customWidth="1" min="37" max="38" width="33.63"/>
  </cols>
  <sheetData>
    <row r="1" ht="42.75" customHeight="1">
      <c r="A1" s="57" t="s">
        <v>213</v>
      </c>
      <c r="E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I1" s="57" t="s">
        <v>214</v>
      </c>
      <c r="M1" s="5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Q1" s="58"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U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Y1" s="59"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AC1" s="59"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AG1" s="61" t="s">
        <v>216</v>
      </c>
      <c r="AK1" s="59"/>
      <c r="AL1" s="59"/>
    </row>
    <row r="2" ht="42.75" customHeight="1">
      <c r="AK2" s="59"/>
      <c r="AL2" s="59"/>
    </row>
    <row r="3">
      <c r="A3" s="137" t="s">
        <v>1863</v>
      </c>
      <c r="E3" s="137" t="str">
        <f>IFERROR(__xludf.DUMMYFUNCTION("GOOGLETRANSLATE(A3,""zh-tw"",""ja"")"),"地面に光るテキストの多くは、プレイヤーからの誤解を招くメッセージです。
この誤った情報に基づいて質問しないでください。")</f>
        <v>地面に光るテキストの多くは、プレイヤーからの誤解を招くメッセージです。
この誤った情報に基づいて質問しないでください。</v>
      </c>
      <c r="I3" s="137" t="s">
        <v>1864</v>
      </c>
      <c r="M3" s="138" t="str">
        <f>IFERROR(__xludf.DUMMYFUNCTION("GOOGLETRANSLATE(A3,""zh-tw"",""zh"")"),"地面上的发光文字，有许多是玩家们的骗人留言。
请不要用那些假情报进行提问。")</f>
        <v>地面上的发光文字，有许多是玩家们的骗人留言。
请不要用那些假情报进行提问。</v>
      </c>
      <c r="Q3" s="138" t="str">
        <f>IFERROR(__xludf.DUMMYFUNCTION("GOOGLETRANSLATE(A3,""zh-tw"",""es-MX"")"),"Muchos de los textos brillantes en el suelo son mensajes engañosos de los jugadores.
Por favor, no hagan preguntas basándose en esta información falsa.")</f>
        <v>Muchos de los textos brillantes en el suelo son mensajes engañosos de los jugadores.
Por favor, no hagan preguntas basándose en esta información falsa.</v>
      </c>
      <c r="U3" s="138" t="str">
        <f>IFERROR(__xludf.DUMMYFUNCTION("GOOGLETRANSLATE(A3,""zh-tw"",""KO"")"),"바닥에 빛나는 텍스트 중 상당수는 플레이어가 작성한 오해의 소지가 있는 메시지입니다.
이러한 허위 정보를 사용하여 질문하지 마십시오.")</f>
        <v>바닥에 빛나는 텍스트 중 상당수는 플레이어가 작성한 오해의 소지가 있는 메시지입니다.
이러한 허위 정보를 사용하여 질문하지 마십시오.</v>
      </c>
      <c r="Y3" s="138" t="str">
        <f>IFERROR(__xludf.DUMMYFUNCTION("GOOGLETRANSLATE(A3,""zh-tw"",""ru"")"),"Многие светящиеся тексты на земле — это вводящие в заблуждение сообщения от игроков.
Пожалуйста, не задавайте вопросы, используя эту ложную информацию.")</f>
        <v>Многие светящиеся тексты на земле — это вводящие в заблуждение сообщения от игроков.
Пожалуйста, не задавайте вопросы, используя эту ложную информацию.</v>
      </c>
      <c r="AC3" s="137" t="s">
        <v>1865</v>
      </c>
      <c r="AG3" s="139" t="s">
        <v>1866</v>
      </c>
      <c r="AK3" s="140"/>
      <c r="AL3" s="140"/>
    </row>
    <row r="4">
      <c r="A4" s="141" t="s">
        <v>217</v>
      </c>
      <c r="B4" s="70" t="s">
        <v>1867</v>
      </c>
      <c r="C4" s="71" t="s">
        <v>219</v>
      </c>
      <c r="D4" s="72" t="s">
        <v>220</v>
      </c>
      <c r="E4" s="141" t="s">
        <v>217</v>
      </c>
      <c r="F4" s="70" t="str">
        <f>IFERROR(__xludf.DUMMYFUNCTION("GOOGLETRANSLATE(B4,""zh-tw"",""ja"")"),"RPGイベント")</f>
        <v>RPGイベント</v>
      </c>
      <c r="G4" s="71" t="str">
        <f>IFERROR(__xludf.DUMMYFUNCTION("GOOGLETRANSLATE(C4,""zh-tw"",""ja"")"),"説明する")</f>
        <v>説明する</v>
      </c>
      <c r="H4" s="72" t="str">
        <f>IFERROR(__xludf.DUMMYFUNCTION("GOOGLETRANSLATE(D4,""zh-tw"",""ja"")"),"結果")</f>
        <v>結果</v>
      </c>
      <c r="I4" s="141" t="s">
        <v>217</v>
      </c>
      <c r="J4" s="70" t="s">
        <v>1868</v>
      </c>
      <c r="K4" s="71" t="s">
        <v>222</v>
      </c>
      <c r="L4" s="72" t="s">
        <v>223</v>
      </c>
      <c r="M4" s="66" t="str">
        <f>IFERROR(__xludf.DUMMYFUNCTION("GOOGLETRANSLATE(E4,""zh-tw"",""en"")"),"NO.")</f>
        <v>NO.</v>
      </c>
      <c r="N4" s="67" t="str">
        <f>IFERROR(__xludf.DUMMYFUNCTION("GOOGLETRANSLATE(B4,""zh-tw"",""zh"")"),"RPG事件")</f>
        <v>RPG事件</v>
      </c>
      <c r="O4" s="68" t="str">
        <f>IFERROR(__xludf.DUMMYFUNCTION("GOOGLETRANSLATE(C4,""zh-tw"",""zh"")"),"说明")</f>
        <v>说明</v>
      </c>
      <c r="P4" s="142" t="str">
        <f>IFERROR(__xludf.DUMMYFUNCTION("GOOGLETRANSLATE(D4,""zh-tw"",""zh"")"),"结果")</f>
        <v>结果</v>
      </c>
      <c r="Q4" s="66" t="s">
        <v>217</v>
      </c>
      <c r="R4" s="67" t="str">
        <f>IFERROR(__xludf.DUMMYFUNCTION("GOOGLETRANSLATE(B4,""zh-tw"",""es-MX"")"),"evento de rol")</f>
        <v>evento de rol</v>
      </c>
      <c r="S4" s="68" t="str">
        <f>IFERROR(__xludf.DUMMYFUNCTION("GOOGLETRANSLATE(C4,""zh-tw"",""es-MX"")"),"ilustrar")</f>
        <v>ilustrar</v>
      </c>
      <c r="T4" s="69" t="str">
        <f>IFERROR(__xludf.DUMMYFUNCTION("GOOGLETRANSLATE(D4,""zh-tw"",""es-MX"")"),"resultado")</f>
        <v>resultado</v>
      </c>
      <c r="U4" s="66" t="s">
        <v>217</v>
      </c>
      <c r="V4" s="67" t="str">
        <f>IFERROR(__xludf.DUMMYFUNCTION("GOOGLETRANSLATE(B4,""zh-tw"",""KO"")"),"RPG 이벤트")</f>
        <v>RPG 이벤트</v>
      </c>
      <c r="W4" s="68" t="str">
        <f>IFERROR(__xludf.DUMMYFUNCTION("GOOGLETRANSLATE(C4,""zh-tw"",""KO"")"),"설명하다")</f>
        <v>설명하다</v>
      </c>
      <c r="X4" s="69" t="str">
        <f>IFERROR(__xludf.DUMMYFUNCTION("GOOGLETRANSLATE(D4,""zh-tw"",""KO"")"),"결과")</f>
        <v>결과</v>
      </c>
      <c r="Y4" s="141" t="s">
        <v>217</v>
      </c>
      <c r="Z4" s="67" t="str">
        <f>IFERROR(__xludf.DUMMYFUNCTION("GOOGLETRANSLATE(B4,""zh-tw"",""ru"")"),"РПГ-событие")</f>
        <v>РПГ-событие</v>
      </c>
      <c r="AA4" s="143" t="str">
        <f>IFERROR(__xludf.DUMMYFUNCTION("GOOGLETRANSLATE(C4,""zh-tw"",""RU"")"),"проиллюстрировать")</f>
        <v>проиллюстрировать</v>
      </c>
      <c r="AB4" s="69" t="str">
        <f>IFERROR(__xludf.DUMMYFUNCTION("GOOGLETRANSLATE(D4,""zh-tw"",""RU"")"),"результат")</f>
        <v>результат</v>
      </c>
      <c r="AC4" s="141" t="s">
        <v>217</v>
      </c>
      <c r="AD4" s="70" t="s">
        <v>1869</v>
      </c>
      <c r="AE4" s="144" t="s">
        <v>1870</v>
      </c>
      <c r="AF4" s="72" t="s">
        <v>1871</v>
      </c>
      <c r="AG4" s="145" t="s">
        <v>1872</v>
      </c>
      <c r="AH4" s="146" t="s">
        <v>1873</v>
      </c>
      <c r="AI4" s="147" t="s">
        <v>1874</v>
      </c>
      <c r="AJ4" s="148" t="s">
        <v>236</v>
      </c>
      <c r="AK4" s="30"/>
      <c r="AL4" s="30"/>
    </row>
    <row r="5">
      <c r="A5" s="108" t="s">
        <v>1875</v>
      </c>
      <c r="B5" s="149" t="s">
        <v>1876</v>
      </c>
      <c r="C5" s="95" t="s">
        <v>1877</v>
      </c>
      <c r="D5" s="52" t="s">
        <v>1878</v>
      </c>
      <c r="E5" s="108" t="str">
        <f>IFERROR(__xludf.DUMMYFUNCTION("GOOGLETRANSLATE(A5,""zh-tw"",""ja"")"),"R1")</f>
        <v>R1</v>
      </c>
      <c r="F5" s="149" t="s">
        <v>1879</v>
      </c>
      <c r="G5" s="95" t="s">
        <v>1880</v>
      </c>
      <c r="H5" s="52" t="s">
        <v>1881</v>
      </c>
      <c r="I5" s="108" t="str">
        <f>IFERROR(__xludf.DUMMYFUNCTION("GOOGLETRANSLATE(A5,""zh-tw"",""en"")"),"R1")</f>
        <v>R1</v>
      </c>
      <c r="J5" s="149" t="s">
        <v>1882</v>
      </c>
      <c r="K5" s="95" t="s">
        <v>1883</v>
      </c>
      <c r="L5" s="52" t="s">
        <v>1884</v>
      </c>
      <c r="M5" s="115" t="str">
        <f>IFERROR(__xludf.DUMMYFUNCTION("GOOGLETRANSLATE(A5,""zh-tw"",""en"")"),"R1")</f>
        <v>R1</v>
      </c>
      <c r="N5" s="149" t="str">
        <f>IFERROR(__xludf.DUMMYFUNCTION("GOOGLETRANSLATE(B5,""zh-tw"",""zh"")"),"提前回家")</f>
        <v>提前回家</v>
      </c>
      <c r="O5" s="89" t="str">
        <f>IFERROR(__xludf.DUMMYFUNCTION("GOOGLETRANSLATE(C5,""zh-tw"",""zh"")"),"于冒险者的街道
起始点往下走，是提前回家。")</f>
        <v>于冒险者的街道
起始点往下走，是提前回家。</v>
      </c>
      <c r="P5" s="55" t="str">
        <f>IFERROR(__xludf.DUMMYFUNCTION("GOOGLETRANSLATE(D5,""zh-tw"",""zh"")"),"第一次会触发一段特殊剧情
后续可能触发
*和妹妹玩了一整天
*和妹妹一起悠闲度过
*和妹妹一起睡午觉
*妹妹帮忙按摩")</f>
        <v>第一次会触发一段特殊剧情
后续可能触发
*和妹妹玩了一整天
*和妹妹一起悠闲度过
*和妹妹一起睡午觉
*妹妹帮忙按摩</v>
      </c>
      <c r="Q5" s="115" t="str">
        <f>IFERROR(__xludf.DUMMYFUNCTION("GOOGLETRANSLATE(A5,""zh-tw"",""ja"")"),"R1")</f>
        <v>R1</v>
      </c>
      <c r="R5" s="150" t="str">
        <f>IFERROR(__xludf.DUMMYFUNCTION("GOOGLETRANSLATE(B5,""zh-tw"",""es-MX"")"),"Vuelve a casa temprano")</f>
        <v>Vuelve a casa temprano</v>
      </c>
      <c r="S5" s="89" t="str">
        <f>IFERROR(__xludf.DUMMYFUNCTION("GOOGLETRANSLATE(C5,""zh-tw"",""es-MX"")"),"En la calle de los aventureros, bajar desde el punto de partida es la mejor manera de volver temprano a casa.")</f>
        <v>En la calle de los aventureros, bajar desde el punto de partida es la mejor manera de volver temprano a casa.</v>
      </c>
      <c r="T5" s="55" t="str">
        <f>IFERROR(__xludf.DUMMYFUNCTION("GOOGLETRANSLATE(D5,""zh-tw"",""es-MX"")"),"La primera vez desencadenará un evento especial.
Los siguientes eventos también pueden desencadenar:
* Jugué con mi hermana todo el día.
* Pasé un rato relajante con mi hermana.
* Tomé una siesta con mi hermana.
* Mi hermana me dio un masaje.")</f>
        <v>La primera vez desencadenará un evento especial.
Los siguientes eventos también pueden desencadenar:
* Jugué con mi hermana todo el día.
* Pasé un rato relajante con mi hermana.
* Tomé una siesta con mi hermana.
* Mi hermana me dio un masaje.</v>
      </c>
      <c r="U5" s="151" t="str">
        <f>IFERROR(__xludf.DUMMYFUNCTION("GOOGLETRANSLATE(A5,""zh-tw"",""en"")"),"R1")</f>
        <v>R1</v>
      </c>
      <c r="V5" s="149" t="s">
        <v>1885</v>
      </c>
      <c r="W5" s="89" t="str">
        <f>IFERROR(__xludf.DUMMYFUNCTION("GOOGLETRANSLATE(C5,""zh-tw"",""KO"")"),"모험가의 거리에서는 시작지점에서 내려가는 것이 일찍 집에 가는 길입니다.")</f>
        <v>모험가의 거리에서는 시작지점에서 내려가는 것이 일찍 집에 가는 길입니다.</v>
      </c>
      <c r="X5" s="52" t="s">
        <v>1886</v>
      </c>
      <c r="Y5" s="151" t="str">
        <f>IFERROR(__xludf.DUMMYFUNCTION("GOOGLETRANSLATE(E5,""zh-tw"",""en"")"),"R1")</f>
        <v>R1</v>
      </c>
      <c r="Z5" s="149" t="str">
        <f>IFERROR(__xludf.DUMMYFUNCTION("GOOGLETRANSLATE(B5,""zh-tw"",""ru"")"),"Иди домой пораньше")</f>
        <v>Иди домой пораньше</v>
      </c>
      <c r="AA5" s="152" t="str">
        <f>IFERROR(__xludf.DUMMYFUNCTION("GOOGLETRANSLATE(C5,""zh-tw"",""RU"")"),"На улице искателей приключений спуск с начальной точки — это способ пораньше вернуться домой.")</f>
        <v>На улице искателей приключений спуск с начальной точки — это способ пораньше вернуться домой.</v>
      </c>
      <c r="AB5" s="44" t="str">
        <f>IFERROR(__xludf.DUMMYFUNCTION("GOOGLETRANSLATE(D5,""zh-tw"",""RU"")"),"Первый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f>
        <v>Первый раз вызовет особое событие.
Последующие события также могут вызвать:
* Играл с сестрой весь день.
* Расслабился с сестрой.
* Вздремнул с сестрой.
* Сестра сделала мне массаж.</v>
      </c>
      <c r="AC5" s="153" t="str">
        <f>IFERROR(__xludf.DUMMYFUNCTION("GOOGLETRANSLATE(I5,""zh-tw"",""en"")"),"R1")</f>
        <v>R1</v>
      </c>
      <c r="AD5" s="149" t="s">
        <v>1887</v>
      </c>
      <c r="AE5" s="154" t="s">
        <v>1888</v>
      </c>
      <c r="AF5" s="106" t="s">
        <v>1889</v>
      </c>
      <c r="AG5" s="155" t="s">
        <v>1875</v>
      </c>
      <c r="AH5" s="156" t="s">
        <v>1890</v>
      </c>
      <c r="AI5" s="157" t="s">
        <v>1891</v>
      </c>
      <c r="AJ5" s="158" t="s">
        <v>1892</v>
      </c>
      <c r="AK5" s="30"/>
      <c r="AL5" s="30"/>
    </row>
    <row r="6">
      <c r="A6" s="108" t="s">
        <v>1893</v>
      </c>
      <c r="B6" s="149" t="s">
        <v>1894</v>
      </c>
      <c r="C6" s="95" t="s">
        <v>1895</v>
      </c>
      <c r="D6" s="52" t="s">
        <v>1896</v>
      </c>
      <c r="E6" s="108" t="str">
        <f>IFERROR(__xludf.DUMMYFUNCTION("GOOGLETRANSLATE(A6,""zh-tw"",""ja"")"),"R2")</f>
        <v>R2</v>
      </c>
      <c r="F6" s="149" t="s">
        <v>1894</v>
      </c>
      <c r="G6" s="95" t="s">
        <v>1897</v>
      </c>
      <c r="H6" s="52" t="s">
        <v>1898</v>
      </c>
      <c r="I6" s="108" t="str">
        <f>IFERROR(__xludf.DUMMYFUNCTION("GOOGLETRANSLATE(A6,""zh-tw"",""en"")"),"R2")</f>
        <v>R2</v>
      </c>
      <c r="J6" s="149" t="s">
        <v>1899</v>
      </c>
      <c r="K6" s="95" t="s">
        <v>1900</v>
      </c>
      <c r="L6" s="52" t="s">
        <v>1901</v>
      </c>
      <c r="M6" s="115" t="str">
        <f>IFERROR(__xludf.DUMMYFUNCTION("GOOGLETRANSLATE(A6,""zh-tw"",""en"")"),"R2")</f>
        <v>R2</v>
      </c>
      <c r="N6" s="149" t="str">
        <f>IFERROR(__xludf.DUMMYFUNCTION("GOOGLETRANSLATE(B6,""zh-tw"",""zh"")"),"闪步太刀")</f>
        <v>闪步太刀</v>
      </c>
      <c r="O6" s="95" t="s">
        <v>1902</v>
      </c>
      <c r="P6" s="55" t="str">
        <f>IFERROR(__xludf.DUMMYFUNCTION("GOOGLETRANSLATE(D6,""zh-tw"",""zh"")"),"习得技能:闪步太刀")</f>
        <v>习得技能:闪步太刀</v>
      </c>
      <c r="Q6" s="115" t="str">
        <f>IFERROR(__xludf.DUMMYFUNCTION("GOOGLETRANSLATE(A6,""zh-tw"",""ja"")"),"R2")</f>
        <v>R2</v>
      </c>
      <c r="R6" s="150" t="str">
        <f>IFERROR(__xludf.DUMMYFUNCTION("GOOGLETRANSLATE(B6,""zh-tw"",""es-MX"")"),"espada de paso relámpago")</f>
        <v>espada de paso relámpago</v>
      </c>
      <c r="S6" s="89" t="str">
        <f>IFERROR(__xludf.DUMMYFUNCTION("GOOGLETRANSLATE(C6,""zh-tw"",""es-MX"")"),"Equípate con una ""Espada de Madera Dura"" y habla con el espadachín orejudo en el Punto de Encuentro de la Senda del Aventurero. Tras derrotarlo, podrás cambiar de arma durante el proceso.")</f>
        <v>Equípate con una "Espada de Madera Dura" y habla con el espadachín orejudo en el Punto de Encuentro de la Senda del Aventurero. Tras derrotarlo, podrás cambiar de arma durante el proceso.</v>
      </c>
      <c r="T6" s="55" t="str">
        <f>IFERROR(__xludf.DUMMYFUNCTION("GOOGLETRANSLATE(D6,""zh-tw"",""es-MX"")"),"Habilidad aprendida: Katana de paso relámpago")</f>
        <v>Habilidad aprendida: Katana de paso relámpago</v>
      </c>
      <c r="U6" s="151" t="str">
        <f>IFERROR(__xludf.DUMMYFUNCTION("GOOGLETRANSLATE(A6,""zh-tw"",""en"")"),"R2")</f>
        <v>R2</v>
      </c>
      <c r="V6" s="150" t="str">
        <f>IFERROR(__xludf.DUMMYFUNCTION("GOOGLETRANSLATE(B6,""zh-tw"",""KO"")"),"플래시 스텝 소드")</f>
        <v>플래시 스텝 소드</v>
      </c>
      <c r="W6" s="89" t="str">
        <f>IFERROR(__xludf.DUMMYFUNCTION("GOOGLETRANSLATE(C6,""zh-tw"",""KO"")"),"""단단한 나무 검""을 장착하거나 소지하고 모험가의 길: 모임 장소에 있는 고양이귀 검사 NPC와 대화하여 처치하세요.
(무기는 진행 중에 교체할 ​​수 있습니다.)")</f>
        <v>"단단한 나무 검"을 장착하거나 소지하고 모험가의 길: 모임 장소에 있는 고양이귀 검사 NPC와 대화하여 처치하세요.
(무기는 진행 중에 교체할 ​​수 있습니다.)</v>
      </c>
      <c r="X6" s="55" t="str">
        <f>IFERROR(__xludf.DUMMYFUNCTION("GOOGLETRANSLATE(D6,""zh-tw"",""KO"")"),"습득 기술: 플래시 스텝 카타나")</f>
        <v>습득 기술: 플래시 스텝 카타나</v>
      </c>
      <c r="Y6" s="151" t="str">
        <f>IFERROR(__xludf.DUMMYFUNCTION("GOOGLETRANSLATE(E6,""zh-tw"",""en"")"),"R2")</f>
        <v>R2</v>
      </c>
      <c r="Z6" s="149" t="str">
        <f>IFERROR(__xludf.DUMMYFUNCTION("GOOGLETRANSLATE(B6,""zh-tw"",""ru"")"),"Меч-флеш-шаг")</f>
        <v>Меч-флеш-шаг</v>
      </c>
      <c r="AA6" s="152" t="str">
        <f>IFERROR(__xludf.DUMMYFUNCTION("GOOGLETRANSLATE(C6,""zh-tw"",""RU"")"),"Вооружитесь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f>
        <v>Вооружитесь или владейте «Мечом из твёрдой древесины» и поговорите с NPC «Мечник с кошачьими ушами» в локации «Путь искателя приключений: Место сбора», а затем успешно победите его.
(Оружие можно менять в процессе)</v>
      </c>
      <c r="AB6" s="44" t="str">
        <f>IFERROR(__xludf.DUMMYFUNCTION("GOOGLETRANSLATE(D6,""zh-tw"",""RU"")"),"Изученный навык: Молниеносный шаг катаны")</f>
        <v>Изученный навык: Молниеносный шаг катаны</v>
      </c>
      <c r="AC6" s="151" t="str">
        <f>IFERROR(__xludf.DUMMYFUNCTION("GOOGLETRANSLATE(I6,""zh-tw"",""en"")"),"R2")</f>
        <v>R2</v>
      </c>
      <c r="AD6" s="149" t="s">
        <v>1903</v>
      </c>
      <c r="AE6" s="154" t="s">
        <v>1904</v>
      </c>
      <c r="AF6" s="106" t="s">
        <v>1905</v>
      </c>
      <c r="AG6" s="155" t="s">
        <v>1893</v>
      </c>
      <c r="AH6" s="156" t="s">
        <v>1899</v>
      </c>
      <c r="AI6" s="157" t="s">
        <v>1906</v>
      </c>
      <c r="AJ6" s="158" t="s">
        <v>1907</v>
      </c>
      <c r="AK6" s="30"/>
      <c r="AL6" s="30"/>
    </row>
    <row r="7" ht="167.25" customHeight="1">
      <c r="A7" s="108" t="s">
        <v>1908</v>
      </c>
      <c r="B7" s="149" t="s">
        <v>1909</v>
      </c>
      <c r="C7" s="95" t="s">
        <v>1910</v>
      </c>
      <c r="D7" s="52" t="s">
        <v>1911</v>
      </c>
      <c r="E7" s="108" t="str">
        <f>IFERROR(__xludf.DUMMYFUNCTION("GOOGLETRANSLATE(A7,""zh-tw"",""ja"")"),"R3")</f>
        <v>R3</v>
      </c>
      <c r="F7" s="149" t="s">
        <v>1912</v>
      </c>
      <c r="G7" s="95" t="s">
        <v>1913</v>
      </c>
      <c r="H7" s="52" t="s">
        <v>1914</v>
      </c>
      <c r="I7" s="108" t="str">
        <f>IFERROR(__xludf.DUMMYFUNCTION("GOOGLETRANSLATE(A7,""zh-tw"",""en"")"),"R3")</f>
        <v>R3</v>
      </c>
      <c r="J7" s="149" t="s">
        <v>1915</v>
      </c>
      <c r="K7" s="95" t="s">
        <v>1916</v>
      </c>
      <c r="L7" s="52" t="s">
        <v>1917</v>
      </c>
      <c r="M7" s="115" t="str">
        <f>IFERROR(__xludf.DUMMYFUNCTION("GOOGLETRANSLATE(A7,""zh-tw"",""en"")"),"R3")</f>
        <v>R3</v>
      </c>
      <c r="N7" s="149" t="str">
        <f>IFERROR(__xludf.DUMMYFUNCTION("GOOGLETRANSLATE(B7,""zh-tw"",""zh"")"),"剑术修行")</f>
        <v>剑术修行</v>
      </c>
      <c r="O7" s="89" t="str">
        <f>IFERROR(__xludf.DUMMYFUNCTION("GOOGLETRANSLATE(C7,""zh-tw"",""zh"")"),"习得「闪步太刀」后
装备「近战武器」进行挥空攻击达到第4次时，将自动进入隐藏的剑术修行状态。
若使用增大了的武器，可以提升修行效率（例如塔罗牌或武器本身附带技能）。")</f>
        <v>习得「闪步太刀」后
装备「近战武器」进行挥空攻击达到第4次时，将自动进入隐藏的剑术修行状态。
若使用增大了的武器，可以提升修行效率（例如塔罗牌或武器本身附带技能）。</v>
      </c>
      <c r="P7" s="55" t="str">
        <f>IFERROR(__xludf.DUMMYFUNCTION("GOOGLETRANSLATE(D7,""zh-tw"",""zh"")"),"在修行过程中，将逐步累积隐藏数值，最高可达空挥36000次。
随着空挥次数的累积，将逐渐提升平砍攻击力和些微的攻击速度")</f>
        <v>在修行过程中，将逐步累积隐藏数值，最高可达空挥36000次。
随着空挥次数的累积，将逐渐提升平砍攻击力和些微的攻击速度</v>
      </c>
      <c r="Q7" s="115" t="str">
        <f>IFERROR(__xludf.DUMMYFUNCTION("GOOGLETRANSLATE(A7,""zh-tw"",""ja"")"),"R3")</f>
        <v>R3</v>
      </c>
      <c r="R7" s="150" t="str">
        <f>IFERROR(__xludf.DUMMYFUNCTION("GOOGLETRANSLATE(B7,""zh-tw"",""es-MX"")"),"entrenamiento en esgrima")</f>
        <v>entrenamiento en esgrima</v>
      </c>
      <c r="S7" s="95" t="s">
        <v>1918</v>
      </c>
      <c r="T7" s="55" t="str">
        <f>IFERROR(__xludf.DUMMYFUNCTION("GOOGLETRANSLATE(D7,""zh-tw"",""es-MX"")"),"Durante el entrenamiento, las estadísticas ocultas se irán acumulando gradualmente hasta un máximo de 36 000 golpes aéreos.
A medida que se acumulan los golpes aéreos, el poder de ataque de los ataques básicos aumentará gradualmente, junto con un ligero "&amp;"incremento en la velocidad de ataque.")</f>
        <v>Durante el entrenamiento, las estadísticas ocultas se irán acumulando gradualmente hasta un máximo de 36 000 golpes aéreos.
A medida que se acumulan los golpes aéreos, el poder de ataque de los ataques básicos aumentará gradualmente, junto con un ligero incremento en la velocidad de ataque.</v>
      </c>
      <c r="U7" s="151" t="str">
        <f>IFERROR(__xludf.DUMMYFUNCTION("GOOGLETRANSLATE(A7,""zh-tw"",""en"")"),"R3")</f>
        <v>R3</v>
      </c>
      <c r="V7" s="150" t="str">
        <f>IFERROR(__xludf.DUMMYFUNCTION("GOOGLETRANSLATE(B7,""zh-tw"",""KO"")"),"검술 훈련")</f>
        <v>검술 훈련</v>
      </c>
      <c r="W7" s="89" t="str">
        <f>IFERROR(__xludf.DUMMYFUNCTION("GOOGLETRANSLATE(C7,""zh-tw"",""KO"")"),"""플래시 스텝 카타나""를 습득한 후, ""근접 무기""를 장착하고 4번째 공중 베기를 시전하면 자동으로 숨겨진 검술 수련 상태로 전환됩니다.
확대된 무기를 사용하면 수련 효율을 높일 수 있습니다(예: 타로 카드 사용 또는 무기 고유 기술 사용).")</f>
        <v>"플래시 스텝 카타나"를 습득한 후, "근접 무기"를 장착하고 4번째 공중 베기를 시전하면 자동으로 숨겨진 검술 수련 상태로 전환됩니다.
확대된 무기를 사용하면 수련 효율을 높일 수 있습니다(예: 타로 카드 사용 또는 무기 고유 기술 사용).</v>
      </c>
      <c r="X7" s="55" t="str">
        <f>IFERROR(__xludf.DUMMYFUNCTION("GOOGLETRANSLATE(D7,""zh-tw"",""KO"")"),"훈련 중에는 숨겨진 능력치가 점차 누적되어 최대 36,000회의 공중 휘두르기까지 사용할 수 있습니다.
공중 휘두르기 횟수가 누적될수록 기본 공격의 공격력이 점차 증가하고, 공격 속도도 소폭 증가합니다.")</f>
        <v>훈련 중에는 숨겨진 능력치가 점차 누적되어 최대 36,000회의 공중 휘두르기까지 사용할 수 있습니다.
공중 휘두르기 횟수가 누적될수록 기본 공격의 공격력이 점차 증가하고, 공격 속도도 소폭 증가합니다.</v>
      </c>
      <c r="Y7" s="151" t="str">
        <f>IFERROR(__xludf.DUMMYFUNCTION("GOOGLETRANSLATE(E7,""zh-tw"",""en"")"),"R3")</f>
        <v>R3</v>
      </c>
      <c r="Z7" s="149" t="str">
        <f>IFERROR(__xludf.DUMMYFUNCTION("GOOGLETRANSLATE(B7,""zh-tw"",""ru"")"),"Обучение фехтованию")</f>
        <v>Обучение фехтованию</v>
      </c>
      <c r="AA7" s="152" t="str">
        <f>IFERROR(__xludf.DUMMYFUNCTION("GOOGLETRANSLATE(C7,""zh-tw"",""RU"")"),"После освоения техники «Быстрый шаг катаны», экипировка «оружия ближнего боя» и выполнение четвёртого воздушного удара автоматически переведут вас в скрытое состояние обучения фехтованию.
Использование увеличенного оружия может повысить эффективность тре"&amp;"нировок (например, использование карт Таро или навыков, присущих самому оружию).")</f>
        <v>После освоения техники «Быстрый шаг катаны», экипировка «оружия ближнего боя» и выполнение четвёртого воздушного удара автоматически переведут вас в скрытое состояние обучения фехтованию.
Использование увеличенного оружия может повысить эффективность тренировок (например, использование карт Таро или навыков, присущих самому оружию).</v>
      </c>
      <c r="AB7" s="44" t="str">
        <f>IFERROR(__xludf.DUMMYFUNCTION("GOOGLETRANSLATE(D7,""zh-tw"",""RU"")"),"Во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скорост"&amp;"ь атаки.")</f>
        <v>Во время тренировки скрытые характеристики будут постепенно накапливаться, достигая максимума в 36 000 воздушных взмахов.
По мере накопления количества воздушных взмахов сила базовых атак будет постепенно увеличиваться, а также немного увеличится скорость атаки.</v>
      </c>
      <c r="AC7" s="151" t="str">
        <f>IFERROR(__xludf.DUMMYFUNCTION("GOOGLETRANSLATE(I7,""zh-tw"",""en"")"),"R3")</f>
        <v>R3</v>
      </c>
      <c r="AD7" s="149" t="s">
        <v>1919</v>
      </c>
      <c r="AE7" s="154" t="s">
        <v>1920</v>
      </c>
      <c r="AF7" s="106" t="s">
        <v>1921</v>
      </c>
      <c r="AG7" s="155" t="s">
        <v>1908</v>
      </c>
      <c r="AH7" s="156" t="s">
        <v>1922</v>
      </c>
      <c r="AI7" s="157" t="s">
        <v>1923</v>
      </c>
      <c r="AJ7" s="158" t="s">
        <v>1924</v>
      </c>
      <c r="AK7" s="30"/>
      <c r="AL7" s="30"/>
    </row>
    <row r="8">
      <c r="A8" s="108" t="s">
        <v>1925</v>
      </c>
      <c r="B8" s="149" t="s">
        <v>1926</v>
      </c>
      <c r="C8" s="95" t="s">
        <v>1927</v>
      </c>
      <c r="D8" s="52" t="s">
        <v>1928</v>
      </c>
      <c r="E8" s="108" t="str">
        <f>IFERROR(__xludf.DUMMYFUNCTION("GOOGLETRANSLATE(A8,""zh-tw"",""ja"")"),"R4")</f>
        <v>R4</v>
      </c>
      <c r="F8" s="149" t="s">
        <v>1929</v>
      </c>
      <c r="G8" s="159" t="s">
        <v>1930</v>
      </c>
      <c r="H8" s="52" t="s">
        <v>1931</v>
      </c>
      <c r="I8" s="108" t="str">
        <f>IFERROR(__xludf.DUMMYFUNCTION("GOOGLETRANSLATE(A8,""zh-tw"",""en"")"),"R4")</f>
        <v>R4</v>
      </c>
      <c r="J8" s="149" t="s">
        <v>1932</v>
      </c>
      <c r="K8" s="159" t="s">
        <v>1933</v>
      </c>
      <c r="L8" s="52" t="s">
        <v>1934</v>
      </c>
      <c r="M8" s="115" t="str">
        <f>IFERROR(__xludf.DUMMYFUNCTION("GOOGLETRANSLATE(A8,""zh-tw"",""en"")"),"R4")</f>
        <v>R4</v>
      </c>
      <c r="N8" s="149" t="str">
        <f>IFERROR(__xludf.DUMMYFUNCTION("GOOGLETRANSLATE(B8,""zh-tw"",""zh"")"),"攻略在哪里?")</f>
        <v>攻略在哪里?</v>
      </c>
      <c r="O8" s="89" t="str">
        <f>IFERROR(__xludf.DUMMYFUNCTION("GOOGLETRANSLATE(C8,""zh-tw"",""zh"")"),"冒险者小道:集结地  篝火前方
只有在晴天(不可炎热)、中午12点以前会出现""连衣裙的幽灵少女""，与其对话并在隔日之后，再次对话可以获得道具")</f>
        <v>冒险者小道:集结地  篝火前方
只有在晴天(不可炎热)、中午12点以前会出现"连衣裙的幽灵少女"，与其对话并在隔日之后，再次对话可以获得道具</v>
      </c>
      <c r="P8" s="55" t="str">
        <f>IFERROR(__xludf.DUMMYFUNCTION("GOOGLETRANSLATE(D8,""zh-tw"",""zh"")"),"获得道具：冒险者心得
*后续剧情待更新")</f>
        <v>获得道具：冒险者心得
*后续剧情待更新</v>
      </c>
      <c r="Q8" s="115" t="str">
        <f>IFERROR(__xludf.DUMMYFUNCTION("GOOGLETRANSLATE(A8,""zh-tw"",""ja"")"),"R4")</f>
        <v>R4</v>
      </c>
      <c r="R8" s="150" t="str">
        <f>IFERROR(__xludf.DUMMYFUNCTION("GOOGLETRANSLATE(B8,""zh-tw"",""es-MX"")"),"¿Dónde puedo encontrar la guía estratégica?")</f>
        <v>¿Dónde puedo encontrar la guía estratégica?</v>
      </c>
      <c r="S8" s="95" t="s">
        <v>1935</v>
      </c>
      <c r="T8" s="55" t="str">
        <f>IFERROR(__xludf.DUMMYFUNCTION("GOOGLETRANSLATE(D8,""zh-tw"",""es-MX"")"),"Objeto obtenido: Perspectivas del aventurero
*La historia continuará.")</f>
        <v>Objeto obtenido: Perspectivas del aventurero
*La historia continuará.</v>
      </c>
      <c r="U8" s="151" t="str">
        <f>IFERROR(__xludf.DUMMYFUNCTION("GOOGLETRANSLATE(A8,""zh-tw"",""en"")"),"R4")</f>
        <v>R4</v>
      </c>
      <c r="V8" s="150" t="str">
        <f>IFERROR(__xludf.DUMMYFUNCTION("GOOGLETRANSLATE(B8,""zh-tw"",""KO"")"),"전략 가이드는 어디서 찾을 수 있나요?")</f>
        <v>전략 가이드는 어디서 찾을 수 있나요?</v>
      </c>
      <c r="W8" s="89" t="str">
        <f>IFERROR(__xludf.DUMMYFUNCTION("GOOGLETRANSLATE(C8,""zh-tw"",""KO"")"),"모험가의 길: 모임 장소, 모닥불 앞. ""드레스 입은 유령 소녀""는 햇볕이 잘 드는 날(덥지 않은 날) 정오 전에만 나타납니다. 그녀와 대화하고 다음 날 다시 대화하면 아이템을 보상으로 받을 수 있습니다.")</f>
        <v>모험가의 길: 모임 장소, 모닥불 앞. "드레스 입은 유령 소녀"는 햇볕이 잘 드는 날(덥지 않은 날) 정오 전에만 나타납니다. 그녀와 대화하고 다음 날 다시 대화하면 아이템을 보상으로 받을 수 있습니다.</v>
      </c>
      <c r="X8" s="55" t="str">
        <f>IFERROR(__xludf.DUMMYFUNCTION("GOOGLETRANSLATE(D8,""zh-tw"",""KO"")"),"획득 아이템: 모험가의 통찰력
*추가 스토리는 추후 업데이트됩니다.")</f>
        <v>획득 아이템: 모험가의 통찰력
*추가 스토리는 추후 업데이트됩니다.</v>
      </c>
      <c r="Y8" s="151" t="str">
        <f>IFERROR(__xludf.DUMMYFUNCTION("GOOGLETRANSLATE(E8,""zh-tw"",""en"")"),"R4")</f>
        <v>R4</v>
      </c>
      <c r="Z8" s="149" t="str">
        <f>IFERROR(__xludf.DUMMYFUNCTION("GOOGLETRANSLATE(B8,""zh-tw"",""ru"")"),"Где я могу найти руководство по стратегии?")</f>
        <v>Где я могу найти руководство по стратегии?</v>
      </c>
      <c r="AA8" s="152" t="str">
        <f>IFERROR(__xludf.DUMMYFUNCTION("GOOGLETRANSLATE(C8,""zh-tw"",""RU"")"),"Путь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f>
        <v>Путь искателя приключений: Место сбора, перед костром. «Девушка-призрак в платье» появляется только в солнечные (не жаркие) дни до полудня. Поговорив с ней, а затем снова поговорив с ней на следующий день, вы получите предмет.</v>
      </c>
      <c r="AB8" s="44" t="str">
        <f>IFERROR(__xludf.DUMMYFUNCTION("GOOGLETRANSLATE(D8,""zh-tw"",""RU"")"),"Полученный предмет: «Прозрения искателя приключений»
*Дальнейшая история будет обновлена.")</f>
        <v>Полученный предмет: «Прозрения искателя приключений»
*Дальнейшая история будет обновлена.</v>
      </c>
      <c r="AC8" s="151" t="str">
        <f>IFERROR(__xludf.DUMMYFUNCTION("GOOGLETRANSLATE(I8,""zh-tw"",""en"")"),"R4")</f>
        <v>R4</v>
      </c>
      <c r="AD8" s="149" t="s">
        <v>1936</v>
      </c>
      <c r="AE8" s="154" t="s">
        <v>1937</v>
      </c>
      <c r="AF8" s="106" t="s">
        <v>1938</v>
      </c>
      <c r="AG8" s="155" t="s">
        <v>1925</v>
      </c>
      <c r="AH8" s="160" t="s">
        <v>1939</v>
      </c>
      <c r="AI8" s="161" t="s">
        <v>1940</v>
      </c>
      <c r="AJ8" s="162" t="s">
        <v>1941</v>
      </c>
      <c r="AK8" s="30"/>
      <c r="AL8" s="30"/>
    </row>
    <row r="9">
      <c r="A9" s="108" t="s">
        <v>1942</v>
      </c>
      <c r="B9" s="149" t="s">
        <v>1943</v>
      </c>
      <c r="C9" s="95" t="s">
        <v>1944</v>
      </c>
      <c r="D9" s="163" t="s">
        <v>724</v>
      </c>
      <c r="E9" s="108" t="str">
        <f>IFERROR(__xludf.DUMMYFUNCTION("GOOGLETRANSLATE(A9,""zh-tw"",""ja"")"),"R5")</f>
        <v>R5</v>
      </c>
      <c r="F9" s="149" t="s">
        <v>1945</v>
      </c>
      <c r="G9" s="95" t="s">
        <v>1946</v>
      </c>
      <c r="H9" s="163" t="str">
        <f>IFERROR(__xludf.DUMMYFUNCTION("GOOGLETRANSLATE(D9,""zh-tw"",""ja"")"),"-")</f>
        <v>-</v>
      </c>
      <c r="I9" s="108" t="str">
        <f>IFERROR(__xludf.DUMMYFUNCTION("GOOGLETRANSLATE(A9,""zh-tw"",""en"")"),"R5")</f>
        <v>R5</v>
      </c>
      <c r="J9" s="149" t="s">
        <v>1947</v>
      </c>
      <c r="K9" s="95" t="s">
        <v>1948</v>
      </c>
      <c r="L9" s="55" t="str">
        <f>IFERROR(__xludf.DUMMYFUNCTION("GOOGLETRANSLATE(D9,""zh-tw"",""en"")"),"-")</f>
        <v>-</v>
      </c>
      <c r="M9" s="115" t="str">
        <f>IFERROR(__xludf.DUMMYFUNCTION("GOOGLETRANSLATE(A9,""zh-tw"",""en"")"),"R5")</f>
        <v>R5</v>
      </c>
      <c r="N9" s="149" t="str">
        <f>IFERROR(__xludf.DUMMYFUNCTION("GOOGLETRANSLATE(B9,""zh-tw"",""zh"")"),"饮料贩售机重生")</f>
        <v>饮料贩售机重生</v>
      </c>
      <c r="O9" s="95" t="s">
        <v>1949</v>
      </c>
      <c r="P9" s="164" t="str">
        <f>IFERROR(__xludf.DUMMYFUNCTION("GOOGLETRANSLATE(D9,""zh-tw"",""zh"")"),"-")</f>
        <v>-</v>
      </c>
      <c r="Q9" s="115" t="str">
        <f>IFERROR(__xludf.DUMMYFUNCTION("GOOGLETRANSLATE(A9,""zh-tw"",""ja"")"),"R5")</f>
        <v>R5</v>
      </c>
      <c r="R9" s="150" t="str">
        <f>IFERROR(__xludf.DUMMYFUNCTION("GOOGLETRANSLATE(B9,""zh-tw"",""es-MX"")"),"Máquina expendedora de bebidas renacida")</f>
        <v>Máquina expendedora de bebidas renacida</v>
      </c>
      <c r="S9" s="89" t="str">
        <f>IFERROR(__xludf.DUMMYFUNCTION("GOOGLETRANSLATE(C9,""zh-tw"",""es-MX"")"),"Sendero del aventurero: Punto de encuentro. Si destruyes una máquina expendedora de bebidas, reaparecerá durante la temporada de lluvias y aumentará su precio.")</f>
        <v>Sendero del aventurero: Punto de encuentro. Si destruyes una máquina expendedora de bebidas, reaparecerá durante la temporada de lluvias y aumentará su precio.</v>
      </c>
      <c r="T9" s="164" t="str">
        <f>IFERROR(__xludf.DUMMYFUNCTION("GOOGLETRANSLATE(D9,""zh-tw"",""es-MX"")"),"-")</f>
        <v>-</v>
      </c>
      <c r="U9" s="151" t="str">
        <f>IFERROR(__xludf.DUMMYFUNCTION("GOOGLETRANSLATE(A9,""zh-tw"",""en"")"),"R5")</f>
        <v>R5</v>
      </c>
      <c r="V9" s="150" t="str">
        <f>IFERROR(__xludf.DUMMYFUNCTION("GOOGLETRANSLATE(B9,""zh-tw"",""KO"")"),"음료 자판기 부활")</f>
        <v>음료 자판기 부활</v>
      </c>
      <c r="W9" s="89" t="str">
        <f>IFERROR(__xludf.DUMMYFUNCTION("GOOGLETRANSLATE(C9,""zh-tw"",""KO"")"),"모험가의 길: 모임 장소 음료 자판기를 파괴하면 비가 오는 날씨에 다시 생성되어 가격이 상승합니다.")</f>
        <v>모험가의 길: 모임 장소 음료 자판기를 파괴하면 비가 오는 날씨에 다시 생성되어 가격이 상승합니다.</v>
      </c>
      <c r="X9" s="164" t="str">
        <f>IFERROR(__xludf.DUMMYFUNCTION("GOOGLETRANSLATE(D9,""zh-tw"",""KO"")"),"-")</f>
        <v>-</v>
      </c>
      <c r="Y9" s="151" t="str">
        <f>IFERROR(__xludf.DUMMYFUNCTION("GOOGLETRANSLATE(E9,""zh-tw"",""en"")"),"R5")</f>
        <v>R5</v>
      </c>
      <c r="Z9" s="149" t="str">
        <f>IFERROR(__xludf.DUMMYFUNCTION("GOOGLETRANSLATE(B9,""zh-tw"",""ru"")"),"Возрождение автомата по продаже напитков")</f>
        <v>Возрождение автомата по продаже напитков</v>
      </c>
      <c r="AA9" s="152" t="str">
        <f>IFERROR(__xludf.DUMMYFUNCTION("GOOGLETRANSLATE(C9,""zh-tw"",""RU"")"),"Путь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f>
        <v>Путь искателя приключений: Место сбора Если вы уничтожите автомат по продаже напитков, он появится снова во время дождливой погоды, и цена на него увеличится.</v>
      </c>
      <c r="AB9" s="165" t="str">
        <f>IFERROR(__xludf.DUMMYFUNCTION("GOOGLETRANSLATE(D9,""zh-tw"",""RU"")"),"-")</f>
        <v>-</v>
      </c>
      <c r="AC9" s="151" t="str">
        <f>IFERROR(__xludf.DUMMYFUNCTION("GOOGLETRANSLATE(I9,""zh-tw"",""en"")"),"R5")</f>
        <v>R5</v>
      </c>
      <c r="AD9" s="149" t="s">
        <v>1950</v>
      </c>
      <c r="AE9" s="154" t="s">
        <v>1951</v>
      </c>
      <c r="AF9" s="106" t="s">
        <v>1952</v>
      </c>
      <c r="AG9" s="155" t="s">
        <v>1942</v>
      </c>
      <c r="AH9" s="156" t="s">
        <v>1953</v>
      </c>
      <c r="AI9" s="157" t="s">
        <v>1954</v>
      </c>
      <c r="AJ9" s="166" t="s">
        <v>724</v>
      </c>
      <c r="AK9" s="30"/>
      <c r="AL9" s="30"/>
    </row>
    <row r="10" ht="122.25" customHeight="1">
      <c r="A10" s="108" t="s">
        <v>1955</v>
      </c>
      <c r="B10" s="167" t="s">
        <v>1956</v>
      </c>
      <c r="C10" s="168" t="s">
        <v>1957</v>
      </c>
      <c r="D10" s="87" t="s">
        <v>1958</v>
      </c>
      <c r="E10" s="108" t="str">
        <f>IFERROR(__xludf.DUMMYFUNCTION("GOOGLETRANSLATE(A10,""zh-tw"",""ja"")"),"R6")</f>
        <v>R6</v>
      </c>
      <c r="F10" s="149" t="s">
        <v>1959</v>
      </c>
      <c r="G10" s="159" t="s">
        <v>1960</v>
      </c>
      <c r="H10" s="52" t="s">
        <v>1961</v>
      </c>
      <c r="I10" s="108" t="str">
        <f>IFERROR(__xludf.DUMMYFUNCTION("GOOGLETRANSLATE(A10,""zh-tw"",""en"")"),"R6")</f>
        <v>R6</v>
      </c>
      <c r="J10" s="149" t="s">
        <v>1962</v>
      </c>
      <c r="K10" s="95" t="s">
        <v>1963</v>
      </c>
      <c r="L10" s="52" t="s">
        <v>1964</v>
      </c>
      <c r="M10" s="115" t="str">
        <f>IFERROR(__xludf.DUMMYFUNCTION("GOOGLETRANSLATE(A10,""zh-tw"",""en"")"),"R6")</f>
        <v>R6</v>
      </c>
      <c r="N10" s="149" t="str">
        <f>IFERROR(__xludf.DUMMYFUNCTION("GOOGLETRANSLATE(B10,""zh-tw"",""zh"")"),"垃圾桶")</f>
        <v>垃圾桶</v>
      </c>
      <c r="O10" s="89" t="str">
        <f>IFERROR(__xludf.DUMMYFUNCTION("GOOGLETRANSLATE(C10,""zh-tw"",""zh"")"),"冒险者小道:集结地
于垃圾桶丢弃装备，打爆垃圾桶会获得道具。
只限制丢弃的当天，隔天就不算。")</f>
        <v>冒险者小道:集结地
于垃圾桶丢弃装备，打爆垃圾桶会获得道具。
只限制丢弃的当天，隔天就不算。</v>
      </c>
      <c r="P10" s="55" t="str">
        <f>IFERROR(__xludf.DUMMYFUNCTION("GOOGLETRANSLATE(D10,""zh-tw"",""zh"")"),"获得道具：魔力小凝胶
用于拓展背包格子")</f>
        <v>获得道具：魔力小凝胶
用于拓展背包格子</v>
      </c>
      <c r="Q10" s="115" t="str">
        <f>IFERROR(__xludf.DUMMYFUNCTION("GOOGLETRANSLATE(A10,""zh-tw"",""ja"")"),"R6")</f>
        <v>R6</v>
      </c>
      <c r="R10" s="150" t="str">
        <f>IFERROR(__xludf.DUMMYFUNCTION("GOOGLETRANSLATE(B10,""zh-tw"",""es-MX"")"),"cubo de la basura")</f>
        <v>cubo de la basura</v>
      </c>
      <c r="S10" s="89" t="str">
        <f>IFERROR(__xludf.DUMMYFUNCTION("GOOGLETRANSLATE(C10,""zh-tw"",""es-MX"")"),"Sendero del Aventurero: Punto de Encuentro
Desecha tu equipo en los contenedores de basura; romperlos te recompensará con objetos.
Esto solo se aplica al día en que se desecha el equipo; no cuenta para el día siguiente.")</f>
        <v>Sendero del Aventurero: Punto de Encuentro
Desecha tu equipo en los contenedores de basura; romperlos te recompensará con objetos.
Esto solo se aplica al día en que se desecha el equipo; no cuenta para el día siguiente.</v>
      </c>
      <c r="T10" s="55" t="str">
        <f>IFERROR(__xludf.DUMMYFUNCTION("GOOGLETRANSLATE(D10,""zh-tw"",""es-MX"")"),"Objeto obtenido: Gel mágico
Se usa para ampliar las ranuras de la mochila.")</f>
        <v>Objeto obtenido: Gel mágico
Se usa para ampliar las ranuras de la mochila.</v>
      </c>
      <c r="U10" s="151" t="str">
        <f>IFERROR(__xludf.DUMMYFUNCTION("GOOGLETRANSLATE(A10,""zh-tw"",""en"")"),"R6")</f>
        <v>R6</v>
      </c>
      <c r="V10" s="150" t="str">
        <f>IFERROR(__xludf.DUMMYFUNCTION("GOOGLETRANSLATE(B10,""zh-tw"",""KO"")"),"쓰레기통")</f>
        <v>쓰레기통</v>
      </c>
      <c r="W10" s="89" t="str">
        <f>IFERROR(__xludf.DUMMYFUNCTION("GOOGLETRANSLATE(C10,""zh-tw"",""KO"")"),"모험가의 길: 모임 장소
장비를 쓰레기통에 버리세요. 쓰레기통을 부수면 아이템을 보상으로 획득할 수 있습니다.
장비를 버린 날에만 적용되며, 다음 날은 보상으로 획득할 수 없습니다.")</f>
        <v>모험가의 길: 모임 장소
장비를 쓰레기통에 버리세요. 쓰레기통을 부수면 아이템을 보상으로 획득할 수 있습니다.
장비를 버린 날에만 적용되며, 다음 날은 보상으로 획득할 수 없습니다.</v>
      </c>
      <c r="X10" s="55" t="str">
        <f>IFERROR(__xludf.DUMMYFUNCTION("GOOGLETRANSLATE(D10,""zh-tw"",""KO"")"),"획득 아이템: 마법 젤
백팩 슬롯 확장에 사용")</f>
        <v>획득 아이템: 마법 젤
백팩 슬롯 확장에 사용</v>
      </c>
      <c r="Y10" s="151" t="str">
        <f>IFERROR(__xludf.DUMMYFUNCTION("GOOGLETRANSLATE(E10,""zh-tw"",""en"")"),"R6")</f>
        <v>R6</v>
      </c>
      <c r="Z10" s="149" t="str">
        <f>IFERROR(__xludf.DUMMYFUNCTION("GOOGLETRANSLATE(B10,""zh-tw"",""ru"")"),"мусорный бак")</f>
        <v>мусорный бак</v>
      </c>
      <c r="AA10" s="152" t="str">
        <f>IFERROR(__xludf.DUMMYFUNCTION("GOOGLETRANSLATE(C10,""zh-tw"",""RU"")"),"Путь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f>
        <v>Путь искателя приключений: Место сбора
Выбрасывайте снаряжение в мусорные баки; разбив их, вы получите предметы.
Это относится только к дню, когда снаряжение было выброшено; следующий день не учитывается.</v>
      </c>
      <c r="AB10" s="44" t="str">
        <f>IFERROR(__xludf.DUMMYFUNCTION("GOOGLETRANSLATE(D10,""zh-tw"",""RU"")"),"Получить предмет: Волшебный гель
Используется для расширения слотов рюкзака.")</f>
        <v>Получить предмет: Волшебный гель
Используется для расширения слотов рюкзака.</v>
      </c>
      <c r="AC10" s="151" t="str">
        <f>IFERROR(__xludf.DUMMYFUNCTION("GOOGLETRANSLATE(I10,""zh-tw"",""en"")"),"R6")</f>
        <v>R6</v>
      </c>
      <c r="AD10" s="149" t="s">
        <v>1965</v>
      </c>
      <c r="AE10" s="154" t="s">
        <v>1966</v>
      </c>
      <c r="AF10" s="106" t="s">
        <v>1967</v>
      </c>
      <c r="AG10" s="155" t="s">
        <v>1955</v>
      </c>
      <c r="AH10" s="156" t="s">
        <v>1968</v>
      </c>
      <c r="AI10" s="157" t="s">
        <v>1969</v>
      </c>
      <c r="AJ10" s="158" t="s">
        <v>1970</v>
      </c>
      <c r="AK10" s="30"/>
      <c r="AL10" s="30"/>
    </row>
    <row r="11">
      <c r="A11" s="108" t="s">
        <v>1971</v>
      </c>
      <c r="B11" s="149" t="s">
        <v>1972</v>
      </c>
      <c r="C11" s="95" t="s">
        <v>1973</v>
      </c>
      <c r="D11" s="52" t="s">
        <v>1974</v>
      </c>
      <c r="E11" s="108" t="str">
        <f>IFERROR(__xludf.DUMMYFUNCTION("GOOGLETRANSLATE(A11,""zh-tw"",""ja"")"),"R7")</f>
        <v>R7</v>
      </c>
      <c r="F11" s="149" t="s">
        <v>1975</v>
      </c>
      <c r="G11" s="95" t="s">
        <v>1976</v>
      </c>
      <c r="H11" s="52" t="s">
        <v>1977</v>
      </c>
      <c r="I11" s="108" t="str">
        <f>IFERROR(__xludf.DUMMYFUNCTION("GOOGLETRANSLATE(A11,""zh-tw"",""en"")"),"R7")</f>
        <v>R7</v>
      </c>
      <c r="J11" s="149" t="s">
        <v>1978</v>
      </c>
      <c r="K11" s="95" t="s">
        <v>1979</v>
      </c>
      <c r="L11" s="52" t="s">
        <v>1980</v>
      </c>
      <c r="M11" s="115" t="str">
        <f>IFERROR(__xludf.DUMMYFUNCTION("GOOGLETRANSLATE(A11,""zh-tw"",""en"")"),"R7")</f>
        <v>R7</v>
      </c>
      <c r="N11" s="149" t="str">
        <f>IFERROR(__xludf.DUMMYFUNCTION("GOOGLETRANSLATE(B11,""zh-tw"",""zh"")"),"5000$")</f>
        <v>5000$</v>
      </c>
      <c r="O11" s="89" t="str">
        <f>IFERROR(__xludf.DUMMYFUNCTION("GOOGLETRANSLATE(C11,""zh-tw"",""zh"")"),"冒险者小道:林间 
小木屋烟囱后方捡取
(木屋左方斧头可捡到斧头)")</f>
        <v>冒险者小道:林间 
小木屋烟囱后方捡取
(木屋左方斧头可捡到斧头)</v>
      </c>
      <c r="P11" s="52" t="s">
        <v>1981</v>
      </c>
      <c r="Q11" s="115" t="str">
        <f>IFERROR(__xludf.DUMMYFUNCTION("GOOGLETRANSLATE(A11,""zh-tw"",""ja"")"),"R7")</f>
        <v>R7</v>
      </c>
      <c r="R11" s="150" t="str">
        <f>IFERROR(__xludf.DUMMYFUNCTION("GOOGLETRANSLATE(B11,""zh-tw"",""es-MX"")"),"$5000")</f>
        <v>$5000</v>
      </c>
      <c r="S11" s="89" t="str">
        <f>IFERROR(__xludf.DUMMYFUNCTION("GOOGLETRANSLATE(C11,""zh-tw"",""es-MX"")"),"Sendero del Aventurero: Bosque
Recoge el hacha que está detrás de la chimenea de la cabaña.
(El hacha se encuentra a la izquierda de la cabaña).")</f>
        <v>Sendero del Aventurero: Bosque
Recoge el hacha que está detrás de la chimenea de la cabaña.
(El hacha se encuentra a la izquierda de la cabaña).</v>
      </c>
      <c r="T11" s="55" t="str">
        <f>IFERROR(__xludf.DUMMYFUNCTION("GOOGLETRANSLATE(D11,""zh-tw"",""es-MX"")"),"Los 5000 dólares se repondrán después de que llueva, pero la cantidad será menor.")</f>
        <v>Los 5000 dólares se repondrán después de que llueva, pero la cantidad será menor.</v>
      </c>
      <c r="U11" s="151" t="str">
        <f>IFERROR(__xludf.DUMMYFUNCTION("GOOGLETRANSLATE(A11,""zh-tw"",""en"")"),"R7")</f>
        <v>R7</v>
      </c>
      <c r="V11" s="149" t="s">
        <v>1982</v>
      </c>
      <c r="W11" s="95" t="s">
        <v>1983</v>
      </c>
      <c r="X11" s="52" t="s">
        <v>1984</v>
      </c>
      <c r="Y11" s="151" t="str">
        <f>IFERROR(__xludf.DUMMYFUNCTION("GOOGLETRANSLATE(E11,""zh-tw"",""en"")"),"R7")</f>
        <v>R7</v>
      </c>
      <c r="Z11" s="149" t="str">
        <f>IFERROR(__xludf.DUMMYFUNCTION("GOOGLETRANSLATE(B11,""zh-tw"",""ru"")"),"5000 долларов")</f>
        <v>5000 долларов</v>
      </c>
      <c r="AA11" s="152" t="str">
        <f>IFERROR(__xludf.DUMMYFUNCTION("GOOGLETRANSLATE(C11,""zh-tw"",""RU"")"),"Тропа искателя приключений: Лес
Подберите топор за дымоходом хижины.
(Топор находится слева от хижины).")</f>
        <v>Тропа искателя приключений: Лес
Подберите топор за дымоходом хижины.
(Топор находится слева от хижины).</v>
      </c>
      <c r="AB11" s="44" t="str">
        <f>IFERROR(__xludf.DUMMYFUNCTION("GOOGLETRANSLATE(D11,""zh-tw"",""RU"")"),"После дождя $5000 снова станут доступными, но сумма уменьшится.")</f>
        <v>После дождя $5000 снова станут доступными, но сумма уменьшится.</v>
      </c>
      <c r="AC11" s="151" t="str">
        <f>IFERROR(__xludf.DUMMYFUNCTION("GOOGLETRANSLATE(I11,""zh-tw"",""en"")"),"R7")</f>
        <v>R7</v>
      </c>
      <c r="AD11" s="149" t="s">
        <v>1985</v>
      </c>
      <c r="AE11" s="154" t="s">
        <v>1986</v>
      </c>
      <c r="AF11" s="106" t="s">
        <v>1987</v>
      </c>
      <c r="AG11" s="155" t="s">
        <v>1971</v>
      </c>
      <c r="AH11" s="156" t="s">
        <v>1988</v>
      </c>
      <c r="AI11" s="157" t="s">
        <v>1989</v>
      </c>
      <c r="AJ11" s="158" t="s">
        <v>1990</v>
      </c>
      <c r="AK11" s="30"/>
      <c r="AL11" s="30"/>
    </row>
    <row r="12">
      <c r="A12" s="108" t="s">
        <v>1991</v>
      </c>
      <c r="B12" s="149" t="s">
        <v>1992</v>
      </c>
      <c r="C12" s="95" t="s">
        <v>1993</v>
      </c>
      <c r="D12" s="52" t="s">
        <v>1994</v>
      </c>
      <c r="E12" s="108" t="str">
        <f>IFERROR(__xludf.DUMMYFUNCTION("GOOGLETRANSLATE(A12,""zh-tw"",""ja"")"),"R8")</f>
        <v>R8</v>
      </c>
      <c r="F12" s="149" t="s">
        <v>1995</v>
      </c>
      <c r="G12" s="95" t="s">
        <v>1996</v>
      </c>
      <c r="H12" s="52" t="s">
        <v>1997</v>
      </c>
      <c r="I12" s="108" t="str">
        <f>IFERROR(__xludf.DUMMYFUNCTION("GOOGLETRANSLATE(A12,""zh-tw"",""en"")"),"R8")</f>
        <v>R8</v>
      </c>
      <c r="J12" s="149" t="s">
        <v>1998</v>
      </c>
      <c r="K12" s="95" t="s">
        <v>1999</v>
      </c>
      <c r="L12" s="52" t="s">
        <v>2000</v>
      </c>
      <c r="M12" s="115" t="str">
        <f>IFERROR(__xludf.DUMMYFUNCTION("GOOGLETRANSLATE(A12,""zh-tw"",""en"")"),"R8")</f>
        <v>R8</v>
      </c>
      <c r="N12" s="149" t="str">
        <f>IFERROR(__xludf.DUMMYFUNCTION("GOOGLETRANSLATE(B12,""zh-tw"",""zh"")"),"游戏机")</f>
        <v>游戏机</v>
      </c>
      <c r="O12" s="95" t="s">
        <v>2001</v>
      </c>
      <c r="P12" s="55" t="str">
        <f>IFERROR(__xludf.DUMMYFUNCTION("GOOGLETRANSLATE(D12,""zh-tw"",""zh"")"),"获得""JoyStation V""
回家后触发和开启与妹妹游戏的功能")</f>
        <v>获得"JoyStation V"
回家后触发和开启与妹妹游戏的功能</v>
      </c>
      <c r="Q12" s="115" t="str">
        <f>IFERROR(__xludf.DUMMYFUNCTION("GOOGLETRANSLATE(A12,""zh-tw"",""ja"")"),"R8")</f>
        <v>R8</v>
      </c>
      <c r="R12" s="150" t="str">
        <f>IFERROR(__xludf.DUMMYFUNCTION("GOOGLETRANSLATE(B12,""zh-tw"",""es-MX"")"),"consola de juegos")</f>
        <v>consola de juegos</v>
      </c>
      <c r="S12" s="89" t="str">
        <f>IFERROR(__xludf.DUMMYFUNCTION("GOOGLETRANSLATE(C12,""zh-tw"",""es-MX"")"),"Sendero del Aventurero: Punto de Encuentro
Ubicado en la Calle del Aventurero, se puede comprar al caballero por 5000 $.")</f>
        <v>Sendero del Aventurero: Punto de Encuentro
Ubicado en la Calle del Aventurero, se puede comprar al caballero por 5000 $.</v>
      </c>
      <c r="T12" s="55" t="str">
        <f>IFERROR(__xludf.DUMMYFUNCTION("GOOGLETRANSLATE(D12,""zh-tw"",""es-MX"")"),"Tras obtener ""JoyStation V"", podrás iniciar y activar el juego con tu hermana al regresar a casa.")</f>
        <v>Tras obtener "JoyStation V", podrás iniciar y activar el juego con tu hermana al regresar a casa.</v>
      </c>
      <c r="U12" s="151" t="str">
        <f>IFERROR(__xludf.DUMMYFUNCTION("GOOGLETRANSLATE(A12,""zh-tw"",""en"")"),"R8")</f>
        <v>R8</v>
      </c>
      <c r="V12" s="150" t="str">
        <f>IFERROR(__xludf.DUMMYFUNCTION("GOOGLETRANSLATE(B12,""zh-tw"",""KO"")"),"게임 콘솔")</f>
        <v>게임 콘솔</v>
      </c>
      <c r="W12" s="89" t="str">
        <f>IFERROR(__xludf.DUMMYFUNCTION("GOOGLETRANSLATE(C12,""zh-tw"",""KO"")"),"모험가의 길: 모임 장소
모험가의 거리에 위치하며, 기사에게서 5,000달러에 구매하세요.")</f>
        <v>모험가의 길: 모임 장소
모험가의 거리에 위치하며, 기사에게서 5,000달러에 구매하세요.</v>
      </c>
      <c r="X12" s="55" t="str">
        <f>IFERROR(__xludf.DUMMYFUNCTION("GOOGLETRANSLATE(D12,""zh-tw"",""KO"")"),"""조이스테이션 V""를 획득한 후, 집으로 돌아와 여동생과 함께 게임을 시작하고 활성화할 수 있습니다.")</f>
        <v>"조이스테이션 V"를 획득한 후, 집으로 돌아와 여동생과 함께 게임을 시작하고 활성화할 수 있습니다.</v>
      </c>
      <c r="Y12" s="151" t="str">
        <f>IFERROR(__xludf.DUMMYFUNCTION("GOOGLETRANSLATE(E12,""zh-tw"",""en"")"),"R8")</f>
        <v>R8</v>
      </c>
      <c r="Z12" s="149" t="str">
        <f>IFERROR(__xludf.DUMMYFUNCTION("GOOGLETRANSLATE(B12,""zh-tw"",""ru"")"),"игровая консоль")</f>
        <v>игровая консоль</v>
      </c>
      <c r="AA12" s="152" t="str">
        <f>IFERROR(__xludf.DUMMYFUNCTION("GOOGLETRANSLATE(C12,""zh-tw"",""RU"")"),"Путь Авантюриста: Место сбора
Находится на улице Авантюриста, можно приобрести у рыцаря за 5000 долларов.")</f>
        <v>Путь Авантюриста: Место сбора
Находится на улице Авантюриста, можно приобрести у рыцаря за 5000 долларов.</v>
      </c>
      <c r="AB12" s="44" t="str">
        <f>IFERROR(__xludf.DUMMYFUNCTION("GOOGLETRANSLATE(D12,""zh-tw"",""RU"")"),"Получив «JoyStation V», вы сможете запустить и активировать игру вместе с сестрой по возвращении домой.")</f>
        <v>Получив «JoyStation V», вы сможете запустить и активировать игру вместе с сестрой по возвращении домой.</v>
      </c>
      <c r="AC12" s="151" t="str">
        <f>IFERROR(__xludf.DUMMYFUNCTION("GOOGLETRANSLATE(I12,""zh-tw"",""en"")"),"R8")</f>
        <v>R8</v>
      </c>
      <c r="AD12" s="149" t="s">
        <v>2002</v>
      </c>
      <c r="AE12" s="154" t="s">
        <v>2003</v>
      </c>
      <c r="AF12" s="106" t="s">
        <v>2004</v>
      </c>
      <c r="AG12" s="155" t="s">
        <v>1991</v>
      </c>
      <c r="AH12" s="156" t="s">
        <v>2005</v>
      </c>
      <c r="AI12" s="157" t="s">
        <v>2006</v>
      </c>
      <c r="AJ12" s="158" t="s">
        <v>2007</v>
      </c>
      <c r="AK12" s="30"/>
      <c r="AL12" s="30"/>
    </row>
    <row r="13">
      <c r="A13" s="108" t="s">
        <v>2008</v>
      </c>
      <c r="B13" s="149" t="s">
        <v>2009</v>
      </c>
      <c r="C13" s="95" t="s">
        <v>2010</v>
      </c>
      <c r="D13" s="52" t="s">
        <v>2011</v>
      </c>
      <c r="E13" s="108" t="str">
        <f>IFERROR(__xludf.DUMMYFUNCTION("GOOGLETRANSLATE(A13,""zh-tw"",""ja"")"),"R9")</f>
        <v>R9</v>
      </c>
      <c r="F13" s="149" t="s">
        <v>2012</v>
      </c>
      <c r="G13" s="95" t="s">
        <v>2013</v>
      </c>
      <c r="H13" s="52" t="s">
        <v>2014</v>
      </c>
      <c r="I13" s="108" t="str">
        <f>IFERROR(__xludf.DUMMYFUNCTION("GOOGLETRANSLATE(A13,""zh-tw"",""en"")"),"R9")</f>
        <v>R9</v>
      </c>
      <c r="J13" s="149" t="s">
        <v>2015</v>
      </c>
      <c r="K13" s="95" t="s">
        <v>2016</v>
      </c>
      <c r="L13" s="52" t="s">
        <v>2017</v>
      </c>
      <c r="M13" s="115" t="str">
        <f>IFERROR(__xludf.DUMMYFUNCTION("GOOGLETRANSLATE(A13,""zh-tw"",""en"")"),"R9")</f>
        <v>R9</v>
      </c>
      <c r="N13" s="149" t="str">
        <f>IFERROR(__xludf.DUMMYFUNCTION("GOOGLETRANSLATE(B13,""zh-tw"",""zh"")"),"鸭鸭")</f>
        <v>鸭鸭</v>
      </c>
      <c r="O13" s="89" t="str">
        <f>IFERROR(__xludf.DUMMYFUNCTION("GOOGLETRANSLATE(C13,""zh-tw"",""zh"")"),"冒险者小道:纪念碑
在右边的岸边可以捡到
*若你从遗迹之森-4的瀑布被冲到此处，会触发另一段对话。")</f>
        <v>冒险者小道:纪念碑
在右边的岸边可以捡到
*若你从遗迹之森-4的瀑布被冲到此处，会触发另一段对话。</v>
      </c>
      <c r="P13" s="55" t="str">
        <f>IFERROR(__xludf.DUMMYFUNCTION("GOOGLETRANSLATE(D13,""zh-tw"",""zh"")"),"获得""橡胶鸭""道具
可于洗澡时可放入")</f>
        <v>获得"橡胶鸭"道具
可于洗澡时可放入</v>
      </c>
      <c r="Q13" s="115" t="str">
        <f>IFERROR(__xludf.DUMMYFUNCTION("GOOGLETRANSLATE(A13,""zh-tw"",""ja"")"),"R9")</f>
        <v>R9</v>
      </c>
      <c r="R13" s="149" t="s">
        <v>2018</v>
      </c>
      <c r="S13" s="95" t="s">
        <v>2019</v>
      </c>
      <c r="T13" s="55" t="str">
        <f>IFERROR(__xludf.DUMMYFUNCTION("GOOGLETRANSLATE(D13,""zh-tw"",""es-MX"")"),"Obtén el objeto ""Pato de goma""; se puede colocar dentro de la bañera.")</f>
        <v>Obtén el objeto "Pato de goma"; se puede colocar dentro de la bañera.</v>
      </c>
      <c r="U13" s="151" t="str">
        <f>IFERROR(__xludf.DUMMYFUNCTION("GOOGLETRANSLATE(A13,""zh-tw"",""en"")"),"R9")</f>
        <v>R9</v>
      </c>
      <c r="V13" s="150" t="str">
        <f>IFERROR(__xludf.DUMMYFUNCTION("GOOGLETRANSLATE(B13,""zh-tw"",""KO"")"),"오리")</f>
        <v>오리</v>
      </c>
      <c r="W13" s="89" t="str">
        <f>IFERROR(__xludf.DUMMYFUNCTION("GOOGLETRANSLATE(C13,""zh-tw"",""KO"")"),"모험가의 길: 기념물
오른쪽 강둑에 있습니다.
*폐허의 숲-4에 있는 폭포에서 이곳으로 휩쓸려 왔다면, 다른 대화가 시작됩니다.")</f>
        <v>모험가의 길: 기념물
오른쪽 강둑에 있습니다.
*폐허의 숲-4에 있는 폭포에서 이곳으로 휩쓸려 왔다면, 다른 대화가 시작됩니다.</v>
      </c>
      <c r="X13" s="55" t="str">
        <f>IFERROR(__xludf.DUMMYFUNCTION("GOOGLETRANSLATE(D13,""zh-tw"",""KO"")"),"""고무 오리"" 아이템을 얻으세요. 욕조 안에 넣을 수 있습니다.")</f>
        <v>"고무 오리" 아이템을 얻으세요. 욕조 안에 넣을 수 있습니다.</v>
      </c>
      <c r="Y13" s="151" t="str">
        <f>IFERROR(__xludf.DUMMYFUNCTION("GOOGLETRANSLATE(E13,""zh-tw"",""en"")"),"R9")</f>
        <v>R9</v>
      </c>
      <c r="Z13" s="149" t="str">
        <f>IFERROR(__xludf.DUMMYFUNCTION("GOOGLETRANSLATE(B13,""zh-tw"",""ru"")"),"утка")</f>
        <v>утка</v>
      </c>
      <c r="AA13" s="152" t="str">
        <f>IFERROR(__xludf.DUMMYFUNCTION("GOOGLETRANSLATE(C13,""zh-tw"",""RU"")"),"Тропа искателя приключений: Монумент
Находится на правом берегу.
*Если вас занесло сюда водопадом в Лесу руин-4, активируется ещё один диалог.")</f>
        <v>Тропа искателя приключений: Монумент
Находится на правом берегу.
*Если вас занесло сюда водопадом в Лесу руин-4, активируется ещё один диалог.</v>
      </c>
      <c r="AB13" s="44" t="str">
        <f>IFERROR(__xludf.DUMMYFUNCTION("GOOGLETRANSLATE(D13,""zh-tw"",""RU"")"),"Получите предмет «Резиновая уточка»; ее можно поместить внутрь ванны.")</f>
        <v>Получите предмет «Резиновая уточка»; ее можно поместить внутрь ванны.</v>
      </c>
      <c r="AC13" s="151" t="str">
        <f>IFERROR(__xludf.DUMMYFUNCTION("GOOGLETRANSLATE(I13,""zh-tw"",""en"")"),"R9")</f>
        <v>R9</v>
      </c>
      <c r="AD13" s="149" t="s">
        <v>2020</v>
      </c>
      <c r="AE13" s="154" t="s">
        <v>2021</v>
      </c>
      <c r="AF13" s="106" t="s">
        <v>2022</v>
      </c>
      <c r="AG13" s="155" t="s">
        <v>2008</v>
      </c>
      <c r="AH13" s="156" t="s">
        <v>2023</v>
      </c>
      <c r="AI13" s="157" t="s">
        <v>2024</v>
      </c>
      <c r="AJ13" s="158" t="s">
        <v>2025</v>
      </c>
      <c r="AK13" s="30"/>
      <c r="AL13" s="30"/>
    </row>
    <row r="14">
      <c r="A14" s="108" t="s">
        <v>2026</v>
      </c>
      <c r="B14" s="149" t="s">
        <v>2027</v>
      </c>
      <c r="C14" s="95" t="s">
        <v>2028</v>
      </c>
      <c r="D14" s="52" t="s">
        <v>2029</v>
      </c>
      <c r="E14" s="108" t="str">
        <f>IFERROR(__xludf.DUMMYFUNCTION("GOOGLETRANSLATE(A14,""zh-tw"",""ja"")"),"R10")</f>
        <v>R10</v>
      </c>
      <c r="F14" s="149" t="s">
        <v>2030</v>
      </c>
      <c r="G14" s="95" t="s">
        <v>2031</v>
      </c>
      <c r="H14" s="52" t="s">
        <v>2032</v>
      </c>
      <c r="I14" s="108" t="str">
        <f>IFERROR(__xludf.DUMMYFUNCTION("GOOGLETRANSLATE(A14,""zh-tw"",""en"")"),"R10")</f>
        <v>R10</v>
      </c>
      <c r="J14" s="149" t="s">
        <v>2033</v>
      </c>
      <c r="K14" s="95" t="s">
        <v>2034</v>
      </c>
      <c r="L14" s="52" t="s">
        <v>2035</v>
      </c>
      <c r="M14" s="115" t="str">
        <f>IFERROR(__xludf.DUMMYFUNCTION("GOOGLETRANSLATE(A14,""zh-tw"",""en"")"),"R10")</f>
        <v>R10</v>
      </c>
      <c r="N14" s="149" t="str">
        <f>IFERROR(__xludf.DUMMYFUNCTION("GOOGLETRANSLATE(B14,""zh-tw"",""zh"")"),"连结遗迹洞口")</f>
        <v>连结遗迹洞口</v>
      </c>
      <c r="O14" s="89" t="str">
        <f>IFERROR(__xludf.DUMMYFUNCTION("GOOGLETRANSLATE(C14,""zh-tw"",""zh"")"),"遗迹之森-4
地图中央的岩石清除完毕")</f>
        <v>遗迹之森-4
地图中央的岩石清除完毕</v>
      </c>
      <c r="P14" s="55" t="str">
        <f>IFERROR(__xludf.DUMMYFUNCTION("GOOGLETRANSLATE(D14,""zh-tw"",""zh"")"),"连结至遗迹地图
见闻")</f>
        <v>连结至遗迹地图
见闻</v>
      </c>
      <c r="Q14" s="115" t="str">
        <f>IFERROR(__xludf.DUMMYFUNCTION("GOOGLETRANSLATE(A14,""zh-tw"",""ja"")"),"R10")</f>
        <v>R10</v>
      </c>
      <c r="R14" s="149" t="s">
        <v>2036</v>
      </c>
      <c r="S14" s="95" t="s">
        <v>2037</v>
      </c>
      <c r="T14" s="55" t="str">
        <f>IFERROR(__xludf.DUMMYFUNCTION("GOOGLETRANSLATE(D14,""zh-tw"",""es-MX"")"),"Enlace al mapa de las ruinas
Observaciones")</f>
        <v>Enlace al mapa de las ruinas
Observaciones</v>
      </c>
      <c r="U14" s="151" t="str">
        <f>IFERROR(__xludf.DUMMYFUNCTION("GOOGLETRANSLATE(A14,""zh-tw"",""en"")"),"R10")</f>
        <v>R10</v>
      </c>
      <c r="V14" s="150" t="str">
        <f>IFERROR(__xludf.DUMMYFUNCTION("GOOGLETRANSLATE(B14,""zh-tw"",""KO"")"),"유적지 입구 연결")</f>
        <v>유적지 입구 연결</v>
      </c>
      <c r="W14" s="89" t="str">
        <f>IFERROR(__xludf.DUMMYFUNCTION("GOOGLETRANSLATE(C14,""zh-tw"",""KO"")"),"폐허 숲 - 4 맵 중앙의 바위가 제거되었습니다.")</f>
        <v>폐허 숲 - 4 맵 중앙의 바위가 제거되었습니다.</v>
      </c>
      <c r="X14" s="55" t="str">
        <f>IFERROR(__xludf.DUMMYFUNCTION("GOOGLETRANSLATE(D14,""zh-tw"",""KO"")"),"유적지 지도 링크
관찰")</f>
        <v>유적지 지도 링크
관찰</v>
      </c>
      <c r="Y14" s="151" t="str">
        <f>IFERROR(__xludf.DUMMYFUNCTION("GOOGLETRANSLATE(E14,""zh-tw"",""en"")"),"R10")</f>
        <v>R10</v>
      </c>
      <c r="Z14" s="149" t="str">
        <f>IFERROR(__xludf.DUMMYFUNCTION("GOOGLETRANSLATE(B14,""zh-tw"",""ru"")"),"Соединение входов в руины")</f>
        <v>Соединение входов в руины</v>
      </c>
      <c r="AA14" s="152" t="str">
        <f>IFERROR(__xludf.DUMMYFUNCTION("GOOGLETRANSLATE(C14,""zh-tw"",""RU"")"),"Камни в центре карты «Лес руин - 4» были расчищены.")</f>
        <v>Камни в центре карты «Лес руин - 4» были расчищены.</v>
      </c>
      <c r="AB14" s="44" t="str">
        <f>IFERROR(__xludf.DUMMYFUNCTION("GOOGLETRANSLATE(D14,""zh-tw"",""RU"")"),"Ссылка на карту руин
Наблюдения")</f>
        <v>Ссылка на карту руин
Наблюдения</v>
      </c>
      <c r="AC14" s="151" t="str">
        <f>IFERROR(__xludf.DUMMYFUNCTION("GOOGLETRANSLATE(I14,""zh-tw"",""en"")"),"R10")</f>
        <v>R10</v>
      </c>
      <c r="AD14" s="149" t="s">
        <v>2038</v>
      </c>
      <c r="AE14" s="154" t="s">
        <v>2039</v>
      </c>
      <c r="AF14" s="106" t="s">
        <v>2040</v>
      </c>
      <c r="AG14" s="155" t="s">
        <v>2026</v>
      </c>
      <c r="AH14" s="156" t="s">
        <v>2041</v>
      </c>
      <c r="AI14" s="157" t="s">
        <v>2042</v>
      </c>
      <c r="AJ14" s="158" t="s">
        <v>2043</v>
      </c>
      <c r="AK14" s="30"/>
      <c r="AL14" s="30"/>
    </row>
    <row r="15">
      <c r="A15" s="108" t="s">
        <v>2044</v>
      </c>
      <c r="B15" s="167" t="s">
        <v>2045</v>
      </c>
      <c r="C15" s="168" t="s">
        <v>2046</v>
      </c>
      <c r="D15" s="87" t="s">
        <v>2047</v>
      </c>
      <c r="E15" s="108" t="str">
        <f>IFERROR(__xludf.DUMMYFUNCTION("GOOGLETRANSLATE(A15,""zh-tw"",""ja"")"),"R11")</f>
        <v>R11</v>
      </c>
      <c r="F15" s="149" t="str">
        <f>IFERROR(__xludf.DUMMYFUNCTION("GOOGLETRANSLATE(B15,""zh-tw"",""ja"")"),"未知の洞窟")</f>
        <v>未知の洞窟</v>
      </c>
      <c r="G15" s="95" t="s">
        <v>2048</v>
      </c>
      <c r="H15" s="52" t="s">
        <v>2049</v>
      </c>
      <c r="I15" s="108" t="str">
        <f>IFERROR(__xludf.DUMMYFUNCTION("GOOGLETRANSLATE(A15,""zh-tw"",""en"")"),"R11")</f>
        <v>R11</v>
      </c>
      <c r="J15" s="149" t="s">
        <v>2050</v>
      </c>
      <c r="K15" s="95" t="s">
        <v>2051</v>
      </c>
      <c r="L15" s="52"/>
      <c r="M15" s="115" t="str">
        <f>IFERROR(__xludf.DUMMYFUNCTION("GOOGLETRANSLATE(A15,""zh-tw"",""en"")"),"R11")</f>
        <v>R11</v>
      </c>
      <c r="N15" s="149" t="str">
        <f>IFERROR(__xludf.DUMMYFUNCTION("GOOGLETRANSLATE(B15,""zh-tw"",""zh"")"),"不知名地洞")</f>
        <v>不知名地洞</v>
      </c>
      <c r="O15" s="89" t="str">
        <f>IFERROR(__xludf.DUMMYFUNCTION("GOOGLETRANSLATE(C15,""zh-tw"",""zh"")"),"在遗迹门前
往右下方寻找一块石头并且清除
里面有一条个地道，并且可以捡到道具")</f>
        <v>在遗迹门前
往右下方寻找一块石头并且清除
里面有一条个地道，并且可以捡到道具</v>
      </c>
      <c r="P15" s="55" t="str">
        <f>IFERROR(__xludf.DUMMYFUNCTION("GOOGLETRANSLATE(D15,""zh-tw"",""zh"")"),"后续未实装")</f>
        <v>后续未实装</v>
      </c>
      <c r="Q15" s="115" t="str">
        <f>IFERROR(__xludf.DUMMYFUNCTION("GOOGLETRANSLATE(A15,""zh-tw"",""ja"")"),"R11")</f>
        <v>R11</v>
      </c>
      <c r="R15" s="150" t="str">
        <f>IFERROR(__xludf.DUMMYFUNCTION("GOOGLETRANSLATE(B15,""zh-tw"",""es-MX"")"),"Cueva desconocida")</f>
        <v>Cueva desconocida</v>
      </c>
      <c r="S15" s="89" t="str">
        <f>IFERROR(__xludf.DUMMYFUNCTION("GOOGLETRANSLATE(C15,""zh-tw"",""es-MX"")"),"Frente a la entrada de las ruinas, dirígete a la parte inferior derecha y busca una piedra que puedes quitar. Dentro, hay varios túneles donde puedes encontrar objetos.")</f>
        <v>Frente a la entrada de las ruinas, dirígete a la parte inferior derecha y busca una piedra que puedes quitar. Dentro, hay varios túneles donde puedes encontrar objetos.</v>
      </c>
      <c r="T15" s="55" t="str">
        <f>IFERROR(__xludf.DUMMYFUNCTION("GOOGLETRANSLATE(D15,""zh-tw"",""es-MX"")"),"No se implementó posteriormente")</f>
        <v>No se implementó posteriormente</v>
      </c>
      <c r="U15" s="151" t="str">
        <f>IFERROR(__xludf.DUMMYFUNCTION("GOOGLETRANSLATE(A15,""zh-tw"",""en"")"),"R11")</f>
        <v>R11</v>
      </c>
      <c r="V15" s="150" t="str">
        <f>IFERROR(__xludf.DUMMYFUNCTION("GOOGLETRANSLATE(B15,""zh-tw"",""KO"")"),"알려지지 않은 동굴")</f>
        <v>알려지지 않은 동굴</v>
      </c>
      <c r="W15" s="89" t="str">
        <f>IFERROR(__xludf.DUMMYFUNCTION("GOOGLETRANSLATE(C15,""zh-tw"",""KO"")"),"유적 입구 앞 오른쪽 아래로 가서 치워야 할 돌을 찾으세요. 안에는 아이템을 찾을 수 있는 여러 개의 터널이 있습니다.")</f>
        <v>유적 입구 앞 오른쪽 아래로 가서 치워야 할 돌을 찾으세요. 안에는 아이템을 찾을 수 있는 여러 개의 터널이 있습니다.</v>
      </c>
      <c r="X15" s="55" t="str">
        <f>IFERROR(__xludf.DUMMYFUNCTION("GOOGLETRANSLATE(D15,""zh-tw"",""KO"")"),"이후 구현되지 않음")</f>
        <v>이후 구현되지 않음</v>
      </c>
      <c r="Y15" s="151" t="str">
        <f>IFERROR(__xludf.DUMMYFUNCTION("GOOGLETRANSLATE(E15,""zh-tw"",""en"")"),"R11")</f>
        <v>R11</v>
      </c>
      <c r="Z15" s="149" t="str">
        <f>IFERROR(__xludf.DUMMYFUNCTION("GOOGLETRANSLATE(B15,""zh-tw"",""ru"")"),"Неизвестная пещера")</f>
        <v>Неизвестная пещера</v>
      </c>
      <c r="AA15" s="152" t="str">
        <f>IFERROR(__xludf.DUMMYFUNCTION("GOOGLETRANSLATE(C15,""zh-tw"",""RU"")"),"Перед входом в руины идите в правый нижний угол и найдите камень, который нужно очистить. Внутри есть несколько туннелей, где можно найти предметы.")</f>
        <v>Перед входом в руины идите в правый нижний угол и найдите камень, который нужно очистить. Внутри есть несколько туннелей, где можно найти предметы.</v>
      </c>
      <c r="AB15" s="44" t="str">
        <f>IFERROR(__xludf.DUMMYFUNCTION("GOOGLETRANSLATE(D15,""zh-tw"",""RU"")"),"Не реализовано впоследствии")</f>
        <v>Не реализовано впоследствии</v>
      </c>
      <c r="AC15" s="151" t="str">
        <f>IFERROR(__xludf.DUMMYFUNCTION("GOOGLETRANSLATE(I15,""zh-tw"",""en"")"),"R11")</f>
        <v>R11</v>
      </c>
      <c r="AD15" s="149" t="s">
        <v>2052</v>
      </c>
      <c r="AE15" s="154" t="s">
        <v>2053</v>
      </c>
      <c r="AF15" s="106" t="s">
        <v>2054</v>
      </c>
      <c r="AG15" s="155" t="s">
        <v>2044</v>
      </c>
      <c r="AH15" s="156" t="s">
        <v>2055</v>
      </c>
      <c r="AI15" s="157" t="s">
        <v>2056</v>
      </c>
      <c r="AJ15" s="158" t="s">
        <v>2057</v>
      </c>
      <c r="AK15" s="30"/>
      <c r="AL15" s="30"/>
    </row>
    <row r="16">
      <c r="A16" s="108" t="s">
        <v>2058</v>
      </c>
      <c r="B16" s="149" t="s">
        <v>2059</v>
      </c>
      <c r="C16" s="95" t="s">
        <v>2060</v>
      </c>
      <c r="D16" s="52" t="s">
        <v>2061</v>
      </c>
      <c r="E16" s="108" t="str">
        <f>IFERROR(__xludf.DUMMYFUNCTION("GOOGLETRANSLATE(A16,""zh-tw"",""ja"")"),"R12")</f>
        <v>R12</v>
      </c>
      <c r="F16" s="149" t="s">
        <v>2062</v>
      </c>
      <c r="G16" s="95" t="str">
        <f>IFERROR(__xludf.DUMMYFUNCTION("GOOGLETRANSLATE(C16,""zh-tw"",""ja"")"),"冒険者の道：森の右下隅に隠されたアイテム。")</f>
        <v>冒険者の道：森の右下隅に隠されたアイテム。</v>
      </c>
      <c r="H16" s="52" t="s">
        <v>2063</v>
      </c>
      <c r="I16" s="108" t="str">
        <f>IFERROR(__xludf.DUMMYFUNCTION("GOOGLETRANSLATE(A16,""zh-tw"",""en"")"),"R12")</f>
        <v>R12</v>
      </c>
      <c r="J16" s="149" t="s">
        <v>2064</v>
      </c>
      <c r="K16" s="95" t="s">
        <v>2065</v>
      </c>
      <c r="L16" s="52" t="s">
        <v>2066</v>
      </c>
      <c r="M16" s="115" t="str">
        <f>IFERROR(__xludf.DUMMYFUNCTION("GOOGLETRANSLATE(A16,""zh-tw"",""en"")"),"R12")</f>
        <v>R12</v>
      </c>
      <c r="N16" s="149" t="str">
        <f>IFERROR(__xludf.DUMMYFUNCTION("GOOGLETRANSLATE(B16,""zh-tw"",""zh"")"),"隐藏通道1")</f>
        <v>隐藏通道1</v>
      </c>
      <c r="O16" s="89" t="str">
        <f>IFERROR(__xludf.DUMMYFUNCTION("GOOGLETRANSLATE(C16,""zh-tw"",""zh"")"),"冒险者小道:林间 右下角树林，有隐藏物品")</f>
        <v>冒险者小道:林间 右下角树林，有隐藏物品</v>
      </c>
      <c r="P16" s="55" t="str">
        <f>IFERROR(__xludf.DUMMYFUNCTION("GOOGLETRANSLATE(D16,""zh-tw"",""zh"")"),"获得道具")</f>
        <v>获得道具</v>
      </c>
      <c r="Q16" s="115" t="str">
        <f>IFERROR(__xludf.DUMMYFUNCTION("GOOGLETRANSLATE(A16,""zh-tw"",""ja"")"),"R12")</f>
        <v>R12</v>
      </c>
      <c r="R16" s="149" t="s">
        <v>2067</v>
      </c>
      <c r="S16" s="89" t="str">
        <f>IFERROR(__xludf.DUMMYFUNCTION("GOOGLETRANSLATE(C16,""zh-tw"",""es-MX"")"),"Sendero del aventurero: Objeto oculto en la esquina inferior derecha del bosque.")</f>
        <v>Sendero del aventurero: Objeto oculto en la esquina inferior derecha del bosque.</v>
      </c>
      <c r="T16" s="55" t="str">
        <f>IFERROR(__xludf.DUMMYFUNCTION("GOOGLETRANSLATE(D16,""zh-tw"",""es-MX"")"),"Obtener artículos")</f>
        <v>Obtener artículos</v>
      </c>
      <c r="U16" s="151" t="str">
        <f>IFERROR(__xludf.DUMMYFUNCTION("GOOGLETRANSLATE(A16,""zh-tw"",""en"")"),"R12")</f>
        <v>R12</v>
      </c>
      <c r="V16" s="150" t="str">
        <f>IFERROR(__xludf.DUMMYFUNCTION("GOOGLETRANSLATE(B16,""zh-tw"",""KO"")"),"숨겨진 통로 1")</f>
        <v>숨겨진 통로 1</v>
      </c>
      <c r="W16" s="89" t="str">
        <f>IFERROR(__xludf.DUMMYFUNCTION("GOOGLETRANSLATE(C16,""zh-tw"",""KO"")"),"모험가의 길: 숲의 오른쪽 하단에 숨겨진 아이템입니다.")</f>
        <v>모험가의 길: 숲의 오른쪽 하단에 숨겨진 아이템입니다.</v>
      </c>
      <c r="X16" s="55" t="str">
        <f>IFERROR(__xludf.DUMMYFUNCTION("GOOGLETRANSLATE(D16,""zh-tw"",""KO"")"),"아이템 획득")</f>
        <v>아이템 획득</v>
      </c>
      <c r="Y16" s="151" t="str">
        <f>IFERROR(__xludf.DUMMYFUNCTION("GOOGLETRANSLATE(E16,""zh-tw"",""en"")"),"R12")</f>
        <v>R12</v>
      </c>
      <c r="Z16" s="149" t="str">
        <f>IFERROR(__xludf.DUMMYFUNCTION("GOOGLETRANSLATE(B16,""zh-tw"",""ru"")"),"Скрытый проход 1")</f>
        <v>Скрытый проход 1</v>
      </c>
      <c r="AA16" s="152" t="str">
        <f>IFERROR(__xludf.DUMMYFUNCTION("GOOGLETRANSLATE(C16,""zh-tw"",""RU"")"),"Путь искателя приключений: скрытый предмет в правом нижнем углу леса.")</f>
        <v>Путь искателя приключений: скрытый предмет в правом нижнем углу леса.</v>
      </c>
      <c r="AB16" s="44" t="str">
        <f>IFERROR(__xludf.DUMMYFUNCTION("GOOGLETRANSLATE(D16,""zh-tw"",""RU"")"),"Получить предметы")</f>
        <v>Получить предметы</v>
      </c>
      <c r="AC16" s="151" t="str">
        <f>IFERROR(__xludf.DUMMYFUNCTION("GOOGLETRANSLATE(I16,""zh-tw"",""en"")"),"R12")</f>
        <v>R12</v>
      </c>
      <c r="AD16" s="149" t="s">
        <v>2068</v>
      </c>
      <c r="AE16" s="154" t="s">
        <v>2069</v>
      </c>
      <c r="AF16" s="106" t="s">
        <v>2070</v>
      </c>
      <c r="AG16" s="155" t="s">
        <v>2058</v>
      </c>
      <c r="AH16" s="156" t="s">
        <v>2071</v>
      </c>
      <c r="AI16" s="157" t="s">
        <v>2072</v>
      </c>
      <c r="AJ16" s="158" t="s">
        <v>2073</v>
      </c>
      <c r="AK16" s="30"/>
      <c r="AL16" s="30"/>
    </row>
    <row r="17">
      <c r="A17" s="108" t="s">
        <v>2074</v>
      </c>
      <c r="B17" s="149" t="s">
        <v>2075</v>
      </c>
      <c r="C17" s="95" t="s">
        <v>2076</v>
      </c>
      <c r="D17" s="52" t="s">
        <v>2077</v>
      </c>
      <c r="E17" s="108" t="str">
        <f>IFERROR(__xludf.DUMMYFUNCTION("GOOGLETRANSLATE(A17,""zh-tw"",""ja"")"),"R13")</f>
        <v>R13</v>
      </c>
      <c r="F17" s="149" t="s">
        <v>2078</v>
      </c>
      <c r="G17" s="159" t="str">
        <f>IFERROR(__xludf.DUMMYFUNCTION("GOOGLETRANSLATE(C17,""zh-tw"",""ja"")"),"冒険者の道：集合場所、左上に宝箱があります。")</f>
        <v>冒険者の道：集合場所、左上に宝箱があります。</v>
      </c>
      <c r="H17" s="52" t="s">
        <v>2079</v>
      </c>
      <c r="I17" s="108" t="str">
        <f>IFERROR(__xludf.DUMMYFUNCTION("GOOGLETRANSLATE(A17,""zh-tw"",""en"")"),"R13")</f>
        <v>R13</v>
      </c>
      <c r="J17" s="149" t="s">
        <v>2080</v>
      </c>
      <c r="K17" s="95" t="s">
        <v>2081</v>
      </c>
      <c r="L17" s="52" t="s">
        <v>2082</v>
      </c>
      <c r="M17" s="115" t="str">
        <f>IFERROR(__xludf.DUMMYFUNCTION("GOOGLETRANSLATE(A17,""zh-tw"",""en"")"),"R13")</f>
        <v>R13</v>
      </c>
      <c r="N17" s="149" t="str">
        <f>IFERROR(__xludf.DUMMYFUNCTION("GOOGLETRANSLATE(B17,""zh-tw"",""zh"")"),"隐藏通道2")</f>
        <v>隐藏通道2</v>
      </c>
      <c r="O17" s="89" t="str">
        <f>IFERROR(__xludf.DUMMYFUNCTION("GOOGLETRANSLATE(C17,""zh-tw"",""zh"")"),"冒险者小道:集结地，左上方有个宝箱")</f>
        <v>冒险者小道:集结地，左上方有个宝箱</v>
      </c>
      <c r="P17" s="55" t="str">
        <f>IFERROR(__xludf.DUMMYFUNCTION("GOOGLETRANSLATE(D17,""zh-tw"",""zh"")"),"获得武器-千鸟、特殊字条剧情")</f>
        <v>获得武器-千鸟、特殊字条剧情</v>
      </c>
      <c r="Q17" s="115" t="str">
        <f>IFERROR(__xludf.DUMMYFUNCTION("GOOGLETRANSLATE(A17,""zh-tw"",""ja"")"),"R13")</f>
        <v>R13</v>
      </c>
      <c r="R17" s="149" t="s">
        <v>2083</v>
      </c>
      <c r="S17" s="89" t="str">
        <f>IFERROR(__xludf.DUMMYFUNCTION("GOOGLETRANSLATE(C17,""zh-tw"",""es-MX"")"),"Sendero del Aventurero: Punto de Encuentro, hay un cofre del tesoro en la esquina superior izquierda.")</f>
        <v>Sendero del Aventurero: Punto de Encuentro, hay un cofre del tesoro en la esquina superior izquierda.</v>
      </c>
      <c r="T17" s="55" t="str">
        <f>IFERROR(__xludf.DUMMYFUNCTION("GOOGLETRANSLATE(D17,""zh-tw"",""es-MX"")"),"Obtén el arma Chidori (nota especial de la historia).")</f>
        <v>Obtén el arma Chidori (nota especial de la historia).</v>
      </c>
      <c r="U17" s="151" t="str">
        <f>IFERROR(__xludf.DUMMYFUNCTION("GOOGLETRANSLATE(A17,""zh-tw"",""en"")"),"R13")</f>
        <v>R13</v>
      </c>
      <c r="V17" s="150" t="str">
        <f>IFERROR(__xludf.DUMMYFUNCTION("GOOGLETRANSLATE(B17,""zh-tw"",""KO"")"),"숨겨진 통로 2")</f>
        <v>숨겨진 통로 2</v>
      </c>
      <c r="W17" s="89" t="str">
        <f>IFERROR(__xludf.DUMMYFUNCTION("GOOGLETRANSLATE(C17,""zh-tw"",""KO"")"),"모험가의 길: 모임 장소, 왼쪽 상단 모서리에 보물 상자가 있습니다.")</f>
        <v>모험가의 길: 모임 장소, 왼쪽 상단 모서리에 보물 상자가 있습니다.</v>
      </c>
      <c r="X17" s="55" t="str">
        <f>IFERROR(__xludf.DUMMYFUNCTION("GOOGLETRANSLATE(D17,""zh-tw"",""KO"")"),"무기 획득 - 치도리, 스페셜 노트 스토리라인")</f>
        <v>무기 획득 - 치도리, 스페셜 노트 스토리라인</v>
      </c>
      <c r="Y17" s="151" t="str">
        <f>IFERROR(__xludf.DUMMYFUNCTION("GOOGLETRANSLATE(E17,""zh-tw"",""en"")"),"R13")</f>
        <v>R13</v>
      </c>
      <c r="Z17" s="149" t="str">
        <f>IFERROR(__xludf.DUMMYFUNCTION("GOOGLETRANSLATE(B17,""zh-tw"",""ru"")"),"Скрытый проход 2")</f>
        <v>Скрытый проход 2</v>
      </c>
      <c r="AA17" s="152" t="str">
        <f>IFERROR(__xludf.DUMMYFUNCTION("GOOGLETRANSLATE(C17,""zh-tw"",""RU"")"),"Путь искателя приключений: Место сбора, в левом верхнем углу находится сундук с сокровищами.")</f>
        <v>Путь искателя приключений: Место сбора, в левом верхнем углу находится сундук с сокровищами.</v>
      </c>
      <c r="AB17" s="44" t="str">
        <f>IFERROR(__xludf.DUMMYFUNCTION("GOOGLETRANSLATE(D17,""zh-tw"",""RU"")"),"Получить оружие — Чидори, особое примечание к сюжетной линии")</f>
        <v>Получить оружие — Чидори, особое примечание к сюжетной линии</v>
      </c>
      <c r="AC17" s="151" t="str">
        <f>IFERROR(__xludf.DUMMYFUNCTION("GOOGLETRANSLATE(I17,""zh-tw"",""en"")"),"R13")</f>
        <v>R13</v>
      </c>
      <c r="AD17" s="149" t="s">
        <v>2084</v>
      </c>
      <c r="AE17" s="154" t="s">
        <v>2085</v>
      </c>
      <c r="AF17" s="106" t="s">
        <v>2086</v>
      </c>
      <c r="AG17" s="155" t="s">
        <v>2074</v>
      </c>
      <c r="AH17" s="156" t="s">
        <v>2087</v>
      </c>
      <c r="AI17" s="157" t="s">
        <v>2088</v>
      </c>
      <c r="AJ17" s="158" t="s">
        <v>2089</v>
      </c>
      <c r="AK17" s="30"/>
      <c r="AL17" s="30"/>
    </row>
    <row r="18">
      <c r="A18" s="108" t="s">
        <v>2090</v>
      </c>
      <c r="B18" s="149" t="s">
        <v>2091</v>
      </c>
      <c r="C18" s="95" t="s">
        <v>2092</v>
      </c>
      <c r="D18" s="52" t="s">
        <v>2093</v>
      </c>
      <c r="E18" s="108" t="str">
        <f>IFERROR(__xludf.DUMMYFUNCTION("GOOGLETRANSLATE(A18,""zh-tw"",""ja"")"),"R14")</f>
        <v>R14</v>
      </c>
      <c r="F18" s="149" t="s">
        <v>2094</v>
      </c>
      <c r="G18" s="159" t="s">
        <v>2095</v>
      </c>
      <c r="H18" s="52" t="s">
        <v>2096</v>
      </c>
      <c r="I18" s="108" t="str">
        <f>IFERROR(__xludf.DUMMYFUNCTION("GOOGLETRANSLATE(A18,""zh-tw"",""en"")"),"R14")</f>
        <v>R14</v>
      </c>
      <c r="J18" s="149" t="s">
        <v>2097</v>
      </c>
      <c r="K18" s="95" t="s">
        <v>2098</v>
      </c>
      <c r="L18" s="52" t="s">
        <v>2099</v>
      </c>
      <c r="M18" s="115" t="str">
        <f>IFERROR(__xludf.DUMMYFUNCTION("GOOGLETRANSLATE(A18,""zh-tw"",""en"")"),"R14")</f>
        <v>R14</v>
      </c>
      <c r="N18" s="149" t="str">
        <f>IFERROR(__xludf.DUMMYFUNCTION("GOOGLETRANSLATE(B18,""zh-tw"",""zh"")"),"隐藏通道3")</f>
        <v>隐藏通道3</v>
      </c>
      <c r="O18" s="89" t="str">
        <f>IFERROR(__xludf.DUMMYFUNCTION("GOOGLETRANSLATE(C18,""zh-tw"",""zh"")"),"冒险者小道:纪念碑，下方的石碑后方，有隐藏道具")</f>
        <v>冒险者小道:纪念碑，下方的石碑后方，有隐藏道具</v>
      </c>
      <c r="P18" s="55" t="str">
        <f>IFERROR(__xludf.DUMMYFUNCTION("GOOGLETRANSLATE(D18,""zh-tw"",""zh"")"),"获得道具和武器-熔岩杖")</f>
        <v>获得道具和武器-熔岩杖</v>
      </c>
      <c r="Q18" s="115" t="str">
        <f>IFERROR(__xludf.DUMMYFUNCTION("GOOGLETRANSLATE(A18,""zh-tw"",""ja"")"),"R14")</f>
        <v>R14</v>
      </c>
      <c r="R18" s="149" t="s">
        <v>2100</v>
      </c>
      <c r="S18" s="89" t="str">
        <f>IFERROR(__xludf.DUMMYFUNCTION("GOOGLETRANSLATE(C18,""zh-tw"",""es-MX"")"),"Sendero del aventurero: Detrás del monumento que aparece a continuación, hay un objeto oculto.")</f>
        <v>Sendero del aventurero: Detrás del monumento que aparece a continuación, hay un objeto oculto.</v>
      </c>
      <c r="T18" s="55" t="str">
        <f>IFERROR(__xludf.DUMMYFUNCTION("GOOGLETRANSLATE(D18,""zh-tw"",""es-MX"")"),"Obtén el objeto y el arma: Bastón de lava")</f>
        <v>Obtén el objeto y el arma: Bastón de lava</v>
      </c>
      <c r="U18" s="151" t="str">
        <f>IFERROR(__xludf.DUMMYFUNCTION("GOOGLETRANSLATE(A18,""zh-tw"",""en"")"),"R14")</f>
        <v>R14</v>
      </c>
      <c r="V18" s="150" t="str">
        <f>IFERROR(__xludf.DUMMYFUNCTION("GOOGLETRANSLATE(B18,""zh-tw"",""KO"")"),"숨겨진 통로 3")</f>
        <v>숨겨진 통로 3</v>
      </c>
      <c r="W18" s="89" t="str">
        <f>IFERROR(__xludf.DUMMYFUNCTION("GOOGLETRANSLATE(C18,""zh-tw"",""KO"")"),"모험가의 길: 아래 기념물 뒤에는 숨겨진 아이템이 있습니다.")</f>
        <v>모험가의 길: 아래 기념물 뒤에는 숨겨진 아이템이 있습니다.</v>
      </c>
      <c r="X18" s="55" t="str">
        <f>IFERROR(__xludf.DUMMYFUNCTION("GOOGLETRANSLATE(D18,""zh-tw"",""KO"")"),"아이템과 무기 획득 - 라바 스태프")</f>
        <v>아이템과 무기 획득 - 라바 스태프</v>
      </c>
      <c r="Y18" s="151" t="str">
        <f>IFERROR(__xludf.DUMMYFUNCTION("GOOGLETRANSLATE(E18,""zh-tw"",""en"")"),"R14")</f>
        <v>R14</v>
      </c>
      <c r="Z18" s="149" t="str">
        <f>IFERROR(__xludf.DUMMYFUNCTION("GOOGLETRANSLATE(B18,""zh-tw"",""ru"")"),"Скрытый проход 3")</f>
        <v>Скрытый проход 3</v>
      </c>
      <c r="AA18" s="152" t="str">
        <f>IFERROR(__xludf.DUMMYFUNCTION("GOOGLETRANSLATE(C18,""zh-tw"",""RU"")"),"Путь искателя приключений: за памятником внизу спрятан предмет.")</f>
        <v>Путь искателя приключений: за памятником внизу спрятан предмет.</v>
      </c>
      <c r="AB18" s="44" t="str">
        <f>IFERROR(__xludf.DUMMYFUNCTION("GOOGLETRANSLATE(D18,""zh-tw"",""RU"")"),"Получите предмет и оружие — Лавовый посох.")</f>
        <v>Получите предмет и оружие — Лавовый посох.</v>
      </c>
      <c r="AC18" s="151" t="str">
        <f>IFERROR(__xludf.DUMMYFUNCTION("GOOGLETRANSLATE(I18,""zh-tw"",""en"")"),"R14")</f>
        <v>R14</v>
      </c>
      <c r="AD18" s="149" t="s">
        <v>2101</v>
      </c>
      <c r="AE18" s="154" t="s">
        <v>2102</v>
      </c>
      <c r="AF18" s="106" t="s">
        <v>2103</v>
      </c>
      <c r="AG18" s="155" t="s">
        <v>2090</v>
      </c>
      <c r="AH18" s="156" t="s">
        <v>2104</v>
      </c>
      <c r="AI18" s="157" t="s">
        <v>2105</v>
      </c>
      <c r="AJ18" s="158" t="s">
        <v>2106</v>
      </c>
      <c r="AK18" s="30"/>
      <c r="AL18" s="30"/>
    </row>
    <row r="19">
      <c r="A19" s="108" t="s">
        <v>2107</v>
      </c>
      <c r="B19" s="149" t="s">
        <v>2108</v>
      </c>
      <c r="C19" s="95" t="s">
        <v>2109</v>
      </c>
      <c r="D19" s="52" t="s">
        <v>2061</v>
      </c>
      <c r="E19" s="108" t="str">
        <f>IFERROR(__xludf.DUMMYFUNCTION("GOOGLETRANSLATE(A19,""zh-tw"",""ja"")"),"R15")</f>
        <v>R15</v>
      </c>
      <c r="F19" s="149" t="s">
        <v>2110</v>
      </c>
      <c r="G19" s="95" t="s">
        <v>2111</v>
      </c>
      <c r="H19" s="52" t="s">
        <v>2063</v>
      </c>
      <c r="I19" s="108" t="str">
        <f>IFERROR(__xludf.DUMMYFUNCTION("GOOGLETRANSLATE(A19,""zh-tw"",""en"")"),"R15")</f>
        <v>R15</v>
      </c>
      <c r="J19" s="149" t="s">
        <v>2112</v>
      </c>
      <c r="K19" s="95" t="s">
        <v>2113</v>
      </c>
      <c r="L19" s="52" t="s">
        <v>2066</v>
      </c>
      <c r="M19" s="115" t="str">
        <f>IFERROR(__xludf.DUMMYFUNCTION("GOOGLETRANSLATE(A19,""zh-tw"",""en"")"),"R15")</f>
        <v>R15</v>
      </c>
      <c r="N19" s="149" t="str">
        <f>IFERROR(__xludf.DUMMYFUNCTION("GOOGLETRANSLATE(B19,""zh-tw"",""zh"")"),"隐藏通道4")</f>
        <v>隐藏通道4</v>
      </c>
      <c r="O19" s="89" t="str">
        <f>IFERROR(__xludf.DUMMYFUNCTION("GOOGLETRANSLATE(C19,""zh-tw"",""zh"")"),"""遗迹之森-4""右下角树林，有隐藏物品")</f>
        <v>"遗迹之森-4"右下角树林，有隐藏物品</v>
      </c>
      <c r="P19" s="55" t="str">
        <f>IFERROR(__xludf.DUMMYFUNCTION("GOOGLETRANSLATE(D19,""zh-tw"",""zh"")"),"获得道具")</f>
        <v>获得道具</v>
      </c>
      <c r="Q19" s="115" t="str">
        <f>IFERROR(__xludf.DUMMYFUNCTION("GOOGLETRANSLATE(A19,""zh-tw"",""ja"")"),"R15")</f>
        <v>R15</v>
      </c>
      <c r="R19" s="149" t="s">
        <v>2114</v>
      </c>
      <c r="S19" s="89" t="str">
        <f>IFERROR(__xludf.DUMMYFUNCTION("GOOGLETRANSLATE(C19,""zh-tw"",""es-MX"")"),"Hay un objeto oculto en el bosque, en la esquina inferior derecha de ""Ruinas del Bosque-4"".")</f>
        <v>Hay un objeto oculto en el bosque, en la esquina inferior derecha de "Ruinas del Bosque-4".</v>
      </c>
      <c r="T19" s="52" t="s">
        <v>2115</v>
      </c>
      <c r="U19" s="151" t="str">
        <f>IFERROR(__xludf.DUMMYFUNCTION("GOOGLETRANSLATE(A19,""zh-tw"",""en"")"),"R15")</f>
        <v>R15</v>
      </c>
      <c r="V19" s="150" t="str">
        <f>IFERROR(__xludf.DUMMYFUNCTION("GOOGLETRANSLATE(B19,""zh-tw"",""KO"")"),"숨겨진 통로 4")</f>
        <v>숨겨진 통로 4</v>
      </c>
      <c r="W19" s="89" t="str">
        <f>IFERROR(__xludf.DUMMYFUNCTION("GOOGLETRANSLATE(C19,""zh-tw"",""KO"")"),"""유적의 숲-4""의 오른쪽 하단에 있는 숲에 숨겨진 아이템이 있습니다.")</f>
        <v>"유적의 숲-4"의 오른쪽 하단에 있는 숲에 숨겨진 아이템이 있습니다.</v>
      </c>
      <c r="X19" s="55" t="str">
        <f>IFERROR(__xludf.DUMMYFUNCTION("GOOGLETRANSLATE(D19,""zh-tw"",""KO"")"),"아이템 획득")</f>
        <v>아이템 획득</v>
      </c>
      <c r="Y19" s="151" t="str">
        <f>IFERROR(__xludf.DUMMYFUNCTION("GOOGLETRANSLATE(E19,""zh-tw"",""en"")"),"R15")</f>
        <v>R15</v>
      </c>
      <c r="Z19" s="149" t="str">
        <f>IFERROR(__xludf.DUMMYFUNCTION("GOOGLETRANSLATE(B19,""zh-tw"",""ru"")"),"Скрытый проход 4")</f>
        <v>Скрытый проход 4</v>
      </c>
      <c r="AA19" s="152" t="str">
        <f>IFERROR(__xludf.DUMMYFUNCTION("GOOGLETRANSLATE(C19,""zh-tw"",""RU"")"),"В правом нижнем углу леса «Руины леса-4» спрятан предмет.")</f>
        <v>В правом нижнем углу леса «Руины леса-4» спрятан предмет.</v>
      </c>
      <c r="AB19" s="44" t="str">
        <f>IFERROR(__xludf.DUMMYFUNCTION("GOOGLETRANSLATE(D19,""zh-tw"",""RU"")"),"Получить предметы")</f>
        <v>Получить предметы</v>
      </c>
      <c r="AC19" s="151" t="str">
        <f>IFERROR(__xludf.DUMMYFUNCTION("GOOGLETRANSLATE(I19,""zh-tw"",""en"")"),"R15")</f>
        <v>R15</v>
      </c>
      <c r="AD19" s="149" t="s">
        <v>2116</v>
      </c>
      <c r="AE19" s="154" t="s">
        <v>2117</v>
      </c>
      <c r="AF19" s="106" t="s">
        <v>2118</v>
      </c>
      <c r="AG19" s="155" t="s">
        <v>2107</v>
      </c>
      <c r="AH19" s="156" t="s">
        <v>2119</v>
      </c>
      <c r="AI19" s="157" t="s">
        <v>2120</v>
      </c>
      <c r="AJ19" s="158" t="s">
        <v>2073</v>
      </c>
      <c r="AK19" s="30"/>
      <c r="AL19" s="30"/>
    </row>
    <row r="20">
      <c r="A20" s="108" t="s">
        <v>2121</v>
      </c>
      <c r="B20" s="149" t="s">
        <v>2122</v>
      </c>
      <c r="C20" s="95" t="s">
        <v>2123</v>
      </c>
      <c r="D20" s="52" t="s">
        <v>2124</v>
      </c>
      <c r="E20" s="108" t="str">
        <f>IFERROR(__xludf.DUMMYFUNCTION("GOOGLETRANSLATE(A20,""zh-tw"",""ja"")"),"R16")</f>
        <v>R16</v>
      </c>
      <c r="F20" s="149" t="s">
        <v>2125</v>
      </c>
      <c r="G20" s="95" t="s">
        <v>2126</v>
      </c>
      <c r="H20" s="52" t="s">
        <v>2127</v>
      </c>
      <c r="I20" s="108" t="str">
        <f>IFERROR(__xludf.DUMMYFUNCTION("GOOGLETRANSLATE(A20,""zh-tw"",""en"")"),"R16")</f>
        <v>R16</v>
      </c>
      <c r="J20" s="149" t="s">
        <v>2128</v>
      </c>
      <c r="K20" s="95" t="s">
        <v>2129</v>
      </c>
      <c r="L20" s="52" t="s">
        <v>2130</v>
      </c>
      <c r="M20" s="115" t="str">
        <f>IFERROR(__xludf.DUMMYFUNCTION("GOOGLETRANSLATE(A20,""zh-tw"",""en"")"),"R16")</f>
        <v>R16</v>
      </c>
      <c r="N20" s="149" t="str">
        <f>IFERROR(__xludf.DUMMYFUNCTION("GOOGLETRANSLATE(B20,""zh-tw"",""zh"")"),"隐藏通道5")</f>
        <v>隐藏通道5</v>
      </c>
      <c r="O20" s="89" t="str">
        <f>IFERROR(__xludf.DUMMYFUNCTION("GOOGLETRANSLATE(C20,""zh-tw"",""zh"")"),"被遗弃的森林，依照发光的蘑菇走，到达终点地图后的右下方宝箱")</f>
        <v>被遗弃的森林，依照发光的蘑菇走，到达终点地图后的右下方宝箱</v>
      </c>
      <c r="P20" s="55" t="str">
        <f>IFERROR(__xludf.DUMMYFUNCTION("GOOGLETRANSLATE(D20,""zh-tw"",""zh"")"),"获得""熔岩杖""武器")</f>
        <v>获得"熔岩杖"武器</v>
      </c>
      <c r="Q20" s="115" t="str">
        <f>IFERROR(__xludf.DUMMYFUNCTION("GOOGLETRANSLATE(A20,""zh-tw"",""ja"")"),"R16")</f>
        <v>R16</v>
      </c>
      <c r="R20" s="149" t="s">
        <v>2131</v>
      </c>
      <c r="S20" s="89" t="str">
        <f>IFERROR(__xludf.DUMMYFUNCTION("GOOGLETRANSLATE(C20,""zh-tw"",""es-MX"")"),"En el bosque abandonado, sigue las setas brillantes para llegar al cofre del tesoro que se encuentra en la esquina inferior derecha del mapa.")</f>
        <v>En el bosque abandonado, sigue las setas brillantes para llegar al cofre del tesoro que se encuentra en la esquina inferior derecha del mapa.</v>
      </c>
      <c r="T20" s="55" t="str">
        <f>IFERROR(__xludf.DUMMYFUNCTION("GOOGLETRANSLATE(D20,""zh-tw"",""es-MX"")"),"Obtén el arma ""Bastón de Lava""")</f>
        <v>Obtén el arma "Bastón de Lava"</v>
      </c>
      <c r="U20" s="151" t="str">
        <f>IFERROR(__xludf.DUMMYFUNCTION("GOOGLETRANSLATE(A20,""zh-tw"",""en"")"),"R16")</f>
        <v>R16</v>
      </c>
      <c r="V20" s="150" t="str">
        <f>IFERROR(__xludf.DUMMYFUNCTION("GOOGLETRANSLATE(B20,""zh-tw"",""KO"")"),"숨겨진 통로 5")</f>
        <v>숨겨진 통로 5</v>
      </c>
      <c r="W20" s="89" t="str">
        <f>IFERROR(__xludf.DUMMYFUNCTION("GOOGLETRANSLATE(C20,""zh-tw"",""KO"")"),"버려진 숲에서 빛나는 버섯을 따라가면 지도 오른쪽 하단에 있는 보물 상자에 도착합니다.")</f>
        <v>버려진 숲에서 빛나는 버섯을 따라가면 지도 오른쪽 하단에 있는 보물 상자에 도착합니다.</v>
      </c>
      <c r="X20" s="55" t="str">
        <f>IFERROR(__xludf.DUMMYFUNCTION("GOOGLETRANSLATE(D20,""zh-tw"",""KO"")"),"""용암 지팡이"" 무기를 획득하세요")</f>
        <v>"용암 지팡이" 무기를 획득하세요</v>
      </c>
      <c r="Y20" s="151" t="str">
        <f>IFERROR(__xludf.DUMMYFUNCTION("GOOGLETRANSLATE(E20,""zh-tw"",""en"")"),"R16")</f>
        <v>R16</v>
      </c>
      <c r="Z20" s="149" t="str">
        <f>IFERROR(__xludf.DUMMYFUNCTION("GOOGLETRANSLATE(B20,""zh-tw"",""ru"")"),"Скрытый проход 5")</f>
        <v>Скрытый проход 5</v>
      </c>
      <c r="AA20" s="152" t="str">
        <f>IFERROR(__xludf.DUMMYFUNCTION("GOOGLETRANSLATE(C20,""zh-tw"",""RU"")"),"В заброшенном лесу следуйте за светящимися грибами, чтобы добраться до сундука с сокровищами в правом нижнем углу карты.")</f>
        <v>В заброшенном лесу следуйте за светящимися грибами, чтобы добраться до сундука с сокровищами в правом нижнем углу карты.</v>
      </c>
      <c r="AB20" s="44" t="str">
        <f>IFERROR(__xludf.DUMMYFUNCTION("GOOGLETRANSLATE(D20,""zh-tw"",""RU"")"),"Получите оружие «Лавовый посох».")</f>
        <v>Получите оружие «Лавовый посох».</v>
      </c>
      <c r="AC20" s="151" t="str">
        <f>IFERROR(__xludf.DUMMYFUNCTION("GOOGLETRANSLATE(I20,""zh-tw"",""en"")"),"R16")</f>
        <v>R16</v>
      </c>
      <c r="AD20" s="149" t="s">
        <v>2132</v>
      </c>
      <c r="AE20" s="154" t="s">
        <v>2133</v>
      </c>
      <c r="AF20" s="106" t="s">
        <v>2134</v>
      </c>
      <c r="AG20" s="155" t="s">
        <v>2121</v>
      </c>
      <c r="AH20" s="156" t="s">
        <v>2135</v>
      </c>
      <c r="AI20" s="157" t="s">
        <v>2136</v>
      </c>
      <c r="AJ20" s="158" t="s">
        <v>2137</v>
      </c>
      <c r="AK20" s="30"/>
      <c r="AL20" s="30"/>
    </row>
    <row r="21">
      <c r="A21" s="108" t="s">
        <v>2138</v>
      </c>
      <c r="B21" s="149" t="s">
        <v>2139</v>
      </c>
      <c r="C21" s="95" t="s">
        <v>2140</v>
      </c>
      <c r="D21" s="52" t="s">
        <v>2141</v>
      </c>
      <c r="E21" s="108" t="str">
        <f>IFERROR(__xludf.DUMMYFUNCTION("GOOGLETRANSLATE(A21,""zh-tw"",""ja"")"),"R17")</f>
        <v>R17</v>
      </c>
      <c r="F21" s="149" t="s">
        <v>2142</v>
      </c>
      <c r="G21" s="159" t="str">
        <f>IFERROR(__xludf.DUMMYFUNCTION("GOOGLETRANSLATE(C21,""zh-tw"",""ja"")"),"開発地域（鉱山）-1ではトロッコで最遠地点まで到達することで装備を入手できます。")</f>
        <v>開発地域（鉱山）-1ではトロッコで最遠地点まで到達することで装備を入手できます。</v>
      </c>
      <c r="H21" s="52" t="s">
        <v>2143</v>
      </c>
      <c r="I21" s="108" t="str">
        <f>IFERROR(__xludf.DUMMYFUNCTION("GOOGLETRANSLATE(A21,""zh-tw"",""en"")"),"R17")</f>
        <v>R17</v>
      </c>
      <c r="J21" s="149" t="s">
        <v>2144</v>
      </c>
      <c r="K21" s="95" t="s">
        <v>2145</v>
      </c>
      <c r="L21" s="52" t="s">
        <v>2146</v>
      </c>
      <c r="M21" s="115" t="str">
        <f>IFERROR(__xludf.DUMMYFUNCTION("GOOGLETRANSLATE(A21,""zh-tw"",""en"")"),"R17")</f>
        <v>R17</v>
      </c>
      <c r="N21" s="149" t="str">
        <f>IFERROR(__xludf.DUMMYFUNCTION("GOOGLETRANSLATE(B21,""zh-tw"",""zh"")"),"隐藏通道6")</f>
        <v>隐藏通道6</v>
      </c>
      <c r="O21" s="89" t="str">
        <f>IFERROR(__xludf.DUMMYFUNCTION("GOOGLETRANSLATE(C21,""zh-tw"",""zh"")"),"开发中区域(矿坑)-1，矿车到达最远处，可以取得装备")</f>
        <v>开发中区域(矿坑)-1，矿车到达最远处，可以取得装备</v>
      </c>
      <c r="P21" s="55" t="str">
        <f>IFERROR(__xludf.DUMMYFUNCTION("GOOGLETRANSLATE(D21,""zh-tw"",""zh"")"),"获得装备-倒吊人骨戒")</f>
        <v>获得装备-倒吊人骨戒</v>
      </c>
      <c r="Q21" s="115" t="str">
        <f>IFERROR(__xludf.DUMMYFUNCTION("GOOGLETRANSLATE(A21,""zh-tw"",""ja"")"),"R17")</f>
        <v>R17</v>
      </c>
      <c r="R21" s="149" t="s">
        <v>2147</v>
      </c>
      <c r="S21" s="95" t="s">
        <v>2148</v>
      </c>
      <c r="T21" s="55" t="str">
        <f>IFERROR(__xludf.DUMMYFUNCTION("GOOGLETRANSLATE(D21,""zh-tw"",""es-MX"")"),"Obtén el equipo: Anillo de hueso del ahorcado")</f>
        <v>Obtén el equipo: Anillo de hueso del ahorcado</v>
      </c>
      <c r="U21" s="151" t="str">
        <f>IFERROR(__xludf.DUMMYFUNCTION("GOOGLETRANSLATE(A21,""zh-tw"",""en"")"),"R17")</f>
        <v>R17</v>
      </c>
      <c r="V21" s="150" t="str">
        <f>IFERROR(__xludf.DUMMYFUNCTION("GOOGLETRANSLATE(B21,""zh-tw"",""KO"")"),"숨겨진 통로 6")</f>
        <v>숨겨진 통로 6</v>
      </c>
      <c r="W21" s="89" t="str">
        <f>IFERROR(__xludf.DUMMYFUNCTION("GOOGLETRANSLATE(C21,""zh-tw"",""KO"")"),"개발 지역(광산)-1에서는 광산 수레를 타고 가장 먼 지점까지 이동하면 장비를 얻을 수 있습니다.")</f>
        <v>개발 지역(광산)-1에서는 광산 수레를 타고 가장 먼 지점까지 이동하면 장비를 얻을 수 있습니다.</v>
      </c>
      <c r="X21" s="55" t="str">
        <f>IFERROR(__xludf.DUMMYFUNCTION("GOOGLETRANSLATE(D21,""zh-tw"",""KO"")"),"장비 획득 - 교수형 남자 뼈 반지")</f>
        <v>장비 획득 - 교수형 남자 뼈 반지</v>
      </c>
      <c r="Y21" s="151" t="str">
        <f>IFERROR(__xludf.DUMMYFUNCTION("GOOGLETRANSLATE(E21,""zh-tw"",""en"")"),"R17")</f>
        <v>R17</v>
      </c>
      <c r="Z21" s="149" t="str">
        <f>IFERROR(__xludf.DUMMYFUNCTION("GOOGLETRANSLATE(B21,""zh-tw"",""ru"")"),"Скрытый проход 6")</f>
        <v>Скрытый проход 6</v>
      </c>
      <c r="AA21" s="152" t="str">
        <f>IFERROR(__xludf.DUMMYFUNCTION("GOOGLETRANSLATE(C21,""zh-tw"",""RU"")"),"В зоне разработки (шахте)-1 вы можете получить оборудование, доехав до самой дальней точки на вагонетке.")</f>
        <v>В зоне разработки (шахте)-1 вы можете получить оборудование, доехав до самой дальней точки на вагонетке.</v>
      </c>
      <c r="AB21" s="44" t="str">
        <f>IFERROR(__xludf.DUMMYFUNCTION("GOOGLETRANSLATE(D21,""zh-tw"",""RU"")"),"Получить снаряжение – Кольцо из костей повешенного")</f>
        <v>Получить снаряжение – Кольцо из костей повешенного</v>
      </c>
      <c r="AC21" s="151" t="str">
        <f>IFERROR(__xludf.DUMMYFUNCTION("GOOGLETRANSLATE(I21,""zh-tw"",""en"")"),"R17")</f>
        <v>R17</v>
      </c>
      <c r="AD21" s="149" t="s">
        <v>2149</v>
      </c>
      <c r="AE21" s="154" t="s">
        <v>2150</v>
      </c>
      <c r="AF21" s="106" t="s">
        <v>2151</v>
      </c>
      <c r="AG21" s="155" t="s">
        <v>2138</v>
      </c>
      <c r="AH21" s="156" t="s">
        <v>2152</v>
      </c>
      <c r="AI21" s="157" t="s">
        <v>2153</v>
      </c>
      <c r="AJ21" s="158" t="s">
        <v>2154</v>
      </c>
      <c r="AK21" s="30"/>
      <c r="AL21" s="30"/>
    </row>
    <row r="22">
      <c r="A22" s="108" t="s">
        <v>2155</v>
      </c>
      <c r="B22" s="149" t="s">
        <v>2156</v>
      </c>
      <c r="C22" s="95" t="s">
        <v>2157</v>
      </c>
      <c r="D22" s="52" t="s">
        <v>2158</v>
      </c>
      <c r="E22" s="108" t="str">
        <f>IFERROR(__xludf.DUMMYFUNCTION("GOOGLETRANSLATE(A22,""zh-tw"",""ja"")"),"R18")</f>
        <v>R18</v>
      </c>
      <c r="F22" s="149" t="s">
        <v>2159</v>
      </c>
      <c r="G22" s="159" t="s">
        <v>2160</v>
      </c>
      <c r="H22" s="52" t="s">
        <v>2161</v>
      </c>
      <c r="I22" s="108" t="str">
        <f>IFERROR(__xludf.DUMMYFUNCTION("GOOGLETRANSLATE(A22,""zh-tw"",""en"")"),"R18")</f>
        <v>R18</v>
      </c>
      <c r="J22" s="149" t="s">
        <v>2162</v>
      </c>
      <c r="K22" s="95" t="s">
        <v>2163</v>
      </c>
      <c r="L22" s="52" t="s">
        <v>2164</v>
      </c>
      <c r="M22" s="115" t="str">
        <f>IFERROR(__xludf.DUMMYFUNCTION("GOOGLETRANSLATE(A22,""zh-tw"",""en"")"),"R18")</f>
        <v>R18</v>
      </c>
      <c r="N22" s="149" t="str">
        <f>IFERROR(__xludf.DUMMYFUNCTION("GOOGLETRANSLATE(B22,""zh-tw"",""zh"")"),"隐藏通道7")</f>
        <v>隐藏通道7</v>
      </c>
      <c r="O22" s="89" t="str">
        <f>IFERROR(__xludf.DUMMYFUNCTION("GOOGLETRANSLATE(C22,""zh-tw"",""zh"")"),"于被遗忘的墓穴，将左侧坟墓打掉，会有隐藏通道")</f>
        <v>于被遗忘的墓穴，将左侧坟墓打掉，会有隐藏通道</v>
      </c>
      <c r="P22" s="55" t="str">
        <f>IFERROR(__xludf.DUMMYFUNCTION("GOOGLETRANSLATE(D22,""zh-tw"",""zh"")"),"隐藏地图内可获得""魔力汲取手套""、营火地点
*0.75版本实装  忍者NPC")</f>
        <v>隐藏地图内可获得"魔力汲取手套"、营火地点
*0.75版本实装  忍者NPC</v>
      </c>
      <c r="Q22" s="115" t="str">
        <f>IFERROR(__xludf.DUMMYFUNCTION("GOOGLETRANSLATE(A22,""zh-tw"",""ja"")"),"R18")</f>
        <v>R18</v>
      </c>
      <c r="R22" s="149" t="s">
        <v>2165</v>
      </c>
      <c r="S22" s="89" t="str">
        <f>IFERROR(__xludf.DUMMYFUNCTION("GOOGLETRANSLATE(C22,""zh-tw"",""es-MX"")"),"En la Tumba Olvidada, destruir la tumba de la izquierda revelará un pasadizo oculto.")</f>
        <v>En la Tumba Olvidada, destruir la tumba de la izquierda revelará un pasadizo oculto.</v>
      </c>
      <c r="T22" s="55" t="str">
        <f>IFERROR(__xludf.DUMMYFUNCTION("GOOGLETRANSLATE(D22,""zh-tw"",""es-MX"")"),"Los guantes de absorción de maná y la ubicación de las fogatas se encuentran en el mapa oculto.
* Implementado en la versión 0.75: PNJ Ninja")</f>
        <v>Los guantes de absorción de maná y la ubicación de las fogatas se encuentran en el mapa oculto.
* Implementado en la versión 0.75: PNJ Ninja</v>
      </c>
      <c r="U22" s="151" t="str">
        <f>IFERROR(__xludf.DUMMYFUNCTION("GOOGLETRANSLATE(A22,""zh-tw"",""en"")"),"R18")</f>
        <v>R18</v>
      </c>
      <c r="V22" s="150" t="str">
        <f>IFERROR(__xludf.DUMMYFUNCTION("GOOGLETRANSLATE(B22,""zh-tw"",""KO"")"),"숨겨진 통로 7")</f>
        <v>숨겨진 통로 7</v>
      </c>
      <c r="W22" s="89" t="str">
        <f>IFERROR(__xludf.DUMMYFUNCTION("GOOGLETRANSLATE(C22,""zh-tw"",""KO"")"),"잊혀진 무덤에서 왼쪽의 무덤을 파괴하면 숨겨진 통로가 드러납니다.")</f>
        <v>잊혀진 무덤에서 왼쪽의 무덤을 파괴하면 숨겨진 통로가 드러납니다.</v>
      </c>
      <c r="X22" s="55" t="str">
        <f>IFERROR(__xludf.DUMMYFUNCTION("GOOGLETRANSLATE(D22,""zh-tw"",""KO"")"),"""마나 흡수 장갑""과 캠프파이어 위치는 숨겨진 지도에서 획득할 수 있습니다.
* 버전 0.75에 구현: 닌자 NPC")</f>
        <v>"마나 흡수 장갑"과 캠프파이어 위치는 숨겨진 지도에서 획득할 수 있습니다.
* 버전 0.75에 구현: 닌자 NPC</v>
      </c>
      <c r="Y22" s="151" t="str">
        <f>IFERROR(__xludf.DUMMYFUNCTION("GOOGLETRANSLATE(E22,""zh-tw"",""en"")"),"R18")</f>
        <v>R18</v>
      </c>
      <c r="Z22" s="149" t="str">
        <f>IFERROR(__xludf.DUMMYFUNCTION("GOOGLETRANSLATE(B22,""zh-tw"",""ru"")"),"Скрытый проход 7")</f>
        <v>Скрытый проход 7</v>
      </c>
      <c r="AA22" s="152" t="str">
        <f>IFERROR(__xludf.DUMMYFUNCTION("GOOGLETRANSLATE(C22,""zh-tw"",""RU"")"),"В Забытой Гробнице разрушение могилы слева откроет скрытый проход.")</f>
        <v>В Забытой Гробнице разрушение могилы слева откроет скрытый проход.</v>
      </c>
      <c r="AB22" s="44" t="str">
        <f>IFERROR(__xludf.DUMMYFUNCTION("GOOGLETRANSLATE(D22,""zh-tw"",""RU"")"),"Перчатки для поглощения маны и места для костра можно найти на скрытой карте.
* Реализовано в версии 0.75: NPC-ниндзя")</f>
        <v>Перчатки для поглощения маны и места для костра можно найти на скрытой карте.
* Реализовано в версии 0.75: NPC-ниндзя</v>
      </c>
      <c r="AC22" s="151" t="str">
        <f>IFERROR(__xludf.DUMMYFUNCTION("GOOGLETRANSLATE(I22,""zh-tw"",""en"")"),"R18")</f>
        <v>R18</v>
      </c>
      <c r="AD22" s="149" t="s">
        <v>2166</v>
      </c>
      <c r="AE22" s="154" t="s">
        <v>2167</v>
      </c>
      <c r="AF22" s="106" t="s">
        <v>2168</v>
      </c>
      <c r="AG22" s="155" t="s">
        <v>2155</v>
      </c>
      <c r="AH22" s="156" t="s">
        <v>2169</v>
      </c>
      <c r="AI22" s="157" t="s">
        <v>2170</v>
      </c>
      <c r="AJ22" s="158" t="s">
        <v>2171</v>
      </c>
      <c r="AK22" s="30"/>
      <c r="AL22" s="30"/>
    </row>
    <row r="23">
      <c r="A23" s="108" t="s">
        <v>2172</v>
      </c>
      <c r="B23" s="149" t="s">
        <v>2173</v>
      </c>
      <c r="C23" s="95" t="s">
        <v>2174</v>
      </c>
      <c r="D23" s="52" t="s">
        <v>2175</v>
      </c>
      <c r="E23" s="108" t="str">
        <f>IFERROR(__xludf.DUMMYFUNCTION("GOOGLETRANSLATE(A23,""zh-tw"",""ja"")"),"R19")</f>
        <v>R19</v>
      </c>
      <c r="F23" s="149" t="s">
        <v>2176</v>
      </c>
      <c r="G23" s="159" t="s">
        <v>2177</v>
      </c>
      <c r="H23" s="52" t="s">
        <v>2178</v>
      </c>
      <c r="I23" s="108" t="str">
        <f>IFERROR(__xludf.DUMMYFUNCTION("GOOGLETRANSLATE(A23,""zh-tw"",""en"")"),"R19")</f>
        <v>R19</v>
      </c>
      <c r="J23" s="149" t="s">
        <v>2179</v>
      </c>
      <c r="K23" s="95" t="s">
        <v>2180</v>
      </c>
      <c r="L23" s="52" t="s">
        <v>2181</v>
      </c>
      <c r="M23" s="115" t="str">
        <f>IFERROR(__xludf.DUMMYFUNCTION("GOOGLETRANSLATE(A23,""zh-tw"",""en"")"),"R19")</f>
        <v>R19</v>
      </c>
      <c r="N23" s="149" t="str">
        <f>IFERROR(__xludf.DUMMYFUNCTION("GOOGLETRANSLATE(B23,""zh-tw"",""zh"")"),"隐藏通道8")</f>
        <v>隐藏通道8</v>
      </c>
      <c r="O23" s="89" t="str">
        <f>IFERROR(__xludf.DUMMYFUNCTION("GOOGLETRANSLATE(C23,""zh-tw"",""zh"")"),"于被遗忘的墓穴，将右侧石板打掉，会有隐藏通道")</f>
        <v>于被遗忘的墓穴，将右侧石板打掉，会有隐藏通道</v>
      </c>
      <c r="P23" s="55" t="str">
        <f>IFERROR(__xludf.DUMMYFUNCTION("GOOGLETRANSLATE(D23,""zh-tw"",""zh"")"),"隐藏地图内可获得宝箱与隐藏光点")</f>
        <v>隐藏地图内可获得宝箱与隐藏光点</v>
      </c>
      <c r="Q23" s="115" t="str">
        <f>IFERROR(__xludf.DUMMYFUNCTION("GOOGLETRANSLATE(A23,""zh-tw"",""ja"")"),"R19")</f>
        <v>R19</v>
      </c>
      <c r="R23" s="149" t="s">
        <v>2182</v>
      </c>
      <c r="S23" s="89" t="str">
        <f>IFERROR(__xludf.DUMMYFUNCTION("GOOGLETRANSLATE(C23,""zh-tw"",""es-MX"")"),"En la tumba olvidada, romper la losa de piedra de la derecha revelará un pasadizo oculto.")</f>
        <v>En la tumba olvidada, romper la losa de piedra de la derecha revelará un pasadizo oculto.</v>
      </c>
      <c r="T23" s="55" t="str">
        <f>IFERROR(__xludf.DUMMYFUNCTION("GOOGLETRANSLATE(D23,""zh-tw"",""es-MX"")"),"En el mapa oculto se pueden encontrar cofres del tesoro y puntos brillantes escondidos.")</f>
        <v>En el mapa oculto se pueden encontrar cofres del tesoro y puntos brillantes escondidos.</v>
      </c>
      <c r="U23" s="151" t="str">
        <f>IFERROR(__xludf.DUMMYFUNCTION("GOOGLETRANSLATE(A23,""zh-tw"",""en"")"),"R19")</f>
        <v>R19</v>
      </c>
      <c r="V23" s="150" t="str">
        <f>IFERROR(__xludf.DUMMYFUNCTION("GOOGLETRANSLATE(B23,""zh-tw"",""KO"")"),"숨겨진 통로 8")</f>
        <v>숨겨진 통로 8</v>
      </c>
      <c r="W23" s="89" t="str">
        <f>IFERROR(__xludf.DUMMYFUNCTION("GOOGLETRANSLATE(C23,""zh-tw"",""KO"")"),"잊혀진 무덤에서 오른쪽에 있는 돌판을 부수면 숨겨진 통로가 드러납니다.")</f>
        <v>잊혀진 무덤에서 오른쪽에 있는 돌판을 부수면 숨겨진 통로가 드러납니다.</v>
      </c>
      <c r="X23" s="55" t="str">
        <f>IFERROR(__xludf.DUMMYFUNCTION("GOOGLETRANSLATE(D23,""zh-tw"",""KO"")"),"숨겨진 지도 안에서는 보물상자와 숨겨진 빛나는 장소를 찾을 수 있습니다.")</f>
        <v>숨겨진 지도 안에서는 보물상자와 숨겨진 빛나는 장소를 찾을 수 있습니다.</v>
      </c>
      <c r="Y23" s="151" t="str">
        <f>IFERROR(__xludf.DUMMYFUNCTION("GOOGLETRANSLATE(E23,""zh-tw"",""en"")"),"R19")</f>
        <v>R19</v>
      </c>
      <c r="Z23" s="149" t="str">
        <f>IFERROR(__xludf.DUMMYFUNCTION("GOOGLETRANSLATE(B23,""zh-tw"",""ru"")"),"Скрытый проход 8")</f>
        <v>Скрытый проход 8</v>
      </c>
      <c r="AA23" s="152" t="str">
        <f>IFERROR(__xludf.DUMMYFUNCTION("GOOGLETRANSLATE(C23,""zh-tw"",""RU"")"),"В забытой гробнице, разбив каменную плиту справа, вы обнаружите скрытый проход.")</f>
        <v>В забытой гробнице, разбив каменную плиту справа, вы обнаружите скрытый проход.</v>
      </c>
      <c r="AB23" s="44" t="str">
        <f>IFERROR(__xludf.DUMMYFUNCTION("GOOGLETRANSLATE(D23,""zh-tw"",""RU"")"),"Сундуки с сокровищами и скрытые светящиеся точки можно найти на скрытой карте.")</f>
        <v>Сундуки с сокровищами и скрытые светящиеся точки можно найти на скрытой карте.</v>
      </c>
      <c r="AC23" s="151" t="str">
        <f>IFERROR(__xludf.DUMMYFUNCTION("GOOGLETRANSLATE(I23,""zh-tw"",""en"")"),"R19")</f>
        <v>R19</v>
      </c>
      <c r="AD23" s="149" t="s">
        <v>2183</v>
      </c>
      <c r="AE23" s="154" t="s">
        <v>2184</v>
      </c>
      <c r="AF23" s="106" t="s">
        <v>2185</v>
      </c>
      <c r="AG23" s="155" t="s">
        <v>2172</v>
      </c>
      <c r="AH23" s="156" t="s">
        <v>2186</v>
      </c>
      <c r="AI23" s="157" t="s">
        <v>2187</v>
      </c>
      <c r="AJ23" s="158" t="s">
        <v>2188</v>
      </c>
      <c r="AK23" s="30"/>
      <c r="AL23" s="30"/>
    </row>
    <row r="24">
      <c r="A24" s="108" t="s">
        <v>2189</v>
      </c>
      <c r="B24" s="149" t="s">
        <v>2190</v>
      </c>
      <c r="C24" s="95" t="s">
        <v>2191</v>
      </c>
      <c r="D24" s="52" t="s">
        <v>2192</v>
      </c>
      <c r="E24" s="108" t="str">
        <f>IFERROR(__xludf.DUMMYFUNCTION("GOOGLETRANSLATE(A24,""zh-tw"",""ja"")"),"R20")</f>
        <v>R20</v>
      </c>
      <c r="F24" s="149" t="s">
        <v>2193</v>
      </c>
      <c r="G24" s="95" t="s">
        <v>2194</v>
      </c>
      <c r="H24" s="52" t="s">
        <v>2143</v>
      </c>
      <c r="I24" s="108" t="str">
        <f>IFERROR(__xludf.DUMMYFUNCTION("GOOGLETRANSLATE(A24,""zh-tw"",""en"")"),"R20")</f>
        <v>R20</v>
      </c>
      <c r="J24" s="149" t="s">
        <v>2195</v>
      </c>
      <c r="K24" s="95" t="s">
        <v>2196</v>
      </c>
      <c r="L24" s="52" t="s">
        <v>2146</v>
      </c>
      <c r="M24" s="115" t="str">
        <f>IFERROR(__xludf.DUMMYFUNCTION("GOOGLETRANSLATE(A24,""zh-tw"",""en"")"),"R20")</f>
        <v>R20</v>
      </c>
      <c r="N24" s="149" t="str">
        <f>IFERROR(__xludf.DUMMYFUNCTION("GOOGLETRANSLATE(B24,""zh-tw"",""zh"")"),"隐藏通道9")</f>
        <v>隐藏通道9</v>
      </c>
      <c r="O24" s="89" t="str">
        <f>IFERROR(__xludf.DUMMYFUNCTION("GOOGLETRANSLATE(C24,""zh-tw"",""zh"")"),"被遗忘的墓穴-2
遗迹BOSS-狂乱的红兽，下方的悬崖利用道具过去，可以在那里找到宝箱
或者使用复活羽毛，从上一层的左下角地洞掉落，跳过BOSS进入该地区。")</f>
        <v>被遗忘的墓穴-2
遗迹BOSS-狂乱的红兽，下方的悬崖利用道具过去，可以在那里找到宝箱
或者使用复活羽毛，从上一层的左下角地洞掉落，跳过BOSS进入该地区。</v>
      </c>
      <c r="P24" s="55" t="str">
        <f>IFERROR(__xludf.DUMMYFUNCTION("GOOGLETRANSLATE(D24,""zh-tw"",""zh"")"),"获得""倒吊人的骨戒""装备")</f>
        <v>获得"倒吊人的骨戒"装备</v>
      </c>
      <c r="Q24" s="115" t="str">
        <f>IFERROR(__xludf.DUMMYFUNCTION("GOOGLETRANSLATE(A24,""zh-tw"",""ja"")"),"R20")</f>
        <v>R20</v>
      </c>
      <c r="R24" s="149" t="s">
        <v>2197</v>
      </c>
      <c r="S24" s="95" t="s">
        <v>2198</v>
      </c>
      <c r="T24" s="55" t="str">
        <f>IFERROR(__xludf.DUMMYFUNCTION("GOOGLETRANSLATE(D24,""zh-tw"",""es-MX"")"),"Obtén el equipo ""Anillo de Hueso del Ahorcado"".")</f>
        <v>Obtén el equipo "Anillo de Hueso del Ahorcado".</v>
      </c>
      <c r="U24" s="151" t="str">
        <f>IFERROR(__xludf.DUMMYFUNCTION("GOOGLETRANSLATE(A24,""zh-tw"",""en"")"),"R20")</f>
        <v>R20</v>
      </c>
      <c r="V24" s="150" t="str">
        <f>IFERROR(__xludf.DUMMYFUNCTION("GOOGLETRANSLATE(B24,""zh-tw"",""KO"")"),"숨겨진 통로 9")</f>
        <v>숨겨진 통로 9</v>
      </c>
      <c r="W24" s="89" t="str">
        <f>IFERROR(__xludf.DUMMYFUNCTION("GOOGLETRANSLATE(C24,""zh-tw"",""KO"")"),"잊혀진 무덤 - 2개의 유적 보스 - 격노하는 붉은 짐승. 아이템을 사용하여 아래 절벽을 건너면 보물 상자를 찾을 수 있습니다.
또는 부활 깃털을 사용하여 이전 레벨의 왼쪽 하단 모서리에서 뛰어내리면 보스를 건너뛰고 해당 지역으로 들어갈 수 있습니다.")</f>
        <v>잊혀진 무덤 - 2개의 유적 보스 - 격노하는 붉은 짐승. 아이템을 사용하여 아래 절벽을 건너면 보물 상자를 찾을 수 있습니다.
또는 부활 깃털을 사용하여 이전 레벨의 왼쪽 하단 모서리에서 뛰어내리면 보스를 건너뛰고 해당 지역으로 들어갈 수 있습니다.</v>
      </c>
      <c r="X24" s="55" t="str">
        <f>IFERROR(__xludf.DUMMYFUNCTION("GOOGLETRANSLATE(D24,""zh-tw"",""KO"")"),"""교수형 남자의 뼈 반지"" 장비를 획득하세요.")</f>
        <v>"교수형 남자의 뼈 반지" 장비를 획득하세요.</v>
      </c>
      <c r="Y24" s="151" t="str">
        <f>IFERROR(__xludf.DUMMYFUNCTION("GOOGLETRANSLATE(E24,""zh-tw"",""en"")"),"R20")</f>
        <v>R20</v>
      </c>
      <c r="Z24" s="149" t="str">
        <f>IFERROR(__xludf.DUMMYFUNCTION("GOOGLETRANSLATE(B24,""zh-tw"",""ru"")"),"Скрытый проход 9")</f>
        <v>Скрытый проход 9</v>
      </c>
      <c r="AA24" s="152" t="str">
        <f>IFERROR(__xludf.DUMMYFUNCTION("GOOGLETRANSLATE(C24,""zh-tw"",""RU"")"),"Забытая гробница — 2 Руины, БОСС — Разъярённый Красный Зверь. Используйте предмет, чтобы пересечь утёс внизу; там вы найдёте сундук с сокровищами.
Или же, используйте воскрешающее перо, чтобы спрыгнуть из левого нижнего угла предыдущего уровня, пропустив"&amp;" БОССА и попав в эту зону.")</f>
        <v>Забытая гробница — 2 Руины, БОСС — Разъярённый Красный Зверь. Используйте предмет, чтобы пересечь утёс внизу; там вы найдёте сундук с сокровищами.
Или же, используйте воскрешающее перо, чтобы спрыгнуть из левого нижнего угла предыдущего уровня, пропустив БОССА и попав в эту зону.</v>
      </c>
      <c r="AB24" s="44" t="str">
        <f>IFERROR(__xludf.DUMMYFUNCTION("GOOGLETRANSLATE(D24,""zh-tw"",""RU"")"),"Получите снаряжение «Кольцо из костей повешенного».")</f>
        <v>Получите снаряжение «Кольцо из костей повешенного».</v>
      </c>
      <c r="AC24" s="151" t="str">
        <f>IFERROR(__xludf.DUMMYFUNCTION("GOOGLETRANSLATE(I24,""zh-tw"",""en"")"),"R20")</f>
        <v>R20</v>
      </c>
      <c r="AD24" s="149" t="s">
        <v>2199</v>
      </c>
      <c r="AE24" s="154" t="s">
        <v>2200</v>
      </c>
      <c r="AF24" s="106" t="s">
        <v>2201</v>
      </c>
      <c r="AG24" s="155" t="s">
        <v>2189</v>
      </c>
      <c r="AH24" s="156" t="s">
        <v>2202</v>
      </c>
      <c r="AI24" s="157" t="s">
        <v>2203</v>
      </c>
      <c r="AJ24" s="158" t="s">
        <v>2154</v>
      </c>
      <c r="AK24" s="30"/>
      <c r="AL24" s="30"/>
    </row>
    <row r="25">
      <c r="A25" s="108" t="s">
        <v>2204</v>
      </c>
      <c r="B25" s="149" t="s">
        <v>2205</v>
      </c>
      <c r="C25" s="95" t="s">
        <v>2206</v>
      </c>
      <c r="D25" s="52" t="s">
        <v>2207</v>
      </c>
      <c r="E25" s="108" t="str">
        <f>IFERROR(__xludf.DUMMYFUNCTION("GOOGLETRANSLATE(A25,""zh-tw"",""ja"")"),"R21")</f>
        <v>R21</v>
      </c>
      <c r="F25" s="149" t="s">
        <v>2208</v>
      </c>
      <c r="G25" s="95" t="s">
        <v>2209</v>
      </c>
      <c r="H25" s="52" t="s">
        <v>2210</v>
      </c>
      <c r="I25" s="108" t="str">
        <f>IFERROR(__xludf.DUMMYFUNCTION("GOOGLETRANSLATE(A25,""zh-tw"",""en"")"),"R21")</f>
        <v>R21</v>
      </c>
      <c r="J25" s="149" t="s">
        <v>2211</v>
      </c>
      <c r="K25" s="95" t="s">
        <v>2212</v>
      </c>
      <c r="L25" s="52" t="s">
        <v>2213</v>
      </c>
      <c r="M25" s="115" t="str">
        <f>IFERROR(__xludf.DUMMYFUNCTION("GOOGLETRANSLATE(A25,""zh-tw"",""en"")"),"R21")</f>
        <v>R21</v>
      </c>
      <c r="N25" s="149" t="str">
        <f>IFERROR(__xludf.DUMMYFUNCTION("GOOGLETRANSLATE(B25,""zh-tw"",""zh"")"),"隐藏通道10
机甲")</f>
        <v>隐藏通道10
机甲</v>
      </c>
      <c r="O25" s="95" t="s">
        <v>2214</v>
      </c>
      <c r="P25" s="55" t="str">
        <f>IFERROR(__xludf.DUMMYFUNCTION("GOOGLETRANSLATE(D25,""zh-tw"",""zh"")"),"发现机甲，第二天前往后会消失，此时才可触发见闻
(后续未实装)
获得道具：初号核心")</f>
        <v>发现机甲，第二天前往后会消失，此时才可触发见闻
(后续未实装)
获得道具：初号核心</v>
      </c>
      <c r="Q25" s="115" t="str">
        <f>IFERROR(__xludf.DUMMYFUNCTION("GOOGLETRANSLATE(A25,""zh-tw"",""ja"")"),"R21")</f>
        <v>R21</v>
      </c>
      <c r="R25" s="149" t="s">
        <v>2215</v>
      </c>
      <c r="S25" s="89" t="str">
        <f>IFERROR(__xludf.DUMMYFUNCTION("GOOGLETRANSLATE(C25,""zh-tw"",""es-MX"")"),"Tras subir por la cuerda situada a la derecha de la máquina expendedora en ""Sendero del Aventurero: Punto de Encuentro"", un pasaje oculto conduce al gran bosque que se extiende debajo.")</f>
        <v>Tras subir por la cuerda situada a la derecha de la máquina expendedora en "Sendero del Aventurero: Punto de Encuentro", un pasaje oculto conduce al gran bosque que se extiende debajo.</v>
      </c>
      <c r="T25" s="55" t="str">
        <f>IFERROR(__xludf.DUMMYFUNCTION("GOOGLETRANSLATE(D25,""zh-tw"",""es-MX"")"),"El robot que descubras desaparecerá al día siguiente, momento en el que podrás activar un encuentro.
(Aún no implementado) Objeto obtenido: Núcleo de Evolución")</f>
        <v>El robot que descubras desaparecerá al día siguiente, momento en el que podrás activar un encuentro.
(Aún no implementado) Objeto obtenido: Núcleo de Evolución</v>
      </c>
      <c r="U25" s="151" t="str">
        <f>IFERROR(__xludf.DUMMYFUNCTION("GOOGLETRANSLATE(A25,""zh-tw"",""en"")"),"R21")</f>
        <v>R21</v>
      </c>
      <c r="V25" s="150" t="str">
        <f>IFERROR(__xludf.DUMMYFUNCTION("GOOGLETRANSLATE(B25,""zh-tw"",""KO"")"),"숨겨진 통로 10 메크")</f>
        <v>숨겨진 통로 10 메크</v>
      </c>
      <c r="W25" s="89" t="str">
        <f>IFERROR(__xludf.DUMMYFUNCTION("GOOGLETRANSLATE(C25,""zh-tw"",""KO"")"),"""모험가의 길: 모임 장소""의 자판기 오른쪽에 있는 로프를 타고 올라가면 숨겨진 통로가 아래쪽의 큰 숲으로 이어집니다.")</f>
        <v>"모험가의 길: 모임 장소"의 자판기 오른쪽에 있는 로프를 타고 올라가면 숨겨진 통로가 아래쪽의 큰 숲으로 이어집니다.</v>
      </c>
      <c r="X25" s="55" t="str">
        <f>IFERROR(__xludf.DUMMYFUNCTION("GOOGLETRANSLATE(D25,""zh-tw"",""KO"")"),"발견한 메크는 다음 날 사라지며, 이때 조우를 시작할 수 있습니다.
(아직 구현되지 않음)
획득 아이템: 진화 코어")</f>
        <v>발견한 메크는 다음 날 사라지며, 이때 조우를 시작할 수 있습니다.
(아직 구현되지 않음)
획득 아이템: 진화 코어</v>
      </c>
      <c r="Y25" s="151" t="str">
        <f>IFERROR(__xludf.DUMMYFUNCTION("GOOGLETRANSLATE(E25,""zh-tw"",""en"")"),"R21")</f>
        <v>R21</v>
      </c>
      <c r="Z25" s="149" t="str">
        <f>IFERROR(__xludf.DUMMYFUNCTION("GOOGLETRANSLATE(B25,""zh-tw"",""ru"")"),"Скрытый проход 10 Мех")</f>
        <v>Скрытый проход 10 Мех</v>
      </c>
      <c r="AA25" s="152" t="str">
        <f>IFERROR(__xludf.DUMMYFUNCTION("GOOGLETRANSLATE(C25,""zh-tw"",""RU"")"),"Поднявшись по веревке справа от торгового автомата на «Пути искателя приключений: Место сбора», вы увидите скрытый проход, ведущий в большой лес внизу.")</f>
        <v>Поднявшись по веревке справа от торгового автомата на «Пути искателя приключений: Место сбора», вы увидите скрытый проход, ведущий в большой лес внизу.</v>
      </c>
      <c r="AB25" s="44" t="str">
        <f>IFERROR(__xludf.DUMMYFUNCTION("GOOGLETRANSLATE(D25,""zh-tw"",""RU"")"),"Обнаруженный вами мех исчезнет на следующий день, и тогда вы сможете активировать встречу.
(Пока не реализовано)
Полученный предмет: Ядро эволюции")</f>
        <v>Обнаруженный вами мех исчезнет на следующий день, и тогда вы сможете активировать встречу.
(Пока не реализовано)
Полученный предмет: Ядро эволюции</v>
      </c>
      <c r="AC25" s="151" t="str">
        <f>IFERROR(__xludf.DUMMYFUNCTION("GOOGLETRANSLATE(I25,""zh-tw"",""en"")"),"R21")</f>
        <v>R21</v>
      </c>
      <c r="AD25" s="149" t="s">
        <v>2216</v>
      </c>
      <c r="AE25" s="154" t="s">
        <v>2217</v>
      </c>
      <c r="AF25" s="106" t="s">
        <v>2218</v>
      </c>
      <c r="AG25" s="155" t="s">
        <v>2204</v>
      </c>
      <c r="AH25" s="156" t="s">
        <v>2219</v>
      </c>
      <c r="AI25" s="157" t="s">
        <v>2220</v>
      </c>
      <c r="AJ25" s="158" t="s">
        <v>2221</v>
      </c>
      <c r="AK25" s="30"/>
      <c r="AL25" s="30"/>
    </row>
    <row r="26">
      <c r="A26" s="108" t="s">
        <v>2222</v>
      </c>
      <c r="B26" s="149" t="s">
        <v>2223</v>
      </c>
      <c r="C26" s="95" t="s">
        <v>2224</v>
      </c>
      <c r="D26" s="52" t="s">
        <v>2225</v>
      </c>
      <c r="E26" s="108" t="str">
        <f>IFERROR(__xludf.DUMMYFUNCTION("GOOGLETRANSLATE(A26,""zh-tw"",""ja"")"),"R22")</f>
        <v>R22</v>
      </c>
      <c r="F26" s="149" t="s">
        <v>2226</v>
      </c>
      <c r="G26" s="159" t="str">
        <f>IFERROR(__xludf.DUMMYFUNCTION("GOOGLETRANSLATE(C26,""zh-tw"",""ja"")"),"「大コーク溶岩帯」の左側にある柱の後ろには、隠しアイテムと収集ポイントがあります。")</f>
        <v>「大コーク溶岩帯」の左側にある柱の後ろには、隠しアイテムと収集ポイントがあります。</v>
      </c>
      <c r="H26" s="163" t="s">
        <v>2227</v>
      </c>
      <c r="I26" s="108" t="str">
        <f>IFERROR(__xludf.DUMMYFUNCTION("GOOGLETRANSLATE(A26,""zh-tw"",""en"")"),"R22")</f>
        <v>R22</v>
      </c>
      <c r="J26" s="149" t="s">
        <v>2228</v>
      </c>
      <c r="K26" s="95" t="s">
        <v>2229</v>
      </c>
      <c r="L26" s="52" t="s">
        <v>2230</v>
      </c>
      <c r="M26" s="115" t="str">
        <f>IFERROR(__xludf.DUMMYFUNCTION("GOOGLETRANSLATE(A26,""zh-tw"",""en"")"),"R22")</f>
        <v>R22</v>
      </c>
      <c r="N26" s="149" t="str">
        <f>IFERROR(__xludf.DUMMYFUNCTION("GOOGLETRANSLATE(B26,""zh-tw"",""zh"")"),"隐藏通道11")</f>
        <v>隐藏通道11</v>
      </c>
      <c r="O26" s="89" t="str">
        <f>IFERROR(__xludf.DUMMYFUNCTION("GOOGLETRANSLATE(C26,""zh-tw"",""zh"")"),"于""大焦热溶岩带""左侧柱子后面，有个隐藏物品与采集处")</f>
        <v>于"大焦热溶岩带"左侧柱子后面，有个隐藏物品与采集处</v>
      </c>
      <c r="P26" s="55" t="str">
        <f>IFERROR(__xludf.DUMMYFUNCTION("GOOGLETRANSLATE(D26,""zh-tw"",""zh"")"),"装备:熔岩戒指
*此道具可以通过地图刷新后重复取得")</f>
        <v>装备:熔岩戒指
*此道具可以通过地图刷新后重复取得</v>
      </c>
      <c r="Q26" s="115" t="str">
        <f>IFERROR(__xludf.DUMMYFUNCTION("GOOGLETRANSLATE(A26,""zh-tw"",""ja"")"),"R22")</f>
        <v>R22</v>
      </c>
      <c r="R26" s="149" t="s">
        <v>2231</v>
      </c>
      <c r="S26" s="89" t="str">
        <f>IFERROR(__xludf.DUMMYFUNCTION("GOOGLETRANSLATE(C26,""zh-tw"",""es-MX"")"),"Detrás del pilar situado en el lado izquierdo del ""Gran Cinturón de Lava de Coca-Cola"", hay un objeto oculto y un punto de recogida.")</f>
        <v>Detrás del pilar situado en el lado izquierdo del "Gran Cinturón de Lava de Coca-Cola", hay un objeto oculto y un punto de recogida.</v>
      </c>
      <c r="T26" s="55" t="str">
        <f>IFERROR(__xludf.DUMMYFUNCTION("GOOGLETRANSLATE(D26,""zh-tw"",""es-MX"")"),"Equipo: Anillo de lava
*Este objeto se puede obtener repetidamente tras la actualización del mapa.")</f>
        <v>Equipo: Anillo de lava
*Este objeto se puede obtener repetidamente tras la actualización del mapa.</v>
      </c>
      <c r="U26" s="151" t="str">
        <f>IFERROR(__xludf.DUMMYFUNCTION("GOOGLETRANSLATE(A26,""zh-tw"",""en"")"),"R22")</f>
        <v>R22</v>
      </c>
      <c r="V26" s="150" t="str">
        <f>IFERROR(__xludf.DUMMYFUNCTION("GOOGLETRANSLATE(B26,""zh-tw"",""KO"")"),"숨겨진 통로 11")</f>
        <v>숨겨진 통로 11</v>
      </c>
      <c r="W26" s="89" t="str">
        <f>IFERROR(__xludf.DUMMYFUNCTION("GOOGLETRANSLATE(C26,""zh-tw"",""KO"")"),"""그레이트 코크 용암 벨트"" 왼쪽 기둥 뒤에는 숨겨진 아이템과 수집 지점이 있습니다.")</f>
        <v>"그레이트 코크 용암 벨트" 왼쪽 기둥 뒤에는 숨겨진 아이템과 수집 지점이 있습니다.</v>
      </c>
      <c r="X26" s="55" t="str">
        <f>IFERROR(__xludf.DUMMYFUNCTION("GOOGLETRANSLATE(D26,""zh-tw"",""KO"")"),"장비: 용암 반지
*이 아이템은 맵이 새로고침된 후에도 반복해서 획득할 수 있습니다.")</f>
        <v>장비: 용암 반지
*이 아이템은 맵이 새로고침된 후에도 반복해서 획득할 수 있습니다.</v>
      </c>
      <c r="Y26" s="151" t="str">
        <f>IFERROR(__xludf.DUMMYFUNCTION("GOOGLETRANSLATE(E26,""zh-tw"",""en"")"),"R22")</f>
        <v>R22</v>
      </c>
      <c r="Z26" s="149" t="str">
        <f>IFERROR(__xludf.DUMMYFUNCTION("GOOGLETRANSLATE(B26,""zh-tw"",""ru"")"),"Скрытый проход 11")</f>
        <v>Скрытый проход 11</v>
      </c>
      <c r="AA26" s="152" t="str">
        <f>IFERROR(__xludf.DUMMYFUNCTION("GOOGLETRANSLATE(C26,""zh-tw"",""RU"")"),"За колонной на левой стороне «Великого пояса коксовой лавы» находится скрытый предмет и точка сбора.")</f>
        <v>За колонной на левой стороне «Великого пояса коксовой лавы» находится скрытый предмет и точка сбора.</v>
      </c>
      <c r="AB26" s="44" t="str">
        <f>IFERROR(__xludf.DUMMYFUNCTION("GOOGLETRANSLATE(D26,""zh-tw"",""RU"")"),"Снаряжение: Кольцо Лавы
*Этот предмет можно получить повторно после обновления карты.")</f>
        <v>Снаряжение: Кольцо Лавы
*Этот предмет можно получить повторно после обновления карты.</v>
      </c>
      <c r="AC26" s="151" t="str">
        <f>IFERROR(__xludf.DUMMYFUNCTION("GOOGLETRANSLATE(I26,""zh-tw"",""en"")"),"R22")</f>
        <v>R22</v>
      </c>
      <c r="AD26" s="149" t="s">
        <v>2232</v>
      </c>
      <c r="AE26" s="154" t="s">
        <v>2233</v>
      </c>
      <c r="AF26" s="106" t="s">
        <v>2234</v>
      </c>
      <c r="AG26" s="155" t="s">
        <v>2222</v>
      </c>
      <c r="AH26" s="156" t="s">
        <v>2235</v>
      </c>
      <c r="AI26" s="157" t="s">
        <v>2236</v>
      </c>
      <c r="AJ26" s="158" t="s">
        <v>2237</v>
      </c>
      <c r="AK26" s="30"/>
      <c r="AL26" s="30"/>
    </row>
    <row r="27">
      <c r="A27" s="108" t="s">
        <v>2238</v>
      </c>
      <c r="B27" s="149" t="s">
        <v>2239</v>
      </c>
      <c r="C27" s="95" t="s">
        <v>2240</v>
      </c>
      <c r="D27" s="52" t="s">
        <v>2241</v>
      </c>
      <c r="E27" s="108" t="str">
        <f>IFERROR(__xludf.DUMMYFUNCTION("GOOGLETRANSLATE(A27,""zh-tw"",""ja"")"),"R23")</f>
        <v>R23</v>
      </c>
      <c r="F27" s="149" t="str">
        <f>IFERROR(__xludf.DUMMYFUNCTION("GOOGLETRANSLATE(B27,""zh-tw"",""ja"")"),"穴に落ちる")</f>
        <v>穴に落ちる</v>
      </c>
      <c r="G27" s="95" t="s">
        <v>2242</v>
      </c>
      <c r="H27" s="52" t="s">
        <v>2243</v>
      </c>
      <c r="I27" s="108" t="str">
        <f>IFERROR(__xludf.DUMMYFUNCTION("GOOGLETRANSLATE(A27,""zh-tw"",""en"")"),"R23")</f>
        <v>R23</v>
      </c>
      <c r="J27" s="149" t="s">
        <v>2244</v>
      </c>
      <c r="K27" s="95" t="s">
        <v>2245</v>
      </c>
      <c r="L27" s="52" t="s">
        <v>2246</v>
      </c>
      <c r="M27" s="115" t="str">
        <f>IFERROR(__xludf.DUMMYFUNCTION("GOOGLETRANSLATE(A27,""zh-tw"",""en"")"),"R23")</f>
        <v>R23</v>
      </c>
      <c r="N27" s="149" t="str">
        <f>IFERROR(__xludf.DUMMYFUNCTION("GOOGLETRANSLATE(B27,""zh-tw"",""zh"")"),"摔洞里")</f>
        <v>摔洞里</v>
      </c>
      <c r="O27" s="89" t="str">
        <f>IFERROR(__xludf.DUMMYFUNCTION("GOOGLETRANSLATE(C27,""zh-tw"",""zh"")"),"开发中区域(矿坑)
矿坑地图掉下去")</f>
        <v>开发中区域(矿坑)
矿坑地图掉下去</v>
      </c>
      <c r="P27" s="55" t="str">
        <f>IFERROR(__xludf.DUMMYFUNCTION("GOOGLETRANSLATE(D27,""zh-tw"",""zh"")"),"见闻：掉到洞窟")</f>
        <v>见闻：掉到洞窟</v>
      </c>
      <c r="Q27" s="115" t="str">
        <f>IFERROR(__xludf.DUMMYFUNCTION("GOOGLETRANSLATE(A27,""zh-tw"",""ja"")"),"R23")</f>
        <v>R23</v>
      </c>
      <c r="R27" s="150" t="str">
        <f>IFERROR(__xludf.DUMMYFUNCTION("GOOGLETRANSLATE(B27,""zh-tw"",""es-MX"")"),"Caer en el agujero")</f>
        <v>Caer en el agujero</v>
      </c>
      <c r="S27" s="95" t="s">
        <v>2247</v>
      </c>
      <c r="T27" s="55" t="str">
        <f>IFERROR(__xludf.DUMMYFUNCTION("GOOGLETRANSLATE(D27,""zh-tw"",""es-MX"")"),"Lo que vi: Caí en una cueva")</f>
        <v>Lo que vi: Caí en una cueva</v>
      </c>
      <c r="U27" s="151" t="str">
        <f>IFERROR(__xludf.DUMMYFUNCTION("GOOGLETRANSLATE(A27,""zh-tw"",""en"")"),"R23")</f>
        <v>R23</v>
      </c>
      <c r="V27" s="150" t="str">
        <f>IFERROR(__xludf.DUMMYFUNCTION("GOOGLETRANSLATE(B27,""zh-tw"",""KO"")"),"구멍에 빠지다")</f>
        <v>구멍에 빠지다</v>
      </c>
      <c r="W27" s="89" t="str">
        <f>IFERROR(__xludf.DUMMYFUNCTION("GOOGLETRANSLATE(C27,""zh-tw"",""KO"")"),"개발 지역(광산) - 광산 지도에 들어가게 됩니다.")</f>
        <v>개발 지역(광산) - 광산 지도에 들어가게 됩니다.</v>
      </c>
      <c r="X27" s="55" t="str">
        <f>IFERROR(__xludf.DUMMYFUNCTION("GOOGLETRANSLATE(D27,""zh-tw"",""KO"")"),"내가 본 것: 나는 동굴에 빠졌다")</f>
        <v>내가 본 것: 나는 동굴에 빠졌다</v>
      </c>
      <c r="Y27" s="151" t="str">
        <f>IFERROR(__xludf.DUMMYFUNCTION("GOOGLETRANSLATE(E27,""zh-tw"",""en"")"),"R23")</f>
        <v>R23</v>
      </c>
      <c r="Z27" s="149" t="str">
        <f>IFERROR(__xludf.DUMMYFUNCTION("GOOGLETRANSLATE(B27,""zh-tw"",""ru"")"),"Упасть в яму")</f>
        <v>Упасть в яму</v>
      </c>
      <c r="AA27" s="152" t="str">
        <f>IFERROR(__xludf.DUMMYFUNCTION("GOOGLETRANSLATE(C27,""zh-tw"",""RU"")"),"Разрабатываемая территория (шахта) - Вы попадете на карту шахты.")</f>
        <v>Разрабатываемая территория (шахта) - Вы попадете на карту шахты.</v>
      </c>
      <c r="AB27" s="44" t="str">
        <f>IFERROR(__xludf.DUMMYFUNCTION("GOOGLETRANSLATE(D27,""zh-tw"",""RU"")"),"Что я увидел: Я упал в пещеру.")</f>
        <v>Что я увидел: Я упал в пещеру.</v>
      </c>
      <c r="AC27" s="151" t="str">
        <f>IFERROR(__xludf.DUMMYFUNCTION("GOOGLETRANSLATE(I27,""zh-tw"",""en"")"),"R23")</f>
        <v>R23</v>
      </c>
      <c r="AD27" s="149" t="s">
        <v>2248</v>
      </c>
      <c r="AE27" s="154" t="s">
        <v>2249</v>
      </c>
      <c r="AF27" s="106" t="s">
        <v>2250</v>
      </c>
      <c r="AG27" s="155" t="s">
        <v>2238</v>
      </c>
      <c r="AH27" s="156" t="s">
        <v>2251</v>
      </c>
      <c r="AI27" s="157" t="s">
        <v>2252</v>
      </c>
      <c r="AJ27" s="158" t="s">
        <v>2253</v>
      </c>
      <c r="AK27" s="30"/>
      <c r="AL27" s="30"/>
    </row>
    <row r="28">
      <c r="A28" s="108" t="s">
        <v>2254</v>
      </c>
      <c r="B28" s="149" t="s">
        <v>2255</v>
      </c>
      <c r="C28" s="95" t="s">
        <v>2256</v>
      </c>
      <c r="D28" s="52" t="s">
        <v>2257</v>
      </c>
      <c r="E28" s="108" t="str">
        <f>IFERROR(__xludf.DUMMYFUNCTION("GOOGLETRANSLATE(A28,""zh-tw"",""ja"")"),"R24")</f>
        <v>R24</v>
      </c>
      <c r="F28" s="149" t="s">
        <v>2258</v>
      </c>
      <c r="G28" s="95" t="s">
        <v>2259</v>
      </c>
      <c r="H28" s="52" t="s">
        <v>2260</v>
      </c>
      <c r="I28" s="108" t="str">
        <f>IFERROR(__xludf.DUMMYFUNCTION("GOOGLETRANSLATE(A28,""zh-tw"",""en"")"),"R24")</f>
        <v>R24</v>
      </c>
      <c r="J28" s="149" t="s">
        <v>2261</v>
      </c>
      <c r="K28" s="95" t="s">
        <v>2262</v>
      </c>
      <c r="L28" s="52" t="s">
        <v>2263</v>
      </c>
      <c r="M28" s="115" t="str">
        <f>IFERROR(__xludf.DUMMYFUNCTION("GOOGLETRANSLATE(A28,""zh-tw"",""en"")"),"R24")</f>
        <v>R24</v>
      </c>
      <c r="N28" s="149" t="str">
        <f>IFERROR(__xludf.DUMMYFUNCTION("GOOGLETRANSLATE(B28,""zh-tw"",""zh"")"),"矿坑宝箱")</f>
        <v>矿坑宝箱</v>
      </c>
      <c r="O28" s="89" t="str">
        <f>IFERROR(__xludf.DUMMYFUNCTION("GOOGLETRANSLATE(C28,""zh-tw"",""zh"")"),"开发中地带(矿坑)-1，沿着楼梯的中央有宝箱")</f>
        <v>开发中地带(矿坑)-1，沿着楼梯的中央有宝箱</v>
      </c>
      <c r="P28" s="55" t="str">
        <f>IFERROR(__xludf.DUMMYFUNCTION("GOOGLETRANSLATE(D28,""zh-tw"",""zh"")"),"获得道具：魔力小凝胶x10
雨天刷新")</f>
        <v>获得道具：魔力小凝胶x10
雨天刷新</v>
      </c>
      <c r="Q28" s="115" t="str">
        <f>IFERROR(__xludf.DUMMYFUNCTION("GOOGLETRANSLATE(A28,""zh-tw"",""ja"")"),"R24")</f>
        <v>R24</v>
      </c>
      <c r="R28" s="150" t="str">
        <f>IFERROR(__xludf.DUMMYFUNCTION("GOOGLETRANSLATE(B28,""zh-tw"",""es-MX"")"),"Cofre del tesoro de la mina")</f>
        <v>Cofre del tesoro de la mina</v>
      </c>
      <c r="S28" s="95" t="s">
        <v>2264</v>
      </c>
      <c r="T28" s="55" t="str">
        <f>IFERROR(__xludf.DUMMYFUNCTION("GOOGLETRANSLATE(D28,""zh-tw"",""es-MX"")"),"Objeto obtenido: Gel mágico x10 (Se recarga en días lluviosos)")</f>
        <v>Objeto obtenido: Gel mágico x10 (Se recarga en días lluviosos)</v>
      </c>
      <c r="U28" s="151" t="str">
        <f>IFERROR(__xludf.DUMMYFUNCTION("GOOGLETRANSLATE(A28,""zh-tw"",""en"")"),"R24")</f>
        <v>R24</v>
      </c>
      <c r="V28" s="150" t="str">
        <f>IFERROR(__xludf.DUMMYFUNCTION("GOOGLETRANSLATE(B28,""zh-tw"",""KO"")"),"광산 보물 상자")</f>
        <v>광산 보물 상자</v>
      </c>
      <c r="W28" s="89" t="str">
        <f>IFERROR(__xludf.DUMMYFUNCTION("GOOGLETRANSLATE(C28,""zh-tw"",""KO"")"),"개발 구역(광산)-1에는 계단 중앙에 보물상자가 있습니다.")</f>
        <v>개발 구역(광산)-1에는 계단 중앙에 보물상자가 있습니다.</v>
      </c>
      <c r="X28" s="55" t="str">
        <f>IFERROR(__xludf.DUMMYFUNCTION("GOOGLETRANSLATE(D28,""zh-tw"",""KO"")"),"획득 아이템 : 마법 젤 x10 (비오는 날 상쾌하게)")</f>
        <v>획득 아이템 : 마법 젤 x10 (비오는 날 상쾌하게)</v>
      </c>
      <c r="Y28" s="151" t="str">
        <f>IFERROR(__xludf.DUMMYFUNCTION("GOOGLETRANSLATE(E28,""zh-tw"",""en"")"),"R24")</f>
        <v>R24</v>
      </c>
      <c r="Z28" s="149" t="str">
        <f>IFERROR(__xludf.DUMMYFUNCTION("GOOGLETRANSLATE(B28,""zh-tw"",""ru"")"),"Мой сундук с сокровищами")</f>
        <v>Мой сундук с сокровищами</v>
      </c>
      <c r="AA28" s="152" t="str">
        <f>IFERROR(__xludf.DUMMYFUNCTION("GOOGLETRANSLATE(C28,""zh-tw"",""RU"")"),"В зоне разработки (шахте)-1 в центре лестницы находится сундук с сокровищами.")</f>
        <v>В зоне разработки (шахте)-1 в центре лестницы находится сундук с сокровищами.</v>
      </c>
      <c r="AB28" s="44" t="str">
        <f>IFERROR(__xludf.DUMMYFUNCTION("GOOGLETRANSLATE(D28,""zh-tw"",""RU"")"),"Полученный предмет: Волшебный гель x10 (Освежает в дождливые дни)")</f>
        <v>Полученный предмет: Волшебный гель x10 (Освежает в дождливые дни)</v>
      </c>
      <c r="AC28" s="151" t="str">
        <f>IFERROR(__xludf.DUMMYFUNCTION("GOOGLETRANSLATE(I28,""zh-tw"",""en"")"),"R24")</f>
        <v>R24</v>
      </c>
      <c r="AD28" s="149" t="s">
        <v>2265</v>
      </c>
      <c r="AE28" s="154" t="s">
        <v>2266</v>
      </c>
      <c r="AF28" s="106" t="s">
        <v>2267</v>
      </c>
      <c r="AG28" s="155" t="s">
        <v>2254</v>
      </c>
      <c r="AH28" s="156" t="s">
        <v>2268</v>
      </c>
      <c r="AI28" s="157" t="s">
        <v>2269</v>
      </c>
      <c r="AJ28" s="158" t="s">
        <v>2270</v>
      </c>
      <c r="AK28" s="30"/>
      <c r="AL28" s="30"/>
    </row>
    <row r="29">
      <c r="A29" s="108" t="s">
        <v>2271</v>
      </c>
      <c r="B29" s="149" t="s">
        <v>2272</v>
      </c>
      <c r="C29" s="95" t="s">
        <v>2273</v>
      </c>
      <c r="D29" s="169" t="s">
        <v>2274</v>
      </c>
      <c r="E29" s="84" t="str">
        <f>IFERROR(__xludf.DUMMYFUNCTION("GOOGLETRANSLATE(A29,""zh-tw"",""ja"")"),"R25")</f>
        <v>R25</v>
      </c>
      <c r="F29" s="167" t="s">
        <v>2275</v>
      </c>
      <c r="G29" s="170" t="s">
        <v>2276</v>
      </c>
      <c r="H29" s="171" t="s">
        <v>2277</v>
      </c>
      <c r="I29" s="84" t="str">
        <f>IFERROR(__xludf.DUMMYFUNCTION("GOOGLETRANSLATE(A29,""zh-tw"",""en"")"),"R25")</f>
        <v>R25</v>
      </c>
      <c r="J29" s="167" t="s">
        <v>2278</v>
      </c>
      <c r="K29" s="170" t="s">
        <v>2279</v>
      </c>
      <c r="L29" s="52" t="s">
        <v>2280</v>
      </c>
      <c r="M29" s="115" t="str">
        <f>IFERROR(__xludf.DUMMYFUNCTION("GOOGLETRANSLATE(A29,""zh-tw"",""en"")"),"R25")</f>
        <v>R25</v>
      </c>
      <c r="N29" s="167" t="str">
        <f>IFERROR(__xludf.DUMMYFUNCTION("GOOGLETRANSLATE(B29,""zh-tw"",""zh"")"),"遗迹宝箱1")</f>
        <v>遗迹宝箱1</v>
      </c>
      <c r="O29" s="172" t="str">
        <f>IFERROR(__xludf.DUMMYFUNCTION("GOOGLETRANSLATE(C29,""zh-tw"",""zh"")"),"浅层遗迹迷宫
遗迹第一层
右方机关处、左方连接外面处，各有一个白宝箱
左方有一个红宝箱，可以从藤蔓边缘走过去")</f>
        <v>浅层遗迹迷宫
遗迹第一层
右方机关处、左方连接外面处，各有一个白宝箱
左方有一个红宝箱，可以从藤蔓边缘走过去</v>
      </c>
      <c r="P29" s="164" t="str">
        <f>IFERROR(__xludf.DUMMYFUNCTION("GOOGLETRANSLATE(D29,""zh-tw"",""zh"")"),"白宝箱获得：漏电的不良品、火烧云
红宝箱获得：霜月、战车塔罗牌 (红宝箱可以刷新)")</f>
        <v>白宝箱获得：漏电的不良品、火烧云
红宝箱获得：霜月、战车塔罗牌 (红宝箱可以刷新)</v>
      </c>
      <c r="Q29" s="115" t="str">
        <f>IFERROR(__xludf.DUMMYFUNCTION("GOOGLETRANSLATE(A29,""zh-tw"",""ja"")"),"R25")</f>
        <v>R25</v>
      </c>
      <c r="R29" s="150" t="str">
        <f>IFERROR(__xludf.DUMMYFUNCTION("GOOGLETRANSLATE(B29,""zh-tw"",""es-MX"")"),"Cofre de reliquias 1")</f>
        <v>Cofre de reliquias 1</v>
      </c>
      <c r="S29" s="170" t="s">
        <v>2281</v>
      </c>
      <c r="T29" s="55" t="str">
        <f>IFERROR(__xludf.DUMMYFUNCTION("GOOGLETRANSLATE(D29,""zh-tw"",""es-MX"")"),"Cofre del Tesoro Blanco: Producto Defectuoso con Fugas, Nubes de Fuego
Cofre del Tesoro Rojo: Luna Helada, Cartas del Tarot del Carro (Los Cofres del Tesoro Rojos se pueden recargar)")</f>
        <v>Cofre del Tesoro Blanco: Producto Defectuoso con Fugas, Nubes de Fuego
Cofre del Tesoro Rojo: Luna Helada, Cartas del Tarot del Carro (Los Cofres del Tesoro Rojos se pueden recargar)</v>
      </c>
      <c r="U29" s="151" t="str">
        <f>IFERROR(__xludf.DUMMYFUNCTION("GOOGLETRANSLATE(A29,""zh-tw"",""en"")"),"R25")</f>
        <v>R25</v>
      </c>
      <c r="V29" s="150" t="str">
        <f>IFERROR(__xludf.DUMMYFUNCTION("GOOGLETRANSLATE(B29,""zh-tw"",""KO"")"),"유물 상자 1")</f>
        <v>유물 상자 1</v>
      </c>
      <c r="W29" s="172" t="str">
        <f>IFERROR(__xludf.DUMMYFUNCTION("GOOGLETRANSLATE(C29,""zh-tw"",""KO"")"),"얕은 유적 미로
유적의 첫 번째 층
오른쪽 장치와 왼쪽 외부 연결 지점에 흰색 보물상자가 있습니다.
왼쪽에는 빨간색 보물상자가 있습니다. 덩굴 가장자리를 따라 걸어가면 보물상자에 도착할 수 있습니다.")</f>
        <v>얕은 유적 미로
유적의 첫 번째 층
오른쪽 장치와 왼쪽 외부 연결 지점에 흰색 보물상자가 있습니다.
왼쪽에는 빨간색 보물상자가 있습니다. 덩굴 가장자리를 따라 걸어가면 보물상자에 도착할 수 있습니다.</v>
      </c>
      <c r="X29" s="55" t="str">
        <f>IFERROR(__xludf.DUMMYFUNCTION("GOOGLETRANSLATE(D29,""zh-tw"",""KO"")"),"하얀 보물상자: 새는 불량품, 불타는 구름
빨간 보물상자: 서리 내린 달, 전차 타로 카드 (빨간 보물상자는 새로 고침 가능)")</f>
        <v>하얀 보물상자: 새는 불량품, 불타는 구름
빨간 보물상자: 서리 내린 달, 전차 타로 카드 (빨간 보물상자는 새로 고침 가능)</v>
      </c>
      <c r="Y29" s="151" t="str">
        <f>IFERROR(__xludf.DUMMYFUNCTION("GOOGLETRANSLATE(E29,""zh-tw"",""en"")"),"R25")</f>
        <v>R25</v>
      </c>
      <c r="Z29" s="167" t="str">
        <f>IFERROR(__xludf.DUMMYFUNCTION("GOOGLETRANSLATE(B29,""zh-tw"",""ru"")"),"Сундук с реликвиями 1")</f>
        <v>Сундук с реликвиями 1</v>
      </c>
      <c r="AA29" s="172" t="str">
        <f>IFERROR(__xludf.DUMMYFUNCTION("GOOGLETRANSLATE(C29,""zh-tw"",""RU"")"),"Лабиринт «Неглубокие руины»
Первый уровень руин
Справа у механизма и слева у выхода наружу находится белый сундук с сокровищами.
Слева находится красный сундук с сокровищами; добраться до него можно, пройдя по краю лиан.")</f>
        <v>Лабиринт «Неглубокие руины»
Первый уровень руин
Справа у механизма и слева у выхода наружу находится белый сундук с сокровищами.
Слева находится красный сундук с сокровищами; добраться до него можно, пройдя по краю лиан.</v>
      </c>
      <c r="AB29" s="44" t="str">
        <f>IFERROR(__xludf.DUMMYFUNCTION("GOOGLETRANSLATE(D29,""zh-tw"",""RU"")"),"Белый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f>
        <v>Белый сундук с сокровищами: Дырявый бракованный товар, Огненные облака
Красный сундук с сокровищами: Морозная луна, Карты Таро Колесницы (Красные сундуки с сокровищами можно обновить)</v>
      </c>
      <c r="AC29" s="151" t="str">
        <f>IFERROR(__xludf.DUMMYFUNCTION("GOOGLETRANSLATE(I29,""zh-tw"",""en"")"),"R25")</f>
        <v>R25</v>
      </c>
      <c r="AD29" s="167" t="s">
        <v>2282</v>
      </c>
      <c r="AE29" s="170" t="s">
        <v>2283</v>
      </c>
      <c r="AF29" s="171" t="s">
        <v>2284</v>
      </c>
      <c r="AG29" s="155" t="s">
        <v>2271</v>
      </c>
      <c r="AH29" s="156" t="s">
        <v>2285</v>
      </c>
      <c r="AI29" s="157" t="s">
        <v>2286</v>
      </c>
      <c r="AJ29" s="158" t="s">
        <v>2287</v>
      </c>
      <c r="AK29" s="30"/>
      <c r="AL29" s="30"/>
    </row>
    <row r="30">
      <c r="A30" s="108" t="s">
        <v>2288</v>
      </c>
      <c r="B30" s="149" t="s">
        <v>2289</v>
      </c>
      <c r="C30" s="95" t="s">
        <v>2290</v>
      </c>
      <c r="D30" s="52" t="s">
        <v>2291</v>
      </c>
      <c r="E30" s="108" t="str">
        <f>IFERROR(__xludf.DUMMYFUNCTION("GOOGLETRANSLATE(A30,""zh-tw"",""ja"")"),"R26")</f>
        <v>R26</v>
      </c>
      <c r="F30" s="149" t="s">
        <v>2292</v>
      </c>
      <c r="G30" s="159" t="s">
        <v>2293</v>
      </c>
      <c r="H30" s="52" t="s">
        <v>2127</v>
      </c>
      <c r="I30" s="108" t="str">
        <f>IFERROR(__xludf.DUMMYFUNCTION("GOOGLETRANSLATE(A30,""zh-tw"",""en"")"),"R26")</f>
        <v>R26</v>
      </c>
      <c r="J30" s="149" t="s">
        <v>2294</v>
      </c>
      <c r="K30" s="95" t="s">
        <v>2295</v>
      </c>
      <c r="L30" s="52" t="s">
        <v>2296</v>
      </c>
      <c r="M30" s="115" t="str">
        <f>IFERROR(__xludf.DUMMYFUNCTION("GOOGLETRANSLATE(A30,""zh-tw"",""en"")"),"R26")</f>
        <v>R26</v>
      </c>
      <c r="N30" s="149" t="str">
        <f>IFERROR(__xludf.DUMMYFUNCTION("GOOGLETRANSLATE(B30,""zh-tw"",""zh"")"),"遗迹宝箱2")</f>
        <v>遗迹宝箱2</v>
      </c>
      <c r="O30" s="89" t="str">
        <f>IFERROR(__xludf.DUMMYFUNCTION("GOOGLETRANSLATE(C30,""zh-tw"",""zh"")"),"被遗忘的墓穴第一层右边洞窟出入口旁，在一排蛋的左边有一个宝箱")</f>
        <v>被遗忘的墓穴第一层右边洞窟出入口旁，在一排蛋的左边有一个宝箱</v>
      </c>
      <c r="P30" s="55" t="str">
        <f>IFERROR(__xludf.DUMMYFUNCTION("GOOGLETRANSLATE(D30,""zh-tw"",""zh"")"),"获得武器-臭鱼骨")</f>
        <v>获得武器-臭鱼骨</v>
      </c>
      <c r="Q30" s="115" t="str">
        <f>IFERROR(__xludf.DUMMYFUNCTION("GOOGLETRANSLATE(A30,""zh-tw"",""ja"")"),"R26")</f>
        <v>R26</v>
      </c>
      <c r="R30" s="150" t="str">
        <f>IFERROR(__xludf.DUMMYFUNCTION("GOOGLETRANSLATE(B30,""zh-tw"",""es-MX"")"),"Cofre de reliquias 2")</f>
        <v>Cofre de reliquias 2</v>
      </c>
      <c r="S30" s="95" t="s">
        <v>2297</v>
      </c>
      <c r="T30" s="55" t="str">
        <f>IFERROR(__xludf.DUMMYFUNCTION("GOOGLETRANSLATE(D30,""zh-tw"",""es-MX"")"),"Obtén el arma: Espina de pescado apestosa")</f>
        <v>Obtén el arma: Espina de pescado apestosa</v>
      </c>
      <c r="U30" s="151" t="str">
        <f>IFERROR(__xludf.DUMMYFUNCTION("GOOGLETRANSLATE(A30,""zh-tw"",""en"")"),"R26")</f>
        <v>R26</v>
      </c>
      <c r="V30" s="150" t="str">
        <f>IFERROR(__xludf.DUMMYFUNCTION("GOOGLETRANSLATE(B30,""zh-tw"",""KO"")"),"유물 상자 2")</f>
        <v>유물 상자 2</v>
      </c>
      <c r="W30" s="89" t="str">
        <f>IFERROR(__xludf.DUMMYFUNCTION("GOOGLETRANSLATE(C30,""zh-tw"",""KO"")"),"잊혀진 무덤 1층의 오른쪽 동굴 입구 옆, 계란 줄 왼쪽에 보물 상자가 있습니다.")</f>
        <v>잊혀진 무덤 1층의 오른쪽 동굴 입구 옆, 계란 줄 왼쪽에 보물 상자가 있습니다.</v>
      </c>
      <c r="X30" s="55" t="str">
        <f>IFERROR(__xludf.DUMMYFUNCTION("GOOGLETRANSLATE(D30,""zh-tw"",""KO"")"),"무기 획득 - 냄새나는 생선뼈")</f>
        <v>무기 획득 - 냄새나는 생선뼈</v>
      </c>
      <c r="Y30" s="151" t="str">
        <f>IFERROR(__xludf.DUMMYFUNCTION("GOOGLETRANSLATE(E30,""zh-tw"",""en"")"),"R26")</f>
        <v>R26</v>
      </c>
      <c r="Z30" s="149" t="str">
        <f>IFERROR(__xludf.DUMMYFUNCTION("GOOGLETRANSLATE(B30,""zh-tw"",""ru"")"),"Сундук с реликвиями 2")</f>
        <v>Сундук с реликвиями 2</v>
      </c>
      <c r="AA30" s="152" t="str">
        <f>IFERROR(__xludf.DUMMYFUNCTION("GOOGLETRANSLATE(C30,""zh-tw"",""RU"")"),"Слева от ряда яиц, рядом с правым входом в пещеру на первом уровне Забытой Гробницы, находится сундук с сокровищами.")</f>
        <v>Слева от ряда яиц, рядом с правым входом в пещеру на первом уровне Забытой Гробницы, находится сундук с сокровищами.</v>
      </c>
      <c r="AB30" s="44" t="str">
        <f>IFERROR(__xludf.DUMMYFUNCTION("GOOGLETRANSLATE(D30,""zh-tw"",""RU"")"),"Получить оружие - Вонючая Рыбья Кость")</f>
        <v>Получить оружие - Вонючая Рыбья Кость</v>
      </c>
      <c r="AC30" s="151" t="str">
        <f>IFERROR(__xludf.DUMMYFUNCTION("GOOGLETRANSLATE(I30,""zh-tw"",""en"")"),"R26")</f>
        <v>R26</v>
      </c>
      <c r="AD30" s="149" t="s">
        <v>2298</v>
      </c>
      <c r="AE30" s="152" t="str">
        <f>IFERROR(__xludf.DUMMYFUNCTION("GOOGLETRANSLATE(C30,""zh-tw"",""DE"")"),"Links neben einer Reihe von Eiern, neben dem rechten Höhleneingang auf der ersten Ebene des Vergessenen Grabes, befindet sich eine Schatztruhe.")</f>
        <v>Links neben einer Reihe von Eiern, neben dem rechten Höhleneingang auf der ersten Ebene des Vergessenen Grabes, befindet sich eine Schatztruhe.</v>
      </c>
      <c r="AF30" s="106" t="s">
        <v>2299</v>
      </c>
      <c r="AG30" s="155" t="s">
        <v>2288</v>
      </c>
      <c r="AH30" s="156" t="s">
        <v>2300</v>
      </c>
      <c r="AI30" s="157" t="s">
        <v>2301</v>
      </c>
      <c r="AJ30" s="158" t="s">
        <v>2302</v>
      </c>
      <c r="AK30" s="30"/>
      <c r="AL30" s="30"/>
    </row>
    <row r="31">
      <c r="A31" s="108" t="s">
        <v>2303</v>
      </c>
      <c r="B31" s="149" t="s">
        <v>2304</v>
      </c>
      <c r="C31" s="95" t="s">
        <v>2305</v>
      </c>
      <c r="D31" s="52" t="s">
        <v>2306</v>
      </c>
      <c r="E31" s="108" t="str">
        <f>IFERROR(__xludf.DUMMYFUNCTION("GOOGLETRANSLATE(A31,""zh-tw"",""ja"")"),"R27")</f>
        <v>R27</v>
      </c>
      <c r="F31" s="149" t="s">
        <v>2307</v>
      </c>
      <c r="G31" s="159" t="s">
        <v>2308</v>
      </c>
      <c r="H31" s="52" t="s">
        <v>2127</v>
      </c>
      <c r="I31" s="108" t="str">
        <f>IFERROR(__xludf.DUMMYFUNCTION("GOOGLETRANSLATE(A31,""zh-tw"",""en"")"),"R27")</f>
        <v>R27</v>
      </c>
      <c r="J31" s="149" t="s">
        <v>2309</v>
      </c>
      <c r="K31" s="95" t="s">
        <v>2310</v>
      </c>
      <c r="L31" s="52" t="s">
        <v>2311</v>
      </c>
      <c r="M31" s="115" t="str">
        <f>IFERROR(__xludf.DUMMYFUNCTION("GOOGLETRANSLATE(A31,""zh-tw"",""en"")"),"R27")</f>
        <v>R27</v>
      </c>
      <c r="N31" s="149" t="str">
        <f>IFERROR(__xludf.DUMMYFUNCTION("GOOGLETRANSLATE(B31,""zh-tw"",""zh"")"),"遗迹宝箱3")</f>
        <v>遗迹宝箱3</v>
      </c>
      <c r="O31" s="89" t="str">
        <f>IFERROR(__xludf.DUMMYFUNCTION("GOOGLETRANSLATE(C31,""zh-tw"",""zh"")"),"被遗忘的墓穴-1，中间的蛋附近一个宝箱")</f>
        <v>被遗忘的墓穴-1，中间的蛋附近一个宝箱</v>
      </c>
      <c r="P31" s="55" t="str">
        <f>IFERROR(__xludf.DUMMYFUNCTION("GOOGLETRANSLATE(D31,""zh-tw"",""zh"")"),"获得武器-雪见")</f>
        <v>获得武器-雪见</v>
      </c>
      <c r="Q31" s="115" t="str">
        <f>IFERROR(__xludf.DUMMYFUNCTION("GOOGLETRANSLATE(A31,""zh-tw"",""ja"")"),"R27")</f>
        <v>R27</v>
      </c>
      <c r="R31" s="150" t="str">
        <f>IFERROR(__xludf.DUMMYFUNCTION("GOOGLETRANSLATE(B31,""zh-tw"",""es-MX"")"),"Cofre de reliquias 3")</f>
        <v>Cofre de reliquias 3</v>
      </c>
      <c r="S31" s="95" t="s">
        <v>2312</v>
      </c>
      <c r="T31" s="55" t="str">
        <f>IFERROR(__xludf.DUMMYFUNCTION("GOOGLETRANSLATE(D31,""zh-tw"",""es-MX"")"),"Obtener arma - Xuejian")</f>
        <v>Obtener arma - Xuejian</v>
      </c>
      <c r="U31" s="151" t="str">
        <f>IFERROR(__xludf.DUMMYFUNCTION("GOOGLETRANSLATE(A31,""zh-tw"",""en"")"),"R27")</f>
        <v>R27</v>
      </c>
      <c r="V31" s="150" t="str">
        <f>IFERROR(__xludf.DUMMYFUNCTION("GOOGLETRANSLATE(B31,""zh-tw"",""KO"")"),"유물 상자 3")</f>
        <v>유물 상자 3</v>
      </c>
      <c r="W31" s="89" t="str">
        <f>IFERROR(__xludf.DUMMYFUNCTION("GOOGLETRANSLATE(C31,""zh-tw"",""KO"")"),"잊혀진 무덤-1, 가운데에 있는 달걀 근처의 보물 상자.")</f>
        <v>잊혀진 무덤-1, 가운데에 있는 달걀 근처의 보물 상자.</v>
      </c>
      <c r="X31" s="55" t="str">
        <f>IFERROR(__xludf.DUMMYFUNCTION("GOOGLETRANSLATE(D31,""zh-tw"",""KO"")"),"무기 획득 - 쉐젠")</f>
        <v>무기 획득 - 쉐젠</v>
      </c>
      <c r="Y31" s="151" t="str">
        <f>IFERROR(__xludf.DUMMYFUNCTION("GOOGLETRANSLATE(E31,""zh-tw"",""en"")"),"R27")</f>
        <v>R27</v>
      </c>
      <c r="Z31" s="149" t="str">
        <f>IFERROR(__xludf.DUMMYFUNCTION("GOOGLETRANSLATE(B31,""zh-tw"",""ru"")"),"Сундук с реликвиями 3")</f>
        <v>Сундук с реликвиями 3</v>
      </c>
      <c r="AA31" s="152" t="str">
        <f>IFERROR(__xludf.DUMMYFUNCTION("GOOGLETRANSLATE(C31,""zh-tw"",""RU"")"),"Забытая Гробница-1, сундук с сокровищами возле яйца посередине.")</f>
        <v>Забытая Гробница-1, сундук с сокровищами возле яйца посередине.</v>
      </c>
      <c r="AB31" s="44" t="str">
        <f>IFERROR(__xludf.DUMMYFUNCTION("GOOGLETRANSLATE(D31,""zh-tw"",""RU"")"),"Получить оружие - Сюэцзянь")</f>
        <v>Получить оружие - Сюэцзянь</v>
      </c>
      <c r="AC31" s="151" t="str">
        <f>IFERROR(__xludf.DUMMYFUNCTION("GOOGLETRANSLATE(I31,""zh-tw"",""en"")"),"R27")</f>
        <v>R27</v>
      </c>
      <c r="AD31" s="149" t="s">
        <v>2313</v>
      </c>
      <c r="AE31" s="152" t="str">
        <f>IFERROR(__xludf.DUMMYFUNCTION("GOOGLETRANSLATE(C31,""zh-tw"",""DE"")"),"Vergessenes Grab-1, eine Schatztruhe in der Nähe des Eis in der Mitte.")</f>
        <v>Vergessenes Grab-1, eine Schatztruhe in der Nähe des Eis in der Mitte.</v>
      </c>
      <c r="AF31" s="106" t="s">
        <v>2314</v>
      </c>
      <c r="AG31" s="155" t="s">
        <v>2303</v>
      </c>
      <c r="AH31" s="156" t="s">
        <v>2315</v>
      </c>
      <c r="AI31" s="157" t="s">
        <v>2316</v>
      </c>
      <c r="AJ31" s="158" t="s">
        <v>2317</v>
      </c>
      <c r="AK31" s="30"/>
      <c r="AL31" s="30"/>
    </row>
    <row r="32">
      <c r="A32" s="108" t="s">
        <v>2318</v>
      </c>
      <c r="B32" s="149" t="s">
        <v>2319</v>
      </c>
      <c r="C32" s="95" t="s">
        <v>2320</v>
      </c>
      <c r="D32" s="52" t="s">
        <v>2321</v>
      </c>
      <c r="E32" s="108" t="str">
        <f>IFERROR(__xludf.DUMMYFUNCTION("GOOGLETRANSLATE(A32,""zh-tw"",""ja"")"),"R28")</f>
        <v>R28</v>
      </c>
      <c r="F32" s="149" t="str">
        <f>IFERROR(__xludf.DUMMYFUNCTION("GOOGLETRANSLATE(B32,""zh-tw"",""ja"")"),"ダウンロードコンテンツ")</f>
        <v>ダウンロードコンテンツ</v>
      </c>
      <c r="G32" s="95" t="s">
        <v>2322</v>
      </c>
      <c r="H32" s="52" t="s">
        <v>2323</v>
      </c>
      <c r="I32" s="108" t="str">
        <f>IFERROR(__xludf.DUMMYFUNCTION("GOOGLETRANSLATE(A32,""zh-tw"",""en"")"),"R28")</f>
        <v>R28</v>
      </c>
      <c r="J32" s="149" t="s">
        <v>2319</v>
      </c>
      <c r="K32" s="95" t="s">
        <v>2324</v>
      </c>
      <c r="L32" s="52" t="s">
        <v>2325</v>
      </c>
      <c r="M32" s="115" t="str">
        <f>IFERROR(__xludf.DUMMYFUNCTION("GOOGLETRANSLATE(A32,""zh-tw"",""en"")"),"R28")</f>
        <v>R28</v>
      </c>
      <c r="N32" s="149" t="str">
        <f>IFERROR(__xludf.DUMMYFUNCTION("GOOGLETRANSLATE(B32,""zh-tw"",""zh"")"),"DLC")</f>
        <v>DLC</v>
      </c>
      <c r="O32" s="89" t="str">
        <f>IFERROR(__xludf.DUMMYFUNCTION("GOOGLETRANSLATE(C32,""zh-tw"",""zh"")"),"冒险者小道:集结地
和骑士分享一定数量的见闻可以获得")</f>
        <v>冒险者小道:集结地
和骑士分享一定数量的见闻可以获得</v>
      </c>
      <c r="P32" s="55" t="str">
        <f>IFERROR(__xludf.DUMMYFUNCTION("GOOGLETRANSLATE(D32,""zh-tw"",""zh"")"),"暗影之魂-DLC")</f>
        <v>暗影之魂-DLC</v>
      </c>
      <c r="Q32" s="115" t="str">
        <f>IFERROR(__xludf.DUMMYFUNCTION("GOOGLETRANSLATE(A32,""zh-tw"",""ja"")"),"R28")</f>
        <v>R28</v>
      </c>
      <c r="R32" s="150" t="str">
        <f>IFERROR(__xludf.DUMMYFUNCTION("GOOGLETRANSLATE(B32,""zh-tw"",""es-MX"")"),"DLC")</f>
        <v>DLC</v>
      </c>
      <c r="S32" s="95" t="s">
        <v>2326</v>
      </c>
      <c r="T32" s="55" t="str">
        <f>IFERROR(__xludf.DUMMYFUNCTION("GOOGLETRANSLATE(D32,""zh-tw"",""es-MX"")"),"Shadow Souls - DLC")</f>
        <v>Shadow Souls - DLC</v>
      </c>
      <c r="U32" s="151" t="str">
        <f>IFERROR(__xludf.DUMMYFUNCTION("GOOGLETRANSLATE(A32,""zh-tw"",""en"")"),"R28")</f>
        <v>R28</v>
      </c>
      <c r="V32" s="150" t="str">
        <f>IFERROR(__xludf.DUMMYFUNCTION("GOOGLETRANSLATE(B32,""zh-tw"",""KO"")"),"다운로드")</f>
        <v>다운로드</v>
      </c>
      <c r="W32" s="89" t="str">
        <f>IFERROR(__xludf.DUMMYFUNCTION("GOOGLETRANSLATE(C32,""zh-tw"",""KO"")"),"모험가의 길: 모임 장소 기사와 일정 횟수 이상의 만남을 공유하면 [무언가]를 획득할 수 있습니다.")</f>
        <v>모험가의 길: 모임 장소 기사와 일정 횟수 이상의 만남을 공유하면 [무언가]를 획득할 수 있습니다.</v>
      </c>
      <c r="X32" s="55" t="str">
        <f>IFERROR(__xludf.DUMMYFUNCTION("GOOGLETRANSLATE(D32,""zh-tw"",""KO"")"),"섀도우 소울 - DLC")</f>
        <v>섀도우 소울 - DLC</v>
      </c>
      <c r="Y32" s="151" t="str">
        <f>IFERROR(__xludf.DUMMYFUNCTION("GOOGLETRANSLATE(E32,""zh-tw"",""en"")"),"R28")</f>
        <v>R28</v>
      </c>
      <c r="Z32" s="149" t="str">
        <f>IFERROR(__xludf.DUMMYFUNCTION("GOOGLETRANSLATE(B32,""zh-tw"",""ru"")"),"DLC")</f>
        <v>DLC</v>
      </c>
      <c r="AA32" s="152" t="str">
        <f>IFERROR(__xludf.DUMMYFUNCTION("GOOGLETRANSLATE(C32,""zh-tw"",""RU"")"),"Путь искателя приключений: Место сбора Вы можете получить [что-то], разделив определенное количество встреч с рыцарем.")</f>
        <v>Путь искателя приключений: Место сбора Вы можете получить [что-то], разделив определенное количество встреч с рыцарем.</v>
      </c>
      <c r="AB32" s="44" t="str">
        <f>IFERROR(__xludf.DUMMYFUNCTION("GOOGLETRANSLATE(D32,""zh-tw"",""RU"")"),"Shadow Souls - DLC")</f>
        <v>Shadow Souls - DLC</v>
      </c>
      <c r="AC32" s="151" t="str">
        <f>IFERROR(__xludf.DUMMYFUNCTION("GOOGLETRANSLATE(I32,""zh-tw"",""en"")"),"R28")</f>
        <v>R28</v>
      </c>
      <c r="AD32" s="149" t="s">
        <v>2319</v>
      </c>
      <c r="AE32" s="152" t="str">
        <f>IFERROR(__xludf.DUMMYFUNCTION("GOOGLETRANSLATE(C32,""zh-tw"",""DE"")"),"Pfad des Abenteurers: Treffpunkt Du kannst [etwas] erhalten, indem du eine bestimmte Anzahl von Begegnungen mit dem Ritter absolvierst.")</f>
        <v>Pfad des Abenteurers: Treffpunkt Du kannst [etwas] erhalten, indem du eine bestimmte Anzahl von Begegnungen mit dem Ritter absolvierst.</v>
      </c>
      <c r="AF32" s="106" t="s">
        <v>2327</v>
      </c>
      <c r="AG32" s="155" t="s">
        <v>2318</v>
      </c>
      <c r="AH32" s="156" t="s">
        <v>2319</v>
      </c>
      <c r="AI32" s="157" t="s">
        <v>2328</v>
      </c>
      <c r="AJ32" s="158" t="s">
        <v>2329</v>
      </c>
      <c r="AK32" s="30"/>
      <c r="AL32" s="30"/>
    </row>
    <row r="33">
      <c r="A33" s="108" t="s">
        <v>2330</v>
      </c>
      <c r="B33" s="149" t="s">
        <v>2331</v>
      </c>
      <c r="C33" s="95" t="s">
        <v>2332</v>
      </c>
      <c r="D33" s="52" t="s">
        <v>2333</v>
      </c>
      <c r="E33" s="108" t="str">
        <f>IFERROR(__xludf.DUMMYFUNCTION("GOOGLETRANSLATE(A33,""zh-tw"",""ja"")"),"R29")</f>
        <v>R29</v>
      </c>
      <c r="F33" s="149" t="s">
        <v>2334</v>
      </c>
      <c r="G33" s="95" t="s">
        <v>2335</v>
      </c>
      <c r="H33" s="52" t="s">
        <v>2336</v>
      </c>
      <c r="I33" s="108" t="str">
        <f>IFERROR(__xludf.DUMMYFUNCTION("GOOGLETRANSLATE(A33,""zh-tw"",""en"")"),"R29")</f>
        <v>R29</v>
      </c>
      <c r="J33" s="149" t="s">
        <v>2337</v>
      </c>
      <c r="K33" s="95" t="s">
        <v>2338</v>
      </c>
      <c r="L33" s="52" t="s">
        <v>2339</v>
      </c>
      <c r="M33" s="115" t="str">
        <f>IFERROR(__xludf.DUMMYFUNCTION("GOOGLETRANSLATE(A33,""zh-tw"",""en"")"),"R29")</f>
        <v>R29</v>
      </c>
      <c r="N33" s="149" t="str">
        <f>IFERROR(__xludf.DUMMYFUNCTION("GOOGLETRANSLATE(B33,""zh-tw"",""zh"")"),"全部见闻")</f>
        <v>全部见闻</v>
      </c>
      <c r="O33" s="89" t="str">
        <f>IFERROR(__xludf.DUMMYFUNCTION("GOOGLETRANSLATE(C33,""zh-tw"",""zh"")"),"于冒险步道的骑士分享见闻：
怪鸟吼声/兽肉料理/ 走路菇料理/ 史莱姆料理/被遗弃的森林/打掉连接遗迹的石头/掉到洞窟/机甲/陪妹妹玩游戏揉大白兔
数字表示:事件编号")</f>
        <v>于冒险步道的骑士分享见闻：
怪鸟吼声/兽肉料理/ 走路菇料理/ 史莱姆料理/被遗弃的森林/打掉连接遗迹的石头/掉到洞窟/机甲/陪妹妹玩游戏揉大白兔
数字表示:事件编号</v>
      </c>
      <c r="P33" s="55" t="str">
        <f>IFERROR(__xludf.DUMMYFUNCTION("GOOGLETRANSLATE(D33,""zh-tw"",""zh"")"),"分享一定数量见闻后，会获得「特典T恤」，回家后会看到妹妹穿着的剧情。
(后续更衣功能尚未实装)")</f>
        <v>分享一定数量见闻后，会获得「特典T恤」，回家后会看到妹妹穿着的剧情。
(后续更衣功能尚未实装)</v>
      </c>
      <c r="Q33" s="115" t="str">
        <f>IFERROR(__xludf.DUMMYFUNCTION("GOOGLETRANSLATE(A33,""zh-tw"",""ja"")"),"R29")</f>
        <v>R29</v>
      </c>
      <c r="R33" s="149" t="s">
        <v>2340</v>
      </c>
      <c r="S33" s="95" t="s">
        <v>2341</v>
      </c>
      <c r="T33" s="55" t="str">
        <f>IFERROR(__xludf.DUMMYFUNCTION("GOOGLETRANSLATE(D33,""zh-tw"",""es-MX"")"),"Tras compartir varias de tus experiencias, recibirás una camiseta extra, que verás en una escena donde tu hermana la lleva puesta al llegar a casa.
(La función de cambio de ropa posterior aún no está implementada).")</f>
        <v>Tras compartir varias de tus experiencias, recibirás una camiseta extra, que verás en una escena donde tu hermana la lleva puesta al llegar a casa.
(La función de cambio de ropa posterior aún no está implementada).</v>
      </c>
      <c r="U33" s="151" t="str">
        <f>IFERROR(__xludf.DUMMYFUNCTION("GOOGLETRANSLATE(A33,""zh-tw"",""en"")"),"R29")</f>
        <v>R29</v>
      </c>
      <c r="V33" s="150" t="str">
        <f>IFERROR(__xludf.DUMMYFUNCTION("GOOGLETRANSLATE(B33,""zh-tw"",""KO"")"),"모든 관찰")</f>
        <v>모든 관찰</v>
      </c>
      <c r="W33" s="89" t="str">
        <f>IFERROR(__xludf.DUMMYFUNCTION("GOOGLETRANSLATE(C33,""zh-tw"",""KO"")"),"모험의 길에 나선 기사들이 각자의 경험을 공유합니다: 기묘한 새의 울음소리 / 짐승 고기 요리 / 걸어다니는 버섯 요리 / 슬라임 요리 / 버려진 숲 / 폐허로 이어지는 돌 부수기 / 동굴에 빠지기 / 메크 / 여동생과 놀고 그녀의 커다란 흰 토끼를 쓰다듬기
숫자는 다음을 나타냅니다: 이벤트 번호")</f>
        <v>모험의 길에 나선 기사들이 각자의 경험을 공유합니다: 기묘한 새의 울음소리 / 짐승 고기 요리 / 걸어다니는 버섯 요리 / 슬라임 요리 / 버려진 숲 / 폐허로 이어지는 돌 부수기 / 동굴에 빠지기 / 메크 / 여동생과 놀고 그녀의 커다란 흰 토끼를 쓰다듬기
숫자는 다음을 나타냅니다: 이벤트 번호</v>
      </c>
      <c r="X33" s="55" t="str">
        <f>IFERROR(__xludf.DUMMYFUNCTION("GOOGLETRANSLATE(D33,""zh-tw"",""KO"")"),"일정 횟수의 경험을 공유하면 ""보너스 티셔츠""를 받게 되는데, 집에 돌아왔을 때 언니가 입고 있는 장면에서 볼 수 있습니다.
(이후의 옷 갈아입기 기능은 아직 구현되지 않았습니다.)")</f>
        <v>일정 횟수의 경험을 공유하면 "보너스 티셔츠"를 받게 되는데, 집에 돌아왔을 때 언니가 입고 있는 장면에서 볼 수 있습니다.
(이후의 옷 갈아입기 기능은 아직 구현되지 않았습니다.)</v>
      </c>
      <c r="Y33" s="151" t="str">
        <f>IFERROR(__xludf.DUMMYFUNCTION("GOOGLETRANSLATE(E33,""zh-tw"",""en"")"),"R29")</f>
        <v>R29</v>
      </c>
      <c r="Z33" s="149" t="str">
        <f>IFERROR(__xludf.DUMMYFUNCTION("GOOGLETRANSLATE(B33,""zh-tw"",""ru"")"),"Все наблюдения")</f>
        <v>Все наблюдения</v>
      </c>
      <c r="AA33" s="152" t="str">
        <f>IFERROR(__xludf.DUMMYFUNCTION("GOOGLETRANSLATE(C33,""zh-tw"",""RU"")"),"Рыцари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поглаживани"&amp;"е её большого белого кролика.
Числа обозначают: Номера событий")</f>
        <v>Рыцари на Тропе Приключений делятся своими впечатлениями: Странный рев птиц / Блюдо из мяса зверя / Блюдо из ходячих грибов / Блюдо из слизи / Заброшенный лес / Разрушение камня, соединяющего руины / Падение в пещеру / Робот / Игры с сестрой и поглаживание её большого белого кролика.
Числа обозначают: Номера событий</v>
      </c>
      <c r="AB33" s="44" t="str">
        <f>IFERROR(__xludf.DUMMYFUNCTION("GOOGLETRANSLATE(D33,""zh-tw"",""RU"")"),"Поделившись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f>
        <v>Поделившись определённым количеством своих впечатлений, вы получите «бонусную футболку», которую увидите в сцене, где её носит ваша сестра, когда вы вернётесь домой.
(Функция последующей смены одежды пока не реализована.)</v>
      </c>
      <c r="AC33" s="151" t="str">
        <f>IFERROR(__xludf.DUMMYFUNCTION("GOOGLETRANSLATE(I33,""zh-tw"",""en"")"),"R29")</f>
        <v>R29</v>
      </c>
      <c r="AD33" s="149" t="s">
        <v>2342</v>
      </c>
      <c r="AE33" s="154" t="s">
        <v>2343</v>
      </c>
      <c r="AF33" s="106" t="s">
        <v>2344</v>
      </c>
      <c r="AG33" s="155" t="s">
        <v>2330</v>
      </c>
      <c r="AH33" s="156" t="s">
        <v>2345</v>
      </c>
      <c r="AI33" s="157" t="s">
        <v>2346</v>
      </c>
      <c r="AJ33" s="158" t="s">
        <v>2347</v>
      </c>
      <c r="AK33" s="30"/>
      <c r="AL33" s="30"/>
    </row>
    <row r="34">
      <c r="A34" s="108" t="s">
        <v>2348</v>
      </c>
      <c r="B34" s="149" t="s">
        <v>2349</v>
      </c>
      <c r="C34" s="95" t="s">
        <v>2350</v>
      </c>
      <c r="D34" s="52" t="s">
        <v>2351</v>
      </c>
      <c r="E34" s="108" t="str">
        <f>IFERROR(__xludf.DUMMYFUNCTION("GOOGLETRANSLATE(A34,""zh-tw"",""ja"")"),"R30")</f>
        <v>R30</v>
      </c>
      <c r="F34" s="149" t="s">
        <v>2352</v>
      </c>
      <c r="G34" s="95" t="s">
        <v>2353</v>
      </c>
      <c r="H34" s="52" t="s">
        <v>2354</v>
      </c>
      <c r="I34" s="108" t="str">
        <f>IFERROR(__xludf.DUMMYFUNCTION("GOOGLETRANSLATE(A34,""zh-tw"",""en"")"),"R30")</f>
        <v>R30</v>
      </c>
      <c r="J34" s="149" t="s">
        <v>2355</v>
      </c>
      <c r="K34" s="95" t="s">
        <v>2356</v>
      </c>
      <c r="L34" s="52" t="s">
        <v>2357</v>
      </c>
      <c r="M34" s="115" t="str">
        <f>IFERROR(__xludf.DUMMYFUNCTION("GOOGLETRANSLATE(A34,""zh-tw"",""en"")"),"R30")</f>
        <v>R30</v>
      </c>
      <c r="N34" s="149" t="str">
        <f>IFERROR(__xludf.DUMMYFUNCTION("GOOGLETRANSLATE(B34,""zh-tw"",""zh"")"),"遗留信")</f>
        <v>遗留信</v>
      </c>
      <c r="O34" s="89" t="str">
        <f>IFERROR(__xludf.DUMMYFUNCTION("GOOGLETRANSLATE(C34,""zh-tw"",""zh"")"),"冒险者小道:集结地
当完成骑士的相关的所有任务后，会发现信件，照着上面的提示前进吧")</f>
        <v>冒险者小道:集结地
当完成骑士的相关的所有任务后，会发现信件，照着上面的提示前进吧</v>
      </c>
      <c r="P34" s="55" t="str">
        <f>IFERROR(__xludf.DUMMYFUNCTION("GOOGLETRANSLATE(D34,""zh-tw"",""zh"")"),"遗留信内容
(后续未实装)")</f>
        <v>遗留信内容
(后续未实装)</v>
      </c>
      <c r="Q34" s="115" t="str">
        <f>IFERROR(__xludf.DUMMYFUNCTION("GOOGLETRANSLATE(A34,""zh-tw"",""ja"")"),"R30")</f>
        <v>R30</v>
      </c>
      <c r="R34" s="150" t="str">
        <f>IFERROR(__xludf.DUMMYFUNCTION("GOOGLETRANSLATE(B34,""zh-tw"",""es-MX"")"),"Última carta")</f>
        <v>Última carta</v>
      </c>
      <c r="S34" s="89" t="str">
        <f>IFERROR(__xludf.DUMMYFUNCTION("GOOGLETRANSLATE(C34,""zh-tw"",""es-MX"")"),"Sendero del Aventurero: Punto de Encuentro
Tras completar todas las misiones relacionadas con los caballeros, encontrarás una carta. Sigue las instrucciones para continuar.")</f>
        <v>Sendero del Aventurero: Punto de Encuentro
Tras completar todas las misiones relacionadas con los caballeros, encontrarás una carta. Sigue las instrucciones para continuar.</v>
      </c>
      <c r="T34" s="55" t="str">
        <f>IFERROR(__xludf.DUMMYFUNCTION("GOOGLETRANSLATE(D34,""zh-tw"",""es-MX"")"),"Contenido de la carta que se conserva
(No se implementó posteriormente)")</f>
        <v>Contenido de la carta que se conserva
(No se implementó posteriormente)</v>
      </c>
      <c r="U34" s="151" t="str">
        <f>IFERROR(__xludf.DUMMYFUNCTION("GOOGLETRANSLATE(A34,""zh-tw"",""en"")"),"R30")</f>
        <v>R30</v>
      </c>
      <c r="V34" s="150" t="str">
        <f>IFERROR(__xludf.DUMMYFUNCTION("GOOGLETRANSLATE(B34,""zh-tw"",""KO"")"),"전신")</f>
        <v>전신</v>
      </c>
      <c r="W34" s="89" t="str">
        <f>IFERROR(__xludf.DUMMYFUNCTION("GOOGLETRANSLATE(C34,""zh-tw"",""KO"")"),"모험가의 길: 모임 장소
기사 관련 퀘스트를 모두 완료하면 편지를 발견할 수 있습니다. 편지에 적힌 지시에 따라 진행하세요.")</f>
        <v>모험가의 길: 모임 장소
기사 관련 퀘스트를 모두 완료하면 편지를 발견할 수 있습니다. 편지에 적힌 지시에 따라 진행하세요.</v>
      </c>
      <c r="X34" s="55" t="str">
        <f>IFERROR(__xludf.DUMMYFUNCTION("GOOGLETRANSLATE(D34,""zh-tw"",""KO"")"),"남아 있는 편지의 내용
(이후 시행되지 않음)")</f>
        <v>남아 있는 편지의 내용
(이후 시행되지 않음)</v>
      </c>
      <c r="Y34" s="151" t="str">
        <f>IFERROR(__xludf.DUMMYFUNCTION("GOOGLETRANSLATE(E34,""zh-tw"",""en"")"),"R30")</f>
        <v>R30</v>
      </c>
      <c r="Z34" s="149" t="str">
        <f>IFERROR(__xludf.DUMMYFUNCTION("GOOGLETRANSLATE(B34,""zh-tw"",""ru"")"),"Последнее письмо")</f>
        <v>Последнее письмо</v>
      </c>
      <c r="AA34" s="152" t="str">
        <f>IFERROR(__xludf.DUMMYFUNCTION("GOOGLETRANSLATE(C34,""zh-tw"",""RU"")"),"Путь искателя приключений: Место сбора
Выполнив все задания, связанные с рыцарями, вы найдёте письмо. Следуйте инструкциям в нём, чтобы продолжить.")</f>
        <v>Путь искателя приключений: Место сбора
Выполнив все задания, связанные с рыцарями, вы найдёте письмо. Следуйте инструкциям в нём, чтобы продолжить.</v>
      </c>
      <c r="AB34" s="44" t="str">
        <f>IFERROR(__xludf.DUMMYFUNCTION("GOOGLETRANSLATE(D34,""zh-tw"",""RU"")"),"Содержание сохранившегося письма
(Впоследствии не реализовано)")</f>
        <v>Содержание сохранившегося письма
(Впоследствии не реализовано)</v>
      </c>
      <c r="AC34" s="151" t="str">
        <f>IFERROR(__xludf.DUMMYFUNCTION("GOOGLETRANSLATE(I34,""zh-tw"",""en"")"),"R30")</f>
        <v>R30</v>
      </c>
      <c r="AD34" s="149" t="s">
        <v>2358</v>
      </c>
      <c r="AE34" s="154" t="s">
        <v>2359</v>
      </c>
      <c r="AF34" s="106" t="s">
        <v>2360</v>
      </c>
      <c r="AG34" s="155" t="s">
        <v>2348</v>
      </c>
      <c r="AH34" s="156" t="s">
        <v>2361</v>
      </c>
      <c r="AI34" s="157" t="s">
        <v>2362</v>
      </c>
      <c r="AJ34" s="158" t="s">
        <v>2363</v>
      </c>
      <c r="AK34" s="30"/>
      <c r="AL34" s="30"/>
    </row>
    <row r="35">
      <c r="A35" s="108" t="s">
        <v>2364</v>
      </c>
      <c r="B35" s="149" t="s">
        <v>2365</v>
      </c>
      <c r="C35" s="95" t="s">
        <v>2366</v>
      </c>
      <c r="D35" s="52" t="s">
        <v>2367</v>
      </c>
      <c r="E35" s="108" t="str">
        <f>IFERROR(__xludf.DUMMYFUNCTION("GOOGLETRANSLATE(A35,""zh-tw"",""ja"")"),"R31")</f>
        <v>R31</v>
      </c>
      <c r="F35" s="149" t="s">
        <v>2368</v>
      </c>
      <c r="G35" s="95" t="s">
        <v>2369</v>
      </c>
      <c r="H35" s="52" t="s">
        <v>2370</v>
      </c>
      <c r="I35" s="108" t="str">
        <f>IFERROR(__xludf.DUMMYFUNCTION("GOOGLETRANSLATE(A35,""zh-tw"",""en"")"),"R31")</f>
        <v>R31</v>
      </c>
      <c r="J35" s="149" t="s">
        <v>2371</v>
      </c>
      <c r="K35" s="95" t="s">
        <v>2372</v>
      </c>
      <c r="L35" s="52" t="s">
        <v>2373</v>
      </c>
      <c r="M35" s="115" t="str">
        <f>IFERROR(__xludf.DUMMYFUNCTION("GOOGLETRANSLATE(A35,""zh-tw"",""en"")"),"R31")</f>
        <v>R31</v>
      </c>
      <c r="N35" s="149" t="str">
        <f>IFERROR(__xludf.DUMMYFUNCTION("GOOGLETRANSLATE(B35,""zh-tw"",""zh"")"),"炎热天气1")</f>
        <v>炎热天气1</v>
      </c>
      <c r="O35" s="89" t="str">
        <f>IFERROR(__xludf.DUMMYFUNCTION("GOOGLETRANSLATE(C35,""zh-tw"",""zh"")"),"晴天时，外出有机率变为炎热。
(妹妹若已经收到了T恤，炎热机率会提升)")</f>
        <v>晴天时，外出有机率变为炎热。
(妹妹若已经收到了T恤，炎热机率会提升)</v>
      </c>
      <c r="P35" s="55" t="str">
        <f>IFERROR(__xludf.DUMMYFUNCTION("GOOGLETRANSLATE(D35,""zh-tw"",""zh"")"),"部分NPC会躲起来
若提前回家(不可使用星之门)，妹妹有炎热天气相关剧情")</f>
        <v>部分NPC会躲起来
若提前回家(不可使用星之门)，妹妹有炎热天气相关剧情</v>
      </c>
      <c r="Q35" s="115" t="str">
        <f>IFERROR(__xludf.DUMMYFUNCTION("GOOGLETRANSLATE(A35,""zh-tw"",""ja"")"),"R31")</f>
        <v>R31</v>
      </c>
      <c r="R35" s="149" t="s">
        <v>2374</v>
      </c>
      <c r="S35" s="89" t="str">
        <f>IFERROR(__xludf.DUMMYFUNCTION("GOOGLETRANSLATE(C35,""zh-tw"",""es-MX"")"),"En días soleados, es probable que haga calor.
(Si tu hermana ya recibió la camiseta, la probabilidad de que haga calor aumenta).")</f>
        <v>En días soleados, es probable que haga calor.
(Si tu hermana ya recibió la camiseta, la probabilidad de que haga calor aumenta).</v>
      </c>
      <c r="T35" s="55" t="str">
        <f>IFERROR(__xludf.DUMMYFUNCTION("GOOGLETRANSLATE(D35,""zh-tw"",""es-MX"")"),"Algunos PNJ se esconderán.
Si regresas a casa antes de tiempo (y no puedes usar el Portal Estelar), habrá un evento relacionado con el calor para tu hermana.")</f>
        <v>Algunos PNJ se esconderán.
Si regresas a casa antes de tiempo (y no puedes usar el Portal Estelar), habrá un evento relacionado con el calor para tu hermana.</v>
      </c>
      <c r="U35" s="151" t="str">
        <f>IFERROR(__xludf.DUMMYFUNCTION("GOOGLETRANSLATE(A35,""zh-tw"",""en"")"),"R31")</f>
        <v>R31</v>
      </c>
      <c r="V35" s="150" t="str">
        <f>IFERROR(__xludf.DUMMYFUNCTION("GOOGLETRANSLATE(B35,""zh-tw"",""KO"")"),"더운 날씨 1")</f>
        <v>더운 날씨 1</v>
      </c>
      <c r="W35" s="89" t="str">
        <f>IFERROR(__xludf.DUMMYFUNCTION("GOOGLETRANSLATE(C35,""zh-tw"",""KO"")"),"화창한 날에는 밖이 더울 수 있습니다.
(자매님이 이미 티셔츠를 받았다면 더울 가능성이 커집니다.)")</f>
        <v>화창한 날에는 밖이 더울 수 있습니다.
(자매님이 이미 티셔츠를 받았다면 더울 가능성이 커집니다.)</v>
      </c>
      <c r="X35" s="55" t="str">
        <f>IFERROR(__xludf.DUMMYFUNCTION("GOOGLETRANSLATE(D35,""zh-tw"",""KO"")"),"일부 NPC는 숨어 있을 것입니다.
일찍 집에 돌아가면 (그리고 스타 게이트를 이용할 수 없다면), 여동생에게 더위 관련 이벤트가 발생합니다.")</f>
        <v>일부 NPC는 숨어 있을 것입니다.
일찍 집에 돌아가면 (그리고 스타 게이트를 이용할 수 없다면), 여동생에게 더위 관련 이벤트가 발생합니다.</v>
      </c>
      <c r="Y35" s="151" t="str">
        <f>IFERROR(__xludf.DUMMYFUNCTION("GOOGLETRANSLATE(E35,""zh-tw"",""en"")"),"R31")</f>
        <v>R31</v>
      </c>
      <c r="Z35" s="149" t="str">
        <f>IFERROR(__xludf.DUMMYFUNCTION("GOOGLETRANSLATE(B35,""zh-tw"",""ru"")"),"Жаркая погода 1")</f>
        <v>Жаркая погода 1</v>
      </c>
      <c r="AA35" s="152" t="str">
        <f>IFERROR(__xludf.DUMMYFUNCTION("GOOGLETRANSLATE(C35,""zh-tw"",""RU"")"),"В солнечные дни на улице может быть жарко.
(Если ваша сестра уже получила футболку, вероятность того, что будет жарко, увеличивается.)")</f>
        <v>В солнечные дни на улице может быть жарко.
(Если ваша сестра уже получила футболку, вероятность того, что будет жарко, увеличивается.)</v>
      </c>
      <c r="AB35" s="44" t="str">
        <f>IFERROR(__xludf.DUMMYFUNCTION("GOOGLETRANSLATE(D35,""zh-tw"",""RU"")"),"Некоторые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f>
        <v>Некоторые NPC будут прятаться.
Если вы вернётесь домой раньше времени (и не сможете воспользоваться Звёздными Вратами), вашу сестру ждёт событие, связанное с жаркой погодой.</v>
      </c>
      <c r="AC35" s="151" t="str">
        <f>IFERROR(__xludf.DUMMYFUNCTION("GOOGLETRANSLATE(I35,""zh-tw"",""en"")"),"R31")</f>
        <v>R31</v>
      </c>
      <c r="AD35" s="149" t="s">
        <v>2375</v>
      </c>
      <c r="AE35" s="154" t="s">
        <v>2376</v>
      </c>
      <c r="AF35" s="106" t="s">
        <v>2377</v>
      </c>
      <c r="AG35" s="155" t="s">
        <v>2364</v>
      </c>
      <c r="AH35" s="156" t="s">
        <v>2378</v>
      </c>
      <c r="AI35" s="157" t="s">
        <v>2379</v>
      </c>
      <c r="AJ35" s="158" t="s">
        <v>2380</v>
      </c>
      <c r="AK35" s="30"/>
      <c r="AL35" s="30"/>
    </row>
    <row r="36">
      <c r="A36" s="108" t="s">
        <v>2381</v>
      </c>
      <c r="B36" s="149" t="s">
        <v>2382</v>
      </c>
      <c r="C36" s="95" t="s">
        <v>2383</v>
      </c>
      <c r="D36" s="52" t="s">
        <v>2384</v>
      </c>
      <c r="E36" s="108" t="str">
        <f>IFERROR(__xludf.DUMMYFUNCTION("GOOGLETRANSLATE(A36,""zh-tw"",""ja"")"),"R32")</f>
        <v>R32</v>
      </c>
      <c r="F36" s="149" t="s">
        <v>2385</v>
      </c>
      <c r="G36" s="95" t="s">
        <v>2386</v>
      </c>
      <c r="H36" s="52" t="s">
        <v>2387</v>
      </c>
      <c r="I36" s="108" t="str">
        <f>IFERROR(__xludf.DUMMYFUNCTION("GOOGLETRANSLATE(A36,""zh-tw"",""en"")"),"R32")</f>
        <v>R32</v>
      </c>
      <c r="J36" s="149" t="s">
        <v>2388</v>
      </c>
      <c r="K36" s="95" t="s">
        <v>2389</v>
      </c>
      <c r="L36" s="52" t="s">
        <v>2390</v>
      </c>
      <c r="M36" s="115" t="str">
        <f>IFERROR(__xludf.DUMMYFUNCTION("GOOGLETRANSLATE(A36,""zh-tw"",""en"")"),"R32")</f>
        <v>R32</v>
      </c>
      <c r="N36" s="149" t="str">
        <f>IFERROR(__xludf.DUMMYFUNCTION("GOOGLETRANSLATE(B36,""zh-tw"",""zh"")"),"炎热天气2
特典T恤")</f>
        <v>炎热天气2
特典T恤</v>
      </c>
      <c r="O36" s="89" t="str">
        <f>IFERROR(__xludf.DUMMYFUNCTION("GOOGLETRANSLATE(C36,""zh-tw"",""zh"")"),"同上，若有T恤时，将有分支剧情")</f>
        <v>同上，若有T恤时，将有分支剧情</v>
      </c>
      <c r="P36" s="55" t="str">
        <f>IFERROR(__xludf.DUMMYFUNCTION("GOOGLETRANSLATE(D36,""zh-tw"",""zh"")"),"同上
炎热天气分支剧情
(现版本不管你有没有取得T恤，都会是自动穿上这套)")</f>
        <v>同上
炎热天气分支剧情
(现版本不管你有没有取得T恤，都会是自动穿上这套)</v>
      </c>
      <c r="Q36" s="115" t="str">
        <f>IFERROR(__xludf.DUMMYFUNCTION("GOOGLETRANSLATE(A36,""zh-tw"",""ja"")"),"R32")</f>
        <v>R32</v>
      </c>
      <c r="R36" s="149" t="s">
        <v>2391</v>
      </c>
      <c r="S36" s="95" t="s">
        <v>2392</v>
      </c>
      <c r="T36" s="55" t="str">
        <f>IFERROR(__xludf.DUMMYFUNCTION("GOOGLETRANSLATE(D36,""zh-tw"",""es-MX"")"),"Igual que lo anterior. Historia paralela para climas cálidos.
(En la versión actual, este atuendo se usará automáticamente, independientemente de si has obtenido la camiseta o no).")</f>
        <v>Igual que lo anterior. Historia paralela para climas cálidos.
(En la versión actual, este atuendo se usará automáticamente, independientemente de si has obtenido la camiseta o no).</v>
      </c>
      <c r="U36" s="151" t="str">
        <f>IFERROR(__xludf.DUMMYFUNCTION("GOOGLETRANSLATE(A36,""zh-tw"",""en"")"),"R32")</f>
        <v>R32</v>
      </c>
      <c r="V36" s="150" t="str">
        <f>IFERROR(__xludf.DUMMYFUNCTION("GOOGLETRANSLATE(B36,""zh-tw"",""KO"")"),"더운 날씨 2 보너스 티셔츠")</f>
        <v>더운 날씨 2 보너스 티셔츠</v>
      </c>
      <c r="W36" s="89" t="str">
        <f>IFERROR(__xludf.DUMMYFUNCTION("GOOGLETRANSLATE(C36,""zh-tw"",""KO"")"),"위와 같이 티셔츠가 있으면 스토리라인이 분기화됩니다.")</f>
        <v>위와 같이 티셔츠가 있으면 스토리라인이 분기화됩니다.</v>
      </c>
      <c r="X36" s="55" t="str">
        <f>IFERROR(__xludf.DUMMYFUNCTION("GOOGLETRANSLATE(D36,""zh-tw"",""KO"")"),"위와 동일합니다. 더운 날씨 관련 추가 스토리
(현재 버전에서는 티셔츠 획득 여부와 관계없이 이 의상을 자동으로 착용하게 됩니다.)")</f>
        <v>위와 동일합니다. 더운 날씨 관련 추가 스토리
(현재 버전에서는 티셔츠 획득 여부와 관계없이 이 의상을 자동으로 착용하게 됩니다.)</v>
      </c>
      <c r="Y36" s="151" t="str">
        <f>IFERROR(__xludf.DUMMYFUNCTION("GOOGLETRANSLATE(E36,""zh-tw"",""en"")"),"R32")</f>
        <v>R32</v>
      </c>
      <c r="Z36" s="149" t="str">
        <f>IFERROR(__xludf.DUMMYFUNCTION("GOOGLETRANSLATE(B36,""zh-tw"",""ru"")"),"Бонусная футболка «Жаркая погода 2»")</f>
        <v>Бонусная футболка «Жаркая погода 2»</v>
      </c>
      <c r="AA36" s="152" t="str">
        <f>IFERROR(__xludf.DUMMYFUNCTION("GOOGLETRANSLATE(C36,""zh-tw"",""RU"")"),"Как и в предыдущем случае, если присутствует футболка, то сюжетная линия будет разветвленной.")</f>
        <v>Как и в предыдущем случае, если присутствует футболка, то сюжетная линия будет разветвленной.</v>
      </c>
      <c r="AB36" s="44" t="str">
        <f>IFERROR(__xludf.DUMMYFUNCTION("GOOGLETRANSLATE(D36,""zh-tw"",""RU"")"),"То же, что и выше. История про жаркую погоду.
(В текущей версии вы будете носить этот наряд автоматически, независимо от того, получили ли вы футболку или нет.)")</f>
        <v>То же, что и выше. История про жаркую погоду.
(В текущей версии вы будете носить этот наряд автоматически, независимо от того, получили ли вы футболку или нет.)</v>
      </c>
      <c r="AC36" s="151" t="str">
        <f>IFERROR(__xludf.DUMMYFUNCTION("GOOGLETRANSLATE(I36,""zh-tw"",""en"")"),"R32")</f>
        <v>R32</v>
      </c>
      <c r="AD36" s="149" t="s">
        <v>2393</v>
      </c>
      <c r="AE36" s="154" t="s">
        <v>2394</v>
      </c>
      <c r="AF36" s="106" t="s">
        <v>2395</v>
      </c>
      <c r="AG36" s="155" t="s">
        <v>2381</v>
      </c>
      <c r="AH36" s="156" t="s">
        <v>2396</v>
      </c>
      <c r="AI36" s="157" t="s">
        <v>2397</v>
      </c>
      <c r="AJ36" s="158" t="s">
        <v>2398</v>
      </c>
      <c r="AK36" s="30"/>
      <c r="AL36" s="30"/>
    </row>
    <row r="37">
      <c r="A37" s="108" t="s">
        <v>2399</v>
      </c>
      <c r="B37" s="149" t="s">
        <v>2400</v>
      </c>
      <c r="C37" s="95" t="s">
        <v>2401</v>
      </c>
      <c r="D37" s="52" t="s">
        <v>2402</v>
      </c>
      <c r="E37" s="108" t="str">
        <f>IFERROR(__xludf.DUMMYFUNCTION("GOOGLETRANSLATE(A37,""zh-tw"",""ja"")"),"R33")</f>
        <v>R33</v>
      </c>
      <c r="F37" s="149" t="s">
        <v>2403</v>
      </c>
      <c r="G37" s="159" t="str">
        <f>IFERROR(__xludf.DUMMYFUNCTION("GOOGLETRANSLATE(C37,""zh-tw"",""ja"")"),"同様に、「戦車」のタロットカードで召喚されたショップカートから扇風機を購入することができます。")</f>
        <v>同様に、「戦車」のタロットカードで召喚されたショップカートから扇風機を購入することができます。</v>
      </c>
      <c r="H37" s="52" t="s">
        <v>2404</v>
      </c>
      <c r="I37" s="108" t="str">
        <f>IFERROR(__xludf.DUMMYFUNCTION("GOOGLETRANSLATE(A37,""zh-tw"",""en"")"),"R33")</f>
        <v>R33</v>
      </c>
      <c r="J37" s="149" t="s">
        <v>2405</v>
      </c>
      <c r="K37" s="159" t="s">
        <v>2406</v>
      </c>
      <c r="L37" s="52" t="s">
        <v>2407</v>
      </c>
      <c r="M37" s="115" t="str">
        <f>IFERROR(__xludf.DUMMYFUNCTION("GOOGLETRANSLATE(A37,""zh-tw"",""en"")"),"R33")</f>
        <v>R33</v>
      </c>
      <c r="N37" s="149" t="str">
        <f>IFERROR(__xludf.DUMMYFUNCTION("GOOGLETRANSLATE(B37,""zh-tw"",""zh"")"),"炎热天气3
电风扇")</f>
        <v>炎热天气3
电风扇</v>
      </c>
      <c r="O37" s="89" t="str">
        <f>IFERROR(__xludf.DUMMYFUNCTION("GOOGLETRANSLATE(C37,""zh-tw"",""zh"")"),"同上，可以透过""战车""塔罗牌召唤的商店车中，购买电风扇")</f>
        <v>同上，可以透过"战车"塔罗牌召唤的商店车中，购买电风扇</v>
      </c>
      <c r="P37" s="55" t="str">
        <f>IFERROR(__xludf.DUMMYFUNCTION("GOOGLETRANSLATE(D37,""zh-tw"",""zh"")"),"获得电风扇
炎热天气分支剧情")</f>
        <v>获得电风扇
炎热天气分支剧情</v>
      </c>
      <c r="Q37" s="115" t="str">
        <f>IFERROR(__xludf.DUMMYFUNCTION("GOOGLETRANSLATE(A37,""zh-tw"",""ja"")"),"R33")</f>
        <v>R33</v>
      </c>
      <c r="R37" s="149" t="s">
        <v>2408</v>
      </c>
      <c r="S37" s="95" t="s">
        <v>2409</v>
      </c>
      <c r="T37" s="55" t="str">
        <f>IFERROR(__xludf.DUMMYFUNCTION("GOOGLETRANSLATE(D37,""zh-tw"",""es-MX"")"),"Consigue un ventilador eléctrico. Historia paralela sobre el calor.")</f>
        <v>Consigue un ventilador eléctrico. Historia paralela sobre el calor.</v>
      </c>
      <c r="U37" s="151" t="str">
        <f>IFERROR(__xludf.DUMMYFUNCTION("GOOGLETRANSLATE(A37,""zh-tw"",""en"")"),"R33")</f>
        <v>R33</v>
      </c>
      <c r="V37" s="150" t="str">
        <f>IFERROR(__xludf.DUMMYFUNCTION("GOOGLETRANSLATE(B37,""zh-tw"",""KO"")"),"더운 날씨 3. 전기 선풍기")</f>
        <v>더운 날씨 3. 전기 선풍기</v>
      </c>
      <c r="W37" s="89" t="str">
        <f>IFERROR(__xludf.DUMMYFUNCTION("GOOGLETRANSLATE(C37,""zh-tw"",""KO"")"),"마찬가지로, 타로 카드 ""전차""가 소환한 상점 카트에서 전기 선풍기를 구매할 수 있습니다.")</f>
        <v>마찬가지로, 타로 카드 "전차"가 소환한 상점 카트에서 전기 선풍기를 구매할 수 있습니다.</v>
      </c>
      <c r="X37" s="55" t="str">
        <f>IFERROR(__xludf.DUMMYFUNCTION("GOOGLETRANSLATE(D37,""zh-tw"",""KO"")"),"선풍기를 구하세요. 더운 날씨에 대한 이야기입니다.")</f>
        <v>선풍기를 구하세요. 더운 날씨에 대한 이야기입니다.</v>
      </c>
      <c r="Y37" s="151" t="str">
        <f>IFERROR(__xludf.DUMMYFUNCTION("GOOGLETRANSLATE(E37,""zh-tw"",""en"")"),"R33")</f>
        <v>R33</v>
      </c>
      <c r="Z37" s="149" t="str">
        <f>IFERROR(__xludf.DUMMYFUNCTION("GOOGLETRANSLATE(B37,""zh-tw"",""ru"")"),"Жаркая погода 3. Электрический вентилятор")</f>
        <v>Жаркая погода 3. Электрический вентилятор</v>
      </c>
      <c r="AA37" s="152" t="str">
        <f>IFERROR(__xludf.DUMMYFUNCTION("GOOGLETRANSLATE(C37,""zh-tw"",""RU"")"),"Аналогичным образом вы можете приобрести электрический вентилятор в магазинной тележке, вызванной картой Таро «Колесница».")</f>
        <v>Аналогичным образом вы можете приобрести электрический вентилятор в магазинной тележке, вызванной картой Таро «Колесница».</v>
      </c>
      <c r="AB37" s="44" t="str">
        <f>IFERROR(__xludf.DUMMYFUNCTION("GOOGLETRANSLATE(D37,""zh-tw"",""RU"")"),"Купите электрический вентилятор. История о жаркой погоде.")</f>
        <v>Купите электрический вентилятор. История о жаркой погоде.</v>
      </c>
      <c r="AC37" s="151" t="str">
        <f>IFERROR(__xludf.DUMMYFUNCTION("GOOGLETRANSLATE(I37,""zh-tw"",""en"")"),"R33")</f>
        <v>R33</v>
      </c>
      <c r="AD37" s="149" t="s">
        <v>2410</v>
      </c>
      <c r="AE37" s="154" t="s">
        <v>2411</v>
      </c>
      <c r="AF37" s="106" t="s">
        <v>2412</v>
      </c>
      <c r="AG37" s="155" t="s">
        <v>2399</v>
      </c>
      <c r="AH37" s="156" t="s">
        <v>2413</v>
      </c>
      <c r="AI37" s="157" t="s">
        <v>2414</v>
      </c>
      <c r="AJ37" s="158" t="s">
        <v>2415</v>
      </c>
      <c r="AK37" s="30"/>
      <c r="AL37" s="30"/>
    </row>
    <row r="38">
      <c r="A38" s="108" t="s">
        <v>2416</v>
      </c>
      <c r="B38" s="149"/>
      <c r="C38" s="95"/>
      <c r="D38" s="52"/>
      <c r="E38" s="108" t="s">
        <v>2416</v>
      </c>
      <c r="F38" s="149"/>
      <c r="G38" s="95"/>
      <c r="H38" s="52"/>
      <c r="I38" s="108" t="s">
        <v>2416</v>
      </c>
      <c r="J38" s="149"/>
      <c r="K38" s="95"/>
      <c r="L38" s="52"/>
      <c r="M38" s="108" t="s">
        <v>2416</v>
      </c>
      <c r="N38" s="149"/>
      <c r="O38" s="89"/>
      <c r="P38" s="55"/>
      <c r="Q38" s="108" t="s">
        <v>2416</v>
      </c>
      <c r="R38" s="149"/>
      <c r="S38" s="95"/>
      <c r="T38" s="55"/>
      <c r="U38" s="108" t="s">
        <v>2416</v>
      </c>
      <c r="V38" s="150"/>
      <c r="W38" s="89"/>
      <c r="X38" s="55"/>
      <c r="Y38" s="108" t="s">
        <v>2416</v>
      </c>
      <c r="Z38" s="149"/>
      <c r="AA38" s="152"/>
      <c r="AB38" s="44"/>
      <c r="AC38" s="108" t="s">
        <v>2416</v>
      </c>
      <c r="AD38" s="149"/>
      <c r="AE38" s="154"/>
      <c r="AF38" s="106"/>
      <c r="AG38" s="108" t="s">
        <v>2416</v>
      </c>
      <c r="AH38" s="156"/>
      <c r="AI38" s="157"/>
      <c r="AJ38" s="158"/>
      <c r="AK38" s="30"/>
      <c r="AL38" s="30"/>
    </row>
    <row r="39">
      <c r="A39" s="108" t="s">
        <v>2417</v>
      </c>
      <c r="B39" s="149" t="s">
        <v>2418</v>
      </c>
      <c r="C39" s="95" t="s">
        <v>2419</v>
      </c>
      <c r="D39" s="52" t="s">
        <v>2420</v>
      </c>
      <c r="E39" s="108" t="str">
        <f>IFERROR(__xludf.DUMMYFUNCTION("GOOGLETRANSLATE(A39,""zh-tw"",""ja"")"),"R35")</f>
        <v>R35</v>
      </c>
      <c r="F39" s="149" t="s">
        <v>2421</v>
      </c>
      <c r="G39" s="159" t="s">
        <v>2422</v>
      </c>
      <c r="H39" s="52" t="s">
        <v>2423</v>
      </c>
      <c r="I39" s="108" t="str">
        <f>IFERROR(__xludf.DUMMYFUNCTION("GOOGLETRANSLATE(A39,""zh-tw"",""en"")"),"R35")</f>
        <v>R35</v>
      </c>
      <c r="J39" s="149" t="s">
        <v>2424</v>
      </c>
      <c r="K39" s="95" t="s">
        <v>2425</v>
      </c>
      <c r="L39" s="52" t="s">
        <v>2426</v>
      </c>
      <c r="M39" s="115" t="str">
        <f>IFERROR(__xludf.DUMMYFUNCTION("GOOGLETRANSLATE(A39,""zh-tw"",""en"")"),"R35")</f>
        <v>R35</v>
      </c>
      <c r="N39" s="149" t="str">
        <f>IFERROR(__xludf.DUMMYFUNCTION("GOOGLETRANSLATE(B39,""zh-tw"",""zh"")"),"神秘商店")</f>
        <v>神秘商店</v>
      </c>
      <c r="O39" s="95" t="s">
        <v>2427</v>
      </c>
      <c r="P39" s="55" t="str">
        <f>IFERROR(__xludf.DUMMYFUNCTION("GOOGLETRANSLATE(D39,""zh-tw"",""zh"")"),"初次见到时有两个选项的对话，""""请记得都要对话完成""""。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f>
        <v>初次见到时有两个选项的对话，""请记得都要对话完成""。
否则错过之后就不会再有了，会错失之后出现的商品。
*
可以使用此代码(仅用于召唤商店，可能产生BUG，请谨慎使用)
在晴天时，找一个遗迹森林的空地，F12-&gt;第二栏位(Console)
输入脚本
QJ.SE.spawnRegionNum(1,94,[118],1,true)
之后案ENTER键就可以召唤了</v>
      </c>
      <c r="Q39" s="115" t="str">
        <f>IFERROR(__xludf.DUMMYFUNCTION("GOOGLETRANSLATE(A39,""zh-tw"",""ja"")"),"R35")</f>
        <v>R35</v>
      </c>
      <c r="R39" s="149" t="s">
        <v>2428</v>
      </c>
      <c r="S39" s="95" t="s">
        <v>2429</v>
      </c>
      <c r="T39" s="55" t="str">
        <f>IFERROR(__xludf.DUMMYFUNCTION("GOOGLETRANSLATE(D39,""zh-tw"",""es-MX"")"),"Al encontrarte por primera vez con la tienda, verás dos opciones de diálogo. «Recuerda completar ambas».
De lo contrario, te perderás objetos futuros.
* Puedes usar este código (solo para invocar la tienda; puede causar errores, úsalo con precaución): E"&amp;"n un día soleado, busca una zona abierta en el Bosque de las Ruinas, pulsa F12 -&gt; Segunda pestaña (Consola),
Introduce el siguiente script:
QJ.SE.spawnRegionNum(1,94,[118],1,true)
Luego pulsa ENTER para invocarla.")</f>
        <v>Al encontrarte por primera vez con la tienda, verás dos opciones de diálogo. «Recuerda completar ambas».
De lo contrario, te perderás objetos futuros.
* Puedes usar este código (solo para invocar la tienda; puede causar errores, úsalo con precaución): En un día soleado, busca una zona abierta en el Bosque de las Ruinas, pulsa F12 -&gt; Segunda pestaña (Consola),
Introduce el siguiente script:
QJ.SE.spawnRegionNum(1,94,[118],1,true)
Luego pulsa ENTER para invocarla.</v>
      </c>
      <c r="U39" s="151" t="str">
        <f>IFERROR(__xludf.DUMMYFUNCTION("GOOGLETRANSLATE(A39,""zh-tw"",""en"")"),"R35")</f>
        <v>R35</v>
      </c>
      <c r="V39" s="150" t="str">
        <f>IFERROR(__xludf.DUMMYFUNCTION("GOOGLETRANSLATE(B39,""zh-tw"",""KO"")"),"미스터리 샵")</f>
        <v>미스터리 샵</v>
      </c>
      <c r="W39" s="89" t="str">
        <f>IFERROR(__xludf.DUMMYFUNCTION("GOOGLETRANSLATE(C39,""zh-tw"",""KO"")"),"화창한 날에는 60% 확률로 ""폐허의 숲"" 시리즈 내 무작위 위치에 생성됩니다.
""폐허의 숲"" 시리즈는 지도에 표시되어 있으며, ""잃어버린 숲""이 아닙니다.")</f>
        <v>화창한 날에는 60% 확률로 "폐허의 숲" 시리즈 내 무작위 위치에 생성됩니다.
"폐허의 숲" 시리즈는 지도에 표시되어 있으며, "잃어버린 숲"이 아닙니다.</v>
      </c>
      <c r="X39" s="55" t="str">
        <f>IFERROR(__xludf.DUMMYFUNCTION("GOOGLETRANSLATE(D39,""zh-tw"",""KO"")"),"상점을 처음 방문하면 두 가지 대화 옵션이 있습니다. ""두 대화 옵션을 모두 완료해야 합니다.""
그렇지 않으면 향후 아이템을 획득하지 못하게 됩니다.
* 다음 코드를 사용할 수 있습니다(상점 소환에만 사용 가능하며, 버그가 발생할 수 있으므로 사용 시 주의하세요).
맑은 날, 폐허 숲의 빈 공간을 찾아 F12 키를 누르고 두 번째 탭(콘솔)을 클릭합니다.
스크립트를 입력합니다.
QJ.SE.spawnRegionNum(1,94,[118],1,true"&amp;")
그런 다음 Enter 키를 눌러 소환합니다.")</f>
        <v>상점을 처음 방문하면 두 가지 대화 옵션이 있습니다. "두 대화 옵션을 모두 완료해야 합니다."
그렇지 않으면 향후 아이템을 획득하지 못하게 됩니다.
* 다음 코드를 사용할 수 있습니다(상점 소환에만 사용 가능하며, 버그가 발생할 수 있으므로 사용 시 주의하세요).
맑은 날, 폐허 숲의 빈 공간을 찾아 F12 키를 누르고 두 번째 탭(콘솔)을 클릭합니다.
스크립트를 입력합니다.
QJ.SE.spawnRegionNum(1,94,[118],1,true)
그런 다음 Enter 키를 눌러 소환합니다.</v>
      </c>
      <c r="Y39" s="151" t="str">
        <f>IFERROR(__xludf.DUMMYFUNCTION("GOOGLETRANSLATE(E39,""zh-tw"",""en"")"),"R35")</f>
        <v>R35</v>
      </c>
      <c r="Z39" s="149" t="str">
        <f>IFERROR(__xludf.DUMMYFUNCTION("GOOGLETRANSLATE(B39,""zh-tw"",""ru"")"),"Тайный магазин")</f>
        <v>Тайный магазин</v>
      </c>
      <c r="AA39" s="152" t="str">
        <f>IFERROR(__xludf.DUMMYFUNCTION("GOOGLETRANSLATE(C39,""zh-tw"",""RU"")"),"В солнечные дни вероятность его появления составляет 60%.
На карте отмечена серия «Лес руин», а не «Затерянный лес».")</f>
        <v>В солнечные дни вероятность его появления составляет 60%.
На карте отмечена серия «Лес руин», а не «Затерянный лес».</v>
      </c>
      <c r="AB39" s="44" t="str">
        <f>IFERROR(__xludf.DUMMYFUNCTION("GOOGLETRANSLATE(D39,""zh-tw"",""RU"")"),"При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используйте"&amp;"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f>
        <v>При первом появлении в магазине есть два варианта диалога. «Пожалуйста, не забудьте выбрать оба варианта».
В противном случае вы упустите будущие предметы.
* Вы можете использовать этот код (только для вызова магазина; может вызывать ошибки, используйте осторожно):
В солнечный день найдите открытое место в Лесу Руин, нажмите F12 -&gt; Вторая вкладка (Консоль),
Введите скрипт:
QJ.SE.spawnRegionNum(1,94,[118],1,true)
Затем нажмите ENTER для вызова.</v>
      </c>
      <c r="AC39" s="151" t="str">
        <f>IFERROR(__xludf.DUMMYFUNCTION("GOOGLETRANSLATE(I39,""zh-tw"",""en"")"),"R35")</f>
        <v>R35</v>
      </c>
      <c r="AD39" s="149" t="s">
        <v>2430</v>
      </c>
      <c r="AE39" s="154" t="s">
        <v>2431</v>
      </c>
      <c r="AF39" s="106" t="s">
        <v>2432</v>
      </c>
      <c r="AG39" s="155" t="s">
        <v>2417</v>
      </c>
      <c r="AH39" s="156" t="s">
        <v>2433</v>
      </c>
      <c r="AI39" s="157" t="s">
        <v>2434</v>
      </c>
      <c r="AJ39" s="158" t="s">
        <v>2435</v>
      </c>
      <c r="AK39" s="30"/>
      <c r="AL39" s="30"/>
    </row>
    <row r="40">
      <c r="A40" s="108" t="s">
        <v>2436</v>
      </c>
      <c r="B40" s="149" t="s">
        <v>2437</v>
      </c>
      <c r="C40" s="95" t="s">
        <v>2438</v>
      </c>
      <c r="D40" s="52" t="s">
        <v>2439</v>
      </c>
      <c r="E40" s="108" t="str">
        <f>IFERROR(__xludf.DUMMYFUNCTION("GOOGLETRANSLATE(A40,""zh-tw"",""ja"")"),"R36")</f>
        <v>R36</v>
      </c>
      <c r="F40" s="149" t="s">
        <v>2440</v>
      </c>
      <c r="G40" s="159" t="s">
        <v>2441</v>
      </c>
      <c r="H40" s="52" t="s">
        <v>2442</v>
      </c>
      <c r="I40" s="108" t="str">
        <f>IFERROR(__xludf.DUMMYFUNCTION("GOOGLETRANSLATE(A40,""zh-tw"",""en"")"),"R36")</f>
        <v>R36</v>
      </c>
      <c r="J40" s="149" t="s">
        <v>2443</v>
      </c>
      <c r="K40" s="95" t="s">
        <v>2444</v>
      </c>
      <c r="L40" s="52" t="s">
        <v>2445</v>
      </c>
      <c r="M40" s="115" t="str">
        <f>IFERROR(__xludf.DUMMYFUNCTION("GOOGLETRANSLATE(A40,""zh-tw"",""en"")"),"R36")</f>
        <v>R36</v>
      </c>
      <c r="N40" s="149" t="str">
        <f>IFERROR(__xludf.DUMMYFUNCTION("GOOGLETRANSLATE(B40,""zh-tw"",""zh"")"),"神秘商店-1")</f>
        <v>神秘商店-1</v>
      </c>
      <c r="O40" s="89" t="str">
        <f>IFERROR(__xludf.DUMMYFUNCTION("GOOGLETRANSLATE(C40,""zh-tw"",""zh"")"),"于神秘商店的扭蛋，花费5千元或指定道具")</f>
        <v>于神秘商店的扭蛋，花费5千元或指定道具</v>
      </c>
      <c r="P40" s="55" t="str">
        <f>IFERROR(__xludf.DUMMYFUNCTION("GOOGLETRANSLATE(D40,""zh-tw"",""zh"")"),"随机获得蓝色、绿色、粉色的金平糖
""商店主人的好感度越高，花费越低""")</f>
        <v>随机获得蓝色、绿色、粉色的金平糖
"商店主人的好感度越高，花费越低"</v>
      </c>
      <c r="Q40" s="115" t="str">
        <f>IFERROR(__xludf.DUMMYFUNCTION("GOOGLETRANSLATE(A40,""zh-tw"",""ja"")"),"R36")</f>
        <v>R36</v>
      </c>
      <c r="R40" s="149" t="s">
        <v>2446</v>
      </c>
      <c r="S40" s="95" t="s">
        <v>2447</v>
      </c>
      <c r="T40" s="55" t="str">
        <f>IFERROR(__xludf.DUMMYFUNCTION("GOOGLETRANSLATE(D40,""zh-tw"",""es-MX"")"),"Obtén aleatoriamente konpeito (caramelos japoneses) azules, verdes o rosas.
""Cuanto mayor sea tu relación con el tendero, menor será el precio.""")</f>
        <v>Obtén aleatoriamente konpeito (caramelos japoneses) azules, verdes o rosas.
"Cuanto mayor sea tu relación con el tendero, menor será el precio."</v>
      </c>
      <c r="U40" s="151" t="str">
        <f>IFERROR(__xludf.DUMMYFUNCTION("GOOGLETRANSLATE(A40,""zh-tw"",""en"")"),"R36")</f>
        <v>R36</v>
      </c>
      <c r="V40" s="150" t="str">
        <f>IFERROR(__xludf.DUMMYFUNCTION("GOOGLETRANSLATE(B40,""zh-tw"",""KO"")"),"미스터리 샵 - 1")</f>
        <v>미스터리 샵 - 1</v>
      </c>
      <c r="W40" s="89" t="str">
        <f>IFERROR(__xludf.DUMMYFUNCTION("GOOGLETRANSLATE(C40,""zh-tw"",""KO"")"),"미스터리 숍의 가챠 시스템에서는 5,000엔을 쓰거나 특정 아이템을 사용할 수 있습니다.")</f>
        <v>미스터리 숍의 가챠 시스템에서는 5,000엔을 쓰거나 특정 아이템을 사용할 수 있습니다.</v>
      </c>
      <c r="X40" s="55" t="str">
        <f>IFERROR(__xludf.DUMMYFUNCTION("GOOGLETRANSLATE(D40,""zh-tw"",""KO"")"),"파란색, 초록색, 분홍색 콘페이토(일본식 사탕) 중 하나를 무작위로 획득합니다.
""상인과의 관계가 좋을수록 비용이 낮아집니다.""")</f>
        <v>파란색, 초록색, 분홍색 콘페이토(일본식 사탕) 중 하나를 무작위로 획득합니다.
"상인과의 관계가 좋을수록 비용이 낮아집니다."</v>
      </c>
      <c r="Y40" s="151" t="str">
        <f>IFERROR(__xludf.DUMMYFUNCTION("GOOGLETRANSLATE(E40,""zh-tw"",""en"")"),"R36")</f>
        <v>R36</v>
      </c>
      <c r="Z40" s="149" t="str">
        <f>IFERROR(__xludf.DUMMYFUNCTION("GOOGLETRANSLATE(B40,""zh-tw"",""ru"")"),"Тайный магазин - 1")</f>
        <v>Тайный магазин - 1</v>
      </c>
      <c r="AA40" s="152" t="str">
        <f>IFERROR(__xludf.DUMMYFUNCTION("GOOGLETRANSLATE(C40,""zh-tw"",""RU"")"),"В системе гача в Mystery Shop вы можете потратить 5000 иен или использовать определенные предметы.")</f>
        <v>В системе гача в Mystery Shop вы можете потратить 5000 иен или использовать определенные предметы.</v>
      </c>
      <c r="AB40" s="44" t="str">
        <f>IFERROR(__xludf.DUMMYFUNCTION("GOOGLETRANSLATE(D40,""zh-tw"",""RU"")"),"Случайным образом приобретите синие, зелёные или розовые компэйто (японские сладости).
«Чем лучше ваши отношения с продавцом, тем ниже цена».")</f>
        <v>Случайным образом приобретите синие, зелёные или розовые компэйто (японские сладости).
«Чем лучше ваши отношения с продавцом, тем ниже цена».</v>
      </c>
      <c r="AC40" s="151" t="str">
        <f>IFERROR(__xludf.DUMMYFUNCTION("GOOGLETRANSLATE(I40,""zh-tw"",""en"")"),"R36")</f>
        <v>R36</v>
      </c>
      <c r="AD40" s="149" t="s">
        <v>2448</v>
      </c>
      <c r="AE40" s="154" t="s">
        <v>2449</v>
      </c>
      <c r="AF40" s="106" t="s">
        <v>2450</v>
      </c>
      <c r="AG40" s="155" t="s">
        <v>2436</v>
      </c>
      <c r="AH40" s="156" t="s">
        <v>2451</v>
      </c>
      <c r="AI40" s="157" t="s">
        <v>2452</v>
      </c>
      <c r="AJ40" s="158" t="s">
        <v>2453</v>
      </c>
      <c r="AK40" s="30"/>
      <c r="AL40" s="30"/>
    </row>
    <row r="41">
      <c r="A41" s="108" t="s">
        <v>2454</v>
      </c>
      <c r="B41" s="149" t="s">
        <v>2455</v>
      </c>
      <c r="C41" s="95" t="s">
        <v>2456</v>
      </c>
      <c r="D41" s="52" t="s">
        <v>2457</v>
      </c>
      <c r="E41" s="108" t="str">
        <f>IFERROR(__xludf.DUMMYFUNCTION("GOOGLETRANSLATE(A41,""zh-tw"",""ja"")"),"R37")</f>
        <v>R37</v>
      </c>
      <c r="F41" s="149" t="s">
        <v>2458</v>
      </c>
      <c r="G41" s="159" t="str">
        <f>IFERROR(__xludf.DUMMYFUNCTION("GOOGLETRANSLATE(C41,""zh-tw"",""ja"")"),"不思議なお店の店主と話して「鮭」をあげましょう。")</f>
        <v>不思議なお店の店主と話して「鮭」をあげましょう。</v>
      </c>
      <c r="H41" s="52" t="str">
        <f>IFERROR(__xludf.DUMMYFUNCTION("GOOGLETRANSLATE(D41,""zh-tw"",""ja"")"),"キャンディマシンの価格が50ドル値下げされました
*キャンディマシンの最低価格は500ドルです")</f>
        <v>キャンディマシンの価格が50ドル値下げされました
*キャンディマシンの最低価格は500ドルです</v>
      </c>
      <c r="I41" s="108" t="str">
        <f>IFERROR(__xludf.DUMMYFUNCTION("GOOGLETRANSLATE(A41,""zh-tw"",""en"")"),"R37")</f>
        <v>R37</v>
      </c>
      <c r="J41" s="149" t="s">
        <v>2459</v>
      </c>
      <c r="K41" s="95" t="s">
        <v>2460</v>
      </c>
      <c r="L41" s="52" t="s">
        <v>2461</v>
      </c>
      <c r="M41" s="115" t="str">
        <f>IFERROR(__xludf.DUMMYFUNCTION("GOOGLETRANSLATE(A41,""zh-tw"",""en"")"),"R37")</f>
        <v>R37</v>
      </c>
      <c r="N41" s="149" t="str">
        <f>IFERROR(__xludf.DUMMYFUNCTION("GOOGLETRANSLATE(B41,""zh-tw"",""zh"")"),"神秘商店-2")</f>
        <v>神秘商店-2</v>
      </c>
      <c r="O41" s="89" t="str">
        <f>IFERROR(__xludf.DUMMYFUNCTION("GOOGLETRANSLATE(C41,""zh-tw"",""zh"")"),"于神秘商店的店长对话，并给予""鲑鱼""。")</f>
        <v>于神秘商店的店长对话，并给予"鲑鱼"。</v>
      </c>
      <c r="P41" s="55" t="str">
        <f>IFERROR(__xludf.DUMMYFUNCTION("GOOGLETRANSLATE(D41,""zh-tw"",""zh"")"),"糖果机降价$50
*糖果机最低价格为$500")</f>
        <v>糖果机降价$50
*糖果机最低价格为$500</v>
      </c>
      <c r="Q41" s="115" t="str">
        <f>IFERROR(__xludf.DUMMYFUNCTION("GOOGLETRANSLATE(A41,""zh-tw"",""ja"")"),"R37")</f>
        <v>R37</v>
      </c>
      <c r="R41" s="149" t="s">
        <v>2462</v>
      </c>
      <c r="S41" s="89" t="str">
        <f>IFERROR(__xludf.DUMMYFUNCTION("GOOGLETRANSLATE(C41,""zh-tw"",""es-MX"")"),"Habla con el tendero de la Tienda Misteriosa y dale un ""Salmón"".")</f>
        <v>Habla con el tendero de la Tienda Misteriosa y dale un "Salmón".</v>
      </c>
      <c r="T41" s="55" t="str">
        <f>IFERROR(__xludf.DUMMYFUNCTION("GOOGLETRANSLATE(D41,""zh-tw"",""es-MX"")"),"Máquina expendedora de dulces: precio reducido en $50
*El precio mínimo de la máquina expendedora de dulces es de $500")</f>
        <v>Máquina expendedora de dulces: precio reducido en $50
*El precio mínimo de la máquina expendedora de dulces es de $500</v>
      </c>
      <c r="U41" s="151" t="str">
        <f>IFERROR(__xludf.DUMMYFUNCTION("GOOGLETRANSLATE(A41,""zh-tw"",""en"")"),"R37")</f>
        <v>R37</v>
      </c>
      <c r="V41" s="150" t="str">
        <f>IFERROR(__xludf.DUMMYFUNCTION("GOOGLETRANSLATE(B41,""zh-tw"",""KO"")"),"미스터리 샵 - 2")</f>
        <v>미스터리 샵 - 2</v>
      </c>
      <c r="W41" s="89" t="str">
        <f>IFERROR(__xludf.DUMMYFUNCTION("GOOGLETRANSLATE(C41,""zh-tw"",""KO"")"),"신비한 상점의 주인과 대화하여 ""연어""를 주세요.")</f>
        <v>신비한 상점의 주인과 대화하여 "연어"를 주세요.</v>
      </c>
      <c r="X41" s="55" t="str">
        <f>IFERROR(__xludf.DUMMYFUNCTION("GOOGLETRANSLATE(D41,""zh-tw"",""KO"")"),"사탕 기계 가격 $50 인하
*사탕 기계 최저가는 $500입니다.")</f>
        <v>사탕 기계 가격 $50 인하
*사탕 기계 최저가는 $500입니다.</v>
      </c>
      <c r="Y41" s="151" t="str">
        <f>IFERROR(__xludf.DUMMYFUNCTION("GOOGLETRANSLATE(E41,""zh-tw"",""en"")"),"R37")</f>
        <v>R37</v>
      </c>
      <c r="Z41" s="149" t="str">
        <f>IFERROR(__xludf.DUMMYFUNCTION("GOOGLETRANSLATE(B41,""zh-tw"",""ru"")"),"Тайный магазин - 2")</f>
        <v>Тайный магазин - 2</v>
      </c>
      <c r="AA41" s="152" t="str">
        <f>IFERROR(__xludf.DUMMYFUNCTION("GOOGLETRANSLATE(C41,""zh-tw"",""RU"")"),"Поговорите с продавцом Таинственной Лавки и отдайте ему «Лосось».")</f>
        <v>Поговорите с продавцом Таинственной Лавки и отдайте ему «Лосось».</v>
      </c>
      <c r="AB41" s="44" t="str">
        <f>IFERROR(__xludf.DUMMYFUNCTION("GOOGLETRANSLATE(D41,""zh-tw"",""RU"")"),"Цена в автомате по продаже сладостей снижена на 50 долларов.
*Минимальная цена в автомате по продаже сладостей — 500 долларов.")</f>
        <v>Цена в автомате по продаже сладостей снижена на 50 долларов.
*Минимальная цена в автомате по продаже сладостей — 500 долларов.</v>
      </c>
      <c r="AC41" s="151" t="str">
        <f>IFERROR(__xludf.DUMMYFUNCTION("GOOGLETRANSLATE(I41,""zh-tw"",""en"")"),"R37")</f>
        <v>R37</v>
      </c>
      <c r="AD41" s="149" t="s">
        <v>2463</v>
      </c>
      <c r="AE41" s="154" t="s">
        <v>2464</v>
      </c>
      <c r="AF41" s="106" t="s">
        <v>2465</v>
      </c>
      <c r="AG41" s="155" t="s">
        <v>2454</v>
      </c>
      <c r="AH41" s="156" t="s">
        <v>2466</v>
      </c>
      <c r="AI41" s="157" t="s">
        <v>2467</v>
      </c>
      <c r="AJ41" s="162" t="s">
        <v>2468</v>
      </c>
      <c r="AK41" s="30"/>
      <c r="AL41" s="30"/>
    </row>
    <row r="42">
      <c r="A42" s="108" t="s">
        <v>2469</v>
      </c>
      <c r="B42" s="149" t="s">
        <v>2470</v>
      </c>
      <c r="C42" s="95" t="s">
        <v>2471</v>
      </c>
      <c r="D42" s="52" t="s">
        <v>2472</v>
      </c>
      <c r="E42" s="108" t="str">
        <f>IFERROR(__xludf.DUMMYFUNCTION("GOOGLETRANSLATE(A42,""zh-tw"",""ja"")"),"R38")</f>
        <v>R38</v>
      </c>
      <c r="F42" s="149" t="s">
        <v>2473</v>
      </c>
      <c r="G42" s="159" t="str">
        <f>IFERROR(__xludf.DUMMYFUNCTION("GOOGLETRANSLATE(C42,""zh-tw"",""ja"")"),"不思議なお店の店主と話して「キングサーモン」を渡す。")</f>
        <v>不思議なお店の店主と話して「キングサーモン」を渡す。</v>
      </c>
      <c r="H42" s="52" t="str">
        <f>IFERROR(__xludf.DUMMYFUNCTION("GOOGLETRANSLATE(D42,""zh-tw"",""ja"")"),"キャンディマシンの価格が500ドル値下げされました
受け取るアイテム：寿司プリン
*キャンディマシンの最低価格は500ドルです")</f>
        <v>キャンディマシンの価格が500ドル値下げされました
受け取るアイテム：寿司プリン
*キャンディマシンの最低価格は500ドルです</v>
      </c>
      <c r="I42" s="108" t="str">
        <f>IFERROR(__xludf.DUMMYFUNCTION("GOOGLETRANSLATE(A42,""zh-tw"",""en"")"),"R38")</f>
        <v>R38</v>
      </c>
      <c r="J42" s="149" t="s">
        <v>2474</v>
      </c>
      <c r="K42" s="95" t="s">
        <v>2475</v>
      </c>
      <c r="L42" s="52" t="s">
        <v>2476</v>
      </c>
      <c r="M42" s="115" t="str">
        <f>IFERROR(__xludf.DUMMYFUNCTION("GOOGLETRANSLATE(A42,""zh-tw"",""en"")"),"R38")</f>
        <v>R38</v>
      </c>
      <c r="N42" s="149" t="str">
        <f>IFERROR(__xludf.DUMMYFUNCTION("GOOGLETRANSLATE(B42,""zh-tw"",""zh"")"),"神秘商店-3")</f>
        <v>神秘商店-3</v>
      </c>
      <c r="O42" s="89" t="str">
        <f>IFERROR(__xludf.DUMMYFUNCTION("GOOGLETRANSLATE(C42,""zh-tw"",""zh"")"),"于神秘商店的店长对话，并给予""帝王鲑""。")</f>
        <v>于神秘商店的店长对话，并给予"帝王鲑"。</v>
      </c>
      <c r="P42" s="55" t="str">
        <f>IFERROR(__xludf.DUMMYFUNCTION("GOOGLETRANSLATE(D42,""zh-tw"",""zh"")"),"糖果机降价$500
获得道具:寿司布丁
*糖果机最低价格为$500")</f>
        <v>糖果机降价$500
获得道具:寿司布丁
*糖果机最低价格为$500</v>
      </c>
      <c r="Q42" s="115" t="str">
        <f>IFERROR(__xludf.DUMMYFUNCTION("GOOGLETRANSLATE(A42,""zh-tw"",""ja"")"),"R38")</f>
        <v>R38</v>
      </c>
      <c r="R42" s="149" t="s">
        <v>2477</v>
      </c>
      <c r="S42" s="89" t="str">
        <f>IFERROR(__xludf.DUMMYFUNCTION("GOOGLETRANSLATE(C42,""zh-tw"",""es-MX"")"),"Habla con el tendero de la Tienda Misteriosa y dale ""Salmón Rey"".")</f>
        <v>Habla con el tendero de la Tienda Misteriosa y dale "Salmón Rey".</v>
      </c>
      <c r="T42" s="55" t="str">
        <f>IFERROR(__xludf.DUMMYFUNCTION("GOOGLETRANSLATE(D42,""zh-tw"",""es-MX"")"),"Precio de la máquina de dulces reducido en $500
Producto recibido: Pudín de sushi
*El precio mínimo de la máquina de dulces es de $500")</f>
        <v>Precio de la máquina de dulces reducido en $500
Producto recibido: Pudín de sushi
*El precio mínimo de la máquina de dulces es de $500</v>
      </c>
      <c r="U42" s="151" t="str">
        <f>IFERROR(__xludf.DUMMYFUNCTION("GOOGLETRANSLATE(A42,""zh-tw"",""en"")"),"R38")</f>
        <v>R38</v>
      </c>
      <c r="V42" s="150" t="str">
        <f>IFERROR(__xludf.DUMMYFUNCTION("GOOGLETRANSLATE(B42,""zh-tw"",""KO"")"),"미스터리 샵 - 3")</f>
        <v>미스터리 샵 - 3</v>
      </c>
      <c r="W42" s="89" t="str">
        <f>IFERROR(__xludf.DUMMYFUNCTION("GOOGLETRANSLATE(C42,""zh-tw"",""KO"")"),"신비한 상점의 주인과 대화하여 ""킹 연어""를 주세요.")</f>
        <v>신비한 상점의 주인과 대화하여 "킹 연어"를 주세요.</v>
      </c>
      <c r="X42" s="55" t="str">
        <f>IFERROR(__xludf.DUMMYFUNCTION("GOOGLETRANSLATE(D42,""zh-tw"",""KO"")"),"캔디 머신 가격 500달러 인하
수령 품목: 스시 푸딩
*캔디 머신 최저가는 500달러입니다.")</f>
        <v>캔디 머신 가격 500달러 인하
수령 품목: 스시 푸딩
*캔디 머신 최저가는 500달러입니다.</v>
      </c>
      <c r="Y42" s="151" t="str">
        <f>IFERROR(__xludf.DUMMYFUNCTION("GOOGLETRANSLATE(E42,""zh-tw"",""en"")"),"R38")</f>
        <v>R38</v>
      </c>
      <c r="Z42" s="149" t="str">
        <f>IFERROR(__xludf.DUMMYFUNCTION("GOOGLETRANSLATE(B42,""zh-tw"",""ru"")"),"Тайный магазин - 3")</f>
        <v>Тайный магазин - 3</v>
      </c>
      <c r="AA42" s="152" t="str">
        <f>IFERROR(__xludf.DUMMYFUNCTION("GOOGLETRANSLATE(C42,""zh-tw"",""RU"")"),"Поговорите с продавцом Таинственной Лавки и отдайте ему «Королевского Лосося».")</f>
        <v>Поговорите с продавцом Таинственной Лавки и отдайте ему «Королевского Лосося».</v>
      </c>
      <c r="AB42" s="44" t="str">
        <f>IFERROR(__xludf.DUMMYFUNCTION("GOOGLETRANSLATE(D42,""zh-tw"",""RU"")"),"Цена в кондитерской машине снижена на 500 долларов.
Получить товар: Суши-пудинг.
*Минимальная цена в кондитерской машине — 500 долларов.")</f>
        <v>Цена в кондитерской машине снижена на 500 долларов.
Получить товар: Суши-пудинг.
*Минимальная цена в кондитерской машине — 500 долларов.</v>
      </c>
      <c r="AC42" s="151" t="str">
        <f>IFERROR(__xludf.DUMMYFUNCTION("GOOGLETRANSLATE(I42,""zh-tw"",""en"")"),"R38")</f>
        <v>R38</v>
      </c>
      <c r="AD42" s="149" t="s">
        <v>2478</v>
      </c>
      <c r="AE42" s="154" t="s">
        <v>2479</v>
      </c>
      <c r="AF42" s="106" t="s">
        <v>2480</v>
      </c>
      <c r="AG42" s="155" t="s">
        <v>2469</v>
      </c>
      <c r="AH42" s="156" t="s">
        <v>2481</v>
      </c>
      <c r="AI42" s="157" t="s">
        <v>2482</v>
      </c>
      <c r="AJ42" s="158" t="s">
        <v>2483</v>
      </c>
      <c r="AK42" s="30"/>
      <c r="AL42" s="30"/>
    </row>
    <row r="43">
      <c r="A43" s="108" t="s">
        <v>2484</v>
      </c>
      <c r="B43" s="149" t="s">
        <v>2485</v>
      </c>
      <c r="C43" s="95" t="s">
        <v>2486</v>
      </c>
      <c r="D43" s="52" t="s">
        <v>2487</v>
      </c>
      <c r="E43" s="108" t="str">
        <f>IFERROR(__xludf.DUMMYFUNCTION("GOOGLETRANSLATE(A43,""zh-tw"",""ja"")"),"R39")</f>
        <v>R39</v>
      </c>
      <c r="F43" s="149" t="s">
        <v>2488</v>
      </c>
      <c r="G43" s="159" t="s">
        <v>2489</v>
      </c>
      <c r="H43" s="52" t="s">
        <v>2490</v>
      </c>
      <c r="I43" s="108" t="str">
        <f>IFERROR(__xludf.DUMMYFUNCTION("GOOGLETRANSLATE(A43,""zh-tw"",""en"")"),"R39")</f>
        <v>R39</v>
      </c>
      <c r="J43" s="149" t="s">
        <v>2491</v>
      </c>
      <c r="K43" s="95" t="s">
        <v>2492</v>
      </c>
      <c r="L43" s="52" t="s">
        <v>2493</v>
      </c>
      <c r="M43" s="115" t="str">
        <f>IFERROR(__xludf.DUMMYFUNCTION("GOOGLETRANSLATE(A43,""zh-tw"",""en"")"),"R39")</f>
        <v>R39</v>
      </c>
      <c r="N43" s="149" t="str">
        <f>IFERROR(__xludf.DUMMYFUNCTION("GOOGLETRANSLATE(B43,""zh-tw"",""zh"")"),"神秘商店-4")</f>
        <v>神秘商店-4</v>
      </c>
      <c r="O43" s="89" t="str">
        <f>IFERROR(__xludf.DUMMYFUNCTION("GOOGLETRANSLATE(C43,""zh-tw"",""zh"")"),"于神秘商店店长对话，并""不给予""鲑鱼。")</f>
        <v>于神秘商店店长对话，并"不给予"鲑鱼。</v>
      </c>
      <c r="P43" s="52" t="s">
        <v>2494</v>
      </c>
      <c r="Q43" s="115" t="str">
        <f>IFERROR(__xludf.DUMMYFUNCTION("GOOGLETRANSLATE(A43,""zh-tw"",""ja"")"),"R39")</f>
        <v>R39</v>
      </c>
      <c r="R43" s="149" t="s">
        <v>2495</v>
      </c>
      <c r="S43" s="89" t="str">
        <f>IFERROR(__xludf.DUMMYFUNCTION("GOOGLETRANSLATE(C43,""zh-tw"",""es-MX"")"),"Habla con el dependiente de la Tienda Misteriosa y ""no le des"" el salmón.")</f>
        <v>Habla con el dependiente de la Tienda Misteriosa y "no le des" el salmón.</v>
      </c>
      <c r="T43" s="55" t="str">
        <f>IFERROR(__xludf.DUMMYFUNCTION("GOOGLETRANSLATE(D43,""zh-tw"",""es-MX"")"),"Estado: Maldito
Los genitales del hermano brillan.
Actualmente, un evento especial solo ocurre cuando él y su hermana se bañan juntos y están sentados uno al lado del otro.")</f>
        <v>Estado: Maldito
Los genitales del hermano brillan.
Actualmente, un evento especial solo ocurre cuando él y su hermana se bañan juntos y están sentados uno al lado del otro.</v>
      </c>
      <c r="U43" s="151" t="str">
        <f>IFERROR(__xludf.DUMMYFUNCTION("GOOGLETRANSLATE(A43,""zh-tw"",""en"")"),"R39")</f>
        <v>R39</v>
      </c>
      <c r="V43" s="150" t="str">
        <f>IFERROR(__xludf.DUMMYFUNCTION("GOOGLETRANSLATE(B43,""zh-tw"",""KO"")"),"미스터리 샵 - 4")</f>
        <v>미스터리 샵 - 4</v>
      </c>
      <c r="W43" s="89" t="str">
        <f>IFERROR(__xludf.DUMMYFUNCTION("GOOGLETRANSLATE(C43,""zh-tw"",""KO"")"),"신비한 상점 주인과 이야기를 나누고 연어를 ""주지 마세요"".")</f>
        <v>신비한 상점 주인과 이야기를 나누고 연어를 "주지 마세요".</v>
      </c>
      <c r="X43" s="55" t="str">
        <f>IFERROR(__xludf.DUMMYFUNCTION("GOOGLETRANSLATE(D43,""zh-tw"",""KO"")"),"상태: 저주받음
오빠의 생식기가 빛나고 있습니다.
현재, 그와 여동생이 함께 목욕하고 나란히 앉아 있을 때만 특별한 이벤트가 발생합니다.")</f>
        <v>상태: 저주받음
오빠의 생식기가 빛나고 있습니다.
현재, 그와 여동생이 함께 목욕하고 나란히 앉아 있을 때만 특별한 이벤트가 발생합니다.</v>
      </c>
      <c r="Y43" s="151" t="str">
        <f>IFERROR(__xludf.DUMMYFUNCTION("GOOGLETRANSLATE(E43,""zh-tw"",""en"")"),"R39")</f>
        <v>R39</v>
      </c>
      <c r="Z43" s="149" t="str">
        <f>IFERROR(__xludf.DUMMYFUNCTION("GOOGLETRANSLATE(B43,""zh-tw"",""ru"")"),"Тайный магазин - 4")</f>
        <v>Тайный магазин - 4</v>
      </c>
      <c r="AA43" s="152" t="str">
        <f>IFERROR(__xludf.DUMMYFUNCTION("GOOGLETRANSLATE(C43,""zh-tw"",""RU"")"),"Поговорите с продавцом Таинственной Лавки и «не отдавайте» лосося.")</f>
        <v>Поговорите с продавцом Таинственной Лавки и «не отдавайте» лосося.</v>
      </c>
      <c r="AB43" s="44" t="str">
        <f>IFERROR(__xludf.DUMMYFUNCTION("GOOGLETRANSLATE(D43,""zh-tw"",""RU"")"),"Статус: Проклят
Гениталии брата светятся.
В настоящее время особое событие происходит только тогда, когда он и его сестра купаются вместе и сидят рядом.")</f>
        <v>Статус: Проклят
Гениталии брата светятся.
В настоящее время особое событие происходит только тогда, когда он и его сестра купаются вместе и сидят рядом.</v>
      </c>
      <c r="AC43" s="151" t="str">
        <f>IFERROR(__xludf.DUMMYFUNCTION("GOOGLETRANSLATE(I43,""zh-tw"",""en"")"),"R39")</f>
        <v>R39</v>
      </c>
      <c r="AD43" s="149" t="s">
        <v>2496</v>
      </c>
      <c r="AE43" s="154" t="s">
        <v>2497</v>
      </c>
      <c r="AF43" s="106" t="s">
        <v>2498</v>
      </c>
      <c r="AG43" s="155" t="s">
        <v>2484</v>
      </c>
      <c r="AH43" s="156" t="s">
        <v>2499</v>
      </c>
      <c r="AI43" s="157" t="s">
        <v>2500</v>
      </c>
      <c r="AJ43" s="158" t="s">
        <v>2501</v>
      </c>
      <c r="AK43" s="30"/>
      <c r="AL43" s="30"/>
    </row>
    <row r="44">
      <c r="A44" s="108" t="s">
        <v>2502</v>
      </c>
      <c r="B44" s="149" t="s">
        <v>2503</v>
      </c>
      <c r="C44" s="95" t="s">
        <v>2504</v>
      </c>
      <c r="D44" s="52" t="s">
        <v>2505</v>
      </c>
      <c r="E44" s="108" t="str">
        <f>IFERROR(__xludf.DUMMYFUNCTION("GOOGLETRANSLATE(A44,""zh-tw"",""ja"")"),"R40")</f>
        <v>R40</v>
      </c>
      <c r="F44" s="149" t="s">
        <v>2506</v>
      </c>
      <c r="G44" s="159" t="s">
        <v>2507</v>
      </c>
      <c r="H44" s="52" t="s">
        <v>2508</v>
      </c>
      <c r="I44" s="108" t="str">
        <f>IFERROR(__xludf.DUMMYFUNCTION("GOOGLETRANSLATE(A44,""zh-tw"",""en"")"),"R40")</f>
        <v>R40</v>
      </c>
      <c r="J44" s="149" t="s">
        <v>2509</v>
      </c>
      <c r="K44" s="95" t="s">
        <v>2510</v>
      </c>
      <c r="L44" s="52" t="s">
        <v>2511</v>
      </c>
      <c r="M44" s="115" t="str">
        <f>IFERROR(__xludf.DUMMYFUNCTION("GOOGLETRANSLATE(A44,""zh-tw"",""en"")"),"R40")</f>
        <v>R40</v>
      </c>
      <c r="N44" s="149" t="str">
        <f>IFERROR(__xludf.DUMMYFUNCTION("GOOGLETRANSLATE(B44,""zh-tw"",""zh"")"),"神秘商店-5")</f>
        <v>神秘商店-5</v>
      </c>
      <c r="O44" s="89" t="str">
        <f>IFERROR(__xludf.DUMMYFUNCTION("GOOGLETRANSLATE(C44,""zh-tw"",""zh"")"),"接续上一项目，给予帝王鲑，可以解除该诅咒状态")</f>
        <v>接续上一项目，给予帝王鲑，可以解除该诅咒状态</v>
      </c>
      <c r="P44" s="55" t="str">
        <f>IFERROR(__xludf.DUMMYFUNCTION("GOOGLETRANSLATE(D44,""zh-tw"",""zh"")"),"解除诅咒")</f>
        <v>解除诅咒</v>
      </c>
      <c r="Q44" s="115" t="str">
        <f>IFERROR(__xludf.DUMMYFUNCTION("GOOGLETRANSLATE(A44,""zh-tw"",""ja"")"),"R40")</f>
        <v>R40</v>
      </c>
      <c r="R44" s="149" t="s">
        <v>2512</v>
      </c>
      <c r="S44" s="89" t="str">
        <f>IFERROR(__xludf.DUMMYFUNCTION("GOOGLETRANSLATE(C44,""zh-tw"",""es-MX"")"),"Al igual que con el objeto anterior, dárselo a un salmón real puede eliminar la maldición.")</f>
        <v>Al igual que con el objeto anterior, dárselo a un salmón real puede eliminar la maldición.</v>
      </c>
      <c r="T44" s="55" t="str">
        <f>IFERROR(__xludf.DUMMYFUNCTION("GOOGLETRANSLATE(D44,""zh-tw"",""es-MX"")"),"Elimina la maldición")</f>
        <v>Elimina la maldición</v>
      </c>
      <c r="U44" s="151" t="str">
        <f>IFERROR(__xludf.DUMMYFUNCTION("GOOGLETRANSLATE(A44,""zh-tw"",""en"")"),"R40")</f>
        <v>R40</v>
      </c>
      <c r="V44" s="150" t="str">
        <f>IFERROR(__xludf.DUMMYFUNCTION("GOOGLETRANSLATE(B44,""zh-tw"",""KO"")"),"미스터리 샵 - 5")</f>
        <v>미스터리 샵 - 5</v>
      </c>
      <c r="W44" s="89" t="str">
        <f>IFERROR(__xludf.DUMMYFUNCTION("GOOGLETRANSLATE(C44,""zh-tw"",""KO"")"),"이전 항목에 이어서, 이것을 왕연어에게 주면 저주가 풀릴 수 있습니다.")</f>
        <v>이전 항목에 이어서, 이것을 왕연어에게 주면 저주가 풀릴 수 있습니다.</v>
      </c>
      <c r="X44" s="55" t="str">
        <f>IFERROR(__xludf.DUMMYFUNCTION("GOOGLETRANSLATE(D44,""zh-tw"",""KO"")"),"저주를 제거하다")</f>
        <v>저주를 제거하다</v>
      </c>
      <c r="Y44" s="151" t="str">
        <f>IFERROR(__xludf.DUMMYFUNCTION("GOOGLETRANSLATE(E44,""zh-tw"",""en"")"),"R40")</f>
        <v>R40</v>
      </c>
      <c r="Z44" s="149" t="str">
        <f>IFERROR(__xludf.DUMMYFUNCTION("GOOGLETRANSLATE(B44,""zh-tw"",""ru"")"),"Тайный магазин - 5")</f>
        <v>Тайный магазин - 5</v>
      </c>
      <c r="AA44" s="152" t="str">
        <f>IFERROR(__xludf.DUMMYFUNCTION("GOOGLETRANSLATE(C44,""zh-tw"",""RU"")"),"Продолжая предыдущий пункт, можно сказать, что если отдать его королевскому лососю, можно снять проклятие.")</f>
        <v>Продолжая предыдущий пункт, можно сказать, что если отдать его королевскому лососю, можно снять проклятие.</v>
      </c>
      <c r="AB44" s="44" t="str">
        <f>IFERROR(__xludf.DUMMYFUNCTION("GOOGLETRANSLATE(D44,""zh-tw"",""RU"")"),"Снять проклятие")</f>
        <v>Снять проклятие</v>
      </c>
      <c r="AC44" s="151" t="str">
        <f>IFERROR(__xludf.DUMMYFUNCTION("GOOGLETRANSLATE(I44,""zh-tw"",""en"")"),"R40")</f>
        <v>R40</v>
      </c>
      <c r="AD44" s="149" t="s">
        <v>2513</v>
      </c>
      <c r="AE44" s="154" t="s">
        <v>2514</v>
      </c>
      <c r="AF44" s="106" t="s">
        <v>2515</v>
      </c>
      <c r="AG44" s="155" t="s">
        <v>2502</v>
      </c>
      <c r="AH44" s="156" t="s">
        <v>2516</v>
      </c>
      <c r="AI44" s="157" t="s">
        <v>2517</v>
      </c>
      <c r="AJ44" s="158" t="s">
        <v>2518</v>
      </c>
      <c r="AK44" s="30"/>
      <c r="AL44" s="30"/>
    </row>
    <row r="45">
      <c r="A45" s="108" t="s">
        <v>2519</v>
      </c>
      <c r="B45" s="149" t="s">
        <v>2520</v>
      </c>
      <c r="C45" s="95" t="s">
        <v>2521</v>
      </c>
      <c r="D45" s="52" t="s">
        <v>2522</v>
      </c>
      <c r="E45" s="108" t="s">
        <v>2519</v>
      </c>
      <c r="F45" s="149" t="s">
        <v>2523</v>
      </c>
      <c r="G45" s="159" t="s">
        <v>2524</v>
      </c>
      <c r="H45" s="52" t="s">
        <v>2525</v>
      </c>
      <c r="I45" s="108" t="s">
        <v>2519</v>
      </c>
      <c r="J45" s="149" t="s">
        <v>2526</v>
      </c>
      <c r="K45" s="95" t="s">
        <v>2527</v>
      </c>
      <c r="L45" s="52" t="s">
        <v>2528</v>
      </c>
      <c r="M45" s="108" t="s">
        <v>2519</v>
      </c>
      <c r="N45" s="149" t="str">
        <f>IFERROR(__xludf.DUMMYFUNCTION("GOOGLETRANSLATE(B45,""zh-tw"",""zh"")"),"神秘商店-6")</f>
        <v>神秘商店-6</v>
      </c>
      <c r="O45" s="89" t="str">
        <f>IFERROR(__xludf.DUMMYFUNCTION("GOOGLETRANSLATE(C45,""zh-tw"",""zh"")"),"完成对话后，并且第二次遇到商店时，可能就会有水馒头的商品")</f>
        <v>完成对话后，并且第二次遇到商店时，可能就会有水馒头的商品</v>
      </c>
      <c r="P45" s="55" t="str">
        <f>IFERROR(__xludf.DUMMYFUNCTION("GOOGLETRANSLATE(D45,""zh-tw"",""zh"")"),"购买后获得道具""超敏软Q水馒头""")</f>
        <v>购买后获得道具"超敏软Q水馒头"</v>
      </c>
      <c r="Q45" s="108" t="s">
        <v>2519</v>
      </c>
      <c r="R45" s="150" t="str">
        <f>IFERROR(__xludf.DUMMYFUNCTION("GOOGLETRANSLATE(B45,""zh-tw"",""es-MX"")"),"Cliente misterioso - 6")</f>
        <v>Cliente misterioso - 6</v>
      </c>
      <c r="S45" s="89" t="str">
        <f>IFERROR(__xludf.DUMMYFUNCTION("GOOGLETRANSLATE(C45,""zh-tw"",""es-MX"")"),"Tras completar el diálogo, y al visitar la tienda por segunda vez, es posible que encuentres bollos de agua como artículo.")</f>
        <v>Tras completar el diálogo, y al visitar la tienda por segunda vez, es posible que encuentres bollos de agua como artículo.</v>
      </c>
      <c r="T45" s="55" t="str">
        <f>IFERROR(__xludf.DUMMYFUNCTION("GOOGLETRANSLATE(D45,""zh-tw"",""es-MX"")"),"Compra este producto y recibe el artículo ""Pan de agua súper sensible, suave y masticable"".")</f>
        <v>Compra este producto y recibe el artículo "Pan de agua súper sensible, suave y masticable".</v>
      </c>
      <c r="U45" s="173" t="s">
        <v>2519</v>
      </c>
      <c r="V45" s="150" t="str">
        <f>IFERROR(__xludf.DUMMYFUNCTION("GOOGLETRANSLATE(B45,""zh-tw"",""KO"")"),"미스터리 샵 - 6")</f>
        <v>미스터리 샵 - 6</v>
      </c>
      <c r="W45" s="89" t="str">
        <f>IFERROR(__xludf.DUMMYFUNCTION("GOOGLETRANSLATE(C45,""zh-tw"",""KO"")"),"대화를 완료하고 두 번째로 가게를 방문하면 물만두를 아이템으로 발견할 수도 있습니다.")</f>
        <v>대화를 완료하고 두 번째로 가게를 방문하면 물만두를 아이템으로 발견할 수도 있습니다.</v>
      </c>
      <c r="X45" s="55" t="str">
        <f>IFERROR(__xludf.DUMMYFUNCTION("GOOGLETRANSLATE(D45,""zh-tw"",""KO"")"),"구매하시면 ""매우 민감하고 부드럽고 쫄깃한 워터번"" 상품을 받으실 수 있습니다.")</f>
        <v>구매하시면 "매우 민감하고 부드럽고 쫄깃한 워터번" 상품을 받으실 수 있습니다.</v>
      </c>
      <c r="Y45" s="173" t="s">
        <v>2519</v>
      </c>
      <c r="Z45" s="149" t="str">
        <f>IFERROR(__xludf.DUMMYFUNCTION("GOOGLETRANSLATE(B45,""zh-tw"",""ru"")"),"Тайный магазин - 6")</f>
        <v>Тайный магазин - 6</v>
      </c>
      <c r="AA45" s="152" t="str">
        <f>IFERROR(__xludf.DUMMYFUNCTION("GOOGLETRANSLATE(C45,""zh-tw"",""RU"")"),"После завершения диалога и повторного посещения магазина вы можете найти там предмет — водяные булочки.")</f>
        <v>После завершения диалога и повторного посещения магазина вы можете найти там предмет — водяные булочки.</v>
      </c>
      <c r="AB45" s="44" t="str">
        <f>IFERROR(__xludf.DUMMYFUNCTION("GOOGLETRANSLATE(D45,""zh-tw"",""RU"")"),"Совершите покупку, чтобы получить товар «Суперчувствительная мягкая и жевательная булочка с водой».")</f>
        <v>Совершите покупку, чтобы получить товар «Суперчувствительная мягкая и жевательная булочка с водой».</v>
      </c>
      <c r="AC45" s="173" t="s">
        <v>2519</v>
      </c>
      <c r="AD45" s="149" t="s">
        <v>2529</v>
      </c>
      <c r="AE45" s="154" t="s">
        <v>2530</v>
      </c>
      <c r="AF45" s="106" t="s">
        <v>2531</v>
      </c>
      <c r="AG45" s="155" t="s">
        <v>2519</v>
      </c>
      <c r="AH45" s="156" t="s">
        <v>2532</v>
      </c>
      <c r="AI45" s="157" t="s">
        <v>2533</v>
      </c>
      <c r="AJ45" s="158" t="s">
        <v>2534</v>
      </c>
      <c r="AK45" s="30"/>
      <c r="AL45" s="30"/>
    </row>
    <row r="46" ht="113.25" customHeight="1">
      <c r="A46" s="108" t="s">
        <v>2535</v>
      </c>
      <c r="B46" s="149" t="s">
        <v>2536</v>
      </c>
      <c r="C46" s="95" t="s">
        <v>2537</v>
      </c>
      <c r="D46" s="52" t="s">
        <v>2538</v>
      </c>
      <c r="E46" s="108" t="str">
        <f>IFERROR(__xludf.DUMMYFUNCTION("GOOGLETRANSLATE(A46,""zh-tw"",""ja"")"),"R42")</f>
        <v>R42</v>
      </c>
      <c r="F46" s="149" t="s">
        <v>2539</v>
      </c>
      <c r="G46" s="95" t="s">
        <v>2540</v>
      </c>
      <c r="H46" s="52" t="s">
        <v>2541</v>
      </c>
      <c r="I46" s="108" t="str">
        <f>IFERROR(__xludf.DUMMYFUNCTION("GOOGLETRANSLATE(A46,""zh-tw"",""en"")"),"R42")</f>
        <v>R42</v>
      </c>
      <c r="J46" s="149" t="s">
        <v>2542</v>
      </c>
      <c r="K46" s="95" t="s">
        <v>2543</v>
      </c>
      <c r="L46" s="52" t="s">
        <v>2544</v>
      </c>
      <c r="M46" s="115" t="str">
        <f>IFERROR(__xludf.DUMMYFUNCTION("GOOGLETRANSLATE(A46,""zh-tw"",""en"")"),"R42")</f>
        <v>R42</v>
      </c>
      <c r="N46" s="149" t="str">
        <f>IFERROR(__xludf.DUMMYFUNCTION("GOOGLETRANSLATE(B46,""zh-tw"",""zh"")"),"深渊BOSS")</f>
        <v>深渊BOSS</v>
      </c>
      <c r="O46" s="89" t="str">
        <f>IFERROR(__xludf.DUMMYFUNCTION("GOOGLETRANSLATE(C46,""zh-tw"",""zh"")"),"被遗忘的墓穴-2
攻略遗迹BOSS")</f>
        <v>被遗忘的墓穴-2
攻略遗迹BOSS</v>
      </c>
      <c r="P46" s="55" t="str">
        <f>IFERROR(__xludf.DUMMYFUNCTION("GOOGLETRANSLATE(D46,""zh-tw"",""zh"")"),"获得道具和装备
P.S.深渊BOSS每七天会重生，而且每次重生会更强，也可以使用""世界""塔罗牌")</f>
        <v>获得道具和装备
P.S.深渊BOSS每七天会重生，而且每次重生会更强，也可以使用"世界"塔罗牌</v>
      </c>
      <c r="Q46" s="115" t="str">
        <f>IFERROR(__xludf.DUMMYFUNCTION("GOOGLETRANSLATE(A46,""zh-tw"",""ja"")"),"R42")</f>
        <v>R42</v>
      </c>
      <c r="R46" s="150" t="str">
        <f>IFERROR(__xludf.DUMMYFUNCTION("GOOGLETRANSLATE(B46,""zh-tw"",""es-MX"")"),"Jefe del Abismo")</f>
        <v>Jefe del Abismo</v>
      </c>
      <c r="S46" s="95" t="s">
        <v>2545</v>
      </c>
      <c r="T46" s="55" t="str">
        <f>IFERROR(__xludf.DUMMYFUNCTION("GOOGLETRANSLATE(D46,""zh-tw"",""es-MX"")"),"Obtén objetos y equipo.
P. D.: Los jefes del Abismo reaparecen cada siete días, y cada vez son más fuertes. También puedes usar la carta del Tarot ""Mundo"".")</f>
        <v>Obtén objetos y equipo.
P. D.: Los jefes del Abismo reaparecen cada siete días, y cada vez son más fuertes. También puedes usar la carta del Tarot "Mundo".</v>
      </c>
      <c r="U46" s="151" t="str">
        <f>IFERROR(__xludf.DUMMYFUNCTION("GOOGLETRANSLATE(A46,""zh-tw"",""en"")"),"R42")</f>
        <v>R42</v>
      </c>
      <c r="V46" s="150" t="str">
        <f>IFERROR(__xludf.DUMMYFUNCTION("GOOGLETRANSLATE(B46,""zh-tw"",""KO"")"),"어비스 보스")</f>
        <v>어비스 보스</v>
      </c>
      <c r="W46" s="89" t="str">
        <f>IFERROR(__xludf.DUMMYFUNCTION("GOOGLETRANSLATE(C46,""zh-tw"",""KO"")"),"잊혀진 무덤 - 2: 유적 보스를 물리치는 방법")</f>
        <v>잊혀진 무덤 - 2: 유적 보스를 물리치는 방법</v>
      </c>
      <c r="X46" s="55" t="str">
        <f>IFERROR(__xludf.DUMMYFUNCTION("GOOGLETRANSLATE(D46,""zh-tw"",""KO"")"),"아이템과 장비를 획득하세요
추신: 심연 보스는 7일마다 부활하며, 부활할 때마다 더욱 강력해집니다. ""월드"" 타로 카드를 사용할 수도 있습니다.")</f>
        <v>아이템과 장비를 획득하세요
추신: 심연 보스는 7일마다 부활하며, 부활할 때마다 더욱 강력해집니다. "월드" 타로 카드를 사용할 수도 있습니다.</v>
      </c>
      <c r="Y46" s="151" t="str">
        <f>IFERROR(__xludf.DUMMYFUNCTION("GOOGLETRANSLATE(E46,""zh-tw"",""en"")"),"R42")</f>
        <v>R42</v>
      </c>
      <c r="Z46" s="149" t="str">
        <f>IFERROR(__xludf.DUMMYFUNCTION("GOOGLETRANSLATE(B46,""zh-tw"",""ru"")"),"БОСС Бездны")</f>
        <v>БОСС Бездны</v>
      </c>
      <c r="AA46" s="152" t="str">
        <f>IFERROR(__xludf.DUMMYFUNCTION("GOOGLETRANSLATE(C46,""zh-tw"",""RU"")"),"Забытая Гробница - 2: Руководство по победе над Боссом Руин")</f>
        <v>Забытая Гробница - 2: Руководство по победе над Боссом Руин</v>
      </c>
      <c r="AB46" s="44" t="str">
        <f>IFERROR(__xludf.DUMMYFUNCTION("GOOGLETRANSLATE(D46,""zh-tw"",""RU"")"),"Получите предметы и снаряжение
P.S. Боссы Бездны возрождаются каждые семь дней, и каждый раз они становятся сильнее. Вы также можете использовать карту Таро «Мир».")</f>
        <v>Получите предметы и снаряжение
P.S. Боссы Бездны возрождаются каждые семь дней, и каждый раз они становятся сильнее. Вы также можете использовать карту Таро «Мир».</v>
      </c>
      <c r="AC46" s="151" t="str">
        <f>IFERROR(__xludf.DUMMYFUNCTION("GOOGLETRANSLATE(I46,""zh-tw"",""en"")"),"R42")</f>
        <v>R42</v>
      </c>
      <c r="AD46" s="149" t="s">
        <v>2546</v>
      </c>
      <c r="AE46" s="154" t="s">
        <v>2547</v>
      </c>
      <c r="AF46" s="106" t="s">
        <v>2548</v>
      </c>
      <c r="AG46" s="155" t="s">
        <v>2535</v>
      </c>
      <c r="AH46" s="156" t="s">
        <v>2549</v>
      </c>
      <c r="AI46" s="157" t="s">
        <v>2550</v>
      </c>
      <c r="AJ46" s="158" t="s">
        <v>2551</v>
      </c>
      <c r="AK46" s="30"/>
      <c r="AL46" s="30"/>
    </row>
    <row r="47">
      <c r="A47" s="108" t="s">
        <v>2552</v>
      </c>
      <c r="B47" s="149" t="s">
        <v>2553</v>
      </c>
      <c r="C47" s="95" t="s">
        <v>2554</v>
      </c>
      <c r="D47" s="52" t="s">
        <v>2555</v>
      </c>
      <c r="E47" s="108" t="str">
        <f>IFERROR(__xludf.DUMMYFUNCTION("GOOGLETRANSLATE(A47,""zh-tw"",""ja"")"),"R43")</f>
        <v>R43</v>
      </c>
      <c r="F47" s="149" t="s">
        <v>2556</v>
      </c>
      <c r="G47" s="95" t="s">
        <v>2557</v>
      </c>
      <c r="H47" s="52" t="s">
        <v>2558</v>
      </c>
      <c r="I47" s="108" t="str">
        <f>IFERROR(__xludf.DUMMYFUNCTION("GOOGLETRANSLATE(A47,""zh-tw"",""en"")"),"R43")</f>
        <v>R43</v>
      </c>
      <c r="J47" s="149" t="s">
        <v>2559</v>
      </c>
      <c r="K47" s="95" t="s">
        <v>2560</v>
      </c>
      <c r="L47" s="52" t="s">
        <v>2561</v>
      </c>
      <c r="M47" s="115" t="str">
        <f>IFERROR(__xludf.DUMMYFUNCTION("GOOGLETRANSLATE(A47,""zh-tw"",""en"")"),"R43")</f>
        <v>R43</v>
      </c>
      <c r="N47" s="149" t="str">
        <f>IFERROR(__xludf.DUMMYFUNCTION("GOOGLETRANSLATE(B47,""zh-tw"",""zh"")"),"天上之石碎片1")</f>
        <v>天上之石碎片1</v>
      </c>
      <c r="O47" s="89" t="str">
        <f>IFERROR(__xludf.DUMMYFUNCTION("GOOGLETRANSLATE(C47,""zh-tw"",""zh"")"),"攻略遗迹第三层的BOSS，获得道具后，使用""星之门""回家，触发剧情")</f>
        <v>攻略遗迹第三层的BOSS，获得道具后，使用"星之门"回家，触发剧情</v>
      </c>
      <c r="P47" s="55" t="str">
        <f>IFERROR(__xludf.DUMMYFUNCTION("GOOGLETRANSLATE(D47,""zh-tw"",""zh"")"),"获得道具""红髓液""")</f>
        <v>获得道具"红髓液"</v>
      </c>
      <c r="Q47" s="115" t="str">
        <f>IFERROR(__xludf.DUMMYFUNCTION("GOOGLETRANSLATE(A47,""zh-tw"",""ja"")"),"R43")</f>
        <v>R43</v>
      </c>
      <c r="R47" s="150" t="str">
        <f>IFERROR(__xludf.DUMMYFUNCTION("GOOGLETRANSLATE(B47,""zh-tw"",""es-MX"")"),"Fragmento de la Piedra Celestial 1")</f>
        <v>Fragmento de la Piedra Celestial 1</v>
      </c>
      <c r="S47" s="89" t="str">
        <f>IFERROR(__xludf.DUMMYFUNCTION("GOOGLETRANSLATE(C47,""zh-tw"",""es-MX"")"),"Tras derrotar al jefe en el tercer piso de las ruinas y obtener el objeto, usa la ""Puerta Estelar"" para regresar a casa y activar el evento.")</f>
        <v>Tras derrotar al jefe en el tercer piso de las ruinas y obtener el objeto, usa la "Puerta Estelar" para regresar a casa y activar el evento.</v>
      </c>
      <c r="T47" s="55" t="str">
        <f>IFERROR(__xludf.DUMMYFUNCTION("GOOGLETRANSLATE(D47,""zh-tw"",""es-MX"")"),"Obtén el producto ""Líquido de médula roja""")</f>
        <v>Obtén el producto "Líquido de médula roja"</v>
      </c>
      <c r="U47" s="151" t="str">
        <f>IFERROR(__xludf.DUMMYFUNCTION("GOOGLETRANSLATE(A47,""zh-tw"",""en"")"),"R43")</f>
        <v>R43</v>
      </c>
      <c r="V47" s="150" t="str">
        <f>IFERROR(__xludf.DUMMYFUNCTION("GOOGLETRANSLATE(B47,""zh-tw"",""KO"")"),"천상의 돌 조각 1")</f>
        <v>천상의 돌 조각 1</v>
      </c>
      <c r="W47" s="89" t="str">
        <f>IFERROR(__xludf.DUMMYFUNCTION("GOOGLETRANSLATE(C47,""zh-tw"",""KO"")"),"유적지 3층의 보스를 물리치고 아이템을 얻은 후, ""스타게이트""를 사용하여 집으로 돌아가면 이벤트가 시작됩니다.")</f>
        <v>유적지 3층의 보스를 물리치고 아이템을 얻은 후, "스타게이트"를 사용하여 집으로 돌아가면 이벤트가 시작됩니다.</v>
      </c>
      <c r="X47" s="55" t="str">
        <f>IFERROR(__xludf.DUMMYFUNCTION("GOOGLETRANSLATE(D47,""zh-tw"",""KO"")"),"""붉은 골수액"" 아이템 획득")</f>
        <v>"붉은 골수액" 아이템 획득</v>
      </c>
      <c r="Y47" s="151" t="str">
        <f>IFERROR(__xludf.DUMMYFUNCTION("GOOGLETRANSLATE(E47,""zh-tw"",""en"")"),"R43")</f>
        <v>R43</v>
      </c>
      <c r="Z47" s="149" t="str">
        <f>IFERROR(__xludf.DUMMYFUNCTION("GOOGLETRANSLATE(B47,""zh-tw"",""ru"")"),"Фрагмент Небесного Камня 1")</f>
        <v>Фрагмент Небесного Камня 1</v>
      </c>
      <c r="AA47" s="152" t="str">
        <f>IFERROR(__xludf.DUMMYFUNCTION("GOOGLETRANSLATE(C47,""zh-tw"",""RU"")"),"После победы над боссом на третьем этаже руин и получения предмета воспользуйтесь «Звездными вратами», чтобы вернуться домой и активировать событие.")</f>
        <v>После победы над боссом на третьем этаже руин и получения предмета воспользуйтесь «Звездными вратами», чтобы вернуться домой и активировать событие.</v>
      </c>
      <c r="AB47" s="44" t="str">
        <f>IFERROR(__xludf.DUMMYFUNCTION("GOOGLETRANSLATE(D47,""zh-tw"",""RU"")"),"Получите предмет «Красная костномозговая жидкость».")</f>
        <v>Получите предмет «Красная костномозговая жидкость».</v>
      </c>
      <c r="AC47" s="151" t="str">
        <f>IFERROR(__xludf.DUMMYFUNCTION("GOOGLETRANSLATE(I47,""zh-tw"",""en"")"),"R43")</f>
        <v>R43</v>
      </c>
      <c r="AD47" s="149" t="s">
        <v>2562</v>
      </c>
      <c r="AE47" s="154" t="s">
        <v>2563</v>
      </c>
      <c r="AF47" s="106" t="s">
        <v>2564</v>
      </c>
      <c r="AG47" s="155" t="s">
        <v>2552</v>
      </c>
      <c r="AH47" s="156" t="s">
        <v>2565</v>
      </c>
      <c r="AI47" s="157" t="s">
        <v>2566</v>
      </c>
      <c r="AJ47" s="158" t="s">
        <v>2567</v>
      </c>
      <c r="AK47" s="30"/>
      <c r="AL47" s="30"/>
    </row>
    <row r="48">
      <c r="A48" s="108" t="s">
        <v>2568</v>
      </c>
      <c r="B48" s="149" t="s">
        <v>2569</v>
      </c>
      <c r="C48" s="95" t="s">
        <v>2570</v>
      </c>
      <c r="D48" s="52" t="s">
        <v>2571</v>
      </c>
      <c r="E48" s="108" t="str">
        <f>IFERROR(__xludf.DUMMYFUNCTION("GOOGLETRANSLATE(A48,""zh-tw"",""ja"")"),"R44")</f>
        <v>R44</v>
      </c>
      <c r="F48" s="149" t="s">
        <v>2572</v>
      </c>
      <c r="G48" s="95" t="s">
        <v>2573</v>
      </c>
      <c r="H48" s="52" t="s">
        <v>2574</v>
      </c>
      <c r="I48" s="108" t="str">
        <f>IFERROR(__xludf.DUMMYFUNCTION("GOOGLETRANSLATE(A48,""zh-tw"",""en"")"),"R44")</f>
        <v>R44</v>
      </c>
      <c r="J48" s="149" t="s">
        <v>2575</v>
      </c>
      <c r="K48" s="95" t="s">
        <v>2576</v>
      </c>
      <c r="L48" s="52" t="s">
        <v>2577</v>
      </c>
      <c r="M48" s="115" t="str">
        <f>IFERROR(__xludf.DUMMYFUNCTION("GOOGLETRANSLATE(A48,""zh-tw"",""en"")"),"R44")</f>
        <v>R44</v>
      </c>
      <c r="N48" s="149" t="str">
        <f>IFERROR(__xludf.DUMMYFUNCTION("GOOGLETRANSLATE(B48,""zh-tw"",""zh"")"),"天上之石碎片2")</f>
        <v>天上之石碎片2</v>
      </c>
      <c r="O48" s="89" t="str">
        <f>IFERROR(__xludf.DUMMYFUNCTION("GOOGLETRANSLATE(C48,""zh-tw"",""zh"")"),"哥哥可以喝下该道具，并获得状态。")</f>
        <v>哥哥可以喝下该道具，并获得状态。</v>
      </c>
      <c r="P48" s="55" t="str">
        <f>IFERROR(__xludf.DUMMYFUNCTION("GOOGLETRANSLATE(D48,""zh-tw"",""zh"")"),"获得状态
*治愈妹妹前、后喝下，有不同剧情")</f>
        <v>获得状态
*治愈妹妹前、后喝下，有不同剧情</v>
      </c>
      <c r="Q48" s="115" t="str">
        <f>IFERROR(__xludf.DUMMYFUNCTION("GOOGLETRANSLATE(A48,""zh-tw"",""ja"")"),"R44")</f>
        <v>R44</v>
      </c>
      <c r="R48" s="150" t="str">
        <f>IFERROR(__xludf.DUMMYFUNCTION("GOOGLETRANSLATE(B48,""zh-tw"",""es-MX"")"),"Fragmento 2 de la Piedra Celestial")</f>
        <v>Fragmento 2 de la Piedra Celestial</v>
      </c>
      <c r="S48" s="89" t="str">
        <f>IFERROR(__xludf.DUMMYFUNCTION("GOOGLETRANSLATE(C48,""zh-tw"",""es-MX"")"),"El hermano mayor puede beber este objeto y obtener el efecto de estado.")</f>
        <v>El hermano mayor puede beber este objeto y obtener el efecto de estado.</v>
      </c>
      <c r="T48" s="55" t="str">
        <f>IFERROR(__xludf.DUMMYFUNCTION("GOOGLETRANSLATE(D48,""zh-tw"",""es-MX"")"),"Ganar estatus
*La historia se desarrolla de forma diferente dependiendo de si la bebida se administra antes o después de curar a la hermana.")</f>
        <v>Ganar estatus
*La historia se desarrolla de forma diferente dependiendo de si la bebida se administra antes o después de curar a la hermana.</v>
      </c>
      <c r="U48" s="151" t="str">
        <f>IFERROR(__xludf.DUMMYFUNCTION("GOOGLETRANSLATE(A48,""zh-tw"",""en"")"),"R44")</f>
        <v>R44</v>
      </c>
      <c r="V48" s="150" t="str">
        <f>IFERROR(__xludf.DUMMYFUNCTION("GOOGLETRANSLATE(B48,""zh-tw"",""KO"")"),"천상의 돌 조각 2")</f>
        <v>천상의 돌 조각 2</v>
      </c>
      <c r="W48" s="89" t="str">
        <f>IFERROR(__xludf.DUMMYFUNCTION("GOOGLETRANSLATE(C48,""zh-tw"",""KO"")"),"형은 이 아이템을 마시면 상태 효과를 얻을 수 있습니다.")</f>
        <v>형은 이 아이템을 마시면 상태 효과를 얻을 수 있습니다.</v>
      </c>
      <c r="X48" s="55" t="str">
        <f>IFERROR(__xludf.DUMMYFUNCTION("GOOGLETRANSLATE(D48,""zh-tw"",""KO"")"),"상태 획득
*자매를 치료하기 전에 음료를 주었는지, 치료한 후에 주었는지에 따라 스토리라인이 달라집니다.")</f>
        <v>상태 획득
*자매를 치료하기 전에 음료를 주었는지, 치료한 후에 주었는지에 따라 스토리라인이 달라집니다.</v>
      </c>
      <c r="Y48" s="151" t="str">
        <f>IFERROR(__xludf.DUMMYFUNCTION("GOOGLETRANSLATE(E48,""zh-tw"",""en"")"),"R44")</f>
        <v>R44</v>
      </c>
      <c r="Z48" s="149" t="str">
        <f>IFERROR(__xludf.DUMMYFUNCTION("GOOGLETRANSLATE(B48,""zh-tw"",""ru"")"),"Фрагмент Небесного Камня 2")</f>
        <v>Фрагмент Небесного Камня 2</v>
      </c>
      <c r="AA48" s="152" t="str">
        <f>IFERROR(__xludf.DUMMYFUNCTION("GOOGLETRANSLATE(C48,""zh-tw"",""RU"")"),"Старший брат может выпить этот предмет и получить эффект статуса.")</f>
        <v>Старший брат может выпить этот предмет и получить эффект статуса.</v>
      </c>
      <c r="AB48" s="44" t="str">
        <f>IFERROR(__xludf.DUMMYFUNCTION("GOOGLETRANSLATE(D48,""zh-tw"",""RU"")"),"Получить статус
*Разные сюжетные линии развиваются в зависимости от того, был ли напиток дан до или после исцеления сестры.")</f>
        <v>Получить статус
*Разные сюжетные линии развиваются в зависимости от того, был ли напиток дан до или после исцеления сестры.</v>
      </c>
      <c r="AC48" s="151" t="str">
        <f>IFERROR(__xludf.DUMMYFUNCTION("GOOGLETRANSLATE(I48,""zh-tw"",""en"")"),"R44")</f>
        <v>R44</v>
      </c>
      <c r="AD48" s="149" t="s">
        <v>2578</v>
      </c>
      <c r="AE48" s="154" t="s">
        <v>2579</v>
      </c>
      <c r="AF48" s="106" t="s">
        <v>2580</v>
      </c>
      <c r="AG48" s="155" t="s">
        <v>2568</v>
      </c>
      <c r="AH48" s="156" t="s">
        <v>2581</v>
      </c>
      <c r="AI48" s="157" t="s">
        <v>2582</v>
      </c>
      <c r="AJ48" s="158" t="s">
        <v>2583</v>
      </c>
      <c r="AK48" s="30"/>
      <c r="AL48" s="30"/>
    </row>
    <row r="49">
      <c r="A49" s="108" t="s">
        <v>2584</v>
      </c>
      <c r="B49" s="149" t="s">
        <v>2585</v>
      </c>
      <c r="C49" s="95" t="s">
        <v>2586</v>
      </c>
      <c r="D49" s="52" t="s">
        <v>2587</v>
      </c>
      <c r="E49" s="108" t="str">
        <f>IFERROR(__xludf.DUMMYFUNCTION("GOOGLETRANSLATE(A49,""zh-tw"",""ja"")"),"R45")</f>
        <v>R45</v>
      </c>
      <c r="F49" s="149" t="s">
        <v>2588</v>
      </c>
      <c r="G49" s="159" t="s">
        <v>2589</v>
      </c>
      <c r="H49" s="52" t="s">
        <v>2590</v>
      </c>
      <c r="I49" s="108" t="str">
        <f>IFERROR(__xludf.DUMMYFUNCTION("GOOGLETRANSLATE(A49,""zh-tw"",""en"")"),"R45")</f>
        <v>R45</v>
      </c>
      <c r="J49" s="149" t="s">
        <v>2591</v>
      </c>
      <c r="K49" s="95" t="s">
        <v>2592</v>
      </c>
      <c r="L49" s="52" t="s">
        <v>2593</v>
      </c>
      <c r="M49" s="115" t="str">
        <f>IFERROR(__xludf.DUMMYFUNCTION("GOOGLETRANSLATE(A49,""zh-tw"",""en"")"),"R45")</f>
        <v>R45</v>
      </c>
      <c r="N49" s="149" t="str">
        <f>IFERROR(__xludf.DUMMYFUNCTION("GOOGLETRANSLATE(B49,""zh-tw"",""zh"")"),"赎罪吧")</f>
        <v>赎罪吧</v>
      </c>
      <c r="O49" s="89" t="str">
        <f>IFERROR(__xludf.DUMMYFUNCTION("GOOGLETRANSLATE(C49,""zh-tw"",""zh"")"),"被遗忘的墓穴-2
攻略遗迹的BOSS(必须要25秒内打完)，会有一个召唤门")</f>
        <v>被遗忘的墓穴-2
攻略遗迹的BOSS(必须要25秒内打完)，会有一个召唤门</v>
      </c>
      <c r="P49" s="55" t="str">
        <f>IFERROR(__xludf.DUMMYFUNCTION("GOOGLETRANSLATE(D49,""zh-tw"",""zh"")"),"新地点-堕落的圣堂
有营火
(地图简称""教堂""，目前NPC无任何功能，等待日后更新)")</f>
        <v>新地点-堕落的圣堂
有营火
(地图简称"教堂"，目前NPC无任何功能，等待日后更新)</v>
      </c>
      <c r="Q49" s="115" t="str">
        <f>IFERROR(__xludf.DUMMYFUNCTION("GOOGLETRANSLATE(A49,""zh-tw"",""ja"")"),"R45")</f>
        <v>R45</v>
      </c>
      <c r="R49" s="149" t="s">
        <v>2594</v>
      </c>
      <c r="S49" s="89" t="str">
        <f>IFERROR(__xludf.DUMMYFUNCTION("GOOGLETRANSLATE(C49,""zh-tw"",""es-MX"")"),"La Tumba Olvidada - 2: Derrota al jefe en las ruinas (debe completarse en 25 segundos) y aparecerá un portal de invocación.")</f>
        <v>La Tumba Olvidada - 2: Derrota al jefe en las ruinas (debe completarse en 25 segundos) y aparecerá un portal de invocación.</v>
      </c>
      <c r="T49" s="55" t="str">
        <f>IFERROR(__xludf.DUMMYFUNCTION("GOOGLETRANSLATE(D49,""zh-tw"",""es-MX"")"),"Nueva ubicación: La Iglesia en ruinas. Hay una hoguera.
(Abreviatura en el mapa: ""Iglesia"". Actualmente, los PNJ no tienen ninguna función; se añadirán en futuras actualizaciones).")</f>
        <v>Nueva ubicación: La Iglesia en ruinas. Hay una hoguera.
(Abreviatura en el mapa: "Iglesia". Actualmente, los PNJ no tienen ninguna función; se añadirán en futuras actualizaciones).</v>
      </c>
      <c r="U49" s="151" t="str">
        <f>IFERROR(__xludf.DUMMYFUNCTION("GOOGLETRANSLATE(A49,""zh-tw"",""en"")"),"R45")</f>
        <v>R45</v>
      </c>
      <c r="V49" s="150" t="str">
        <f>IFERROR(__xludf.DUMMYFUNCTION("GOOGLETRANSLATE(B49,""zh-tw"",""KO"")"),"당신의 죄를 속죄하세요")</f>
        <v>당신의 죄를 속죄하세요</v>
      </c>
      <c r="W49" s="89" t="str">
        <f>IFERROR(__xludf.DUMMYFUNCTION("GOOGLETRANSLATE(C49,""zh-tw"",""KO"")"),"잊혀진 무덤 - 2: 폐허 속 보스를 물리치면(25초 이내에 완료해야 함), 소환 포털이 나타납니다.")</f>
        <v>잊혀진 무덤 - 2: 폐허 속 보스를 물리치면(25초 이내에 완료해야 함), 소환 포털이 나타납니다.</v>
      </c>
      <c r="X49" s="55" t="str">
        <f>IFERROR(__xludf.DUMMYFUNCTION("GOOGLETRANSLATE(D49,""zh-tw"",""KO"")"),"새로운 장소 - 몰락한 교회. 모닥불이 있습니다.
(지도 약어: ""교회""). 현재 NPC들은 아무런 기능을 하지 않습니다. 향후 업데이트를 기다리고 있습니다.")</f>
        <v>새로운 장소 - 몰락한 교회. 모닥불이 있습니다.
(지도 약어: "교회"). 현재 NPC들은 아무런 기능을 하지 않습니다. 향후 업데이트를 기다리고 있습니다.</v>
      </c>
      <c r="Y49" s="151" t="str">
        <f>IFERROR(__xludf.DUMMYFUNCTION("GOOGLETRANSLATE(E49,""zh-tw"",""en"")"),"R45")</f>
        <v>R45</v>
      </c>
      <c r="Z49" s="149" t="str">
        <f>IFERROR(__xludf.DUMMYFUNCTION("GOOGLETRANSLATE(B49,""zh-tw"",""ru"")"),"Искупи свои грехи")</f>
        <v>Искупи свои грехи</v>
      </c>
      <c r="AA49" s="152" t="str">
        <f>IFERROR(__xludf.DUMMYFUNCTION("GOOGLETRANSLATE(C49,""zh-tw"",""RU"")"),"Забытая гробница - 2: Победите босса в руинах (необходимо завершить в течение 25 секунд), и появится портал призыва.")</f>
        <v>Забытая гробница - 2: Победите босса в руинах (необходимо завершить в течение 25 секунд), и появится портал призыва.</v>
      </c>
      <c r="AB49" s="44" t="str">
        <f>IFERROR(__xludf.DUMMYFUNCTION("GOOGLETRANSLATE(D49,""zh-tw"",""RU"")"),"Новая локация — Павшая Церковь. Костер присутствует.
(Сокращение на карте: «Церковь». В настоящее время у NPC нет функций; ожидается обновление в будущем.)")</f>
        <v>Новая локация — Павшая Церковь. Костер присутствует.
(Сокращение на карте: «Церковь». В настоящее время у NPC нет функций; ожидается обновление в будущем.)</v>
      </c>
      <c r="AC49" s="151" t="str">
        <f>IFERROR(__xludf.DUMMYFUNCTION("GOOGLETRANSLATE(I49,""zh-tw"",""en"")"),"R45")</f>
        <v>R45</v>
      </c>
      <c r="AD49" s="149" t="s">
        <v>2595</v>
      </c>
      <c r="AE49" s="154" t="s">
        <v>2596</v>
      </c>
      <c r="AF49" s="106" t="s">
        <v>2597</v>
      </c>
      <c r="AG49" s="155" t="s">
        <v>2584</v>
      </c>
      <c r="AH49" s="156" t="s">
        <v>2598</v>
      </c>
      <c r="AI49" s="157" t="s">
        <v>2599</v>
      </c>
      <c r="AJ49" s="158" t="s">
        <v>2600</v>
      </c>
      <c r="AK49" s="30"/>
      <c r="AL49" s="30"/>
    </row>
    <row r="50">
      <c r="A50" s="108" t="s">
        <v>2601</v>
      </c>
      <c r="B50" s="149" t="s">
        <v>2602</v>
      </c>
      <c r="C50" s="95" t="s">
        <v>2603</v>
      </c>
      <c r="D50" s="52" t="s">
        <v>2604</v>
      </c>
      <c r="E50" s="108" t="str">
        <f>IFERROR(__xludf.DUMMYFUNCTION("GOOGLETRANSLATE(A50,""zh-tw"",""ja"")"),"R46")</f>
        <v>R46</v>
      </c>
      <c r="F50" s="149" t="s">
        <v>2605</v>
      </c>
      <c r="G50" s="159" t="s">
        <v>2606</v>
      </c>
      <c r="H50" s="52" t="s">
        <v>2607</v>
      </c>
      <c r="I50" s="108" t="str">
        <f>IFERROR(__xludf.DUMMYFUNCTION("GOOGLETRANSLATE(A50,""zh-tw"",""en"")"),"R46")</f>
        <v>R46</v>
      </c>
      <c r="J50" s="149" t="s">
        <v>2608</v>
      </c>
      <c r="K50" s="95" t="s">
        <v>2609</v>
      </c>
      <c r="L50" s="52" t="s">
        <v>2610</v>
      </c>
      <c r="M50" s="115" t="str">
        <f>IFERROR(__xludf.DUMMYFUNCTION("GOOGLETRANSLATE(A50,""zh-tw"",""en"")"),"R46")</f>
        <v>R46</v>
      </c>
      <c r="N50" s="149" t="str">
        <f>IFERROR(__xludf.DUMMYFUNCTION("GOOGLETRANSLATE(B50,""zh-tw"",""zh"")"),"教堂隐藏物品-1")</f>
        <v>教堂隐藏物品-1</v>
      </c>
      <c r="O50" s="89" t="str">
        <f>IFERROR(__xludf.DUMMYFUNCTION("GOOGLETRANSLATE(C50,""zh-tw"",""zh"")"),"教堂NPC后方，石像的背后")</f>
        <v>教堂NPC后方，石像的背后</v>
      </c>
      <c r="P50" s="55" t="str">
        <f>IFERROR(__xludf.DUMMYFUNCTION("GOOGLETRANSLATE(D50,""zh-tw"",""zh"")"),"装备:圣少女的怜悯")</f>
        <v>装备:圣少女的怜悯</v>
      </c>
      <c r="Q50" s="115" t="str">
        <f>IFERROR(__xludf.DUMMYFUNCTION("GOOGLETRANSLATE(A50,""zh-tw"",""ja"")"),"R46")</f>
        <v>R46</v>
      </c>
      <c r="R50" s="150" t="str">
        <f>IFERROR(__xludf.DUMMYFUNCTION("GOOGLETRANSLATE(B50,""zh-tw"",""es-MX"")"),"Objeto oculto de la iglesia - 1")</f>
        <v>Objeto oculto de la iglesia - 1</v>
      </c>
      <c r="S50" s="95" t="s">
        <v>2611</v>
      </c>
      <c r="T50" s="55" t="str">
        <f>IFERROR(__xludf.DUMMYFUNCTION("GOOGLETRANSLATE(D50,""zh-tw"",""es-MX"")"),"Equipamiento: Misericordia de Santa Doncella")</f>
        <v>Equipamiento: Misericordia de Santa Doncella</v>
      </c>
      <c r="U50" s="151" t="str">
        <f>IFERROR(__xludf.DUMMYFUNCTION("GOOGLETRANSLATE(A50,""zh-tw"",""en"")"),"R46")</f>
        <v>R46</v>
      </c>
      <c r="V50" s="150" t="str">
        <f>IFERROR(__xludf.DUMMYFUNCTION("GOOGLETRANSLATE(B50,""zh-tw"",""KO"")"),"교회 숨겨진 아이템 - 1")</f>
        <v>교회 숨겨진 아이템 - 1</v>
      </c>
      <c r="W50" s="89" t="str">
        <f>IFERROR(__xludf.DUMMYFUNCTION("GOOGLETRANSLATE(C50,""zh-tw"",""KO"")"),"교회 NPC 뒤, 석상 뒤")</f>
        <v>교회 NPC 뒤, 석상 뒤</v>
      </c>
      <c r="X50" s="55" t="str">
        <f>IFERROR(__xludf.DUMMYFUNCTION("GOOGLETRANSLATE(D50,""zh-tw"",""KO"")"),"장비: 성녀의 자비")</f>
        <v>장비: 성녀의 자비</v>
      </c>
      <c r="Y50" s="151" t="str">
        <f>IFERROR(__xludf.DUMMYFUNCTION("GOOGLETRANSLATE(E50,""zh-tw"",""en"")"),"R46")</f>
        <v>R46</v>
      </c>
      <c r="Z50" s="149" t="str">
        <f>IFERROR(__xludf.DUMMYFUNCTION("GOOGLETRANSLATE(B50,""zh-tw"",""ru"")"),"Скрытый предмет в церкви - 1")</f>
        <v>Скрытый предмет в церкви - 1</v>
      </c>
      <c r="AA50" s="152" t="str">
        <f>IFERROR(__xludf.DUMMYFUNCTION("GOOGLETRANSLATE(C50,""zh-tw"",""RU"")"),"За церковным NPC, за каменной статуей")</f>
        <v>За церковным NPC, за каменной статуей</v>
      </c>
      <c r="AB50" s="44" t="str">
        <f>IFERROR(__xludf.DUMMYFUNCTION("GOOGLETRANSLATE(D50,""zh-tw"",""RU"")"),"Снаряжение: Святая Дева Милосердия")</f>
        <v>Снаряжение: Святая Дева Милосердия</v>
      </c>
      <c r="AC50" s="151" t="str">
        <f>IFERROR(__xludf.DUMMYFUNCTION("GOOGLETRANSLATE(I50,""zh-tw"",""en"")"),"R46")</f>
        <v>R46</v>
      </c>
      <c r="AD50" s="149" t="s">
        <v>2612</v>
      </c>
      <c r="AE50" s="154" t="s">
        <v>2613</v>
      </c>
      <c r="AF50" s="106" t="s">
        <v>2614</v>
      </c>
      <c r="AG50" s="155" t="s">
        <v>2601</v>
      </c>
      <c r="AH50" s="156" t="s">
        <v>2615</v>
      </c>
      <c r="AI50" s="157" t="s">
        <v>2616</v>
      </c>
      <c r="AJ50" s="158" t="s">
        <v>2617</v>
      </c>
      <c r="AK50" s="30"/>
      <c r="AL50" s="30"/>
    </row>
    <row r="51">
      <c r="A51" s="108" t="s">
        <v>2618</v>
      </c>
      <c r="B51" s="149" t="s">
        <v>2619</v>
      </c>
      <c r="C51" s="95" t="s">
        <v>2620</v>
      </c>
      <c r="D51" s="52" t="s">
        <v>2621</v>
      </c>
      <c r="E51" s="108" t="str">
        <f>IFERROR(__xludf.DUMMYFUNCTION("GOOGLETRANSLATE(A51,""zh-tw"",""ja"")"),"R47")</f>
        <v>R47</v>
      </c>
      <c r="F51" s="149" t="s">
        <v>2622</v>
      </c>
      <c r="G51" s="159" t="s">
        <v>2623</v>
      </c>
      <c r="H51" s="52" t="s">
        <v>2624</v>
      </c>
      <c r="I51" s="108" t="str">
        <f>IFERROR(__xludf.DUMMYFUNCTION("GOOGLETRANSLATE(A51,""zh-tw"",""en"")"),"R47")</f>
        <v>R47</v>
      </c>
      <c r="J51" s="149" t="s">
        <v>2625</v>
      </c>
      <c r="K51" s="95" t="s">
        <v>2626</v>
      </c>
      <c r="L51" s="52" t="s">
        <v>2627</v>
      </c>
      <c r="M51" s="115" t="str">
        <f>IFERROR(__xludf.DUMMYFUNCTION("GOOGLETRANSLATE(A51,""zh-tw"",""en"")"),"R47")</f>
        <v>R47</v>
      </c>
      <c r="N51" s="149" t="str">
        <f>IFERROR(__xludf.DUMMYFUNCTION("GOOGLETRANSLATE(B51,""zh-tw"",""zh"")"),"商店车-1")</f>
        <v>商店车-1</v>
      </c>
      <c r="O51" s="89" t="str">
        <f>IFERROR(__xludf.DUMMYFUNCTION("GOOGLETRANSLATE(C51,""zh-tw"",""zh"")"),"使用""战车""塔罗牌进行召唤")</f>
        <v>使用"战车"塔罗牌进行召唤</v>
      </c>
      <c r="P51" s="55" t="str">
        <f>IFERROR(__xludf.DUMMYFUNCTION("GOOGLETRANSLATE(D51,""zh-tw"",""zh"")"),"会召唤猫娘商店车。
请勿立刻捡起物品！否则会视为偷窃！")</f>
        <v>会召唤猫娘商店车。
请勿立刻捡起物品！否则会视为偷窃！</v>
      </c>
      <c r="Q51" s="115" t="str">
        <f>IFERROR(__xludf.DUMMYFUNCTION("GOOGLETRANSLATE(A51,""zh-tw"",""ja"")"),"R47")</f>
        <v>R47</v>
      </c>
      <c r="R51" s="150" t="str">
        <f>IFERROR(__xludf.DUMMYFUNCTION("GOOGLETRANSLATE(B51,""zh-tw"",""es-MX"")"),"Camión de taller-1")</f>
        <v>Camión de taller-1</v>
      </c>
      <c r="S51" s="95" t="s">
        <v>2628</v>
      </c>
      <c r="T51" s="55" t="str">
        <f>IFERROR(__xludf.DUMMYFUNCTION("GOOGLETRANSLATE(D51,""zh-tw"",""es-MX"")"),"Esto hará aparecer un carrito de tienda con una chica gato.
¡No recojas los artículos inmediatamente! De lo contrario, ¡se considerará robo!")</f>
        <v>Esto hará aparecer un carrito de tienda con una chica gato.
¡No recojas los artículos inmediatamente! De lo contrario, ¡se considerará robo!</v>
      </c>
      <c r="U51" s="151" t="str">
        <f>IFERROR(__xludf.DUMMYFUNCTION("GOOGLETRANSLATE(A51,""zh-tw"",""en"")"),"R47")</f>
        <v>R47</v>
      </c>
      <c r="V51" s="150" t="str">
        <f>IFERROR(__xludf.DUMMYFUNCTION("GOOGLETRANSLATE(B51,""zh-tw"",""KO"")"),"샵 트럭-1")</f>
        <v>샵 트럭-1</v>
      </c>
      <c r="W51" s="89" t="str">
        <f>IFERROR(__xludf.DUMMYFUNCTION("GOOGLETRANSLATE(C51,""zh-tw"",""KO"")"),"타로 카드 ""전차""를 사용하여 소환하세요.")</f>
        <v>타로 카드 "전차"를 사용하여 소환하세요.</v>
      </c>
      <c r="X51" s="55" t="str">
        <f>IFERROR(__xludf.DUMMYFUNCTION("GOOGLETRANSLATE(D51,""zh-tw"",""KO"")"),"고양이 소녀 쇼핑 카트가 소환됩니다.
물건을 바로 가져가지 마세요! 그렇지 않으면 절도로 간주됩니다!")</f>
        <v>고양이 소녀 쇼핑 카트가 소환됩니다.
물건을 바로 가져가지 마세요! 그렇지 않으면 절도로 간주됩니다!</v>
      </c>
      <c r="Y51" s="151" t="str">
        <f>IFERROR(__xludf.DUMMYFUNCTION("GOOGLETRANSLATE(E51,""zh-tw"",""en"")"),"R47")</f>
        <v>R47</v>
      </c>
      <c r="Z51" s="149" t="str">
        <f>IFERROR(__xludf.DUMMYFUNCTION("GOOGLETRANSLATE(B51,""zh-tw"",""ru"")"),"Магазин Грузовик-1")</f>
        <v>Магазин Грузовик-1</v>
      </c>
      <c r="AA51" s="152" t="str">
        <f>IFERROR(__xludf.DUMMYFUNCTION("GOOGLETRANSLATE(C51,""zh-tw"",""RU"")"),"Вызов с помощью карты Таро «Колесница».")</f>
        <v>Вызов с помощью карты Таро «Колесница».</v>
      </c>
      <c r="AB51" s="44" t="str">
        <f>IFERROR(__xludf.DUMMYFUNCTION("GOOGLETRANSLATE(D51,""zh-tw"",""RU"")"),"Это призовёт тележку с кошкодевочкой.
Не забирайте товары сразу! Иначе это будет считаться кражей!")</f>
        <v>Это призовёт тележку с кошкодевочкой.
Не забирайте товары сразу! Иначе это будет считаться кражей!</v>
      </c>
      <c r="AC51" s="151" t="str">
        <f>IFERROR(__xludf.DUMMYFUNCTION("GOOGLETRANSLATE(I51,""zh-tw"",""en"")"),"R47")</f>
        <v>R47</v>
      </c>
      <c r="AD51" s="149" t="s">
        <v>2629</v>
      </c>
      <c r="AE51" s="154" t="s">
        <v>2630</v>
      </c>
      <c r="AF51" s="106" t="s">
        <v>2631</v>
      </c>
      <c r="AG51" s="155" t="s">
        <v>2618</v>
      </c>
      <c r="AH51" s="156" t="s">
        <v>2632</v>
      </c>
      <c r="AI51" s="157" t="s">
        <v>2633</v>
      </c>
      <c r="AJ51" s="158" t="s">
        <v>2634</v>
      </c>
      <c r="AK51" s="30"/>
      <c r="AL51" s="30"/>
    </row>
    <row r="52">
      <c r="A52" s="108" t="s">
        <v>2635</v>
      </c>
      <c r="B52" s="149" t="s">
        <v>2636</v>
      </c>
      <c r="C52" s="95" t="s">
        <v>2637</v>
      </c>
      <c r="D52" s="52" t="s">
        <v>2638</v>
      </c>
      <c r="E52" s="108" t="str">
        <f>IFERROR(__xludf.DUMMYFUNCTION("GOOGLETRANSLATE(A52,""zh-tw"",""ja"")"),"R48")</f>
        <v>R48</v>
      </c>
      <c r="F52" s="149" t="s">
        <v>2639</v>
      </c>
      <c r="G52" s="159" t="s">
        <v>2640</v>
      </c>
      <c r="H52" s="52" t="s">
        <v>2641</v>
      </c>
      <c r="I52" s="108" t="str">
        <f>IFERROR(__xludf.DUMMYFUNCTION("GOOGLETRANSLATE(A52,""zh-tw"",""en"")"),"R48")</f>
        <v>R48</v>
      </c>
      <c r="J52" s="149" t="s">
        <v>2642</v>
      </c>
      <c r="K52" s="95" t="s">
        <v>2643</v>
      </c>
      <c r="L52" s="52" t="s">
        <v>2644</v>
      </c>
      <c r="M52" s="115" t="str">
        <f>IFERROR(__xludf.DUMMYFUNCTION("GOOGLETRANSLATE(A52,""zh-tw"",""en"")"),"R48")</f>
        <v>R48</v>
      </c>
      <c r="N52" s="149" t="str">
        <f>IFERROR(__xludf.DUMMYFUNCTION("GOOGLETRANSLATE(B52,""zh-tw"",""zh"")"),"商店车-2")</f>
        <v>商店车-2</v>
      </c>
      <c r="O52" s="89" t="str">
        <f>IFERROR(__xludf.DUMMYFUNCTION("GOOGLETRANSLATE(C52,""zh-tw"",""zh"")"),"于商店车偷窃商品")</f>
        <v>于商店车偷窃商品</v>
      </c>
      <c r="P52" s="55" t="str">
        <f>IFERROR(__xludf.DUMMYFUNCTION("GOOGLETRANSLATE(D52,""zh-tw"",""zh"")"),"会被攻击
警告:猫娘浅羽极为强大，通常情况下是无法击杀的存在。因此在存档之前请不要轻易挑战她。
P.S.即使使用时间暂停器仍会被发现")</f>
        <v>会被攻击
警告:猫娘浅羽极为强大，通常情况下是无法击杀的存在。因此在存档之前请不要轻易挑战她。
P.S.即使使用时间暂停器仍会被发现</v>
      </c>
      <c r="Q52" s="115" t="str">
        <f>IFERROR(__xludf.DUMMYFUNCTION("GOOGLETRANSLATE(A52,""zh-tw"",""ja"")"),"R48")</f>
        <v>R48</v>
      </c>
      <c r="R52" s="150" t="str">
        <f>IFERROR(__xludf.DUMMYFUNCTION("GOOGLETRANSLATE(B52,""zh-tw"",""es-MX"")"),"Camión de taller-2")</f>
        <v>Camión de taller-2</v>
      </c>
      <c r="S52" s="89" t="str">
        <f>IFERROR(__xludf.DUMMYFUNCTION("GOOGLETRANSLATE(C52,""zh-tw"",""es-MX"")"),"Robar artículos de un carrito de compras")</f>
        <v>Robar artículos de un carrito de compras</v>
      </c>
      <c r="T52" s="55" t="str">
        <f>IFERROR(__xludf.DUMMYFUNCTION("GOOGLETRANSLATE(D52,""zh-tw"",""es-MX"")"),"Serás atacado.
Advertencia: Asaba, la chica gato, es extremadamente poderosa y normalmente invencible. Por lo tanto, no la desafíes a la ligera antes de guardar la partida.
P. D.: Seguirás siendo detectado incluso si usas el dispositivo para detener el "&amp;"tiempo.")</f>
        <v>Serás atacado.
Advertencia: Asaba, la chica gato, es extremadamente poderosa y normalmente invencible. Por lo tanto, no la desafíes a la ligera antes de guardar la partida.
P. D.: Seguirás siendo detectado incluso si usas el dispositivo para detener el tiempo.</v>
      </c>
      <c r="U52" s="151" t="str">
        <f>IFERROR(__xludf.DUMMYFUNCTION("GOOGLETRANSLATE(A52,""zh-tw"",""en"")"),"R48")</f>
        <v>R48</v>
      </c>
      <c r="V52" s="150" t="str">
        <f>IFERROR(__xludf.DUMMYFUNCTION("GOOGLETRANSLATE(B52,""zh-tw"",""KO"")"),"트럭 2호점")</f>
        <v>트럭 2호점</v>
      </c>
      <c r="W52" s="89" t="str">
        <f>IFERROR(__xludf.DUMMYFUNCTION("GOOGLETRANSLATE(C52,""zh-tw"",""KO"")"),"쇼핑 카트에서 물건을 훔치다")</f>
        <v>쇼핑 카트에서 물건을 훔치다</v>
      </c>
      <c r="X52" s="55" t="str">
        <f>IFERROR(__xludf.DUMMYFUNCTION("GOOGLETRANSLATE(D52,""zh-tw"",""KO"")"),"공격당할 것입니다.
경고: 캣걸 아사바는 매우 강력하며 일반적으로 무적입니다. 따라서 게임을 저장하기 전에 가볍게 도전하지 마십시오.
추신: 시간 정지 장치를 사용하더라도 여전히 감지될 수 있습니다.")</f>
        <v>공격당할 것입니다.
경고: 캣걸 아사바는 매우 강력하며 일반적으로 무적입니다. 따라서 게임을 저장하기 전에 가볍게 도전하지 마십시오.
추신: 시간 정지 장치를 사용하더라도 여전히 감지될 수 있습니다.</v>
      </c>
      <c r="Y52" s="151" t="str">
        <f>IFERROR(__xludf.DUMMYFUNCTION("GOOGLETRANSLATE(E52,""zh-tw"",""en"")"),"R48")</f>
        <v>R48</v>
      </c>
      <c r="Z52" s="149" t="str">
        <f>IFERROR(__xludf.DUMMYFUNCTION("GOOGLETRANSLATE(B52,""zh-tw"",""ru"")"),"Магазин Грузовик-2")</f>
        <v>Магазин Грузовик-2</v>
      </c>
      <c r="AA52" s="152" t="str">
        <f>IFERROR(__xludf.DUMMYFUNCTION("GOOGLETRANSLATE(C52,""zh-tw"",""RU"")"),"Кража товаров из тележки для покупок")</f>
        <v>Кража товаров из тележки для покупок</v>
      </c>
      <c r="AB52" s="44" t="str">
        <f>IFERROR(__xludf.DUMMYFUNCTION("GOOGLETRANSLATE(D52,""zh-tw"",""RU"")"),"Вас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f>
        <v>Вас атакуют.
Предупреждение: Кошкодевочка Асаба невероятно сильна и обычно непобедима. Поэтому, пожалуйста, не бросайте ей вызов, не сохранив игру.
P.S. Вас всё равно обнаружат, даже если вы используете устройство остановки времени.</v>
      </c>
      <c r="AC52" s="151" t="str">
        <f>IFERROR(__xludf.DUMMYFUNCTION("GOOGLETRANSLATE(I52,""zh-tw"",""en"")"),"R48")</f>
        <v>R48</v>
      </c>
      <c r="AD52" s="149" t="s">
        <v>2645</v>
      </c>
      <c r="AE52" s="154" t="s">
        <v>2646</v>
      </c>
      <c r="AF52" s="106" t="s">
        <v>2647</v>
      </c>
      <c r="AG52" s="155" t="s">
        <v>2635</v>
      </c>
      <c r="AH52" s="156" t="s">
        <v>2648</v>
      </c>
      <c r="AI52" s="157" t="s">
        <v>2649</v>
      </c>
      <c r="AJ52" s="158" t="s">
        <v>2650</v>
      </c>
      <c r="AK52" s="30"/>
      <c r="AL52" s="30"/>
    </row>
    <row r="53">
      <c r="A53" s="108" t="s">
        <v>2651</v>
      </c>
      <c r="B53" s="149" t="s">
        <v>2652</v>
      </c>
      <c r="C53" s="95" t="s">
        <v>2653</v>
      </c>
      <c r="D53" s="52" t="s">
        <v>2654</v>
      </c>
      <c r="E53" s="108" t="str">
        <f>IFERROR(__xludf.DUMMYFUNCTION("GOOGLETRANSLATE(A53,""zh-tw"",""ja"")"),"R49")</f>
        <v>R49</v>
      </c>
      <c r="F53" s="149" t="s">
        <v>2655</v>
      </c>
      <c r="G53" s="159" t="s">
        <v>2656</v>
      </c>
      <c r="H53" s="52" t="s">
        <v>2657</v>
      </c>
      <c r="I53" s="108" t="str">
        <f>IFERROR(__xludf.DUMMYFUNCTION("GOOGLETRANSLATE(A53,""zh-tw"",""en"")"),"R49")</f>
        <v>R49</v>
      </c>
      <c r="J53" s="149" t="s">
        <v>2658</v>
      </c>
      <c r="K53" s="95" t="s">
        <v>2659</v>
      </c>
      <c r="L53" s="52" t="s">
        <v>2660</v>
      </c>
      <c r="M53" s="115" t="str">
        <f>IFERROR(__xludf.DUMMYFUNCTION("GOOGLETRANSLATE(A53,""zh-tw"",""en"")"),"R49")</f>
        <v>R49</v>
      </c>
      <c r="N53" s="149" t="str">
        <f>IFERROR(__xludf.DUMMYFUNCTION("GOOGLETRANSLATE(B53,""zh-tw"",""zh"")"),"商店车-3")</f>
        <v>商店车-3</v>
      </c>
      <c r="O53" s="89" t="str">
        <f>IFERROR(__xludf.DUMMYFUNCTION("GOOGLETRANSLATE(C53,""zh-tw"",""zh"")"),"商店车的固定商品之一")</f>
        <v>商店车的固定商品之一</v>
      </c>
      <c r="P53" s="55" t="str">
        <f>IFERROR(__xludf.DUMMYFUNCTION("GOOGLETRANSLATE(D53,""zh-tw"",""zh"")"),"获得道具-魔导映写器(照相机)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f>
        <v>获得道具-魔导映写器(照相机)
*实装.拍摄对象是妹妹时，妹妹可能会扮鬼脸
H场景时拍摄也会让妹妹感到害羞
哥哥被诅咒时，容易拍到灵异照片
*实装.在深渊中使用，拍照的音效会引起附近怪物们的注意
(目前功能还在初期阶段，许多内容未完全实装)</v>
      </c>
      <c r="Q53" s="115" t="str">
        <f>IFERROR(__xludf.DUMMYFUNCTION("GOOGLETRANSLATE(A53,""zh-tw"",""ja"")"),"R49")</f>
        <v>R49</v>
      </c>
      <c r="R53" s="150" t="str">
        <f>IFERROR(__xludf.DUMMYFUNCTION("GOOGLETRANSLATE(B53,""zh-tw"",""es-MX"")"),"Camión de taller-3")</f>
        <v>Camión de taller-3</v>
      </c>
      <c r="S53" s="95" t="s">
        <v>2661</v>
      </c>
      <c r="T53" s="55" t="str">
        <f>IFERROR(__xludf.DUMMYFUNCTION("GOOGLETRANSLATE(D53,""zh-tw"",""es-MX"")"),"Obtención del objeto: Fotógrafo Mágico (Cámara)
*Implementación: Al fotografiar a tu hermana menor, es posible que haga una mueca graciosa.
*Tomar fotos durante escenas subidas de tono también hará que tu hermana menor se sonroje.
*Cuando tu hermano ma"&amp;"yor está maldito, es más fácil tomar fotos inquietantes.
*Implementación: Al usarla en el Abismo, el sonido de las fotos atraerá la atención de los monstruos cercanos.
(Actualmente, esta función está en desarrollo y gran parte del contenido aún no está "&amp;"completamente implementado).")</f>
        <v>Obtención del objeto: Fotógrafo Mágico (Cámara)
*Implementación: Al fotografiar a tu hermana menor, es posible que haga una mueca graciosa.
*Tomar fotos durante escenas subidas de tono también hará que tu hermana menor se sonroje.
*Cuando tu hermano mayor está maldito, es más fácil tomar fotos inquietantes.
*Implementación: Al usarla en el Abismo, el sonido de las fotos atraerá la atención de los monstruos cercanos.
(Actualmente, esta función está en desarrollo y gran parte del contenido aún no está completamente implementado).</v>
      </c>
      <c r="U53" s="151" t="str">
        <f>IFERROR(__xludf.DUMMYFUNCTION("GOOGLETRANSLATE(A53,""zh-tw"",""en"")"),"R49")</f>
        <v>R49</v>
      </c>
      <c r="V53" s="150" t="str">
        <f>IFERROR(__xludf.DUMMYFUNCTION("GOOGLETRANSLATE(B53,""zh-tw"",""KO"")"),"트럭 3호점")</f>
        <v>트럭 3호점</v>
      </c>
      <c r="W53" s="89" t="str">
        <f>IFERROR(__xludf.DUMMYFUNCTION("GOOGLETRANSLATE(C53,""zh-tw"",""KO"")"),"매장 카트의 고정 품목 중 하나")</f>
        <v>매장 카트의 고정 품목 중 하나</v>
      </c>
      <c r="X53" s="55" t="str">
        <f>IFERROR(__xludf.DUMMYFUNCTION("GOOGLETRANSLATE(D53,""zh-tw"",""KO"")"),"아이템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사진 촬영 효과음을 사용하면 주변 몬스터의 주의를 끌 수 있습니다.
(현재 이 기능은 초기 단계이며, 많은 콘텐츠가 아직 완전히 구현되지 않았습니다.)")</f>
        <v>아이템 획득 - 마법 사진사 (카메라)
*구현: 여동생을 촬영할 때 웃긴 표정을 지을 수 있습니다.
*H씬 촬영 중 사진을 찍으면 여동생이 부끄러워할 수 있습니다.
*오빠가 저주에 걸렸을 때, 으스스한 사진을 찍기가 더 쉬워집니다.
*구현: 심연에서 사진 촬영 효과음을 사용하면 주변 몬스터의 주의를 끌 수 있습니다.
(현재 이 기능은 초기 단계이며, 많은 콘텐츠가 아직 완전히 구현되지 않았습니다.)</v>
      </c>
      <c r="Y53" s="151" t="str">
        <f>IFERROR(__xludf.DUMMYFUNCTION("GOOGLETRANSLATE(E53,""zh-tw"",""en"")"),"R49")</f>
        <v>R49</v>
      </c>
      <c r="Z53" s="149" t="str">
        <f>IFERROR(__xludf.DUMMYFUNCTION("GOOGLETRANSLATE(B53,""zh-tw"",""ru"")"),"Магазин Грузовик-3")</f>
        <v>Магазин Грузовик-3</v>
      </c>
      <c r="AA53" s="152" t="str">
        <f>IFERROR(__xludf.DUMMYFUNCTION("GOOGLETRANSLATE(C53,""zh-tw"",""RU"")"),"Один из фиксированных товаров в корзине магазина")</f>
        <v>Один из фиксированных товаров в корзине магазина</v>
      </c>
      <c r="AB53" s="44" t="str">
        <f>IFERROR(__xludf.DUMMYFUNCTION("GOOGLETRANSLATE(D53,""zh-tw"",""RU"")"),"Получить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нал"&amp;"ожено проклятие, легче делать жуткие фотографии.
*Реализация: При использовании в Бездне звуковой эффект фотосъёмки привлечёт внимание находящихся поблизости монстров.
(В настоящее время эта функция находится на ранней стадии разработки, и большая часть"&amp;" контента ещё не полностью реализована.)")</f>
        <v>Получить предмет — Волшебный фотограф (камера)
*Реализация: Когда вы фотографируете свою младшую сестру, она может скорчить смешную рожицу.
*Фотосъёмка во время хентай-сцен также заставит вашу младшую сестру смущаться.
*Когда на вашего старшего брата наложено проклятие, легче делать жуткие фотографии.
*Реализация: При использовании в Бездне звуковой эффект фотосъёмки привлечёт внимание находящихся поблизости монстров.
(В настоящее время эта функция находится на ранней стадии разработки, и большая часть контента ещё не полностью реализована.)</v>
      </c>
      <c r="AC53" s="174" t="str">
        <f>IFERROR(__xludf.DUMMYFUNCTION("GOOGLETRANSLATE(I53,""zh-tw"",""en"")"),"R49")</f>
        <v>R49</v>
      </c>
      <c r="AD53" s="175" t="s">
        <v>2662</v>
      </c>
      <c r="AE53" s="154" t="s">
        <v>2663</v>
      </c>
      <c r="AF53" s="106" t="s">
        <v>2664</v>
      </c>
      <c r="AG53" s="155" t="s">
        <v>2651</v>
      </c>
      <c r="AH53" s="156" t="s">
        <v>2665</v>
      </c>
      <c r="AI53" s="157" t="s">
        <v>2666</v>
      </c>
      <c r="AJ53" s="158" t="s">
        <v>2667</v>
      </c>
      <c r="AK53" s="30"/>
      <c r="AL53" s="30"/>
    </row>
    <row r="54">
      <c r="A54" s="108" t="s">
        <v>2668</v>
      </c>
      <c r="B54" s="149" t="s">
        <v>2669</v>
      </c>
      <c r="C54" s="95" t="s">
        <v>2653</v>
      </c>
      <c r="D54" s="52" t="s">
        <v>2670</v>
      </c>
      <c r="E54" s="108" t="str">
        <f>IFERROR(__xludf.DUMMYFUNCTION("GOOGLETRANSLATE(A54,""zh-tw"",""ja"")"),"R50")</f>
        <v>R50</v>
      </c>
      <c r="F54" s="149" t="s">
        <v>2671</v>
      </c>
      <c r="G54" s="159" t="s">
        <v>2672</v>
      </c>
      <c r="H54" s="52" t="s">
        <v>2673</v>
      </c>
      <c r="I54" s="108" t="str">
        <f>IFERROR(__xludf.DUMMYFUNCTION("GOOGLETRANSLATE(A54,""zh-tw"",""en"")"),"R50")</f>
        <v>R50</v>
      </c>
      <c r="J54" s="149" t="s">
        <v>2674</v>
      </c>
      <c r="K54" s="95" t="s">
        <v>2659</v>
      </c>
      <c r="L54" s="52" t="s">
        <v>2675</v>
      </c>
      <c r="M54" s="115" t="str">
        <f>IFERROR(__xludf.DUMMYFUNCTION("GOOGLETRANSLATE(A54,""zh-tw"",""en"")"),"R50")</f>
        <v>R50</v>
      </c>
      <c r="N54" s="149" t="str">
        <f>IFERROR(__xludf.DUMMYFUNCTION("GOOGLETRANSLATE(B54,""zh-tw"",""zh"")"),"商店车-4")</f>
        <v>商店车-4</v>
      </c>
      <c r="O54" s="89" t="str">
        <f>IFERROR(__xludf.DUMMYFUNCTION("GOOGLETRANSLATE(C54,""zh-tw"",""zh"")"),"商店车的固定商品之一")</f>
        <v>商店车的固定商品之一</v>
      </c>
      <c r="P54" s="55" t="str">
        <f>IFERROR(__xludf.DUMMYFUNCTION("GOOGLETRANSLATE(D54,""zh-tw"",""zh"")"),"获得道具:小猪扑满
该道具在搜集到100万之后会进化(同时只能存在一个)
能获得利息、""玛门光环""能力、移速加快能力、坚不可摧能力
P.S.无法将身上的钱喂给小猪")</f>
        <v>获得道具:小猪扑满
该道具在搜集到100万之后会进化(同时只能存在一个)
能获得利息、"玛门光环"能力、移速加快能力、坚不可摧能力
P.S.无法将身上的钱喂给小猪</v>
      </c>
      <c r="Q54" s="115" t="str">
        <f>IFERROR(__xludf.DUMMYFUNCTION("GOOGLETRANSLATE(A54,""zh-tw"",""ja"")"),"R50")</f>
        <v>R50</v>
      </c>
      <c r="R54" s="150" t="str">
        <f>IFERROR(__xludf.DUMMYFUNCTION("GOOGLETRANSLATE(B54,""zh-tw"",""es-MX"")"),"Tienda de coches-4")</f>
        <v>Tienda de coches-4</v>
      </c>
      <c r="S54" s="95" t="s">
        <v>2661</v>
      </c>
      <c r="T54" s="55" t="str">
        <f>IFERROR(__xludf.DUMMYFUNCTION("GOOGLETRANSLATE(D54,""zh-tw"",""es-MX"")"),"Objeto obtenido: Hucha
Este objeto evoluciona tras acumular 1 millón (solo puede existir una a la vez).
Otorga intereses, la habilidad ""Aura de Mamón"", mayor velocidad de movimiento e indestructibilidad.
P. D.: No puedes ingresar tu propio dinero en "&amp;"la hucha.")</f>
        <v>Objeto obtenido: Hucha
Este objeto evoluciona tras acumular 1 millón (solo puede existir una a la vez).
Otorga intereses, la habilidad "Aura de Mamón", mayor velocidad de movimiento e indestructibilidad.
P. D.: No puedes ingresar tu propio dinero en la hucha.</v>
      </c>
      <c r="U54" s="151" t="str">
        <f>IFERROR(__xludf.DUMMYFUNCTION("GOOGLETRANSLATE(A54,""zh-tw"",""en"")"),"R50")</f>
        <v>R50</v>
      </c>
      <c r="V54" s="150" t="str">
        <f>IFERROR(__xludf.DUMMYFUNCTION("GOOGLETRANSLATE(B54,""zh-tw"",""KO"")"),"샵 카-4")</f>
        <v>샵 카-4</v>
      </c>
      <c r="W54" s="89" t="str">
        <f>IFERROR(__xludf.DUMMYFUNCTION("GOOGLETRANSLATE(C54,""zh-tw"",""KO"")"),"매장 카트의 고정 품목 중 하나")</f>
        <v>매장 카트의 고정 품목 중 하나</v>
      </c>
      <c r="X54" s="55" t="str">
        <f>IFERROR(__xludf.DUMMYFUNCTION("GOOGLETRANSLATE(D54,""zh-tw"",""KO"")"),"획득 아이템: 돼지 저금통
이 아이템은 100만 개를 모으면 진화합니다(한 번에 하나만 존재할 수 있습니다).
이자, ""마몬 오라"" 능력, 이동 속도 증가, 그리고 불멸 능력을 부여합니다.
추신: 돼지 저금통에 자신의 돈을 넣을 수는 없습니다.")</f>
        <v>획득 아이템: 돼지 저금통
이 아이템은 100만 개를 모으면 진화합니다(한 번에 하나만 존재할 수 있습니다).
이자, "마몬 오라" 능력, 이동 속도 증가, 그리고 불멸 능력을 부여합니다.
추신: 돼지 저금통에 자신의 돈을 넣을 수는 없습니다.</v>
      </c>
      <c r="Y54" s="151" t="str">
        <f>IFERROR(__xludf.DUMMYFUNCTION("GOOGLETRANSLATE(E54,""zh-tw"",""en"")"),"R50")</f>
        <v>R50</v>
      </c>
      <c r="Z54" s="149" t="str">
        <f>IFERROR(__xludf.DUMMYFUNCTION("GOOGLETRANSLATE(B54,""zh-tw"",""ru"")"),"Магазин Car-4")</f>
        <v>Магазин Car-4</v>
      </c>
      <c r="AA54" s="152" t="str">
        <f>IFERROR(__xludf.DUMMYFUNCTION("GOOGLETRANSLATE(C54,""zh-tw"",""RU"")"),"Один из фиксированных товаров в корзине магазина")</f>
        <v>Один из фиксированных товаров в корзине магазина</v>
      </c>
      <c r="AB54" s="44" t="str">
        <f>IFERROR(__xludf.DUMMYFUNCTION("GOOGLETRANSLATE(D54,""zh-tw"",""RU"")"),"Получить предмет: Копилка
Этот предмет эволюционирует после сбора 1 миллиона (одновременно может существовать только один предмет).
Он даёт проценты, способность «Аура Маммона», повышенную скорость передвижения и неуязвимость.
P.S. Вы не можете скормить"&amp;" свои деньги копилке.")</f>
        <v>Получить предмет: Копилка
Этот предмет эволюционирует после сбора 1 миллиона (одновременно может существовать только один предмет).
Он даёт проценты, способность «Аура Маммона», повышенную скорость передвижения и неуязвимость.
P.S. Вы не можете скормить свои деньги копилке.</v>
      </c>
      <c r="AC54" s="151" t="str">
        <f>IFERROR(__xludf.DUMMYFUNCTION("GOOGLETRANSLATE(I54,""zh-tw"",""en"")"),"R50")</f>
        <v>R50</v>
      </c>
      <c r="AD54" s="175" t="s">
        <v>2676</v>
      </c>
      <c r="AE54" s="154" t="s">
        <v>2663</v>
      </c>
      <c r="AF54" s="106" t="s">
        <v>2677</v>
      </c>
      <c r="AG54" s="155" t="s">
        <v>2668</v>
      </c>
      <c r="AH54" s="156" t="s">
        <v>2678</v>
      </c>
      <c r="AI54" s="157" t="s">
        <v>2666</v>
      </c>
      <c r="AJ54" s="158" t="s">
        <v>2679</v>
      </c>
      <c r="AK54" s="122"/>
      <c r="AL54" s="122"/>
    </row>
    <row r="55">
      <c r="A55" s="108" t="s">
        <v>2680</v>
      </c>
      <c r="B55" s="149" t="s">
        <v>2681</v>
      </c>
      <c r="C55" s="95" t="s">
        <v>2682</v>
      </c>
      <c r="D55" s="52" t="s">
        <v>2683</v>
      </c>
      <c r="E55" s="108" t="str">
        <f>IFERROR(__xludf.DUMMYFUNCTION("GOOGLETRANSLATE(A55,""zh-tw"",""ja"")"),"R51")</f>
        <v>R51</v>
      </c>
      <c r="F55" s="149" t="s">
        <v>2684</v>
      </c>
      <c r="G55" s="159" t="s">
        <v>2685</v>
      </c>
      <c r="H55" s="52" t="s">
        <v>594</v>
      </c>
      <c r="I55" s="108" t="str">
        <f>IFERROR(__xludf.DUMMYFUNCTION("GOOGLETRANSLATE(A55,""zh-tw"",""en"")"),"R51")</f>
        <v>R51</v>
      </c>
      <c r="J55" s="149" t="s">
        <v>2686</v>
      </c>
      <c r="K55" s="95" t="s">
        <v>2687</v>
      </c>
      <c r="L55" s="52" t="s">
        <v>2688</v>
      </c>
      <c r="M55" s="115" t="str">
        <f>IFERROR(__xludf.DUMMYFUNCTION("GOOGLETRANSLATE(A55,""zh-tw"",""en"")"),"R51")</f>
        <v>R51</v>
      </c>
      <c r="N55" s="149" t="str">
        <f>IFERROR(__xludf.DUMMYFUNCTION("GOOGLETRANSLATE(B55,""zh-tw"",""zh"")"),"商店车-5")</f>
        <v>商店车-5</v>
      </c>
      <c r="O55" s="89" t="str">
        <f>IFERROR(__xludf.DUMMYFUNCTION("GOOGLETRANSLATE(C55,""zh-tw"",""zh"")"),"
在商店车出现时，如果哥哥刚好被撞到并HP归零，会到新地图(未实装)")</f>
        <v>
在商店车出现时，如果哥哥刚好被撞到并HP归零，会到新地图(未实装)</v>
      </c>
      <c r="P55" s="55" t="str">
        <f>IFERROR(__xludf.DUMMYFUNCTION("GOOGLETRANSLATE(D55,""zh-tw"",""zh"")"),"未实装")</f>
        <v>未实装</v>
      </c>
      <c r="Q55" s="115" t="str">
        <f>IFERROR(__xludf.DUMMYFUNCTION("GOOGLETRANSLATE(A55,""zh-tw"",""ja"")"),"R51")</f>
        <v>R51</v>
      </c>
      <c r="R55" s="150" t="str">
        <f>IFERROR(__xludf.DUMMYFUNCTION("GOOGLETRANSLATE(B55,""zh-tw"",""es-MX"")"),"Camión de taller-5")</f>
        <v>Camión de taller-5</v>
      </c>
      <c r="S55" s="95" t="s">
        <v>2689</v>
      </c>
      <c r="T55" s="55" t="str">
        <f>IFERROR(__xludf.DUMMYFUNCTION("GOOGLETRANSLATE(D55,""zh-tw"",""es-MX"")"),"No implementado")</f>
        <v>No implementado</v>
      </c>
      <c r="U55" s="151" t="str">
        <f>IFERROR(__xludf.DUMMYFUNCTION("GOOGLETRANSLATE(A55,""zh-tw"",""en"")"),"R51")</f>
        <v>R51</v>
      </c>
      <c r="V55" s="150" t="str">
        <f>IFERROR(__xludf.DUMMYFUNCTION("GOOGLETRANSLATE(B55,""zh-tw"",""KO"")"),"트럭 5호점")</f>
        <v>트럭 5호점</v>
      </c>
      <c r="W55" s="89" t="str">
        <f>IFERROR(__xludf.DUMMYFUNCTION("GOOGLETRANSLATE(C55,""zh-tw"",""KO"")"),"형이 상점 트럭에 치여 체력이 0이 되면 새로운 맵으로 이동하게 됩니다(아직 구현되지 않음).")</f>
        <v>형이 상점 트럭에 치여 체력이 0이 되면 새로운 맵으로 이동하게 됩니다(아직 구현되지 않음).</v>
      </c>
      <c r="X55" s="55" t="str">
        <f>IFERROR(__xludf.DUMMYFUNCTION("GOOGLETRANSLATE(D55,""zh-tw"",""KO"")"),"구현되지 않음")</f>
        <v>구현되지 않음</v>
      </c>
      <c r="Y55" s="151" t="str">
        <f>IFERROR(__xludf.DUMMYFUNCTION("GOOGLETRANSLATE(E55,""zh-tw"",""en"")"),"R51")</f>
        <v>R51</v>
      </c>
      <c r="Z55" s="149" t="str">
        <f>IFERROR(__xludf.DUMMYFUNCTION("GOOGLETRANSLATE(B55,""zh-tw"",""ru"")"),"Магазин Truck-5")</f>
        <v>Магазин Truck-5</v>
      </c>
      <c r="AA55" s="152" t="str">
        <f>IFERROR(__xludf.DUMMYFUNCTION("GOOGLETRANSLATE(C55,""zh-tw"",""RU"")"),"Если старшего брата собьет грузовик с магазином и его здоровье достигнет нуля, он будет перенесен на новую карту (пока не реализовано).")</f>
        <v>Если старшего брата собьет грузовик с магазином и его здоровье достигнет нуля, он будет перенесен на новую карту (пока не реализовано).</v>
      </c>
      <c r="AB55" s="44" t="str">
        <f>IFERROR(__xludf.DUMMYFUNCTION("GOOGLETRANSLATE(D55,""zh-tw"",""RU"")"),"Не реализовано")</f>
        <v>Не реализовано</v>
      </c>
      <c r="AC55" s="151" t="str">
        <f>IFERROR(__xludf.DUMMYFUNCTION("GOOGLETRANSLATE(I55,""zh-tw"",""en"")"),"R51")</f>
        <v>R51</v>
      </c>
      <c r="AD55" s="175" t="s">
        <v>2690</v>
      </c>
      <c r="AE55" s="154" t="s">
        <v>2691</v>
      </c>
      <c r="AF55" s="106" t="s">
        <v>2480</v>
      </c>
      <c r="AG55" s="155" t="s">
        <v>2680</v>
      </c>
      <c r="AH55" s="156" t="s">
        <v>2692</v>
      </c>
      <c r="AI55" s="157" t="s">
        <v>2693</v>
      </c>
      <c r="AJ55" s="158" t="s">
        <v>2694</v>
      </c>
      <c r="AK55" s="122"/>
      <c r="AL55" s="122"/>
    </row>
    <row r="56">
      <c r="A56" s="108" t="s">
        <v>2695</v>
      </c>
      <c r="B56" s="167" t="s">
        <v>2696</v>
      </c>
      <c r="C56" s="170" t="s">
        <v>2697</v>
      </c>
      <c r="D56" s="171" t="s">
        <v>2698</v>
      </c>
      <c r="E56" s="84" t="str">
        <f>IFERROR(__xludf.DUMMYFUNCTION("GOOGLETRANSLATE(A56,""zh-tw"",""ja"")"),"R52")</f>
        <v>R52</v>
      </c>
      <c r="F56" s="167" t="s">
        <v>2699</v>
      </c>
      <c r="G56" s="170" t="s">
        <v>2700</v>
      </c>
      <c r="H56" s="171" t="s">
        <v>2701</v>
      </c>
      <c r="I56" s="84" t="str">
        <f>IFERROR(__xludf.DUMMYFUNCTION("GOOGLETRANSLATE(A56,""zh-tw"",""en"")"),"R52")</f>
        <v>R52</v>
      </c>
      <c r="J56" s="167" t="s">
        <v>2702</v>
      </c>
      <c r="K56" s="170" t="s">
        <v>2703</v>
      </c>
      <c r="L56" s="171" t="s">
        <v>2704</v>
      </c>
      <c r="M56" s="115" t="str">
        <f>IFERROR(__xludf.DUMMYFUNCTION("GOOGLETRANSLATE(A56,""zh-tw"",""en"")"),"R52")</f>
        <v>R52</v>
      </c>
      <c r="N56" s="167" t="str">
        <f>IFERROR(__xludf.DUMMYFUNCTION("GOOGLETRANSLATE(B56,""zh-tw"",""zh"")"),"稻草人")</f>
        <v>稻草人</v>
      </c>
      <c r="O56" s="176" t="str">
        <f>IFERROR(__xludf.DUMMYFUNCTION("GOOGLETRANSLATE(C56,""zh-tw"",""zh"")"),"主要用于测试玩家伤害数值用，有可能透过其他方式击杀。
(可以参考TIPS)")</f>
        <v>主要用于测试玩家伤害数值用，有可能透过其他方式击杀。
(可以参考TIPS)</v>
      </c>
      <c r="P56" s="164" t="str">
        <f>IFERROR(__xludf.DUMMYFUNCTION("GOOGLETRANSLATE(D56,""zh-tw"",""zh"")"),"获得道具：稻草人的心")</f>
        <v>获得道具：稻草人的心</v>
      </c>
      <c r="Q56" s="115" t="str">
        <f>IFERROR(__xludf.DUMMYFUNCTION("GOOGLETRANSLATE(A56,""zh-tw"",""ja"")"),"R52")</f>
        <v>R52</v>
      </c>
      <c r="R56" s="150" t="str">
        <f>IFERROR(__xludf.DUMMYFUNCTION("GOOGLETRANSLATE(B56,""zh-tw"",""es-MX"")"),"espantapájaros")</f>
        <v>espantapájaros</v>
      </c>
      <c r="S56" s="89" t="str">
        <f>IFERROR(__xludf.DUMMYFUNCTION("GOOGLETRANSLATE(C56,""zh-tw"",""es-MX"")"),"Se utilizan principalmente para probar los valores de daño de los jugadores; es posible eliminarlos por otros métodos.
(Consulta la sección de CONSEJOS para más detalles).")</f>
        <v>Se utilizan principalmente para probar los valores de daño de los jugadores; es posible eliminarlos por otros métodos.
(Consulta la sección de CONSEJOS para más detalles).</v>
      </c>
      <c r="T56" s="177" t="str">
        <f>IFERROR(__xludf.DUMMYFUNCTION("GOOGLETRANSLATE(D56,""zh-tw"",""es-MX"")"),"Objeto obtenido: Corazón del espantapájaros")</f>
        <v>Objeto obtenido: Corazón del espantapájaros</v>
      </c>
      <c r="U56" s="151" t="str">
        <f>IFERROR(__xludf.DUMMYFUNCTION("GOOGLETRANSLATE(A56,""zh-tw"",""en"")"),"R52")</f>
        <v>R52</v>
      </c>
      <c r="V56" s="150" t="str">
        <f>IFERROR(__xludf.DUMMYFUNCTION("GOOGLETRANSLATE(B56,""zh-tw"",""KO"")"),"허수아비")</f>
        <v>허수아비</v>
      </c>
      <c r="W56" s="89" t="str">
        <f>IFERROR(__xludf.DUMMYFUNCTION("GOOGLETRANSLATE(C56,""zh-tw"",""KO"")"),"주로 플레이어의 데미지 값을 테스트하는 데 사용됩니다. 다른 방법으로도 처치할 수 있습니다.
(자세한 내용은 팁 참조)")</f>
        <v>주로 플레이어의 데미지 값을 테스트하는 데 사용됩니다. 다른 방법으로도 처치할 수 있습니다.
(자세한 내용은 팁 참조)</v>
      </c>
      <c r="X56" s="177" t="str">
        <f>IFERROR(__xludf.DUMMYFUNCTION("GOOGLETRANSLATE(D56,""zh-tw"",""KO"")"),"획득 아이템: 허수아비의 심장")</f>
        <v>획득 아이템: 허수아비의 심장</v>
      </c>
      <c r="Y56" s="151" t="str">
        <f>IFERROR(__xludf.DUMMYFUNCTION("GOOGLETRANSLATE(E56,""zh-tw"",""en"")"),"R52")</f>
        <v>R52</v>
      </c>
      <c r="Z56" s="167" t="str">
        <f>IFERROR(__xludf.DUMMYFUNCTION("GOOGLETRANSLATE(B56,""zh-tw"",""ru"")"),"пугало")</f>
        <v>пугало</v>
      </c>
      <c r="AA56" s="152" t="str">
        <f>IFERROR(__xludf.DUMMYFUNCTION("GOOGLETRANSLATE(C56,""zh-tw"",""RU"")"),"В основном используется для проверки урона игрока; убить его можно и другими способами.
(Подробнее см. в разделе «СОВЕТЫ»).")</f>
        <v>В основном используется для проверки урона игрока; убить его можно и другими способами.
(Подробнее см. в разделе «СОВЕТЫ»).</v>
      </c>
      <c r="AB56" s="178" t="str">
        <f>IFERROR(__xludf.DUMMYFUNCTION("GOOGLETRANSLATE(D56,""zh-tw"",""RU"")"),"Полученный предмет: Сердце Пугала")</f>
        <v>Полученный предмет: Сердце Пугала</v>
      </c>
      <c r="AC56" s="151" t="str">
        <f>IFERROR(__xludf.DUMMYFUNCTION("GOOGLETRANSLATE(I56,""zh-tw"",""en"")"),"R52")</f>
        <v>R52</v>
      </c>
      <c r="AD56" s="167" t="s">
        <v>2705</v>
      </c>
      <c r="AE56" s="170" t="s">
        <v>2706</v>
      </c>
      <c r="AF56" s="171" t="s">
        <v>2707</v>
      </c>
      <c r="AG56" s="155" t="s">
        <v>2695</v>
      </c>
      <c r="AH56" s="156" t="s">
        <v>2708</v>
      </c>
      <c r="AI56" s="157" t="s">
        <v>2709</v>
      </c>
      <c r="AJ56" s="158" t="s">
        <v>2710</v>
      </c>
      <c r="AK56" s="122"/>
      <c r="AL56" s="122"/>
    </row>
    <row r="57">
      <c r="A57" s="108" t="s">
        <v>2711</v>
      </c>
      <c r="B57" s="149" t="s">
        <v>2712</v>
      </c>
      <c r="C57" s="95" t="s">
        <v>2713</v>
      </c>
      <c r="D57" s="52" t="s">
        <v>2714</v>
      </c>
      <c r="E57" s="108" t="str">
        <f>IFERROR(__xludf.DUMMYFUNCTION("GOOGLETRANSLATE(A57,""zh-tw"",""ja"")"),"R53")</f>
        <v>R53</v>
      </c>
      <c r="F57" s="149" t="s">
        <v>2712</v>
      </c>
      <c r="G57" s="95" t="s">
        <v>2715</v>
      </c>
      <c r="H57" s="52" t="s">
        <v>2716</v>
      </c>
      <c r="I57" s="108" t="str">
        <f>IFERROR(__xludf.DUMMYFUNCTION("GOOGLETRANSLATE(A57,""zh-tw"",""en"")"),"R53")</f>
        <v>R53</v>
      </c>
      <c r="J57" s="149" t="s">
        <v>2717</v>
      </c>
      <c r="K57" s="95" t="s">
        <v>2718</v>
      </c>
      <c r="L57" s="52" t="s">
        <v>2719</v>
      </c>
      <c r="M57" s="115" t="str">
        <f>IFERROR(__xludf.DUMMYFUNCTION("GOOGLETRANSLATE(A57,""zh-tw"",""en"")"),"R53")</f>
        <v>R53</v>
      </c>
      <c r="N57" s="149" t="str">
        <f>IFERROR(__xludf.DUMMYFUNCTION("GOOGLETRANSLATE(B57,""zh-tw"",""zh"")"),"忍术-1")</f>
        <v>忍术-1</v>
      </c>
      <c r="O57" s="89" t="str">
        <f>IFERROR(__xludf.DUMMYFUNCTION("GOOGLETRANSLATE(C57,""zh-tw"",""zh"")"),"于第R18项目的位置，投喂食物后，可以与忍者NPC学习技能")</f>
        <v>于第R18项目的位置，投喂食物后，可以与忍者NPC学习技能</v>
      </c>
      <c r="P57" s="55" t="str">
        <f>IFERROR(__xludf.DUMMYFUNCTION("GOOGLETRANSLATE(D57,""zh-tw"",""zh"")"),"习得技能：气息消除
可以减少范围内的敌人警戒范围，最大可达??格
可以减少妹妹的警戒值累积速率，最大可达??%
需要按下shift键切换为走路姿态。")</f>
        <v>习得技能：气息消除
可以减少范围内的敌人警戒范围，最大可达??格
可以减少妹妹的警戒值累积速率，最大可达??%
需要按下shift键切换为走路姿态。</v>
      </c>
      <c r="Q57" s="115" t="str">
        <f>IFERROR(__xludf.DUMMYFUNCTION("GOOGLETRANSLATE(A57,""zh-tw"",""ja"")"),"R53")</f>
        <v>R53</v>
      </c>
      <c r="R57" s="149" t="s">
        <v>2720</v>
      </c>
      <c r="S57" s="89" t="str">
        <f>IFERROR(__xludf.DUMMYFUNCTION("GOOGLETRANSLATE(C57,""zh-tw"",""es-MX"")"),"En la ubicación del objeto R18, después de alimentar al ninja, puedes aprender habilidades del NPC ninja.")</f>
        <v>En la ubicación del objeto R18, después de alimentar al ninja, puedes aprender habilidades del NPC ninja.</v>
      </c>
      <c r="T57" s="55" t="str">
        <f>IFERROR(__xludf.DUMMYFUNCTION("GOOGLETRANSLATE(D57,""zh-tw"",""es-MX"")"),"Habilidad aprendida: Eliminación de aura
Reduce el rango de alerta de los enemigos en un área, hasta un máximo de ?? casillas.
Reduce la velocidad a la que se acumula el nivel de alerta de tu hermana, hasta un máximo de ??%.
Requiere pulsar la tecla Ma"&amp;"yús para cambiar al modo de caminar.")</f>
        <v>Habilidad aprendida: Eliminación de aura
Reduce el rango de alerta de los enemigos en un área, hasta un máximo de ?? casillas.
Reduce la velocidad a la que se acumula el nivel de alerta de tu hermana, hasta un máximo de ??%.
Requiere pulsar la tecla Mayús para cambiar al modo de caminar.</v>
      </c>
      <c r="U57" s="151" t="str">
        <f>IFERROR(__xludf.DUMMYFUNCTION("GOOGLETRANSLATE(A57,""zh-tw"",""en"")"),"R53")</f>
        <v>R53</v>
      </c>
      <c r="V57" s="150" t="str">
        <f>IFERROR(__xludf.DUMMYFUNCTION("GOOGLETRANSLATE(B57,""zh-tw"",""KO"")"),"인술-1")</f>
        <v>인술-1</v>
      </c>
      <c r="W57" s="89" t="str">
        <f>IFERROR(__xludf.DUMMYFUNCTION("GOOGLETRANSLATE(C57,""zh-tw"",""KO"")"),"R18 아이템이 있는 곳에서 닌자에게 먹이를 준 후, 닌자 NPC로부터 기술을 배울 수 있습니다.")</f>
        <v>R18 아이템이 있는 곳에서 닌자에게 먹이를 준 후, 닌자 NPC로부터 기술을 배울 수 있습니다.</v>
      </c>
      <c r="X57" s="55" t="str">
        <f>IFERROR(__xludf.DUMMYFUNCTION("GOOGLETRANSLATE(D57,""zh-tw"",""KO"")"),"습득 스킬: 오라 제거
특정 지역 내 적의 경계 범위를 최대 ?? 타일까지 감소시킵니다.
자매의 경계 수치가 누적되는 속도를 최대 ??%까지 감소시킵니다.
Shift 키를 눌러서 걷기 모드로 전환해야 합니다.")</f>
        <v>습득 스킬: 오라 제거
특정 지역 내 적의 경계 범위를 최대 ?? 타일까지 감소시킵니다.
자매의 경계 수치가 누적되는 속도를 최대 ??%까지 감소시킵니다.
Shift 키를 눌러서 걷기 모드로 전환해야 합니다.</v>
      </c>
      <c r="Y57" s="151" t="str">
        <f>IFERROR(__xludf.DUMMYFUNCTION("GOOGLETRANSLATE(E57,""zh-tw"",""en"")"),"R53")</f>
        <v>R53</v>
      </c>
      <c r="Z57" s="149" t="str">
        <f>IFERROR(__xludf.DUMMYFUNCTION("GOOGLETRANSLATE(B57,""zh-tw"",""ru"")"),"Ниндзюцу-1")</f>
        <v>Ниндзюцу-1</v>
      </c>
      <c r="AA57" s="152" t="str">
        <f>IFERROR(__xludf.DUMMYFUNCTION("GOOGLETRANSLATE(C57,""zh-tw"",""RU"")"),"В локации с предметом R18, после кормления ниндзя, вы можете изучить навыки у NPC-ниндзя.")</f>
        <v>В локации с предметом R18, после кормления ниндзя, вы можете изучить навыки у NPC-ниндзя.</v>
      </c>
      <c r="AB57" s="44" t="str">
        <f>IFERROR(__xludf.DUMMYFUNCTION("GOOGLETRANSLATE(D57,""zh-tw"",""RU"")"),"Изученный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перехода в режим ходьбы требуется нажать клавишу Shift.")</f>
        <v>Изученный навык: Устранение ауры
Уменьшает радиус тревоги врагов в области, максимум до ?? плиток.
Уменьшает скорость накопления значения тревоги вашей сестры, максимум до ??%.
Для перехода в режим ходьбы требуется нажать клавишу Shift.</v>
      </c>
      <c r="AC57" s="151" t="str">
        <f>IFERROR(__xludf.DUMMYFUNCTION("GOOGLETRANSLATE(I57,""zh-tw"",""en"")"),"R53")</f>
        <v>R53</v>
      </c>
      <c r="AD57" s="175" t="s">
        <v>2721</v>
      </c>
      <c r="AE57" s="154" t="s">
        <v>2722</v>
      </c>
      <c r="AF57" s="106" t="s">
        <v>2723</v>
      </c>
      <c r="AG57" s="155" t="s">
        <v>2711</v>
      </c>
      <c r="AH57" s="156" t="s">
        <v>2724</v>
      </c>
      <c r="AI57" s="157" t="s">
        <v>2725</v>
      </c>
      <c r="AJ57" s="158" t="s">
        <v>2726</v>
      </c>
      <c r="AK57" s="122"/>
      <c r="AL57" s="122"/>
    </row>
    <row r="58">
      <c r="A58" s="108" t="s">
        <v>2727</v>
      </c>
      <c r="B58" s="149" t="s">
        <v>2728</v>
      </c>
      <c r="C58" s="95" t="s">
        <v>2729</v>
      </c>
      <c r="D58" s="52" t="s">
        <v>2730</v>
      </c>
      <c r="E58" s="108" t="str">
        <f>IFERROR(__xludf.DUMMYFUNCTION("GOOGLETRANSLATE(A58,""zh-tw"",""ja"")"),"R54")</f>
        <v>R54</v>
      </c>
      <c r="F58" s="149" t="s">
        <v>2728</v>
      </c>
      <c r="G58" s="95" t="s">
        <v>2731</v>
      </c>
      <c r="H58" s="52" t="s">
        <v>2732</v>
      </c>
      <c r="I58" s="108" t="str">
        <f>IFERROR(__xludf.DUMMYFUNCTION("GOOGLETRANSLATE(A58,""zh-tw"",""en"")"),"R54")</f>
        <v>R54</v>
      </c>
      <c r="J58" s="149" t="s">
        <v>2733</v>
      </c>
      <c r="K58" s="95" t="s">
        <v>2734</v>
      </c>
      <c r="L58" s="52" t="s">
        <v>2735</v>
      </c>
      <c r="M58" s="115" t="str">
        <f>IFERROR(__xludf.DUMMYFUNCTION("GOOGLETRANSLATE(A58,""zh-tw"",""en"")"),"R54")</f>
        <v>R54</v>
      </c>
      <c r="N58" s="149" t="str">
        <f>IFERROR(__xludf.DUMMYFUNCTION("GOOGLETRANSLATE(B58,""zh-tw"",""zh"")"),"忍术-2")</f>
        <v>忍术-2</v>
      </c>
      <c r="O58" s="89" t="str">
        <f>IFERROR(__xludf.DUMMYFUNCTION("GOOGLETRANSLATE(C58,""zh-tw"",""zh"")"),"同上，投喂食物后，可以学习另一项技能
PS：详细内容于TIPS中")</f>
        <v>同上，投喂食物后，可以学习另一项技能
PS：详细内容于TIPS中</v>
      </c>
      <c r="P58" s="55" t="str">
        <f>IFERROR(__xludf.DUMMYFUNCTION("GOOGLETRANSLATE(D58,""zh-tw"",""zh"")"),"习得技能：背后刺杀
于敌人背后进行攻击，可提升伤害。倍率会随着熟练度提升，最高可以达到300%")</f>
        <v>习得技能：背后刺杀
于敌人背后进行攻击，可提升伤害。倍率会随着熟练度提升，最高可以达到300%</v>
      </c>
      <c r="Q58" s="115" t="str">
        <f>IFERROR(__xludf.DUMMYFUNCTION("GOOGLETRANSLATE(A58,""zh-tw"",""ja"")"),"R54")</f>
        <v>R54</v>
      </c>
      <c r="R58" s="149" t="s">
        <v>2736</v>
      </c>
      <c r="S58" s="89" t="str">
        <f>IFERROR(__xludf.DUMMYFUNCTION("GOOGLETRANSLATE(C58,""zh-tw"",""es-MX"")"),"Como se mencionó anteriormente, alimentar al niño le permitirá aprender otra habilidad.
PD: Encontrará más detalles en la sección de CONSEJOS.")</f>
        <v>Como se mencionó anteriormente, alimentar al niño le permitirá aprender otra habilidad.
PD: Encontrará más detalles en la sección de CONSEJOS.</v>
      </c>
      <c r="T58" s="55" t="str">
        <f>IFERROR(__xludf.DUMMYFUNCTION("GOOGLETRANSLATE(D58,""zh-tw"",""es-MX"")"),"Habilidad aprendida: Puñalada por la espalda
Ataca al enemigo por la espalda, aumentando el daño. El multiplicador aumenta con la maestría, alcanzando un máximo del 300 %.")</f>
        <v>Habilidad aprendida: Puñalada por la espalda
Ataca al enemigo por la espalda, aumentando el daño. El multiplicador aumenta con la maestría, alcanzando un máximo del 300 %.</v>
      </c>
      <c r="U58" s="151" t="str">
        <f>IFERROR(__xludf.DUMMYFUNCTION("GOOGLETRANSLATE(A58,""zh-tw"",""en"")"),"R54")</f>
        <v>R54</v>
      </c>
      <c r="V58" s="150" t="str">
        <f>IFERROR(__xludf.DUMMYFUNCTION("GOOGLETRANSLATE(B58,""zh-tw"",""KO"")"),"인술-2")</f>
        <v>인술-2</v>
      </c>
      <c r="W58" s="89" t="str">
        <f>IFERROR(__xludf.DUMMYFUNCTION("GOOGLETRANSLATE(C58,""zh-tw"",""KO"")"),"위에서 언급했듯이, 아이에게 음식을 먹이면 다른 기술을 배울 수 있습니다.
추신: 자세한 내용은 팁 섹션을 참조하세요.")</f>
        <v>위에서 언급했듯이, 아이에게 음식을 먹이면 다른 기술을 배울 수 있습니다.
추신: 자세한 내용은 팁 섹션을 참조하세요.</v>
      </c>
      <c r="X58" s="55" t="str">
        <f>IFERROR(__xludf.DUMMYFUNCTION("GOOGLETRANSLATE(D58,""zh-tw"",""KO"")"),"습득 스킬: 백스탭
적의 뒤에서 공격하여 피해를 증가시킵니다. 숙련도에 따라 배율이 증가하여 최대 300%까지 증가합니다.")</f>
        <v>습득 스킬: 백스탭
적의 뒤에서 공격하여 피해를 증가시킵니다. 숙련도에 따라 배율이 증가하여 최대 300%까지 증가합니다.</v>
      </c>
      <c r="Y58" s="151" t="str">
        <f>IFERROR(__xludf.DUMMYFUNCTION("GOOGLETRANSLATE(E58,""zh-tw"",""en"")"),"R54")</f>
        <v>R54</v>
      </c>
      <c r="Z58" s="149" t="str">
        <f>IFERROR(__xludf.DUMMYFUNCTION("GOOGLETRANSLATE(B58,""zh-tw"",""ru"")"),"Ниндзюцу-2")</f>
        <v>Ниндзюцу-2</v>
      </c>
      <c r="AA58" s="152" t="str">
        <f>IFERROR(__xludf.DUMMYFUNCTION("GOOGLETRANSLATE(C58,""zh-tw"",""RU"")"),"Как и выше, кормление ребёнка позволит ему освоить ещё один навык.
P.S. Подробности в разделе «СОВЕТЫ».")</f>
        <v>Как и выше, кормление ребёнка позволит ему освоить ещё один навык.
P.S. Подробности в разделе «СОВЕТЫ».</v>
      </c>
      <c r="AB58" s="44" t="str">
        <f>IFERROR(__xludf.DUMMYFUNCTION("GOOGLETRANSLATE(D58,""zh-tw"",""RU"")"),"Изученный навык: Удар в спину
Атакует противника сзади, увеличивая урон. Множитель увеличивается с ростом мастерства, достигая максимума в 300%.")</f>
        <v>Изученный навык: Удар в спину
Атакует противника сзади, увеличивая урон. Множитель увеличивается с ростом мастерства, достигая максимума в 300%.</v>
      </c>
      <c r="AC58" s="151" t="str">
        <f>IFERROR(__xludf.DUMMYFUNCTION("GOOGLETRANSLATE(I58,""zh-tw"",""en"")"),"R54")</f>
        <v>R54</v>
      </c>
      <c r="AD58" s="175" t="s">
        <v>2737</v>
      </c>
      <c r="AE58" s="154" t="s">
        <v>2738</v>
      </c>
      <c r="AF58" s="106" t="s">
        <v>2739</v>
      </c>
      <c r="AG58" s="155" t="s">
        <v>2727</v>
      </c>
      <c r="AH58" s="156" t="s">
        <v>2740</v>
      </c>
      <c r="AI58" s="157" t="s">
        <v>2741</v>
      </c>
      <c r="AJ58" s="158" t="s">
        <v>2742</v>
      </c>
      <c r="AK58" s="122"/>
      <c r="AL58" s="122"/>
    </row>
    <row r="59">
      <c r="A59" s="108" t="s">
        <v>2743</v>
      </c>
      <c r="B59" s="149" t="s">
        <v>2744</v>
      </c>
      <c r="C59" s="95" t="s">
        <v>2745</v>
      </c>
      <c r="D59" s="52" t="s">
        <v>2746</v>
      </c>
      <c r="E59" s="108" t="str">
        <f>IFERROR(__xludf.DUMMYFUNCTION("GOOGLETRANSLATE(A59,""zh-tw"",""ja"")"),"R55")</f>
        <v>R55</v>
      </c>
      <c r="F59" s="149" t="s">
        <v>2747</v>
      </c>
      <c r="G59" s="95" t="s">
        <v>2748</v>
      </c>
      <c r="H59" s="52" t="s">
        <v>2749</v>
      </c>
      <c r="I59" s="108" t="str">
        <f>IFERROR(__xludf.DUMMYFUNCTION("GOOGLETRANSLATE(A59,""zh-tw"",""en"")"),"R55")</f>
        <v>R55</v>
      </c>
      <c r="J59" s="149" t="s">
        <v>2750</v>
      </c>
      <c r="K59" s="95" t="s">
        <v>2751</v>
      </c>
      <c r="L59" s="52" t="s">
        <v>2752</v>
      </c>
      <c r="M59" s="115" t="str">
        <f>IFERROR(__xludf.DUMMYFUNCTION("GOOGLETRANSLATE(A59,""zh-tw"",""en"")"),"R55")</f>
        <v>R55</v>
      </c>
      <c r="N59" s="149" t="str">
        <f>IFERROR(__xludf.DUMMYFUNCTION("GOOGLETRANSLATE(B59,""zh-tw"",""zh"")"),"大焦热溶岩带")</f>
        <v>大焦热溶岩带</v>
      </c>
      <c r="O59" s="89" t="str">
        <f>IFERROR(__xludf.DUMMYFUNCTION("GOOGLETRANSLATE(C59,""zh-tw"",""zh"")"),"于被遗忘的墓穴-2，往洞口掉落(请携带复活羽毛)，即可抵达新地图")</f>
        <v>于被遗忘的墓穴-2，往洞口掉落(请携带复活羽毛)，即可抵达新地图</v>
      </c>
      <c r="P59" s="55" t="str">
        <f>IFERROR(__xludf.DUMMYFUNCTION("GOOGLETRANSLATE(D59,""zh-tw"",""zh"")"),"新地图：大焦热溶岩带
(本地图各功能皆尚未完成，可能遭遇错误BUG，未存档前不建议前往。)")</f>
        <v>新地图：大焦热溶岩带
(本地图各功能皆尚未完成，可能遭遇错误BUG，未存档前不建议前往。)</v>
      </c>
      <c r="Q59" s="115" t="str">
        <f>IFERROR(__xludf.DUMMYFUNCTION("GOOGLETRANSLATE(A59,""zh-tw"",""ja"")"),"R55")</f>
        <v>R55</v>
      </c>
      <c r="R59" s="149" t="s">
        <v>2753</v>
      </c>
      <c r="S59" s="95" t="s">
        <v>2754</v>
      </c>
      <c r="T59" s="55" t="str">
        <f>IFERROR(__xludf.DUMMYFUNCTION("GOOGLETRANSLATE(D59,""zh-tw"",""es-MX"")"),"Nuevo mapa: La Gran Zona de Lava Abrasada
(Las funciones de este mapa aún no están completas y pueden contener errores. No se recomienda acceder a él sin antes guardar la partida).")</f>
        <v>Nuevo mapa: La Gran Zona de Lava Abrasada
(Las funciones de este mapa aún no están completas y pueden contener errores. No se recomienda acceder a él sin antes guardar la partida).</v>
      </c>
      <c r="U59" s="151" t="str">
        <f>IFERROR(__xludf.DUMMYFUNCTION("GOOGLETRANSLATE(A59,""zh-tw"",""en"")"),"R55")</f>
        <v>R55</v>
      </c>
      <c r="V59" s="150" t="str">
        <f>IFERROR(__xludf.DUMMYFUNCTION("GOOGLETRANSLATE(B59,""zh-tw"",""KO"")"),"다자오 뜨거운 용암대")</f>
        <v>다자오 뜨거운 용암대</v>
      </c>
      <c r="W59" s="89" t="str">
        <f>IFERROR(__xludf.DUMMYFUNCTION("GOOGLETRANSLATE(C59,""zh-tw"",""KO"")"),"잊혀진 무덤-2에서 입구로 내려가세요(부활 깃털을 가져오세요). 그러면 새로운 지도에 도달할 수 있습니다.")</f>
        <v>잊혀진 무덤-2에서 입구로 내려가세요(부활 깃털을 가져오세요). 그러면 새로운 지도에 도달할 수 있습니다.</v>
      </c>
      <c r="X59" s="55" t="str">
        <f>IFERROR(__xludf.DUMMYFUNCTION("GOOGLETRANSLATE(D59,""zh-tw"",""KO"")"),"새로운 맵: 그을린 용암 지대
(이 맵의 기능은 아직 완성되지 않았으며 버그가 발생할 수 있습니다. 게임을 저장하기 전에는 방문하지 않는 것이 좋습니다.)")</f>
        <v>새로운 맵: 그을린 용암 지대
(이 맵의 기능은 아직 완성되지 않았으며 버그가 발생할 수 있습니다. 게임을 저장하기 전에는 방문하지 않는 것이 좋습니다.)</v>
      </c>
      <c r="Y59" s="151" t="str">
        <f>IFERROR(__xludf.DUMMYFUNCTION("GOOGLETRANSLATE(E59,""zh-tw"",""en"")"),"R55")</f>
        <v>R55</v>
      </c>
      <c r="Z59" s="149" t="str">
        <f>IFERROR(__xludf.DUMMYFUNCTION("GOOGLETRANSLATE(B59,""zh-tw"",""ru"")"),"Пояс горячей лавы Дацзяо")</f>
        <v>Пояс горячей лавы Дацзяо</v>
      </c>
      <c r="AA59" s="152" t="str">
        <f>IFERROR(__xludf.DUMMYFUNCTION("GOOGLETRANSLATE(C59,""zh-tw"",""RU"")"),"В Забытой Гробнице-2 спуститесь к входу (принесите перо воскрешения), чтобы добраться до новой карты.")</f>
        <v>В Забытой Гробнице-2 спуститесь к входу (принесите перо воскрешения), чтобы добраться до новой карты.</v>
      </c>
      <c r="AB59" s="44" t="str">
        <f>IFERROR(__xludf.DUMMYFUNCTION("GOOGLETRANSLATE(D59,""zh-tw"",""RU"")"),"Новая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f>
        <v>Новая карта: Зона Великой выжженной лавы
(Функции этой карты ещё не полностью реализованы и могут содержать ошибки. Не рекомендуется переходить туда без сохранения игры.)</v>
      </c>
      <c r="AC59" s="151" t="str">
        <f>IFERROR(__xludf.DUMMYFUNCTION("GOOGLETRANSLATE(I59,""zh-tw"",""en"")"),"R55")</f>
        <v>R55</v>
      </c>
      <c r="AD59" s="175" t="s">
        <v>2755</v>
      </c>
      <c r="AE59" s="154" t="s">
        <v>2756</v>
      </c>
      <c r="AF59" s="106" t="s">
        <v>2757</v>
      </c>
      <c r="AG59" s="155" t="s">
        <v>2743</v>
      </c>
      <c r="AH59" s="156" t="s">
        <v>2758</v>
      </c>
      <c r="AI59" s="157" t="s">
        <v>2759</v>
      </c>
      <c r="AJ59" s="158" t="s">
        <v>2760</v>
      </c>
      <c r="AK59" s="122"/>
      <c r="AL59" s="122"/>
    </row>
    <row r="60">
      <c r="A60" s="108" t="s">
        <v>2761</v>
      </c>
      <c r="B60" s="149" t="s">
        <v>2762</v>
      </c>
      <c r="C60" s="95" t="s">
        <v>2763</v>
      </c>
      <c r="D60" s="52" t="s">
        <v>2764</v>
      </c>
      <c r="E60" s="108" t="str">
        <f>IFERROR(__xludf.DUMMYFUNCTION("GOOGLETRANSLATE(A60,""zh-tw"",""ja"")"),"R56")</f>
        <v>R56</v>
      </c>
      <c r="F60" s="149" t="s">
        <v>2765</v>
      </c>
      <c r="G60" s="159" t="s">
        <v>2766</v>
      </c>
      <c r="H60" s="52" t="s">
        <v>2767</v>
      </c>
      <c r="I60" s="108" t="str">
        <f>IFERROR(__xludf.DUMMYFUNCTION("GOOGLETRANSLATE(A60,""zh-tw"",""en"")"),"R56")</f>
        <v>R56</v>
      </c>
      <c r="J60" s="149" t="s">
        <v>2768</v>
      </c>
      <c r="K60" s="159" t="s">
        <v>2769</v>
      </c>
      <c r="L60" s="52" t="s">
        <v>2770</v>
      </c>
      <c r="M60" s="115" t="str">
        <f>IFERROR(__xludf.DUMMYFUNCTION("GOOGLETRANSLATE(A60,""zh-tw"",""en"")"),"R56")</f>
        <v>R56</v>
      </c>
      <c r="N60" s="149" t="str">
        <f>IFERROR(__xludf.DUMMYFUNCTION("GOOGLETRANSLATE(B60,""zh-tw"",""zh"")"),"甲虫")</f>
        <v>甲虫</v>
      </c>
      <c r="O60" s="89" t="str">
        <f>IFERROR(__xludf.DUMMYFUNCTION("GOOGLETRANSLATE(C60,""zh-tw"",""zh"")"),"同R16，出现了一个未知的生物")</f>
        <v>同R16，出现了一个未知的生物</v>
      </c>
      <c r="P60" s="55" t="str">
        <f>IFERROR(__xludf.DUMMYFUNCTION("GOOGLETRANSLATE(D60,""zh-tw"",""zh"")"),"初步设置的BOSS甲虫
目前无作用")</f>
        <v>初步设置的BOSS甲虫
目前无作用</v>
      </c>
      <c r="Q60" s="115" t="str">
        <f>IFERROR(__xludf.DUMMYFUNCTION("GOOGLETRANSLATE(A60,""zh-tw"",""ja"")"),"R56")</f>
        <v>R56</v>
      </c>
      <c r="R60" s="150" t="str">
        <f>IFERROR(__xludf.DUMMYFUNCTION("GOOGLETRANSLATE(B60,""zh-tw"",""es-MX"")"),"escarabajo")</f>
        <v>escarabajo</v>
      </c>
      <c r="S60" s="89" t="str">
        <f>IFERROR(__xludf.DUMMYFUNCTION("GOOGLETRANSLATE(C60,""zh-tw"",""es-MX"")"),"Al igual que en R16, apareció una criatura desconocida.")</f>
        <v>Al igual que en R16, apareció una criatura desconocida.</v>
      </c>
      <c r="T60" s="55" t="str">
        <f>IFERROR(__xludf.DUMMYFUNCTION("GOOGLETRANSLATE(D60,""zh-tw"",""es-MX"")"),"Actualmente, la configuración inicial del escarabajo BOSS es ineficaz.")</f>
        <v>Actualmente, la configuración inicial del escarabajo BOSS es ineficaz.</v>
      </c>
      <c r="U60" s="151" t="str">
        <f>IFERROR(__xludf.DUMMYFUNCTION("GOOGLETRANSLATE(A60,""zh-tw"",""en"")"),"R56")</f>
        <v>R56</v>
      </c>
      <c r="V60" s="150" t="str">
        <f>IFERROR(__xludf.DUMMYFUNCTION("GOOGLETRANSLATE(B60,""zh-tw"",""KO"")"),"갑충")</f>
        <v>갑충</v>
      </c>
      <c r="W60" s="89" t="str">
        <f>IFERROR(__xludf.DUMMYFUNCTION("GOOGLETRANSLATE(C60,""zh-tw"",""KO"")"),"R16과 비슷하게, 알려지지 않은 생물이 등장했습니다.")</f>
        <v>R16과 비슷하게, 알려지지 않은 생물이 등장했습니다.</v>
      </c>
      <c r="X60" s="55" t="str">
        <f>IFERROR(__xludf.DUMMYFUNCTION("GOOGLETRANSLATE(D60,""zh-tw"",""KO"")"),"BOSS 비틀의 초기 설정은 현재 효과가 없습니다.")</f>
        <v>BOSS 비틀의 초기 설정은 현재 효과가 없습니다.</v>
      </c>
      <c r="Y60" s="151" t="str">
        <f>IFERROR(__xludf.DUMMYFUNCTION("GOOGLETRANSLATE(E60,""zh-tw"",""en"")"),"R56")</f>
        <v>R56</v>
      </c>
      <c r="Z60" s="149" t="str">
        <f>IFERROR(__xludf.DUMMYFUNCTION("GOOGLETRANSLATE(B60,""zh-tw"",""ru"")"),"жук")</f>
        <v>жук</v>
      </c>
      <c r="AA60" s="152" t="str">
        <f>IFERROR(__xludf.DUMMYFUNCTION("GOOGLETRANSLATE(C60,""zh-tw"",""RU"")"),"Подобно R16, появилось неизвестное существо.")</f>
        <v>Подобно R16, появилось неизвестное существо.</v>
      </c>
      <c r="AB60" s="44" t="str">
        <f>IFERROR(__xludf.DUMMYFUNCTION("GOOGLETRANSLATE(D60,""zh-tw"",""RU"")"),"Первоначальная настройка жука BOSS в настоящее время неэффективна.")</f>
        <v>Первоначальная настройка жука BOSS в настоящее время неэффективна.</v>
      </c>
      <c r="AC60" s="151" t="str">
        <f>IFERROR(__xludf.DUMMYFUNCTION("GOOGLETRANSLATE(I60,""zh-tw"",""en"")"),"R56")</f>
        <v>R56</v>
      </c>
      <c r="AD60" s="175" t="s">
        <v>2771</v>
      </c>
      <c r="AE60" s="154" t="s">
        <v>2772</v>
      </c>
      <c r="AF60" s="106" t="s">
        <v>2773</v>
      </c>
      <c r="AG60" s="155" t="s">
        <v>2761</v>
      </c>
      <c r="AH60" s="156" t="s">
        <v>2774</v>
      </c>
      <c r="AI60" s="157" t="s">
        <v>2775</v>
      </c>
      <c r="AJ60" s="158" t="s">
        <v>2776</v>
      </c>
      <c r="AK60" s="122"/>
      <c r="AL60" s="122"/>
    </row>
    <row r="61">
      <c r="A61" s="108" t="s">
        <v>2777</v>
      </c>
      <c r="B61" s="149" t="s">
        <v>2778</v>
      </c>
      <c r="C61" s="95" t="s">
        <v>2653</v>
      </c>
      <c r="D61" s="52" t="s">
        <v>2779</v>
      </c>
      <c r="E61" s="108" t="str">
        <f>IFERROR(__xludf.DUMMYFUNCTION("GOOGLETRANSLATE(A61,""zh-tw"",""ja"")"),"R57")</f>
        <v>R57</v>
      </c>
      <c r="F61" s="149" t="s">
        <v>2780</v>
      </c>
      <c r="G61" s="95" t="s">
        <v>2781</v>
      </c>
      <c r="H61" s="52" t="s">
        <v>2782</v>
      </c>
      <c r="I61" s="108" t="str">
        <f>IFERROR(__xludf.DUMMYFUNCTION("GOOGLETRANSLATE(A61,""zh-tw"",""en"")"),"R57")</f>
        <v>R57</v>
      </c>
      <c r="J61" s="149" t="s">
        <v>2783</v>
      </c>
      <c r="K61" s="95" t="s">
        <v>2784</v>
      </c>
      <c r="L61" s="52" t="s">
        <v>2785</v>
      </c>
      <c r="M61" s="115" t="str">
        <f>IFERROR(__xludf.DUMMYFUNCTION("GOOGLETRANSLATE(A61,""zh-tw"",""en"")"),"R57")</f>
        <v>R57</v>
      </c>
      <c r="N61" s="149" t="str">
        <f>IFERROR(__xludf.DUMMYFUNCTION("GOOGLETRANSLATE(B61,""zh-tw"",""zh"")"),"商店车-6")</f>
        <v>商店车-6</v>
      </c>
      <c r="O61" s="89" t="str">
        <f>IFERROR(__xludf.DUMMYFUNCTION("GOOGLETRANSLATE(C61,""zh-tw"",""zh"")"),"商店车的固定商品之一")</f>
        <v>商店车的固定商品之一</v>
      </c>
      <c r="P61" s="55" t="str">
        <f>IFERROR(__xludf.DUMMYFUNCTION("GOOGLETRANSLATE(D61,""zh-tw"",""zh"")"),"获得道具:百合同人本
效果：提升性欲
※目前版本只是实验性道具，之后会有CG鉴赏的功能")</f>
        <v>获得道具:百合同人本
效果：提升性欲
※目前版本只是实验性道具，之后会有CG鉴赏的功能</v>
      </c>
      <c r="Q61" s="115" t="str">
        <f>IFERROR(__xludf.DUMMYFUNCTION("GOOGLETRANSLATE(A61,""zh-tw"",""ja"")"),"R57")</f>
        <v>R57</v>
      </c>
      <c r="R61" s="150" t="str">
        <f>IFERROR(__xludf.DUMMYFUNCTION("GOOGLETRANSLATE(B61,""zh-tw"",""es-MX"")"),"Camión de taller-6")</f>
        <v>Camión de taller-6</v>
      </c>
      <c r="S61" s="89" t="str">
        <f>IFERROR(__xludf.DUMMYFUNCTION("GOOGLETRANSLATE(C61,""zh-tw"",""es-MX"")"),"Uno de los artículos fijos en el carrito de la tienda")</f>
        <v>Uno de los artículos fijos en el carrito de la tienda</v>
      </c>
      <c r="T61" s="55" t="str">
        <f>IFERROR(__xludf.DUMMYFUNCTION("GOOGLETRANSLATE(D61,""zh-tw"",""es-MX"")"),"Objeto obtenido: Doujinshi de Yuriko
Efecto: Aumenta la libido
※Este objeto es experimental; se añadirá una función para ver imágenes posteriormente.")</f>
        <v>Objeto obtenido: Doujinshi de Yuriko
Efecto: Aumenta la libido
※Este objeto es experimental; se añadirá una función para ver imágenes posteriormente.</v>
      </c>
      <c r="U61" s="151" t="str">
        <f>IFERROR(__xludf.DUMMYFUNCTION("GOOGLETRANSLATE(A61,""zh-tw"",""en"")"),"R57")</f>
        <v>R57</v>
      </c>
      <c r="V61" s="150" t="str">
        <f>IFERROR(__xludf.DUMMYFUNCTION("GOOGLETRANSLATE(B61,""zh-tw"",""KO"")"),"트럭 6호점")</f>
        <v>트럭 6호점</v>
      </c>
      <c r="W61" s="89" t="str">
        <f>IFERROR(__xludf.DUMMYFUNCTION("GOOGLETRANSLATE(C61,""zh-tw"",""KO"")"),"매장 카트의 고정 품목 중 하나")</f>
        <v>매장 카트의 고정 품목 중 하나</v>
      </c>
      <c r="X61" s="55" t="str">
        <f>IFERROR(__xludf.DUMMYFUNCTION("GOOGLETRANSLATE(D61,""zh-tw"",""KO"")"),"획득 아이템: 유리코 동인지
효과: 성욕 증가
※이 아이템은 현재 실험 단계이며, 추후 CG 보기 기능이 추가될 예정입니다.")</f>
        <v>획득 아이템: 유리코 동인지
효과: 성욕 증가
※이 아이템은 현재 실험 단계이며, 추후 CG 보기 기능이 추가될 예정입니다.</v>
      </c>
      <c r="Y61" s="151" t="str">
        <f>IFERROR(__xludf.DUMMYFUNCTION("GOOGLETRANSLATE(E61,""zh-tw"",""en"")"),"R57")</f>
        <v>R57</v>
      </c>
      <c r="Z61" s="149" t="str">
        <f>IFERROR(__xludf.DUMMYFUNCTION("GOOGLETRANSLATE(B61,""zh-tw"",""ru"")"),"Магазин Truck-6")</f>
        <v>Магазин Truck-6</v>
      </c>
      <c r="AA61" s="152" t="str">
        <f>IFERROR(__xludf.DUMMYFUNCTION("GOOGLETRANSLATE(C61,""zh-tw"",""RU"")"),"Один из фиксированных товаров в корзине магазина")</f>
        <v>Один из фиксированных товаров в корзине магазина</v>
      </c>
      <c r="AB61" s="44" t="str">
        <f>IFERROR(__xludf.DUMMYFUNCTION("GOOGLETRANSLATE(D61,""zh-tw"",""RU"")"),"Полученный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Юрико Додзинси
Эффект: Повышает либидо
※Этот предмет пока экспериментальный; функция просмотра компьютерной графики будет добавлена ​​позже.</v>
      </c>
      <c r="AC61" s="173" t="s">
        <v>2761</v>
      </c>
      <c r="AD61" s="175" t="s">
        <v>2786</v>
      </c>
      <c r="AE61" s="154" t="s">
        <v>2787</v>
      </c>
      <c r="AF61" s="106" t="s">
        <v>2788</v>
      </c>
      <c r="AG61" s="155" t="s">
        <v>2777</v>
      </c>
      <c r="AH61" s="156" t="s">
        <v>2789</v>
      </c>
      <c r="AI61" s="157" t="s">
        <v>2790</v>
      </c>
      <c r="AJ61" s="158" t="s">
        <v>2791</v>
      </c>
      <c r="AK61" s="122"/>
      <c r="AL61" s="122"/>
    </row>
    <row r="62">
      <c r="A62" s="108" t="s">
        <v>2792</v>
      </c>
      <c r="B62" s="149" t="s">
        <v>2793</v>
      </c>
      <c r="C62" s="95" t="s">
        <v>2653</v>
      </c>
      <c r="D62" s="52" t="s">
        <v>2794</v>
      </c>
      <c r="E62" s="108" t="str">
        <f>IFERROR(__xludf.DUMMYFUNCTION("GOOGLETRANSLATE(A62,""zh-tw"",""ja"")"),"R58")</f>
        <v>R58</v>
      </c>
      <c r="F62" s="149" t="s">
        <v>2795</v>
      </c>
      <c r="G62" s="179" t="s">
        <v>2781</v>
      </c>
      <c r="H62" s="180" t="s">
        <v>2796</v>
      </c>
      <c r="I62" s="108" t="str">
        <f>IFERROR(__xludf.DUMMYFUNCTION("GOOGLETRANSLATE(A62,""zh-tw"",""en"")"),"R58")</f>
        <v>R58</v>
      </c>
      <c r="J62" s="149" t="s">
        <v>2797</v>
      </c>
      <c r="K62" s="95" t="s">
        <v>2784</v>
      </c>
      <c r="L62" s="52" t="s">
        <v>2798</v>
      </c>
      <c r="M62" s="115" t="str">
        <f>IFERROR(__xludf.DUMMYFUNCTION("GOOGLETRANSLATE(A62,""zh-tw"",""en"")"),"R58")</f>
        <v>R58</v>
      </c>
      <c r="N62" s="149" t="str">
        <f>IFERROR(__xludf.DUMMYFUNCTION("GOOGLETRANSLATE(B62,""zh-tw"",""zh"")"),"商店车-7")</f>
        <v>商店车-7</v>
      </c>
      <c r="O62" s="89" t="str">
        <f>IFERROR(__xludf.DUMMYFUNCTION("GOOGLETRANSLATE(C62,""zh-tw"",""zh"")"),"商店车的固定商品之一")</f>
        <v>商店车的固定商品之一</v>
      </c>
      <c r="P62" s="55" t="str">
        <f>IFERROR(__xludf.DUMMYFUNCTION("GOOGLETRANSLATE(D62,""zh-tw"",""zh"")"),"获得道具:萌萌同人本
效果：是提升性欲
※目前版本只是实验性道具，之后会有CG鉴赏的功能")</f>
        <v>获得道具:萌萌同人本
效果：是提升性欲
※目前版本只是实验性道具，之后会有CG鉴赏的功能</v>
      </c>
      <c r="Q62" s="115" t="str">
        <f>IFERROR(__xludf.DUMMYFUNCTION("GOOGLETRANSLATE(A62,""zh-tw"",""ja"")"),"R58")</f>
        <v>R58</v>
      </c>
      <c r="R62" s="150" t="str">
        <f>IFERROR(__xludf.DUMMYFUNCTION("GOOGLETRANSLATE(B62,""zh-tw"",""es-MX"")"),"Taller de vehículos-7")</f>
        <v>Taller de vehículos-7</v>
      </c>
      <c r="S62" s="89" t="str">
        <f>IFERROR(__xludf.DUMMYFUNCTION("GOOGLETRANSLATE(C62,""zh-tw"",""es-MX"")"),"Uno de los artículos fijos en el carrito de la tienda")</f>
        <v>Uno de los artículos fijos en el carrito de la tienda</v>
      </c>
      <c r="T62" s="55" t="str">
        <f>IFERROR(__xludf.DUMMYFUNCTION("GOOGLETRANSLATE(D62,""zh-tw"",""es-MX"")"),"Objeto obtenido: Doujinshi adorable
Efecto: Aumenta la libido
※Este objeto es experimental; se añadirá una función para ver las imágenes posteriormente.")</f>
        <v>Objeto obtenido: Doujinshi adorable
Efecto: Aumenta la libido
※Este objeto es experimental; se añadirá una función para ver las imágenes posteriormente.</v>
      </c>
      <c r="U62" s="151" t="str">
        <f>IFERROR(__xludf.DUMMYFUNCTION("GOOGLETRANSLATE(A62,""zh-tw"",""en"")"),"R58")</f>
        <v>R58</v>
      </c>
      <c r="V62" s="150" t="str">
        <f>IFERROR(__xludf.DUMMYFUNCTION("GOOGLETRANSLATE(B62,""zh-tw"",""KO"")"),"차량 판매점-7")</f>
        <v>차량 판매점-7</v>
      </c>
      <c r="W62" s="89" t="str">
        <f>IFERROR(__xludf.DUMMYFUNCTION("GOOGLETRANSLATE(C62,""zh-tw"",""KO"")"),"매장 카트의 고정 품목 중 하나")</f>
        <v>매장 카트의 고정 품목 중 하나</v>
      </c>
      <c r="X62" s="55" t="str">
        <f>IFERROR(__xludf.DUMMYFUNCTION("GOOGLETRANSLATE(D62,""zh-tw"",""KO"")"),"획득 아이템: 귀여운 동인지
효과: 성욕 증가
※이 아이템은 현재 실험 단계이며, 추후 CG 보기 기능이 추가될 예정입니다.")</f>
        <v>획득 아이템: 귀여운 동인지
효과: 성욕 증가
※이 아이템은 현재 실험 단계이며, 추후 CG 보기 기능이 추가될 예정입니다.</v>
      </c>
      <c r="Y62" s="151" t="str">
        <f>IFERROR(__xludf.DUMMYFUNCTION("GOOGLETRANSLATE(E62,""zh-tw"",""en"")"),"R58")</f>
        <v>R58</v>
      </c>
      <c r="Z62" s="149" t="str">
        <f>IFERROR(__xludf.DUMMYFUNCTION("GOOGLETRANSLATE(B62,""zh-tw"",""ru"")"),"Магазин-7")</f>
        <v>Магазин-7</v>
      </c>
      <c r="AA62" s="152" t="str">
        <f>IFERROR(__xludf.DUMMYFUNCTION("GOOGLETRANSLATE(C62,""zh-tw"",""RU"")"),"Один из фиксированных товаров в корзине магазина")</f>
        <v>Один из фиксированных товаров в корзине магазина</v>
      </c>
      <c r="AB62" s="44" t="str">
        <f>IFERROR(__xludf.DUMMYFUNCTION("GOOGLETRANSLATE(D62,""zh-tw"",""RU"")"),"Полученный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f>
        <v>Полученный предмет: Милое додзинси
Эффект: Повышает либидо
※Этот предмет пока экспериментальный; функция просмотра компьютерной графики будет добавлена ​​позже.</v>
      </c>
      <c r="AC62" s="173" t="s">
        <v>2777</v>
      </c>
      <c r="AD62" s="175" t="s">
        <v>2799</v>
      </c>
      <c r="AE62" s="154" t="s">
        <v>2800</v>
      </c>
      <c r="AF62" s="106" t="s">
        <v>2801</v>
      </c>
      <c r="AG62" s="155" t="s">
        <v>2792</v>
      </c>
      <c r="AH62" s="156" t="s">
        <v>2802</v>
      </c>
      <c r="AI62" s="157" t="s">
        <v>2790</v>
      </c>
      <c r="AJ62" s="158" t="s">
        <v>2803</v>
      </c>
      <c r="AK62" s="122"/>
      <c r="AL62" s="122"/>
    </row>
    <row r="63">
      <c r="A63" s="84" t="s">
        <v>2804</v>
      </c>
      <c r="B63" s="150" t="s">
        <v>2805</v>
      </c>
      <c r="C63" s="172" t="s">
        <v>2806</v>
      </c>
      <c r="D63" s="177" t="s">
        <v>2807</v>
      </c>
      <c r="E63" s="84" t="s">
        <v>2804</v>
      </c>
      <c r="F63" s="150" t="s">
        <v>2808</v>
      </c>
      <c r="G63" s="176" t="s">
        <v>2809</v>
      </c>
      <c r="H63" s="164" t="s">
        <v>2810</v>
      </c>
      <c r="I63" s="84" t="s">
        <v>2804</v>
      </c>
      <c r="J63" s="150" t="s">
        <v>2811</v>
      </c>
      <c r="K63" s="176" t="s">
        <v>2812</v>
      </c>
      <c r="L63" s="164" t="s">
        <v>2813</v>
      </c>
      <c r="M63" s="84" t="s">
        <v>2804</v>
      </c>
      <c r="N63" s="149" t="str">
        <f>IFERROR(__xludf.DUMMYFUNCTION("GOOGLETRANSLATE(B63,""zh-tw"",""zh"")"),"开发中区域(矿坑)-2")</f>
        <v>开发中区域(矿坑)-2</v>
      </c>
      <c r="O63" s="89" t="str">
        <f>IFERROR(__xludf.DUMMYFUNCTION("GOOGLETRANSLATE(C63,""zh-tw"",""zh"")"),"从开发中区域(矿坑)-1的最后方，可以通往下一张地图")</f>
        <v>从开发中区域(矿坑)-1的最后方，可以通往下一张地图</v>
      </c>
      <c r="P63" s="55" t="str">
        <f>IFERROR(__xludf.DUMMYFUNCTION("GOOGLETRANSLATE(D63,""zh-tw"",""zh"")"),"抵达""开发中区域(矿坑)-2""")</f>
        <v>抵达"开发中区域(矿坑)-2"</v>
      </c>
      <c r="Q63" s="84" t="s">
        <v>2804</v>
      </c>
      <c r="R63" s="150" t="str">
        <f>IFERROR(__xludf.DUMMYFUNCTION("GOOGLETRANSLATE(B63,""zh-tw"",""es-MX"")"),"Área en desarrollo (mina a cielo abierto) -2")</f>
        <v>Área en desarrollo (mina a cielo abierto) -2</v>
      </c>
      <c r="S63" s="89" t="str">
        <f>IFERROR(__xludf.DUMMYFUNCTION("GOOGLETRANSLATE(C63,""zh-tw"",""es-MX"")"),"Desde el fondo del área en desarrollo (mina)-1, se puede acceder al siguiente mapa.")</f>
        <v>Desde el fondo del área en desarrollo (mina)-1, se puede acceder al siguiente mapa.</v>
      </c>
      <c r="T63" s="55" t="str">
        <f>IFERROR(__xludf.DUMMYFUNCTION("GOOGLETRANSLATE(D63,""zh-tw"",""es-MX"")"),"Llegada a ""Zona en desarrollo (Mina)-2""")</f>
        <v>Llegada a "Zona en desarrollo (Mina)-2"</v>
      </c>
      <c r="U63" s="84" t="s">
        <v>2804</v>
      </c>
      <c r="V63" s="150" t="str">
        <f>IFERROR(__xludf.DUMMYFUNCTION("GOOGLETRANSLATE(B63,""zh-tw"",""KO"")"),"개발 지역(광산) -2")</f>
        <v>개발 지역(광산) -2</v>
      </c>
      <c r="W63" s="89" t="str">
        <f>IFERROR(__xludf.DUMMYFUNCTION("GOOGLETRANSLATE(C63,""zh-tw"",""KO"")"),"개발 구역(광산)-1의 맨 뒤쪽에서 다음 지도에 접근할 수 있습니다.")</f>
        <v>개발 구역(광산)-1의 맨 뒤쪽에서 다음 지도에 접근할 수 있습니다.</v>
      </c>
      <c r="X63" s="55" t="str">
        <f>IFERROR(__xludf.DUMMYFUNCTION("GOOGLETRANSLATE(D63,""zh-tw"",""KO"")"),"""개발구역(광산)-2"" 도착")</f>
        <v>"개발구역(광산)-2" 도착</v>
      </c>
      <c r="Y63" s="84" t="s">
        <v>2804</v>
      </c>
      <c r="Z63" s="149" t="str">
        <f>IFERROR(__xludf.DUMMYFUNCTION("GOOGLETRANSLATE(B63,""zh-tw"",""ru"")"),"Зона разработки (шахта) -2")</f>
        <v>Зона разработки (шахта) -2</v>
      </c>
      <c r="AA63" s="152" t="str">
        <f>IFERROR(__xludf.DUMMYFUNCTION("GOOGLETRANSLATE(C63,""zh-tw"",""RU"")"),"Из самой дальней части разрабатываемой зоны (шахты)-1 вы можете попасть на следующую карту.")</f>
        <v>Из самой дальней части разрабатываемой зоны (шахты)-1 вы можете попасть на следующую карту.</v>
      </c>
      <c r="AB63" s="44" t="str">
        <f>IFERROR(__xludf.DUMMYFUNCTION("GOOGLETRANSLATE(D63,""zh-tw"",""RU"")"),"Прибытие в «Разработку участка (рудника)-2»")</f>
        <v>Прибытие в «Разработку участка (рудника)-2»</v>
      </c>
      <c r="AC63" s="115" t="s">
        <v>2804</v>
      </c>
      <c r="AD63" s="150" t="s">
        <v>2814</v>
      </c>
      <c r="AE63" s="172" t="s">
        <v>2815</v>
      </c>
      <c r="AF63" s="177" t="s">
        <v>2816</v>
      </c>
      <c r="AG63" s="155" t="s">
        <v>2804</v>
      </c>
      <c r="AH63" s="181" t="s">
        <v>2817</v>
      </c>
      <c r="AI63" s="182" t="s">
        <v>2818</v>
      </c>
      <c r="AJ63" s="183" t="s">
        <v>2819</v>
      </c>
      <c r="AK63" s="184"/>
      <c r="AL63" s="184"/>
    </row>
    <row r="64">
      <c r="A64" s="84" t="s">
        <v>2820</v>
      </c>
      <c r="B64" s="150" t="s">
        <v>2821</v>
      </c>
      <c r="C64" s="172" t="s">
        <v>2822</v>
      </c>
      <c r="D64" s="177" t="s">
        <v>2823</v>
      </c>
      <c r="E64" s="84" t="s">
        <v>2820</v>
      </c>
      <c r="F64" s="150" t="s">
        <v>2824</v>
      </c>
      <c r="G64" s="176" t="s">
        <v>2825</v>
      </c>
      <c r="H64" s="164" t="s">
        <v>2826</v>
      </c>
      <c r="I64" s="84" t="s">
        <v>2820</v>
      </c>
      <c r="J64" s="150" t="s">
        <v>2827</v>
      </c>
      <c r="K64" s="159" t="s">
        <v>2828</v>
      </c>
      <c r="L64" s="164" t="s">
        <v>2829</v>
      </c>
      <c r="M64" s="84" t="s">
        <v>2820</v>
      </c>
      <c r="N64" s="149" t="str">
        <f>IFERROR(__xludf.DUMMYFUNCTION("GOOGLETRANSLATE(B64,""zh-tw"",""zh"")"),"隐藏通道")</f>
        <v>隐藏通道</v>
      </c>
      <c r="O64" s="89" t="str">
        <f>IFERROR(__xludf.DUMMYFUNCTION("GOOGLETRANSLATE(C64,""zh-tw"",""zh"")"),"开发中区域(矿坑)-2，地图中间往右上方，有一个隐藏通道可以连接到""山的洞窟""(R11)")</f>
        <v>开发中区域(矿坑)-2，地图中间往右上方，有一个隐藏通道可以连接到"山的洞窟"(R11)</v>
      </c>
      <c r="P64" s="55" t="str">
        <f>IFERROR(__xludf.DUMMYFUNCTION("GOOGLETRANSLATE(D64,""zh-tw"",""zh"")"),"清除岩石后可以连接到山的洞窟")</f>
        <v>清除岩石后可以连接到山的洞窟</v>
      </c>
      <c r="Q64" s="84" t="s">
        <v>2820</v>
      </c>
      <c r="R64" s="150" t="str">
        <f>IFERROR(__xludf.DUMMYFUNCTION("GOOGLETRANSLATE(B64,""zh-tw"",""es-MX"")"),"Pasaje oculto")</f>
        <v>Pasaje oculto</v>
      </c>
      <c r="S64" s="89" t="str">
        <f>IFERROR(__xludf.DUMMYFUNCTION("GOOGLETRANSLATE(C64,""zh-tw"",""es-MX"")"),"En el área en desarrollo (mina)-2, desde el centro del mapa hacia la parte superior derecha, hay un pasaje oculto que conecta con la ""Cueva de la Montaña"" (R11).")</f>
        <v>En el área en desarrollo (mina)-2, desde el centro del mapa hacia la parte superior derecha, hay un pasaje oculto que conecta con la "Cueva de la Montaña" (R11).</v>
      </c>
      <c r="T64" s="55" t="str">
        <f>IFERROR(__xludf.DUMMYFUNCTION("GOOGLETRANSLATE(D64,""zh-tw"",""es-MX"")"),"Tras despejar las rocas, se puede acceder a las cuevas de la montaña.")</f>
        <v>Tras despejar las rocas, se puede acceder a las cuevas de la montaña.</v>
      </c>
      <c r="U64" s="84" t="s">
        <v>2820</v>
      </c>
      <c r="V64" s="150" t="str">
        <f>IFERROR(__xludf.DUMMYFUNCTION("GOOGLETRANSLATE(B64,""zh-tw"",""KO"")"),"숨겨진 통로")</f>
        <v>숨겨진 통로</v>
      </c>
      <c r="W64" s="89" t="str">
        <f>IFERROR(__xludf.DUMMYFUNCTION("GOOGLETRANSLATE(C64,""zh-tw"",""KO"")"),"개발 구역(광산)-2에서 지도 중앙에서 오른쪽 위쪽까지 ""산 동굴""(R11)로 연결되는 숨겨진 통로가 있습니다.")</f>
        <v>개발 구역(광산)-2에서 지도 중앙에서 오른쪽 위쪽까지 "산 동굴"(R11)로 연결되는 숨겨진 통로가 있습니다.</v>
      </c>
      <c r="X64" s="55" t="str">
        <f>IFERROR(__xludf.DUMMYFUNCTION("GOOGLETRANSLATE(D64,""zh-tw"",""KO"")"),"바위를 치운 후, 산 속 동굴로 이동할 수 있습니다.")</f>
        <v>바위를 치운 후, 산 속 동굴로 이동할 수 있습니다.</v>
      </c>
      <c r="Y64" s="84" t="s">
        <v>2820</v>
      </c>
      <c r="Z64" s="149" t="str">
        <f>IFERROR(__xludf.DUMMYFUNCTION("GOOGLETRANSLATE(B64,""zh-tw"",""ru"")"),"Скрытый проход")</f>
        <v>Скрытый проход</v>
      </c>
      <c r="AA64" s="152" t="str">
        <f>IFERROR(__xludf.DUMMYFUNCTION("GOOGLETRANSLATE(C64,""zh-tw"",""RU"")"),"В зоне разработки (шахте)-2, от центра карты в правый верхний угол, находится скрытый проход, соединяющийся с «Горной пещерой» (R11).")</f>
        <v>В зоне разработки (шахте)-2, от центра карты в правый верхний угол, находится скрытый проход, соединяющийся с «Горной пещерой» (R11).</v>
      </c>
      <c r="AB64" s="44" t="str">
        <f>IFERROR(__xludf.DUMMYFUNCTION("GOOGLETRANSLATE(D64,""zh-tw"",""RU"")"),"Расчистив скалы, можно соединиться с пещерами в горе.")</f>
        <v>Расчистив скалы, можно соединиться с пещерами в горе.</v>
      </c>
      <c r="AC64" s="115" t="s">
        <v>2820</v>
      </c>
      <c r="AD64" s="150" t="s">
        <v>2830</v>
      </c>
      <c r="AE64" s="172" t="s">
        <v>2831</v>
      </c>
      <c r="AF64" s="177" t="s">
        <v>2832</v>
      </c>
      <c r="AG64" s="155" t="s">
        <v>2820</v>
      </c>
      <c r="AH64" s="181" t="s">
        <v>2833</v>
      </c>
      <c r="AI64" s="182" t="s">
        <v>2834</v>
      </c>
      <c r="AJ64" s="183" t="s">
        <v>2835</v>
      </c>
      <c r="AK64" s="184"/>
      <c r="AL64" s="184"/>
    </row>
    <row r="65">
      <c r="A65" s="84" t="s">
        <v>2836</v>
      </c>
      <c r="B65" s="150" t="s">
        <v>2837</v>
      </c>
      <c r="C65" s="172" t="s">
        <v>2838</v>
      </c>
      <c r="D65" s="177" t="s">
        <v>2839</v>
      </c>
      <c r="E65" s="84" t="s">
        <v>2836</v>
      </c>
      <c r="F65" s="150" t="s">
        <v>2840</v>
      </c>
      <c r="G65" s="176" t="s">
        <v>2841</v>
      </c>
      <c r="H65" s="164" t="s">
        <v>2842</v>
      </c>
      <c r="I65" s="84" t="s">
        <v>2836</v>
      </c>
      <c r="J65" s="150" t="s">
        <v>2843</v>
      </c>
      <c r="K65" s="176" t="s">
        <v>2844</v>
      </c>
      <c r="L65" s="164" t="s">
        <v>2845</v>
      </c>
      <c r="M65" s="84" t="s">
        <v>2836</v>
      </c>
      <c r="N65" s="149" t="str">
        <f>IFERROR(__xludf.DUMMYFUNCTION("GOOGLETRANSLATE(B65,""zh-tw"",""zh"")"),"开发中区域(矿坑)-3")</f>
        <v>开发中区域(矿坑)-3</v>
      </c>
      <c r="O65" s="89" t="str">
        <f>IFERROR(__xludf.DUMMYFUNCTION("GOOGLETRANSLATE(C65,""zh-tw"",""zh"")"),"于""开发中区域(矿坑)-2""，地图中间往上方的巨大岩石，通过后可以抵达""开发中区域(矿坑)-3""，可以手动破坏，或者乘坐矿车冲进去")</f>
        <v>于"开发中区域(矿坑)-2"，地图中间往上方的巨大岩石，通过后可以抵达"开发中区域(矿坑)-3"，可以手动破坏，或者乘坐矿车冲进去</v>
      </c>
      <c r="P65" s="55" t="str">
        <f>IFERROR(__xludf.DUMMYFUNCTION("GOOGLETRANSLATE(D65,""zh-tw"",""zh"")"),"抵达""开发中区域(矿坑)-3""")</f>
        <v>抵达"开发中区域(矿坑)-3"</v>
      </c>
      <c r="Q65" s="84" t="s">
        <v>2836</v>
      </c>
      <c r="R65" s="150" t="str">
        <f>IFERROR(__xludf.DUMMYFUNCTION("GOOGLETRANSLATE(B65,""zh-tw"",""es-MX"")"),"Área en desarrollo (mina a cielo abierto) -3")</f>
        <v>Área en desarrollo (mina a cielo abierto) -3</v>
      </c>
      <c r="S65" s="89" t="str">
        <f>IFERROR(__xludf.DUMMYFUNCTION("GOOGLETRANSLATE(C65,""zh-tw"",""es-MX"")"),"En ""Zona en desarrollo (Mina)-2"", hay una enorme roca en el centro del mapa que se eleva. Al atravesarla, llegarás a ""Zona en desarrollo (Mina)-3"", donde podrás destruirla manualmente o usar una vagoneta para entrar en ella.")</f>
        <v>En "Zona en desarrollo (Mina)-2", hay una enorme roca en el centro del mapa que se eleva. Al atravesarla, llegarás a "Zona en desarrollo (Mina)-3", donde podrás destruirla manualmente o usar una vagoneta para entrar en ella.</v>
      </c>
      <c r="T65" s="55" t="str">
        <f>IFERROR(__xludf.DUMMYFUNCTION("GOOGLETRANSLATE(D65,""zh-tw"",""es-MX"")"),"Llegada a ""Zona en desarrollo (Mina)-3""")</f>
        <v>Llegada a "Zona en desarrollo (Mina)-3"</v>
      </c>
      <c r="U65" s="84" t="s">
        <v>2836</v>
      </c>
      <c r="V65" s="150" t="str">
        <f>IFERROR(__xludf.DUMMYFUNCTION("GOOGLETRANSLATE(B65,""zh-tw"",""KO"")"),"개발 지역(광산) -3")</f>
        <v>개발 지역(광산) -3</v>
      </c>
      <c r="W65" s="89" t="str">
        <f>IFERROR(__xludf.DUMMYFUNCTION("GOOGLETRANSLATE(C65,""zh-tw"",""KO"")"),"""개발 구역(광산)-2""에는 지도 중앙에 위쪽으로 이어지는 거대한 바위가 있습니다. 이 바위를 통과하면 ""개발 구역(광산)-3""으로 이동하게 되는데, 그곳에서 직접 파괴하거나 광산 수레를 타고 들어갈 수 있습니다.")</f>
        <v>"개발 구역(광산)-2"에는 지도 중앙에 위쪽으로 이어지는 거대한 바위가 있습니다. 이 바위를 통과하면 "개발 구역(광산)-3"으로 이동하게 되는데, 그곳에서 직접 파괴하거나 광산 수레를 타고 들어갈 수 있습니다.</v>
      </c>
      <c r="X65" s="55" t="str">
        <f>IFERROR(__xludf.DUMMYFUNCTION("GOOGLETRANSLATE(D65,""zh-tw"",""KO"")"),"""개발구역(광산)-3"" 도착")</f>
        <v>"개발구역(광산)-3" 도착</v>
      </c>
      <c r="Y65" s="84" t="s">
        <v>2836</v>
      </c>
      <c r="Z65" s="149" t="str">
        <f>IFERROR(__xludf.DUMMYFUNCTION("GOOGLETRANSLATE(B65,""zh-tw"",""ru"")"),"Зона разработки (шахта) -3")</f>
        <v>Зона разработки (шахта) -3</v>
      </c>
      <c r="AA65" s="152" t="str">
        <f>IFERROR(__xludf.DUMMYFUNCTION("GOOGLETRANSLATE(C65,""zh-tw"",""RU"")"),"В зоне «Разработка (шахта)-2» в центре карты находится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f>
        <v>В зоне «Разработка (шахта)-2» в центре карты находится огромный камень, ведущий наверх. Пройдя сквозь него, вы попадёте в зону «Разработка (шахта)-3», где можете либо разрушить его вручную, либо въехать в него на вагонетке.</v>
      </c>
      <c r="AB65" s="44" t="str">
        <f>IFERROR(__xludf.DUMMYFUNCTION("GOOGLETRANSLATE(D65,""zh-tw"",""RU"")"),"Прибытие в «Разработку участка (рудника)-3»")</f>
        <v>Прибытие в «Разработку участка (рудника)-3»</v>
      </c>
      <c r="AC65" s="115" t="s">
        <v>2836</v>
      </c>
      <c r="AD65" s="150" t="s">
        <v>2846</v>
      </c>
      <c r="AE65" s="172" t="s">
        <v>2847</v>
      </c>
      <c r="AF65" s="177" t="s">
        <v>2848</v>
      </c>
      <c r="AG65" s="155" t="s">
        <v>2836</v>
      </c>
      <c r="AH65" s="181" t="s">
        <v>2849</v>
      </c>
      <c r="AI65" s="182" t="s">
        <v>2850</v>
      </c>
      <c r="AJ65" s="183" t="s">
        <v>2851</v>
      </c>
      <c r="AK65" s="184"/>
      <c r="AL65" s="184"/>
    </row>
    <row r="66">
      <c r="A66" s="84" t="s">
        <v>2852</v>
      </c>
      <c r="B66" s="150" t="s">
        <v>2853</v>
      </c>
      <c r="C66" s="172" t="s">
        <v>2854</v>
      </c>
      <c r="D66" s="177" t="s">
        <v>2855</v>
      </c>
      <c r="E66" s="84" t="s">
        <v>2852</v>
      </c>
      <c r="F66" s="150" t="s">
        <v>2856</v>
      </c>
      <c r="G66" s="176" t="s">
        <v>2857</v>
      </c>
      <c r="H66" s="164" t="s">
        <v>2858</v>
      </c>
      <c r="I66" s="84" t="s">
        <v>2852</v>
      </c>
      <c r="J66" s="150" t="s">
        <v>2859</v>
      </c>
      <c r="K66" s="176" t="s">
        <v>2860</v>
      </c>
      <c r="L66" s="164" t="s">
        <v>2861</v>
      </c>
      <c r="M66" s="84" t="s">
        <v>2852</v>
      </c>
      <c r="N66" s="149" t="str">
        <f>IFERROR(__xludf.DUMMYFUNCTION("GOOGLETRANSLATE(B66,""zh-tw"",""zh"")"),"开发中区域(矿坑)-4")</f>
        <v>开发中区域(矿坑)-4</v>
      </c>
      <c r="O66" s="89" t="str">
        <f>IFERROR(__xludf.DUMMYFUNCTION("GOOGLETRANSLATE(C66,""zh-tw"",""zh"")"),"于""开发中区域(矿坑)-3""，顺着地图路径可以抵达""开发中区域(矿坑)-4""，若不慎跌落将抵达熔岩区域")</f>
        <v>于"开发中区域(矿坑)-3"，顺着地图路径可以抵达"开发中区域(矿坑)-4"，若不慎跌落将抵达熔岩区域</v>
      </c>
      <c r="P66" s="55" t="str">
        <f>IFERROR(__xludf.DUMMYFUNCTION("GOOGLETRANSLATE(D66,""zh-tw"",""zh"")"),"抵达""开发中区域(矿坑)-4""")</f>
        <v>抵达"开发中区域(矿坑)-4"</v>
      </c>
      <c r="Q66" s="84" t="s">
        <v>2852</v>
      </c>
      <c r="R66" s="150" t="str">
        <f>IFERROR(__xludf.DUMMYFUNCTION("GOOGLETRANSLATE(B66,""zh-tw"",""es-MX"")"),"Área en desarrollo (mina a cielo abierto) -4")</f>
        <v>Área en desarrollo (mina a cielo abierto) -4</v>
      </c>
      <c r="S66" s="89" t="str">
        <f>IFERROR(__xludf.DUMMYFUNCTION("GOOGLETRANSLATE(C66,""zh-tw"",""es-MX"")"),"Desde ""Zona en desarrollo (Mina)-3"", sigue la ruta del mapa hasta llegar a ""Zona en desarrollo (Mina)-4"". Si caes accidentalmente, llegarás a la zona de lava.")</f>
        <v>Desde "Zona en desarrollo (Mina)-3", sigue la ruta del mapa hasta llegar a "Zona en desarrollo (Mina)-4". Si caes accidentalmente, llegarás a la zona de lava.</v>
      </c>
      <c r="T66" s="55" t="str">
        <f>IFERROR(__xludf.DUMMYFUNCTION("GOOGLETRANSLATE(D66,""zh-tw"",""es-MX"")"),"Llegar a ""Zona en desarrollo (Mina)-4""")</f>
        <v>Llegar a "Zona en desarrollo (Mina)-4"</v>
      </c>
      <c r="U66" s="84" t="s">
        <v>2852</v>
      </c>
      <c r="V66" s="150" t="str">
        <f>IFERROR(__xludf.DUMMYFUNCTION("GOOGLETRANSLATE(B66,""zh-tw"",""KO"")"),"개발 지역(광산) -4")</f>
        <v>개발 지역(광산) -4</v>
      </c>
      <c r="W66" s="89" t="str">
        <f>IFERROR(__xludf.DUMMYFUNCTION("GOOGLETRANSLATE(C66,""zh-tw"",""KO"")"),"""개발 구역(광산)-3""에서 지도 경로를 따라 ""개발 구역(광산)-4""로 이동하세요. 실수로 떨어지면 용암 지대에 도착하게 됩니다.")</f>
        <v>"개발 구역(광산)-3"에서 지도 경로를 따라 "개발 구역(광산)-4"로 이동하세요. 실수로 떨어지면 용암 지대에 도착하게 됩니다.</v>
      </c>
      <c r="X66" s="55" t="str">
        <f>IFERROR(__xludf.DUMMYFUNCTION("GOOGLETRANSLATE(D66,""zh-tw"",""KO"")"),"""개발구역(광산)-4"" 도착")</f>
        <v>"개발구역(광산)-4" 도착</v>
      </c>
      <c r="Y66" s="84" t="s">
        <v>2852</v>
      </c>
      <c r="Z66" s="149" t="str">
        <f>IFERROR(__xludf.DUMMYFUNCTION("GOOGLETRANSLATE(B66,""zh-tw"",""ru"")"),"Зона разработки (шахта) -4")</f>
        <v>Зона разработки (шахта) -4</v>
      </c>
      <c r="AA66" s="152" t="str">
        <f>IFERROR(__xludf.DUMMYFUNCTION("GOOGLETRANSLATE(C66,""zh-tw"",""RU"")"),"Из зоны разработки (шахты)-3 следуйте по карте до зоны разработки (шахты)-4. Если вы случайно упадёте, то попадёте в зону лавы.")</f>
        <v>Из зоны разработки (шахты)-3 следуйте по карте до зоны разработки (шахты)-4. Если вы случайно упадёте, то попадёте в зону лавы.</v>
      </c>
      <c r="AB66" s="44" t="str">
        <f>IFERROR(__xludf.DUMMYFUNCTION("GOOGLETRANSLATE(D66,""zh-tw"",""RU"")"),"Прибытие в «Разработку участка (рудника)-4»")</f>
        <v>Прибытие в «Разработку участка (рудника)-4»</v>
      </c>
      <c r="AC66" s="115" t="s">
        <v>2852</v>
      </c>
      <c r="AD66" s="150" t="s">
        <v>2862</v>
      </c>
      <c r="AE66" s="172" t="s">
        <v>2863</v>
      </c>
      <c r="AF66" s="177" t="s">
        <v>2864</v>
      </c>
      <c r="AG66" s="155" t="s">
        <v>2852</v>
      </c>
      <c r="AH66" s="181" t="s">
        <v>2817</v>
      </c>
      <c r="AI66" s="182" t="s">
        <v>2865</v>
      </c>
      <c r="AJ66" s="183" t="s">
        <v>2866</v>
      </c>
      <c r="AK66" s="184"/>
      <c r="AL66" s="184"/>
    </row>
    <row r="67">
      <c r="A67" s="84" t="s">
        <v>2867</v>
      </c>
      <c r="B67" s="150" t="s">
        <v>2821</v>
      </c>
      <c r="C67" s="172" t="s">
        <v>2868</v>
      </c>
      <c r="D67" s="177" t="s">
        <v>2869</v>
      </c>
      <c r="E67" s="84" t="s">
        <v>2867</v>
      </c>
      <c r="F67" s="150" t="s">
        <v>2824</v>
      </c>
      <c r="G67" s="176" t="s">
        <v>2870</v>
      </c>
      <c r="H67" s="164" t="s">
        <v>2871</v>
      </c>
      <c r="I67" s="84" t="s">
        <v>2867</v>
      </c>
      <c r="J67" s="150" t="s">
        <v>2872</v>
      </c>
      <c r="K67" s="176" t="s">
        <v>2873</v>
      </c>
      <c r="L67" s="163" t="s">
        <v>2874</v>
      </c>
      <c r="M67" s="84" t="s">
        <v>2867</v>
      </c>
      <c r="N67" s="149" t="str">
        <f>IFERROR(__xludf.DUMMYFUNCTION("GOOGLETRANSLATE(B67,""zh-tw"",""zh"")"),"隐藏通道")</f>
        <v>隐藏通道</v>
      </c>
      <c r="O67" s="89" t="str">
        <f>IFERROR(__xludf.DUMMYFUNCTION("GOOGLETRANSLATE(C67,""zh-tw"",""zh"")"),"于""开发中区域(矿坑)-4""，离开楼梯区域后的右上方大片岩石，有个隐藏的通道")</f>
        <v>于"开发中区域(矿坑)-4"，离开楼梯区域后的右上方大片岩石，有个隐藏的通道</v>
      </c>
      <c r="P67" s="55" t="str">
        <f>IFERROR(__xludf.DUMMYFUNCTION("GOOGLETRANSLATE(D67,""zh-tw"",""zh"")"),"抵达""被遗忘的墓穴-1""")</f>
        <v>抵达"被遗忘的墓穴-1"</v>
      </c>
      <c r="Q67" s="84" t="s">
        <v>2867</v>
      </c>
      <c r="R67" s="150" t="str">
        <f>IFERROR(__xludf.DUMMYFUNCTION("GOOGLETRANSLATE(B67,""zh-tw"",""es-MX"")"),"Pasaje oculto")</f>
        <v>Pasaje oculto</v>
      </c>
      <c r="S67" s="89" t="str">
        <f>IFERROR(__xludf.DUMMYFUNCTION("GOOGLETRANSLATE(C67,""zh-tw"",""es-MX"")"),"En ""Área de Desarrollo (Mina)-4"", después de salir del área de la escalera, hay un pasaje oculto en la gran área rocosa en la parte superior derecha.")</f>
        <v>En "Área de Desarrollo (Mina)-4", después de salir del área de la escalera, hay un pasaje oculto en la gran área rocosa en la parte superior derecha.</v>
      </c>
      <c r="T67" s="55" t="str">
        <f>IFERROR(__xludf.DUMMYFUNCTION("GOOGLETRANSLATE(D67,""zh-tw"",""es-MX"")"),"Llegar a ""La Tumba Olvidada-1""")</f>
        <v>Llegar a "La Tumba Olvidada-1"</v>
      </c>
      <c r="U67" s="84" t="s">
        <v>2867</v>
      </c>
      <c r="V67" s="150" t="str">
        <f>IFERROR(__xludf.DUMMYFUNCTION("GOOGLETRANSLATE(B67,""zh-tw"",""KO"")"),"숨겨진 통로")</f>
        <v>숨겨진 통로</v>
      </c>
      <c r="W67" s="89" t="str">
        <f>IFERROR(__xludf.DUMMYFUNCTION("GOOGLETRANSLATE(C67,""zh-tw"",""KO"")"),"""개발 구역(광산)-4""에서 계단 구역을 벗어나면 오른쪽 위의 큰 바위 구역에 숨겨진 통로가 있습니다.")</f>
        <v>"개발 구역(광산)-4"에서 계단 구역을 벗어나면 오른쪽 위의 큰 바위 구역에 숨겨진 통로가 있습니다.</v>
      </c>
      <c r="X67" s="55" t="str">
        <f>IFERROR(__xludf.DUMMYFUNCTION("GOOGLETRANSLATE(D67,""zh-tw"",""KO"")"),"""잊혀진 무덤-1""에 도착")</f>
        <v>"잊혀진 무덤-1"에 도착</v>
      </c>
      <c r="Y67" s="84" t="s">
        <v>2867</v>
      </c>
      <c r="Z67" s="149" t="str">
        <f>IFERROR(__xludf.DUMMYFUNCTION("GOOGLETRANSLATE(B67,""zh-tw"",""ru"")"),"Скрытый проход")</f>
        <v>Скрытый проход</v>
      </c>
      <c r="AA67" s="152" t="str">
        <f>IFERROR(__xludf.DUMMYFUNCTION("GOOGLETRANSLATE(C67,""zh-tw"",""RU"")"),"В «Зоне разработки (Шахта)-4» после выхода из зоны лестницы есть скрытый проход в большой скалистой области вверху справа.")</f>
        <v>В «Зоне разработки (Шахта)-4» после выхода из зоны лестницы есть скрытый проход в большой скалистой области вверху справа.</v>
      </c>
      <c r="AB67" s="44" t="str">
        <f>IFERROR(__xludf.DUMMYFUNCTION("GOOGLETRANSLATE(D67,""zh-tw"",""RU"")"),"Прибытие в «Забытую гробницу-1»")</f>
        <v>Прибытие в «Забытую гробницу-1»</v>
      </c>
      <c r="AC67" s="115" t="s">
        <v>2867</v>
      </c>
      <c r="AD67" s="150" t="s">
        <v>2875</v>
      </c>
      <c r="AE67" s="172" t="s">
        <v>2876</v>
      </c>
      <c r="AF67" s="177" t="s">
        <v>2877</v>
      </c>
      <c r="AG67" s="155" t="s">
        <v>2867</v>
      </c>
      <c r="AH67" s="181" t="s">
        <v>2878</v>
      </c>
      <c r="AI67" s="182" t="s">
        <v>2879</v>
      </c>
      <c r="AJ67" s="183" t="s">
        <v>2880</v>
      </c>
      <c r="AK67" s="184"/>
      <c r="AL67" s="184"/>
    </row>
    <row r="68">
      <c r="A68" s="84" t="s">
        <v>2881</v>
      </c>
      <c r="B68" s="150" t="s">
        <v>2882</v>
      </c>
      <c r="C68" s="168" t="s">
        <v>2883</v>
      </c>
      <c r="D68" s="177" t="s">
        <v>2884</v>
      </c>
      <c r="E68" s="84" t="s">
        <v>2881</v>
      </c>
      <c r="F68" s="150" t="s">
        <v>2885</v>
      </c>
      <c r="G68" s="176" t="s">
        <v>2886</v>
      </c>
      <c r="H68" s="164" t="s">
        <v>2887</v>
      </c>
      <c r="I68" s="84" t="s">
        <v>2881</v>
      </c>
      <c r="J68" s="149" t="s">
        <v>2888</v>
      </c>
      <c r="K68" s="159" t="s">
        <v>2889</v>
      </c>
      <c r="L68" s="163" t="s">
        <v>2890</v>
      </c>
      <c r="M68" s="84" t="s">
        <v>2881</v>
      </c>
      <c r="N68" s="149" t="str">
        <f>IFERROR(__xludf.DUMMYFUNCTION("GOOGLETRANSLATE(B68,""zh-tw"",""zh"")"),"前往废墟森林")</f>
        <v>前往废墟森林</v>
      </c>
      <c r="O68" s="89" t="str">
        <f>IFERROR(__xludf.DUMMYFUNCTION("GOOGLETRANSLATE(C68,""zh-tw"",""zh"")"),"于""冒险者小道:林间-2""，绕过公告牌子后，通过森林可以抵达""废墟森林""")</f>
        <v>于"冒险者小道:林间-2"，绕过公告牌子后，通过森林可以抵达"废墟森林"</v>
      </c>
      <c r="P68" s="55" t="str">
        <f>IFERROR(__xludf.DUMMYFUNCTION("GOOGLETRANSLATE(D68,""zh-tw"",""zh"")"),"抵达""废墟森林""")</f>
        <v>抵达"废墟森林"</v>
      </c>
      <c r="Q68" s="84" t="s">
        <v>2881</v>
      </c>
      <c r="R68" s="150" t="str">
        <f>IFERROR(__xludf.DUMMYFUNCTION("GOOGLETRANSLATE(B68,""zh-tw"",""es-MX"")"),"Dirígete al Bosque de las Ruinas")</f>
        <v>Dirígete al Bosque de las Ruinas</v>
      </c>
      <c r="S68" s="89" t="str">
        <f>IFERROR(__xludf.DUMMYFUNCTION("GOOGLETRANSLATE(C68,""zh-tw"",""es-MX"")"),"Desde ""Sendero del aventurero: Bosque-2"", después de pasar el tablón de anuncios, puedes llegar a ""Bosque de las ruinas"" atravesando el bosque.")</f>
        <v>Desde "Sendero del aventurero: Bosque-2", después de pasar el tablón de anuncios, puedes llegar a "Bosque de las ruinas" atravesando el bosque.</v>
      </c>
      <c r="T68" s="55" t="str">
        <f>IFERROR(__xludf.DUMMYFUNCTION("GOOGLETRANSLATE(D68,""zh-tw"",""es-MX"")"),"Al llegar al ""Bosque de las Ruinas""")</f>
        <v>Al llegar al "Bosque de las Ruinas"</v>
      </c>
      <c r="U68" s="84" t="s">
        <v>2881</v>
      </c>
      <c r="V68" s="150" t="str">
        <f>IFERROR(__xludf.DUMMYFUNCTION("GOOGLETRANSLATE(B68,""zh-tw"",""KO"")"),"폐허의 숲으로 가세요")</f>
        <v>폐허의 숲으로 가세요</v>
      </c>
      <c r="W68" s="89" t="str">
        <f>IFERROR(__xludf.DUMMYFUNCTION("GOOGLETRANSLATE(C68,""zh-tw"",""KO"")"),"""모험가의 길: 숲-2""에서 공지판을 지나 숲을 통과하면 ""유적의 숲""에 도달할 수 있습니다.")</f>
        <v>"모험가의 길: 숲-2"에서 공지판을 지나 숲을 통과하면 "유적의 숲"에 도달할 수 있습니다.</v>
      </c>
      <c r="X68" s="55" t="str">
        <f>IFERROR(__xludf.DUMMYFUNCTION("GOOGLETRANSLATE(D68,""zh-tw"",""KO"")"),"""폐허의 숲""에 도착")</f>
        <v>"폐허의 숲"에 도착</v>
      </c>
      <c r="Y68" s="84" t="s">
        <v>2881</v>
      </c>
      <c r="Z68" s="149" t="str">
        <f>IFERROR(__xludf.DUMMYFUNCTION("GOOGLETRANSLATE(B68,""zh-tw"",""ru"")"),"Отправляйтесь в Лес Руин")</f>
        <v>Отправляйтесь в Лес Руин</v>
      </c>
      <c r="AA68" s="152" t="str">
        <f>IFERROR(__xludf.DUMMYFUNCTION("GOOGLETRANSLATE(C68,""zh-tw"",""RU"")"),"Из «Пути искателя приключений: Лес-2», минуя доску объявлений, можно попасть в «Лес руин», пройдя через лес.")</f>
        <v>Из «Пути искателя приключений: Лес-2», минуя доску объявлений, можно попасть в «Лес руин», пройдя через лес.</v>
      </c>
      <c r="AB68" s="44" t="str">
        <f>IFERROR(__xludf.DUMMYFUNCTION("GOOGLETRANSLATE(D68,""zh-tw"",""RU"")"),"Прибытие в «Лес руин»")</f>
        <v>Прибытие в «Лес руин»</v>
      </c>
      <c r="AC68" s="115" t="s">
        <v>2881</v>
      </c>
      <c r="AD68" s="149" t="s">
        <v>2891</v>
      </c>
      <c r="AE68" s="168" t="s">
        <v>2892</v>
      </c>
      <c r="AF68" s="169" t="s">
        <v>2893</v>
      </c>
      <c r="AG68" s="155" t="s">
        <v>2881</v>
      </c>
      <c r="AH68" s="181" t="s">
        <v>2894</v>
      </c>
      <c r="AI68" s="185" t="s">
        <v>2895</v>
      </c>
      <c r="AJ68" s="183" t="s">
        <v>2896</v>
      </c>
      <c r="AK68" s="184"/>
      <c r="AL68" s="184"/>
    </row>
    <row r="69">
      <c r="A69" s="84" t="s">
        <v>2897</v>
      </c>
      <c r="B69" s="150" t="s">
        <v>2898</v>
      </c>
      <c r="C69" s="172" t="s">
        <v>2899</v>
      </c>
      <c r="D69" s="177" t="s">
        <v>2900</v>
      </c>
      <c r="E69" s="84" t="s">
        <v>2897</v>
      </c>
      <c r="F69" s="150" t="s">
        <v>2901</v>
      </c>
      <c r="G69" s="176" t="s">
        <v>2902</v>
      </c>
      <c r="H69" s="164" t="s">
        <v>2903</v>
      </c>
      <c r="I69" s="84" t="s">
        <v>2897</v>
      </c>
      <c r="J69" s="150" t="s">
        <v>2904</v>
      </c>
      <c r="K69" s="176" t="s">
        <v>2905</v>
      </c>
      <c r="L69" s="164" t="s">
        <v>2906</v>
      </c>
      <c r="M69" s="84" t="s">
        <v>2897</v>
      </c>
      <c r="N69" s="149" t="str">
        <f>IFERROR(__xludf.DUMMYFUNCTION("GOOGLETRANSLATE(B69,""zh-tw"",""zh"")"),"女仆兔BOSS区域-1")</f>
        <v>女仆兔BOSS区域-1</v>
      </c>
      <c r="O69" s="89" t="str">
        <f>IFERROR(__xludf.DUMMYFUNCTION("GOOGLETRANSLATE(C69,""zh-tw"",""zh"")"),"于""废墟森林""透过特殊移动手段，可以抵达女仆兔的BOSS区域")</f>
        <v>于"废墟森林"透过特殊移动手段，可以抵达女仆兔的BOSS区域</v>
      </c>
      <c r="P69" s="55" t="str">
        <f>IFERROR(__xludf.DUMMYFUNCTION("GOOGLETRANSLATE(D69,""zh-tw"",""zh"")"),"抵达BOSS区域
P.S.例如：怪鸟的羽毛可以进行漂浮")</f>
        <v>抵达BOSS区域
P.S.例如：怪鸟的羽毛可以进行漂浮</v>
      </c>
      <c r="Q69" s="84" t="s">
        <v>2897</v>
      </c>
      <c r="R69" s="150" t="str">
        <f>IFERROR(__xludf.DUMMYFUNCTION("GOOGLETRANSLATE(B69,""zh-tw"",""es-MX"")"),"Área del jefe Maid Bunny -1")</f>
        <v>Área del jefe Maid Bunny -1</v>
      </c>
      <c r="S69" s="89" t="str">
        <f>IFERROR(__xludf.DUMMYFUNCTION("GOOGLETRANSLATE(C69,""zh-tw"",""es-MX"")"),"Puedes acceder a la zona del jefe Maid Bunny utilizando un método de movimiento especial en el ""Bosque de las Ruinas"".")</f>
        <v>Puedes acceder a la zona del jefe Maid Bunny utilizando un método de movimiento especial en el "Bosque de las Ruinas".</v>
      </c>
      <c r="T69" s="55" t="str">
        <f>IFERROR(__xludf.DUMMYFUNCTION("GOOGLETRANSLATE(D69,""zh-tw"",""es-MX"")"),"Llega a la zona del JEFE.
P. D.: Por ejemplo: las plumas del ave monstruosa se pueden usar para levitar.")</f>
        <v>Llega a la zona del JEFE.
P. D.: Por ejemplo: las plumas del ave monstruosa se pueden usar para levitar.</v>
      </c>
      <c r="U69" s="84" t="s">
        <v>2897</v>
      </c>
      <c r="V69" s="150" t="str">
        <f>IFERROR(__xludf.DUMMYFUNCTION("GOOGLETRANSLATE(B69,""zh-tw"",""KO"")"),"메이드 버니 보스 지역 -1")</f>
        <v>메이드 버니 보스 지역 -1</v>
      </c>
      <c r="W69" s="89" t="str">
        <f>IFERROR(__xludf.DUMMYFUNCTION("GOOGLETRANSLATE(C69,""zh-tw"",""KO"")"),"""폐허의 숲""에서 특별한 이동 방법을 사용하면 메이드 토끼의 보스 구역에 도달할 수 있습니다.")</f>
        <v>"폐허의 숲"에서 특별한 이동 방법을 사용하면 메이드 토끼의 보스 구역에 도달할 수 있습니다.</v>
      </c>
      <c r="X69" s="55" t="str">
        <f>IFERROR(__xludf.DUMMYFUNCTION("GOOGLETRANSLATE(D69,""zh-tw"",""KO"")"),"BOSS 구역에 도착하세요.
추신: 예를 들어: 괴물 새의 깃털은 공중 부양에 사용할 수 있습니다.")</f>
        <v>BOSS 구역에 도착하세요.
추신: 예를 들어: 괴물 새의 깃털은 공중 부양에 사용할 수 있습니다.</v>
      </c>
      <c r="Y69" s="84" t="s">
        <v>2897</v>
      </c>
      <c r="Z69" s="149" t="str">
        <f>IFERROR(__xludf.DUMMYFUNCTION("GOOGLETRANSLATE(B69,""zh-tw"",""ru"")"),"Зона БОСС-горничной-кролика -1")</f>
        <v>Зона БОСС-горничной-кролика -1</v>
      </c>
      <c r="AA69" s="152" t="str">
        <f>IFERROR(__xludf.DUMMYFUNCTION("GOOGLETRANSLATE(C69,""zh-tw"",""RU"")"),"Добраться до босса Кролика-горничной можно, используя особый метод передвижения в «Лесу руин».")</f>
        <v>Добраться до босса Кролика-горничной можно, используя особый метод передвижения в «Лесу руин».</v>
      </c>
      <c r="AB69" s="44" t="str">
        <f>IFERROR(__xludf.DUMMYFUNCTION("GOOGLETRANSLATE(D69,""zh-tw"",""RU"")"),"Доберитесь до зоны БОССОВ.
P.S. Например: перья чудовищной птицы можно использовать для левитации.")</f>
        <v>Доберитесь до зоны БОССОВ.
P.S. Например: перья чудовищной птицы можно использовать для левитации.</v>
      </c>
      <c r="AC69" s="115" t="s">
        <v>2897</v>
      </c>
      <c r="AD69" s="150" t="s">
        <v>2907</v>
      </c>
      <c r="AE69" s="172" t="s">
        <v>2908</v>
      </c>
      <c r="AF69" s="177" t="s">
        <v>2909</v>
      </c>
      <c r="AG69" s="155" t="s">
        <v>2897</v>
      </c>
      <c r="AH69" s="181" t="s">
        <v>2910</v>
      </c>
      <c r="AI69" s="182" t="s">
        <v>2911</v>
      </c>
      <c r="AJ69" s="183" t="s">
        <v>2912</v>
      </c>
      <c r="AK69" s="184"/>
      <c r="AL69" s="184"/>
    </row>
    <row r="70">
      <c r="A70" s="84" t="s">
        <v>2913</v>
      </c>
      <c r="B70" s="150" t="s">
        <v>2914</v>
      </c>
      <c r="C70" s="172" t="s">
        <v>2915</v>
      </c>
      <c r="D70" s="169" t="s">
        <v>2916</v>
      </c>
      <c r="E70" s="84" t="s">
        <v>2913</v>
      </c>
      <c r="F70" s="150" t="s">
        <v>2917</v>
      </c>
      <c r="G70" s="176" t="s">
        <v>2918</v>
      </c>
      <c r="H70" s="163" t="s">
        <v>2919</v>
      </c>
      <c r="I70" s="84" t="s">
        <v>2913</v>
      </c>
      <c r="J70" s="150" t="s">
        <v>2920</v>
      </c>
      <c r="K70" s="176" t="s">
        <v>2921</v>
      </c>
      <c r="L70" s="163" t="s">
        <v>2922</v>
      </c>
      <c r="M70" s="84" t="s">
        <v>2913</v>
      </c>
      <c r="N70" s="149" t="str">
        <f>IFERROR(__xludf.DUMMYFUNCTION("GOOGLETRANSLATE(B70,""zh-tw"",""zh"")"),"女仆兔BOSS区域-2")</f>
        <v>女仆兔BOSS区域-2</v>
      </c>
      <c r="O70" s="89" t="str">
        <f>IFERROR(__xludf.DUMMYFUNCTION("GOOGLETRANSLATE(C70,""zh-tw"",""zh"")"),"于BOSS区域前的宝箱，开启后会爆炸，会对玩家或敌人造成伤害")</f>
        <v>于BOSS区域前的宝箱，开启后会爆炸，会对玩家或敌人造成伤害</v>
      </c>
      <c r="P70" s="55" t="str">
        <f>IFERROR(__xludf.DUMMYFUNCTION("GOOGLETRANSLATE(D70,""zh-tw"",""zh"")"),"请谨慎开启
*不会重置")</f>
        <v>请谨慎开启
*不会重置</v>
      </c>
      <c r="Q70" s="84" t="s">
        <v>2913</v>
      </c>
      <c r="R70" s="150" t="str">
        <f>IFERROR(__xludf.DUMMYFUNCTION("GOOGLETRANSLATE(B70,""zh-tw"",""es-MX"")"),"Zona del jefe Maid Bunny - 2")</f>
        <v>Zona del jefe Maid Bunny - 2</v>
      </c>
      <c r="S70" s="89" t="str">
        <f>IFERROR(__xludf.DUMMYFUNCTION("GOOGLETRANSLATE(C70,""zh-tw"",""es-MX"")"),"El cofre del tesoro situado frente a la zona del JEFE explotará al abrirse, infligiendo daño a los jugadores o enemigos.")</f>
        <v>El cofre del tesoro situado frente a la zona del JEFE explotará al abrirse, infligiendo daño a los jugadores o enemigos.</v>
      </c>
      <c r="T70" s="55" t="str">
        <f>IFERROR(__xludf.DUMMYFUNCTION("GOOGLETRANSLATE(D70,""zh-tw"",""es-MX"")"),"Abra con precaución. *No se reiniciará.")</f>
        <v>Abra con precaución. *No se reiniciará.</v>
      </c>
      <c r="U70" s="84" t="s">
        <v>2913</v>
      </c>
      <c r="V70" s="150" t="str">
        <f>IFERROR(__xludf.DUMMYFUNCTION("GOOGLETRANSLATE(B70,""zh-tw"",""KO"")"),"메이드 버니 보스 구역 - 2")</f>
        <v>메이드 버니 보스 구역 - 2</v>
      </c>
      <c r="W70" s="89" t="str">
        <f>IFERROR(__xludf.DUMMYFUNCTION("GOOGLETRANSLATE(C70,""zh-tw"",""KO"")"),"BOSS 구역 앞에 있는 보물상자는 열면 폭발하여 플레이어나 적에게 피해를 입힙니다.")</f>
        <v>BOSS 구역 앞에 있는 보물상자는 열면 폭발하여 플레이어나 적에게 피해를 입힙니다.</v>
      </c>
      <c r="X70" s="55" t="str">
        <f>IFERROR(__xludf.DUMMYFUNCTION("GOOGLETRANSLATE(D70,""zh-tw"",""KO"")"),"주의해서 열어주세요. *초기화되지 않습니다.")</f>
        <v>주의해서 열어주세요. *초기화되지 않습니다.</v>
      </c>
      <c r="Y70" s="84" t="s">
        <v>2913</v>
      </c>
      <c r="Z70" s="149" t="str">
        <f>IFERROR(__xludf.DUMMYFUNCTION("GOOGLETRANSLATE(B70,""zh-tw"",""ru"")"),"Зона БОСС-горничной-кролика - 2")</f>
        <v>Зона БОСС-горничной-кролика - 2</v>
      </c>
      <c r="AA70" s="152" t="str">
        <f>IFERROR(__xludf.DUMMYFUNCTION("GOOGLETRANSLATE(C70,""zh-tw"",""RU"")"),"Сундук с сокровищами перед зоной БОССА взорвется при открытии, нанося урон игрокам или врагам.")</f>
        <v>Сундук с сокровищами перед зоной БОССА взорвется при открытии, нанося урон игрокам или врагам.</v>
      </c>
      <c r="AB70" s="44" t="str">
        <f>IFERROR(__xludf.DUMMYFUNCTION("GOOGLETRANSLATE(D70,""zh-tw"",""RU"")"),"Открывайте осторожно. *Сброс невозможен.")</f>
        <v>Открывайте осторожно. *Сброс невозможен.</v>
      </c>
      <c r="AC70" s="115" t="s">
        <v>2913</v>
      </c>
      <c r="AD70" s="150" t="s">
        <v>2923</v>
      </c>
      <c r="AE70" s="172" t="s">
        <v>2924</v>
      </c>
      <c r="AF70" s="177" t="s">
        <v>2925</v>
      </c>
      <c r="AG70" s="155" t="s">
        <v>2913</v>
      </c>
      <c r="AH70" s="181" t="s">
        <v>2926</v>
      </c>
      <c r="AI70" s="182" t="s">
        <v>2927</v>
      </c>
      <c r="AJ70" s="166" t="s">
        <v>2928</v>
      </c>
      <c r="AK70" s="184"/>
      <c r="AL70" s="184"/>
    </row>
    <row r="71">
      <c r="A71" s="84" t="s">
        <v>2929</v>
      </c>
      <c r="B71" s="150" t="s">
        <v>2930</v>
      </c>
      <c r="C71" s="168" t="s">
        <v>2931</v>
      </c>
      <c r="D71" s="177" t="s">
        <v>2932</v>
      </c>
      <c r="E71" s="84" t="s">
        <v>2929</v>
      </c>
      <c r="F71" s="150" t="s">
        <v>2933</v>
      </c>
      <c r="G71" s="176" t="s">
        <v>2934</v>
      </c>
      <c r="H71" s="164" t="s">
        <v>2935</v>
      </c>
      <c r="I71" s="84" t="s">
        <v>2929</v>
      </c>
      <c r="J71" s="150" t="s">
        <v>2936</v>
      </c>
      <c r="K71" s="159" t="s">
        <v>2937</v>
      </c>
      <c r="L71" s="163" t="s">
        <v>2938</v>
      </c>
      <c r="M71" s="84" t="s">
        <v>2929</v>
      </c>
      <c r="N71" s="149" t="str">
        <f>IFERROR(__xludf.DUMMYFUNCTION("GOOGLETRANSLATE(B71,""zh-tw"",""zh"")"),"女仆兔BOSS区域-3")</f>
        <v>女仆兔BOSS区域-3</v>
      </c>
      <c r="O71" s="89" t="str">
        <f>IFERROR(__xludf.DUMMYFUNCTION("GOOGLETRANSLATE(C71,""zh-tw"",""zh"")"),"拔除发光的胡萝卜后，将召唤女仆兔BOSS
P.S.穿着女仆装有不同的分歧对话，但仍会触发战斗，请记得更新战斗装备")</f>
        <v>拔除发光的胡萝卜后，将召唤女仆兔BOSS
P.S.穿着女仆装有不同的分歧对话，但仍会触发战斗，请记得更新战斗装备</v>
      </c>
      <c r="P71" s="55" t="str">
        <f>IFERROR(__xludf.DUMMYFUNCTION("GOOGLETRANSLATE(D71,""zh-tw"",""zh"")"),"召唤BOSS-箱庭的白兔")</f>
        <v>召唤BOSS-箱庭的白兔</v>
      </c>
      <c r="Q71" s="84" t="s">
        <v>2929</v>
      </c>
      <c r="R71" s="150" t="str">
        <f>IFERROR(__xludf.DUMMYFUNCTION("GOOGLETRANSLATE(B71,""zh-tw"",""es-MX"")"),"Zona del jefe Conejo Doncella - 3")</f>
        <v>Zona del jefe Conejo Doncella - 3</v>
      </c>
      <c r="S71" s="89" t="str">
        <f>IFERROR(__xludf.DUMMYFUNCTION("GOOGLETRANSLATE(C71,""zh-tw"",""es-MX"")"),"Tras retirar la zanahoria brillante, aparecerá la JEFA Conejita Sirvienta.
P. D.: Llevar el traje de sirvienta activará diferentes opciones de diálogo, pero la batalla seguirá su curso. Recuerda mejorar tu equipo de batalla.")</f>
        <v>Tras retirar la zanahoria brillante, aparecerá la JEFA Conejita Sirvienta.
P. D.: Llevar el traje de sirvienta activará diferentes opciones de diálogo, pero la batalla seguirá su curso. Recuerda mejorar tu equipo de batalla.</v>
      </c>
      <c r="T71" s="55" t="str">
        <f>IFERROR(__xludf.DUMMYFUNCTION("GOOGLETRANSLATE(D71,""zh-tw"",""es-MX"")"),"Jefe invocado: El Conejo Blanco del Jardín Pequeño")</f>
        <v>Jefe invocado: El Conejo Blanco del Jardín Pequeño</v>
      </c>
      <c r="U71" s="84" t="s">
        <v>2929</v>
      </c>
      <c r="V71" s="150" t="str">
        <f>IFERROR(__xludf.DUMMYFUNCTION("GOOGLETRANSLATE(B71,""zh-tw"",""KO"")"),"메이드 래빗 보스 지역 - 3")</f>
        <v>메이드 래빗 보스 지역 - 3</v>
      </c>
      <c r="W71" s="89" t="str">
        <f>IFERROR(__xludf.DUMMYFUNCTION("GOOGLETRANSLATE(C71,""zh-tw"",""KO"")"),"빛나는 당근을 제거하면 메이드 토끼 보스가 소환됩니다.
추신: 메이드 복장을 착용하면 다양한 대화가 나오지만, 전투는 계속 진행됩니다. 전투 장비를 최신 상태로 유지하는 것을 잊지 마세요.")</f>
        <v>빛나는 당근을 제거하면 메이드 토끼 보스가 소환됩니다.
추신: 메이드 복장을 착용하면 다양한 대화가 나오지만, 전투는 계속 진행됩니다. 전투 장비를 최신 상태로 유지하는 것을 잊지 마세요.</v>
      </c>
      <c r="X71" s="55" t="str">
        <f>IFERROR(__xludf.DUMMYFUNCTION("GOOGLETRANSLATE(D71,""zh-tw"",""KO"")"),"소환 보스 - 작은 정원의 흰 토끼")</f>
        <v>소환 보스 - 작은 정원의 흰 토끼</v>
      </c>
      <c r="Y71" s="84" t="s">
        <v>2929</v>
      </c>
      <c r="Z71" s="149" t="str">
        <f>IFERROR(__xludf.DUMMYFUNCTION("GOOGLETRANSLATE(B71,""zh-tw"",""ru"")"),"Зона Босса «Горничная Кролик» - 3")</f>
        <v>Зона Босса «Горничная Кролик» - 3</v>
      </c>
      <c r="AA71" s="152" t="str">
        <f>IFERROR(__xludf.DUMMYFUNCTION("GOOGLETRANSLATE(C71,""zh-tw"",""RU"")"),"После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f>
        <v>После того, как вы снимете светящуюся морковку, появится БОСС-кролик-горничная.
P.S. Надев костюм горничной, вы получите доступ к другим вариантам диалога, но битва всё равно состоится. Не забудьте обновить свою боевую экипировку.</v>
      </c>
      <c r="AB71" s="44" t="str">
        <f>IFERROR(__xludf.DUMMYFUNCTION("GOOGLETRANSLATE(D71,""zh-tw"",""RU"")"),"Вызов босса — Белый кролик маленького сада")</f>
        <v>Вызов босса — Белый кролик маленького сада</v>
      </c>
      <c r="AC71" s="84" t="s">
        <v>2929</v>
      </c>
      <c r="AD71" s="150" t="s">
        <v>2939</v>
      </c>
      <c r="AE71" s="172" t="s">
        <v>2940</v>
      </c>
      <c r="AF71" s="177" t="s">
        <v>2941</v>
      </c>
      <c r="AG71" s="155" t="s">
        <v>2929</v>
      </c>
      <c r="AH71" s="181" t="s">
        <v>2942</v>
      </c>
      <c r="AI71" s="185" t="s">
        <v>2943</v>
      </c>
      <c r="AJ71" s="183" t="s">
        <v>2944</v>
      </c>
      <c r="AK71" s="184"/>
      <c r="AL71" s="184"/>
    </row>
    <row r="72">
      <c r="A72" s="84" t="s">
        <v>2945</v>
      </c>
      <c r="B72" s="150" t="s">
        <v>2946</v>
      </c>
      <c r="C72" s="168" t="s">
        <v>2947</v>
      </c>
      <c r="D72" s="169" t="s">
        <v>2948</v>
      </c>
      <c r="E72" s="84" t="s">
        <v>2945</v>
      </c>
      <c r="F72" s="150" t="s">
        <v>2949</v>
      </c>
      <c r="G72" s="159" t="s">
        <v>2950</v>
      </c>
      <c r="H72" s="163" t="s">
        <v>2951</v>
      </c>
      <c r="I72" s="84" t="s">
        <v>2945</v>
      </c>
      <c r="J72" s="150" t="s">
        <v>2952</v>
      </c>
      <c r="K72" s="159" t="s">
        <v>2953</v>
      </c>
      <c r="L72" s="163" t="s">
        <v>2954</v>
      </c>
      <c r="M72" s="84" t="s">
        <v>2945</v>
      </c>
      <c r="N72" s="149" t="str">
        <f>IFERROR(__xludf.DUMMYFUNCTION("GOOGLETRANSLATE(B72,""zh-tw"",""zh"")"),"女仆兔BOSS区域-4")</f>
        <v>女仆兔BOSS区域-4</v>
      </c>
      <c r="O72" s="89" t="str">
        <f>IFERROR(__xludf.DUMMYFUNCTION("GOOGLETRANSLATE(C72,""zh-tw"",""zh"")"),"击败-箱庭的白兔
特殊击败(未实装)-将所有洞口炸毁，即可击败BOSS")</f>
        <v>击败-箱庭的白兔
特殊击败(未实装)-将所有洞口炸毁，即可击败BOSS</v>
      </c>
      <c r="P72" s="55" t="str">
        <f>IFERROR(__xludf.DUMMYFUNCTION("GOOGLETRANSLATE(D72,""zh-tw"",""zh"")"),"机率掉落道具：胡萝卜大剑/冻萝卜大剑/霉萝卜大剑
机率掉落食材：胡萝卜
机率掉落装甲：萌萌兔耳、女仆制服
掉落道具：兔子地图(唯一)")</f>
        <v>机率掉落道具：胡萝卜大剑/冻萝卜大剑/霉萝卜大剑
机率掉落食材：胡萝卜
机率掉落装甲：萌萌兔耳、女仆制服
掉落道具：兔子地图(唯一)</v>
      </c>
      <c r="Q72" s="84" t="s">
        <v>2945</v>
      </c>
      <c r="R72" s="150" t="str">
        <f>IFERROR(__xludf.DUMMYFUNCTION("GOOGLETRANSLATE(B72,""zh-tw"",""es-MX"")"),"Zona del jefe Maid Rabbit -4")</f>
        <v>Zona del jefe Maid Rabbit -4</v>
      </c>
      <c r="S72" s="89" t="str">
        <f>IFERROR(__xludf.DUMMYFUNCTION("GOOGLETRANSLATE(C72,""zh-tw"",""es-MX"")"),"Derrota: El Conejo Blanco del Jardín Pequeño
Derrota especial (no implementada): Destruye todas las entradas de la cueva para derrotar al jefe.")</f>
        <v>Derrota: El Conejo Blanco del Jardín Pequeño
Derrota especial (no implementada): Destruye todas las entradas de la cueva para derrotar al jefe.</v>
      </c>
      <c r="T72" s="55" t="str">
        <f>IFERROR(__xludf.DUMMYFUNCTION("GOOGLETRANSLATE(D72,""zh-tw"",""es-MX"")"),"Probabilidad de obtener objetos: Gran espada de zanahoria/Gran espada de zanahoria congelada/Gran espada de zanahoria mohosa
Probabilidad de obtener comida: Zanahoria
Probabilidad de obtener armadura: Orejas de conejo adorables, Uniforme de sirvienta
O"&amp;"bjeto que se obtiene: Mapa del conejo (Único)")</f>
        <v>Probabilidad de obtener objetos: Gran espada de zanahoria/Gran espada de zanahoria congelada/Gran espada de zanahoria mohosa
Probabilidad de obtener comida: Zanahoria
Probabilidad de obtener armadura: Orejas de conejo adorables, Uniforme de sirvienta
Objeto que se obtiene: Mapa del conejo (Único)</v>
      </c>
      <c r="U72" s="84" t="s">
        <v>2945</v>
      </c>
      <c r="V72" s="150" t="str">
        <f>IFERROR(__xludf.DUMMYFUNCTION("GOOGLETRANSLATE(B72,""zh-tw"",""KO"")"),"메이드 래빗 보스 지역 -4")</f>
        <v>메이드 래빗 보스 지역 -4</v>
      </c>
      <c r="W72" s="89" t="str">
        <f>IFERROR(__xludf.DUMMYFUNCTION("GOOGLETRANSLATE(C72,""zh-tw"",""KO"")"),"패배 - 작은 정원의 흰 토끼
특별 패배 (구현되지 않음) - 모든 동굴 입구를 파괴하여 보스를 처치하세요.")</f>
        <v>패배 - 작은 정원의 흰 토끼
특별 패배 (구현되지 않음) - 모든 동굴 입구를 파괴하여 보스를 처치하세요.</v>
      </c>
      <c r="X72" s="55" t="str">
        <f>IFERROR(__xludf.DUMMYFUNCTION("GOOGLETRANSLATE(D72,""zh-tw"",""KO"")"),"아이템 획득 확률: 당근 대검/얼어붙은 당근 대검/곰팡이 낀 당근 대검
음식 획득 확률: 당근
방어구 획득 확률: 귀여운 토끼 귀, 메이드복
드랍 아이템: 토끼 지도 (고유)")</f>
        <v>아이템 획득 확률: 당근 대검/얼어붙은 당근 대검/곰팡이 낀 당근 대검
음식 획득 확률: 당근
방어구 획득 확률: 귀여운 토끼 귀, 메이드복
드랍 아이템: 토끼 지도 (고유)</v>
      </c>
      <c r="Y72" s="84" t="s">
        <v>2945</v>
      </c>
      <c r="Z72" s="149" t="str">
        <f>IFERROR(__xludf.DUMMYFUNCTION("GOOGLETRANSLATE(B72,""zh-tw"",""ru"")"),"Зона БОСС-горничной-кролика -4")</f>
        <v>Зона БОСС-горничной-кролика -4</v>
      </c>
      <c r="AA72" s="152" t="str">
        <f>IFERROR(__xludf.DUMMYFUNCTION("GOOGLETRANSLATE(C72,""zh-tw"",""RU"")"),"Поражение — Белый Кролик из Маленького Сада
Особое поражение (не реализовано) — Уничтожьте все входы в пещеры, чтобы победить БОССА.")</f>
        <v>Поражение — Белый Кролик из Маленького Сада
Особое поражение (не реализовано) — Уничтожьте все входы в пещеры, чтобы победить БОССА.</v>
      </c>
      <c r="AB72" s="44" t="str">
        <f>IFERROR(__xludf.DUMMYFUNCTION("GOOGLETRANSLATE(D72,""zh-tw"",""RU"")"),"Шанс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Униформа горничной.
Шанс выпадения предмета: Карта Кролика (Уникальная).")</f>
        <v>Шанс выпадения предметов: Морковный двуручный меч/Замороженный двуручный меч/Заплесневелый двуручный меч.
Шанс выпадения еды: Морковь.
Шанс выпадения брони: Милые кроличьи ушки, Униформа горничной.
Шанс выпадения предмета: Карта Кролика (Уникальная).</v>
      </c>
      <c r="AC72" s="84" t="s">
        <v>2945</v>
      </c>
      <c r="AD72" s="150" t="s">
        <v>2955</v>
      </c>
      <c r="AE72" s="172" t="s">
        <v>2956</v>
      </c>
      <c r="AF72" s="177" t="s">
        <v>2957</v>
      </c>
      <c r="AG72" s="155" t="s">
        <v>2945</v>
      </c>
      <c r="AH72" s="181" t="s">
        <v>2958</v>
      </c>
      <c r="AI72" s="185" t="s">
        <v>2959</v>
      </c>
      <c r="AJ72" s="162" t="s">
        <v>2960</v>
      </c>
      <c r="AK72" s="184"/>
      <c r="AL72" s="184"/>
    </row>
    <row r="73">
      <c r="A73" s="84" t="s">
        <v>2961</v>
      </c>
      <c r="B73" s="149" t="s">
        <v>2962</v>
      </c>
      <c r="C73" s="95" t="s">
        <v>2963</v>
      </c>
      <c r="D73" s="52" t="s">
        <v>2964</v>
      </c>
      <c r="E73" s="84" t="s">
        <v>2961</v>
      </c>
      <c r="F73" s="149" t="s">
        <v>2965</v>
      </c>
      <c r="G73" s="159" t="s">
        <v>2966</v>
      </c>
      <c r="H73" s="52" t="s">
        <v>2967</v>
      </c>
      <c r="I73" s="84" t="s">
        <v>2961</v>
      </c>
      <c r="J73" s="149" t="s">
        <v>2968</v>
      </c>
      <c r="K73" s="159" t="s">
        <v>2969</v>
      </c>
      <c r="L73" s="163" t="s">
        <v>2970</v>
      </c>
      <c r="M73" s="84" t="s">
        <v>2961</v>
      </c>
      <c r="N73" s="149" t="str">
        <f>IFERROR(__xludf.DUMMYFUNCTION("GOOGLETRANSLATE(B73,""zh-tw"",""zh"")"),"猎人小屋")</f>
        <v>猎人小屋</v>
      </c>
      <c r="O73" s="89" t="str">
        <f>IFERROR(__xludf.DUMMYFUNCTION("GOOGLETRANSLATE(C73,""zh-tw"",""zh"")"),"猎人小屋开放探索了，需要打破门才能进入
在皮草堆中可捡到猎人服
在中央柜子堆中可捡到猎人腰带
")</f>
        <v>猎人小屋开放探索了，需要打破门才能进入
在皮草堆中可捡到猎人服
在中央柜子堆中可捡到猎人腰带
</v>
      </c>
      <c r="P73" s="55" t="str">
        <f>IFERROR(__xludf.DUMMYFUNCTION("GOOGLETRANSLATE(D73,""zh-tw"",""zh"")"),"获得装备：猎人服、猎人腰带
*未来预计有Npc")</f>
        <v>获得装备：猎人服、猎人腰带
*未来预计有Npc</v>
      </c>
      <c r="Q73" s="84" t="s">
        <v>2961</v>
      </c>
      <c r="R73" s="150" t="str">
        <f>IFERROR(__xludf.DUMMYFUNCTION("GOOGLETRANSLATE(B73,""zh-tw"",""es-MX"")"),"El albergue del cazador")</f>
        <v>El albergue del cazador</v>
      </c>
      <c r="S73" s="89" t="str">
        <f>IFERROR(__xludf.DUMMYFUNCTION("GOOGLETRANSLATE(C73,""zh-tw"",""es-MX"")"),"La cabaña del cazador ya está abierta para explorar; debes derribar la puerta para entrar.
Puedes encontrar la túnica del cazador en el montón de pieles.
Puedes encontrar el cinturón del cazador en el montón del armario central.
")</f>
        <v>La cabaña del cazador ya está abierta para explorar; debes derribar la puerta para entrar.
Puedes encontrar la túnica del cazador en el montón de pieles.
Puedes encontrar el cinturón del cazador en el montón del armario central.
</v>
      </c>
      <c r="T73" s="55" t="str">
        <f>IFERROR(__xludf.DUMMYFUNCTION("GOOGLETRANSLATE(D73,""zh-tw"",""es-MX"")"),"Equipo adquirido: Traje de cazador, Cinturón de cazador
*Se espera que se añada un PNJ en el futuro")</f>
        <v>Equipo adquirido: Traje de cazador, Cinturón de cazador
*Se espera que se añada un PNJ en el futuro</v>
      </c>
      <c r="U73" s="84" t="s">
        <v>2961</v>
      </c>
      <c r="V73" s="150" t="str">
        <f>IFERROR(__xludf.DUMMYFUNCTION("GOOGLETRANSLATE(B73,""zh-tw"",""KO"")"),"헌터스 롯지")</f>
        <v>헌터스 롯지</v>
      </c>
      <c r="W73" s="89" t="str">
        <f>IFERROR(__xludf.DUMMYFUNCTION("GOOGLETRANSLATE(C73,""zh-tw"",""KO"")"),"사냥꾼의 오두막이 이제 탐험에 개방되었습니다. 들어가려면 문을 부수어야 합니다.
사냥꾼의 로브는 모피 더미에서 찾을 수 있습니다.
사냥꾼의 허리띠는 중앙 캐비닛 더미에서 찾을 수 있습니다.
")</f>
        <v>사냥꾼의 오두막이 이제 탐험에 개방되었습니다. 들어가려면 문을 부수어야 합니다.
사냥꾼의 로브는 모피 더미에서 찾을 수 있습니다.
사냥꾼의 허리띠는 중앙 캐비닛 더미에서 찾을 수 있습니다.
</v>
      </c>
      <c r="X73" s="55" t="str">
        <f>IFERROR(__xludf.DUMMYFUNCTION("GOOGLETRANSLATE(D73,""zh-tw"",""KO"")"),"획득 장비: 사냥꾼의 옷, 사냥꾼의 허리띠
*향후 NPC 추가 예정")</f>
        <v>획득 장비: 사냥꾼의 옷, 사냥꾼의 허리띠
*향후 NPC 추가 예정</v>
      </c>
      <c r="Y73" s="84" t="s">
        <v>2961</v>
      </c>
      <c r="Z73" s="149" t="str">
        <f>IFERROR(__xludf.DUMMYFUNCTION("GOOGLETRANSLATE(B73,""zh-tw"",""ru"")"),"Охотничий домик")</f>
        <v>Охотничий домик</v>
      </c>
      <c r="AA73" s="152" t="str">
        <f>IFERROR(__xludf.DUMMYFUNCTION("GOOGLETRANSLATE(C73,""zh-tw"",""RU"")"),"Домик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f>
        <v>Домик Охотника теперь открыт для исследования. Чтобы войти, нужно выломать дверь.
Одеяние Охотника можно найти в куче меха.
Пояс Охотника можно найти в куче центрального шкафа.
</v>
      </c>
      <c r="AB73" s="44" t="str">
        <f>IFERROR(__xludf.DUMMYFUNCTION("GOOGLETRANSLATE(D73,""zh-tw"",""RU"")"),"Приобретённое снаряжение: Костюм охотника, Пояс охотника
*Ожидается добавление NPC в будущем.")</f>
        <v>Приобретённое снаряжение: Костюм охотника, Пояс охотника
*Ожидается добавление NPC в будущем.</v>
      </c>
      <c r="AC73" s="84" t="s">
        <v>2961</v>
      </c>
      <c r="AD73" s="149" t="s">
        <v>2971</v>
      </c>
      <c r="AE73" s="159" t="s">
        <v>2972</v>
      </c>
      <c r="AF73" s="163" t="s">
        <v>2973</v>
      </c>
      <c r="AG73" s="155" t="s">
        <v>2961</v>
      </c>
      <c r="AH73" s="156" t="s">
        <v>2974</v>
      </c>
      <c r="AI73" s="185" t="s">
        <v>2975</v>
      </c>
      <c r="AJ73" s="166" t="s">
        <v>2976</v>
      </c>
      <c r="AK73" s="122"/>
      <c r="AL73" s="122"/>
    </row>
    <row r="74">
      <c r="A74" s="84" t="s">
        <v>2977</v>
      </c>
      <c r="B74" s="149" t="s">
        <v>2978</v>
      </c>
      <c r="C74" s="95" t="s">
        <v>2979</v>
      </c>
      <c r="D74" s="52" t="s">
        <v>2980</v>
      </c>
      <c r="E74" s="84" t="s">
        <v>2977</v>
      </c>
      <c r="F74" s="149" t="s">
        <v>2981</v>
      </c>
      <c r="G74" s="159" t="s">
        <v>2982</v>
      </c>
      <c r="H74" s="52" t="s">
        <v>2983</v>
      </c>
      <c r="I74" s="84" t="s">
        <v>2977</v>
      </c>
      <c r="J74" s="149" t="s">
        <v>2984</v>
      </c>
      <c r="K74" s="159" t="s">
        <v>2985</v>
      </c>
      <c r="L74" s="163" t="s">
        <v>2986</v>
      </c>
      <c r="M74" s="84" t="s">
        <v>2977</v>
      </c>
      <c r="N74" s="149" t="str">
        <f>IFERROR(__xludf.DUMMYFUNCTION("GOOGLETRANSLATE(B74,""zh-tw"",""zh"")"),"猎人小屋-地下室")</f>
        <v>猎人小屋-地下室</v>
      </c>
      <c r="O74" s="89" t="str">
        <f>IFERROR(__xludf.DUMMYFUNCTION("GOOGLETRANSLATE(C74,""zh-tw"",""zh"")"),"中下方木板处有隐藏通道，可以通过爆炸等手段进入
可获得猎人短刀
并且在右下方的木桶中，可以获得护刃众的徽章")</f>
        <v>中下方木板处有隐藏通道，可以通过爆炸等手段进入
可获得猎人短刀
并且在右下方的木桶中，可以获得护刃众的徽章</v>
      </c>
      <c r="P74" s="55" t="str">
        <f>IFERROR(__xludf.DUMMYFUNCTION("GOOGLETRANSLATE(D74,""zh-tw"",""zh"")"),"获得装备：猎人短刀、护刃众的徽章")</f>
        <v>获得装备：猎人短刀、护刃众的徽章</v>
      </c>
      <c r="Q74" s="84" t="s">
        <v>2977</v>
      </c>
      <c r="R74" s="150" t="str">
        <f>IFERROR(__xludf.DUMMYFUNCTION("GOOGLETRANSLATE(B74,""zh-tw"",""es-MX"")"),"Refugio del cazador - Sótano")</f>
        <v>Refugio del cazador - Sótano</v>
      </c>
      <c r="S74" s="89" t="str">
        <f>IFERROR(__xludf.DUMMYFUNCTION("GOOGLETRANSLATE(C74,""zh-tw"",""es-MX"")"),"Hay un pasadizo oculto en la parte inferior central de la tabla de madera, accesible mediante explosiones u otros métodos.
Allí puedes obtener la Daga del Cazador.
Y en el barril de la esquina inferior derecha encontrarás la Insignia de la Espada del Gu"&amp;"ardián.")</f>
        <v>Hay un pasadizo oculto en la parte inferior central de la tabla de madera, accesible mediante explosiones u otros métodos.
Allí puedes obtener la Daga del Cazador.
Y en el barril de la esquina inferior derecha encontrarás la Insignia de la Espada del Guardián.</v>
      </c>
      <c r="T74" s="55" t="str">
        <f>IFERROR(__xludf.DUMMYFUNCTION("GOOGLETRANSLATE(D74,""zh-tw"",""es-MX"")"),"Equipo adquirido: Daga de cazador, Insignia de maestro de la espada guardiana")</f>
        <v>Equipo adquirido: Daga de cazador, Insignia de maestro de la espada guardiana</v>
      </c>
      <c r="U74" s="84" t="s">
        <v>2977</v>
      </c>
      <c r="V74" s="150" t="str">
        <f>IFERROR(__xludf.DUMMYFUNCTION("GOOGLETRANSLATE(B74,""zh-tw"",""KO"")"),"헌터스 롯지 - 지하실")</f>
        <v>헌터스 롯지 - 지하실</v>
      </c>
      <c r="W74" s="89" t="str">
        <f>IFERROR(__xludf.DUMMYFUNCTION("GOOGLETRANSLATE(C74,""zh-tw"",""KO"")"),"나무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f>
        <v>나무 판자 아래쪽 중앙에는 폭발이나 다른 수단을 통해 접근할 수 있는 숨겨진 통로가 있습니다.
그곳에서 사냥꾼의 단검을 얻을 수 있습니다.
그리고 오른쪽 하단 모서리에 있는 통에서는 수호자의 검 휘장을 찾을 수 있습니다.</v>
      </c>
      <c r="X74" s="55" t="str">
        <f>IFERROR(__xludf.DUMMYFUNCTION("GOOGLETRANSLATE(D74,""zh-tw"",""KO"")"),"획득 장비 : 헌터의 단검, 가디언 블레이드 마스터 배지")</f>
        <v>획득 장비 : 헌터의 단검, 가디언 블레이드 마스터 배지</v>
      </c>
      <c r="Y74" s="84" t="s">
        <v>2977</v>
      </c>
      <c r="Z74" s="149" t="str">
        <f>IFERROR(__xludf.DUMMYFUNCTION("GOOGLETRANSLATE(B74,""zh-tw"",""ru"")"),"Охотничий домик - Подвал")</f>
        <v>Охотничий домик - Подвал</v>
      </c>
      <c r="AA74" s="152" t="str">
        <f>IFERROR(__xludf.DUMMYFUNCTION("GOOGLETRANSLATE(C74,""zh-tw"",""RU"")"),"В нижней части деревянной доски есть скрытый проход, доступ к которому осуществляется с помощью взрывов или другими способами.
Там можно получить Кинжал Охотника.
А в бочке в правом нижнем углу можно найти Значок Стража Клинка.")</f>
        <v>В нижней части деревянной доски есть скрытый проход, доступ к которому осуществляется с помощью взрывов или другими способами.
Там можно получить Кинжал Охотника.
А в бочке в правом нижнем углу можно найти Значок Стража Клинка.</v>
      </c>
      <c r="AB74" s="44" t="str">
        <f>IFERROR(__xludf.DUMMYFUNCTION("GOOGLETRANSLATE(D74,""zh-tw"",""RU"")"),"Полученное снаряжение: Кинжал Охотника, Значок Мастера Клинка Хранителя.")</f>
        <v>Полученное снаряжение: Кинжал Охотника, Значок Мастера Клинка Хранителя.</v>
      </c>
      <c r="AC74" s="84" t="s">
        <v>2977</v>
      </c>
      <c r="AD74" s="149" t="s">
        <v>2987</v>
      </c>
      <c r="AE74" s="159" t="s">
        <v>2988</v>
      </c>
      <c r="AF74" s="163" t="s">
        <v>2989</v>
      </c>
      <c r="AG74" s="155" t="s">
        <v>2977</v>
      </c>
      <c r="AH74" s="156" t="s">
        <v>2990</v>
      </c>
      <c r="AI74" s="157" t="s">
        <v>2991</v>
      </c>
      <c r="AJ74" s="166" t="s">
        <v>2992</v>
      </c>
      <c r="AK74" s="122"/>
      <c r="AL74" s="122"/>
    </row>
    <row r="75">
      <c r="A75" s="84" t="s">
        <v>2993</v>
      </c>
      <c r="B75" s="149" t="s">
        <v>2994</v>
      </c>
      <c r="C75" s="95" t="s">
        <v>2995</v>
      </c>
      <c r="D75" s="52" t="s">
        <v>2996</v>
      </c>
      <c r="E75" s="84" t="s">
        <v>2993</v>
      </c>
      <c r="F75" s="149" t="s">
        <v>2997</v>
      </c>
      <c r="G75" s="159" t="s">
        <v>2998</v>
      </c>
      <c r="H75" s="52" t="s">
        <v>2999</v>
      </c>
      <c r="I75" s="84" t="s">
        <v>2993</v>
      </c>
      <c r="J75" s="149" t="s">
        <v>3000</v>
      </c>
      <c r="K75" s="159" t="s">
        <v>3001</v>
      </c>
      <c r="L75" s="163" t="s">
        <v>3002</v>
      </c>
      <c r="M75" s="84" t="s">
        <v>2993</v>
      </c>
      <c r="N75" s="149" t="str">
        <f>IFERROR(__xludf.DUMMYFUNCTION("GOOGLETRANSLATE(B75,""zh-tw"",""zh"")"),"隐藏道具")</f>
        <v>隐藏道具</v>
      </c>
      <c r="O75" s="89" t="str">
        <f>IFERROR(__xludf.DUMMYFUNCTION("GOOGLETRANSLATE(C75,""zh-tw"",""zh"")"),"于""开发中区域(矿坑)-2""最下方水面的发光处")</f>
        <v>于"开发中区域(矿坑)-2"最下方水面的发光处</v>
      </c>
      <c r="P75" s="55" t="str">
        <f>IFERROR(__xludf.DUMMYFUNCTION("GOOGLETRANSLATE(D75,""zh-tw"",""zh"")"),"获得装备：护刃众的徽章")</f>
        <v>获得装备：护刃众的徽章</v>
      </c>
      <c r="Q75" s="84" t="s">
        <v>2993</v>
      </c>
      <c r="R75" s="150" t="str">
        <f>IFERROR(__xludf.DUMMYFUNCTION("GOOGLETRANSLATE(B75,""zh-tw"",""es-MX"")"),"Elementos ocultos")</f>
        <v>Elementos ocultos</v>
      </c>
      <c r="S75" s="89" t="str">
        <f>IFERROR(__xludf.DUMMYFUNCTION("GOOGLETRANSLATE(C75,""zh-tw"",""es-MX"")"),"El punto brillante se encuentra en el fondo de la superficie del agua en ""Área de Desarrollo (Mina)-2"".")</f>
        <v>El punto brillante se encuentra en el fondo de la superficie del agua en "Área de Desarrollo (Mina)-2".</v>
      </c>
      <c r="T75" s="55" t="str">
        <f>IFERROR(__xludf.DUMMYFUNCTION("GOOGLETRANSLATE(D75,""zh-tw"",""es-MX"")"),"Equipo obtenido: Medalla de la Espada Guardiana")</f>
        <v>Equipo obtenido: Medalla de la Espada Guardiana</v>
      </c>
      <c r="U75" s="84" t="s">
        <v>2993</v>
      </c>
      <c r="V75" s="150" t="str">
        <f>IFERROR(__xludf.DUMMYFUNCTION("GOOGLETRANSLATE(B75,""zh-tw"",""KO"")"),"숨겨진 아이템")</f>
        <v>숨겨진 아이템</v>
      </c>
      <c r="W75" s="89" t="str">
        <f>IFERROR(__xludf.DUMMYFUNCTION("GOOGLETRANSLATE(C75,""zh-tw"",""KO"")"),"빛나는 지점은 ""개발 구역(광산)-2""의 수면 바닥에 위치해 있습니다.")</f>
        <v>빛나는 지점은 "개발 구역(광산)-2"의 수면 바닥에 위치해 있습니다.</v>
      </c>
      <c r="X75" s="55" t="str">
        <f>IFERROR(__xludf.DUMMYFUNCTION("GOOGLETRANSLATE(D75,""zh-tw"",""KO"")"),"획득 장비: 가디언 블레이드 메달")</f>
        <v>획득 장비: 가디언 블레이드 메달</v>
      </c>
      <c r="Y75" s="84" t="s">
        <v>2993</v>
      </c>
      <c r="Z75" s="149" t="str">
        <f>IFERROR(__xludf.DUMMYFUNCTION("GOOGLETRANSLATE(B75,""zh-tw"",""ru"")"),"Скрытые предметы")</f>
        <v>Скрытые предметы</v>
      </c>
      <c r="AA75" s="152" t="str">
        <f>IFERROR(__xludf.DUMMYFUNCTION("GOOGLETRANSLATE(C75,""zh-tw"",""RU"")"),"Светящаяся точка расположена на дне водной поверхности в «Зоне разработки (Шахте)-2».")</f>
        <v>Светящаяся точка расположена на дне водной поверхности в «Зоне разработки (Шахте)-2».</v>
      </c>
      <c r="AB75" s="44" t="str">
        <f>IFERROR(__xludf.DUMMYFUNCTION("GOOGLETRANSLATE(D75,""zh-tw"",""RU"")"),"Полученное снаряжение: Медаль «Хранитель Клинка»")</f>
        <v>Полученное снаряжение: Медаль «Хранитель Клинка»</v>
      </c>
      <c r="AC75" s="84" t="s">
        <v>2993</v>
      </c>
      <c r="AD75" s="149" t="s">
        <v>3003</v>
      </c>
      <c r="AE75" s="159" t="str">
        <f>IFERROR(__xludf.DUMMYFUNCTION("GOOGLETRANSLATE(C75,""zh-tw"",""de"")"),"Der leuchtende Fleck befindet sich am Grund der Wasseroberfläche im ""Entwicklungsbereich (Mine)-2"".")</f>
        <v>Der leuchtende Fleck befindet sich am Grund der Wasseroberfläche im "Entwicklungsbereich (Mine)-2".</v>
      </c>
      <c r="AF75" s="163" t="s">
        <v>3004</v>
      </c>
      <c r="AG75" s="155" t="s">
        <v>2993</v>
      </c>
      <c r="AH75" s="156" t="s">
        <v>3005</v>
      </c>
      <c r="AI75" s="185" t="s">
        <v>3006</v>
      </c>
      <c r="AJ75" s="166" t="s">
        <v>3007</v>
      </c>
      <c r="AK75" s="122"/>
      <c r="AL75" s="122"/>
    </row>
    <row r="76">
      <c r="A76" s="84" t="s">
        <v>3008</v>
      </c>
      <c r="B76" s="149" t="s">
        <v>2994</v>
      </c>
      <c r="C76" s="95" t="s">
        <v>3009</v>
      </c>
      <c r="D76" s="52" t="s">
        <v>3010</v>
      </c>
      <c r="E76" s="84" t="s">
        <v>3008</v>
      </c>
      <c r="F76" s="149" t="s">
        <v>2997</v>
      </c>
      <c r="G76" s="159" t="str">
        <f>IFERROR(__xludf.DUMMYFUNCTION("GOOGLETRANSLATE(C76,""zh-tw"",""ja"")"),"光る木箱は「開発区（鉱山）-3」に入って左側にあります。")</f>
        <v>光る木箱は「開発区（鉱山）-3」に入って左側にあります。</v>
      </c>
      <c r="H76" s="52" t="s">
        <v>3011</v>
      </c>
      <c r="I76" s="84" t="s">
        <v>3008</v>
      </c>
      <c r="J76" s="149" t="s">
        <v>3000</v>
      </c>
      <c r="K76" s="159" t="s">
        <v>3012</v>
      </c>
      <c r="L76" s="163" t="s">
        <v>3013</v>
      </c>
      <c r="M76" s="84" t="s">
        <v>3008</v>
      </c>
      <c r="N76" s="149" t="str">
        <f>IFERROR(__xludf.DUMMYFUNCTION("GOOGLETRANSLATE(B76,""zh-tw"",""zh"")"),"隐藏道具")</f>
        <v>隐藏道具</v>
      </c>
      <c r="O76" s="89" t="str">
        <f>IFERROR(__xludf.DUMMYFUNCTION("GOOGLETRANSLATE(C76,""zh-tw"",""zh"")"),"于""开发中区域(矿坑)-3""进入后的左方木箱发光处")</f>
        <v>于"开发中区域(矿坑)-3"进入后的左方木箱发光处</v>
      </c>
      <c r="P76" s="55" t="str">
        <f>IFERROR(__xludf.DUMMYFUNCTION("GOOGLETRANSLATE(D76,""zh-tw"",""zh"")"),"获得装备：安全手套")</f>
        <v>获得装备：安全手套</v>
      </c>
      <c r="Q76" s="84" t="s">
        <v>3008</v>
      </c>
      <c r="R76" s="150" t="str">
        <f>IFERROR(__xludf.DUMMYFUNCTION("GOOGLETRANSLATE(B76,""zh-tw"",""es-MX"")"),"Elementos ocultos")</f>
        <v>Elementos ocultos</v>
      </c>
      <c r="S76" s="89" t="str">
        <f>IFERROR(__xludf.DUMMYFUNCTION("GOOGLETRANSLATE(C76,""zh-tw"",""es-MX"")"),"La caja de madera brillante se encuentra en el lado izquierdo después de entrar en ""Área de Desarrollo (Mina)-3"".")</f>
        <v>La caja de madera brillante se encuentra en el lado izquierdo después de entrar en "Área de Desarrollo (Mina)-3".</v>
      </c>
      <c r="T76" s="55" t="str">
        <f>IFERROR(__xludf.DUMMYFUNCTION("GOOGLETRANSLATE(D76,""zh-tw"",""es-MX"")"),"Equipo obtenido: Guantes de seguridad")</f>
        <v>Equipo obtenido: Guantes de seguridad</v>
      </c>
      <c r="U76" s="84" t="s">
        <v>3008</v>
      </c>
      <c r="V76" s="150" t="str">
        <f>IFERROR(__xludf.DUMMYFUNCTION("GOOGLETRANSLATE(B76,""zh-tw"",""KO"")"),"숨겨진 아이템")</f>
        <v>숨겨진 아이템</v>
      </c>
      <c r="W76" s="89" t="str">
        <f>IFERROR(__xludf.DUMMYFUNCTION("GOOGLETRANSLATE(C76,""zh-tw"",""KO"")"),"빛나는 나무 상자는 ""개발 구역(광산)-3""에 들어간 후 왼쪽에 있습니다.")</f>
        <v>빛나는 나무 상자는 "개발 구역(광산)-3"에 들어간 후 왼쪽에 있습니다.</v>
      </c>
      <c r="X76" s="55" t="str">
        <f>IFERROR(__xludf.DUMMYFUNCTION("GOOGLETRANSLATE(D76,""zh-tw"",""KO"")"),"획득한 장비: 안전 장갑")</f>
        <v>획득한 장비: 안전 장갑</v>
      </c>
      <c r="Y76" s="84" t="s">
        <v>3008</v>
      </c>
      <c r="Z76" s="149" t="str">
        <f>IFERROR(__xludf.DUMMYFUNCTION("GOOGLETRANSLATE(B76,""zh-tw"",""ru"")"),"Скрытые предметы")</f>
        <v>Скрытые предметы</v>
      </c>
      <c r="AA76" s="152" t="str">
        <f>IFERROR(__xludf.DUMMYFUNCTION("GOOGLETRANSLATE(C76,""zh-tw"",""RU"")"),"Светящийся деревянный ящик находится слева после входа в «Зону разработки (Шахту)-3».")</f>
        <v>Светящийся деревянный ящик находится слева после входа в «Зону разработки (Шахту)-3».</v>
      </c>
      <c r="AB76" s="44" t="str">
        <f>IFERROR(__xludf.DUMMYFUNCTION("GOOGLETRANSLATE(D76,""zh-tw"",""RU"")"),"Полученное оборудование: защитные перчатки.")</f>
        <v>Полученное оборудование: защитные перчатки.</v>
      </c>
      <c r="AC76" s="84" t="s">
        <v>3008</v>
      </c>
      <c r="AD76" s="149" t="s">
        <v>3003</v>
      </c>
      <c r="AE76" s="159" t="str">
        <f>IFERROR(__xludf.DUMMYFUNCTION("GOOGLETRANSLATE(C76,""zh-tw"",""de"")"),"Die leuchtende Holzkiste befindet sich auf der linken Seite nach Betreten des ""Entwicklungsbereichs (Mine)-3"".")</f>
        <v>Die leuchtende Holzkiste befindet sich auf der linken Seite nach Betreten des "Entwicklungsbereichs (Mine)-3".</v>
      </c>
      <c r="AF76" s="163" t="s">
        <v>3014</v>
      </c>
      <c r="AG76" s="155" t="s">
        <v>3008</v>
      </c>
      <c r="AH76" s="156" t="s">
        <v>3005</v>
      </c>
      <c r="AI76" s="185" t="s">
        <v>3015</v>
      </c>
      <c r="AJ76" s="166" t="s">
        <v>3016</v>
      </c>
      <c r="AK76" s="122"/>
      <c r="AL76" s="122"/>
    </row>
    <row r="77">
      <c r="A77" s="84" t="s">
        <v>3017</v>
      </c>
      <c r="B77" s="149" t="s">
        <v>2994</v>
      </c>
      <c r="C77" s="95" t="s">
        <v>3018</v>
      </c>
      <c r="D77" s="52" t="s">
        <v>3019</v>
      </c>
      <c r="E77" s="84" t="s">
        <v>3017</v>
      </c>
      <c r="F77" s="149" t="s">
        <v>2997</v>
      </c>
      <c r="G77" s="159" t="s">
        <v>3020</v>
      </c>
      <c r="H77" s="52" t="s">
        <v>3021</v>
      </c>
      <c r="I77" s="84" t="s">
        <v>3017</v>
      </c>
      <c r="J77" s="149" t="s">
        <v>3000</v>
      </c>
      <c r="K77" s="159" t="s">
        <v>3022</v>
      </c>
      <c r="L77" s="163" t="s">
        <v>3023</v>
      </c>
      <c r="M77" s="84" t="s">
        <v>3017</v>
      </c>
      <c r="N77" s="149" t="str">
        <f>IFERROR(__xludf.DUMMYFUNCTION("GOOGLETRANSLATE(B77,""zh-tw"",""zh"")"),"隐藏道具")</f>
        <v>隐藏道具</v>
      </c>
      <c r="O77" s="89" t="str">
        <f>IFERROR(__xludf.DUMMYFUNCTION("GOOGLETRANSLATE(C77,""zh-tw"",""zh"")"),"于开发中区域(矿坑)-3的悬空处，利用装备技巧可以获得隐藏道具
")</f>
        <v>于开发中区域(矿坑)-3的悬空处，利用装备技巧可以获得隐藏道具
</v>
      </c>
      <c r="P77" s="55" t="str">
        <f>IFERROR(__xludf.DUMMYFUNCTION("GOOGLETRANSLATE(D77,""zh-tw"",""zh"")"),"获得装备：宝石剑")</f>
        <v>获得装备：宝石剑</v>
      </c>
      <c r="Q77" s="84" t="s">
        <v>3017</v>
      </c>
      <c r="R77" s="150" t="str">
        <f>IFERROR(__xludf.DUMMYFUNCTION("GOOGLETRANSLATE(B77,""zh-tw"",""es-MX"")"),"Elementos ocultos")</f>
        <v>Elementos ocultos</v>
      </c>
      <c r="S77" s="89" t="str">
        <f>IFERROR(__xludf.DUMMYFUNCTION("GOOGLETRANSLATE(C77,""zh-tw"",""es-MX"")"),"Los objetos ocultos se pueden obtener utilizando habilidades de equipo en el área suspendida del área de desarrollo (mina)-3.")</f>
        <v>Los objetos ocultos se pueden obtener utilizando habilidades de equipo en el área suspendida del área de desarrollo (mina)-3.</v>
      </c>
      <c r="T77" s="55" t="str">
        <f>IFERROR(__xludf.DUMMYFUNCTION("GOOGLETRANSLATE(D77,""zh-tw"",""es-MX"")"),"Equipo obtenido: Espada de gema")</f>
        <v>Equipo obtenido: Espada de gema</v>
      </c>
      <c r="U77" s="84" t="s">
        <v>3017</v>
      </c>
      <c r="V77" s="150" t="str">
        <f>IFERROR(__xludf.DUMMYFUNCTION("GOOGLETRANSLATE(B77,""zh-tw"",""KO"")"),"숨겨진 아이템")</f>
        <v>숨겨진 아이템</v>
      </c>
      <c r="W77" s="89" t="str">
        <f>IFERROR(__xludf.DUMMYFUNCTION("GOOGLETRANSLATE(C77,""zh-tw"",""KO"")"),"개발구역(광산)-3의 정지구역에서 장비스킬을 사용하면 숨겨진 아이템을 획득할 수 있습니다.")</f>
        <v>개발구역(광산)-3의 정지구역에서 장비스킬을 사용하면 숨겨진 아이템을 획득할 수 있습니다.</v>
      </c>
      <c r="X77" s="55" t="str">
        <f>IFERROR(__xludf.DUMMYFUNCTION("GOOGLETRANSLATE(D77,""zh-tw"",""KO"")"),"획득 장비: 보석검")</f>
        <v>획득 장비: 보석검</v>
      </c>
      <c r="Y77" s="84" t="s">
        <v>3017</v>
      </c>
      <c r="Z77" s="149" t="str">
        <f>IFERROR(__xludf.DUMMYFUNCTION("GOOGLETRANSLATE(B77,""zh-tw"",""ru"")"),"Скрытые предметы")</f>
        <v>Скрытые предметы</v>
      </c>
      <c r="AA77" s="152" t="str">
        <f>IFERROR(__xludf.DUMMYFUNCTION("GOOGLETRANSLATE(C77,""zh-tw"",""RU"")"),"Скрытые предметы можно получить, используя навыки владения снаряжением в подвешенной зоне разрабатываемой территории (шахты)-3.")</f>
        <v>Скрытые предметы можно получить, используя навыки владения снаряжением в подвешенной зоне разрабатываемой территории (шахты)-3.</v>
      </c>
      <c r="AB77" s="44" t="str">
        <f>IFERROR(__xludf.DUMMYFUNCTION("GOOGLETRANSLATE(D77,""zh-tw"",""RU"")"),"Полученное снаряжение: Меч из самоцветов")</f>
        <v>Полученное снаряжение: Меч из самоцветов</v>
      </c>
      <c r="AC77" s="84" t="s">
        <v>3017</v>
      </c>
      <c r="AD77" s="149" t="s">
        <v>3003</v>
      </c>
      <c r="AE77" s="159" t="str">
        <f>IFERROR(__xludf.DUMMYFUNCTION("GOOGLETRANSLATE(C77,""zh-tw"",""de"")"),"Versteckte Gegenstände können durch den Einsatz von Ausrüstungsfertigkeiten im schwebenden Bereich des Entwicklungsgebiets (Mine)-3 erhalten werden.")</f>
        <v>Versteckte Gegenstände können durch den Einsatz von Ausrüstungsfertigkeiten im schwebenden Bereich des Entwicklungsgebiets (Mine)-3 erhalten werden.</v>
      </c>
      <c r="AF77" s="163" t="s">
        <v>3024</v>
      </c>
      <c r="AG77" s="155" t="s">
        <v>3017</v>
      </c>
      <c r="AH77" s="156" t="s">
        <v>3005</v>
      </c>
      <c r="AI77" s="185" t="s">
        <v>3025</v>
      </c>
      <c r="AJ77" s="166" t="s">
        <v>3026</v>
      </c>
      <c r="AK77" s="122"/>
      <c r="AL77" s="122"/>
    </row>
    <row r="78">
      <c r="A78" s="84" t="s">
        <v>3027</v>
      </c>
      <c r="B78" s="149" t="s">
        <v>2994</v>
      </c>
      <c r="C78" s="95" t="s">
        <v>3028</v>
      </c>
      <c r="D78" s="52" t="s">
        <v>3029</v>
      </c>
      <c r="E78" s="84" t="s">
        <v>3027</v>
      </c>
      <c r="F78" s="149" t="s">
        <v>2997</v>
      </c>
      <c r="G78" s="159" t="s">
        <v>3030</v>
      </c>
      <c r="H78" s="52" t="s">
        <v>3031</v>
      </c>
      <c r="I78" s="84" t="s">
        <v>3027</v>
      </c>
      <c r="J78" s="149" t="s">
        <v>3000</v>
      </c>
      <c r="K78" s="159" t="s">
        <v>3032</v>
      </c>
      <c r="L78" s="163" t="s">
        <v>3033</v>
      </c>
      <c r="M78" s="84" t="s">
        <v>3027</v>
      </c>
      <c r="N78" s="149" t="str">
        <f>IFERROR(__xludf.DUMMYFUNCTION("GOOGLETRANSLATE(B78,""zh-tw"",""zh"")"),"隐藏道具")</f>
        <v>隐藏道具</v>
      </c>
      <c r="O78" s="89" t="str">
        <f>IFERROR(__xludf.DUMMYFUNCTION("GOOGLETRANSLATE(C78,""zh-tw"",""zh"")"),"于开发中区域(矿坑)-4，中央楼梯上方的发光处")</f>
        <v>于开发中区域(矿坑)-4，中央楼梯上方的发光处</v>
      </c>
      <c r="P78" s="55" t="str">
        <f>IFERROR(__xludf.DUMMYFUNCTION("GOOGLETRANSLATE(D78,""zh-tw"",""zh"")"),"获得装备：生锈的铁剑")</f>
        <v>获得装备：生锈的铁剑</v>
      </c>
      <c r="Q78" s="84" t="s">
        <v>3027</v>
      </c>
      <c r="R78" s="150" t="str">
        <f>IFERROR(__xludf.DUMMYFUNCTION("GOOGLETRANSLATE(B78,""zh-tw"",""es-MX"")"),"Elementos ocultos")</f>
        <v>Elementos ocultos</v>
      </c>
      <c r="S78" s="89" t="str">
        <f>IFERROR(__xludf.DUMMYFUNCTION("GOOGLETRANSLATE(C78,""zh-tw"",""es-MX"")"),"En la zona en desarrollo (mina)-4, encima de la escalera central, hay un punto brillante.")</f>
        <v>En la zona en desarrollo (mina)-4, encima de la escalera central, hay un punto brillante.</v>
      </c>
      <c r="T78" s="55" t="str">
        <f>IFERROR(__xludf.DUMMYFUNCTION("GOOGLETRANSLATE(D78,""zh-tw"",""es-MX"")"),"Obtén el equipo: Espada de hierro oxidada")</f>
        <v>Obtén el equipo: Espada de hierro oxidada</v>
      </c>
      <c r="U78" s="84" t="s">
        <v>3027</v>
      </c>
      <c r="V78" s="150" t="str">
        <f>IFERROR(__xludf.DUMMYFUNCTION("GOOGLETRANSLATE(B78,""zh-tw"",""KO"")"),"숨겨진 아이템")</f>
        <v>숨겨진 아이템</v>
      </c>
      <c r="W78" s="89" t="str">
        <f>IFERROR(__xludf.DUMMYFUNCTION("GOOGLETRANSLATE(C78,""zh-tw"",""KO"")"),"개발 구역(광산)-4, 중앙 계단 위에 빛나는 점이 있습니다.")</f>
        <v>개발 구역(광산)-4, 중앙 계단 위에 빛나는 점이 있습니다.</v>
      </c>
      <c r="X78" s="55" t="str">
        <f>IFERROR(__xludf.DUMMYFUNCTION("GOOGLETRANSLATE(D78,""zh-tw"",""KO"")"),"장비 획득: 녹슨 철검")</f>
        <v>장비 획득: 녹슨 철검</v>
      </c>
      <c r="Y78" s="84" t="s">
        <v>3027</v>
      </c>
      <c r="Z78" s="149" t="str">
        <f>IFERROR(__xludf.DUMMYFUNCTION("GOOGLETRANSLATE(B78,""zh-tw"",""ru"")"),"Скрытые предметы")</f>
        <v>Скрытые предметы</v>
      </c>
      <c r="AA78" s="152" t="str">
        <f>IFERROR(__xludf.DUMMYFUNCTION("GOOGLETRANSLATE(C78,""zh-tw"",""RU"")"),"В шахте-4, над центральной лестницей, находится светящаяся точка.")</f>
        <v>В шахте-4, над центральной лестницей, находится светящаяся точка.</v>
      </c>
      <c r="AB78" s="44" t="str">
        <f>IFERROR(__xludf.DUMMYFUNCTION("GOOGLETRANSLATE(D78,""zh-tw"",""RU"")"),"Получить снаряжение: Ржавый железный меч")</f>
        <v>Получить снаряжение: Ржавый железный меч</v>
      </c>
      <c r="AC78" s="84" t="s">
        <v>3027</v>
      </c>
      <c r="AD78" s="149" t="s">
        <v>3003</v>
      </c>
      <c r="AE78" s="159" t="str">
        <f>IFERROR(__xludf.DUMMYFUNCTION("GOOGLETRANSLATE(C78,""zh-tw"",""de"")"),"Im Entwicklungsgebiet (Mine)-4, oberhalb der zentralen Treppe, befindet sich ein leuchtender Fleck.")</f>
        <v>Im Entwicklungsgebiet (Mine)-4, oberhalb der zentralen Treppe, befindet sich ein leuchtender Fleck.</v>
      </c>
      <c r="AF78" s="163" t="s">
        <v>3034</v>
      </c>
      <c r="AG78" s="155" t="s">
        <v>3027</v>
      </c>
      <c r="AH78" s="156" t="s">
        <v>3005</v>
      </c>
      <c r="AI78" s="185" t="s">
        <v>3035</v>
      </c>
      <c r="AJ78" s="166" t="s">
        <v>3036</v>
      </c>
      <c r="AK78" s="122"/>
      <c r="AL78" s="122"/>
    </row>
    <row r="79">
      <c r="A79" s="84" t="s">
        <v>3037</v>
      </c>
      <c r="B79" s="149" t="s">
        <v>2994</v>
      </c>
      <c r="C79" s="95" t="s">
        <v>3038</v>
      </c>
      <c r="D79" s="52" t="s">
        <v>3039</v>
      </c>
      <c r="E79" s="84" t="s">
        <v>3037</v>
      </c>
      <c r="F79" s="149" t="s">
        <v>2997</v>
      </c>
      <c r="G79" s="159" t="s">
        <v>3040</v>
      </c>
      <c r="H79" s="52" t="s">
        <v>3041</v>
      </c>
      <c r="I79" s="84" t="s">
        <v>3037</v>
      </c>
      <c r="J79" s="149" t="s">
        <v>3000</v>
      </c>
      <c r="K79" s="159" t="s">
        <v>3042</v>
      </c>
      <c r="L79" s="163" t="s">
        <v>3043</v>
      </c>
      <c r="M79" s="84" t="s">
        <v>3037</v>
      </c>
      <c r="N79" s="149" t="str">
        <f>IFERROR(__xludf.DUMMYFUNCTION("GOOGLETRANSLATE(B79,""zh-tw"",""zh"")"),"隐藏道具")</f>
        <v>隐藏道具</v>
      </c>
      <c r="O79" s="89" t="str">
        <f>IFERROR(__xludf.DUMMYFUNCTION("GOOGLETRANSLATE(C79,""zh-tw"",""zh"")"),"于开发中区域(矿坑)-4，中央楼梯下去后的左方")</f>
        <v>于开发中区域(矿坑)-4，中央楼梯下去后的左方</v>
      </c>
      <c r="P79" s="55" t="str">
        <f>IFERROR(__xludf.DUMMYFUNCTION("GOOGLETRANSLATE(D79,""zh-tw"",""zh"")"),"获得装备：铁觇
铁觇的规则说明于Tips中")</f>
        <v>获得装备：铁觇
铁觇的规则说明于Tips中</v>
      </c>
      <c r="Q79" s="84" t="s">
        <v>3037</v>
      </c>
      <c r="R79" s="150" t="str">
        <f>IFERROR(__xludf.DUMMYFUNCTION("GOOGLETRANSLATE(B79,""zh-tw"",""es-MX"")"),"Elementos ocultos")</f>
        <v>Elementos ocultos</v>
      </c>
      <c r="S79" s="89" t="str">
        <f>IFERROR(__xludf.DUMMYFUNCTION("GOOGLETRANSLATE(C79,""zh-tw"",""es-MX"")"),"En la zona en desarrollo (pozo minero) -4, a la izquierda después de bajar la escalera central.")</f>
        <v>En la zona en desarrollo (pozo minero) -4, a la izquierda después de bajar la escalera central.</v>
      </c>
      <c r="T79" s="55" t="str">
        <f>IFERROR(__xludf.DUMMYFUNCTION("GOOGLETRANSLATE(D79,""zh-tw"",""es-MX"")"),"Adquirir equipo: Gólem de Hierro. Las reglas del Gólem de Hierro se explican en los Consejos.")</f>
        <v>Adquirir equipo: Gólem de Hierro. Las reglas del Gólem de Hierro se explican en los Consejos.</v>
      </c>
      <c r="U79" s="84" t="s">
        <v>3037</v>
      </c>
      <c r="V79" s="150" t="str">
        <f>IFERROR(__xludf.DUMMYFUNCTION("GOOGLETRANSLATE(B79,""zh-tw"",""KO"")"),"숨겨진 아이템")</f>
        <v>숨겨진 아이템</v>
      </c>
      <c r="W79" s="89" t="str">
        <f>IFERROR(__xludf.DUMMYFUNCTION("GOOGLETRANSLATE(C79,""zh-tw"",""KO"")"),"개발 구역(광산 구덩이) -4, 중앙 계단을 내려가 왼쪽에 있습니다.")</f>
        <v>개발 구역(광산 구덩이) -4, 중앙 계단을 내려가 왼쪽에 있습니다.</v>
      </c>
      <c r="X79" s="55" t="str">
        <f>IFERROR(__xludf.DUMMYFUNCTION("GOOGLETRANSLATE(D79,""zh-tw"",""KO"")"),"장비 획득: 아이언 골렘 아이언 골렘의 규칙은 팁에 설명되어 있습니다.")</f>
        <v>장비 획득: 아이언 골렘 아이언 골렘의 규칙은 팁에 설명되어 있습니다.</v>
      </c>
      <c r="Y79" s="84" t="s">
        <v>3037</v>
      </c>
      <c r="Z79" s="149" t="str">
        <f>IFERROR(__xludf.DUMMYFUNCTION("GOOGLETRANSLATE(B79,""zh-tw"",""ru"")"),"Скрытые предметы")</f>
        <v>Скрытые предметы</v>
      </c>
      <c r="AA79" s="152" t="str">
        <f>IFERROR(__xludf.DUMMYFUNCTION("GOOGLETRANSLATE(C79,""zh-tw"",""RU"")"),"В зоне разработки (шахта)-4, слева после спуска по центральной лестнице.")</f>
        <v>В зоне разработки (шахта)-4, слева после спуска по центральной лестнице.</v>
      </c>
      <c r="AB79" s="44" t="str">
        <f>IFERROR(__xludf.DUMMYFUNCTION("GOOGLETRANSLATE(D79,""zh-tw"",""RU"")"),"Приобретение снаряжения: Железный Голем. Правила для Железного Голема объясняются в Советах.")</f>
        <v>Приобретение снаряжения: Железный Голем. Правила для Железного Голема объясняются в Советах.</v>
      </c>
      <c r="AC79" s="84" t="s">
        <v>3037</v>
      </c>
      <c r="AD79" s="149" t="s">
        <v>3003</v>
      </c>
      <c r="AE79" s="159" t="str">
        <f>IFERROR(__xludf.DUMMYFUNCTION("GOOGLETRANSLATE(C79,""zh-tw"",""de"")"),"Im Erschließungsbereich (Schacht) -4, links nach dem Abstieg über die zentrale Treppe.")</f>
        <v>Im Erschließungsbereich (Schacht) -4, links nach dem Abstieg über die zentrale Treppe.</v>
      </c>
      <c r="AF79" s="163" t="s">
        <v>3044</v>
      </c>
      <c r="AG79" s="155" t="s">
        <v>3037</v>
      </c>
      <c r="AH79" s="156" t="s">
        <v>3005</v>
      </c>
      <c r="AI79" s="185" t="s">
        <v>3045</v>
      </c>
      <c r="AJ79" s="166" t="s">
        <v>3046</v>
      </c>
      <c r="AK79" s="122"/>
      <c r="AL79" s="122"/>
    </row>
    <row r="80">
      <c r="A80" s="84" t="s">
        <v>3047</v>
      </c>
      <c r="B80" s="149" t="s">
        <v>2994</v>
      </c>
      <c r="C80" s="95" t="s">
        <v>3048</v>
      </c>
      <c r="D80" s="52" t="s">
        <v>3049</v>
      </c>
      <c r="E80" s="84" t="s">
        <v>3047</v>
      </c>
      <c r="F80" s="149" t="s">
        <v>2997</v>
      </c>
      <c r="G80" s="159" t="s">
        <v>3050</v>
      </c>
      <c r="H80" s="52" t="s">
        <v>3051</v>
      </c>
      <c r="I80" s="84" t="s">
        <v>3047</v>
      </c>
      <c r="J80" s="149" t="s">
        <v>3000</v>
      </c>
      <c r="K80" s="159" t="s">
        <v>3052</v>
      </c>
      <c r="L80" s="163" t="s">
        <v>3053</v>
      </c>
      <c r="M80" s="84" t="s">
        <v>3047</v>
      </c>
      <c r="N80" s="149" t="str">
        <f>IFERROR(__xludf.DUMMYFUNCTION("GOOGLETRANSLATE(B80,""zh-tw"",""zh"")"),"隐藏道具")</f>
        <v>隐藏道具</v>
      </c>
      <c r="O80" s="89" t="str">
        <f>IFERROR(__xludf.DUMMYFUNCTION("GOOGLETRANSLATE(C80,""zh-tw"",""zh"")"),"于开发中区域(矿坑)-4，中央楼梯下去后的右方发光处")</f>
        <v>于开发中区域(矿坑)-4，中央楼梯下去后的右方发光处</v>
      </c>
      <c r="P80" s="55" t="str">
        <f>IFERROR(__xludf.DUMMYFUNCTION("GOOGLETRANSLATE(D80,""zh-tw"",""zh"")"),"获得道具：魔力小凝胶x10")</f>
        <v>获得道具：魔力小凝胶x10</v>
      </c>
      <c r="Q80" s="84" t="s">
        <v>3047</v>
      </c>
      <c r="R80" s="150" t="str">
        <f>IFERROR(__xludf.DUMMYFUNCTION("GOOGLETRANSLATE(B80,""zh-tw"",""es-MX"")"),"Elementos ocultos")</f>
        <v>Elementos ocultos</v>
      </c>
      <c r="S80" s="89" t="str">
        <f>IFERROR(__xludf.DUMMYFUNCTION("GOOGLETRANSLATE(C80,""zh-tw"",""es-MX"")"),"En el área en desarrollo (pozo minero) -4, el punto brillante está a la derecha después de bajar las escaleras centrales.")</f>
        <v>En el área en desarrollo (pozo minero) -4, el punto brillante está a la derecha después de bajar las escaleras centrales.</v>
      </c>
      <c r="T80" s="55" t="str">
        <f>IFERROR(__xludf.DUMMYFUNCTION("GOOGLETRANSLATE(D80,""zh-tw"",""es-MX"")"),"Objeto obtenido: Gel mágico x10")</f>
        <v>Objeto obtenido: Gel mágico x10</v>
      </c>
      <c r="U80" s="84" t="s">
        <v>3047</v>
      </c>
      <c r="V80" s="150" t="str">
        <f>IFERROR(__xludf.DUMMYFUNCTION("GOOGLETRANSLATE(B80,""zh-tw"",""KO"")"),"숨겨진 아이템")</f>
        <v>숨겨진 아이템</v>
      </c>
      <c r="W80" s="89" t="str">
        <f>IFERROR(__xludf.DUMMYFUNCTION("GOOGLETRANSLATE(C80,""zh-tw"",""KO"")"),"개발 구역(광산 구덩이)-4에서 빛나는 지점은 중앙 계단을 내려가서 오른쪽에 있습니다.")</f>
        <v>개발 구역(광산 구덩이)-4에서 빛나는 지점은 중앙 계단을 내려가서 오른쪽에 있습니다.</v>
      </c>
      <c r="X80" s="55" t="str">
        <f>IFERROR(__xludf.DUMMYFUNCTION("GOOGLETRANSLATE(D80,""zh-tw"",""KO"")"),"획득 아이템 : 마법 젤 x10")</f>
        <v>획득 아이템 : 마법 젤 x10</v>
      </c>
      <c r="Y80" s="84" t="s">
        <v>3047</v>
      </c>
      <c r="Z80" s="149" t="str">
        <f>IFERROR(__xludf.DUMMYFUNCTION("GOOGLETRANSLATE(B80,""zh-tw"",""ru"")"),"Скрытые предметы")</f>
        <v>Скрытые предметы</v>
      </c>
      <c r="AA80" s="152" t="str">
        <f>IFERROR(__xludf.DUMMYFUNCTION("GOOGLETRANSLATE(C80,""zh-tw"",""RU"")"),"В зоне разработки (шахта)-4 светящаяся точка находится справа после спуска по центральной лестнице.")</f>
        <v>В зоне разработки (шахта)-4 светящаяся точка находится справа после спуска по центральной лестнице.</v>
      </c>
      <c r="AB80" s="44" t="str">
        <f>IFERROR(__xludf.DUMMYFUNCTION("GOOGLETRANSLATE(D80,""zh-tw"",""RU"")"),"Полученный предмет: Волшебный гель x10")</f>
        <v>Полученный предмет: Волшебный гель x10</v>
      </c>
      <c r="AC80" s="84" t="s">
        <v>3047</v>
      </c>
      <c r="AD80" s="149" t="s">
        <v>3003</v>
      </c>
      <c r="AE80" s="159" t="str">
        <f>IFERROR(__xludf.DUMMYFUNCTION("GOOGLETRANSLATE(C80,""zh-tw"",""de"")"),"Im Entwicklungsgebiet (Schacht) -4 befindet sich der leuchtende Punkt auf der rechten Seite, nachdem man die zentrale Treppe hinuntergegangen ist.")</f>
        <v>Im Entwicklungsgebiet (Schacht) -4 befindet sich der leuchtende Punkt auf der rechten Seite, nachdem man die zentrale Treppe hinuntergegangen ist.</v>
      </c>
      <c r="AF80" s="163" t="s">
        <v>3054</v>
      </c>
      <c r="AG80" s="155" t="s">
        <v>3047</v>
      </c>
      <c r="AH80" s="156" t="s">
        <v>3005</v>
      </c>
      <c r="AI80" s="185" t="s">
        <v>3055</v>
      </c>
      <c r="AJ80" s="166" t="s">
        <v>3056</v>
      </c>
      <c r="AK80" s="122"/>
      <c r="AL80" s="122"/>
    </row>
    <row r="81">
      <c r="A81" s="84" t="s">
        <v>3057</v>
      </c>
      <c r="B81" s="149" t="s">
        <v>3058</v>
      </c>
      <c r="C81" s="95" t="s">
        <v>3059</v>
      </c>
      <c r="D81" s="52" t="s">
        <v>3060</v>
      </c>
      <c r="E81" s="84" t="s">
        <v>3057</v>
      </c>
      <c r="F81" s="149" t="s">
        <v>3061</v>
      </c>
      <c r="G81" s="159" t="s">
        <v>3062</v>
      </c>
      <c r="H81" s="52" t="s">
        <v>3063</v>
      </c>
      <c r="I81" s="84" t="s">
        <v>3057</v>
      </c>
      <c r="J81" s="149" t="s">
        <v>3064</v>
      </c>
      <c r="K81" s="159" t="s">
        <v>3065</v>
      </c>
      <c r="L81" s="163" t="s">
        <v>3066</v>
      </c>
      <c r="M81" s="84" t="s">
        <v>3057</v>
      </c>
      <c r="N81" s="149" t="str">
        <f>IFERROR(__xludf.DUMMYFUNCTION("GOOGLETRANSLATE(B81,""zh-tw"",""zh"")"),"ASABA-1")</f>
        <v>ASABA-1</v>
      </c>
      <c r="O81" s="89" t="str">
        <f>IFERROR(__xludf.DUMMYFUNCTION("GOOGLETRANSLATE(C81,""zh-tw"",""zh"")"),"喂食ASABA-""一般食物""")</f>
        <v>喂食ASABA-"一般食物"</v>
      </c>
      <c r="P81" s="55" t="str">
        <f>IFERROR(__xludf.DUMMYFUNCTION("GOOGLETRANSLATE(D81,""zh-tw"",""zh"")"),"毫无反应，次数多了还会产生厌恶")</f>
        <v>毫无反应，次数多了还会产生厌恶</v>
      </c>
      <c r="Q81" s="84" t="s">
        <v>3057</v>
      </c>
      <c r="R81" s="150" t="str">
        <f>IFERROR(__xludf.DUMMYFUNCTION("GOOGLETRANSLATE(B81,""zh-tw"",""es-MX"")"),"ASABA-1")</f>
        <v>ASABA-1</v>
      </c>
      <c r="S81" s="89" t="str">
        <f>IFERROR(__xludf.DUMMYFUNCTION("GOOGLETRANSLATE(C81,""zh-tw"",""es-MX"")"),"Alimente a ASABA con ""comida normal"".")</f>
        <v>Alimente a ASABA con "comida normal".</v>
      </c>
      <c r="T81" s="55" t="str">
        <f>IFERROR(__xludf.DUMMYFUNCTION("GOOGLETRANSLATE(D81,""zh-tw"",""es-MX"")"),"No hubo reacción alguna, y las repeticiones incluso podrían generar aversión.")</f>
        <v>No hubo reacción alguna, y las repeticiones incluso podrían generar aversión.</v>
      </c>
      <c r="U81" s="84" t="s">
        <v>3057</v>
      </c>
      <c r="V81" s="150" t="str">
        <f>IFERROR(__xludf.DUMMYFUNCTION("GOOGLETRANSLATE(B81,""zh-tw"",""KO"")"),"아사바-1")</f>
        <v>아사바-1</v>
      </c>
      <c r="W81" s="89" t="str">
        <f>IFERROR(__xludf.DUMMYFUNCTION("GOOGLETRANSLATE(C81,""zh-tw"",""KO"")"),"ASABA에게 ""일반 음식""을 먹이세요")</f>
        <v>ASABA에게 "일반 음식"을 먹이세요</v>
      </c>
      <c r="X81" s="55" t="str">
        <f>IFERROR(__xludf.DUMMYFUNCTION("GOOGLETRANSLATE(D81,""zh-tw"",""KO"")"),"전혀 반응이 없었고, 반복해서 일어나면 혐오감을 느낄 수도 있었습니다.")</f>
        <v>전혀 반응이 없었고, 반복해서 일어나면 혐오감을 느낄 수도 있었습니다.</v>
      </c>
      <c r="Y81" s="84" t="s">
        <v>3057</v>
      </c>
      <c r="Z81" s="149" t="str">
        <f>IFERROR(__xludf.DUMMYFUNCTION("GOOGLETRANSLATE(B81,""zh-tw"",""ru"")"),"АСАБА-1")</f>
        <v>АСАБА-1</v>
      </c>
      <c r="AA81" s="152" t="str">
        <f>IFERROR(__xludf.DUMMYFUNCTION("GOOGLETRANSLATE(C81,""zh-tw"",""RU"")"),"Корм ASABA - ""обычный корм""")</f>
        <v>Корм ASABA - "обычный корм"</v>
      </c>
      <c r="AB81" s="44" t="str">
        <f>IFERROR(__xludf.DUMMYFUNCTION("GOOGLETRANSLATE(D81,""zh-tw"",""RU"")"),"Никакой реакции не было, а повторные случаи могли даже вызвать отвращение.")</f>
        <v>Никакой реакции не было, а повторные случаи могли даже вызвать отвращение.</v>
      </c>
      <c r="AC81" s="84" t="s">
        <v>3057</v>
      </c>
      <c r="AD81" s="149" t="str">
        <f>IFERROR(__xludf.DUMMYFUNCTION("GOOGLETRANSLATE(B81,""zh-tw"",""de"")"),"ASABA-1")</f>
        <v>ASABA-1</v>
      </c>
      <c r="AE81" s="159" t="str">
        <f>IFERROR(__xludf.DUMMYFUNCTION("GOOGLETRANSLATE(C81,""zh-tw"",""de"")"),"ASABA füttern – „normales Futter“")</f>
        <v>ASABA füttern – „normales Futter“</v>
      </c>
      <c r="AF81" s="163" t="s">
        <v>3067</v>
      </c>
      <c r="AG81" s="155" t="s">
        <v>3057</v>
      </c>
      <c r="AH81" s="156" t="s">
        <v>3064</v>
      </c>
      <c r="AI81" s="185" t="s">
        <v>3068</v>
      </c>
      <c r="AJ81" s="166" t="s">
        <v>3069</v>
      </c>
      <c r="AK81" s="122"/>
      <c r="AL81" s="122"/>
    </row>
    <row r="82">
      <c r="A82" s="84" t="s">
        <v>3070</v>
      </c>
      <c r="B82" s="149" t="s">
        <v>3071</v>
      </c>
      <c r="C82" s="95" t="s">
        <v>3072</v>
      </c>
      <c r="D82" s="52" t="s">
        <v>3073</v>
      </c>
      <c r="E82" s="84" t="s">
        <v>3070</v>
      </c>
      <c r="F82" s="149" t="s">
        <v>3074</v>
      </c>
      <c r="G82" s="159" t="s">
        <v>3075</v>
      </c>
      <c r="H82" s="52" t="s">
        <v>3076</v>
      </c>
      <c r="I82" s="84" t="s">
        <v>3070</v>
      </c>
      <c r="J82" s="149" t="s">
        <v>3077</v>
      </c>
      <c r="K82" s="159" t="s">
        <v>3078</v>
      </c>
      <c r="L82" s="163" t="s">
        <v>3079</v>
      </c>
      <c r="M82" s="84" t="s">
        <v>3070</v>
      </c>
      <c r="N82" s="149" t="str">
        <f>IFERROR(__xludf.DUMMYFUNCTION("GOOGLETRANSLATE(B82,""zh-tw"",""zh"")"),"ASABA-2")</f>
        <v>ASABA-2</v>
      </c>
      <c r="O82" s="89" t="str">
        <f>IFERROR(__xludf.DUMMYFUNCTION("GOOGLETRANSLATE(C82,""zh-tw"",""zh"")"),"喂食ASABA-""妹妹的呆毛""")</f>
        <v>喂食ASABA-"妹妹的呆毛"</v>
      </c>
      <c r="P82" s="55" t="str">
        <f>IFERROR(__xludf.DUMMYFUNCTION("GOOGLETRANSLATE(D82,""zh-tw"",""zh"")"),"让ASABA的大脑当机")</f>
        <v>让ASABA的大脑当机</v>
      </c>
      <c r="Q82" s="84" t="s">
        <v>3070</v>
      </c>
      <c r="R82" s="150" t="str">
        <f>IFERROR(__xludf.DUMMYFUNCTION("GOOGLETRANSLATE(B82,""zh-tw"",""es-MX"")"),"ASABA-2")</f>
        <v>ASABA-2</v>
      </c>
      <c r="S82" s="89" t="str">
        <f>IFERROR(__xludf.DUMMYFUNCTION("GOOGLETRANSLATE(C82,""zh-tw"",""es-MX"")"),"Alimentando a ASABA - ""El ahoge de la hermana""")</f>
        <v>Alimentando a ASABA - "El ahoge de la hermana"</v>
      </c>
      <c r="T82" s="55" t="str">
        <f>IFERROR(__xludf.DUMMYFUNCTION("GOOGLETRANSLATE(D82,""zh-tw"",""es-MX"")"),"Apagando el cerebro de ASABA")</f>
        <v>Apagando el cerebro de ASABA</v>
      </c>
      <c r="U82" s="84" t="s">
        <v>3070</v>
      </c>
      <c r="V82" s="150" t="str">
        <f>IFERROR(__xludf.DUMMYFUNCTION("GOOGLETRANSLATE(B82,""zh-tw"",""KO"")"),"아사바-2")</f>
        <v>아사바-2</v>
      </c>
      <c r="W82" s="89" t="str">
        <f>IFERROR(__xludf.DUMMYFUNCTION("GOOGLETRANSLATE(C82,""zh-tw"",""KO"")"),"아사바에게 먹이주기 - ""자매의 아호게""")</f>
        <v>아사바에게 먹이주기 - "자매의 아호게"</v>
      </c>
      <c r="X82" s="55" t="str">
        <f>IFERROR(__xludf.DUMMYFUNCTION("GOOGLETRANSLATE(D82,""zh-tw"",""KO"")"),"ASABA의 뇌를 끄다")</f>
        <v>ASABA의 뇌를 끄다</v>
      </c>
      <c r="Y82" s="84" t="s">
        <v>3070</v>
      </c>
      <c r="Z82" s="149" t="str">
        <f>IFERROR(__xludf.DUMMYFUNCTION("GOOGLETRANSLATE(B82,""zh-tw"",""ru"")"),"АСАБА-2")</f>
        <v>АСАБА-2</v>
      </c>
      <c r="AA82" s="152" t="str">
        <f>IFERROR(__xludf.DUMMYFUNCTION("GOOGLETRANSLATE(C82,""zh-tw"",""RU"")"),"Кормление ASABA - ""Sister's ahoge""")</f>
        <v>Кормление ASABA - "Sister's ahoge"</v>
      </c>
      <c r="AB82" s="44" t="str">
        <f>IFERROR(__xludf.DUMMYFUNCTION("GOOGLETRANSLATE(D82,""zh-tw"",""RU"")"),"Отключение мозга ASABA")</f>
        <v>Отключение мозга ASABA</v>
      </c>
      <c r="AC82" s="84" t="s">
        <v>3070</v>
      </c>
      <c r="AD82" s="149" t="str">
        <f>IFERROR(__xludf.DUMMYFUNCTION("GOOGLETRANSLATE(B82,""zh-tw"",""de"")"),"ASABA-2")</f>
        <v>ASABA-2</v>
      </c>
      <c r="AE82" s="159" t="str">
        <f>IFERROR(__xludf.DUMMYFUNCTION("GOOGLETRANSLATE(C82,""zh-tw"",""de"")"),"Fütterung von ASABA – „Schwesters Ahoge“")</f>
        <v>Fütterung von ASABA – „Schwesters Ahoge“</v>
      </c>
      <c r="AF82" s="163" t="s">
        <v>3080</v>
      </c>
      <c r="AG82" s="155" t="s">
        <v>3070</v>
      </c>
      <c r="AH82" s="156" t="s">
        <v>3077</v>
      </c>
      <c r="AI82" s="185" t="s">
        <v>3081</v>
      </c>
      <c r="AJ82" s="166" t="s">
        <v>3082</v>
      </c>
      <c r="AK82" s="122"/>
      <c r="AL82" s="122"/>
    </row>
    <row r="83">
      <c r="A83" s="84" t="s">
        <v>3083</v>
      </c>
      <c r="B83" s="149" t="s">
        <v>3084</v>
      </c>
      <c r="C83" s="95" t="s">
        <v>3085</v>
      </c>
      <c r="D83" s="52" t="s">
        <v>3086</v>
      </c>
      <c r="E83" s="84" t="s">
        <v>3083</v>
      </c>
      <c r="F83" s="149" t="s">
        <v>3087</v>
      </c>
      <c r="G83" s="159" t="s">
        <v>3088</v>
      </c>
      <c r="H83" s="52" t="str">
        <f>IFERROR(__xludf.DUMMYFUNCTION("GOOGLETRANSLATE(D83,""zh-tw"",""ja"")"),"BUFFを取得")</f>
        <v>BUFFを取得</v>
      </c>
      <c r="I83" s="84" t="s">
        <v>3083</v>
      </c>
      <c r="J83" s="149" t="s">
        <v>3089</v>
      </c>
      <c r="K83" s="159" t="s">
        <v>3090</v>
      </c>
      <c r="L83" s="163" t="s">
        <v>3091</v>
      </c>
      <c r="M83" s="84" t="s">
        <v>3083</v>
      </c>
      <c r="N83" s="149" t="str">
        <f>IFERROR(__xludf.DUMMYFUNCTION("GOOGLETRANSLATE(B83,""zh-tw"",""zh"")"),"ASABA-3")</f>
        <v>ASABA-3</v>
      </c>
      <c r="O83" s="89" t="str">
        <f>IFERROR(__xludf.DUMMYFUNCTION("GOOGLETRANSLATE(C83,""zh-tw"",""zh"")"),"喂食ASABA-""草莓""，可以获得BUFF")</f>
        <v>喂食ASABA-"草莓"，可以获得BUFF</v>
      </c>
      <c r="P83" s="55" t="str">
        <f>IFERROR(__xludf.DUMMYFUNCTION("GOOGLETRANSLATE(D83,""zh-tw"",""zh"")"),"获得BUFF")</f>
        <v>获得BUFF</v>
      </c>
      <c r="Q83" s="84" t="s">
        <v>3083</v>
      </c>
      <c r="R83" s="150" t="str">
        <f>IFERROR(__xludf.DUMMYFUNCTION("GOOGLETRANSLATE(B83,""zh-tw"",""es-MX"")"),"ASABA-3")</f>
        <v>ASABA-3</v>
      </c>
      <c r="S83" s="89" t="str">
        <f>IFERROR(__xludf.DUMMYFUNCTION("GOOGLETRANSLATE(C83,""zh-tw"",""es-MX"")"),"Alimentar a ASABA con ""Fresa"" te otorgará una mejora.")</f>
        <v>Alimentar a ASABA con "Fresa" te otorgará una mejora.</v>
      </c>
      <c r="T83" s="55" t="str">
        <f>IFERROR(__xludf.DUMMYFUNCTION("GOOGLETRANSLATE(D83,""zh-tw"",""es-MX"")"),"Consigue BUFF")</f>
        <v>Consigue BUFF</v>
      </c>
      <c r="U83" s="84" t="s">
        <v>3083</v>
      </c>
      <c r="V83" s="150" t="str">
        <f>IFERROR(__xludf.DUMMYFUNCTION("GOOGLETRANSLATE(B83,""zh-tw"",""KO"")"),"아사바-3")</f>
        <v>아사바-3</v>
      </c>
      <c r="W83" s="89" t="str">
        <f>IFERROR(__xludf.DUMMYFUNCTION("GOOGLETRANSLATE(C83,""zh-tw"",""KO"")"),"아사바에게 ""딸기""를 먹이면 버프를 얻을 수 있습니다.")</f>
        <v>아사바에게 "딸기"를 먹이면 버프를 얻을 수 있습니다.</v>
      </c>
      <c r="X83" s="55" t="str">
        <f>IFERROR(__xludf.DUMMYFUNCTION("GOOGLETRANSLATE(D83,""zh-tw"",""KO"")"),"버프를 받으세요")</f>
        <v>버프를 받으세요</v>
      </c>
      <c r="Y83" s="84" t="s">
        <v>3083</v>
      </c>
      <c r="Z83" s="149" t="str">
        <f>IFERROR(__xludf.DUMMYFUNCTION("GOOGLETRANSLATE(B83,""zh-tw"",""ru"")"),"АСАБА-3")</f>
        <v>АСАБА-3</v>
      </c>
      <c r="AA83" s="152" t="str">
        <f>IFERROR(__xludf.DUMMYFUNCTION("GOOGLETRANSLATE(C83,""zh-tw"",""RU"")"),"Если покормить ASABA «Клубникой», вы получите усиление.")</f>
        <v>Если покормить ASABA «Клубникой», вы получите усиление.</v>
      </c>
      <c r="AB83" s="44" t="str">
        <f>IFERROR(__xludf.DUMMYFUNCTION("GOOGLETRANSLATE(D83,""zh-tw"",""RU"")"),"Получите BUFF")</f>
        <v>Получите BUFF</v>
      </c>
      <c r="AC83" s="84" t="s">
        <v>3083</v>
      </c>
      <c r="AD83" s="149" t="str">
        <f>IFERROR(__xludf.DUMMYFUNCTION("GOOGLETRANSLATE(B83,""zh-tw"",""de"")"),"ASABA-3")</f>
        <v>ASABA-3</v>
      </c>
      <c r="AE83" s="159" t="str">
        <f>IFERROR(__xludf.DUMMYFUNCTION("GOOGLETRANSLATE(C83,""zh-tw"",""de"")"),"Wenn du ASABA mit ""Erdbeeren"" fütterst, erhältst du einen Buff.")</f>
        <v>Wenn du ASABA mit "Erdbeeren" fütterst, erhältst du einen Buff.</v>
      </c>
      <c r="AF83" s="163" t="s">
        <v>3092</v>
      </c>
      <c r="AG83" s="155" t="s">
        <v>3083</v>
      </c>
      <c r="AH83" s="156" t="s">
        <v>3089</v>
      </c>
      <c r="AI83" s="185" t="s">
        <v>3093</v>
      </c>
      <c r="AJ83" s="166" t="s">
        <v>3094</v>
      </c>
      <c r="AK83" s="122"/>
      <c r="AL83" s="122"/>
    </row>
    <row r="84">
      <c r="A84" s="84" t="s">
        <v>3095</v>
      </c>
      <c r="B84" s="149" t="s">
        <v>3096</v>
      </c>
      <c r="C84" s="95" t="s">
        <v>3097</v>
      </c>
      <c r="D84" s="52" t="s">
        <v>3098</v>
      </c>
      <c r="E84" s="84" t="s">
        <v>3095</v>
      </c>
      <c r="F84" s="149" t="s">
        <v>3099</v>
      </c>
      <c r="G84" s="159" t="str">
        <f>IFERROR(__xludf.DUMMYFUNCTION("GOOGLETRANSLATE(C84,""zh-tw"",""ja"")"),"通常のアサバを倒すと「アサバのイチゴ」が報酬としてもらえます。")</f>
        <v>通常のアサバを倒すと「アサバのイチゴ」が報酬としてもらえます。</v>
      </c>
      <c r="H84" s="52" t="s">
        <v>3100</v>
      </c>
      <c r="I84" s="84" t="s">
        <v>3095</v>
      </c>
      <c r="J84" s="149" t="s">
        <v>3101</v>
      </c>
      <c r="K84" s="159" t="s">
        <v>3102</v>
      </c>
      <c r="L84" s="163" t="s">
        <v>3103</v>
      </c>
      <c r="M84" s="84" t="s">
        <v>3095</v>
      </c>
      <c r="N84" s="149" t="str">
        <f>IFERROR(__xludf.DUMMYFUNCTION("GOOGLETRANSLATE(B84,""zh-tw"",""zh"")"),"ASABA-4")</f>
        <v>ASABA-4</v>
      </c>
      <c r="O84" s="89" t="str">
        <f>IFERROR(__xludf.DUMMYFUNCTION("GOOGLETRANSLATE(C84,""zh-tw"",""zh"")"),"将普通的ASABA击败后获得""ASABA的草莓""")</f>
        <v>将普通的ASABA击败后获得"ASABA的草莓"</v>
      </c>
      <c r="P84" s="55" t="str">
        <f>IFERROR(__xludf.DUMMYFUNCTION("GOOGLETRANSLATE(D84,""zh-tw"",""zh"")"),"获得ASABA的草莓")</f>
        <v>获得ASABA的草莓</v>
      </c>
      <c r="Q84" s="84" t="s">
        <v>3095</v>
      </c>
      <c r="R84" s="150" t="str">
        <f>IFERROR(__xludf.DUMMYFUNCTION("GOOGLETRANSLATE(B84,""zh-tw"",""es-MX"")"),"ASABA-4")</f>
        <v>ASABA-4</v>
      </c>
      <c r="S84" s="89" t="str">
        <f>IFERROR(__xludf.DUMMYFUNCTION("GOOGLETRANSLATE(C84,""zh-tw"",""es-MX"")"),"Derrotar al ASABA normal te recompensará con la ""Fresa de ASABA"".")</f>
        <v>Derrotar al ASABA normal te recompensará con la "Fresa de ASABA".</v>
      </c>
      <c r="T84" s="55" t="str">
        <f>IFERROR(__xludf.DUMMYFUNCTION("GOOGLETRANSLATE(D84,""zh-tw"",""es-MX"")"),"Fresas de ASABA")</f>
        <v>Fresas de ASABA</v>
      </c>
      <c r="U84" s="84" t="s">
        <v>3095</v>
      </c>
      <c r="V84" s="150" t="str">
        <f>IFERROR(__xludf.DUMMYFUNCTION("GOOGLETRANSLATE(B84,""zh-tw"",""KO"")"),"아사바-4")</f>
        <v>아사바-4</v>
      </c>
      <c r="W84" s="89" t="str">
        <f>IFERROR(__xludf.DUMMYFUNCTION("GOOGLETRANSLATE(C84,""zh-tw"",""KO"")"),"일반 ASABA를 물리치면 ""ASABA의 딸기""를 보상으로 얻을 수 있습니다.")</f>
        <v>일반 ASABA를 물리치면 "ASABA의 딸기"를 보상으로 얻을 수 있습니다.</v>
      </c>
      <c r="X84" s="55" t="str">
        <f>IFERROR(__xludf.DUMMYFUNCTION("GOOGLETRANSLATE(D84,""zh-tw"",""KO"")"),"ASABA의 딸기")</f>
        <v>ASABA의 딸기</v>
      </c>
      <c r="Y84" s="84" t="s">
        <v>3095</v>
      </c>
      <c r="Z84" s="149" t="str">
        <f>IFERROR(__xludf.DUMMYFUNCTION("GOOGLETRANSLATE(B84,""zh-tw"",""ru"")"),"АСАБА-4")</f>
        <v>АСАБА-4</v>
      </c>
      <c r="AA84" s="152" t="str">
        <f>IFERROR(__xludf.DUMMYFUNCTION("GOOGLETRANSLATE(C84,""zh-tw"",""RU"")"),"Победив обычного ASABA, вы получите награду «Клубника ASABA».")</f>
        <v>Победив обычного ASABA, вы получите награду «Клубника ASABA».</v>
      </c>
      <c r="AB84" s="44" t="str">
        <f>IFERROR(__xludf.DUMMYFUNCTION("GOOGLETRANSLATE(D84,""zh-tw"",""RU"")"),"Клубника из ASABA")</f>
        <v>Клубника из ASABA</v>
      </c>
      <c r="AC84" s="84" t="s">
        <v>3095</v>
      </c>
      <c r="AD84" s="149" t="str">
        <f>IFERROR(__xludf.DUMMYFUNCTION("GOOGLETRANSLATE(B84,""zh-tw"",""de"")"),"ASABA-4")</f>
        <v>ASABA-4</v>
      </c>
      <c r="AE84" s="159" t="str">
        <f>IFERROR(__xludf.DUMMYFUNCTION("GOOGLETRANSLATE(C84,""zh-tw"",""de"")"),"Wenn du den normalen ASABA besiegst, erhältst du als Belohnung ""ASABAs Erdbeere"".")</f>
        <v>Wenn du den normalen ASABA besiegst, erhältst du als Belohnung "ASABAs Erdbeere".</v>
      </c>
      <c r="AF84" s="163" t="s">
        <v>3104</v>
      </c>
      <c r="AG84" s="155" t="s">
        <v>3095</v>
      </c>
      <c r="AH84" s="156" t="s">
        <v>3101</v>
      </c>
      <c r="AI84" s="185" t="s">
        <v>3105</v>
      </c>
      <c r="AJ84" s="166" t="s">
        <v>3106</v>
      </c>
      <c r="AK84" s="122"/>
      <c r="AL84" s="122"/>
    </row>
    <row r="85">
      <c r="A85" s="84" t="s">
        <v>3107</v>
      </c>
      <c r="B85" s="149" t="s">
        <v>3108</v>
      </c>
      <c r="C85" s="95" t="s">
        <v>3109</v>
      </c>
      <c r="D85" s="52" t="s">
        <v>3110</v>
      </c>
      <c r="E85" s="84" t="s">
        <v>3107</v>
      </c>
      <c r="F85" s="149" t="s">
        <v>3111</v>
      </c>
      <c r="G85" s="159" t="s">
        <v>3112</v>
      </c>
      <c r="H85" s="52" t="s">
        <v>3113</v>
      </c>
      <c r="I85" s="84" t="s">
        <v>3107</v>
      </c>
      <c r="J85" s="149" t="s">
        <v>3114</v>
      </c>
      <c r="K85" s="159" t="s">
        <v>3115</v>
      </c>
      <c r="L85" s="163" t="s">
        <v>3116</v>
      </c>
      <c r="M85" s="84" t="s">
        <v>3107</v>
      </c>
      <c r="N85" s="149" t="str">
        <f>IFERROR(__xludf.DUMMYFUNCTION("GOOGLETRANSLATE(B85,""zh-tw"",""zh"")"),"ASABA-5")</f>
        <v>ASABA-5</v>
      </c>
      <c r="O85" s="89" t="str">
        <f>IFERROR(__xludf.DUMMYFUNCTION("GOOGLETRANSLATE(C85,""zh-tw"",""zh"")"),"喂食ASABA-""ASABA的草莓""，可以进入BOSS战斗")</f>
        <v>喂食ASABA-"ASABA的草莓"，可以进入BOSS战斗</v>
      </c>
      <c r="P85" s="55" t="str">
        <f>IFERROR(__xludf.DUMMYFUNCTION("GOOGLETRANSLATE(D85,""zh-tw"",""zh"")"),"击败后获得""ASABA的草莓""")</f>
        <v>击败后获得"ASABA的草莓"</v>
      </c>
      <c r="Q85" s="84" t="s">
        <v>3107</v>
      </c>
      <c r="R85" s="150" t="str">
        <f>IFERROR(__xludf.DUMMYFUNCTION("GOOGLETRANSLATE(B85,""zh-tw"",""es-MX"")"),"ASABA-5")</f>
        <v>ASABA-5</v>
      </c>
      <c r="S85" s="89" t="str">
        <f>IFERROR(__xludf.DUMMYFUNCTION("GOOGLETRANSLATE(C85,""zh-tw"",""es-MX"")"),"Alimentar a ASABA con ""La fresa de ASABA"" iniciará una batalla contra un JEFE.")</f>
        <v>Alimentar a ASABA con "La fresa de ASABA" iniciará una batalla contra un JEFE.</v>
      </c>
      <c r="T85" s="55" t="str">
        <f>IFERROR(__xludf.DUMMYFUNCTION("GOOGLETRANSLATE(D85,""zh-tw"",""es-MX"")"),"Derrotar al enemigo te recompensará con ""La fresa de ASABA"".")</f>
        <v>Derrotar al enemigo te recompensará con "La fresa de ASABA".</v>
      </c>
      <c r="U85" s="84" t="s">
        <v>3107</v>
      </c>
      <c r="V85" s="150" t="str">
        <f>IFERROR(__xludf.DUMMYFUNCTION("GOOGLETRANSLATE(B85,""zh-tw"",""KO"")"),"아사바-5")</f>
        <v>아사바-5</v>
      </c>
      <c r="W85" s="89" t="str">
        <f>IFERROR(__xludf.DUMMYFUNCTION("GOOGLETRANSLATE(C85,""zh-tw"",""KO"")"),"ASABA에게 ""ASABA의 딸기""를 먹이면 BOSS 전투가 시작됩니다.")</f>
        <v>ASABA에게 "ASABA의 딸기"를 먹이면 BOSS 전투가 시작됩니다.</v>
      </c>
      <c r="X85" s="55" t="str">
        <f>IFERROR(__xludf.DUMMYFUNCTION("GOOGLETRANSLATE(D85,""zh-tw"",""KO"")"),"적을 물리치면 ""아사바의 딸기""를 보상으로 얻을 수 있습니다.")</f>
        <v>적을 물리치면 "아사바의 딸기"를 보상으로 얻을 수 있습니다.</v>
      </c>
      <c r="Y85" s="84" t="s">
        <v>3107</v>
      </c>
      <c r="Z85" s="149" t="str">
        <f>IFERROR(__xludf.DUMMYFUNCTION("GOOGLETRANSLATE(B85,""zh-tw"",""ru"")"),"АСАБА-5")</f>
        <v>АСАБА-5</v>
      </c>
      <c r="AA85" s="152" t="str">
        <f>IFERROR(__xludf.DUMMYFUNCTION("GOOGLETRANSLATE(C85,""zh-tw"",""RU"")"),"Если покормить ASABA «Клубникой ASABA», начнется битва с БОССОМ.")</f>
        <v>Если покормить ASABA «Клубникой ASABA», начнется битва с БОССОМ.</v>
      </c>
      <c r="AB85" s="44" t="str">
        <f>IFERROR(__xludf.DUMMYFUNCTION("GOOGLETRANSLATE(D85,""zh-tw"",""RU"")"),"Победив врага, вы получите награду «Клубника ASABA».")</f>
        <v>Победив врага, вы получите награду «Клубника ASABA».</v>
      </c>
      <c r="AC85" s="84" t="s">
        <v>3107</v>
      </c>
      <c r="AD85" s="149" t="str">
        <f>IFERROR(__xludf.DUMMYFUNCTION("GOOGLETRANSLATE(B85,""zh-tw"",""de"")"),"ASABA-5")</f>
        <v>ASABA-5</v>
      </c>
      <c r="AE85" s="159" t="str">
        <f>IFERROR(__xludf.DUMMYFUNCTION("GOOGLETRANSLATE(C85,""zh-tw"",""de"")"),"Wenn man ASABA mit „ASABAs Erdbeere“ füttert, wird ein Bosskampf ausgelöst.")</f>
        <v>Wenn man ASABA mit „ASABAs Erdbeere“ füttert, wird ein Bosskampf ausgelöst.</v>
      </c>
      <c r="AF85" s="163" t="s">
        <v>3117</v>
      </c>
      <c r="AG85" s="155" t="s">
        <v>3107</v>
      </c>
      <c r="AH85" s="156" t="s">
        <v>3114</v>
      </c>
      <c r="AI85" s="185" t="s">
        <v>3118</v>
      </c>
      <c r="AJ85" s="166" t="s">
        <v>3119</v>
      </c>
      <c r="AK85" s="122"/>
      <c r="AL85" s="122"/>
    </row>
    <row r="86">
      <c r="A86" s="84" t="s">
        <v>3120</v>
      </c>
      <c r="B86" s="149" t="s">
        <v>3121</v>
      </c>
      <c r="C86" s="95" t="s">
        <v>3122</v>
      </c>
      <c r="D86" s="52" t="s">
        <v>3123</v>
      </c>
      <c r="E86" s="84" t="s">
        <v>3120</v>
      </c>
      <c r="F86" s="149" t="s">
        <v>3124</v>
      </c>
      <c r="G86" s="159" t="s">
        <v>3125</v>
      </c>
      <c r="H86" s="52" t="str">
        <f>IFERROR(__xludf.DUMMYFUNCTION("GOOGLETRANSLATE(D86,""zh-tw"",""ja"")"),"装備「イチゴを取り戻せ！！」を入手
（コマンドはスキルバーで確認できます）")</f>
        <v>装備「イチゴを取り戻せ！！」を入手
（コマンドはスキルバーで確認できます）</v>
      </c>
      <c r="I86" s="84" t="s">
        <v>3120</v>
      </c>
      <c r="J86" s="149" t="s">
        <v>3126</v>
      </c>
      <c r="K86" s="159" t="s">
        <v>3127</v>
      </c>
      <c r="L86" s="163" t="s">
        <v>3128</v>
      </c>
      <c r="M86" s="84" t="s">
        <v>3120</v>
      </c>
      <c r="N86" s="149" t="str">
        <f>IFERROR(__xludf.DUMMYFUNCTION("GOOGLETRANSLATE(B86,""zh-tw"",""zh"")"),"ASABA-6")</f>
        <v>ASABA-6</v>
      </c>
      <c r="O86" s="89" t="str">
        <f>IFERROR(__xludf.DUMMYFUNCTION("GOOGLETRANSLATE(C86,""zh-tw"",""zh"")"),"同上，期间被BOSS的必杀技命中越多次，会越来越有机会获得特殊掉落")</f>
        <v>同上，期间被BOSS的必杀技命中越多次，会越来越有机会获得特殊掉落</v>
      </c>
      <c r="P86" s="55" t="str">
        <f>IFERROR(__xludf.DUMMYFUNCTION("GOOGLETRANSLATE(D86,""zh-tw"",""zh"")"),"获得装备""把草莓夺回来！!""
(指令请看技能栏位)")</f>
        <v>获得装备"把草莓夺回来！!"
(指令请看技能栏位)</v>
      </c>
      <c r="Q86" s="84" t="s">
        <v>3120</v>
      </c>
      <c r="R86" s="150" t="str">
        <f>IFERROR(__xludf.DUMMYFUNCTION("GOOGLETRANSLATE(B86,""zh-tw"",""es-MX"")"),"ASABA-6")</f>
        <v>ASABA-6</v>
      </c>
      <c r="S86" s="89" t="str">
        <f>IFERROR(__xludf.DUMMYFUNCTION("GOOGLETRANSLATE(C86,""zh-tw"",""es-MX"")"),"Del mismo modo, cuantas más veces te golpee el ataque definitivo del JEFE, mayor será tu probabilidad de obtener objetos especiales.")</f>
        <v>Del mismo modo, cuantas más veces te golpee el ataque definitivo del JEFE, mayor será tu probabilidad de obtener objetos especiales.</v>
      </c>
      <c r="T86" s="55" t="str">
        <f>IFERROR(__xludf.DUMMYFUNCTION("GOOGLETRANSLATE(D86,""zh-tw"",""es-MX"")"),"Obtén el equipo ""¡Recupera las fresas!""
(Consulta la barra de habilidades para ver los comandos)")</f>
        <v>Obtén el equipo "¡Recupera las fresas!"
(Consulta la barra de habilidades para ver los comandos)</v>
      </c>
      <c r="U86" s="84" t="s">
        <v>3120</v>
      </c>
      <c r="V86" s="150" t="str">
        <f>IFERROR(__xludf.DUMMYFUNCTION("GOOGLETRANSLATE(B86,""zh-tw"",""KO"")"),"아사바-6")</f>
        <v>아사바-6</v>
      </c>
      <c r="W86" s="89" t="str">
        <f>IFERROR(__xludf.DUMMYFUNCTION("GOOGLETRANSLATE(C86,""zh-tw"",""KO"")"),"마찬가지로, BOSS의 궁극기에 자주 맞을수록 특별한 아이템을 획득할 확률이 커집니다.")</f>
        <v>마찬가지로, BOSS의 궁극기에 자주 맞을수록 특별한 아이템을 획득할 확률이 커집니다.</v>
      </c>
      <c r="X86" s="55" t="str">
        <f>IFERROR(__xludf.DUMMYFUNCTION("GOOGLETRANSLATE(D86,""zh-tw"",""KO"")"),"""딸기를 되찾아라!!"" 장비를 획득하세요.
(명령어는 스킬 바를 참조하세요)")</f>
        <v>"딸기를 되찾아라!!" 장비를 획득하세요.
(명령어는 스킬 바를 참조하세요)</v>
      </c>
      <c r="Y86" s="84" t="s">
        <v>3120</v>
      </c>
      <c r="Z86" s="149" t="str">
        <f>IFERROR(__xludf.DUMMYFUNCTION("GOOGLETRANSLATE(B86,""zh-tw"",""ru"")"),"АСАБА-6")</f>
        <v>АСАБА-6</v>
      </c>
      <c r="AA86" s="152" t="str">
        <f>IFERROR(__xludf.DUMMYFUNCTION("GOOGLETRANSLATE(C86,""zh-tw"",""RU"")"),"Аналогично, чем больше раз вы попадете под сильнейшую атаку БОССА, тем больше у вас шансов получить особые предметы.")</f>
        <v>Аналогично, чем больше раз вы попадете под сильнейшую атаку БОССА, тем больше у вас шансов получить особые предметы.</v>
      </c>
      <c r="AB86" s="44" t="str">
        <f>IFERROR(__xludf.DUMMYFUNCTION("GOOGLETRANSLATE(D86,""zh-tw"",""RU"")"),"Получите снаряжение «Верни клубнику!!»
(Команды см. на панели навыков)")</f>
        <v>Получите снаряжение «Верни клубнику!!»
(Команды см. на панели навыков)</v>
      </c>
      <c r="AC86" s="84" t="s">
        <v>3120</v>
      </c>
      <c r="AD86" s="149" t="str">
        <f>IFERROR(__xludf.DUMMYFUNCTION("GOOGLETRANSLATE(B86,""zh-tw"",""de"")"),"ASABA-6")</f>
        <v>ASABA-6</v>
      </c>
      <c r="AE86" s="159" t="str">
        <f>IFERROR(__xludf.DUMMYFUNCTION("GOOGLETRANSLATE(C86,""zh-tw"",""de"")"),"Genauso verhält es sich mit der ultimativen Attacke des BOSS: Je öfter man von ihr getroffen wird, desto größer ist die Chance, besondere Beute zu erhalten.")</f>
        <v>Genauso verhält es sich mit der ultimativen Attacke des BOSS: Je öfter man von ihr getroffen wird, desto größer ist die Chance, besondere Beute zu erhalten.</v>
      </c>
      <c r="AF86" s="163" t="str">
        <f>IFERROR(__xludf.DUMMYFUNCTION("GOOGLETRANSLATE(D86,""zh-tw"",""de"")"),"Hol dir die Ausrüstung „Erdbeeren zurückerobern!!“
(Befehle siehe Fertigkeitsleiste)")</f>
        <v>Hol dir die Ausrüstung „Erdbeeren zurückerobern!!“
(Befehle siehe Fertigkeitsleiste)</v>
      </c>
      <c r="AG86" s="155" t="s">
        <v>3120</v>
      </c>
      <c r="AH86" s="156" t="s">
        <v>3126</v>
      </c>
      <c r="AI86" s="185" t="s">
        <v>3129</v>
      </c>
      <c r="AJ86" s="166" t="s">
        <v>3130</v>
      </c>
      <c r="AK86" s="122"/>
      <c r="AL86" s="122"/>
    </row>
    <row r="87">
      <c r="A87" s="84" t="s">
        <v>3131</v>
      </c>
      <c r="B87" s="149" t="s">
        <v>3132</v>
      </c>
      <c r="C87" s="95" t="s">
        <v>3133</v>
      </c>
      <c r="D87" s="52" t="s">
        <v>3134</v>
      </c>
      <c r="E87" s="84" t="s">
        <v>3131</v>
      </c>
      <c r="F87" s="149" t="s">
        <v>3132</v>
      </c>
      <c r="G87" s="179" t="s">
        <v>3135</v>
      </c>
      <c r="H87" s="180" t="s">
        <v>3136</v>
      </c>
      <c r="I87" s="84" t="s">
        <v>3131</v>
      </c>
      <c r="J87" s="149" t="s">
        <v>3132</v>
      </c>
      <c r="K87" s="95" t="s">
        <v>3137</v>
      </c>
      <c r="L87" s="52" t="s">
        <v>3138</v>
      </c>
      <c r="M87" s="84" t="s">
        <v>3131</v>
      </c>
      <c r="N87" s="149" t="str">
        <f>IFERROR(__xludf.DUMMYFUNCTION("GOOGLETRANSLATE(B87,""zh-tw"",""zh"")"),"◉▽◉?")</f>
        <v>◉▽◉?</v>
      </c>
      <c r="O87" s="89" t="str">
        <f>IFERROR(__xludf.DUMMYFUNCTION("GOOGLETRANSLATE(C87,""zh-tw"",""zh"")"),"炸鱼时，可能会出现该小怪")</f>
        <v>炸鱼时，可能会出现该小怪</v>
      </c>
      <c r="P87" s="55" t="str">
        <f>IFERROR(__xludf.DUMMYFUNCTION("GOOGLETRANSLATE(D87,""zh-tw"",""zh"")"),"萨卡班甲鱼(小)
击杀掉落：◉▽◉(蓝色)")</f>
        <v>萨卡班甲鱼(小)
击杀掉落：◉▽◉(蓝色)</v>
      </c>
      <c r="Q87" s="84" t="s">
        <v>3131</v>
      </c>
      <c r="R87" s="150" t="str">
        <f>IFERROR(__xludf.DUMMYFUNCTION("GOOGLETRANSLATE(B87,""zh-tw"",""es-MX"")"),"◉▽◉?")</f>
        <v>◉▽◉?</v>
      </c>
      <c r="S87" s="89" t="str">
        <f>IFERROR(__xludf.DUMMYFUNCTION("GOOGLETRANSLATE(C87,""zh-tw"",""es-MX"")"),"Este pequeño monstruo podría aparecer cuando estés friendo pescado.")</f>
        <v>Este pequeño monstruo podría aparecer cuando estés friendo pescado.</v>
      </c>
      <c r="T87" s="55" t="str">
        <f>IFERROR(__xludf.DUMMYFUNCTION("GOOGLETRANSLATE(D87,""zh-tw"",""es-MX"")"),"Tortuga Sakaban (Pequeña) - Objeto que suelta al ser derrotada: ◉▽◉ (Azul)")</f>
        <v>Tortuga Sakaban (Pequeña) - Objeto que suelta al ser derrotada: ◉▽◉ (Azul)</v>
      </c>
      <c r="U87" s="84" t="s">
        <v>3131</v>
      </c>
      <c r="V87" s="150" t="str">
        <f>IFERROR(__xludf.DUMMYFUNCTION("GOOGLETRANSLATE(B87,""zh-tw"",""KO"")"),"◉▽◉?")</f>
        <v>◉▽◉?</v>
      </c>
      <c r="W87" s="89" t="str">
        <f>IFERROR(__xludf.DUMMYFUNCTION("GOOGLETRANSLATE(C87,""zh-tw"",""KO"")"),"이 작은 괴물은 생선을 튀길 때 나타날 수도 있습니다.")</f>
        <v>이 작은 괴물은 생선을 튀길 때 나타날 수도 있습니다.</v>
      </c>
      <c r="X87" s="55" t="str">
        <f>IFERROR(__xludf.DUMMYFUNCTION("GOOGLETRANSLATE(D87,""zh-tw"",""KO"")"),"사카반 거북이(소) - 패배 시 획득: ◉▽◉ (파란색)")</f>
        <v>사카반 거북이(소) - 패배 시 획득: ◉▽◉ (파란색)</v>
      </c>
      <c r="Y87" s="84" t="s">
        <v>3131</v>
      </c>
      <c r="Z87" s="149" t="str">
        <f>IFERROR(__xludf.DUMMYFUNCTION("GOOGLETRANSLATE(B87,""zh-tw"",""ru"")"),"◉▽◉?")</f>
        <v>◉▽◉?</v>
      </c>
      <c r="AA87" s="152" t="str">
        <f>IFERROR(__xludf.DUMMYFUNCTION("GOOGLETRANSLATE(C87,""zh-tw"",""RU"")"),"Этот маленький монстр может появиться, когда вы жарите рыбу.")</f>
        <v>Этот маленький монстр может появиться, когда вы жарите рыбу.</v>
      </c>
      <c r="AB87" s="44" t="str">
        <f>IFERROR(__xludf.DUMMYFUNCTION("GOOGLETRANSLATE(D87,""zh-tw"",""RU"")"),"Черепаха Сакабан (маленькая) — выпадает после поражения: ◉▽◉ (синяя)")</f>
        <v>Черепаха Сакабан (маленькая) — выпадает после поражения: ◉▽◉ (синяя)</v>
      </c>
      <c r="AC87" s="84" t="s">
        <v>3131</v>
      </c>
      <c r="AD87" s="149" t="str">
        <f>IFERROR(__xludf.DUMMYFUNCTION("GOOGLETRANSLATE(B87,""zh-tw"",""de"")"),"◉▽◉?")</f>
        <v>◉▽◉?</v>
      </c>
      <c r="AE87" s="159" t="str">
        <f>IFERROR(__xludf.DUMMYFUNCTION("GOOGLETRANSLATE(C87,""zh-tw"",""de"")"),"Dieses kleine Monster könnte auftauchen, wenn man gerade Fisch brät.")</f>
        <v>Dieses kleine Monster könnte auftauchen, wenn man gerade Fisch brät.</v>
      </c>
      <c r="AF87" s="163" t="str">
        <f>IFERROR(__xludf.DUMMYFUNCTION("GOOGLETRANSLATE(D87,""zh-tw"",""de"")"),"Sakaban-Schildkröte (Klein) - Beute nach Niederlage: ◉▽◉ (Blau)")</f>
        <v>Sakaban-Schildkröte (Klein) - Beute nach Niederlage: ◉▽◉ (Blau)</v>
      </c>
      <c r="AG87" s="155" t="s">
        <v>3131</v>
      </c>
      <c r="AH87" s="156" t="s">
        <v>3132</v>
      </c>
      <c r="AI87" s="157" t="s">
        <v>3139</v>
      </c>
      <c r="AJ87" s="166" t="s">
        <v>3140</v>
      </c>
      <c r="AK87" s="122"/>
      <c r="AL87" s="122"/>
    </row>
    <row r="88">
      <c r="A88" s="84" t="s">
        <v>3141</v>
      </c>
      <c r="B88" s="149" t="s">
        <v>3142</v>
      </c>
      <c r="C88" s="95" t="s">
        <v>3143</v>
      </c>
      <c r="D88" s="52" t="s">
        <v>3144</v>
      </c>
      <c r="E88" s="84" t="s">
        <v>3141</v>
      </c>
      <c r="F88" s="149" t="s">
        <v>3142</v>
      </c>
      <c r="G88" s="179" t="s">
        <v>3145</v>
      </c>
      <c r="H88" s="180" t="s">
        <v>3146</v>
      </c>
      <c r="I88" s="84" t="s">
        <v>3141</v>
      </c>
      <c r="J88" s="149" t="s">
        <v>3142</v>
      </c>
      <c r="K88" s="95" t="s">
        <v>3147</v>
      </c>
      <c r="L88" s="52" t="s">
        <v>3148</v>
      </c>
      <c r="M88" s="84" t="s">
        <v>3141</v>
      </c>
      <c r="N88" s="149" t="str">
        <f>IFERROR(__xludf.DUMMYFUNCTION("GOOGLETRANSLATE(B88,""zh-tw"",""zh"")"),"◉▽◉!?")</f>
        <v>◉▽◉!?</v>
      </c>
      <c r="O88" s="89" t="str">
        <f>IFERROR(__xludf.DUMMYFUNCTION("GOOGLETRANSLATE(C88,""zh-tw"",""zh"")"),"炸鱼时，较低机率可能会出现该小怪")</f>
        <v>炸鱼时，较低机率可能会出现该小怪</v>
      </c>
      <c r="P88" s="55" t="str">
        <f>IFERROR(__xludf.DUMMYFUNCTION("GOOGLETRANSLATE(D88,""zh-tw"",""zh"")"),"萨卡班甲鱼(大)
击杀掉落：◉▽◉(紫色)")</f>
        <v>萨卡班甲鱼(大)
击杀掉落：◉▽◉(紫色)</v>
      </c>
      <c r="Q88" s="84" t="s">
        <v>3141</v>
      </c>
      <c r="R88" s="150" t="str">
        <f>IFERROR(__xludf.DUMMYFUNCTION("GOOGLETRANSLATE(B88,""zh-tw"",""es-MX"")"),"◉▽◉!?")</f>
        <v>◉▽◉!?</v>
      </c>
      <c r="S88" s="89" t="str">
        <f>IFERROR(__xludf.DUMMYFUNCTION("GOOGLETRANSLATE(C88,""zh-tw"",""es-MX"")"),"Este monstruo puede aparecer con una baja probabilidad al freír pescado.")</f>
        <v>Este monstruo puede aparecer con una baja probabilidad al freír pescado.</v>
      </c>
      <c r="T88" s="55" t="str">
        <f>IFERROR(__xludf.DUMMYFUNCTION("GOOGLETRANSLATE(D88,""zh-tw"",""es-MX"")"),"Tortuga Sakaban (Grande) - Objeto que suelta al ser derrotada: ◉▽◉ (Morado)")</f>
        <v>Tortuga Sakaban (Grande) - Objeto que suelta al ser derrotada: ◉▽◉ (Morado)</v>
      </c>
      <c r="U88" s="84" t="s">
        <v>3141</v>
      </c>
      <c r="V88" s="150" t="str">
        <f>IFERROR(__xludf.DUMMYFUNCTION("GOOGLETRANSLATE(B88,""zh-tw"",""KO"")"),"◉▽◉!?")</f>
        <v>◉▽◉!?</v>
      </c>
      <c r="W88" s="89" t="str">
        <f>IFERROR(__xludf.DUMMYFUNCTION("GOOGLETRANSLATE(C88,""zh-tw"",""KO"")"),"이 괴물은 생선을 튀길 때 낮은 확률로 나타날 수 있습니다.")</f>
        <v>이 괴물은 생선을 튀길 때 낮은 확률로 나타날 수 있습니다.</v>
      </c>
      <c r="X88" s="55" t="str">
        <f>IFERROR(__xludf.DUMMYFUNCTION("GOOGLETRANSLATE(D88,""zh-tw"",""KO"")"),"사카반 거북이(대형) - 패배 시 획득: ◉▽◉ (보라색)")</f>
        <v>사카반 거북이(대형) - 패배 시 획득: ◉▽◉ (보라색)</v>
      </c>
      <c r="Y88" s="84" t="s">
        <v>3141</v>
      </c>
      <c r="Z88" s="149" t="str">
        <f>IFERROR(__xludf.DUMMYFUNCTION("GOOGLETRANSLATE(B88,""zh-tw"",""ru"")"),"◉▽◉!?")</f>
        <v>◉▽◉!?</v>
      </c>
      <c r="AA88" s="152" t="str">
        <f>IFERROR(__xludf.DUMMYFUNCTION("GOOGLETRANSLATE(C88,""zh-tw"",""RU"")"),"Этот монстр может появиться с небольшой вероятностью при жарке рыбы.")</f>
        <v>Этот монстр может появиться с небольшой вероятностью при жарке рыбы.</v>
      </c>
      <c r="AB88" s="44" t="str">
        <f>IFERROR(__xludf.DUMMYFUNCTION("GOOGLETRANSLATE(D88,""zh-tw"",""RU"")"),"Черепаха Сакабан (Большая) — Выпадает после поражения: ◉▽◉ (Фиолетовая)")</f>
        <v>Черепаха Сакабан (Большая) — Выпадает после поражения: ◉▽◉ (Фиолетовая)</v>
      </c>
      <c r="AC88" s="84" t="s">
        <v>3141</v>
      </c>
      <c r="AD88" s="149" t="str">
        <f>IFERROR(__xludf.DUMMYFUNCTION("GOOGLETRANSLATE(B88,""zh-tw"",""de"")"),"◉▽◉!?")</f>
        <v>◉▽◉!?</v>
      </c>
      <c r="AE88" s="159" t="str">
        <f>IFERROR(__xludf.DUMMYFUNCTION("GOOGLETRANSLATE(C88,""zh-tw"",""de"")"),"Dieses Monster kann mit geringer Wahrscheinlichkeit beim Braten von Fisch erscheinen.")</f>
        <v>Dieses Monster kann mit geringer Wahrscheinlichkeit beim Braten von Fisch erscheinen.</v>
      </c>
      <c r="AF88" s="163" t="str">
        <f>IFERROR(__xludf.DUMMYFUNCTION("GOOGLETRANSLATE(D88,""zh-tw"",""de"")"),"Sakaban-Schildkröte (Groß) – Beute nach Niederlage: ◉▽◉ (Lila)")</f>
        <v>Sakaban-Schildkröte (Groß) – Beute nach Niederlage: ◉▽◉ (Lila)</v>
      </c>
      <c r="AG88" s="155" t="s">
        <v>3141</v>
      </c>
      <c r="AH88" s="156" t="s">
        <v>3142</v>
      </c>
      <c r="AI88" s="157" t="s">
        <v>3149</v>
      </c>
      <c r="AJ88" s="166" t="s">
        <v>3150</v>
      </c>
      <c r="AK88" s="122"/>
      <c r="AL88" s="122"/>
    </row>
    <row r="89">
      <c r="A89" s="84" t="s">
        <v>3151</v>
      </c>
      <c r="B89" s="149" t="s">
        <v>3152</v>
      </c>
      <c r="C89" s="95" t="s">
        <v>3153</v>
      </c>
      <c r="D89" s="52" t="s">
        <v>3154</v>
      </c>
      <c r="E89" s="84" t="s">
        <v>3151</v>
      </c>
      <c r="F89" s="149" t="s">
        <v>3152</v>
      </c>
      <c r="G89" s="179" t="s">
        <v>3155</v>
      </c>
      <c r="H89" s="180" t="s">
        <v>3156</v>
      </c>
      <c r="I89" s="84" t="s">
        <v>3151</v>
      </c>
      <c r="J89" s="149" t="s">
        <v>3152</v>
      </c>
      <c r="K89" s="95" t="s">
        <v>3157</v>
      </c>
      <c r="L89" s="52" t="s">
        <v>3158</v>
      </c>
      <c r="M89" s="84" t="s">
        <v>3151</v>
      </c>
      <c r="N89" s="149" t="str">
        <f>IFERROR(__xludf.DUMMYFUNCTION("GOOGLETRANSLATE(B89,""zh-tw"",""zh"")"),"♔
◉▽◉")</f>
        <v>♔
◉▽◉</v>
      </c>
      <c r="O89" s="89" t="str">
        <f>IFERROR(__xludf.DUMMYFUNCTION("GOOGLETRANSLATE(C89,""zh-tw"",""zh"")"),"当稀有机率足够，且符合地形条件时，可能召唤出BOSS
(详细说明于TIPS中)")</f>
        <v>当稀有机率足够，且符合地形条件时，可能召唤出BOSS
(详细说明于TIPS中)</v>
      </c>
      <c r="P89" s="55" t="str">
        <f>IFERROR(__xludf.DUMMYFUNCTION("GOOGLETRANSLATE(D89,""zh-tw"",""zh"")"),"召唤BOSS：
应该已经灭绝的河之主!?(甲鱼王)
击杀掉落：王权之令、◉▽◉(粉色)")</f>
        <v>召唤BOSS：
应该已经灭绝的河之主!?(甲鱼王)
击杀掉落：王权之令、◉▽◉(粉色)</v>
      </c>
      <c r="Q89" s="84" t="s">
        <v>3151</v>
      </c>
      <c r="R89" s="150" t="str">
        <f>IFERROR(__xludf.DUMMYFUNCTION("GOOGLETRANSLATE(B89,""zh-tw"",""es-MX"")"),"♔
◉▽◉")</f>
        <v>♔
◉▽◉</v>
      </c>
      <c r="S89" s="89" t="str">
        <f>IFERROR(__xludf.DUMMYFUNCTION("GOOGLETRANSLATE(C89,""zh-tw"",""es-MX"")"),"Cuando la probabilidad es baja y se dan las condiciones del terreno adecuadas, puede aparecer un JEFE.
(Explicación detallada en los CONSEJOS)")</f>
        <v>Cuando la probabilidad es baja y se dan las condiciones del terreno adecuadas, puede aparecer un JEFE.
(Explicación detallada en los CONSEJOS)</v>
      </c>
      <c r="T89" s="55" t="str">
        <f>IFERROR(__xludf.DUMMYFUNCTION("GOOGLETRANSLATE(D89,""zh-tw"",""es-MX"")"),"Jefe invocado: ¡¿El Señor del Río, que debería estar extinto?! (Rey Tortuga)
Botín al derrotarlo: Decreto Real, ◉▽◉ (Rosa)")</f>
        <v>Jefe invocado: ¡¿El Señor del Río, que debería estar extinto?! (Rey Tortuga)
Botín al derrotarlo: Decreto Real, ◉▽◉ (Rosa)</v>
      </c>
      <c r="U89" s="84" t="s">
        <v>3151</v>
      </c>
      <c r="V89" s="150" t="str">
        <f>IFERROR(__xludf.DUMMYFUNCTION("GOOGLETRANSLATE(B89,""zh-tw"",""KO"")"),"♔
◉▽◉")</f>
        <v>♔
◉▽◉</v>
      </c>
      <c r="W89" s="89" t="str">
        <f>IFERROR(__xludf.DUMMYFUNCTION("GOOGLETRANSLATE(C89,""zh-tw"",""KO"")"),"희귀 확률이 충분하고 지형 조건이 충족되면 보스가 소환될 수 있습니다.
(자세한 설명은 팁에 있습니다)")</f>
        <v>희귀 확률이 충분하고 지형 조건이 충족되면 보스가 소환될 수 있습니다.
(자세한 설명은 팁에 있습니다)</v>
      </c>
      <c r="X89" s="55" t="str">
        <f>IFERROR(__xludf.DUMMYFUNCTION("GOOGLETRANSLATE(D89,""zh-tw"",""KO"")"),"소환 보스: 강 군주, 멸종되어야 할 자!? (거북이 왕)
패배 시 획득: 왕의 칙령, ◉▽◉ (분홍색)")</f>
        <v>소환 보스: 강 군주, 멸종되어야 할 자!? (거북이 왕)
패배 시 획득: 왕의 칙령, ◉▽◉ (분홍색)</v>
      </c>
      <c r="Y89" s="84" t="s">
        <v>3151</v>
      </c>
      <c r="Z89" s="149" t="str">
        <f>IFERROR(__xludf.DUMMYFUNCTION("GOOGLETRANSLATE(B89,""zh-tw"",""ru"")"),"♔
◉▽◉")</f>
        <v>♔
◉▽◉</v>
      </c>
      <c r="AA89" s="152" t="str">
        <f>IFERROR(__xludf.DUMMYFUNCTION("GOOGLETRANSLATE(C89,""zh-tw"",""RU"")"),"При достаточной редкой возможности и соблюдении условий местности может быть вызван БОСС.
(Подробное объяснение в СОВЕТАХ)")</f>
        <v>При достаточной редкой возможности и соблюдении условий местности может быть вызван БОСС.
(Подробное объяснение в СОВЕТАХ)</v>
      </c>
      <c r="AB89" s="44" t="str">
        <f>IFERROR(__xludf.DUMMYFUNCTION("GOOGLETRANSLATE(D89,""zh-tw"",""RU"")"),"Призыв босса: Речной Лорд, которому пора исчезнуть!? (Король Черепах)
Добыча после поражения: Королевский указ, ◉▽◉ (Розовый)")</f>
        <v>Призыв босса: Речной Лорд, которому пора исчезнуть!? (Король Черепах)
Добыча после поражения: Королевский указ, ◉▽◉ (Розовый)</v>
      </c>
      <c r="AC89" s="84" t="s">
        <v>3151</v>
      </c>
      <c r="AD89" s="149" t="str">
        <f>IFERROR(__xludf.DUMMYFUNCTION("GOOGLETRANSLATE(B89,""zh-tw"",""de"")"),"♔
◉▽◉")</f>
        <v>♔
◉▽◉</v>
      </c>
      <c r="AE89" s="159" t="str">
        <f>IFERROR(__xludf.DUMMYFUNCTION("GOOGLETRANSLATE(C89,""zh-tw"",""de"")"),"Wenn die seltene Chance groß genug ist und die Geländebedingungen erfüllt sind, kann ein Boss beschworen werden.
(Detaillierte Erklärung in den Tipps)")</f>
        <v>Wenn die seltene Chance groß genug ist und die Geländebedingungen erfüllt sind, kann ein Boss beschworen werden.
(Detaillierte Erklärung in den Tipps)</v>
      </c>
      <c r="AF89" s="163" t="str">
        <f>IFERROR(__xludf.DUMMYFUNCTION("GOOGLETRANSLATE(D89,""zh-tw"",""de"")"),"Beschwörungsboss: Der Flusskönig, der doch ausgestorben sein sollte!? (Schildkrötenkönig)
Beute nach dem Sieg: Königlicher Erlass, ◉▽◉ (Pink)")</f>
        <v>Beschwörungsboss: Der Flusskönig, der doch ausgestorben sein sollte!? (Schildkrötenkönig)
Beute nach dem Sieg: Königlicher Erlass, ◉▽◉ (Pink)</v>
      </c>
      <c r="AG89" s="155" t="s">
        <v>3151</v>
      </c>
      <c r="AH89" s="156" t="s">
        <v>3152</v>
      </c>
      <c r="AI89" s="157" t="s">
        <v>3159</v>
      </c>
      <c r="AJ89" s="186" t="s">
        <v>3160</v>
      </c>
      <c r="AK89" s="122"/>
      <c r="AL89" s="122"/>
    </row>
    <row r="90">
      <c r="A90" s="84" t="s">
        <v>3161</v>
      </c>
      <c r="B90" s="149" t="s">
        <v>3162</v>
      </c>
      <c r="C90" s="95" t="s">
        <v>3163</v>
      </c>
      <c r="D90" s="52" t="s">
        <v>3164</v>
      </c>
      <c r="E90" s="84" t="s">
        <v>3161</v>
      </c>
      <c r="F90" s="149" t="s">
        <v>3165</v>
      </c>
      <c r="G90" s="179" t="s">
        <v>3166</v>
      </c>
      <c r="H90" s="180" t="s">
        <v>3167</v>
      </c>
      <c r="I90" s="84" t="s">
        <v>3161</v>
      </c>
      <c r="J90" s="149" t="s">
        <v>3168</v>
      </c>
      <c r="K90" s="95" t="s">
        <v>3169</v>
      </c>
      <c r="L90" s="52" t="s">
        <v>3170</v>
      </c>
      <c r="M90" s="84" t="s">
        <v>3161</v>
      </c>
      <c r="N90" s="149" t="str">
        <f>IFERROR(__xludf.DUMMYFUNCTION("GOOGLETRANSLATE(B90,""zh-tw"",""zh"")"),"回归水中")</f>
        <v>回归水中</v>
      </c>
      <c r="O90" s="89" t="str">
        <f>IFERROR(__xludf.DUMMYFUNCTION("GOOGLETRANSLATE(C90,""zh-tw"",""zh"")"),"当甲鱼从者、甲鱼王遇到水面，将会逃跑回水中。")</f>
        <v>当甲鱼从者、甲鱼王遇到水面，将会逃跑回水中。</v>
      </c>
      <c r="P90" s="55" t="str">
        <f>IFERROR(__xludf.DUMMYFUNCTION("GOOGLETRANSLATE(D90,""zh-tw"",""zh"")"),"对象逃跑")</f>
        <v>对象逃跑</v>
      </c>
      <c r="Q90" s="84" t="s">
        <v>3161</v>
      </c>
      <c r="R90" s="150" t="str">
        <f>IFERROR(__xludf.DUMMYFUNCTION("GOOGLETRANSLATE(B90,""zh-tw"",""es-MX"")"),"Regresar al agua")</f>
        <v>Regresar al agua</v>
      </c>
      <c r="S90" s="89" t="str">
        <f>IFERROR(__xludf.DUMMYFUNCTION("GOOGLETRANSLATE(C90,""zh-tw"",""es-MX"")"),"Cuando los seguidores de la tortuga o el rey tortuga se encuentran con la superficie del agua, volverán corriendo al agua.")</f>
        <v>Cuando los seguidores de la tortuga o el rey tortuga se encuentran con la superficie del agua, volverán corriendo al agua.</v>
      </c>
      <c r="T90" s="55" t="str">
        <f>IFERROR(__xludf.DUMMYFUNCTION("GOOGLETRANSLATE(D90,""zh-tw"",""es-MX"")"),"Escape de objetos")</f>
        <v>Escape de objetos</v>
      </c>
      <c r="U90" s="84" t="s">
        <v>3161</v>
      </c>
      <c r="V90" s="150" t="str">
        <f>IFERROR(__xludf.DUMMYFUNCTION("GOOGLETRANSLATE(B90,""zh-tw"",""KO"")"),"물로 돌아가다")</f>
        <v>물로 돌아가다</v>
      </c>
      <c r="W90" s="89" t="str">
        <f>IFERROR(__xludf.DUMMYFUNCTION("GOOGLETRANSLATE(C90,""zh-tw"",""KO"")"),"거북이 추종자나 거북이 왕이 물 표면에 나타나면 다시 물속으로 달려 들어갑니다.")</f>
        <v>거북이 추종자나 거북이 왕이 물 표면에 나타나면 다시 물속으로 달려 들어갑니다.</v>
      </c>
      <c r="X90" s="55" t="str">
        <f>IFERROR(__xludf.DUMMYFUNCTION("GOOGLETRANSLATE(D90,""zh-tw"",""KO"")"),"객체 탈출")</f>
        <v>객체 탈출</v>
      </c>
      <c r="Y90" s="84" t="s">
        <v>3161</v>
      </c>
      <c r="Z90" s="149" t="str">
        <f>IFERROR(__xludf.DUMMYFUNCTION("GOOGLETRANSLATE(B90,""zh-tw"",""ru"")"),"Вернуться в воду")</f>
        <v>Вернуться в воду</v>
      </c>
      <c r="AA90" s="152" t="str">
        <f>IFERROR(__xludf.DUMMYFUNCTION("GOOGLETRANSLATE(C90,""zh-tw"",""RU"")"),"Когда последователи черепах или король черепах достигают поверхности воды, они бегут обратно в воду.")</f>
        <v>Когда последователи черепах или король черепах достигают поверхности воды, они бегут обратно в воду.</v>
      </c>
      <c r="AB90" s="44" t="str">
        <f>IFERROR(__xludf.DUMMYFUNCTION("GOOGLETRANSLATE(D90,""zh-tw"",""RU"")"),"Побег объекта")</f>
        <v>Побег объекта</v>
      </c>
      <c r="AC90" s="84" t="s">
        <v>3161</v>
      </c>
      <c r="AD90" s="149" t="s">
        <v>3171</v>
      </c>
      <c r="AE90" s="159" t="str">
        <f>IFERROR(__xludf.DUMMYFUNCTION("GOOGLETRANSLATE(C90,""zh-tw"",""de"")"),"Wenn die Schildkrötenanhänger oder der Schildkrötenkönig die Wasseroberfläche erreichen, rennen sie zurück ins Wasser.")</f>
        <v>Wenn die Schildkrötenanhänger oder der Schildkrötenkönig die Wasseroberfläche erreichen, rennen sie zurück ins Wasser.</v>
      </c>
      <c r="AF90" s="163" t="s">
        <v>3172</v>
      </c>
      <c r="AG90" s="155" t="s">
        <v>3161</v>
      </c>
      <c r="AH90" s="156" t="s">
        <v>3173</v>
      </c>
      <c r="AI90" s="157" t="s">
        <v>3174</v>
      </c>
      <c r="AJ90" s="166" t="s">
        <v>3175</v>
      </c>
      <c r="AK90" s="122"/>
      <c r="AL90" s="122"/>
    </row>
    <row r="91">
      <c r="A91" s="84" t="s">
        <v>3176</v>
      </c>
      <c r="B91" s="149" t="s">
        <v>3177</v>
      </c>
      <c r="C91" s="95" t="s">
        <v>3178</v>
      </c>
      <c r="D91" s="52" t="s">
        <v>3179</v>
      </c>
      <c r="E91" s="84" t="s">
        <v>3176</v>
      </c>
      <c r="F91" s="149" t="s">
        <v>3180</v>
      </c>
      <c r="G91" s="179" t="s">
        <v>3181</v>
      </c>
      <c r="H91" s="180" t="s">
        <v>3182</v>
      </c>
      <c r="I91" s="84" t="s">
        <v>3176</v>
      </c>
      <c r="J91" s="149" t="s">
        <v>3183</v>
      </c>
      <c r="K91" s="95" t="s">
        <v>3184</v>
      </c>
      <c r="L91" s="52" t="s">
        <v>3185</v>
      </c>
      <c r="M91" s="84" t="s">
        <v>3176</v>
      </c>
      <c r="N91" s="149" t="str">
        <f>IFERROR(__xludf.DUMMYFUNCTION("GOOGLETRANSLATE(B91,""zh-tw"",""zh"")"),"发光的胡萝卜")</f>
        <v>发光的胡萝卜</v>
      </c>
      <c r="O91" s="89" t="str">
        <f>IFERROR(__xludf.DUMMYFUNCTION("GOOGLETRANSLATE(C91,""zh-tw"",""zh"")"),"发光的胡萝卜会在女仆兔BOSS出场时，没收掉在场的特殊胡萝卜，直到你打倒它才会出现。
拔起这个特殊胡萝卜，会掉落特殊物品")</f>
        <v>发光的胡萝卜会在女仆兔BOSS出场时，没收掉在场的特殊胡萝卜，直到你打倒它才会出现。
拔起这个特殊胡萝卜，会掉落特殊物品</v>
      </c>
      <c r="P91" s="55" t="str">
        <f>IFERROR(__xludf.DUMMYFUNCTION("GOOGLETRANSLATE(D91,""zh-tw"",""zh"")"),"获得：胡萝卜大剑、天上之石碎片
未实装后续流程，现阶段无法制作第二号红髓液")</f>
        <v>获得：胡萝卜大剑、天上之石碎片
未实装后续流程，现阶段无法制作第二号红髓液</v>
      </c>
      <c r="Q91" s="84" t="s">
        <v>3176</v>
      </c>
      <c r="R91" s="150" t="str">
        <f>IFERROR(__xludf.DUMMYFUNCTION("GOOGLETRANSLATE(B91,""zh-tw"",""es-MX"")"),"Zanahorias brillantes")</f>
        <v>Zanahorias brillantes</v>
      </c>
      <c r="S91" s="89" t="str">
        <f>IFERROR(__xludf.DUMMYFUNCTION("GOOGLETRANSLATE(C91,""zh-tw"",""es-MX"")"),"La zanahoria brillante confiscará todas las zanahorias especiales presentes cuando aparezca el jefe Conejita Sirvienta, y no volverá a aparecer hasta que lo derrotes.
Al arrancar esta zanahoria especial, soltará un objeto especial.")</f>
        <v>La zanahoria brillante confiscará todas las zanahorias especiales presentes cuando aparezca el jefe Conejita Sirvienta, y no volverá a aparecer hasta que lo derrotes.
Al arrancar esta zanahoria especial, soltará un objeto especial.</v>
      </c>
      <c r="T91" s="55" t="str">
        <f>IFERROR(__xludf.DUMMYFUNCTION("GOOGLETRANSLATE(D91,""zh-tw"",""es-MX"")"),"Obtenido: Gran Espada de Zanahoria, Fragmento de Piedra Celestial
Los procesos posteriores aún no están implementados; actualmente no se puede crear el segundo Elixir de Médula Roja.")</f>
        <v>Obtenido: Gran Espada de Zanahoria, Fragmento de Piedra Celestial
Los procesos posteriores aún no están implementados; actualmente no se puede crear el segundo Elixir de Médula Roja.</v>
      </c>
      <c r="U91" s="84" t="s">
        <v>3176</v>
      </c>
      <c r="V91" s="150" t="str">
        <f>IFERROR(__xludf.DUMMYFUNCTION("GOOGLETRANSLATE(B91,""zh-tw"",""KO"")"),"빛나는 당근")</f>
        <v>빛나는 당근</v>
      </c>
      <c r="W91" s="89" t="str">
        <f>IFERROR(__xludf.DUMMYFUNCTION("GOOGLETRANSLATE(C91,""zh-tw"",""KO"")"),"빛나는 당근은 메이드 버니 보스가 등장할 때 존재하는 모든 특수 당근을 빼앗아 가며, 보스를 물리칠 때까지 다시 나타나지 않습니다.
이 특수 당근을 획득하면 특수 아이템을 드랍합니다.")</f>
        <v>빛나는 당근은 메이드 버니 보스가 등장할 때 존재하는 모든 특수 당근을 빼앗아 가며, 보스를 물리칠 때까지 다시 나타나지 않습니다.
이 특수 당근을 획득하면 특수 아이템을 드랍합니다.</v>
      </c>
      <c r="X91" s="55" t="str">
        <f>IFERROR(__xludf.DUMMYFUNCTION("GOOGLETRANSLATE(D91,""zh-tw"",""KO"")"),"획득 아이템: 당근 대검, 천상의 돌 조각
이후 과정은 아직 구현되지 않았습니다. 현재 두 번째 붉은 골수 비약을 제작할 수 없습니다.")</f>
        <v>획득 아이템: 당근 대검, 천상의 돌 조각
이후 과정은 아직 구현되지 않았습니다. 현재 두 번째 붉은 골수 비약을 제작할 수 없습니다.</v>
      </c>
      <c r="Y91" s="84" t="s">
        <v>3176</v>
      </c>
      <c r="Z91" s="149" t="str">
        <f>IFERROR(__xludf.DUMMYFUNCTION("GOOGLETRANSLATE(B91,""zh-tw"",""ru"")"),"Светящаяся морковь")</f>
        <v>Светящаяся морковь</v>
      </c>
      <c r="AA91" s="152" t="str">
        <f>IFERROR(__xludf.DUMMYFUNCTION("GOOGLETRANSLATE(C91,""zh-tw"",""RU"")"),"Светящаяся морковка конфискует все особые морковки, которые есть у вас при появлении БОССА-горничной-кролика, и не появится снова, пока вы его не победите.
Если поднять эту особую морковку, из неё выпадет особый предмет.")</f>
        <v>Светящаяся морковка конфискует все особые морковки, которые есть у вас при появлении БОССА-горничной-кролика, и не появится снова, пока вы его не победите.
Если поднять эту особую морковку, из неё выпадет особый предмет.</v>
      </c>
      <c r="AB91" s="44" t="str">
        <f>IFERROR(__xludf.DUMMYFUNCTION("GOOGLETRANSLATE(D91,""zh-tw"",""RU"")"),"Получено: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f>
        <v>Получено: Морковный двуручный меч, Фрагмент небесного камня
Последующие процессы пока не реализованы; в настоящее время невозможно создать второй эликсир красного костного мозга.</v>
      </c>
      <c r="AC91" s="84" t="s">
        <v>3176</v>
      </c>
      <c r="AD91" s="149" t="s">
        <v>3186</v>
      </c>
      <c r="AE91" s="159" t="str">
        <f>IFERROR(__xludf.DUMMYFUNCTION("GOOGLETRANSLATE(C91,""zh-tw"",""de"")"),"Die leuchtende Karotte nimmt alle Spezialkarotten an sich, sobald der Maid Bunny-Boss erscheint, und taucht erst wieder auf, wenn ihr ihn besiegt habt.
Zieht ihr diese Spezialkarotte hoch, erhaltet ihr einen besonderen Gegenstand.")</f>
        <v>Die leuchtende Karotte nimmt alle Spezialkarotten an sich, sobald der Maid Bunny-Boss erscheint, und taucht erst wieder auf, wenn ihr ihn besiegt habt.
Zieht ihr diese Spezialkarotte hoch, erhaltet ihr einen besonderen Gegenstand.</v>
      </c>
      <c r="AF91" s="163" t="s">
        <v>3187</v>
      </c>
      <c r="AG91" s="155" t="s">
        <v>3176</v>
      </c>
      <c r="AH91" s="156" t="s">
        <v>3188</v>
      </c>
      <c r="AI91" s="157" t="s">
        <v>3189</v>
      </c>
      <c r="AJ91" s="187" t="s">
        <v>3190</v>
      </c>
      <c r="AK91" s="122"/>
      <c r="AL91" s="122"/>
    </row>
    <row r="92">
      <c r="A92" s="84" t="s">
        <v>3191</v>
      </c>
      <c r="B92" s="149" t="s">
        <v>3192</v>
      </c>
      <c r="C92" s="95" t="s">
        <v>3193</v>
      </c>
      <c r="D92" s="52" t="s">
        <v>591</v>
      </c>
      <c r="E92" s="84" t="s">
        <v>3191</v>
      </c>
      <c r="F92" s="149" t="s">
        <v>3194</v>
      </c>
      <c r="G92" s="179" t="s">
        <v>3195</v>
      </c>
      <c r="H92" s="180" t="s">
        <v>594</v>
      </c>
      <c r="I92" s="84" t="s">
        <v>3191</v>
      </c>
      <c r="J92" s="149" t="s">
        <v>3196</v>
      </c>
      <c r="K92" s="95" t="s">
        <v>3197</v>
      </c>
      <c r="L92" s="52" t="s">
        <v>2688</v>
      </c>
      <c r="M92" s="84" t="s">
        <v>3191</v>
      </c>
      <c r="N92" s="149" t="str">
        <f>IFERROR(__xludf.DUMMYFUNCTION("GOOGLETRANSLATE(B92,""zh-tw"",""zh"")"),"萝卜大剑")</f>
        <v>萝卜大剑</v>
      </c>
      <c r="O92" s="89" t="str">
        <f>IFERROR(__xludf.DUMMYFUNCTION("GOOGLETRANSLATE(C92,""zh-tw"",""zh"")"),"于篝火中使用冻萝卜大剑解冻之后，能获得霉萝卜大剑")</f>
        <v>于篝火中使用冻萝卜大剑解冻之后，能获得霉萝卜大剑</v>
      </c>
      <c r="P92" s="55" t="str">
        <f>IFERROR(__xludf.DUMMYFUNCTION("GOOGLETRANSLATE(D92,""zh-tw"",""zh"")"),"未实装")</f>
        <v>未实装</v>
      </c>
      <c r="Q92" s="84" t="s">
        <v>3191</v>
      </c>
      <c r="R92" s="150" t="str">
        <f>IFERROR(__xludf.DUMMYFUNCTION("GOOGLETRANSLATE(B92,""zh-tw"",""es-MX"")"),"Espada grande")</f>
        <v>Espada grande</v>
      </c>
      <c r="S92" s="89" t="str">
        <f>IFERROR(__xludf.DUMMYFUNCTION("GOOGLETRANSLATE(C92,""zh-tw"",""es-MX"")"),"Tras descongelar la Gran Espada de Zanahoria Congelada sobre una hoguera, podrás obtener la Gran Espada de Zanahoria Mohosa.")</f>
        <v>Tras descongelar la Gran Espada de Zanahoria Congelada sobre una hoguera, podrás obtener la Gran Espada de Zanahoria Mohosa.</v>
      </c>
      <c r="T92" s="55" t="str">
        <f>IFERROR(__xludf.DUMMYFUNCTION("GOOGLETRANSLATE(D92,""zh-tw"",""es-MX"")"),"No implementado")</f>
        <v>No implementado</v>
      </c>
      <c r="U92" s="84" t="s">
        <v>3191</v>
      </c>
      <c r="V92" s="150" t="str">
        <f>IFERROR(__xludf.DUMMYFUNCTION("GOOGLETRANSLATE(B92,""zh-tw"",""KO"")"),"큰 검")</f>
        <v>큰 검</v>
      </c>
      <c r="W92" s="89" t="str">
        <f>IFERROR(__xludf.DUMMYFUNCTION("GOOGLETRANSLATE(C92,""zh-tw"",""KO"")"),"얼어붙은 당근 대검을 캠프파이어 위에 녹이면 곰팡이 핀 당근 대검을 얻을 수 있습니다.")</f>
        <v>얼어붙은 당근 대검을 캠프파이어 위에 녹이면 곰팡이 핀 당근 대검을 얻을 수 있습니다.</v>
      </c>
      <c r="X92" s="55" t="str">
        <f>IFERROR(__xludf.DUMMYFUNCTION("GOOGLETRANSLATE(D92,""zh-tw"",""KO"")"),"구현되지 않음")</f>
        <v>구현되지 않음</v>
      </c>
      <c r="Y92" s="84" t="s">
        <v>3191</v>
      </c>
      <c r="Z92" s="149" t="str">
        <f>IFERROR(__xludf.DUMMYFUNCTION("GOOGLETRANSLATE(B92,""zh-tw"",""ru"")"),"Большой Меч")</f>
        <v>Большой Меч</v>
      </c>
      <c r="AA92" s="152" t="str">
        <f>IFERROR(__xludf.DUMMYFUNCTION("GOOGLETRANSLATE(C92,""zh-tw"",""RU"")"),"Разморозив Большой меч из замороженной моркови на костре, вы сможете получить Большой меч из заплесневелой моркови.")</f>
        <v>Разморозив Большой меч из замороженной моркови на костре, вы сможете получить Большой меч из заплесневелой моркови.</v>
      </c>
      <c r="AB92" s="44" t="str">
        <f>IFERROR(__xludf.DUMMYFUNCTION("GOOGLETRANSLATE(D92,""zh-tw"",""RU"")"),"Не реализовано")</f>
        <v>Не реализовано</v>
      </c>
      <c r="AC92" s="84" t="s">
        <v>3191</v>
      </c>
      <c r="AD92" s="149" t="s">
        <v>3198</v>
      </c>
      <c r="AE92" s="159" t="str">
        <f>IFERROR(__xludf.DUMMYFUNCTION("GOOGLETRANSLATE(C92,""zh-tw"",""de"")"),"Nachdem man das gefrorene Karotten-Großschwert über einem Lagerfeuer aufgetaut hat, kann man das verschimmelte Karotten-Großschwert erhalten.")</f>
        <v>Nachdem man das gefrorene Karotten-Großschwert über einem Lagerfeuer aufgetaut hat, kann man das verschimmelte Karotten-Großschwert erhalten.</v>
      </c>
      <c r="AF92" s="163" t="s">
        <v>609</v>
      </c>
      <c r="AG92" s="155" t="s">
        <v>3191</v>
      </c>
      <c r="AH92" s="156" t="s">
        <v>3199</v>
      </c>
      <c r="AI92" s="157" t="s">
        <v>3200</v>
      </c>
      <c r="AJ92" s="166" t="s">
        <v>3201</v>
      </c>
      <c r="AK92" s="122"/>
      <c r="AL92" s="122"/>
    </row>
    <row r="93">
      <c r="A93" s="84" t="s">
        <v>3202</v>
      </c>
      <c r="B93" s="149" t="s">
        <v>3203</v>
      </c>
      <c r="C93" s="95" t="s">
        <v>3204</v>
      </c>
      <c r="D93" s="52" t="s">
        <v>591</v>
      </c>
      <c r="E93" s="84" t="s">
        <v>3202</v>
      </c>
      <c r="F93" s="149" t="s">
        <v>3205</v>
      </c>
      <c r="G93" s="179" t="s">
        <v>3206</v>
      </c>
      <c r="H93" s="180" t="s">
        <v>594</v>
      </c>
      <c r="I93" s="84" t="s">
        <v>3202</v>
      </c>
      <c r="J93" s="149" t="s">
        <v>3207</v>
      </c>
      <c r="K93" s="95" t="s">
        <v>3208</v>
      </c>
      <c r="L93" s="52" t="s">
        <v>2688</v>
      </c>
      <c r="M93" s="84" t="s">
        <v>3202</v>
      </c>
      <c r="N93" s="149" t="str">
        <f>IFERROR(__xludf.DUMMYFUNCTION("GOOGLETRANSLATE(B93,""zh-tw"",""zh"")"),"萝卜大剑-1")</f>
        <v>萝卜大剑-1</v>
      </c>
      <c r="O93" s="89" t="str">
        <f>IFERROR(__xludf.DUMMYFUNCTION("GOOGLETRANSLATE(C93,""zh-tw"",""zh"")"),"于篝火中使用胡萝卜大剑，可以召唤友好的女仆兔，帮助你进行地图传送")</f>
        <v>于篝火中使用胡萝卜大剑，可以召唤友好的女仆兔，帮助你进行地图传送</v>
      </c>
      <c r="P93" s="55" t="str">
        <f>IFERROR(__xludf.DUMMYFUNCTION("GOOGLETRANSLATE(D93,""zh-tw"",""zh"")"),"未实装")</f>
        <v>未实装</v>
      </c>
      <c r="Q93" s="84" t="s">
        <v>3202</v>
      </c>
      <c r="R93" s="150" t="str">
        <f>IFERROR(__xludf.DUMMYFUNCTION("GOOGLETRANSLATE(B93,""zh-tw"",""es-MX"")"),"Gran espada de zanahoria - 1")</f>
        <v>Gran espada de zanahoria - 1</v>
      </c>
      <c r="S93" s="89" t="str">
        <f>IFERROR(__xludf.DUMMYFUNCTION("GOOGLETRANSLATE(C93,""zh-tw"",""es-MX"")"),"Usar la gran espada de zanahoria alrededor de la hoguera invocará a una conejita sirvienta amistosa que te ayudará a teletransportarte por el mapa.")</f>
        <v>Usar la gran espada de zanahoria alrededor de la hoguera invocará a una conejita sirvienta amistosa que te ayudará a teletransportarte por el mapa.</v>
      </c>
      <c r="T93" s="55" t="str">
        <f>IFERROR(__xludf.DUMMYFUNCTION("GOOGLETRANSLATE(D93,""zh-tw"",""es-MX"")"),"No implementado")</f>
        <v>No implementado</v>
      </c>
      <c r="U93" s="84" t="s">
        <v>3202</v>
      </c>
      <c r="V93" s="150" t="str">
        <f>IFERROR(__xludf.DUMMYFUNCTION("GOOGLETRANSLATE(B93,""zh-tw"",""KO"")"),"당근 대검 - 1")</f>
        <v>당근 대검 - 1</v>
      </c>
      <c r="W93" s="89" t="str">
        <f>IFERROR(__xludf.DUMMYFUNCTION("GOOGLETRANSLATE(C93,""zh-tw"",""KO"")"),"캠프파이어 주변에서 당근 대검을 사용하면 친절한 하녀 토끼가 소환되어 지도 주변으로 순간이동하는 데 도움을 줍니다.")</f>
        <v>캠프파이어 주변에서 당근 대검을 사용하면 친절한 하녀 토끼가 소환되어 지도 주변으로 순간이동하는 데 도움을 줍니다.</v>
      </c>
      <c r="X93" s="55" t="str">
        <f>IFERROR(__xludf.DUMMYFUNCTION("GOOGLETRANSLATE(D93,""zh-tw"",""KO"")"),"구현되지 않음")</f>
        <v>구현되지 않음</v>
      </c>
      <c r="Y93" s="84" t="s">
        <v>3202</v>
      </c>
      <c r="Z93" s="149" t="str">
        <f>IFERROR(__xludf.DUMMYFUNCTION("GOOGLETRANSLATE(B93,""zh-tw"",""ru"")"),"Морковный большой меч - 1")</f>
        <v>Морковный большой меч - 1</v>
      </c>
      <c r="AA93" s="152" t="str">
        <f>IFERROR(__xludf.DUMMYFUNCTION("GOOGLETRANSLATE(C93,""zh-tw"",""RU"")"),"Используя большой морковный меч у костра, вы призовете дружелюбную крольчиху, которая поможет вам телепортироваться по карте.")</f>
        <v>Используя большой морковный меч у костра, вы призовете дружелюбную крольчиху, которая поможет вам телепортироваться по карте.</v>
      </c>
      <c r="AB93" s="44" t="str">
        <f>IFERROR(__xludf.DUMMYFUNCTION("GOOGLETRANSLATE(D93,""zh-tw"",""RU"")"),"Не реализовано")</f>
        <v>Не реализовано</v>
      </c>
      <c r="AC93" s="84" t="s">
        <v>3202</v>
      </c>
      <c r="AD93" s="149" t="s">
        <v>3209</v>
      </c>
      <c r="AE93" s="159" t="str">
        <f>IFERROR(__xludf.DUMMYFUNCTION("GOOGLETRANSLATE(C93,""zh-tw"",""de"")"),"Wenn du das Karotten-Großschwert am Lagerfeuer benutzt, rufst du ein freundliches Dienstmädchen-Häschen herbei, das dir beim Teleportieren auf der Karte hilft.")</f>
        <v>Wenn du das Karotten-Großschwert am Lagerfeuer benutzt, rufst du ein freundliches Dienstmädchen-Häschen herbei, das dir beim Teleportieren auf der Karte hilft.</v>
      </c>
      <c r="AF93" s="163" t="s">
        <v>609</v>
      </c>
      <c r="AG93" s="155" t="s">
        <v>3202</v>
      </c>
      <c r="AH93" s="156" t="s">
        <v>3210</v>
      </c>
      <c r="AI93" s="157" t="s">
        <v>3211</v>
      </c>
      <c r="AJ93" s="166" t="s">
        <v>3201</v>
      </c>
      <c r="AK93" s="122"/>
      <c r="AL93" s="122"/>
    </row>
    <row r="94">
      <c r="A94" s="115"/>
      <c r="B94" s="150"/>
      <c r="C94" s="95"/>
      <c r="D94" s="52"/>
      <c r="E94" s="115"/>
      <c r="F94" s="150"/>
      <c r="G94" s="188"/>
      <c r="H94" s="189"/>
      <c r="I94" s="115"/>
      <c r="J94" s="150"/>
      <c r="K94" s="89"/>
      <c r="L94" s="55"/>
      <c r="M94" s="115"/>
      <c r="N94" s="190"/>
      <c r="O94" s="89"/>
      <c r="P94" s="55"/>
      <c r="Q94" s="191"/>
      <c r="R94" s="192"/>
      <c r="S94" s="121"/>
      <c r="T94" s="122"/>
      <c r="U94" s="191"/>
      <c r="V94" s="192"/>
      <c r="W94" s="121"/>
      <c r="X94" s="122"/>
      <c r="Y94" s="115"/>
      <c r="Z94" s="193"/>
      <c r="AA94" s="194"/>
      <c r="AB94" s="195"/>
      <c r="AC94" s="115"/>
      <c r="AD94" s="192"/>
      <c r="AE94" s="196"/>
      <c r="AF94" s="197"/>
      <c r="AG94" s="198"/>
      <c r="AH94" s="199"/>
      <c r="AI94" s="200"/>
      <c r="AJ94" s="122"/>
      <c r="AK94" s="122"/>
      <c r="AL94" s="122"/>
    </row>
    <row r="95">
      <c r="A95" s="115"/>
      <c r="B95" s="150"/>
      <c r="C95" s="89"/>
      <c r="D95" s="55"/>
      <c r="E95" s="115"/>
      <c r="F95" s="150"/>
      <c r="G95" s="188"/>
      <c r="H95" s="189"/>
      <c r="I95" s="115"/>
      <c r="J95" s="150"/>
      <c r="K95" s="89"/>
      <c r="L95" s="55"/>
      <c r="M95" s="115"/>
      <c r="N95" s="190"/>
      <c r="O95" s="89"/>
      <c r="P95" s="55"/>
      <c r="Q95" s="191"/>
      <c r="R95" s="192"/>
      <c r="S95" s="121"/>
      <c r="T95" s="122"/>
      <c r="U95" s="191"/>
      <c r="V95" s="192"/>
      <c r="W95" s="121"/>
      <c r="X95" s="122"/>
      <c r="Y95" s="115"/>
      <c r="Z95" s="193"/>
      <c r="AA95" s="194"/>
      <c r="AB95" s="195"/>
      <c r="AC95" s="115"/>
      <c r="AD95" s="192"/>
      <c r="AE95" s="196"/>
      <c r="AF95" s="197"/>
      <c r="AG95" s="198"/>
      <c r="AH95" s="199"/>
      <c r="AI95" s="200"/>
      <c r="AJ95" s="122"/>
      <c r="AK95" s="122"/>
      <c r="AL95" s="122"/>
    </row>
    <row r="96">
      <c r="A96" s="115"/>
      <c r="B96" s="150"/>
      <c r="C96" s="89"/>
      <c r="D96" s="55"/>
      <c r="E96" s="115"/>
      <c r="F96" s="150"/>
      <c r="G96" s="188"/>
      <c r="H96" s="189"/>
      <c r="I96" s="115"/>
      <c r="J96" s="150"/>
      <c r="K96" s="89"/>
      <c r="L96" s="55"/>
      <c r="M96" s="115"/>
      <c r="N96" s="190"/>
      <c r="O96" s="89"/>
      <c r="P96" s="55"/>
      <c r="Q96" s="191"/>
      <c r="R96" s="192"/>
      <c r="S96" s="121"/>
      <c r="T96" s="122"/>
      <c r="U96" s="191"/>
      <c r="V96" s="192"/>
      <c r="W96" s="121"/>
      <c r="X96" s="122"/>
      <c r="Y96" s="115"/>
      <c r="Z96" s="193"/>
      <c r="AA96" s="194"/>
      <c r="AB96" s="195"/>
      <c r="AC96" s="115"/>
      <c r="AD96" s="192"/>
      <c r="AE96" s="196"/>
      <c r="AF96" s="197"/>
      <c r="AG96" s="198"/>
      <c r="AH96" s="199"/>
      <c r="AI96" s="200"/>
      <c r="AJ96" s="122"/>
      <c r="AK96" s="122"/>
      <c r="AL96" s="122"/>
    </row>
    <row r="97">
      <c r="A97" s="115"/>
      <c r="B97" s="150"/>
      <c r="C97" s="89"/>
      <c r="D97" s="55"/>
      <c r="E97" s="115"/>
      <c r="F97" s="150"/>
      <c r="G97" s="188"/>
      <c r="H97" s="189"/>
      <c r="I97" s="115"/>
      <c r="J97" s="150"/>
      <c r="K97" s="89"/>
      <c r="L97" s="55"/>
      <c r="M97" s="115"/>
      <c r="N97" s="190"/>
      <c r="O97" s="89"/>
      <c r="P97" s="55"/>
      <c r="Q97" s="191"/>
      <c r="R97" s="192"/>
      <c r="S97" s="121"/>
      <c r="T97" s="122"/>
      <c r="U97" s="191"/>
      <c r="V97" s="192"/>
      <c r="W97" s="121"/>
      <c r="X97" s="122"/>
      <c r="Y97" s="115"/>
      <c r="Z97" s="193"/>
      <c r="AA97" s="194"/>
      <c r="AB97" s="195"/>
      <c r="AC97" s="115"/>
      <c r="AD97" s="192"/>
      <c r="AE97" s="196"/>
      <c r="AF97" s="197"/>
      <c r="AG97" s="198"/>
      <c r="AH97" s="199"/>
      <c r="AI97" s="200"/>
      <c r="AJ97" s="122"/>
      <c r="AK97" s="122"/>
      <c r="AL97" s="122"/>
    </row>
    <row r="98">
      <c r="A98" s="115"/>
      <c r="B98" s="150"/>
      <c r="C98" s="89"/>
      <c r="D98" s="55"/>
      <c r="E98" s="115"/>
      <c r="F98" s="150"/>
      <c r="G98" s="188"/>
      <c r="H98" s="189"/>
      <c r="I98" s="115"/>
      <c r="J98" s="150"/>
      <c r="K98" s="89"/>
      <c r="L98" s="55"/>
      <c r="M98" s="115"/>
      <c r="N98" s="190"/>
      <c r="O98" s="89"/>
      <c r="P98" s="55"/>
      <c r="Q98" s="191"/>
      <c r="R98" s="192"/>
      <c r="S98" s="121"/>
      <c r="T98" s="122"/>
      <c r="U98" s="191"/>
      <c r="V98" s="192"/>
      <c r="W98" s="121"/>
      <c r="X98" s="122"/>
      <c r="Y98" s="115"/>
      <c r="Z98" s="193"/>
      <c r="AA98" s="194"/>
      <c r="AB98" s="195"/>
      <c r="AC98" s="115"/>
      <c r="AD98" s="192"/>
      <c r="AE98" s="196"/>
      <c r="AF98" s="197"/>
      <c r="AG98" s="198"/>
      <c r="AH98" s="199"/>
      <c r="AI98" s="200"/>
      <c r="AJ98" s="122"/>
      <c r="AK98" s="122"/>
      <c r="AL98" s="122"/>
    </row>
    <row r="99">
      <c r="A99" s="115"/>
      <c r="B99" s="150"/>
      <c r="C99" s="89"/>
      <c r="D99" s="55"/>
      <c r="E99" s="115"/>
      <c r="F99" s="150"/>
      <c r="G99" s="188"/>
      <c r="H99" s="189"/>
      <c r="I99" s="115"/>
      <c r="J99" s="150"/>
      <c r="K99" s="89"/>
      <c r="L99" s="55"/>
      <c r="M99" s="115"/>
      <c r="N99" s="190"/>
      <c r="O99" s="89"/>
      <c r="P99" s="55"/>
      <c r="Q99" s="191"/>
      <c r="R99" s="192"/>
      <c r="S99" s="121"/>
      <c r="T99" s="122"/>
      <c r="U99" s="191"/>
      <c r="V99" s="192"/>
      <c r="W99" s="121"/>
      <c r="X99" s="122"/>
      <c r="Y99" s="115"/>
      <c r="Z99" s="193"/>
      <c r="AA99" s="194"/>
      <c r="AB99" s="195"/>
      <c r="AC99" s="115"/>
      <c r="AD99" s="192"/>
      <c r="AE99" s="196"/>
      <c r="AF99" s="197"/>
      <c r="AG99" s="198"/>
      <c r="AH99" s="199"/>
      <c r="AI99" s="200"/>
      <c r="AJ99" s="122"/>
      <c r="AK99" s="122"/>
      <c r="AL99" s="122"/>
    </row>
    <row r="100">
      <c r="A100" s="115"/>
      <c r="B100" s="150"/>
      <c r="C100" s="89"/>
      <c r="D100" s="55"/>
      <c r="E100" s="115"/>
      <c r="F100" s="150"/>
      <c r="G100" s="188"/>
      <c r="H100" s="189"/>
      <c r="I100" s="115"/>
      <c r="J100" s="150"/>
      <c r="K100" s="89"/>
      <c r="L100" s="55"/>
      <c r="M100" s="115"/>
      <c r="N100" s="190"/>
      <c r="O100" s="89"/>
      <c r="P100" s="55"/>
      <c r="Q100" s="191"/>
      <c r="R100" s="192"/>
      <c r="S100" s="121"/>
      <c r="T100" s="122"/>
      <c r="U100" s="191"/>
      <c r="V100" s="192"/>
      <c r="W100" s="121"/>
      <c r="X100" s="122"/>
      <c r="Y100" s="115"/>
      <c r="Z100" s="193"/>
      <c r="AA100" s="194"/>
      <c r="AB100" s="195"/>
      <c r="AC100" s="115"/>
      <c r="AD100" s="192"/>
      <c r="AE100" s="196"/>
      <c r="AF100" s="197"/>
      <c r="AG100" s="198"/>
      <c r="AH100" s="199"/>
      <c r="AI100" s="200"/>
      <c r="AJ100" s="122"/>
      <c r="AK100" s="122"/>
      <c r="AL100" s="122"/>
    </row>
    <row r="101">
      <c r="A101" s="115"/>
      <c r="B101" s="150"/>
      <c r="C101" s="89"/>
      <c r="D101" s="55"/>
      <c r="E101" s="115"/>
      <c r="F101" s="150"/>
      <c r="G101" s="188"/>
      <c r="H101" s="189"/>
      <c r="I101" s="115"/>
      <c r="J101" s="150"/>
      <c r="K101" s="89"/>
      <c r="L101" s="55"/>
      <c r="M101" s="115"/>
      <c r="N101" s="190"/>
      <c r="O101" s="89"/>
      <c r="P101" s="55"/>
      <c r="Q101" s="191"/>
      <c r="R101" s="192"/>
      <c r="S101" s="121"/>
      <c r="T101" s="122"/>
      <c r="U101" s="191"/>
      <c r="V101" s="192"/>
      <c r="W101" s="121"/>
      <c r="X101" s="122"/>
      <c r="Y101" s="115"/>
      <c r="Z101" s="193"/>
      <c r="AA101" s="194"/>
      <c r="AB101" s="195"/>
      <c r="AC101" s="115"/>
      <c r="AD101" s="192"/>
      <c r="AE101" s="196"/>
      <c r="AF101" s="197"/>
      <c r="AG101" s="198"/>
      <c r="AH101" s="199"/>
      <c r="AI101" s="200"/>
      <c r="AJ101" s="122"/>
      <c r="AK101" s="122"/>
      <c r="AL101" s="122"/>
    </row>
    <row r="102">
      <c r="A102" s="115"/>
      <c r="B102" s="150"/>
      <c r="C102" s="89"/>
      <c r="D102" s="55"/>
      <c r="E102" s="115"/>
      <c r="F102" s="150"/>
      <c r="G102" s="188"/>
      <c r="H102" s="189"/>
      <c r="I102" s="115"/>
      <c r="J102" s="150"/>
      <c r="K102" s="89"/>
      <c r="L102" s="55"/>
      <c r="M102" s="115"/>
      <c r="N102" s="190"/>
      <c r="O102" s="89"/>
      <c r="P102" s="55"/>
      <c r="Q102" s="191"/>
      <c r="R102" s="192"/>
      <c r="S102" s="121"/>
      <c r="T102" s="122"/>
      <c r="U102" s="191"/>
      <c r="V102" s="192"/>
      <c r="W102" s="121"/>
      <c r="X102" s="122"/>
      <c r="Y102" s="115"/>
      <c r="Z102" s="193"/>
      <c r="AA102" s="194"/>
      <c r="AB102" s="195"/>
      <c r="AC102" s="115"/>
      <c r="AD102" s="192"/>
      <c r="AE102" s="196"/>
      <c r="AF102" s="197"/>
      <c r="AG102" s="198"/>
      <c r="AH102" s="199"/>
      <c r="AI102" s="200"/>
      <c r="AJ102" s="122"/>
      <c r="AK102" s="122"/>
      <c r="AL102" s="122"/>
    </row>
    <row r="103">
      <c r="A103" s="115"/>
      <c r="B103" s="150"/>
      <c r="C103" s="89"/>
      <c r="D103" s="55"/>
      <c r="E103" s="115"/>
      <c r="F103" s="150"/>
      <c r="G103" s="188"/>
      <c r="H103" s="189"/>
      <c r="I103" s="115"/>
      <c r="J103" s="150"/>
      <c r="K103" s="89"/>
      <c r="L103" s="55"/>
      <c r="M103" s="115"/>
      <c r="N103" s="190"/>
      <c r="O103" s="89"/>
      <c r="P103" s="55"/>
      <c r="Q103" s="191"/>
      <c r="R103" s="192"/>
      <c r="S103" s="121"/>
      <c r="T103" s="122"/>
      <c r="U103" s="191"/>
      <c r="V103" s="192"/>
      <c r="W103" s="121"/>
      <c r="X103" s="122"/>
      <c r="Y103" s="115"/>
      <c r="Z103" s="193"/>
      <c r="AA103" s="194"/>
      <c r="AB103" s="195"/>
      <c r="AC103" s="115"/>
      <c r="AD103" s="192"/>
      <c r="AE103" s="196"/>
      <c r="AF103" s="197"/>
      <c r="AG103" s="198"/>
      <c r="AH103" s="199"/>
      <c r="AI103" s="200"/>
      <c r="AJ103" s="122"/>
      <c r="AK103" s="122"/>
      <c r="AL103" s="122"/>
    </row>
    <row r="104">
      <c r="A104" s="115"/>
      <c r="B104" s="150"/>
      <c r="C104" s="89"/>
      <c r="D104" s="55"/>
      <c r="E104" s="115"/>
      <c r="F104" s="150"/>
      <c r="G104" s="188"/>
      <c r="H104" s="189"/>
      <c r="I104" s="115"/>
      <c r="J104" s="150"/>
      <c r="K104" s="89"/>
      <c r="L104" s="55"/>
      <c r="M104" s="115"/>
      <c r="N104" s="190"/>
      <c r="O104" s="89"/>
      <c r="P104" s="55"/>
      <c r="Q104" s="191"/>
      <c r="R104" s="192"/>
      <c r="S104" s="121"/>
      <c r="T104" s="122"/>
      <c r="U104" s="191"/>
      <c r="V104" s="192"/>
      <c r="W104" s="121"/>
      <c r="X104" s="122"/>
      <c r="Y104" s="115"/>
      <c r="Z104" s="193"/>
      <c r="AA104" s="194"/>
      <c r="AB104" s="195"/>
      <c r="AC104" s="115"/>
      <c r="AD104" s="192"/>
      <c r="AE104" s="196"/>
      <c r="AF104" s="197"/>
      <c r="AG104" s="198"/>
      <c r="AH104" s="199"/>
      <c r="AI104" s="200"/>
      <c r="AJ104" s="122"/>
      <c r="AK104" s="122"/>
      <c r="AL104" s="122"/>
    </row>
    <row r="105">
      <c r="A105" s="115"/>
      <c r="B105" s="150"/>
      <c r="C105" s="89"/>
      <c r="D105" s="55"/>
      <c r="E105" s="115"/>
      <c r="F105" s="150"/>
      <c r="G105" s="188"/>
      <c r="H105" s="189"/>
      <c r="I105" s="115"/>
      <c r="J105" s="150"/>
      <c r="K105" s="89"/>
      <c r="L105" s="55"/>
      <c r="M105" s="115"/>
      <c r="N105" s="190"/>
      <c r="O105" s="89"/>
      <c r="P105" s="55"/>
      <c r="Q105" s="191"/>
      <c r="R105" s="192"/>
      <c r="S105" s="121"/>
      <c r="T105" s="122"/>
      <c r="U105" s="191"/>
      <c r="V105" s="192"/>
      <c r="W105" s="121"/>
      <c r="X105" s="122"/>
      <c r="Y105" s="115"/>
      <c r="Z105" s="193"/>
      <c r="AA105" s="194"/>
      <c r="AB105" s="195"/>
      <c r="AC105" s="115"/>
      <c r="AD105" s="192"/>
      <c r="AE105" s="196"/>
      <c r="AF105" s="197"/>
      <c r="AG105" s="198"/>
      <c r="AH105" s="199"/>
      <c r="AI105" s="200"/>
      <c r="AJ105" s="122"/>
      <c r="AK105" s="122"/>
      <c r="AL105" s="122"/>
    </row>
    <row r="106">
      <c r="A106" s="115"/>
      <c r="B106" s="150"/>
      <c r="C106" s="89"/>
      <c r="D106" s="55"/>
      <c r="E106" s="115"/>
      <c r="F106" s="150"/>
      <c r="G106" s="188"/>
      <c r="H106" s="189"/>
      <c r="I106" s="115"/>
      <c r="J106" s="150"/>
      <c r="K106" s="89"/>
      <c r="L106" s="55"/>
      <c r="M106" s="115"/>
      <c r="N106" s="190"/>
      <c r="O106" s="89"/>
      <c r="P106" s="55"/>
      <c r="Q106" s="191"/>
      <c r="R106" s="192"/>
      <c r="S106" s="121"/>
      <c r="T106" s="122"/>
      <c r="U106" s="191"/>
      <c r="V106" s="192"/>
      <c r="W106" s="121"/>
      <c r="X106" s="122"/>
      <c r="Y106" s="115"/>
      <c r="Z106" s="193"/>
      <c r="AA106" s="194"/>
      <c r="AB106" s="195"/>
      <c r="AC106" s="115"/>
      <c r="AD106" s="192"/>
      <c r="AE106" s="196"/>
      <c r="AF106" s="197"/>
      <c r="AG106" s="198"/>
      <c r="AH106" s="199"/>
      <c r="AI106" s="200"/>
      <c r="AJ106" s="122"/>
      <c r="AK106" s="122"/>
      <c r="AL106" s="122"/>
    </row>
    <row r="107">
      <c r="A107" s="115"/>
      <c r="B107" s="150"/>
      <c r="C107" s="89"/>
      <c r="D107" s="55"/>
      <c r="E107" s="115"/>
      <c r="F107" s="150"/>
      <c r="G107" s="188"/>
      <c r="H107" s="189"/>
      <c r="I107" s="115"/>
      <c r="J107" s="150"/>
      <c r="K107" s="89"/>
      <c r="L107" s="55"/>
      <c r="M107" s="115"/>
      <c r="N107" s="190"/>
      <c r="O107" s="89"/>
      <c r="P107" s="55"/>
      <c r="Q107" s="191"/>
      <c r="R107" s="192"/>
      <c r="S107" s="121"/>
      <c r="T107" s="122"/>
      <c r="U107" s="191"/>
      <c r="V107" s="192"/>
      <c r="W107" s="121"/>
      <c r="X107" s="122"/>
      <c r="Y107" s="115"/>
      <c r="Z107" s="193"/>
      <c r="AA107" s="194"/>
      <c r="AB107" s="195"/>
      <c r="AC107" s="115"/>
      <c r="AD107" s="192"/>
      <c r="AE107" s="196"/>
      <c r="AF107" s="197"/>
      <c r="AG107" s="198"/>
      <c r="AH107" s="199"/>
      <c r="AI107" s="200"/>
      <c r="AJ107" s="122"/>
      <c r="AK107" s="122"/>
      <c r="AL107" s="122"/>
    </row>
    <row r="108">
      <c r="A108" s="115"/>
      <c r="B108" s="150"/>
      <c r="C108" s="89"/>
      <c r="D108" s="55"/>
      <c r="E108" s="115"/>
      <c r="F108" s="150"/>
      <c r="G108" s="188"/>
      <c r="H108" s="189"/>
      <c r="I108" s="115"/>
      <c r="J108" s="150"/>
      <c r="K108" s="89"/>
      <c r="L108" s="55"/>
      <c r="M108" s="115"/>
      <c r="N108" s="190"/>
      <c r="O108" s="89"/>
      <c r="P108" s="55"/>
      <c r="Q108" s="191"/>
      <c r="R108" s="192"/>
      <c r="S108" s="121"/>
      <c r="T108" s="122"/>
      <c r="U108" s="191"/>
      <c r="V108" s="192"/>
      <c r="W108" s="121"/>
      <c r="X108" s="122"/>
      <c r="Y108" s="115"/>
      <c r="Z108" s="193"/>
      <c r="AA108" s="194"/>
      <c r="AB108" s="195"/>
      <c r="AC108" s="115"/>
      <c r="AD108" s="192"/>
      <c r="AE108" s="196"/>
      <c r="AF108" s="197"/>
      <c r="AG108" s="198"/>
      <c r="AH108" s="199"/>
      <c r="AI108" s="200"/>
      <c r="AJ108" s="122"/>
      <c r="AK108" s="122"/>
      <c r="AL108" s="122"/>
    </row>
    <row r="109">
      <c r="A109" s="115"/>
      <c r="B109" s="150"/>
      <c r="C109" s="89"/>
      <c r="D109" s="55"/>
      <c r="E109" s="115"/>
      <c r="F109" s="150"/>
      <c r="G109" s="188"/>
      <c r="H109" s="189"/>
      <c r="I109" s="115"/>
      <c r="J109" s="150"/>
      <c r="K109" s="89"/>
      <c r="L109" s="55"/>
      <c r="M109" s="115"/>
      <c r="N109" s="190"/>
      <c r="O109" s="89"/>
      <c r="P109" s="55"/>
      <c r="Q109" s="191"/>
      <c r="R109" s="192"/>
      <c r="S109" s="121"/>
      <c r="T109" s="122"/>
      <c r="U109" s="191"/>
      <c r="V109" s="192"/>
      <c r="W109" s="121"/>
      <c r="X109" s="122"/>
      <c r="Y109" s="115"/>
      <c r="Z109" s="193"/>
      <c r="AA109" s="194"/>
      <c r="AB109" s="195"/>
      <c r="AC109" s="115"/>
      <c r="AD109" s="192"/>
      <c r="AE109" s="196"/>
      <c r="AF109" s="197"/>
      <c r="AG109" s="198"/>
      <c r="AH109" s="199"/>
      <c r="AI109" s="200"/>
      <c r="AJ109" s="122"/>
      <c r="AK109" s="122"/>
      <c r="AL109" s="122"/>
    </row>
    <row r="110">
      <c r="A110" s="115"/>
      <c r="B110" s="150"/>
      <c r="C110" s="89"/>
      <c r="D110" s="55"/>
      <c r="E110" s="115"/>
      <c r="F110" s="150"/>
      <c r="G110" s="188"/>
      <c r="H110" s="189"/>
      <c r="I110" s="115"/>
      <c r="J110" s="150"/>
      <c r="K110" s="89"/>
      <c r="L110" s="55"/>
      <c r="M110" s="115"/>
      <c r="N110" s="190"/>
      <c r="O110" s="89"/>
      <c r="P110" s="55"/>
      <c r="Q110" s="191"/>
      <c r="R110" s="192"/>
      <c r="S110" s="121"/>
      <c r="T110" s="122"/>
      <c r="U110" s="191"/>
      <c r="V110" s="192"/>
      <c r="W110" s="121"/>
      <c r="X110" s="122"/>
      <c r="Y110" s="115"/>
      <c r="Z110" s="193"/>
      <c r="AA110" s="194"/>
      <c r="AB110" s="195"/>
      <c r="AC110" s="115"/>
      <c r="AD110" s="192"/>
      <c r="AE110" s="196"/>
      <c r="AF110" s="197"/>
      <c r="AG110" s="198"/>
      <c r="AH110" s="199"/>
      <c r="AI110" s="200"/>
      <c r="AJ110" s="122"/>
      <c r="AK110" s="122"/>
      <c r="AL110" s="122"/>
    </row>
    <row r="111">
      <c r="A111" s="115"/>
      <c r="B111" s="150"/>
      <c r="C111" s="89"/>
      <c r="D111" s="55"/>
      <c r="E111" s="115"/>
      <c r="F111" s="150"/>
      <c r="G111" s="188"/>
      <c r="H111" s="189"/>
      <c r="I111" s="115"/>
      <c r="J111" s="150"/>
      <c r="K111" s="89"/>
      <c r="L111" s="55"/>
      <c r="M111" s="115"/>
      <c r="N111" s="190"/>
      <c r="O111" s="89"/>
      <c r="P111" s="55"/>
      <c r="Q111" s="191"/>
      <c r="R111" s="192"/>
      <c r="S111" s="121"/>
      <c r="T111" s="122"/>
      <c r="U111" s="191"/>
      <c r="V111" s="192"/>
      <c r="W111" s="121"/>
      <c r="X111" s="122"/>
      <c r="Y111" s="115"/>
      <c r="Z111" s="193"/>
      <c r="AA111" s="194"/>
      <c r="AB111" s="195"/>
      <c r="AC111" s="115"/>
      <c r="AD111" s="192"/>
      <c r="AE111" s="196"/>
      <c r="AF111" s="197"/>
      <c r="AG111" s="198"/>
      <c r="AH111" s="199"/>
      <c r="AI111" s="200"/>
      <c r="AJ111" s="122"/>
      <c r="AK111" s="122"/>
      <c r="AL111" s="122"/>
    </row>
    <row r="112">
      <c r="A112" s="115"/>
      <c r="B112" s="150"/>
      <c r="C112" s="89"/>
      <c r="D112" s="55"/>
      <c r="E112" s="115"/>
      <c r="F112" s="150"/>
      <c r="G112" s="188"/>
      <c r="H112" s="189"/>
      <c r="I112" s="115"/>
      <c r="J112" s="150"/>
      <c r="K112" s="89"/>
      <c r="L112" s="55"/>
      <c r="M112" s="115"/>
      <c r="N112" s="190"/>
      <c r="O112" s="89"/>
      <c r="P112" s="55"/>
      <c r="Q112" s="191"/>
      <c r="R112" s="192"/>
      <c r="S112" s="121"/>
      <c r="T112" s="122"/>
      <c r="U112" s="191"/>
      <c r="V112" s="192"/>
      <c r="W112" s="121"/>
      <c r="X112" s="122"/>
      <c r="Y112" s="115"/>
      <c r="Z112" s="193"/>
      <c r="AA112" s="194"/>
      <c r="AB112" s="195"/>
      <c r="AC112" s="115"/>
      <c r="AD112" s="192"/>
      <c r="AE112" s="196"/>
      <c r="AF112" s="197"/>
      <c r="AG112" s="198"/>
      <c r="AH112" s="199"/>
      <c r="AI112" s="200"/>
      <c r="AJ112" s="122"/>
      <c r="AK112" s="122"/>
      <c r="AL112" s="122"/>
    </row>
    <row r="113">
      <c r="A113" s="115"/>
      <c r="B113" s="150"/>
      <c r="C113" s="89"/>
      <c r="D113" s="55"/>
      <c r="E113" s="115"/>
      <c r="F113" s="150"/>
      <c r="G113" s="188"/>
      <c r="H113" s="189"/>
      <c r="I113" s="115"/>
      <c r="J113" s="150"/>
      <c r="K113" s="89"/>
      <c r="L113" s="55"/>
      <c r="M113" s="115"/>
      <c r="N113" s="190"/>
      <c r="O113" s="89"/>
      <c r="P113" s="55"/>
      <c r="Q113" s="191"/>
      <c r="R113" s="192"/>
      <c r="S113" s="121"/>
      <c r="T113" s="122"/>
      <c r="U113" s="191"/>
      <c r="V113" s="192"/>
      <c r="W113" s="121"/>
      <c r="X113" s="122"/>
      <c r="Y113" s="115"/>
      <c r="Z113" s="193"/>
      <c r="AA113" s="194"/>
      <c r="AB113" s="195"/>
      <c r="AC113" s="115"/>
      <c r="AD113" s="192"/>
      <c r="AE113" s="196"/>
      <c r="AF113" s="197"/>
      <c r="AG113" s="198"/>
      <c r="AH113" s="199"/>
      <c r="AI113" s="200"/>
      <c r="AJ113" s="122"/>
      <c r="AK113" s="122"/>
      <c r="AL113" s="122"/>
    </row>
    <row r="114">
      <c r="A114" s="115"/>
      <c r="B114" s="150"/>
      <c r="C114" s="89"/>
      <c r="D114" s="55"/>
      <c r="E114" s="115"/>
      <c r="F114" s="150"/>
      <c r="G114" s="188"/>
      <c r="H114" s="189"/>
      <c r="I114" s="115"/>
      <c r="J114" s="150"/>
      <c r="K114" s="89"/>
      <c r="L114" s="55"/>
      <c r="M114" s="115"/>
      <c r="N114" s="190"/>
      <c r="O114" s="89"/>
      <c r="P114" s="55"/>
      <c r="Q114" s="191"/>
      <c r="R114" s="192"/>
      <c r="S114" s="121"/>
      <c r="T114" s="122"/>
      <c r="U114" s="191"/>
      <c r="V114" s="192"/>
      <c r="W114" s="121"/>
      <c r="X114" s="122"/>
      <c r="Y114" s="115"/>
      <c r="Z114" s="193"/>
      <c r="AA114" s="194"/>
      <c r="AB114" s="195"/>
      <c r="AC114" s="115"/>
      <c r="AD114" s="192"/>
      <c r="AE114" s="196"/>
      <c r="AF114" s="197"/>
      <c r="AG114" s="198"/>
      <c r="AH114" s="199"/>
      <c r="AI114" s="200"/>
      <c r="AJ114" s="122"/>
      <c r="AK114" s="122"/>
      <c r="AL114" s="122"/>
    </row>
    <row r="115">
      <c r="A115" s="115"/>
      <c r="B115" s="150"/>
      <c r="C115" s="89"/>
      <c r="D115" s="55"/>
      <c r="E115" s="115"/>
      <c r="F115" s="150"/>
      <c r="G115" s="188"/>
      <c r="H115" s="189"/>
      <c r="I115" s="115"/>
      <c r="J115" s="150"/>
      <c r="K115" s="89"/>
      <c r="L115" s="55"/>
      <c r="M115" s="115"/>
      <c r="N115" s="190"/>
      <c r="O115" s="89"/>
      <c r="P115" s="55"/>
      <c r="Q115" s="191"/>
      <c r="R115" s="192"/>
      <c r="S115" s="121"/>
      <c r="T115" s="122"/>
      <c r="U115" s="191"/>
      <c r="V115" s="192"/>
      <c r="W115" s="121"/>
      <c r="X115" s="122"/>
      <c r="Y115" s="115"/>
      <c r="Z115" s="193"/>
      <c r="AA115" s="194"/>
      <c r="AB115" s="195"/>
      <c r="AC115" s="115"/>
      <c r="AD115" s="192"/>
      <c r="AE115" s="196"/>
      <c r="AF115" s="197"/>
      <c r="AG115" s="198"/>
      <c r="AH115" s="199"/>
      <c r="AI115" s="200"/>
      <c r="AJ115" s="122"/>
      <c r="AK115" s="122"/>
      <c r="AL115" s="122"/>
    </row>
    <row r="116">
      <c r="A116" s="115"/>
      <c r="B116" s="150"/>
      <c r="C116" s="89"/>
      <c r="D116" s="55"/>
      <c r="E116" s="115"/>
      <c r="F116" s="150"/>
      <c r="G116" s="188"/>
      <c r="H116" s="189"/>
      <c r="I116" s="115"/>
      <c r="J116" s="150"/>
      <c r="K116" s="89"/>
      <c r="L116" s="55"/>
      <c r="M116" s="115"/>
      <c r="N116" s="190"/>
      <c r="O116" s="89"/>
      <c r="P116" s="55"/>
      <c r="Q116" s="191"/>
      <c r="R116" s="192"/>
      <c r="S116" s="121"/>
      <c r="T116" s="122"/>
      <c r="U116" s="191"/>
      <c r="V116" s="192"/>
      <c r="W116" s="121"/>
      <c r="X116" s="122"/>
      <c r="Y116" s="115"/>
      <c r="Z116" s="193"/>
      <c r="AA116" s="194"/>
      <c r="AB116" s="195"/>
      <c r="AC116" s="115"/>
      <c r="AD116" s="192"/>
      <c r="AE116" s="196"/>
      <c r="AF116" s="197"/>
      <c r="AG116" s="198"/>
      <c r="AH116" s="199"/>
      <c r="AI116" s="200"/>
      <c r="AJ116" s="122"/>
      <c r="AK116" s="122"/>
      <c r="AL116" s="122"/>
    </row>
    <row r="117">
      <c r="A117" s="115"/>
      <c r="B117" s="150"/>
      <c r="C117" s="89"/>
      <c r="D117" s="55"/>
      <c r="E117" s="115"/>
      <c r="F117" s="150"/>
      <c r="G117" s="188"/>
      <c r="H117" s="189"/>
      <c r="I117" s="115"/>
      <c r="J117" s="150"/>
      <c r="K117" s="89"/>
      <c r="L117" s="55"/>
      <c r="M117" s="115"/>
      <c r="N117" s="190"/>
      <c r="O117" s="89"/>
      <c r="P117" s="55"/>
      <c r="Q117" s="191"/>
      <c r="R117" s="192"/>
      <c r="S117" s="121"/>
      <c r="T117" s="122"/>
      <c r="U117" s="191"/>
      <c r="V117" s="192"/>
      <c r="W117" s="121"/>
      <c r="X117" s="122"/>
      <c r="Y117" s="115"/>
      <c r="Z117" s="193"/>
      <c r="AA117" s="194"/>
      <c r="AB117" s="195"/>
      <c r="AC117" s="115"/>
      <c r="AD117" s="192"/>
      <c r="AE117" s="196"/>
      <c r="AF117" s="197"/>
      <c r="AG117" s="198"/>
      <c r="AH117" s="199"/>
      <c r="AI117" s="200"/>
      <c r="AJ117" s="122"/>
      <c r="AK117" s="122"/>
      <c r="AL117" s="122"/>
    </row>
    <row r="118">
      <c r="A118" s="115"/>
      <c r="B118" s="150"/>
      <c r="C118" s="89"/>
      <c r="D118" s="55"/>
      <c r="E118" s="115"/>
      <c r="F118" s="150"/>
      <c r="G118" s="188"/>
      <c r="H118" s="189"/>
      <c r="I118" s="115"/>
      <c r="J118" s="150"/>
      <c r="K118" s="89"/>
      <c r="L118" s="55"/>
      <c r="M118" s="115"/>
      <c r="N118" s="190"/>
      <c r="O118" s="89"/>
      <c r="P118" s="55"/>
      <c r="Q118" s="191"/>
      <c r="R118" s="192"/>
      <c r="S118" s="121"/>
      <c r="T118" s="122"/>
      <c r="U118" s="191"/>
      <c r="V118" s="192"/>
      <c r="W118" s="121"/>
      <c r="X118" s="122"/>
      <c r="Y118" s="115"/>
      <c r="Z118" s="193"/>
      <c r="AA118" s="194"/>
      <c r="AB118" s="195"/>
      <c r="AC118" s="115"/>
      <c r="AD118" s="192"/>
      <c r="AE118" s="196"/>
      <c r="AF118" s="197"/>
      <c r="AG118" s="198"/>
      <c r="AH118" s="199"/>
      <c r="AI118" s="200"/>
      <c r="AJ118" s="122"/>
      <c r="AK118" s="122"/>
      <c r="AL118" s="122"/>
    </row>
    <row r="119">
      <c r="A119" s="115"/>
      <c r="B119" s="150"/>
      <c r="C119" s="89"/>
      <c r="D119" s="55"/>
      <c r="E119" s="115"/>
      <c r="F119" s="150"/>
      <c r="G119" s="188"/>
      <c r="H119" s="189"/>
      <c r="I119" s="115"/>
      <c r="J119" s="150"/>
      <c r="K119" s="89"/>
      <c r="L119" s="55"/>
      <c r="M119" s="115"/>
      <c r="N119" s="190"/>
      <c r="O119" s="89"/>
      <c r="P119" s="55"/>
      <c r="Q119" s="191"/>
      <c r="R119" s="192"/>
      <c r="S119" s="121"/>
      <c r="T119" s="122"/>
      <c r="U119" s="191"/>
      <c r="V119" s="192"/>
      <c r="W119" s="121"/>
      <c r="X119" s="122"/>
      <c r="Y119" s="115"/>
      <c r="Z119" s="193"/>
      <c r="AA119" s="194"/>
      <c r="AB119" s="195"/>
      <c r="AC119" s="115"/>
      <c r="AD119" s="192"/>
      <c r="AE119" s="196"/>
      <c r="AF119" s="197"/>
      <c r="AG119" s="198"/>
      <c r="AH119" s="199"/>
      <c r="AI119" s="200"/>
      <c r="AJ119" s="122"/>
      <c r="AK119" s="122"/>
      <c r="AL119" s="122"/>
    </row>
    <row r="120">
      <c r="A120" s="115"/>
      <c r="B120" s="150"/>
      <c r="C120" s="89"/>
      <c r="D120" s="55"/>
      <c r="E120" s="115"/>
      <c r="F120" s="150"/>
      <c r="G120" s="188"/>
      <c r="H120" s="189"/>
      <c r="I120" s="115"/>
      <c r="J120" s="150"/>
      <c r="K120" s="89"/>
      <c r="L120" s="55"/>
      <c r="M120" s="115"/>
      <c r="N120" s="190"/>
      <c r="O120" s="89"/>
      <c r="P120" s="55"/>
      <c r="Q120" s="191"/>
      <c r="R120" s="192"/>
      <c r="S120" s="121"/>
      <c r="T120" s="122"/>
      <c r="U120" s="191"/>
      <c r="V120" s="192"/>
      <c r="W120" s="121"/>
      <c r="X120" s="122"/>
      <c r="Y120" s="115"/>
      <c r="Z120" s="193"/>
      <c r="AA120" s="194"/>
      <c r="AB120" s="195"/>
      <c r="AC120" s="115"/>
      <c r="AD120" s="192"/>
      <c r="AE120" s="196"/>
      <c r="AF120" s="197"/>
      <c r="AG120" s="198"/>
      <c r="AH120" s="199"/>
      <c r="AI120" s="200"/>
      <c r="AJ120" s="122"/>
      <c r="AK120" s="122"/>
      <c r="AL120" s="122"/>
    </row>
    <row r="121">
      <c r="A121" s="115"/>
      <c r="B121" s="150"/>
      <c r="C121" s="89"/>
      <c r="D121" s="55"/>
      <c r="E121" s="115"/>
      <c r="F121" s="150"/>
      <c r="G121" s="188"/>
      <c r="H121" s="189"/>
      <c r="I121" s="115"/>
      <c r="J121" s="150"/>
      <c r="K121" s="89"/>
      <c r="L121" s="55"/>
      <c r="M121" s="115"/>
      <c r="N121" s="190"/>
      <c r="O121" s="89"/>
      <c r="P121" s="55"/>
      <c r="Q121" s="191"/>
      <c r="R121" s="192"/>
      <c r="S121" s="121"/>
      <c r="T121" s="122"/>
      <c r="U121" s="191"/>
      <c r="V121" s="192"/>
      <c r="W121" s="121"/>
      <c r="X121" s="122"/>
      <c r="Y121" s="115"/>
      <c r="Z121" s="193"/>
      <c r="AA121" s="194"/>
      <c r="AB121" s="195"/>
      <c r="AC121" s="115"/>
      <c r="AD121" s="192"/>
      <c r="AE121" s="196"/>
      <c r="AF121" s="197"/>
      <c r="AG121" s="198"/>
      <c r="AH121" s="199"/>
      <c r="AI121" s="200"/>
      <c r="AJ121" s="122"/>
      <c r="AK121" s="122"/>
      <c r="AL121" s="122"/>
    </row>
    <row r="122">
      <c r="A122" s="115"/>
      <c r="B122" s="150"/>
      <c r="C122" s="89"/>
      <c r="D122" s="55"/>
      <c r="E122" s="115"/>
      <c r="F122" s="150"/>
      <c r="G122" s="188"/>
      <c r="H122" s="189"/>
      <c r="I122" s="115"/>
      <c r="J122" s="150"/>
      <c r="K122" s="89"/>
      <c r="L122" s="55"/>
      <c r="M122" s="115"/>
      <c r="N122" s="190"/>
      <c r="O122" s="89"/>
      <c r="P122" s="55"/>
      <c r="Q122" s="191"/>
      <c r="R122" s="192"/>
      <c r="S122" s="121"/>
      <c r="T122" s="122"/>
      <c r="U122" s="191"/>
      <c r="V122" s="192"/>
      <c r="W122" s="121"/>
      <c r="X122" s="122"/>
      <c r="Y122" s="115"/>
      <c r="Z122" s="193"/>
      <c r="AA122" s="194"/>
      <c r="AB122" s="195"/>
      <c r="AC122" s="115"/>
      <c r="AD122" s="192"/>
      <c r="AE122" s="196"/>
      <c r="AF122" s="197"/>
      <c r="AG122" s="198"/>
      <c r="AH122" s="199"/>
      <c r="AI122" s="200"/>
      <c r="AJ122" s="122"/>
      <c r="AK122" s="122"/>
      <c r="AL122" s="122"/>
    </row>
    <row r="123">
      <c r="A123" s="115"/>
      <c r="B123" s="150"/>
      <c r="C123" s="89"/>
      <c r="D123" s="55"/>
      <c r="E123" s="115"/>
      <c r="F123" s="150"/>
      <c r="G123" s="188"/>
      <c r="H123" s="189"/>
      <c r="I123" s="115"/>
      <c r="J123" s="150"/>
      <c r="K123" s="89"/>
      <c r="L123" s="55"/>
      <c r="M123" s="115"/>
      <c r="N123" s="190"/>
      <c r="O123" s="89"/>
      <c r="P123" s="55"/>
      <c r="Q123" s="191"/>
      <c r="R123" s="192"/>
      <c r="S123" s="121"/>
      <c r="T123" s="122"/>
      <c r="U123" s="191"/>
      <c r="V123" s="192"/>
      <c r="W123" s="121"/>
      <c r="X123" s="122"/>
      <c r="Y123" s="115"/>
      <c r="Z123" s="193"/>
      <c r="AA123" s="194"/>
      <c r="AB123" s="195"/>
      <c r="AC123" s="115"/>
      <c r="AD123" s="192"/>
      <c r="AE123" s="196"/>
      <c r="AF123" s="197"/>
      <c r="AG123" s="198"/>
      <c r="AH123" s="199"/>
      <c r="AI123" s="200"/>
      <c r="AJ123" s="122"/>
      <c r="AK123" s="122"/>
      <c r="AL123" s="122"/>
    </row>
    <row r="124">
      <c r="A124" s="115"/>
      <c r="B124" s="150"/>
      <c r="C124" s="89"/>
      <c r="D124" s="55"/>
      <c r="E124" s="115"/>
      <c r="F124" s="150"/>
      <c r="G124" s="188"/>
      <c r="H124" s="189"/>
      <c r="I124" s="115"/>
      <c r="J124" s="150"/>
      <c r="K124" s="89"/>
      <c r="L124" s="55"/>
      <c r="M124" s="115"/>
      <c r="N124" s="190"/>
      <c r="O124" s="89"/>
      <c r="P124" s="55"/>
      <c r="Q124" s="191"/>
      <c r="R124" s="192"/>
      <c r="S124" s="121"/>
      <c r="T124" s="122"/>
      <c r="U124" s="191"/>
      <c r="V124" s="192"/>
      <c r="W124" s="121"/>
      <c r="X124" s="122"/>
      <c r="Y124" s="115"/>
      <c r="Z124" s="193"/>
      <c r="AA124" s="194"/>
      <c r="AB124" s="195"/>
      <c r="AC124" s="115"/>
      <c r="AD124" s="192"/>
      <c r="AE124" s="196"/>
      <c r="AF124" s="197"/>
      <c r="AG124" s="198"/>
      <c r="AH124" s="199"/>
      <c r="AI124" s="200"/>
      <c r="AJ124" s="122"/>
      <c r="AK124" s="122"/>
      <c r="AL124" s="122"/>
    </row>
    <row r="125">
      <c r="A125" s="115"/>
      <c r="B125" s="150"/>
      <c r="C125" s="89"/>
      <c r="D125" s="55"/>
      <c r="E125" s="115"/>
      <c r="F125" s="150"/>
      <c r="G125" s="188"/>
      <c r="H125" s="189"/>
      <c r="I125" s="115"/>
      <c r="J125" s="150"/>
      <c r="K125" s="89"/>
      <c r="L125" s="55"/>
      <c r="M125" s="115"/>
      <c r="N125" s="190"/>
      <c r="O125" s="89"/>
      <c r="P125" s="55"/>
      <c r="Q125" s="191"/>
      <c r="R125" s="192"/>
      <c r="S125" s="121"/>
      <c r="T125" s="122"/>
      <c r="U125" s="191"/>
      <c r="V125" s="192"/>
      <c r="W125" s="121"/>
      <c r="X125" s="122"/>
      <c r="Y125" s="115"/>
      <c r="Z125" s="193"/>
      <c r="AA125" s="194"/>
      <c r="AB125" s="195"/>
      <c r="AC125" s="115"/>
      <c r="AD125" s="192"/>
      <c r="AE125" s="196"/>
      <c r="AF125" s="197"/>
      <c r="AG125" s="198"/>
      <c r="AH125" s="199"/>
      <c r="AI125" s="200"/>
      <c r="AJ125" s="122"/>
      <c r="AK125" s="122"/>
      <c r="AL125" s="122"/>
    </row>
    <row r="126">
      <c r="A126" s="115"/>
      <c r="B126" s="150"/>
      <c r="C126" s="89"/>
      <c r="D126" s="55"/>
      <c r="E126" s="115"/>
      <c r="F126" s="150"/>
      <c r="G126" s="188"/>
      <c r="H126" s="189"/>
      <c r="I126" s="115"/>
      <c r="J126" s="150"/>
      <c r="K126" s="89"/>
      <c r="L126" s="55"/>
      <c r="M126" s="115"/>
      <c r="N126" s="190"/>
      <c r="O126" s="89"/>
      <c r="P126" s="55"/>
      <c r="Q126" s="191"/>
      <c r="R126" s="192"/>
      <c r="S126" s="121"/>
      <c r="T126" s="122"/>
      <c r="U126" s="191"/>
      <c r="V126" s="192"/>
      <c r="W126" s="121"/>
      <c r="X126" s="122"/>
      <c r="Y126" s="115"/>
      <c r="Z126" s="193"/>
      <c r="AA126" s="194"/>
      <c r="AB126" s="195"/>
      <c r="AC126" s="115"/>
      <c r="AD126" s="192"/>
      <c r="AE126" s="196"/>
      <c r="AF126" s="197"/>
      <c r="AG126" s="198"/>
      <c r="AH126" s="199"/>
      <c r="AI126" s="200"/>
      <c r="AJ126" s="122"/>
      <c r="AK126" s="122"/>
      <c r="AL126" s="122"/>
    </row>
    <row r="127">
      <c r="A127" s="115"/>
      <c r="B127" s="150"/>
      <c r="C127" s="89"/>
      <c r="D127" s="55"/>
      <c r="E127" s="115"/>
      <c r="F127" s="150"/>
      <c r="G127" s="188"/>
      <c r="H127" s="189"/>
      <c r="I127" s="115"/>
      <c r="J127" s="150"/>
      <c r="K127" s="89"/>
      <c r="L127" s="55"/>
      <c r="M127" s="115"/>
      <c r="N127" s="190"/>
      <c r="O127" s="89"/>
      <c r="P127" s="55"/>
      <c r="Q127" s="191"/>
      <c r="R127" s="192"/>
      <c r="S127" s="121"/>
      <c r="T127" s="122"/>
      <c r="U127" s="191"/>
      <c r="V127" s="192"/>
      <c r="W127" s="121"/>
      <c r="X127" s="122"/>
      <c r="Y127" s="115"/>
      <c r="Z127" s="193"/>
      <c r="AA127" s="194"/>
      <c r="AB127" s="195"/>
      <c r="AC127" s="115"/>
      <c r="AD127" s="192"/>
      <c r="AE127" s="196"/>
      <c r="AF127" s="197"/>
      <c r="AG127" s="198"/>
      <c r="AH127" s="199"/>
      <c r="AI127" s="200"/>
      <c r="AJ127" s="122"/>
      <c r="AK127" s="122"/>
      <c r="AL127" s="122"/>
    </row>
    <row r="128">
      <c r="A128" s="115"/>
      <c r="B128" s="150"/>
      <c r="C128" s="89"/>
      <c r="D128" s="55"/>
      <c r="E128" s="115"/>
      <c r="F128" s="150"/>
      <c r="G128" s="188"/>
      <c r="H128" s="189"/>
      <c r="I128" s="115"/>
      <c r="J128" s="150"/>
      <c r="K128" s="89"/>
      <c r="L128" s="55"/>
      <c r="M128" s="115"/>
      <c r="N128" s="190"/>
      <c r="O128" s="89"/>
      <c r="P128" s="55"/>
      <c r="Q128" s="191"/>
      <c r="R128" s="192"/>
      <c r="S128" s="121"/>
      <c r="T128" s="122"/>
      <c r="U128" s="191"/>
      <c r="V128" s="192"/>
      <c r="W128" s="121"/>
      <c r="X128" s="122"/>
      <c r="Y128" s="115"/>
      <c r="Z128" s="193"/>
      <c r="AA128" s="194"/>
      <c r="AB128" s="195"/>
      <c r="AC128" s="115"/>
      <c r="AD128" s="192"/>
      <c r="AE128" s="196"/>
      <c r="AF128" s="197"/>
      <c r="AG128" s="198"/>
      <c r="AH128" s="199"/>
      <c r="AI128" s="200"/>
      <c r="AJ128" s="122"/>
      <c r="AK128" s="122"/>
      <c r="AL128" s="122"/>
    </row>
    <row r="129">
      <c r="A129" s="115"/>
      <c r="B129" s="150"/>
      <c r="C129" s="89"/>
      <c r="D129" s="55"/>
      <c r="E129" s="115"/>
      <c r="F129" s="150"/>
      <c r="G129" s="188"/>
      <c r="H129" s="189"/>
      <c r="I129" s="115"/>
      <c r="J129" s="150"/>
      <c r="K129" s="89"/>
      <c r="L129" s="55"/>
      <c r="M129" s="115"/>
      <c r="N129" s="190"/>
      <c r="O129" s="89"/>
      <c r="P129" s="55"/>
      <c r="Q129" s="191"/>
      <c r="R129" s="192"/>
      <c r="S129" s="121"/>
      <c r="T129" s="122"/>
      <c r="U129" s="191"/>
      <c r="V129" s="192"/>
      <c r="W129" s="121"/>
      <c r="X129" s="122"/>
      <c r="Y129" s="115"/>
      <c r="Z129" s="193"/>
      <c r="AA129" s="194"/>
      <c r="AB129" s="195"/>
      <c r="AC129" s="115"/>
      <c r="AD129" s="192"/>
      <c r="AE129" s="196"/>
      <c r="AF129" s="197"/>
      <c r="AG129" s="198"/>
      <c r="AH129" s="199"/>
      <c r="AI129" s="200"/>
      <c r="AJ129" s="122"/>
      <c r="AK129" s="122"/>
      <c r="AL129" s="122"/>
    </row>
    <row r="130">
      <c r="A130" s="115"/>
      <c r="B130" s="150"/>
      <c r="C130" s="89"/>
      <c r="D130" s="55"/>
      <c r="E130" s="115"/>
      <c r="F130" s="150"/>
      <c r="G130" s="188"/>
      <c r="H130" s="189"/>
      <c r="I130" s="115"/>
      <c r="J130" s="150"/>
      <c r="K130" s="89"/>
      <c r="L130" s="55"/>
      <c r="M130" s="115"/>
      <c r="N130" s="190"/>
      <c r="O130" s="89"/>
      <c r="P130" s="55"/>
      <c r="Q130" s="191"/>
      <c r="R130" s="192"/>
      <c r="S130" s="121"/>
      <c r="T130" s="122"/>
      <c r="U130" s="191"/>
      <c r="V130" s="192"/>
      <c r="W130" s="121"/>
      <c r="X130" s="122"/>
      <c r="Y130" s="115"/>
      <c r="Z130" s="193"/>
      <c r="AA130" s="194"/>
      <c r="AB130" s="195"/>
      <c r="AC130" s="115"/>
      <c r="AD130" s="192"/>
      <c r="AE130" s="196"/>
      <c r="AF130" s="197"/>
      <c r="AG130" s="198"/>
      <c r="AH130" s="199"/>
      <c r="AI130" s="200"/>
      <c r="AJ130" s="122"/>
      <c r="AK130" s="122"/>
      <c r="AL130" s="122"/>
    </row>
    <row r="131">
      <c r="A131" s="115"/>
      <c r="B131" s="150"/>
      <c r="C131" s="89"/>
      <c r="D131" s="55"/>
      <c r="E131" s="115"/>
      <c r="F131" s="150"/>
      <c r="G131" s="188"/>
      <c r="H131" s="189"/>
      <c r="I131" s="115"/>
      <c r="J131" s="150"/>
      <c r="K131" s="89"/>
      <c r="L131" s="55"/>
      <c r="M131" s="115"/>
      <c r="N131" s="190"/>
      <c r="O131" s="89"/>
      <c r="P131" s="55"/>
      <c r="Q131" s="191"/>
      <c r="R131" s="192"/>
      <c r="S131" s="121"/>
      <c r="T131" s="122"/>
      <c r="U131" s="191"/>
      <c r="V131" s="192"/>
      <c r="W131" s="121"/>
      <c r="X131" s="122"/>
      <c r="Y131" s="115"/>
      <c r="Z131" s="193"/>
      <c r="AA131" s="194"/>
      <c r="AB131" s="195"/>
      <c r="AC131" s="115"/>
      <c r="AD131" s="192"/>
      <c r="AE131" s="196"/>
      <c r="AF131" s="197"/>
      <c r="AG131" s="198"/>
      <c r="AH131" s="199"/>
      <c r="AI131" s="200"/>
      <c r="AJ131" s="122"/>
      <c r="AK131" s="122"/>
      <c r="AL131" s="122"/>
    </row>
    <row r="132">
      <c r="A132" s="115"/>
      <c r="B132" s="150"/>
      <c r="C132" s="89"/>
      <c r="D132" s="55"/>
      <c r="E132" s="115"/>
      <c r="F132" s="150"/>
      <c r="G132" s="188"/>
      <c r="H132" s="189"/>
      <c r="I132" s="115"/>
      <c r="J132" s="150"/>
      <c r="K132" s="89"/>
      <c r="L132" s="55"/>
      <c r="M132" s="115"/>
      <c r="N132" s="190"/>
      <c r="O132" s="89"/>
      <c r="P132" s="55"/>
      <c r="Q132" s="191"/>
      <c r="R132" s="192"/>
      <c r="S132" s="121"/>
      <c r="T132" s="122"/>
      <c r="U132" s="191"/>
      <c r="V132" s="192"/>
      <c r="W132" s="121"/>
      <c r="X132" s="122"/>
      <c r="Y132" s="115"/>
      <c r="Z132" s="193"/>
      <c r="AA132" s="194"/>
      <c r="AB132" s="195"/>
      <c r="AC132" s="115"/>
      <c r="AD132" s="192"/>
      <c r="AE132" s="196"/>
      <c r="AF132" s="197"/>
      <c r="AG132" s="198"/>
      <c r="AH132" s="199"/>
      <c r="AI132" s="200"/>
      <c r="AJ132" s="122"/>
      <c r="AK132" s="122"/>
      <c r="AL132" s="122"/>
    </row>
    <row r="133">
      <c r="A133" s="115"/>
      <c r="B133" s="150"/>
      <c r="C133" s="89"/>
      <c r="D133" s="55"/>
      <c r="E133" s="115"/>
      <c r="F133" s="150"/>
      <c r="G133" s="188"/>
      <c r="H133" s="189"/>
      <c r="I133" s="115"/>
      <c r="J133" s="150"/>
      <c r="K133" s="89"/>
      <c r="L133" s="55"/>
      <c r="M133" s="115"/>
      <c r="N133" s="190"/>
      <c r="O133" s="89"/>
      <c r="P133" s="55"/>
      <c r="Q133" s="191"/>
      <c r="R133" s="192"/>
      <c r="S133" s="121"/>
      <c r="T133" s="122"/>
      <c r="U133" s="191"/>
      <c r="V133" s="192"/>
      <c r="W133" s="121"/>
      <c r="X133" s="122"/>
      <c r="Y133" s="115"/>
      <c r="Z133" s="193"/>
      <c r="AA133" s="194"/>
      <c r="AB133" s="195"/>
      <c r="AC133" s="115"/>
      <c r="AD133" s="192"/>
      <c r="AE133" s="196"/>
      <c r="AF133" s="197"/>
      <c r="AG133" s="198"/>
      <c r="AH133" s="199"/>
      <c r="AI133" s="200"/>
      <c r="AJ133" s="122"/>
      <c r="AK133" s="122"/>
      <c r="AL133" s="122"/>
    </row>
    <row r="134">
      <c r="A134" s="115"/>
      <c r="B134" s="150"/>
      <c r="C134" s="89"/>
      <c r="D134" s="55"/>
      <c r="E134" s="115"/>
      <c r="F134" s="150"/>
      <c r="G134" s="188"/>
      <c r="H134" s="189"/>
      <c r="I134" s="115"/>
      <c r="J134" s="150"/>
      <c r="K134" s="89"/>
      <c r="L134" s="55"/>
      <c r="M134" s="115"/>
      <c r="N134" s="190"/>
      <c r="O134" s="89"/>
      <c r="P134" s="55"/>
      <c r="Q134" s="191"/>
      <c r="R134" s="192"/>
      <c r="S134" s="121"/>
      <c r="T134" s="122"/>
      <c r="U134" s="191"/>
      <c r="V134" s="192"/>
      <c r="W134" s="121"/>
      <c r="X134" s="122"/>
      <c r="Y134" s="115"/>
      <c r="Z134" s="193"/>
      <c r="AA134" s="194"/>
      <c r="AB134" s="195"/>
      <c r="AC134" s="115"/>
      <c r="AD134" s="192"/>
      <c r="AE134" s="196"/>
      <c r="AF134" s="197"/>
      <c r="AG134" s="198"/>
      <c r="AH134" s="199"/>
      <c r="AI134" s="200"/>
      <c r="AJ134" s="122"/>
      <c r="AK134" s="122"/>
      <c r="AL134" s="122"/>
    </row>
    <row r="135">
      <c r="A135" s="115"/>
      <c r="B135" s="150"/>
      <c r="C135" s="89"/>
      <c r="D135" s="55"/>
      <c r="E135" s="115"/>
      <c r="F135" s="150"/>
      <c r="G135" s="188"/>
      <c r="H135" s="189"/>
      <c r="I135" s="115"/>
      <c r="J135" s="150"/>
      <c r="K135" s="89"/>
      <c r="L135" s="55"/>
      <c r="M135" s="115"/>
      <c r="N135" s="190"/>
      <c r="O135" s="89"/>
      <c r="P135" s="55"/>
      <c r="Q135" s="191"/>
      <c r="R135" s="192"/>
      <c r="S135" s="121"/>
      <c r="T135" s="122"/>
      <c r="U135" s="191"/>
      <c r="V135" s="192"/>
      <c r="W135" s="121"/>
      <c r="X135" s="122"/>
      <c r="Y135" s="115"/>
      <c r="Z135" s="193"/>
      <c r="AA135" s="194"/>
      <c r="AB135" s="195"/>
      <c r="AC135" s="115"/>
      <c r="AD135" s="192"/>
      <c r="AE135" s="196"/>
      <c r="AF135" s="197"/>
      <c r="AG135" s="198"/>
      <c r="AH135" s="199"/>
      <c r="AI135" s="200"/>
      <c r="AJ135" s="122"/>
      <c r="AK135" s="122"/>
      <c r="AL135" s="122"/>
    </row>
    <row r="136">
      <c r="A136" s="115"/>
      <c r="B136" s="150"/>
      <c r="C136" s="89"/>
      <c r="D136" s="55"/>
      <c r="E136" s="115"/>
      <c r="F136" s="150"/>
      <c r="G136" s="188"/>
      <c r="H136" s="189"/>
      <c r="I136" s="115"/>
      <c r="J136" s="150"/>
      <c r="K136" s="89"/>
      <c r="L136" s="55"/>
      <c r="M136" s="115"/>
      <c r="N136" s="190"/>
      <c r="O136" s="89"/>
      <c r="P136" s="55"/>
      <c r="Q136" s="191"/>
      <c r="R136" s="192"/>
      <c r="S136" s="121"/>
      <c r="T136" s="122"/>
      <c r="U136" s="191"/>
      <c r="V136" s="192"/>
      <c r="W136" s="121"/>
      <c r="X136" s="122"/>
      <c r="Y136" s="115"/>
      <c r="Z136" s="193"/>
      <c r="AA136" s="194"/>
      <c r="AB136" s="195"/>
      <c r="AC136" s="115"/>
      <c r="AD136" s="192"/>
      <c r="AE136" s="196"/>
      <c r="AF136" s="197"/>
      <c r="AG136" s="198"/>
      <c r="AH136" s="199"/>
      <c r="AI136" s="200"/>
      <c r="AJ136" s="122"/>
      <c r="AK136" s="122"/>
      <c r="AL136" s="122"/>
    </row>
    <row r="137">
      <c r="A137" s="115"/>
      <c r="B137" s="150"/>
      <c r="C137" s="89"/>
      <c r="D137" s="55"/>
      <c r="E137" s="115"/>
      <c r="F137" s="150"/>
      <c r="G137" s="188"/>
      <c r="H137" s="189"/>
      <c r="I137" s="115"/>
      <c r="J137" s="150"/>
      <c r="K137" s="89"/>
      <c r="L137" s="55"/>
      <c r="M137" s="115"/>
      <c r="N137" s="190"/>
      <c r="O137" s="89"/>
      <c r="P137" s="55"/>
      <c r="Q137" s="191"/>
      <c r="R137" s="192"/>
      <c r="S137" s="121"/>
      <c r="T137" s="122"/>
      <c r="U137" s="191"/>
      <c r="V137" s="192"/>
      <c r="W137" s="121"/>
      <c r="X137" s="122"/>
      <c r="Y137" s="115"/>
      <c r="Z137" s="193"/>
      <c r="AA137" s="194"/>
      <c r="AB137" s="195"/>
      <c r="AC137" s="115"/>
      <c r="AD137" s="192"/>
      <c r="AE137" s="196"/>
      <c r="AF137" s="197"/>
      <c r="AG137" s="198"/>
      <c r="AH137" s="199"/>
      <c r="AI137" s="200"/>
      <c r="AJ137" s="122"/>
      <c r="AK137" s="122"/>
      <c r="AL137" s="122"/>
    </row>
    <row r="138">
      <c r="A138" s="115"/>
      <c r="B138" s="150"/>
      <c r="C138" s="89"/>
      <c r="D138" s="55"/>
      <c r="E138" s="115"/>
      <c r="F138" s="150"/>
      <c r="G138" s="188"/>
      <c r="H138" s="189"/>
      <c r="I138" s="115"/>
      <c r="J138" s="150"/>
      <c r="K138" s="89"/>
      <c r="L138" s="55"/>
      <c r="M138" s="115"/>
      <c r="N138" s="190"/>
      <c r="O138" s="89"/>
      <c r="P138" s="55"/>
      <c r="Q138" s="191"/>
      <c r="R138" s="192"/>
      <c r="S138" s="121"/>
      <c r="T138" s="122"/>
      <c r="U138" s="191"/>
      <c r="V138" s="192"/>
      <c r="W138" s="121"/>
      <c r="X138" s="122"/>
      <c r="Y138" s="115"/>
      <c r="Z138" s="193"/>
      <c r="AA138" s="194"/>
      <c r="AB138" s="195"/>
      <c r="AC138" s="115"/>
      <c r="AD138" s="192"/>
      <c r="AE138" s="196"/>
      <c r="AF138" s="197"/>
      <c r="AG138" s="198"/>
      <c r="AH138" s="199"/>
      <c r="AI138" s="200"/>
      <c r="AJ138" s="122"/>
      <c r="AK138" s="122"/>
      <c r="AL138" s="122"/>
    </row>
    <row r="139">
      <c r="A139" s="115"/>
      <c r="B139" s="150"/>
      <c r="C139" s="89"/>
      <c r="D139" s="55"/>
      <c r="E139" s="115"/>
      <c r="F139" s="150"/>
      <c r="G139" s="188"/>
      <c r="H139" s="189"/>
      <c r="I139" s="115"/>
      <c r="J139" s="150"/>
      <c r="K139" s="89"/>
      <c r="L139" s="55"/>
      <c r="M139" s="115"/>
      <c r="N139" s="190"/>
      <c r="O139" s="89"/>
      <c r="P139" s="55"/>
      <c r="Q139" s="191"/>
      <c r="R139" s="192"/>
      <c r="S139" s="121"/>
      <c r="T139" s="122"/>
      <c r="U139" s="191"/>
      <c r="V139" s="192"/>
      <c r="W139" s="121"/>
      <c r="X139" s="122"/>
      <c r="Y139" s="115"/>
      <c r="Z139" s="193"/>
      <c r="AA139" s="194"/>
      <c r="AB139" s="195"/>
      <c r="AC139" s="115"/>
      <c r="AD139" s="192"/>
      <c r="AE139" s="196"/>
      <c r="AF139" s="197"/>
      <c r="AG139" s="198"/>
      <c r="AH139" s="199"/>
      <c r="AI139" s="200"/>
      <c r="AJ139" s="122"/>
      <c r="AK139" s="122"/>
      <c r="AL139" s="122"/>
    </row>
    <row r="140">
      <c r="A140" s="115"/>
      <c r="B140" s="150"/>
      <c r="C140" s="89"/>
      <c r="D140" s="55"/>
      <c r="E140" s="115"/>
      <c r="F140" s="150"/>
      <c r="G140" s="188"/>
      <c r="H140" s="189"/>
      <c r="I140" s="115"/>
      <c r="J140" s="150"/>
      <c r="K140" s="89"/>
      <c r="L140" s="55"/>
      <c r="M140" s="115"/>
      <c r="N140" s="190"/>
      <c r="O140" s="89"/>
      <c r="P140" s="55"/>
      <c r="Q140" s="191"/>
      <c r="R140" s="192"/>
      <c r="S140" s="121"/>
      <c r="T140" s="122"/>
      <c r="U140" s="191"/>
      <c r="V140" s="192"/>
      <c r="W140" s="121"/>
      <c r="X140" s="122"/>
      <c r="Y140" s="115"/>
      <c r="Z140" s="193"/>
      <c r="AA140" s="194"/>
      <c r="AB140" s="195"/>
      <c r="AC140" s="115"/>
      <c r="AD140" s="192"/>
      <c r="AE140" s="196"/>
      <c r="AF140" s="197"/>
      <c r="AG140" s="198"/>
      <c r="AH140" s="199"/>
      <c r="AI140" s="200"/>
      <c r="AJ140" s="122"/>
      <c r="AK140" s="122"/>
      <c r="AL140" s="122"/>
    </row>
    <row r="141">
      <c r="A141" s="115"/>
      <c r="B141" s="150"/>
      <c r="C141" s="89"/>
      <c r="D141" s="55"/>
      <c r="E141" s="115"/>
      <c r="F141" s="150"/>
      <c r="G141" s="188"/>
      <c r="H141" s="189"/>
      <c r="I141" s="115"/>
      <c r="J141" s="150"/>
      <c r="K141" s="89"/>
      <c r="L141" s="55"/>
      <c r="M141" s="115"/>
      <c r="N141" s="190"/>
      <c r="O141" s="89"/>
      <c r="P141" s="55"/>
      <c r="Q141" s="191"/>
      <c r="R141" s="192"/>
      <c r="S141" s="121"/>
      <c r="T141" s="122"/>
      <c r="U141" s="191"/>
      <c r="V141" s="192"/>
      <c r="W141" s="121"/>
      <c r="X141" s="122"/>
      <c r="Y141" s="115"/>
      <c r="Z141" s="193"/>
      <c r="AA141" s="194"/>
      <c r="AB141" s="195"/>
      <c r="AC141" s="115"/>
      <c r="AD141" s="192"/>
      <c r="AE141" s="196"/>
      <c r="AF141" s="197"/>
      <c r="AG141" s="198"/>
      <c r="AH141" s="199"/>
      <c r="AI141" s="200"/>
      <c r="AJ141" s="122"/>
      <c r="AK141" s="122"/>
      <c r="AL141" s="122"/>
    </row>
    <row r="142">
      <c r="A142" s="115"/>
      <c r="B142" s="150"/>
      <c r="C142" s="89"/>
      <c r="D142" s="55"/>
      <c r="E142" s="115"/>
      <c r="F142" s="150"/>
      <c r="G142" s="188"/>
      <c r="H142" s="189"/>
      <c r="I142" s="115"/>
      <c r="J142" s="150"/>
      <c r="K142" s="89"/>
      <c r="L142" s="55"/>
      <c r="M142" s="115"/>
      <c r="N142" s="190"/>
      <c r="O142" s="89"/>
      <c r="P142" s="55"/>
      <c r="Q142" s="191"/>
      <c r="R142" s="192"/>
      <c r="S142" s="121"/>
      <c r="T142" s="122"/>
      <c r="U142" s="191"/>
      <c r="V142" s="192"/>
      <c r="W142" s="121"/>
      <c r="X142" s="122"/>
      <c r="Y142" s="115"/>
      <c r="Z142" s="193"/>
      <c r="AA142" s="194"/>
      <c r="AB142" s="195"/>
      <c r="AC142" s="115"/>
      <c r="AD142" s="192"/>
      <c r="AE142" s="196"/>
      <c r="AF142" s="197"/>
      <c r="AG142" s="198"/>
      <c r="AH142" s="199"/>
      <c r="AI142" s="200"/>
      <c r="AJ142" s="122"/>
      <c r="AK142" s="122"/>
      <c r="AL142" s="122"/>
    </row>
    <row r="143">
      <c r="A143" s="115"/>
      <c r="B143" s="150"/>
      <c r="C143" s="89"/>
      <c r="D143" s="55"/>
      <c r="E143" s="115"/>
      <c r="F143" s="150"/>
      <c r="G143" s="188"/>
      <c r="H143" s="189"/>
      <c r="I143" s="115"/>
      <c r="J143" s="150"/>
      <c r="K143" s="89"/>
      <c r="L143" s="55"/>
      <c r="M143" s="115"/>
      <c r="N143" s="190"/>
      <c r="O143" s="89"/>
      <c r="P143" s="55"/>
      <c r="Q143" s="191"/>
      <c r="R143" s="192"/>
      <c r="S143" s="121"/>
      <c r="T143" s="122"/>
      <c r="U143" s="191"/>
      <c r="V143" s="192"/>
      <c r="W143" s="121"/>
      <c r="X143" s="122"/>
      <c r="Y143" s="115"/>
      <c r="Z143" s="193"/>
      <c r="AA143" s="194"/>
      <c r="AB143" s="195"/>
      <c r="AC143" s="115"/>
      <c r="AD143" s="192"/>
      <c r="AE143" s="196"/>
      <c r="AF143" s="197"/>
      <c r="AG143" s="198"/>
      <c r="AH143" s="199"/>
      <c r="AI143" s="200"/>
      <c r="AJ143" s="122"/>
      <c r="AK143" s="122"/>
      <c r="AL143" s="122"/>
    </row>
    <row r="144">
      <c r="A144" s="115"/>
      <c r="B144" s="150"/>
      <c r="C144" s="89"/>
      <c r="D144" s="55"/>
      <c r="E144" s="115"/>
      <c r="F144" s="150"/>
      <c r="G144" s="188"/>
      <c r="H144" s="189"/>
      <c r="I144" s="115"/>
      <c r="J144" s="150"/>
      <c r="K144" s="89"/>
      <c r="L144" s="55"/>
      <c r="M144" s="115"/>
      <c r="N144" s="190"/>
      <c r="O144" s="89"/>
      <c r="P144" s="55"/>
      <c r="Q144" s="191"/>
      <c r="R144" s="192"/>
      <c r="S144" s="121"/>
      <c r="T144" s="122"/>
      <c r="U144" s="191"/>
      <c r="V144" s="192"/>
      <c r="W144" s="121"/>
      <c r="X144" s="122"/>
      <c r="Y144" s="115"/>
      <c r="Z144" s="193"/>
      <c r="AA144" s="194"/>
      <c r="AB144" s="195"/>
      <c r="AC144" s="115"/>
      <c r="AD144" s="192"/>
      <c r="AE144" s="196"/>
      <c r="AF144" s="197"/>
      <c r="AG144" s="198"/>
      <c r="AH144" s="199"/>
      <c r="AI144" s="200"/>
      <c r="AJ144" s="122"/>
      <c r="AK144" s="122"/>
      <c r="AL144" s="122"/>
    </row>
    <row r="145">
      <c r="A145" s="115"/>
      <c r="B145" s="150"/>
      <c r="C145" s="89"/>
      <c r="D145" s="55"/>
      <c r="E145" s="115"/>
      <c r="F145" s="150"/>
      <c r="G145" s="188"/>
      <c r="H145" s="189"/>
      <c r="I145" s="115"/>
      <c r="J145" s="150"/>
      <c r="K145" s="89"/>
      <c r="L145" s="55"/>
      <c r="M145" s="115"/>
      <c r="N145" s="190"/>
      <c r="O145" s="89"/>
      <c r="P145" s="55"/>
      <c r="Q145" s="191"/>
      <c r="R145" s="192"/>
      <c r="S145" s="121"/>
      <c r="T145" s="122"/>
      <c r="U145" s="191"/>
      <c r="V145" s="192"/>
      <c r="W145" s="121"/>
      <c r="X145" s="122"/>
      <c r="Y145" s="115"/>
      <c r="Z145" s="193"/>
      <c r="AA145" s="194"/>
      <c r="AB145" s="195"/>
      <c r="AC145" s="115"/>
      <c r="AD145" s="192"/>
      <c r="AE145" s="196"/>
      <c r="AF145" s="197"/>
      <c r="AG145" s="198"/>
      <c r="AH145" s="199"/>
      <c r="AI145" s="200"/>
      <c r="AJ145" s="122"/>
      <c r="AK145" s="122"/>
      <c r="AL145" s="122"/>
    </row>
    <row r="146">
      <c r="A146" s="115"/>
      <c r="B146" s="150"/>
      <c r="C146" s="89"/>
      <c r="D146" s="55"/>
      <c r="E146" s="115"/>
      <c r="F146" s="150"/>
      <c r="G146" s="188"/>
      <c r="H146" s="189"/>
      <c r="I146" s="115"/>
      <c r="J146" s="150"/>
      <c r="K146" s="89"/>
      <c r="L146" s="55"/>
      <c r="M146" s="115"/>
      <c r="N146" s="190"/>
      <c r="O146" s="89"/>
      <c r="P146" s="55"/>
      <c r="Q146" s="191"/>
      <c r="R146" s="192"/>
      <c r="S146" s="121"/>
      <c r="T146" s="122"/>
      <c r="U146" s="191"/>
      <c r="V146" s="192"/>
      <c r="W146" s="121"/>
      <c r="X146" s="122"/>
      <c r="Y146" s="115"/>
      <c r="Z146" s="193"/>
      <c r="AA146" s="194"/>
      <c r="AB146" s="195"/>
      <c r="AC146" s="115"/>
      <c r="AD146" s="192"/>
      <c r="AE146" s="196"/>
      <c r="AF146" s="197"/>
      <c r="AG146" s="198"/>
      <c r="AH146" s="199"/>
      <c r="AI146" s="200"/>
      <c r="AJ146" s="122"/>
      <c r="AK146" s="122"/>
      <c r="AL146" s="122"/>
    </row>
    <row r="147">
      <c r="A147" s="115"/>
      <c r="B147" s="150"/>
      <c r="C147" s="89"/>
      <c r="D147" s="55"/>
      <c r="E147" s="115"/>
      <c r="F147" s="150"/>
      <c r="G147" s="188"/>
      <c r="H147" s="189"/>
      <c r="I147" s="115"/>
      <c r="J147" s="150"/>
      <c r="K147" s="89"/>
      <c r="L147" s="55"/>
      <c r="M147" s="115"/>
      <c r="N147" s="190"/>
      <c r="O147" s="89"/>
      <c r="P147" s="55"/>
      <c r="Q147" s="191"/>
      <c r="R147" s="192"/>
      <c r="S147" s="121"/>
      <c r="T147" s="122"/>
      <c r="U147" s="191"/>
      <c r="V147" s="192"/>
      <c r="W147" s="121"/>
      <c r="X147" s="122"/>
      <c r="Y147" s="115"/>
      <c r="Z147" s="193"/>
      <c r="AA147" s="194"/>
      <c r="AB147" s="195"/>
      <c r="AC147" s="115"/>
      <c r="AD147" s="192"/>
      <c r="AE147" s="196"/>
      <c r="AF147" s="197"/>
      <c r="AG147" s="198"/>
      <c r="AH147" s="199"/>
      <c r="AI147" s="200"/>
      <c r="AJ147" s="122"/>
      <c r="AK147" s="122"/>
      <c r="AL147" s="122"/>
    </row>
    <row r="148">
      <c r="A148" s="115"/>
      <c r="B148" s="150"/>
      <c r="C148" s="89"/>
      <c r="D148" s="55"/>
      <c r="E148" s="115"/>
      <c r="F148" s="150"/>
      <c r="G148" s="188"/>
      <c r="H148" s="189"/>
      <c r="I148" s="115"/>
      <c r="J148" s="150"/>
      <c r="K148" s="89"/>
      <c r="L148" s="55"/>
      <c r="M148" s="115"/>
      <c r="N148" s="190"/>
      <c r="O148" s="89"/>
      <c r="P148" s="55"/>
      <c r="Q148" s="191"/>
      <c r="R148" s="192"/>
      <c r="S148" s="121"/>
      <c r="T148" s="122"/>
      <c r="U148" s="191"/>
      <c r="V148" s="192"/>
      <c r="W148" s="121"/>
      <c r="X148" s="122"/>
      <c r="Y148" s="115"/>
      <c r="Z148" s="193"/>
      <c r="AA148" s="194"/>
      <c r="AB148" s="195"/>
      <c r="AC148" s="115"/>
      <c r="AD148" s="192"/>
      <c r="AE148" s="196"/>
      <c r="AF148" s="197"/>
      <c r="AG148" s="198"/>
      <c r="AH148" s="199"/>
      <c r="AI148" s="200"/>
      <c r="AJ148" s="122"/>
      <c r="AK148" s="122"/>
      <c r="AL148" s="122"/>
    </row>
    <row r="149">
      <c r="A149" s="115"/>
      <c r="B149" s="150"/>
      <c r="C149" s="89"/>
      <c r="D149" s="55"/>
      <c r="E149" s="115"/>
      <c r="F149" s="150"/>
      <c r="G149" s="188"/>
      <c r="H149" s="189"/>
      <c r="I149" s="115"/>
      <c r="J149" s="150"/>
      <c r="K149" s="89"/>
      <c r="L149" s="55"/>
      <c r="M149" s="115"/>
      <c r="N149" s="190"/>
      <c r="O149" s="89"/>
      <c r="P149" s="55"/>
      <c r="Q149" s="191"/>
      <c r="R149" s="192"/>
      <c r="S149" s="121"/>
      <c r="T149" s="122"/>
      <c r="U149" s="191"/>
      <c r="V149" s="192"/>
      <c r="W149" s="121"/>
      <c r="X149" s="122"/>
      <c r="Y149" s="115"/>
      <c r="Z149" s="193"/>
      <c r="AA149" s="194"/>
      <c r="AB149" s="195"/>
      <c r="AC149" s="115"/>
      <c r="AD149" s="192"/>
      <c r="AE149" s="196"/>
      <c r="AF149" s="197"/>
      <c r="AG149" s="198"/>
      <c r="AH149" s="199"/>
      <c r="AI149" s="200"/>
      <c r="AJ149" s="122"/>
      <c r="AK149" s="122"/>
      <c r="AL149" s="122"/>
    </row>
    <row r="150">
      <c r="A150" s="115"/>
      <c r="B150" s="150"/>
      <c r="C150" s="89"/>
      <c r="D150" s="55"/>
      <c r="E150" s="115"/>
      <c r="F150" s="150"/>
      <c r="G150" s="188"/>
      <c r="H150" s="189"/>
      <c r="I150" s="115"/>
      <c r="J150" s="150"/>
      <c r="K150" s="89"/>
      <c r="L150" s="55"/>
      <c r="M150" s="115"/>
      <c r="N150" s="190"/>
      <c r="O150" s="89"/>
      <c r="P150" s="55"/>
      <c r="Q150" s="191"/>
      <c r="R150" s="192"/>
      <c r="S150" s="121"/>
      <c r="T150" s="122"/>
      <c r="U150" s="191"/>
      <c r="V150" s="192"/>
      <c r="W150" s="121"/>
      <c r="X150" s="122"/>
      <c r="Y150" s="115"/>
      <c r="Z150" s="193"/>
      <c r="AA150" s="194"/>
      <c r="AB150" s="195"/>
      <c r="AC150" s="115"/>
      <c r="AD150" s="192"/>
      <c r="AE150" s="196"/>
      <c r="AF150" s="197"/>
      <c r="AG150" s="198"/>
      <c r="AH150" s="199"/>
      <c r="AI150" s="200"/>
      <c r="AJ150" s="122"/>
      <c r="AK150" s="122"/>
      <c r="AL150" s="122"/>
    </row>
    <row r="151">
      <c r="A151" s="115"/>
      <c r="B151" s="150"/>
      <c r="C151" s="89"/>
      <c r="D151" s="55"/>
      <c r="E151" s="115"/>
      <c r="F151" s="150"/>
      <c r="G151" s="188"/>
      <c r="H151" s="189"/>
      <c r="I151" s="115"/>
      <c r="J151" s="150"/>
      <c r="K151" s="89"/>
      <c r="L151" s="55"/>
      <c r="M151" s="115"/>
      <c r="N151" s="190"/>
      <c r="O151" s="89"/>
      <c r="P151" s="55"/>
      <c r="Q151" s="191"/>
      <c r="R151" s="192"/>
      <c r="S151" s="121"/>
      <c r="T151" s="122"/>
      <c r="U151" s="191"/>
      <c r="V151" s="192"/>
      <c r="W151" s="121"/>
      <c r="X151" s="122"/>
      <c r="Y151" s="115"/>
      <c r="Z151" s="193"/>
      <c r="AA151" s="194"/>
      <c r="AB151" s="195"/>
      <c r="AC151" s="115"/>
      <c r="AD151" s="192"/>
      <c r="AE151" s="196"/>
      <c r="AF151" s="197"/>
      <c r="AG151" s="198"/>
      <c r="AH151" s="199"/>
      <c r="AI151" s="200"/>
      <c r="AJ151" s="122"/>
      <c r="AK151" s="122"/>
      <c r="AL151" s="122"/>
    </row>
    <row r="152">
      <c r="A152" s="115"/>
      <c r="B152" s="150"/>
      <c r="C152" s="89"/>
      <c r="D152" s="55"/>
      <c r="E152" s="115"/>
      <c r="F152" s="150"/>
      <c r="G152" s="188"/>
      <c r="H152" s="189"/>
      <c r="I152" s="115"/>
      <c r="J152" s="150"/>
      <c r="K152" s="89"/>
      <c r="L152" s="55"/>
      <c r="M152" s="115"/>
      <c r="N152" s="190"/>
      <c r="O152" s="89"/>
      <c r="P152" s="55"/>
      <c r="Q152" s="191"/>
      <c r="R152" s="192"/>
      <c r="S152" s="121"/>
      <c r="T152" s="122"/>
      <c r="U152" s="191"/>
      <c r="V152" s="192"/>
      <c r="W152" s="121"/>
      <c r="X152" s="122"/>
      <c r="Y152" s="115"/>
      <c r="Z152" s="193"/>
      <c r="AA152" s="194"/>
      <c r="AB152" s="195"/>
      <c r="AC152" s="115"/>
      <c r="AD152" s="192"/>
      <c r="AE152" s="196"/>
      <c r="AF152" s="197"/>
      <c r="AG152" s="198"/>
      <c r="AH152" s="199"/>
      <c r="AI152" s="200"/>
      <c r="AJ152" s="122"/>
      <c r="AK152" s="122"/>
      <c r="AL152" s="122"/>
    </row>
    <row r="153">
      <c r="A153" s="115"/>
      <c r="B153" s="150"/>
      <c r="C153" s="89"/>
      <c r="D153" s="55"/>
      <c r="E153" s="115"/>
      <c r="F153" s="150"/>
      <c r="G153" s="188"/>
      <c r="H153" s="189"/>
      <c r="I153" s="115"/>
      <c r="J153" s="150"/>
      <c r="K153" s="89"/>
      <c r="L153" s="55"/>
      <c r="M153" s="115"/>
      <c r="N153" s="190"/>
      <c r="O153" s="89"/>
      <c r="P153" s="55"/>
      <c r="Q153" s="191"/>
      <c r="R153" s="192"/>
      <c r="S153" s="121"/>
      <c r="T153" s="122"/>
      <c r="U153" s="191"/>
      <c r="V153" s="192"/>
      <c r="W153" s="121"/>
      <c r="X153" s="122"/>
      <c r="Y153" s="115"/>
      <c r="Z153" s="193"/>
      <c r="AA153" s="194"/>
      <c r="AB153" s="195"/>
      <c r="AC153" s="115"/>
      <c r="AD153" s="192"/>
      <c r="AE153" s="196"/>
      <c r="AF153" s="197"/>
      <c r="AG153" s="198"/>
      <c r="AH153" s="199"/>
      <c r="AI153" s="200"/>
      <c r="AJ153" s="122"/>
      <c r="AK153" s="122"/>
      <c r="AL153" s="122"/>
    </row>
    <row r="154">
      <c r="A154" s="115"/>
      <c r="B154" s="150"/>
      <c r="C154" s="89"/>
      <c r="D154" s="55"/>
      <c r="E154" s="115"/>
      <c r="F154" s="150"/>
      <c r="G154" s="188"/>
      <c r="H154" s="189"/>
      <c r="I154" s="115"/>
      <c r="J154" s="150"/>
      <c r="K154" s="89"/>
      <c r="L154" s="55"/>
      <c r="M154" s="115"/>
      <c r="N154" s="190"/>
      <c r="O154" s="89"/>
      <c r="P154" s="55"/>
      <c r="Q154" s="191"/>
      <c r="R154" s="192"/>
      <c r="S154" s="121"/>
      <c r="T154" s="122"/>
      <c r="U154" s="191"/>
      <c r="V154" s="192"/>
      <c r="W154" s="121"/>
      <c r="X154" s="122"/>
      <c r="Y154" s="115"/>
      <c r="Z154" s="193"/>
      <c r="AA154" s="194"/>
      <c r="AB154" s="195"/>
      <c r="AC154" s="115"/>
      <c r="AD154" s="192"/>
      <c r="AE154" s="196"/>
      <c r="AF154" s="197"/>
      <c r="AG154" s="198"/>
      <c r="AH154" s="199"/>
      <c r="AI154" s="200"/>
      <c r="AJ154" s="122"/>
      <c r="AK154" s="122"/>
      <c r="AL154" s="122"/>
    </row>
    <row r="155">
      <c r="A155" s="115"/>
      <c r="B155" s="150"/>
      <c r="C155" s="89"/>
      <c r="D155" s="55"/>
      <c r="E155" s="115"/>
      <c r="F155" s="150"/>
      <c r="G155" s="188"/>
      <c r="H155" s="189"/>
      <c r="I155" s="115"/>
      <c r="J155" s="150"/>
      <c r="K155" s="89"/>
      <c r="L155" s="55"/>
      <c r="M155" s="115"/>
      <c r="N155" s="190"/>
      <c r="O155" s="89"/>
      <c r="P155" s="55"/>
      <c r="Q155" s="191"/>
      <c r="R155" s="192"/>
      <c r="S155" s="121"/>
      <c r="T155" s="122"/>
      <c r="U155" s="191"/>
      <c r="V155" s="192"/>
      <c r="W155" s="121"/>
      <c r="X155" s="122"/>
      <c r="Y155" s="115"/>
      <c r="Z155" s="193"/>
      <c r="AA155" s="194"/>
      <c r="AB155" s="195"/>
      <c r="AC155" s="115"/>
      <c r="AD155" s="192"/>
      <c r="AE155" s="196"/>
      <c r="AF155" s="197"/>
      <c r="AG155" s="198"/>
      <c r="AH155" s="199"/>
      <c r="AI155" s="200"/>
      <c r="AJ155" s="122"/>
      <c r="AK155" s="122"/>
      <c r="AL155" s="122"/>
    </row>
    <row r="156">
      <c r="A156" s="115"/>
      <c r="B156" s="150"/>
      <c r="C156" s="89"/>
      <c r="D156" s="55"/>
      <c r="E156" s="115"/>
      <c r="F156" s="150"/>
      <c r="G156" s="188"/>
      <c r="H156" s="189"/>
      <c r="I156" s="115"/>
      <c r="J156" s="150"/>
      <c r="K156" s="89"/>
      <c r="L156" s="55"/>
      <c r="M156" s="115"/>
      <c r="N156" s="190"/>
      <c r="O156" s="89"/>
      <c r="P156" s="55"/>
      <c r="Q156" s="191"/>
      <c r="R156" s="192"/>
      <c r="S156" s="121"/>
      <c r="T156" s="122"/>
      <c r="U156" s="191"/>
      <c r="V156" s="192"/>
      <c r="W156" s="121"/>
      <c r="X156" s="122"/>
      <c r="Y156" s="115"/>
      <c r="Z156" s="193"/>
      <c r="AA156" s="194"/>
      <c r="AB156" s="195"/>
      <c r="AC156" s="115"/>
      <c r="AD156" s="192"/>
      <c r="AE156" s="196"/>
      <c r="AF156" s="197"/>
      <c r="AG156" s="198"/>
      <c r="AH156" s="199"/>
      <c r="AI156" s="200"/>
      <c r="AJ156" s="122"/>
      <c r="AK156" s="122"/>
      <c r="AL156" s="122"/>
    </row>
    <row r="157">
      <c r="A157" s="115"/>
      <c r="B157" s="150"/>
      <c r="C157" s="89"/>
      <c r="D157" s="55"/>
      <c r="E157" s="115"/>
      <c r="F157" s="150"/>
      <c r="G157" s="188"/>
      <c r="H157" s="189"/>
      <c r="I157" s="115"/>
      <c r="J157" s="150"/>
      <c r="K157" s="89"/>
      <c r="L157" s="55"/>
      <c r="M157" s="115"/>
      <c r="N157" s="190"/>
      <c r="O157" s="89"/>
      <c r="P157" s="55"/>
      <c r="Q157" s="191"/>
      <c r="R157" s="192"/>
      <c r="S157" s="121"/>
      <c r="T157" s="122"/>
      <c r="U157" s="191"/>
      <c r="V157" s="192"/>
      <c r="W157" s="121"/>
      <c r="X157" s="122"/>
      <c r="Y157" s="115"/>
      <c r="Z157" s="193"/>
      <c r="AA157" s="194"/>
      <c r="AB157" s="195"/>
      <c r="AC157" s="115"/>
      <c r="AD157" s="192"/>
      <c r="AE157" s="196"/>
      <c r="AF157" s="197"/>
      <c r="AG157" s="198"/>
      <c r="AH157" s="199"/>
      <c r="AI157" s="200"/>
      <c r="AJ157" s="122"/>
      <c r="AK157" s="122"/>
      <c r="AL157" s="122"/>
    </row>
    <row r="158">
      <c r="A158" s="115"/>
      <c r="B158" s="150"/>
      <c r="C158" s="89"/>
      <c r="D158" s="55"/>
      <c r="E158" s="115"/>
      <c r="F158" s="150"/>
      <c r="G158" s="188"/>
      <c r="H158" s="189"/>
      <c r="I158" s="115"/>
      <c r="J158" s="150"/>
      <c r="K158" s="89"/>
      <c r="L158" s="55"/>
      <c r="M158" s="115"/>
      <c r="N158" s="190"/>
      <c r="O158" s="89"/>
      <c r="P158" s="55"/>
      <c r="Q158" s="191"/>
      <c r="R158" s="192"/>
      <c r="S158" s="121"/>
      <c r="T158" s="122"/>
      <c r="U158" s="191"/>
      <c r="V158" s="192"/>
      <c r="W158" s="121"/>
      <c r="X158" s="122"/>
      <c r="Y158" s="115"/>
      <c r="Z158" s="193"/>
      <c r="AA158" s="194"/>
      <c r="AB158" s="195"/>
      <c r="AC158" s="115"/>
      <c r="AD158" s="192"/>
      <c r="AE158" s="196"/>
      <c r="AF158" s="197"/>
      <c r="AG158" s="198"/>
      <c r="AH158" s="199"/>
      <c r="AI158" s="200"/>
      <c r="AJ158" s="122"/>
      <c r="AK158" s="122"/>
      <c r="AL158" s="122"/>
    </row>
    <row r="159">
      <c r="A159" s="115"/>
      <c r="B159" s="150"/>
      <c r="C159" s="89"/>
      <c r="D159" s="55"/>
      <c r="E159" s="115"/>
      <c r="F159" s="150"/>
      <c r="G159" s="188"/>
      <c r="H159" s="189"/>
      <c r="I159" s="115"/>
      <c r="J159" s="150"/>
      <c r="K159" s="89"/>
      <c r="L159" s="55"/>
      <c r="M159" s="115"/>
      <c r="N159" s="190"/>
      <c r="O159" s="89"/>
      <c r="P159" s="55"/>
      <c r="Q159" s="191"/>
      <c r="R159" s="192"/>
      <c r="S159" s="121"/>
      <c r="T159" s="122"/>
      <c r="U159" s="191"/>
      <c r="V159" s="192"/>
      <c r="W159" s="121"/>
      <c r="X159" s="122"/>
      <c r="Y159" s="115"/>
      <c r="Z159" s="193"/>
      <c r="AA159" s="194"/>
      <c r="AB159" s="195"/>
      <c r="AC159" s="115"/>
      <c r="AD159" s="192"/>
      <c r="AE159" s="196"/>
      <c r="AF159" s="197"/>
      <c r="AG159" s="198"/>
      <c r="AH159" s="199"/>
      <c r="AI159" s="200"/>
      <c r="AJ159" s="122"/>
      <c r="AK159" s="122"/>
      <c r="AL159" s="122"/>
    </row>
    <row r="160">
      <c r="A160" s="115"/>
      <c r="B160" s="150"/>
      <c r="C160" s="89"/>
      <c r="D160" s="55"/>
      <c r="E160" s="115"/>
      <c r="F160" s="150"/>
      <c r="G160" s="188"/>
      <c r="H160" s="189"/>
      <c r="I160" s="115"/>
      <c r="J160" s="150"/>
      <c r="K160" s="89"/>
      <c r="L160" s="55"/>
      <c r="M160" s="115"/>
      <c r="N160" s="190"/>
      <c r="O160" s="89"/>
      <c r="P160" s="55"/>
      <c r="Q160" s="191"/>
      <c r="R160" s="192"/>
      <c r="S160" s="121"/>
      <c r="T160" s="122"/>
      <c r="U160" s="191"/>
      <c r="V160" s="192"/>
      <c r="W160" s="121"/>
      <c r="X160" s="122"/>
      <c r="Y160" s="115"/>
      <c r="Z160" s="193"/>
      <c r="AA160" s="194"/>
      <c r="AB160" s="195"/>
      <c r="AC160" s="115"/>
      <c r="AD160" s="192"/>
      <c r="AE160" s="196"/>
      <c r="AF160" s="197"/>
      <c r="AG160" s="198"/>
      <c r="AH160" s="199"/>
      <c r="AI160" s="200"/>
      <c r="AJ160" s="122"/>
      <c r="AK160" s="122"/>
      <c r="AL160" s="122"/>
    </row>
    <row r="161">
      <c r="A161" s="115"/>
      <c r="B161" s="150"/>
      <c r="C161" s="89"/>
      <c r="D161" s="55"/>
      <c r="E161" s="115"/>
      <c r="F161" s="150"/>
      <c r="G161" s="188"/>
      <c r="H161" s="189"/>
      <c r="I161" s="115"/>
      <c r="J161" s="150"/>
      <c r="K161" s="89"/>
      <c r="L161" s="55"/>
      <c r="M161" s="115"/>
      <c r="N161" s="190"/>
      <c r="O161" s="89"/>
      <c r="P161" s="55"/>
      <c r="Q161" s="191"/>
      <c r="R161" s="192"/>
      <c r="S161" s="121"/>
      <c r="T161" s="122"/>
      <c r="U161" s="191"/>
      <c r="V161" s="192"/>
      <c r="W161" s="121"/>
      <c r="X161" s="122"/>
      <c r="Y161" s="115"/>
      <c r="Z161" s="193"/>
      <c r="AA161" s="194"/>
      <c r="AB161" s="195"/>
      <c r="AC161" s="115"/>
      <c r="AD161" s="192"/>
      <c r="AE161" s="196"/>
      <c r="AF161" s="197"/>
      <c r="AG161" s="198"/>
      <c r="AH161" s="199"/>
      <c r="AI161" s="200"/>
      <c r="AJ161" s="122"/>
      <c r="AK161" s="122"/>
      <c r="AL161" s="122"/>
    </row>
    <row r="162">
      <c r="A162" s="115"/>
      <c r="B162" s="150"/>
      <c r="C162" s="89"/>
      <c r="D162" s="55"/>
      <c r="E162" s="115"/>
      <c r="F162" s="150"/>
      <c r="G162" s="188"/>
      <c r="H162" s="189"/>
      <c r="I162" s="115"/>
      <c r="J162" s="150"/>
      <c r="K162" s="89"/>
      <c r="L162" s="55"/>
      <c r="M162" s="115"/>
      <c r="N162" s="190"/>
      <c r="O162" s="89"/>
      <c r="P162" s="55"/>
      <c r="Q162" s="191"/>
      <c r="R162" s="192"/>
      <c r="S162" s="121"/>
      <c r="T162" s="122"/>
      <c r="U162" s="191"/>
      <c r="V162" s="192"/>
      <c r="W162" s="121"/>
      <c r="X162" s="122"/>
      <c r="Y162" s="115"/>
      <c r="Z162" s="193"/>
      <c r="AA162" s="194"/>
      <c r="AB162" s="195"/>
      <c r="AC162" s="115"/>
      <c r="AD162" s="192"/>
      <c r="AE162" s="196"/>
      <c r="AF162" s="197"/>
      <c r="AG162" s="198"/>
      <c r="AH162" s="199"/>
      <c r="AI162" s="200"/>
      <c r="AJ162" s="122"/>
      <c r="AK162" s="122"/>
      <c r="AL162" s="122"/>
    </row>
    <row r="163">
      <c r="A163" s="115"/>
      <c r="B163" s="150"/>
      <c r="C163" s="89"/>
      <c r="D163" s="55"/>
      <c r="E163" s="115"/>
      <c r="F163" s="150"/>
      <c r="G163" s="188"/>
      <c r="H163" s="189"/>
      <c r="I163" s="115"/>
      <c r="J163" s="150"/>
      <c r="K163" s="89"/>
      <c r="L163" s="55"/>
      <c r="M163" s="115"/>
      <c r="N163" s="190"/>
      <c r="O163" s="89"/>
      <c r="P163" s="55"/>
      <c r="Q163" s="191"/>
      <c r="R163" s="192"/>
      <c r="S163" s="121"/>
      <c r="T163" s="122"/>
      <c r="U163" s="191"/>
      <c r="V163" s="192"/>
      <c r="W163" s="121"/>
      <c r="X163" s="122"/>
      <c r="Y163" s="115"/>
      <c r="Z163" s="193"/>
      <c r="AA163" s="194"/>
      <c r="AB163" s="195"/>
      <c r="AC163" s="115"/>
      <c r="AD163" s="192"/>
      <c r="AE163" s="196"/>
      <c r="AF163" s="197"/>
      <c r="AG163" s="198"/>
      <c r="AH163" s="199"/>
      <c r="AI163" s="200"/>
      <c r="AJ163" s="122"/>
      <c r="AK163" s="122"/>
      <c r="AL163" s="122"/>
    </row>
    <row r="164">
      <c r="A164" s="115"/>
      <c r="B164" s="150"/>
      <c r="C164" s="89"/>
      <c r="D164" s="55"/>
      <c r="E164" s="115"/>
      <c r="F164" s="150"/>
      <c r="G164" s="188"/>
      <c r="H164" s="189"/>
      <c r="I164" s="115"/>
      <c r="J164" s="150"/>
      <c r="K164" s="89"/>
      <c r="L164" s="55"/>
      <c r="M164" s="115"/>
      <c r="N164" s="190"/>
      <c r="O164" s="89"/>
      <c r="P164" s="55"/>
      <c r="Q164" s="191"/>
      <c r="R164" s="192"/>
      <c r="S164" s="121"/>
      <c r="T164" s="122"/>
      <c r="U164" s="191"/>
      <c r="V164" s="192"/>
      <c r="W164" s="121"/>
      <c r="X164" s="122"/>
      <c r="Y164" s="115"/>
      <c r="Z164" s="193"/>
      <c r="AA164" s="194"/>
      <c r="AB164" s="195"/>
      <c r="AC164" s="115"/>
      <c r="AD164" s="192"/>
      <c r="AE164" s="196"/>
      <c r="AF164" s="197"/>
      <c r="AG164" s="198"/>
      <c r="AH164" s="199"/>
      <c r="AI164" s="200"/>
      <c r="AJ164" s="122"/>
      <c r="AK164" s="122"/>
      <c r="AL164" s="122"/>
    </row>
    <row r="165">
      <c r="A165" s="115"/>
      <c r="B165" s="150"/>
      <c r="C165" s="89"/>
      <c r="D165" s="55"/>
      <c r="E165" s="115"/>
      <c r="F165" s="150"/>
      <c r="G165" s="188"/>
      <c r="H165" s="189"/>
      <c r="I165" s="115"/>
      <c r="J165" s="150"/>
      <c r="K165" s="89"/>
      <c r="L165" s="55"/>
      <c r="M165" s="115"/>
      <c r="N165" s="190"/>
      <c r="O165" s="89"/>
      <c r="P165" s="55"/>
      <c r="Q165" s="191"/>
      <c r="R165" s="192"/>
      <c r="S165" s="121"/>
      <c r="T165" s="122"/>
      <c r="U165" s="191"/>
      <c r="V165" s="192"/>
      <c r="W165" s="121"/>
      <c r="X165" s="122"/>
      <c r="Y165" s="115"/>
      <c r="Z165" s="193"/>
      <c r="AA165" s="194"/>
      <c r="AB165" s="195"/>
      <c r="AC165" s="115"/>
      <c r="AD165" s="192"/>
      <c r="AE165" s="196"/>
      <c r="AF165" s="197"/>
      <c r="AG165" s="198"/>
      <c r="AH165" s="199"/>
      <c r="AI165" s="200"/>
      <c r="AJ165" s="122"/>
      <c r="AK165" s="122"/>
      <c r="AL165" s="122"/>
    </row>
    <row r="166">
      <c r="A166" s="115"/>
      <c r="B166" s="150"/>
      <c r="C166" s="89"/>
      <c r="D166" s="55"/>
      <c r="E166" s="115"/>
      <c r="F166" s="150"/>
      <c r="G166" s="188"/>
      <c r="H166" s="189"/>
      <c r="I166" s="115"/>
      <c r="J166" s="150"/>
      <c r="K166" s="89"/>
      <c r="L166" s="55"/>
      <c r="M166" s="115"/>
      <c r="N166" s="190"/>
      <c r="O166" s="89"/>
      <c r="P166" s="55"/>
      <c r="Q166" s="191"/>
      <c r="R166" s="192"/>
      <c r="S166" s="121"/>
      <c r="T166" s="122"/>
      <c r="U166" s="191"/>
      <c r="V166" s="192"/>
      <c r="W166" s="121"/>
      <c r="X166" s="122"/>
      <c r="Y166" s="115"/>
      <c r="Z166" s="193"/>
      <c r="AA166" s="194"/>
      <c r="AB166" s="195"/>
      <c r="AC166" s="115"/>
      <c r="AD166" s="192"/>
      <c r="AE166" s="196"/>
      <c r="AF166" s="197"/>
      <c r="AG166" s="198"/>
      <c r="AH166" s="199"/>
      <c r="AI166" s="200"/>
      <c r="AJ166" s="122"/>
      <c r="AK166" s="122"/>
      <c r="AL166" s="122"/>
    </row>
    <row r="167">
      <c r="A167" s="115"/>
      <c r="B167" s="150"/>
      <c r="C167" s="89"/>
      <c r="D167" s="55"/>
      <c r="E167" s="115"/>
      <c r="F167" s="150"/>
      <c r="G167" s="188"/>
      <c r="H167" s="189"/>
      <c r="I167" s="115"/>
      <c r="J167" s="150"/>
      <c r="K167" s="89"/>
      <c r="L167" s="55"/>
      <c r="M167" s="115"/>
      <c r="N167" s="190"/>
      <c r="O167" s="89"/>
      <c r="P167" s="55"/>
      <c r="Q167" s="191"/>
      <c r="R167" s="192"/>
      <c r="S167" s="121"/>
      <c r="T167" s="122"/>
      <c r="U167" s="191"/>
      <c r="V167" s="192"/>
      <c r="W167" s="121"/>
      <c r="X167" s="122"/>
      <c r="Y167" s="115"/>
      <c r="Z167" s="193"/>
      <c r="AA167" s="194"/>
      <c r="AB167" s="195"/>
      <c r="AC167" s="115"/>
      <c r="AD167" s="192"/>
      <c r="AE167" s="196"/>
      <c r="AF167" s="197"/>
      <c r="AG167" s="198"/>
      <c r="AH167" s="199"/>
      <c r="AI167" s="200"/>
      <c r="AJ167" s="122"/>
      <c r="AK167" s="122"/>
      <c r="AL167" s="122"/>
    </row>
    <row r="168">
      <c r="A168" s="115"/>
      <c r="B168" s="150"/>
      <c r="C168" s="89"/>
      <c r="D168" s="55"/>
      <c r="E168" s="115"/>
      <c r="F168" s="150"/>
      <c r="G168" s="188"/>
      <c r="H168" s="189"/>
      <c r="I168" s="115"/>
      <c r="J168" s="150"/>
      <c r="K168" s="89"/>
      <c r="L168" s="55"/>
      <c r="M168" s="115"/>
      <c r="N168" s="190"/>
      <c r="O168" s="89"/>
      <c r="P168" s="55"/>
      <c r="Q168" s="191"/>
      <c r="R168" s="192"/>
      <c r="S168" s="121"/>
      <c r="T168" s="122"/>
      <c r="U168" s="191"/>
      <c r="V168" s="192"/>
      <c r="W168" s="121"/>
      <c r="X168" s="122"/>
      <c r="Y168" s="115"/>
      <c r="Z168" s="193"/>
      <c r="AA168" s="194"/>
      <c r="AB168" s="195"/>
      <c r="AC168" s="115"/>
      <c r="AD168" s="192"/>
      <c r="AE168" s="196"/>
      <c r="AF168" s="197"/>
      <c r="AG168" s="198"/>
      <c r="AH168" s="199"/>
      <c r="AI168" s="200"/>
      <c r="AJ168" s="122"/>
      <c r="AK168" s="122"/>
      <c r="AL168" s="122"/>
    </row>
    <row r="169">
      <c r="A169" s="115"/>
      <c r="B169" s="150"/>
      <c r="C169" s="89"/>
      <c r="D169" s="55"/>
      <c r="E169" s="115"/>
      <c r="F169" s="150"/>
      <c r="G169" s="188"/>
      <c r="H169" s="189"/>
      <c r="I169" s="115"/>
      <c r="J169" s="150"/>
      <c r="K169" s="89"/>
      <c r="L169" s="55"/>
      <c r="M169" s="115"/>
      <c r="N169" s="190"/>
      <c r="O169" s="89"/>
      <c r="P169" s="55"/>
      <c r="Q169" s="191"/>
      <c r="R169" s="192"/>
      <c r="S169" s="121"/>
      <c r="T169" s="122"/>
      <c r="U169" s="191"/>
      <c r="V169" s="192"/>
      <c r="W169" s="121"/>
      <c r="X169" s="122"/>
      <c r="Y169" s="115"/>
      <c r="Z169" s="193"/>
      <c r="AA169" s="194"/>
      <c r="AB169" s="195"/>
      <c r="AC169" s="115"/>
      <c r="AD169" s="192"/>
      <c r="AE169" s="196"/>
      <c r="AF169" s="197"/>
      <c r="AG169" s="198"/>
      <c r="AH169" s="199"/>
      <c r="AI169" s="200"/>
      <c r="AJ169" s="122"/>
      <c r="AK169" s="122"/>
      <c r="AL169" s="122"/>
    </row>
    <row r="170">
      <c r="A170" s="115"/>
      <c r="B170" s="150"/>
      <c r="C170" s="89"/>
      <c r="D170" s="55"/>
      <c r="E170" s="115"/>
      <c r="F170" s="150"/>
      <c r="G170" s="188"/>
      <c r="H170" s="189"/>
      <c r="I170" s="115"/>
      <c r="J170" s="150"/>
      <c r="K170" s="89"/>
      <c r="L170" s="55"/>
      <c r="M170" s="115"/>
      <c r="N170" s="190"/>
      <c r="O170" s="89"/>
      <c r="P170" s="55"/>
      <c r="Q170" s="191"/>
      <c r="R170" s="192"/>
      <c r="S170" s="121"/>
      <c r="T170" s="122"/>
      <c r="U170" s="191"/>
      <c r="V170" s="192"/>
      <c r="W170" s="121"/>
      <c r="X170" s="122"/>
      <c r="Y170" s="115"/>
      <c r="Z170" s="193"/>
      <c r="AA170" s="194"/>
      <c r="AB170" s="195"/>
      <c r="AC170" s="115"/>
      <c r="AD170" s="192"/>
      <c r="AE170" s="196"/>
      <c r="AF170" s="197"/>
      <c r="AG170" s="198"/>
      <c r="AH170" s="199"/>
      <c r="AI170" s="200"/>
      <c r="AJ170" s="122"/>
      <c r="AK170" s="122"/>
      <c r="AL170" s="122"/>
    </row>
    <row r="171">
      <c r="A171" s="115"/>
      <c r="B171" s="150"/>
      <c r="C171" s="89"/>
      <c r="D171" s="55"/>
      <c r="E171" s="115"/>
      <c r="F171" s="150"/>
      <c r="G171" s="188"/>
      <c r="H171" s="189"/>
      <c r="I171" s="115"/>
      <c r="J171" s="150"/>
      <c r="K171" s="89"/>
      <c r="L171" s="55"/>
      <c r="M171" s="115"/>
      <c r="N171" s="190"/>
      <c r="O171" s="89"/>
      <c r="P171" s="55"/>
      <c r="Q171" s="191"/>
      <c r="R171" s="192"/>
      <c r="S171" s="121"/>
      <c r="T171" s="122"/>
      <c r="U171" s="191"/>
      <c r="V171" s="192"/>
      <c r="W171" s="121"/>
      <c r="X171" s="122"/>
      <c r="Y171" s="115"/>
      <c r="Z171" s="193"/>
      <c r="AA171" s="194"/>
      <c r="AB171" s="195"/>
      <c r="AC171" s="115"/>
      <c r="AD171" s="192"/>
      <c r="AE171" s="196"/>
      <c r="AF171" s="197"/>
      <c r="AG171" s="198"/>
      <c r="AH171" s="199"/>
      <c r="AI171" s="200"/>
      <c r="AJ171" s="122"/>
      <c r="AK171" s="122"/>
      <c r="AL171" s="122"/>
    </row>
    <row r="172">
      <c r="A172" s="115"/>
      <c r="B172" s="150"/>
      <c r="C172" s="89"/>
      <c r="D172" s="55"/>
      <c r="E172" s="115"/>
      <c r="F172" s="150"/>
      <c r="G172" s="188"/>
      <c r="H172" s="189"/>
      <c r="I172" s="115"/>
      <c r="J172" s="150"/>
      <c r="K172" s="89"/>
      <c r="L172" s="55"/>
      <c r="M172" s="115"/>
      <c r="N172" s="190"/>
      <c r="O172" s="89"/>
      <c r="P172" s="55"/>
      <c r="Q172" s="191"/>
      <c r="R172" s="192"/>
      <c r="S172" s="121"/>
      <c r="T172" s="122"/>
      <c r="U172" s="191"/>
      <c r="V172" s="192"/>
      <c r="W172" s="121"/>
      <c r="X172" s="122"/>
      <c r="Y172" s="115"/>
      <c r="Z172" s="193"/>
      <c r="AA172" s="194"/>
      <c r="AB172" s="195"/>
      <c r="AC172" s="115"/>
      <c r="AD172" s="192"/>
      <c r="AE172" s="196"/>
      <c r="AF172" s="197"/>
      <c r="AG172" s="198"/>
      <c r="AH172" s="199"/>
      <c r="AI172" s="200"/>
      <c r="AJ172" s="122"/>
      <c r="AK172" s="122"/>
      <c r="AL172" s="122"/>
    </row>
    <row r="173">
      <c r="A173" s="115"/>
      <c r="B173" s="150"/>
      <c r="C173" s="89"/>
      <c r="D173" s="55"/>
      <c r="E173" s="115"/>
      <c r="F173" s="150"/>
      <c r="G173" s="188"/>
      <c r="H173" s="189"/>
      <c r="I173" s="115"/>
      <c r="J173" s="150"/>
      <c r="K173" s="89"/>
      <c r="L173" s="55"/>
      <c r="M173" s="115"/>
      <c r="N173" s="190"/>
      <c r="O173" s="89"/>
      <c r="P173" s="55"/>
      <c r="Q173" s="191"/>
      <c r="R173" s="192"/>
      <c r="S173" s="121"/>
      <c r="T173" s="122"/>
      <c r="U173" s="191"/>
      <c r="V173" s="192"/>
      <c r="W173" s="121"/>
      <c r="X173" s="122"/>
      <c r="Y173" s="115"/>
      <c r="Z173" s="193"/>
      <c r="AA173" s="194"/>
      <c r="AB173" s="195"/>
      <c r="AC173" s="115"/>
      <c r="AD173" s="192"/>
      <c r="AE173" s="196"/>
      <c r="AF173" s="197"/>
      <c r="AG173" s="198"/>
      <c r="AH173" s="199"/>
      <c r="AI173" s="200"/>
      <c r="AJ173" s="122"/>
      <c r="AK173" s="122"/>
      <c r="AL173" s="122"/>
    </row>
    <row r="174">
      <c r="A174" s="115"/>
      <c r="B174" s="150"/>
      <c r="C174" s="89"/>
      <c r="D174" s="55"/>
      <c r="E174" s="115"/>
      <c r="F174" s="150"/>
      <c r="G174" s="188"/>
      <c r="H174" s="189"/>
      <c r="I174" s="115"/>
      <c r="J174" s="150"/>
      <c r="K174" s="89"/>
      <c r="L174" s="55"/>
      <c r="M174" s="115"/>
      <c r="N174" s="190"/>
      <c r="O174" s="89"/>
      <c r="P174" s="55"/>
      <c r="Q174" s="191"/>
      <c r="R174" s="192"/>
      <c r="S174" s="121"/>
      <c r="T174" s="122"/>
      <c r="U174" s="191"/>
      <c r="V174" s="192"/>
      <c r="W174" s="121"/>
      <c r="X174" s="122"/>
      <c r="Y174" s="115"/>
      <c r="Z174" s="193"/>
      <c r="AA174" s="194"/>
      <c r="AB174" s="195"/>
      <c r="AC174" s="115"/>
      <c r="AD174" s="192"/>
      <c r="AE174" s="196"/>
      <c r="AF174" s="197"/>
      <c r="AG174" s="198"/>
      <c r="AH174" s="199"/>
      <c r="AI174" s="200"/>
      <c r="AJ174" s="122"/>
      <c r="AK174" s="122"/>
      <c r="AL174" s="122"/>
    </row>
    <row r="175">
      <c r="A175" s="115"/>
      <c r="B175" s="150"/>
      <c r="C175" s="89"/>
      <c r="D175" s="55"/>
      <c r="E175" s="115"/>
      <c r="F175" s="150"/>
      <c r="G175" s="188"/>
      <c r="H175" s="189"/>
      <c r="I175" s="115"/>
      <c r="J175" s="150"/>
      <c r="K175" s="89"/>
      <c r="L175" s="55"/>
      <c r="M175" s="115"/>
      <c r="N175" s="190"/>
      <c r="O175" s="89"/>
      <c r="P175" s="55"/>
      <c r="Q175" s="191"/>
      <c r="R175" s="192"/>
      <c r="S175" s="121"/>
      <c r="T175" s="122"/>
      <c r="U175" s="191"/>
      <c r="V175" s="192"/>
      <c r="W175" s="121"/>
      <c r="X175" s="122"/>
      <c r="Y175" s="115"/>
      <c r="Z175" s="193"/>
      <c r="AA175" s="194"/>
      <c r="AB175" s="195"/>
      <c r="AC175" s="115"/>
      <c r="AD175" s="192"/>
      <c r="AE175" s="196"/>
      <c r="AF175" s="197"/>
      <c r="AG175" s="198"/>
      <c r="AH175" s="199"/>
      <c r="AI175" s="200"/>
      <c r="AJ175" s="122"/>
      <c r="AK175" s="122"/>
      <c r="AL175" s="122"/>
    </row>
    <row r="176">
      <c r="A176" s="115"/>
      <c r="B176" s="150"/>
      <c r="C176" s="89"/>
      <c r="D176" s="55"/>
      <c r="E176" s="115"/>
      <c r="F176" s="150"/>
      <c r="G176" s="188"/>
      <c r="H176" s="189"/>
      <c r="I176" s="115"/>
      <c r="J176" s="150"/>
      <c r="K176" s="89"/>
      <c r="L176" s="55"/>
      <c r="M176" s="115"/>
      <c r="N176" s="190"/>
      <c r="O176" s="89"/>
      <c r="P176" s="55"/>
      <c r="Q176" s="191"/>
      <c r="R176" s="192"/>
      <c r="S176" s="121"/>
      <c r="T176" s="122"/>
      <c r="U176" s="191"/>
      <c r="V176" s="192"/>
      <c r="W176" s="121"/>
      <c r="X176" s="122"/>
      <c r="Y176" s="115"/>
      <c r="Z176" s="193"/>
      <c r="AA176" s="194"/>
      <c r="AB176" s="195"/>
      <c r="AC176" s="115"/>
      <c r="AD176" s="192"/>
      <c r="AE176" s="196"/>
      <c r="AF176" s="197"/>
      <c r="AG176" s="198"/>
      <c r="AH176" s="199"/>
      <c r="AI176" s="200"/>
      <c r="AJ176" s="122"/>
      <c r="AK176" s="122"/>
      <c r="AL176" s="122"/>
    </row>
    <row r="177">
      <c r="A177" s="115"/>
      <c r="B177" s="150"/>
      <c r="C177" s="89"/>
      <c r="D177" s="55"/>
      <c r="E177" s="115"/>
      <c r="F177" s="150"/>
      <c r="G177" s="188"/>
      <c r="H177" s="189"/>
      <c r="I177" s="115"/>
      <c r="J177" s="150"/>
      <c r="K177" s="89"/>
      <c r="L177" s="55"/>
      <c r="M177" s="115"/>
      <c r="N177" s="190"/>
      <c r="O177" s="89"/>
      <c r="P177" s="55"/>
      <c r="Q177" s="191"/>
      <c r="R177" s="192"/>
      <c r="S177" s="121"/>
      <c r="T177" s="122"/>
      <c r="U177" s="191"/>
      <c r="V177" s="192"/>
      <c r="W177" s="121"/>
      <c r="X177" s="122"/>
      <c r="Y177" s="115"/>
      <c r="Z177" s="193"/>
      <c r="AA177" s="194"/>
      <c r="AB177" s="195"/>
      <c r="AC177" s="115"/>
      <c r="AD177" s="192"/>
      <c r="AE177" s="196"/>
      <c r="AF177" s="197"/>
      <c r="AG177" s="198"/>
      <c r="AH177" s="199"/>
      <c r="AI177" s="200"/>
      <c r="AJ177" s="122"/>
      <c r="AK177" s="122"/>
      <c r="AL177" s="122"/>
    </row>
    <row r="178">
      <c r="A178" s="115"/>
      <c r="B178" s="150"/>
      <c r="C178" s="89"/>
      <c r="D178" s="55"/>
      <c r="E178" s="115"/>
      <c r="F178" s="150"/>
      <c r="G178" s="188"/>
      <c r="H178" s="189"/>
      <c r="I178" s="115"/>
      <c r="J178" s="150"/>
      <c r="K178" s="89"/>
      <c r="L178" s="55"/>
      <c r="M178" s="115"/>
      <c r="N178" s="190"/>
      <c r="O178" s="89"/>
      <c r="P178" s="55"/>
      <c r="Q178" s="191"/>
      <c r="R178" s="192"/>
      <c r="S178" s="121"/>
      <c r="T178" s="122"/>
      <c r="U178" s="191"/>
      <c r="V178" s="192"/>
      <c r="W178" s="121"/>
      <c r="X178" s="122"/>
      <c r="Y178" s="115"/>
      <c r="Z178" s="193"/>
      <c r="AA178" s="194"/>
      <c r="AB178" s="195"/>
      <c r="AC178" s="115"/>
      <c r="AD178" s="192"/>
      <c r="AE178" s="196"/>
      <c r="AF178" s="197"/>
      <c r="AG178" s="198"/>
      <c r="AH178" s="199"/>
      <c r="AI178" s="200"/>
      <c r="AJ178" s="122"/>
      <c r="AK178" s="122"/>
      <c r="AL178" s="122"/>
    </row>
    <row r="179">
      <c r="A179" s="115"/>
      <c r="B179" s="150"/>
      <c r="C179" s="89"/>
      <c r="D179" s="55"/>
      <c r="E179" s="115"/>
      <c r="F179" s="150"/>
      <c r="G179" s="188"/>
      <c r="H179" s="189"/>
      <c r="I179" s="115"/>
      <c r="J179" s="150"/>
      <c r="K179" s="89"/>
      <c r="L179" s="55"/>
      <c r="M179" s="115"/>
      <c r="N179" s="190"/>
      <c r="O179" s="89"/>
      <c r="P179" s="55"/>
      <c r="Q179" s="191"/>
      <c r="R179" s="192"/>
      <c r="S179" s="121"/>
      <c r="T179" s="122"/>
      <c r="U179" s="191"/>
      <c r="V179" s="192"/>
      <c r="W179" s="121"/>
      <c r="X179" s="122"/>
      <c r="Y179" s="115"/>
      <c r="Z179" s="193"/>
      <c r="AA179" s="194"/>
      <c r="AB179" s="195"/>
      <c r="AC179" s="115"/>
      <c r="AD179" s="192"/>
      <c r="AE179" s="196"/>
      <c r="AF179" s="197"/>
      <c r="AG179" s="198"/>
      <c r="AH179" s="199"/>
      <c r="AI179" s="200"/>
      <c r="AJ179" s="122"/>
      <c r="AK179" s="122"/>
      <c r="AL179" s="122"/>
    </row>
    <row r="180">
      <c r="A180" s="115"/>
      <c r="B180" s="150"/>
      <c r="C180" s="89"/>
      <c r="D180" s="55"/>
      <c r="E180" s="115"/>
      <c r="F180" s="150"/>
      <c r="G180" s="188"/>
      <c r="H180" s="189"/>
      <c r="I180" s="115"/>
      <c r="J180" s="150"/>
      <c r="K180" s="89"/>
      <c r="L180" s="55"/>
      <c r="M180" s="115"/>
      <c r="N180" s="190"/>
      <c r="O180" s="89"/>
      <c r="P180" s="55"/>
      <c r="Q180" s="191"/>
      <c r="R180" s="192"/>
      <c r="S180" s="121"/>
      <c r="T180" s="122"/>
      <c r="U180" s="191"/>
      <c r="V180" s="192"/>
      <c r="W180" s="121"/>
      <c r="X180" s="122"/>
      <c r="Y180" s="115"/>
      <c r="Z180" s="193"/>
      <c r="AA180" s="194"/>
      <c r="AB180" s="195"/>
      <c r="AC180" s="115"/>
      <c r="AD180" s="192"/>
      <c r="AE180" s="196"/>
      <c r="AF180" s="197"/>
      <c r="AG180" s="198"/>
      <c r="AH180" s="199"/>
      <c r="AI180" s="200"/>
      <c r="AJ180" s="122"/>
      <c r="AK180" s="122"/>
      <c r="AL180" s="122"/>
    </row>
    <row r="181">
      <c r="A181" s="115"/>
      <c r="B181" s="150"/>
      <c r="C181" s="89"/>
      <c r="D181" s="55"/>
      <c r="E181" s="115"/>
      <c r="F181" s="150"/>
      <c r="G181" s="188"/>
      <c r="H181" s="189"/>
      <c r="I181" s="115"/>
      <c r="J181" s="150"/>
      <c r="K181" s="89"/>
      <c r="L181" s="55"/>
      <c r="M181" s="115"/>
      <c r="N181" s="190"/>
      <c r="O181" s="89"/>
      <c r="P181" s="55"/>
      <c r="Q181" s="191"/>
      <c r="R181" s="192"/>
      <c r="S181" s="121"/>
      <c r="T181" s="122"/>
      <c r="U181" s="191"/>
      <c r="V181" s="192"/>
      <c r="W181" s="121"/>
      <c r="X181" s="122"/>
      <c r="Y181" s="115"/>
      <c r="Z181" s="193"/>
      <c r="AA181" s="194"/>
      <c r="AB181" s="195"/>
      <c r="AC181" s="115"/>
      <c r="AD181" s="192"/>
      <c r="AE181" s="196"/>
      <c r="AF181" s="197"/>
      <c r="AG181" s="198"/>
      <c r="AH181" s="199"/>
      <c r="AI181" s="200"/>
      <c r="AJ181" s="122"/>
      <c r="AK181" s="122"/>
      <c r="AL181" s="122"/>
    </row>
    <row r="182">
      <c r="A182" s="115"/>
      <c r="B182" s="150"/>
      <c r="C182" s="89"/>
      <c r="D182" s="55"/>
      <c r="E182" s="115"/>
      <c r="F182" s="150"/>
      <c r="G182" s="188"/>
      <c r="H182" s="189"/>
      <c r="I182" s="115"/>
      <c r="J182" s="150"/>
      <c r="K182" s="89"/>
      <c r="L182" s="55"/>
      <c r="M182" s="115"/>
      <c r="N182" s="190"/>
      <c r="O182" s="89"/>
      <c r="P182" s="55"/>
      <c r="Q182" s="191"/>
      <c r="R182" s="192"/>
      <c r="S182" s="121"/>
      <c r="T182" s="122"/>
      <c r="U182" s="191"/>
      <c r="V182" s="192"/>
      <c r="W182" s="121"/>
      <c r="X182" s="122"/>
      <c r="Y182" s="115"/>
      <c r="Z182" s="193"/>
      <c r="AA182" s="194"/>
      <c r="AB182" s="195"/>
      <c r="AC182" s="115"/>
      <c r="AD182" s="192"/>
      <c r="AE182" s="196"/>
      <c r="AF182" s="197"/>
      <c r="AG182" s="198"/>
      <c r="AH182" s="199"/>
      <c r="AI182" s="200"/>
      <c r="AJ182" s="122"/>
      <c r="AK182" s="122"/>
      <c r="AL182" s="122"/>
    </row>
    <row r="183">
      <c r="A183" s="115"/>
      <c r="B183" s="150"/>
      <c r="C183" s="89"/>
      <c r="D183" s="55"/>
      <c r="E183" s="115"/>
      <c r="F183" s="150"/>
      <c r="G183" s="188"/>
      <c r="H183" s="189"/>
      <c r="I183" s="115"/>
      <c r="J183" s="150"/>
      <c r="K183" s="89"/>
      <c r="L183" s="55"/>
      <c r="M183" s="115"/>
      <c r="N183" s="190"/>
      <c r="O183" s="89"/>
      <c r="P183" s="55"/>
      <c r="Q183" s="191"/>
      <c r="R183" s="192"/>
      <c r="S183" s="121"/>
      <c r="T183" s="122"/>
      <c r="U183" s="191"/>
      <c r="V183" s="192"/>
      <c r="W183" s="121"/>
      <c r="X183" s="122"/>
      <c r="Y183" s="115"/>
      <c r="Z183" s="193"/>
      <c r="AA183" s="194"/>
      <c r="AB183" s="195"/>
      <c r="AC183" s="115"/>
      <c r="AD183" s="192"/>
      <c r="AE183" s="196"/>
      <c r="AF183" s="197"/>
      <c r="AG183" s="198"/>
      <c r="AH183" s="199"/>
      <c r="AI183" s="200"/>
      <c r="AJ183" s="122"/>
      <c r="AK183" s="122"/>
      <c r="AL183" s="122"/>
    </row>
    <row r="184">
      <c r="A184" s="115"/>
      <c r="B184" s="150"/>
      <c r="C184" s="89"/>
      <c r="D184" s="55"/>
      <c r="E184" s="115"/>
      <c r="F184" s="150"/>
      <c r="G184" s="188"/>
      <c r="H184" s="189"/>
      <c r="I184" s="115"/>
      <c r="J184" s="150"/>
      <c r="K184" s="89"/>
      <c r="L184" s="55"/>
      <c r="M184" s="115"/>
      <c r="N184" s="190"/>
      <c r="O184" s="89"/>
      <c r="P184" s="55"/>
      <c r="Q184" s="191"/>
      <c r="R184" s="192"/>
      <c r="S184" s="121"/>
      <c r="T184" s="122"/>
      <c r="U184" s="191"/>
      <c r="V184" s="192"/>
      <c r="W184" s="121"/>
      <c r="X184" s="122"/>
      <c r="Y184" s="115"/>
      <c r="Z184" s="193"/>
      <c r="AA184" s="194"/>
      <c r="AB184" s="195"/>
      <c r="AC184" s="115"/>
      <c r="AD184" s="192"/>
      <c r="AE184" s="196"/>
      <c r="AF184" s="197"/>
      <c r="AG184" s="198"/>
      <c r="AH184" s="199"/>
      <c r="AI184" s="200"/>
      <c r="AJ184" s="122"/>
      <c r="AK184" s="122"/>
      <c r="AL184" s="122"/>
    </row>
    <row r="185">
      <c r="A185" s="115"/>
      <c r="B185" s="150"/>
      <c r="C185" s="89"/>
      <c r="D185" s="55"/>
      <c r="E185" s="115"/>
      <c r="F185" s="150"/>
      <c r="G185" s="188"/>
      <c r="H185" s="189"/>
      <c r="I185" s="115"/>
      <c r="J185" s="150"/>
      <c r="K185" s="89"/>
      <c r="L185" s="55"/>
      <c r="M185" s="115"/>
      <c r="N185" s="190"/>
      <c r="O185" s="89"/>
      <c r="P185" s="55"/>
      <c r="Q185" s="191"/>
      <c r="R185" s="192"/>
      <c r="S185" s="121"/>
      <c r="T185" s="122"/>
      <c r="U185" s="191"/>
      <c r="V185" s="192"/>
      <c r="W185" s="121"/>
      <c r="X185" s="122"/>
      <c r="Y185" s="115"/>
      <c r="Z185" s="193"/>
      <c r="AA185" s="194"/>
      <c r="AB185" s="195"/>
      <c r="AC185" s="115"/>
      <c r="AD185" s="192"/>
      <c r="AE185" s="196"/>
      <c r="AF185" s="197"/>
      <c r="AG185" s="198"/>
      <c r="AH185" s="199"/>
      <c r="AI185" s="200"/>
      <c r="AJ185" s="122"/>
      <c r="AK185" s="122"/>
      <c r="AL185" s="122"/>
    </row>
    <row r="186">
      <c r="A186" s="115"/>
      <c r="B186" s="150"/>
      <c r="C186" s="89"/>
      <c r="D186" s="55"/>
      <c r="E186" s="115"/>
      <c r="F186" s="150"/>
      <c r="G186" s="188"/>
      <c r="H186" s="189"/>
      <c r="I186" s="115"/>
      <c r="J186" s="150"/>
      <c r="K186" s="89"/>
      <c r="L186" s="55"/>
      <c r="M186" s="115"/>
      <c r="N186" s="190"/>
      <c r="O186" s="89"/>
      <c r="P186" s="55"/>
      <c r="Q186" s="191"/>
      <c r="R186" s="192"/>
      <c r="S186" s="121"/>
      <c r="T186" s="122"/>
      <c r="U186" s="191"/>
      <c r="V186" s="192"/>
      <c r="W186" s="121"/>
      <c r="X186" s="122"/>
      <c r="Y186" s="115"/>
      <c r="Z186" s="193"/>
      <c r="AA186" s="194"/>
      <c r="AB186" s="195"/>
      <c r="AC186" s="115"/>
      <c r="AD186" s="192"/>
      <c r="AE186" s="196"/>
      <c r="AF186" s="197"/>
      <c r="AG186" s="198"/>
      <c r="AH186" s="199"/>
      <c r="AI186" s="200"/>
      <c r="AJ186" s="122"/>
      <c r="AK186" s="122"/>
      <c r="AL186" s="122"/>
    </row>
    <row r="187">
      <c r="A187" s="115"/>
      <c r="B187" s="150"/>
      <c r="C187" s="89"/>
      <c r="D187" s="55"/>
      <c r="E187" s="115"/>
      <c r="F187" s="150"/>
      <c r="G187" s="188"/>
      <c r="H187" s="189"/>
      <c r="I187" s="115"/>
      <c r="J187" s="150"/>
      <c r="K187" s="89"/>
      <c r="L187" s="55"/>
      <c r="M187" s="115"/>
      <c r="N187" s="190"/>
      <c r="O187" s="89"/>
      <c r="P187" s="55"/>
      <c r="Q187" s="191"/>
      <c r="R187" s="192"/>
      <c r="S187" s="121"/>
      <c r="T187" s="122"/>
      <c r="U187" s="191"/>
      <c r="V187" s="192"/>
      <c r="W187" s="121"/>
      <c r="X187" s="122"/>
      <c r="Y187" s="115"/>
      <c r="Z187" s="193"/>
      <c r="AA187" s="194"/>
      <c r="AB187" s="195"/>
      <c r="AC187" s="115"/>
      <c r="AD187" s="192"/>
      <c r="AE187" s="196"/>
      <c r="AF187" s="197"/>
      <c r="AG187" s="198"/>
      <c r="AH187" s="199"/>
      <c r="AI187" s="200"/>
      <c r="AJ187" s="122"/>
      <c r="AK187" s="122"/>
      <c r="AL187" s="122"/>
    </row>
    <row r="188">
      <c r="A188" s="115"/>
      <c r="B188" s="150"/>
      <c r="C188" s="89"/>
      <c r="D188" s="55"/>
      <c r="E188" s="115"/>
      <c r="F188" s="150"/>
      <c r="G188" s="188"/>
      <c r="H188" s="189"/>
      <c r="I188" s="115"/>
      <c r="J188" s="150"/>
      <c r="K188" s="89"/>
      <c r="L188" s="55"/>
      <c r="M188" s="115"/>
      <c r="N188" s="190"/>
      <c r="O188" s="89"/>
      <c r="P188" s="55"/>
      <c r="Q188" s="191"/>
      <c r="R188" s="192"/>
      <c r="S188" s="121"/>
      <c r="T188" s="122"/>
      <c r="U188" s="191"/>
      <c r="V188" s="192"/>
      <c r="W188" s="121"/>
      <c r="X188" s="122"/>
      <c r="Y188" s="115"/>
      <c r="Z188" s="193"/>
      <c r="AA188" s="194"/>
      <c r="AB188" s="195"/>
      <c r="AC188" s="115"/>
      <c r="AD188" s="192"/>
      <c r="AE188" s="196"/>
      <c r="AF188" s="197"/>
      <c r="AG188" s="198"/>
      <c r="AH188" s="199"/>
      <c r="AI188" s="200"/>
      <c r="AJ188" s="122"/>
      <c r="AK188" s="122"/>
      <c r="AL188" s="122"/>
    </row>
    <row r="189">
      <c r="A189" s="115"/>
      <c r="B189" s="150"/>
      <c r="C189" s="89"/>
      <c r="D189" s="55"/>
      <c r="E189" s="115"/>
      <c r="F189" s="150"/>
      <c r="G189" s="188"/>
      <c r="H189" s="189"/>
      <c r="I189" s="115"/>
      <c r="J189" s="150"/>
      <c r="K189" s="89"/>
      <c r="L189" s="55"/>
      <c r="M189" s="115"/>
      <c r="N189" s="190"/>
      <c r="O189" s="89"/>
      <c r="P189" s="55"/>
      <c r="Q189" s="191"/>
      <c r="R189" s="192"/>
      <c r="S189" s="121"/>
      <c r="T189" s="122"/>
      <c r="U189" s="191"/>
      <c r="V189" s="192"/>
      <c r="W189" s="121"/>
      <c r="X189" s="122"/>
      <c r="Y189" s="115"/>
      <c r="Z189" s="193"/>
      <c r="AA189" s="194"/>
      <c r="AB189" s="195"/>
      <c r="AC189" s="115"/>
      <c r="AD189" s="192"/>
      <c r="AE189" s="196"/>
      <c r="AF189" s="197"/>
      <c r="AG189" s="198"/>
      <c r="AH189" s="199"/>
      <c r="AI189" s="200"/>
      <c r="AJ189" s="122"/>
      <c r="AK189" s="122"/>
      <c r="AL189" s="122"/>
    </row>
    <row r="190">
      <c r="A190" s="115"/>
      <c r="B190" s="150"/>
      <c r="C190" s="89"/>
      <c r="D190" s="55"/>
      <c r="E190" s="115"/>
      <c r="F190" s="150"/>
      <c r="G190" s="188"/>
      <c r="H190" s="189"/>
      <c r="I190" s="115"/>
      <c r="J190" s="150"/>
      <c r="K190" s="89"/>
      <c r="L190" s="55"/>
      <c r="M190" s="115"/>
      <c r="N190" s="190"/>
      <c r="O190" s="89"/>
      <c r="P190" s="55"/>
      <c r="Q190" s="191"/>
      <c r="R190" s="192"/>
      <c r="S190" s="121"/>
      <c r="T190" s="122"/>
      <c r="U190" s="191"/>
      <c r="V190" s="192"/>
      <c r="W190" s="121"/>
      <c r="X190" s="122"/>
      <c r="Y190" s="115"/>
      <c r="Z190" s="193"/>
      <c r="AA190" s="194"/>
      <c r="AB190" s="195"/>
      <c r="AC190" s="115"/>
      <c r="AD190" s="192"/>
      <c r="AE190" s="196"/>
      <c r="AF190" s="197"/>
      <c r="AG190" s="198"/>
      <c r="AH190" s="199"/>
      <c r="AI190" s="200"/>
      <c r="AJ190" s="122"/>
      <c r="AK190" s="122"/>
      <c r="AL190" s="122"/>
    </row>
    <row r="191">
      <c r="A191" s="115"/>
      <c r="B191" s="150"/>
      <c r="C191" s="89"/>
      <c r="D191" s="55"/>
      <c r="E191" s="115"/>
      <c r="F191" s="150"/>
      <c r="G191" s="188"/>
      <c r="H191" s="189"/>
      <c r="I191" s="115"/>
      <c r="J191" s="150"/>
      <c r="K191" s="89"/>
      <c r="L191" s="55"/>
      <c r="M191" s="115"/>
      <c r="N191" s="190"/>
      <c r="O191" s="89"/>
      <c r="P191" s="55"/>
      <c r="Q191" s="191"/>
      <c r="R191" s="192"/>
      <c r="S191" s="121"/>
      <c r="T191" s="122"/>
      <c r="U191" s="191"/>
      <c r="V191" s="192"/>
      <c r="W191" s="121"/>
      <c r="X191" s="122"/>
      <c r="Y191" s="115"/>
      <c r="Z191" s="193"/>
      <c r="AA191" s="194"/>
      <c r="AB191" s="195"/>
      <c r="AC191" s="115"/>
      <c r="AD191" s="192"/>
      <c r="AE191" s="196"/>
      <c r="AF191" s="197"/>
      <c r="AG191" s="198"/>
      <c r="AH191" s="199"/>
      <c r="AI191" s="200"/>
      <c r="AJ191" s="122"/>
      <c r="AK191" s="122"/>
      <c r="AL191" s="122"/>
    </row>
    <row r="192">
      <c r="A192" s="115"/>
      <c r="B192" s="150"/>
      <c r="C192" s="89"/>
      <c r="D192" s="55"/>
      <c r="E192" s="115"/>
      <c r="F192" s="150"/>
      <c r="G192" s="188"/>
      <c r="H192" s="189"/>
      <c r="I192" s="115"/>
      <c r="J192" s="150"/>
      <c r="K192" s="89"/>
      <c r="L192" s="55"/>
      <c r="M192" s="115"/>
      <c r="N192" s="190"/>
      <c r="O192" s="89"/>
      <c r="P192" s="55"/>
      <c r="Q192" s="191"/>
      <c r="R192" s="192"/>
      <c r="S192" s="121"/>
      <c r="T192" s="122"/>
      <c r="U192" s="191"/>
      <c r="V192" s="192"/>
      <c r="W192" s="121"/>
      <c r="X192" s="122"/>
      <c r="Y192" s="115"/>
      <c r="Z192" s="193"/>
      <c r="AA192" s="194"/>
      <c r="AB192" s="195"/>
      <c r="AC192" s="115"/>
      <c r="AD192" s="192"/>
      <c r="AE192" s="196"/>
      <c r="AF192" s="197"/>
      <c r="AG192" s="198"/>
      <c r="AH192" s="199"/>
      <c r="AI192" s="200"/>
      <c r="AJ192" s="122"/>
      <c r="AK192" s="122"/>
      <c r="AL192" s="122"/>
    </row>
    <row r="193">
      <c r="A193" s="115"/>
      <c r="B193" s="150"/>
      <c r="C193" s="89"/>
      <c r="D193" s="55"/>
      <c r="E193" s="115"/>
      <c r="F193" s="150"/>
      <c r="G193" s="188"/>
      <c r="H193" s="189"/>
      <c r="I193" s="115"/>
      <c r="J193" s="150"/>
      <c r="K193" s="89"/>
      <c r="L193" s="55"/>
      <c r="M193" s="115"/>
      <c r="N193" s="190"/>
      <c r="O193" s="89"/>
      <c r="P193" s="55"/>
      <c r="Q193" s="191"/>
      <c r="R193" s="192"/>
      <c r="S193" s="121"/>
      <c r="T193" s="122"/>
      <c r="U193" s="191"/>
      <c r="V193" s="192"/>
      <c r="W193" s="121"/>
      <c r="X193" s="122"/>
      <c r="Y193" s="115"/>
      <c r="Z193" s="193"/>
      <c r="AA193" s="194"/>
      <c r="AB193" s="195"/>
      <c r="AC193" s="115"/>
      <c r="AD193" s="192"/>
      <c r="AE193" s="196"/>
      <c r="AF193" s="197"/>
      <c r="AG193" s="198"/>
      <c r="AH193" s="199"/>
      <c r="AI193" s="200"/>
      <c r="AJ193" s="122"/>
      <c r="AK193" s="122"/>
      <c r="AL193" s="122"/>
    </row>
    <row r="194">
      <c r="A194" s="115"/>
      <c r="B194" s="150"/>
      <c r="C194" s="89"/>
      <c r="D194" s="55"/>
      <c r="E194" s="115"/>
      <c r="F194" s="150"/>
      <c r="G194" s="188"/>
      <c r="H194" s="189"/>
      <c r="I194" s="115"/>
      <c r="J194" s="150"/>
      <c r="K194" s="89"/>
      <c r="L194" s="55"/>
      <c r="M194" s="115"/>
      <c r="N194" s="190"/>
      <c r="O194" s="89"/>
      <c r="P194" s="55"/>
      <c r="Q194" s="191"/>
      <c r="R194" s="192"/>
      <c r="S194" s="121"/>
      <c r="T194" s="122"/>
      <c r="U194" s="191"/>
      <c r="V194" s="192"/>
      <c r="W194" s="121"/>
      <c r="X194" s="122"/>
      <c r="Y194" s="115"/>
      <c r="Z194" s="193"/>
      <c r="AA194" s="194"/>
      <c r="AB194" s="195"/>
      <c r="AC194" s="115"/>
      <c r="AD194" s="192"/>
      <c r="AE194" s="196"/>
      <c r="AF194" s="197"/>
      <c r="AG194" s="198"/>
      <c r="AH194" s="199"/>
      <c r="AI194" s="200"/>
      <c r="AJ194" s="122"/>
      <c r="AK194" s="122"/>
      <c r="AL194" s="122"/>
    </row>
    <row r="195">
      <c r="A195" s="115"/>
      <c r="B195" s="150"/>
      <c r="C195" s="89"/>
      <c r="D195" s="55"/>
      <c r="E195" s="115"/>
      <c r="F195" s="150"/>
      <c r="G195" s="188"/>
      <c r="H195" s="189"/>
      <c r="I195" s="115"/>
      <c r="J195" s="150"/>
      <c r="K195" s="89"/>
      <c r="L195" s="55"/>
      <c r="M195" s="115"/>
      <c r="N195" s="190"/>
      <c r="O195" s="89"/>
      <c r="P195" s="55"/>
      <c r="Q195" s="191"/>
      <c r="R195" s="192"/>
      <c r="S195" s="121"/>
      <c r="T195" s="122"/>
      <c r="U195" s="191"/>
      <c r="V195" s="192"/>
      <c r="W195" s="121"/>
      <c r="X195" s="122"/>
      <c r="Y195" s="115"/>
      <c r="Z195" s="193"/>
      <c r="AA195" s="194"/>
      <c r="AB195" s="195"/>
      <c r="AC195" s="115"/>
      <c r="AD195" s="192"/>
      <c r="AE195" s="196"/>
      <c r="AF195" s="197"/>
      <c r="AG195" s="198"/>
      <c r="AH195" s="199"/>
      <c r="AI195" s="200"/>
      <c r="AJ195" s="122"/>
      <c r="AK195" s="122"/>
      <c r="AL195" s="122"/>
    </row>
    <row r="196">
      <c r="A196" s="115"/>
      <c r="B196" s="150"/>
      <c r="C196" s="89"/>
      <c r="D196" s="55"/>
      <c r="E196" s="115"/>
      <c r="F196" s="150"/>
      <c r="G196" s="188"/>
      <c r="H196" s="189"/>
      <c r="I196" s="115"/>
      <c r="J196" s="150"/>
      <c r="K196" s="89"/>
      <c r="L196" s="55"/>
      <c r="M196" s="115"/>
      <c r="N196" s="190"/>
      <c r="O196" s="89"/>
      <c r="P196" s="55"/>
      <c r="Q196" s="191"/>
      <c r="R196" s="192"/>
      <c r="S196" s="121"/>
      <c r="T196" s="122"/>
      <c r="U196" s="191"/>
      <c r="V196" s="192"/>
      <c r="W196" s="121"/>
      <c r="X196" s="122"/>
      <c r="Y196" s="115"/>
      <c r="Z196" s="193"/>
      <c r="AA196" s="194"/>
      <c r="AB196" s="195"/>
      <c r="AC196" s="115"/>
      <c r="AD196" s="192"/>
      <c r="AE196" s="196"/>
      <c r="AF196" s="197"/>
      <c r="AG196" s="198"/>
      <c r="AH196" s="199"/>
      <c r="AI196" s="200"/>
      <c r="AJ196" s="122"/>
      <c r="AK196" s="122"/>
      <c r="AL196" s="122"/>
    </row>
    <row r="197">
      <c r="A197" s="115"/>
      <c r="B197" s="150"/>
      <c r="C197" s="89"/>
      <c r="D197" s="55"/>
      <c r="E197" s="115"/>
      <c r="F197" s="150"/>
      <c r="G197" s="188"/>
      <c r="H197" s="189"/>
      <c r="I197" s="115"/>
      <c r="J197" s="150"/>
      <c r="K197" s="89"/>
      <c r="L197" s="55"/>
      <c r="M197" s="115"/>
      <c r="N197" s="190"/>
      <c r="O197" s="89"/>
      <c r="P197" s="55"/>
      <c r="Q197" s="191"/>
      <c r="R197" s="192"/>
      <c r="S197" s="121"/>
      <c r="T197" s="122"/>
      <c r="U197" s="191"/>
      <c r="V197" s="192"/>
      <c r="W197" s="121"/>
      <c r="X197" s="122"/>
      <c r="Y197" s="115"/>
      <c r="Z197" s="193"/>
      <c r="AA197" s="194"/>
      <c r="AB197" s="195"/>
      <c r="AC197" s="115"/>
      <c r="AD197" s="192"/>
      <c r="AE197" s="196"/>
      <c r="AF197" s="197"/>
      <c r="AG197" s="198"/>
      <c r="AH197" s="199"/>
      <c r="AI197" s="200"/>
      <c r="AJ197" s="122"/>
      <c r="AK197" s="122"/>
      <c r="AL197" s="122"/>
    </row>
    <row r="198">
      <c r="A198" s="115"/>
      <c r="B198" s="150"/>
      <c r="C198" s="89"/>
      <c r="D198" s="55"/>
      <c r="E198" s="115"/>
      <c r="F198" s="150"/>
      <c r="G198" s="188"/>
      <c r="H198" s="189"/>
      <c r="I198" s="115"/>
      <c r="J198" s="150"/>
      <c r="K198" s="89"/>
      <c r="L198" s="55"/>
      <c r="M198" s="115"/>
      <c r="N198" s="190"/>
      <c r="O198" s="89"/>
      <c r="P198" s="55"/>
      <c r="Q198" s="191"/>
      <c r="R198" s="192"/>
      <c r="S198" s="121"/>
      <c r="T198" s="122"/>
      <c r="U198" s="191"/>
      <c r="V198" s="192"/>
      <c r="W198" s="121"/>
      <c r="X198" s="122"/>
      <c r="Y198" s="115"/>
      <c r="Z198" s="193"/>
      <c r="AA198" s="194"/>
      <c r="AB198" s="195"/>
      <c r="AC198" s="115"/>
      <c r="AD198" s="192"/>
      <c r="AE198" s="196"/>
      <c r="AF198" s="197"/>
      <c r="AG198" s="198"/>
      <c r="AH198" s="199"/>
      <c r="AI198" s="200"/>
      <c r="AJ198" s="122"/>
      <c r="AK198" s="122"/>
      <c r="AL198" s="122"/>
    </row>
    <row r="199">
      <c r="A199" s="115"/>
      <c r="B199" s="150"/>
      <c r="C199" s="89"/>
      <c r="D199" s="55"/>
      <c r="E199" s="115"/>
      <c r="F199" s="150"/>
      <c r="G199" s="188"/>
      <c r="H199" s="189"/>
      <c r="I199" s="115"/>
      <c r="J199" s="150"/>
      <c r="K199" s="89"/>
      <c r="L199" s="55"/>
      <c r="M199" s="115"/>
      <c r="N199" s="190"/>
      <c r="O199" s="89"/>
      <c r="P199" s="55"/>
      <c r="Q199" s="191"/>
      <c r="R199" s="192"/>
      <c r="S199" s="121"/>
      <c r="T199" s="122"/>
      <c r="U199" s="191"/>
      <c r="V199" s="192"/>
      <c r="W199" s="121"/>
      <c r="X199" s="122"/>
      <c r="Y199" s="115"/>
      <c r="Z199" s="193"/>
      <c r="AA199" s="194"/>
      <c r="AB199" s="195"/>
      <c r="AC199" s="115"/>
      <c r="AD199" s="192"/>
      <c r="AE199" s="196"/>
      <c r="AF199" s="197"/>
      <c r="AG199" s="198"/>
      <c r="AH199" s="199"/>
      <c r="AI199" s="200"/>
      <c r="AJ199" s="122"/>
      <c r="AK199" s="122"/>
      <c r="AL199" s="122"/>
    </row>
    <row r="200">
      <c r="A200" s="115"/>
      <c r="B200" s="150"/>
      <c r="C200" s="89"/>
      <c r="D200" s="55"/>
      <c r="E200" s="115"/>
      <c r="F200" s="150"/>
      <c r="G200" s="188"/>
      <c r="H200" s="189"/>
      <c r="I200" s="115"/>
      <c r="J200" s="150"/>
      <c r="K200" s="89"/>
      <c r="L200" s="55"/>
      <c r="M200" s="115"/>
      <c r="N200" s="190"/>
      <c r="O200" s="89"/>
      <c r="P200" s="55"/>
      <c r="Q200" s="191"/>
      <c r="R200" s="192"/>
      <c r="S200" s="121"/>
      <c r="T200" s="122"/>
      <c r="U200" s="191"/>
      <c r="V200" s="192"/>
      <c r="W200" s="121"/>
      <c r="X200" s="122"/>
      <c r="Y200" s="115"/>
      <c r="Z200" s="193"/>
      <c r="AA200" s="194"/>
      <c r="AB200" s="195"/>
      <c r="AC200" s="115"/>
      <c r="AD200" s="192"/>
      <c r="AE200" s="196"/>
      <c r="AF200" s="197"/>
      <c r="AG200" s="198"/>
      <c r="AH200" s="199"/>
      <c r="AI200" s="200"/>
      <c r="AJ200" s="122"/>
      <c r="AK200" s="122"/>
      <c r="AL200" s="122"/>
    </row>
    <row r="201">
      <c r="A201" s="115"/>
      <c r="B201" s="150"/>
      <c r="C201" s="89"/>
      <c r="D201" s="55"/>
      <c r="E201" s="115"/>
      <c r="F201" s="150"/>
      <c r="G201" s="188"/>
      <c r="H201" s="189"/>
      <c r="I201" s="115"/>
      <c r="J201" s="150"/>
      <c r="K201" s="89"/>
      <c r="L201" s="55"/>
      <c r="M201" s="115"/>
      <c r="N201" s="190"/>
      <c r="O201" s="89"/>
      <c r="P201" s="55"/>
      <c r="Q201" s="191"/>
      <c r="R201" s="192"/>
      <c r="S201" s="121"/>
      <c r="T201" s="122"/>
      <c r="U201" s="191"/>
      <c r="V201" s="192"/>
      <c r="W201" s="121"/>
      <c r="X201" s="122"/>
      <c r="Y201" s="115"/>
      <c r="Z201" s="193"/>
      <c r="AA201" s="194"/>
      <c r="AB201" s="195"/>
      <c r="AC201" s="115"/>
      <c r="AD201" s="192"/>
      <c r="AE201" s="196"/>
      <c r="AF201" s="197"/>
      <c r="AG201" s="198"/>
      <c r="AH201" s="199"/>
      <c r="AI201" s="200"/>
      <c r="AJ201" s="122"/>
      <c r="AK201" s="122"/>
      <c r="AL201" s="122"/>
    </row>
    <row r="202">
      <c r="A202" s="115"/>
      <c r="B202" s="150"/>
      <c r="C202" s="89"/>
      <c r="D202" s="55"/>
      <c r="E202" s="115"/>
      <c r="F202" s="150"/>
      <c r="G202" s="188"/>
      <c r="H202" s="189"/>
      <c r="I202" s="115"/>
      <c r="J202" s="150"/>
      <c r="K202" s="89"/>
      <c r="L202" s="55"/>
      <c r="M202" s="115"/>
      <c r="N202" s="190"/>
      <c r="O202" s="89"/>
      <c r="P202" s="55"/>
      <c r="Q202" s="191"/>
      <c r="R202" s="192"/>
      <c r="S202" s="121"/>
      <c r="T202" s="122"/>
      <c r="U202" s="191"/>
      <c r="V202" s="192"/>
      <c r="W202" s="121"/>
      <c r="X202" s="122"/>
      <c r="Y202" s="115"/>
      <c r="Z202" s="193"/>
      <c r="AA202" s="194"/>
      <c r="AB202" s="195"/>
      <c r="AC202" s="115"/>
      <c r="AD202" s="192"/>
      <c r="AE202" s="196"/>
      <c r="AF202" s="197"/>
      <c r="AG202" s="198"/>
      <c r="AH202" s="199"/>
      <c r="AI202" s="200"/>
      <c r="AJ202" s="122"/>
      <c r="AK202" s="122"/>
      <c r="AL202" s="122"/>
    </row>
    <row r="203">
      <c r="A203" s="115"/>
      <c r="B203" s="150"/>
      <c r="C203" s="89"/>
      <c r="D203" s="55"/>
      <c r="E203" s="115"/>
      <c r="F203" s="150"/>
      <c r="G203" s="188"/>
      <c r="H203" s="189"/>
      <c r="I203" s="115"/>
      <c r="J203" s="150"/>
      <c r="K203" s="89"/>
      <c r="L203" s="55"/>
      <c r="M203" s="115"/>
      <c r="N203" s="190"/>
      <c r="O203" s="89"/>
      <c r="P203" s="55"/>
      <c r="Q203" s="191"/>
      <c r="R203" s="192"/>
      <c r="S203" s="121"/>
      <c r="T203" s="122"/>
      <c r="U203" s="191"/>
      <c r="V203" s="192"/>
      <c r="W203" s="121"/>
      <c r="X203" s="122"/>
      <c r="Y203" s="115"/>
      <c r="Z203" s="193"/>
      <c r="AA203" s="194"/>
      <c r="AB203" s="195"/>
      <c r="AC203" s="115"/>
      <c r="AD203" s="192"/>
      <c r="AE203" s="196"/>
      <c r="AF203" s="197"/>
      <c r="AG203" s="198"/>
      <c r="AH203" s="199"/>
      <c r="AI203" s="200"/>
      <c r="AJ203" s="122"/>
      <c r="AK203" s="122"/>
      <c r="AL203" s="122"/>
    </row>
    <row r="204">
      <c r="A204" s="115"/>
      <c r="B204" s="150"/>
      <c r="C204" s="89"/>
      <c r="D204" s="55"/>
      <c r="E204" s="115"/>
      <c r="F204" s="150"/>
      <c r="G204" s="188"/>
      <c r="H204" s="189"/>
      <c r="I204" s="115"/>
      <c r="J204" s="150"/>
      <c r="K204" s="89"/>
      <c r="L204" s="55"/>
      <c r="M204" s="115"/>
      <c r="N204" s="190"/>
      <c r="O204" s="89"/>
      <c r="P204" s="55"/>
      <c r="Q204" s="191"/>
      <c r="R204" s="192"/>
      <c r="S204" s="121"/>
      <c r="T204" s="122"/>
      <c r="U204" s="191"/>
      <c r="V204" s="192"/>
      <c r="W204" s="121"/>
      <c r="X204" s="122"/>
      <c r="Y204" s="115"/>
      <c r="Z204" s="193"/>
      <c r="AA204" s="194"/>
      <c r="AB204" s="195"/>
      <c r="AC204" s="115"/>
      <c r="AD204" s="192"/>
      <c r="AE204" s="196"/>
      <c r="AF204" s="197"/>
      <c r="AG204" s="198"/>
      <c r="AH204" s="199"/>
      <c r="AI204" s="200"/>
      <c r="AJ204" s="122"/>
      <c r="AK204" s="122"/>
      <c r="AL204" s="122"/>
    </row>
    <row r="205">
      <c r="A205" s="115"/>
      <c r="B205" s="150"/>
      <c r="C205" s="89"/>
      <c r="D205" s="55"/>
      <c r="E205" s="115"/>
      <c r="F205" s="150"/>
      <c r="G205" s="188"/>
      <c r="H205" s="189"/>
      <c r="I205" s="115"/>
      <c r="J205" s="150"/>
      <c r="K205" s="89"/>
      <c r="L205" s="55"/>
      <c r="M205" s="115"/>
      <c r="N205" s="190"/>
      <c r="O205" s="89"/>
      <c r="P205" s="55"/>
      <c r="Q205" s="191"/>
      <c r="R205" s="192"/>
      <c r="S205" s="121"/>
      <c r="T205" s="122"/>
      <c r="U205" s="191"/>
      <c r="V205" s="192"/>
      <c r="W205" s="121"/>
      <c r="X205" s="122"/>
      <c r="Y205" s="115"/>
      <c r="Z205" s="193"/>
      <c r="AA205" s="194"/>
      <c r="AB205" s="195"/>
      <c r="AC205" s="115"/>
      <c r="AD205" s="192"/>
      <c r="AE205" s="196"/>
      <c r="AF205" s="197"/>
      <c r="AG205" s="198"/>
      <c r="AH205" s="199"/>
      <c r="AI205" s="200"/>
      <c r="AJ205" s="122"/>
      <c r="AK205" s="122"/>
      <c r="AL205" s="122"/>
    </row>
    <row r="206">
      <c r="A206" s="115"/>
      <c r="B206" s="150"/>
      <c r="C206" s="89"/>
      <c r="D206" s="55"/>
      <c r="E206" s="115"/>
      <c r="F206" s="150"/>
      <c r="G206" s="188"/>
      <c r="H206" s="189"/>
      <c r="I206" s="115"/>
      <c r="J206" s="150"/>
      <c r="K206" s="89"/>
      <c r="L206" s="55"/>
      <c r="M206" s="115"/>
      <c r="N206" s="190"/>
      <c r="O206" s="89"/>
      <c r="P206" s="55"/>
      <c r="Q206" s="191"/>
      <c r="R206" s="192"/>
      <c r="S206" s="121"/>
      <c r="T206" s="122"/>
      <c r="U206" s="191"/>
      <c r="V206" s="192"/>
      <c r="W206" s="121"/>
      <c r="X206" s="122"/>
      <c r="Y206" s="115"/>
      <c r="Z206" s="193"/>
      <c r="AA206" s="194"/>
      <c r="AB206" s="195"/>
      <c r="AC206" s="115"/>
      <c r="AD206" s="192"/>
      <c r="AE206" s="196"/>
      <c r="AF206" s="197"/>
      <c r="AG206" s="198"/>
      <c r="AH206" s="199"/>
      <c r="AI206" s="200"/>
      <c r="AJ206" s="122"/>
      <c r="AK206" s="122"/>
      <c r="AL206" s="122"/>
    </row>
    <row r="207">
      <c r="A207" s="115"/>
      <c r="B207" s="150"/>
      <c r="C207" s="89"/>
      <c r="D207" s="55"/>
      <c r="E207" s="115"/>
      <c r="F207" s="150"/>
      <c r="G207" s="188"/>
      <c r="H207" s="189"/>
      <c r="I207" s="115"/>
      <c r="J207" s="150"/>
      <c r="K207" s="89"/>
      <c r="L207" s="55"/>
      <c r="M207" s="115"/>
      <c r="N207" s="190"/>
      <c r="O207" s="89"/>
      <c r="P207" s="55"/>
      <c r="Q207" s="191"/>
      <c r="R207" s="192"/>
      <c r="S207" s="121"/>
      <c r="T207" s="122"/>
      <c r="U207" s="191"/>
      <c r="V207" s="192"/>
      <c r="W207" s="121"/>
      <c r="X207" s="122"/>
      <c r="Y207" s="115"/>
      <c r="Z207" s="193"/>
      <c r="AA207" s="194"/>
      <c r="AB207" s="195"/>
      <c r="AC207" s="115"/>
      <c r="AD207" s="192"/>
      <c r="AE207" s="196"/>
      <c r="AF207" s="197"/>
      <c r="AG207" s="198"/>
      <c r="AH207" s="199"/>
      <c r="AI207" s="200"/>
      <c r="AJ207" s="122"/>
      <c r="AK207" s="122"/>
      <c r="AL207" s="122"/>
    </row>
    <row r="208">
      <c r="A208" s="115"/>
      <c r="B208" s="150"/>
      <c r="C208" s="89"/>
      <c r="D208" s="55"/>
      <c r="E208" s="115"/>
      <c r="F208" s="150"/>
      <c r="G208" s="188"/>
      <c r="H208" s="189"/>
      <c r="I208" s="115"/>
      <c r="J208" s="150"/>
      <c r="K208" s="89"/>
      <c r="L208" s="55"/>
      <c r="M208" s="115"/>
      <c r="N208" s="190"/>
      <c r="O208" s="89"/>
      <c r="P208" s="55"/>
      <c r="Q208" s="191"/>
      <c r="R208" s="192"/>
      <c r="S208" s="121"/>
      <c r="T208" s="122"/>
      <c r="U208" s="191"/>
      <c r="V208" s="192"/>
      <c r="W208" s="121"/>
      <c r="X208" s="122"/>
      <c r="Y208" s="115"/>
      <c r="Z208" s="193"/>
      <c r="AA208" s="194"/>
      <c r="AB208" s="195"/>
      <c r="AC208" s="115"/>
      <c r="AD208" s="192"/>
      <c r="AE208" s="196"/>
      <c r="AF208" s="197"/>
      <c r="AG208" s="198"/>
      <c r="AH208" s="199"/>
      <c r="AI208" s="200"/>
      <c r="AJ208" s="122"/>
      <c r="AK208" s="122"/>
      <c r="AL208" s="122"/>
    </row>
    <row r="209">
      <c r="A209" s="115"/>
      <c r="B209" s="150"/>
      <c r="C209" s="89"/>
      <c r="D209" s="55"/>
      <c r="E209" s="115"/>
      <c r="F209" s="150"/>
      <c r="G209" s="188"/>
      <c r="H209" s="189"/>
      <c r="I209" s="115"/>
      <c r="J209" s="150"/>
      <c r="K209" s="89"/>
      <c r="L209" s="55"/>
      <c r="M209" s="115"/>
      <c r="N209" s="190"/>
      <c r="O209" s="89"/>
      <c r="P209" s="55"/>
      <c r="Q209" s="191"/>
      <c r="R209" s="192"/>
      <c r="S209" s="121"/>
      <c r="T209" s="122"/>
      <c r="U209" s="191"/>
      <c r="V209" s="192"/>
      <c r="W209" s="121"/>
      <c r="X209" s="122"/>
      <c r="Y209" s="115"/>
      <c r="Z209" s="193"/>
      <c r="AA209" s="194"/>
      <c r="AB209" s="195"/>
      <c r="AC209" s="115"/>
      <c r="AD209" s="192"/>
      <c r="AE209" s="196"/>
      <c r="AF209" s="197"/>
      <c r="AG209" s="198"/>
      <c r="AH209" s="199"/>
      <c r="AI209" s="200"/>
      <c r="AJ209" s="122"/>
      <c r="AK209" s="122"/>
      <c r="AL209" s="122"/>
    </row>
    <row r="210">
      <c r="A210" s="115"/>
      <c r="B210" s="150"/>
      <c r="C210" s="89"/>
      <c r="D210" s="55"/>
      <c r="E210" s="115"/>
      <c r="F210" s="150"/>
      <c r="G210" s="188"/>
      <c r="H210" s="189"/>
      <c r="I210" s="115"/>
      <c r="J210" s="150"/>
      <c r="K210" s="89"/>
      <c r="L210" s="55"/>
      <c r="M210" s="115"/>
      <c r="N210" s="190"/>
      <c r="O210" s="89"/>
      <c r="P210" s="55"/>
      <c r="Q210" s="191"/>
      <c r="R210" s="192"/>
      <c r="S210" s="121"/>
      <c r="T210" s="122"/>
      <c r="U210" s="191"/>
      <c r="V210" s="192"/>
      <c r="W210" s="121"/>
      <c r="X210" s="122"/>
      <c r="Y210" s="115"/>
      <c r="Z210" s="193"/>
      <c r="AA210" s="194"/>
      <c r="AB210" s="195"/>
      <c r="AC210" s="115"/>
      <c r="AD210" s="192"/>
      <c r="AE210" s="196"/>
      <c r="AF210" s="197"/>
      <c r="AG210" s="198"/>
      <c r="AH210" s="199"/>
      <c r="AI210" s="200"/>
      <c r="AJ210" s="122"/>
      <c r="AK210" s="122"/>
      <c r="AL210" s="122"/>
    </row>
    <row r="211">
      <c r="A211" s="115"/>
      <c r="B211" s="150"/>
      <c r="C211" s="89"/>
      <c r="D211" s="55"/>
      <c r="E211" s="115"/>
      <c r="F211" s="150"/>
      <c r="G211" s="188"/>
      <c r="H211" s="189"/>
      <c r="I211" s="115"/>
      <c r="J211" s="150"/>
      <c r="K211" s="89"/>
      <c r="L211" s="55"/>
      <c r="M211" s="115"/>
      <c r="N211" s="190"/>
      <c r="O211" s="89"/>
      <c r="P211" s="55"/>
      <c r="Q211" s="191"/>
      <c r="R211" s="192"/>
      <c r="S211" s="121"/>
      <c r="T211" s="122"/>
      <c r="U211" s="191"/>
      <c r="V211" s="192"/>
      <c r="W211" s="121"/>
      <c r="X211" s="122"/>
      <c r="Y211" s="115"/>
      <c r="Z211" s="193"/>
      <c r="AA211" s="194"/>
      <c r="AB211" s="195"/>
      <c r="AC211" s="115"/>
      <c r="AD211" s="192"/>
      <c r="AE211" s="196"/>
      <c r="AF211" s="197"/>
      <c r="AG211" s="198"/>
      <c r="AH211" s="199"/>
      <c r="AI211" s="200"/>
      <c r="AJ211" s="122"/>
      <c r="AK211" s="122"/>
      <c r="AL211" s="122"/>
    </row>
    <row r="212">
      <c r="A212" s="115"/>
      <c r="B212" s="150"/>
      <c r="C212" s="89"/>
      <c r="D212" s="55"/>
      <c r="E212" s="115"/>
      <c r="F212" s="150"/>
      <c r="G212" s="188"/>
      <c r="H212" s="189"/>
      <c r="I212" s="115"/>
      <c r="J212" s="150"/>
      <c r="K212" s="89"/>
      <c r="L212" s="55"/>
      <c r="M212" s="115"/>
      <c r="N212" s="190"/>
      <c r="O212" s="89"/>
      <c r="P212" s="55"/>
      <c r="Q212" s="191"/>
      <c r="R212" s="192"/>
      <c r="S212" s="121"/>
      <c r="T212" s="122"/>
      <c r="U212" s="191"/>
      <c r="V212" s="192"/>
      <c r="W212" s="121"/>
      <c r="X212" s="122"/>
      <c r="Y212" s="115"/>
      <c r="Z212" s="193"/>
      <c r="AA212" s="194"/>
      <c r="AB212" s="195"/>
      <c r="AC212" s="115"/>
      <c r="AD212" s="192"/>
      <c r="AE212" s="196"/>
      <c r="AF212" s="197"/>
      <c r="AG212" s="198"/>
      <c r="AH212" s="199"/>
      <c r="AI212" s="200"/>
      <c r="AJ212" s="122"/>
      <c r="AK212" s="122"/>
      <c r="AL212" s="122"/>
    </row>
    <row r="213">
      <c r="A213" s="115"/>
      <c r="B213" s="150"/>
      <c r="C213" s="89"/>
      <c r="D213" s="55"/>
      <c r="E213" s="115"/>
      <c r="F213" s="150"/>
      <c r="G213" s="188"/>
      <c r="H213" s="189"/>
      <c r="I213" s="115"/>
      <c r="J213" s="150"/>
      <c r="K213" s="89"/>
      <c r="L213" s="55"/>
      <c r="M213" s="115"/>
      <c r="N213" s="190"/>
      <c r="O213" s="89"/>
      <c r="P213" s="55"/>
      <c r="Q213" s="191"/>
      <c r="R213" s="192"/>
      <c r="S213" s="121"/>
      <c r="T213" s="122"/>
      <c r="U213" s="191"/>
      <c r="V213" s="192"/>
      <c r="W213" s="121"/>
      <c r="X213" s="122"/>
      <c r="Y213" s="115"/>
      <c r="Z213" s="193"/>
      <c r="AA213" s="194"/>
      <c r="AB213" s="195"/>
      <c r="AC213" s="115"/>
      <c r="AD213" s="192"/>
      <c r="AE213" s="196"/>
      <c r="AF213" s="197"/>
      <c r="AG213" s="198"/>
      <c r="AH213" s="199"/>
      <c r="AI213" s="200"/>
      <c r="AJ213" s="122"/>
      <c r="AK213" s="122"/>
      <c r="AL213" s="122"/>
    </row>
    <row r="214">
      <c r="A214" s="115"/>
      <c r="B214" s="150"/>
      <c r="C214" s="89"/>
      <c r="D214" s="55"/>
      <c r="E214" s="115"/>
      <c r="F214" s="150"/>
      <c r="G214" s="188"/>
      <c r="H214" s="189"/>
      <c r="I214" s="115"/>
      <c r="J214" s="150"/>
      <c r="K214" s="89"/>
      <c r="L214" s="55"/>
      <c r="M214" s="115"/>
      <c r="N214" s="190"/>
      <c r="O214" s="89"/>
      <c r="P214" s="55"/>
      <c r="Q214" s="191"/>
      <c r="R214" s="192"/>
      <c r="S214" s="121"/>
      <c r="T214" s="122"/>
      <c r="U214" s="191"/>
      <c r="V214" s="192"/>
      <c r="W214" s="121"/>
      <c r="X214" s="122"/>
      <c r="Y214" s="115"/>
      <c r="Z214" s="193"/>
      <c r="AA214" s="194"/>
      <c r="AB214" s="195"/>
      <c r="AC214" s="115"/>
      <c r="AD214" s="192"/>
      <c r="AE214" s="196"/>
      <c r="AF214" s="197"/>
      <c r="AG214" s="198"/>
      <c r="AH214" s="199"/>
      <c r="AI214" s="200"/>
      <c r="AJ214" s="122"/>
      <c r="AK214" s="122"/>
      <c r="AL214" s="122"/>
    </row>
    <row r="215">
      <c r="A215" s="115"/>
      <c r="B215" s="150"/>
      <c r="C215" s="89"/>
      <c r="D215" s="55"/>
      <c r="E215" s="115"/>
      <c r="F215" s="150"/>
      <c r="G215" s="188"/>
      <c r="H215" s="189"/>
      <c r="I215" s="115"/>
      <c r="J215" s="150"/>
      <c r="K215" s="89"/>
      <c r="L215" s="55"/>
      <c r="M215" s="115"/>
      <c r="N215" s="190"/>
      <c r="O215" s="89"/>
      <c r="P215" s="55"/>
      <c r="Q215" s="191"/>
      <c r="R215" s="192"/>
      <c r="S215" s="121"/>
      <c r="T215" s="122"/>
      <c r="U215" s="191"/>
      <c r="V215" s="192"/>
      <c r="W215" s="121"/>
      <c r="X215" s="122"/>
      <c r="Y215" s="115"/>
      <c r="Z215" s="193"/>
      <c r="AA215" s="194"/>
      <c r="AB215" s="195"/>
      <c r="AC215" s="115"/>
      <c r="AD215" s="192"/>
      <c r="AE215" s="196"/>
      <c r="AF215" s="197"/>
      <c r="AG215" s="198"/>
      <c r="AH215" s="199"/>
      <c r="AI215" s="200"/>
      <c r="AJ215" s="122"/>
      <c r="AK215" s="122"/>
      <c r="AL215" s="122"/>
    </row>
    <row r="216">
      <c r="A216" s="115"/>
      <c r="B216" s="150"/>
      <c r="C216" s="89"/>
      <c r="D216" s="55"/>
      <c r="E216" s="115"/>
      <c r="F216" s="150"/>
      <c r="G216" s="188"/>
      <c r="H216" s="189"/>
      <c r="I216" s="115"/>
      <c r="J216" s="150"/>
      <c r="K216" s="89"/>
      <c r="L216" s="55"/>
      <c r="M216" s="115"/>
      <c r="N216" s="190"/>
      <c r="O216" s="89"/>
      <c r="P216" s="55"/>
      <c r="Q216" s="191"/>
      <c r="R216" s="192"/>
      <c r="S216" s="121"/>
      <c r="T216" s="122"/>
      <c r="U216" s="191"/>
      <c r="V216" s="192"/>
      <c r="W216" s="121"/>
      <c r="X216" s="122"/>
      <c r="Y216" s="115"/>
      <c r="Z216" s="193"/>
      <c r="AA216" s="194"/>
      <c r="AB216" s="195"/>
      <c r="AC216" s="115"/>
      <c r="AD216" s="192"/>
      <c r="AE216" s="196"/>
      <c r="AF216" s="197"/>
      <c r="AG216" s="198"/>
      <c r="AH216" s="199"/>
      <c r="AI216" s="200"/>
      <c r="AJ216" s="122"/>
      <c r="AK216" s="122"/>
      <c r="AL216" s="122"/>
    </row>
    <row r="217">
      <c r="A217" s="115"/>
      <c r="B217" s="150"/>
      <c r="C217" s="89"/>
      <c r="D217" s="55"/>
      <c r="E217" s="115"/>
      <c r="F217" s="150"/>
      <c r="G217" s="188"/>
      <c r="H217" s="189"/>
      <c r="I217" s="115"/>
      <c r="J217" s="150"/>
      <c r="K217" s="89"/>
      <c r="L217" s="55"/>
      <c r="M217" s="115"/>
      <c r="N217" s="190"/>
      <c r="O217" s="89"/>
      <c r="P217" s="55"/>
      <c r="Q217" s="191"/>
      <c r="R217" s="192"/>
      <c r="S217" s="121"/>
      <c r="T217" s="122"/>
      <c r="U217" s="191"/>
      <c r="V217" s="192"/>
      <c r="W217" s="121"/>
      <c r="X217" s="122"/>
      <c r="Y217" s="115"/>
      <c r="Z217" s="193"/>
      <c r="AA217" s="194"/>
      <c r="AB217" s="195"/>
      <c r="AC217" s="115"/>
      <c r="AD217" s="192"/>
      <c r="AE217" s="196"/>
      <c r="AF217" s="197"/>
      <c r="AG217" s="198"/>
      <c r="AH217" s="199"/>
      <c r="AI217" s="200"/>
      <c r="AJ217" s="122"/>
      <c r="AK217" s="122"/>
      <c r="AL217" s="122"/>
    </row>
    <row r="218">
      <c r="A218" s="115"/>
      <c r="B218" s="150"/>
      <c r="C218" s="89"/>
      <c r="D218" s="55"/>
      <c r="E218" s="115"/>
      <c r="F218" s="150"/>
      <c r="G218" s="188"/>
      <c r="H218" s="189"/>
      <c r="I218" s="115"/>
      <c r="J218" s="150"/>
      <c r="K218" s="89"/>
      <c r="L218" s="55"/>
      <c r="M218" s="115"/>
      <c r="N218" s="190"/>
      <c r="O218" s="89"/>
      <c r="P218" s="55"/>
      <c r="Q218" s="191"/>
      <c r="R218" s="192"/>
      <c r="S218" s="121"/>
      <c r="T218" s="122"/>
      <c r="U218" s="191"/>
      <c r="V218" s="192"/>
      <c r="W218" s="121"/>
      <c r="X218" s="122"/>
      <c r="Y218" s="115"/>
      <c r="Z218" s="193"/>
      <c r="AA218" s="194"/>
      <c r="AB218" s="195"/>
      <c r="AC218" s="115"/>
      <c r="AD218" s="192"/>
      <c r="AE218" s="196"/>
      <c r="AF218" s="197"/>
      <c r="AG218" s="198"/>
      <c r="AH218" s="199"/>
      <c r="AI218" s="200"/>
      <c r="AJ218" s="122"/>
      <c r="AK218" s="122"/>
      <c r="AL218" s="122"/>
    </row>
    <row r="219">
      <c r="A219" s="115"/>
      <c r="B219" s="150"/>
      <c r="C219" s="89"/>
      <c r="D219" s="55"/>
      <c r="E219" s="115"/>
      <c r="F219" s="150"/>
      <c r="G219" s="188"/>
      <c r="H219" s="189"/>
      <c r="I219" s="115"/>
      <c r="J219" s="150"/>
      <c r="K219" s="89"/>
      <c r="L219" s="55"/>
      <c r="M219" s="115"/>
      <c r="N219" s="190"/>
      <c r="O219" s="89"/>
      <c r="P219" s="55"/>
      <c r="Q219" s="191"/>
      <c r="R219" s="192"/>
      <c r="S219" s="121"/>
      <c r="T219" s="122"/>
      <c r="U219" s="191"/>
      <c r="V219" s="192"/>
      <c r="W219" s="121"/>
      <c r="X219" s="122"/>
      <c r="Y219" s="115"/>
      <c r="Z219" s="193"/>
      <c r="AA219" s="194"/>
      <c r="AB219" s="195"/>
      <c r="AC219" s="115"/>
      <c r="AD219" s="192"/>
      <c r="AE219" s="196"/>
      <c r="AF219" s="197"/>
      <c r="AG219" s="198"/>
      <c r="AH219" s="199"/>
      <c r="AI219" s="200"/>
      <c r="AJ219" s="122"/>
      <c r="AK219" s="122"/>
      <c r="AL219" s="122"/>
    </row>
    <row r="220">
      <c r="A220" s="115"/>
      <c r="B220" s="150"/>
      <c r="C220" s="89"/>
      <c r="D220" s="55"/>
      <c r="E220" s="115"/>
      <c r="F220" s="150"/>
      <c r="G220" s="188"/>
      <c r="H220" s="189"/>
      <c r="I220" s="115"/>
      <c r="J220" s="150"/>
      <c r="K220" s="89"/>
      <c r="L220" s="55"/>
      <c r="M220" s="115"/>
      <c r="N220" s="190"/>
      <c r="O220" s="89"/>
      <c r="P220" s="55"/>
      <c r="Q220" s="191"/>
      <c r="R220" s="192"/>
      <c r="S220" s="121"/>
      <c r="T220" s="122"/>
      <c r="U220" s="191"/>
      <c r="V220" s="192"/>
      <c r="W220" s="121"/>
      <c r="X220" s="122"/>
      <c r="Y220" s="115"/>
      <c r="Z220" s="193"/>
      <c r="AA220" s="194"/>
      <c r="AB220" s="195"/>
      <c r="AC220" s="115"/>
      <c r="AD220" s="192"/>
      <c r="AE220" s="196"/>
      <c r="AF220" s="197"/>
      <c r="AG220" s="198"/>
      <c r="AH220" s="199"/>
      <c r="AI220" s="200"/>
      <c r="AJ220" s="122"/>
      <c r="AK220" s="122"/>
      <c r="AL220" s="122"/>
    </row>
    <row r="221">
      <c r="A221" s="115"/>
      <c r="B221" s="150"/>
      <c r="C221" s="89"/>
      <c r="D221" s="55"/>
      <c r="E221" s="115"/>
      <c r="F221" s="150"/>
      <c r="G221" s="188"/>
      <c r="H221" s="189"/>
      <c r="I221" s="115"/>
      <c r="J221" s="150"/>
      <c r="K221" s="89"/>
      <c r="L221" s="55"/>
      <c r="M221" s="115"/>
      <c r="N221" s="190"/>
      <c r="O221" s="89"/>
      <c r="P221" s="55"/>
      <c r="Q221" s="191"/>
      <c r="R221" s="192"/>
      <c r="S221" s="121"/>
      <c r="T221" s="122"/>
      <c r="U221" s="191"/>
      <c r="V221" s="192"/>
      <c r="W221" s="121"/>
      <c r="X221" s="122"/>
      <c r="Y221" s="115"/>
      <c r="Z221" s="193"/>
      <c r="AA221" s="194"/>
      <c r="AB221" s="195"/>
      <c r="AC221" s="115"/>
      <c r="AD221" s="192"/>
      <c r="AE221" s="196"/>
      <c r="AF221" s="197"/>
      <c r="AG221" s="198"/>
      <c r="AH221" s="199"/>
      <c r="AI221" s="200"/>
      <c r="AJ221" s="122"/>
      <c r="AK221" s="122"/>
      <c r="AL221" s="122"/>
    </row>
    <row r="222">
      <c r="A222" s="115"/>
      <c r="B222" s="150"/>
      <c r="C222" s="89"/>
      <c r="D222" s="55"/>
      <c r="E222" s="115"/>
      <c r="F222" s="150"/>
      <c r="G222" s="188"/>
      <c r="H222" s="189"/>
      <c r="I222" s="115"/>
      <c r="J222" s="150"/>
      <c r="K222" s="89"/>
      <c r="L222" s="55"/>
      <c r="M222" s="115"/>
      <c r="N222" s="190"/>
      <c r="O222" s="89"/>
      <c r="P222" s="55"/>
      <c r="Q222" s="191"/>
      <c r="R222" s="192"/>
      <c r="S222" s="121"/>
      <c r="T222" s="122"/>
      <c r="U222" s="191"/>
      <c r="V222" s="192"/>
      <c r="W222" s="121"/>
      <c r="X222" s="122"/>
      <c r="Y222" s="115"/>
      <c r="Z222" s="193"/>
      <c r="AA222" s="194"/>
      <c r="AB222" s="195"/>
      <c r="AC222" s="115"/>
      <c r="AD222" s="192"/>
      <c r="AE222" s="196"/>
      <c r="AF222" s="197"/>
      <c r="AG222" s="198"/>
      <c r="AH222" s="199"/>
      <c r="AI222" s="200"/>
      <c r="AJ222" s="122"/>
      <c r="AK222" s="122"/>
      <c r="AL222" s="122"/>
    </row>
    <row r="223">
      <c r="A223" s="115"/>
      <c r="B223" s="150"/>
      <c r="C223" s="89"/>
      <c r="D223" s="55"/>
      <c r="E223" s="115"/>
      <c r="F223" s="150"/>
      <c r="G223" s="188"/>
      <c r="H223" s="189"/>
      <c r="I223" s="115"/>
      <c r="J223" s="150"/>
      <c r="K223" s="89"/>
      <c r="L223" s="55"/>
      <c r="M223" s="115"/>
      <c r="N223" s="190"/>
      <c r="O223" s="89"/>
      <c r="P223" s="55"/>
      <c r="Q223" s="191"/>
      <c r="R223" s="192"/>
      <c r="S223" s="121"/>
      <c r="T223" s="122"/>
      <c r="U223" s="191"/>
      <c r="V223" s="192"/>
      <c r="W223" s="121"/>
      <c r="X223" s="122"/>
      <c r="Y223" s="115"/>
      <c r="Z223" s="193"/>
      <c r="AA223" s="194"/>
      <c r="AB223" s="195"/>
      <c r="AC223" s="115"/>
      <c r="AD223" s="192"/>
      <c r="AE223" s="196"/>
      <c r="AF223" s="197"/>
      <c r="AG223" s="198"/>
      <c r="AH223" s="199"/>
      <c r="AI223" s="200"/>
      <c r="AJ223" s="122"/>
      <c r="AK223" s="122"/>
      <c r="AL223" s="122"/>
    </row>
    <row r="224">
      <c r="A224" s="115"/>
      <c r="B224" s="150"/>
      <c r="C224" s="89"/>
      <c r="D224" s="55"/>
      <c r="E224" s="115"/>
      <c r="F224" s="150"/>
      <c r="G224" s="188"/>
      <c r="H224" s="189"/>
      <c r="I224" s="115"/>
      <c r="J224" s="150"/>
      <c r="K224" s="89"/>
      <c r="L224" s="55"/>
      <c r="M224" s="115"/>
      <c r="N224" s="190"/>
      <c r="O224" s="89"/>
      <c r="P224" s="55"/>
      <c r="Q224" s="191"/>
      <c r="R224" s="192"/>
      <c r="S224" s="121"/>
      <c r="T224" s="122"/>
      <c r="U224" s="191"/>
      <c r="V224" s="192"/>
      <c r="W224" s="121"/>
      <c r="X224" s="122"/>
      <c r="Y224" s="115"/>
      <c r="Z224" s="193"/>
      <c r="AA224" s="194"/>
      <c r="AB224" s="195"/>
      <c r="AC224" s="115"/>
      <c r="AD224" s="192"/>
      <c r="AE224" s="196"/>
      <c r="AF224" s="197"/>
      <c r="AG224" s="198"/>
      <c r="AH224" s="199"/>
      <c r="AI224" s="200"/>
      <c r="AJ224" s="122"/>
      <c r="AK224" s="122"/>
      <c r="AL224" s="122"/>
    </row>
    <row r="225">
      <c r="A225" s="115"/>
      <c r="B225" s="150"/>
      <c r="C225" s="89"/>
      <c r="D225" s="55"/>
      <c r="E225" s="115"/>
      <c r="F225" s="150"/>
      <c r="G225" s="188"/>
      <c r="H225" s="189"/>
      <c r="I225" s="115"/>
      <c r="J225" s="150"/>
      <c r="K225" s="89"/>
      <c r="L225" s="55"/>
      <c r="M225" s="115"/>
      <c r="N225" s="190"/>
      <c r="O225" s="89"/>
      <c r="P225" s="55"/>
      <c r="Q225" s="191"/>
      <c r="R225" s="192"/>
      <c r="S225" s="121"/>
      <c r="T225" s="122"/>
      <c r="U225" s="191"/>
      <c r="V225" s="192"/>
      <c r="W225" s="121"/>
      <c r="X225" s="122"/>
      <c r="Y225" s="115"/>
      <c r="Z225" s="193"/>
      <c r="AA225" s="194"/>
      <c r="AB225" s="195"/>
      <c r="AC225" s="115"/>
      <c r="AD225" s="192"/>
      <c r="AE225" s="196"/>
      <c r="AF225" s="197"/>
      <c r="AG225" s="198"/>
      <c r="AH225" s="199"/>
      <c r="AI225" s="200"/>
      <c r="AJ225" s="122"/>
      <c r="AK225" s="122"/>
      <c r="AL225" s="122"/>
    </row>
    <row r="226">
      <c r="A226" s="115"/>
      <c r="B226" s="150"/>
      <c r="C226" s="89"/>
      <c r="D226" s="55"/>
      <c r="E226" s="115"/>
      <c r="F226" s="150"/>
      <c r="G226" s="188"/>
      <c r="H226" s="189"/>
      <c r="I226" s="115"/>
      <c r="J226" s="150"/>
      <c r="K226" s="89"/>
      <c r="L226" s="55"/>
      <c r="M226" s="115"/>
      <c r="N226" s="190"/>
      <c r="O226" s="89"/>
      <c r="P226" s="55"/>
      <c r="Q226" s="191"/>
      <c r="R226" s="192"/>
      <c r="S226" s="121"/>
      <c r="T226" s="122"/>
      <c r="U226" s="191"/>
      <c r="V226" s="192"/>
      <c r="W226" s="121"/>
      <c r="X226" s="122"/>
      <c r="Y226" s="115"/>
      <c r="Z226" s="193"/>
      <c r="AA226" s="194"/>
      <c r="AB226" s="195"/>
      <c r="AC226" s="115"/>
      <c r="AD226" s="192"/>
      <c r="AE226" s="196"/>
      <c r="AF226" s="197"/>
      <c r="AG226" s="198"/>
      <c r="AH226" s="199"/>
      <c r="AI226" s="200"/>
      <c r="AJ226" s="122"/>
      <c r="AK226" s="122"/>
      <c r="AL226" s="122"/>
    </row>
    <row r="227">
      <c r="A227" s="115"/>
      <c r="B227" s="150"/>
      <c r="C227" s="89"/>
      <c r="D227" s="55"/>
      <c r="E227" s="115"/>
      <c r="F227" s="150"/>
      <c r="G227" s="188"/>
      <c r="H227" s="189"/>
      <c r="I227" s="115"/>
      <c r="J227" s="150"/>
      <c r="K227" s="89"/>
      <c r="L227" s="55"/>
      <c r="M227" s="115"/>
      <c r="N227" s="190"/>
      <c r="O227" s="89"/>
      <c r="P227" s="55"/>
      <c r="Q227" s="191"/>
      <c r="R227" s="192"/>
      <c r="S227" s="121"/>
      <c r="T227" s="122"/>
      <c r="U227" s="191"/>
      <c r="V227" s="192"/>
      <c r="W227" s="121"/>
      <c r="X227" s="122"/>
      <c r="Y227" s="115"/>
      <c r="Z227" s="193"/>
      <c r="AA227" s="194"/>
      <c r="AB227" s="195"/>
      <c r="AC227" s="115"/>
      <c r="AD227" s="192"/>
      <c r="AE227" s="196"/>
      <c r="AF227" s="197"/>
      <c r="AG227" s="198"/>
      <c r="AH227" s="199"/>
      <c r="AI227" s="200"/>
      <c r="AJ227" s="122"/>
      <c r="AK227" s="122"/>
      <c r="AL227" s="122"/>
    </row>
    <row r="228">
      <c r="A228" s="115"/>
      <c r="B228" s="150"/>
      <c r="C228" s="89"/>
      <c r="D228" s="55"/>
      <c r="E228" s="115"/>
      <c r="F228" s="150"/>
      <c r="G228" s="188"/>
      <c r="H228" s="189"/>
      <c r="I228" s="115"/>
      <c r="J228" s="150"/>
      <c r="K228" s="89"/>
      <c r="L228" s="55"/>
      <c r="M228" s="115"/>
      <c r="N228" s="190"/>
      <c r="O228" s="89"/>
      <c r="P228" s="55"/>
      <c r="Q228" s="191"/>
      <c r="R228" s="192"/>
      <c r="S228" s="121"/>
      <c r="T228" s="122"/>
      <c r="U228" s="191"/>
      <c r="V228" s="192"/>
      <c r="W228" s="121"/>
      <c r="X228" s="122"/>
      <c r="Y228" s="115"/>
      <c r="Z228" s="193"/>
      <c r="AA228" s="194"/>
      <c r="AB228" s="195"/>
      <c r="AC228" s="115"/>
      <c r="AD228" s="192"/>
      <c r="AE228" s="196"/>
      <c r="AF228" s="197"/>
      <c r="AG228" s="198"/>
      <c r="AH228" s="199"/>
      <c r="AI228" s="200"/>
      <c r="AJ228" s="122"/>
      <c r="AK228" s="122"/>
      <c r="AL228" s="122"/>
    </row>
    <row r="229">
      <c r="A229" s="115"/>
      <c r="B229" s="150"/>
      <c r="C229" s="89"/>
      <c r="D229" s="55"/>
      <c r="E229" s="115"/>
      <c r="F229" s="150"/>
      <c r="G229" s="188"/>
      <c r="H229" s="189"/>
      <c r="I229" s="115"/>
      <c r="J229" s="150"/>
      <c r="K229" s="89"/>
      <c r="L229" s="55"/>
      <c r="M229" s="115"/>
      <c r="N229" s="190"/>
      <c r="O229" s="89"/>
      <c r="P229" s="55"/>
      <c r="Q229" s="191"/>
      <c r="R229" s="192"/>
      <c r="S229" s="121"/>
      <c r="T229" s="122"/>
      <c r="U229" s="191"/>
      <c r="V229" s="192"/>
      <c r="W229" s="121"/>
      <c r="X229" s="122"/>
      <c r="Y229" s="115"/>
      <c r="Z229" s="193"/>
      <c r="AA229" s="194"/>
      <c r="AB229" s="195"/>
      <c r="AC229" s="115"/>
      <c r="AD229" s="192"/>
      <c r="AE229" s="196"/>
      <c r="AF229" s="197"/>
      <c r="AG229" s="198"/>
      <c r="AH229" s="199"/>
      <c r="AI229" s="200"/>
      <c r="AJ229" s="122"/>
      <c r="AK229" s="122"/>
      <c r="AL229" s="122"/>
    </row>
    <row r="230">
      <c r="A230" s="115"/>
      <c r="B230" s="150"/>
      <c r="C230" s="89"/>
      <c r="D230" s="55"/>
      <c r="E230" s="115"/>
      <c r="F230" s="150"/>
      <c r="G230" s="188"/>
      <c r="H230" s="189"/>
      <c r="I230" s="115"/>
      <c r="J230" s="150"/>
      <c r="K230" s="89"/>
      <c r="L230" s="55"/>
      <c r="M230" s="115"/>
      <c r="N230" s="190"/>
      <c r="O230" s="89"/>
      <c r="P230" s="55"/>
      <c r="Q230" s="191"/>
      <c r="R230" s="192"/>
      <c r="S230" s="121"/>
      <c r="T230" s="122"/>
      <c r="U230" s="191"/>
      <c r="V230" s="192"/>
      <c r="W230" s="121"/>
      <c r="X230" s="122"/>
      <c r="Y230" s="115"/>
      <c r="Z230" s="193"/>
      <c r="AA230" s="194"/>
      <c r="AB230" s="195"/>
      <c r="AC230" s="115"/>
      <c r="AD230" s="192"/>
      <c r="AE230" s="196"/>
      <c r="AF230" s="197"/>
      <c r="AG230" s="198"/>
      <c r="AH230" s="199"/>
      <c r="AI230" s="200"/>
      <c r="AJ230" s="122"/>
      <c r="AK230" s="122"/>
      <c r="AL230" s="122"/>
    </row>
    <row r="231">
      <c r="A231" s="115"/>
      <c r="B231" s="150"/>
      <c r="C231" s="89"/>
      <c r="D231" s="55"/>
      <c r="E231" s="115"/>
      <c r="F231" s="150"/>
      <c r="G231" s="188"/>
      <c r="H231" s="189"/>
      <c r="I231" s="115"/>
      <c r="J231" s="150"/>
      <c r="K231" s="89"/>
      <c r="L231" s="55"/>
      <c r="M231" s="115"/>
      <c r="N231" s="190"/>
      <c r="O231" s="89"/>
      <c r="P231" s="55"/>
      <c r="Q231" s="191"/>
      <c r="R231" s="192"/>
      <c r="S231" s="121"/>
      <c r="T231" s="122"/>
      <c r="U231" s="191"/>
      <c r="V231" s="192"/>
      <c r="W231" s="121"/>
      <c r="X231" s="122"/>
      <c r="Y231" s="115"/>
      <c r="Z231" s="193"/>
      <c r="AA231" s="194"/>
      <c r="AB231" s="195"/>
      <c r="AC231" s="115"/>
      <c r="AD231" s="192"/>
      <c r="AE231" s="196"/>
      <c r="AF231" s="197"/>
      <c r="AG231" s="201"/>
      <c r="AH231" s="201"/>
      <c r="AI231" s="201"/>
      <c r="AJ231" s="201"/>
      <c r="AK231" s="122"/>
      <c r="AL231" s="122"/>
    </row>
    <row r="232">
      <c r="A232" s="115"/>
      <c r="B232" s="150"/>
      <c r="C232" s="89"/>
      <c r="D232" s="55"/>
      <c r="E232" s="115"/>
      <c r="F232" s="150"/>
      <c r="G232" s="188"/>
      <c r="H232" s="189"/>
      <c r="I232" s="115"/>
      <c r="J232" s="150"/>
      <c r="K232" s="89"/>
      <c r="L232" s="55"/>
      <c r="M232" s="115"/>
      <c r="N232" s="190"/>
      <c r="O232" s="89"/>
      <c r="P232" s="55"/>
      <c r="Q232" s="191"/>
      <c r="R232" s="192"/>
      <c r="S232" s="121"/>
      <c r="T232" s="122"/>
      <c r="U232" s="191"/>
      <c r="V232" s="192"/>
      <c r="W232" s="121"/>
      <c r="X232" s="122"/>
      <c r="Y232" s="115"/>
      <c r="Z232" s="193"/>
      <c r="AA232" s="194"/>
      <c r="AB232" s="195"/>
      <c r="AC232" s="115"/>
      <c r="AD232" s="192"/>
      <c r="AE232" s="196"/>
      <c r="AF232" s="197"/>
      <c r="AG232" s="201"/>
      <c r="AH232" s="201"/>
      <c r="AI232" s="201"/>
      <c r="AJ232" s="201"/>
      <c r="AK232" s="122"/>
      <c r="AL232" s="122"/>
    </row>
    <row r="233">
      <c r="A233" s="115"/>
      <c r="B233" s="150"/>
      <c r="C233" s="89"/>
      <c r="D233" s="55"/>
      <c r="E233" s="115"/>
      <c r="F233" s="150"/>
      <c r="G233" s="188"/>
      <c r="H233" s="189"/>
      <c r="I233" s="115"/>
      <c r="J233" s="150"/>
      <c r="K233" s="89"/>
      <c r="L233" s="55"/>
      <c r="M233" s="115"/>
      <c r="N233" s="190"/>
      <c r="O233" s="89"/>
      <c r="P233" s="55"/>
      <c r="Q233" s="191"/>
      <c r="R233" s="192"/>
      <c r="S233" s="121"/>
      <c r="T233" s="122"/>
      <c r="U233" s="191"/>
      <c r="V233" s="192"/>
      <c r="W233" s="121"/>
      <c r="X233" s="122"/>
      <c r="Y233" s="115"/>
      <c r="Z233" s="193"/>
      <c r="AA233" s="194"/>
      <c r="AB233" s="195"/>
      <c r="AC233" s="115"/>
      <c r="AD233" s="192"/>
      <c r="AE233" s="196"/>
      <c r="AF233" s="197"/>
      <c r="AG233" s="201"/>
      <c r="AH233" s="201"/>
      <c r="AI233" s="201"/>
      <c r="AJ233" s="201"/>
      <c r="AK233" s="122"/>
      <c r="AL233" s="122"/>
    </row>
    <row r="234">
      <c r="A234" s="115"/>
      <c r="B234" s="150"/>
      <c r="C234" s="89"/>
      <c r="D234" s="55"/>
      <c r="E234" s="115"/>
      <c r="F234" s="150"/>
      <c r="G234" s="188"/>
      <c r="H234" s="189"/>
      <c r="I234" s="115"/>
      <c r="J234" s="150"/>
      <c r="K234" s="89"/>
      <c r="L234" s="55"/>
      <c r="M234" s="115"/>
      <c r="N234" s="190"/>
      <c r="O234" s="89"/>
      <c r="P234" s="55"/>
      <c r="Q234" s="191"/>
      <c r="R234" s="192"/>
      <c r="S234" s="121"/>
      <c r="T234" s="122"/>
      <c r="U234" s="191"/>
      <c r="V234" s="192"/>
      <c r="W234" s="121"/>
      <c r="X234" s="122"/>
      <c r="Y234" s="115"/>
      <c r="Z234" s="193"/>
      <c r="AA234" s="194"/>
      <c r="AB234" s="195"/>
      <c r="AC234" s="115"/>
      <c r="AD234" s="192"/>
      <c r="AE234" s="196"/>
      <c r="AF234" s="197"/>
      <c r="AG234" s="201"/>
      <c r="AH234" s="201"/>
      <c r="AI234" s="201"/>
      <c r="AJ234" s="201"/>
      <c r="AK234" s="122"/>
      <c r="AL234" s="122"/>
    </row>
    <row r="235">
      <c r="A235" s="115"/>
      <c r="B235" s="150"/>
      <c r="C235" s="89"/>
      <c r="D235" s="55"/>
      <c r="E235" s="115"/>
      <c r="F235" s="150"/>
      <c r="G235" s="188"/>
      <c r="H235" s="189"/>
      <c r="I235" s="115"/>
      <c r="J235" s="150"/>
      <c r="K235" s="89"/>
      <c r="L235" s="55"/>
      <c r="M235" s="115"/>
      <c r="N235" s="190"/>
      <c r="O235" s="89"/>
      <c r="P235" s="55"/>
      <c r="Q235" s="191"/>
      <c r="R235" s="192"/>
      <c r="S235" s="121"/>
      <c r="T235" s="122"/>
      <c r="U235" s="191"/>
      <c r="V235" s="192"/>
      <c r="W235" s="121"/>
      <c r="X235" s="122"/>
      <c r="Y235" s="115"/>
      <c r="Z235" s="193"/>
      <c r="AA235" s="194"/>
      <c r="AB235" s="195"/>
      <c r="AC235" s="115"/>
      <c r="AD235" s="192"/>
      <c r="AE235" s="196"/>
      <c r="AF235" s="197"/>
      <c r="AG235" s="201"/>
      <c r="AH235" s="201"/>
      <c r="AI235" s="201"/>
      <c r="AJ235" s="201"/>
      <c r="AK235" s="122"/>
      <c r="AL235" s="122"/>
    </row>
    <row r="236">
      <c r="A236" s="115"/>
      <c r="B236" s="150"/>
      <c r="C236" s="89"/>
      <c r="D236" s="55"/>
      <c r="E236" s="115"/>
      <c r="F236" s="150"/>
      <c r="G236" s="188"/>
      <c r="H236" s="189"/>
      <c r="I236" s="115"/>
      <c r="J236" s="150"/>
      <c r="K236" s="89"/>
      <c r="L236" s="55"/>
      <c r="M236" s="115"/>
      <c r="N236" s="190"/>
      <c r="O236" s="89"/>
      <c r="P236" s="55"/>
      <c r="Q236" s="191"/>
      <c r="R236" s="192"/>
      <c r="S236" s="121"/>
      <c r="T236" s="122"/>
      <c r="U236" s="191"/>
      <c r="V236" s="192"/>
      <c r="W236" s="121"/>
      <c r="X236" s="122"/>
      <c r="Y236" s="115"/>
      <c r="Z236" s="193"/>
      <c r="AA236" s="194"/>
      <c r="AB236" s="195"/>
      <c r="AC236" s="115"/>
      <c r="AD236" s="192"/>
      <c r="AE236" s="196"/>
      <c r="AF236" s="197"/>
      <c r="AG236" s="201"/>
      <c r="AH236" s="201"/>
      <c r="AI236" s="201"/>
      <c r="AJ236" s="201"/>
      <c r="AK236" s="122"/>
      <c r="AL236" s="122"/>
    </row>
    <row r="237">
      <c r="A237" s="115"/>
      <c r="B237" s="150"/>
      <c r="C237" s="89"/>
      <c r="D237" s="55"/>
      <c r="E237" s="115"/>
      <c r="F237" s="150"/>
      <c r="G237" s="188"/>
      <c r="H237" s="189"/>
      <c r="I237" s="115"/>
      <c r="J237" s="150"/>
      <c r="K237" s="89"/>
      <c r="L237" s="55"/>
      <c r="M237" s="115"/>
      <c r="N237" s="190"/>
      <c r="O237" s="89"/>
      <c r="P237" s="55"/>
      <c r="Q237" s="191"/>
      <c r="R237" s="192"/>
      <c r="S237" s="121"/>
      <c r="T237" s="122"/>
      <c r="U237" s="191"/>
      <c r="V237" s="192"/>
      <c r="W237" s="121"/>
      <c r="X237" s="122"/>
      <c r="Y237" s="115"/>
      <c r="Z237" s="193"/>
      <c r="AA237" s="194"/>
      <c r="AB237" s="195"/>
      <c r="AC237" s="115"/>
      <c r="AD237" s="192"/>
      <c r="AE237" s="196"/>
      <c r="AF237" s="197"/>
      <c r="AG237" s="201"/>
      <c r="AH237" s="201"/>
      <c r="AI237" s="201"/>
      <c r="AJ237" s="201"/>
      <c r="AK237" s="122"/>
      <c r="AL237" s="122"/>
    </row>
    <row r="238">
      <c r="A238" s="115"/>
      <c r="B238" s="150"/>
      <c r="C238" s="89"/>
      <c r="D238" s="55"/>
      <c r="E238" s="115"/>
      <c r="F238" s="150"/>
      <c r="G238" s="188"/>
      <c r="H238" s="189"/>
      <c r="I238" s="115"/>
      <c r="J238" s="150"/>
      <c r="K238" s="89"/>
      <c r="L238" s="55"/>
      <c r="M238" s="115"/>
      <c r="N238" s="190"/>
      <c r="O238" s="89"/>
      <c r="P238" s="55"/>
      <c r="Q238" s="191"/>
      <c r="R238" s="192"/>
      <c r="S238" s="121"/>
      <c r="T238" s="122"/>
      <c r="U238" s="191"/>
      <c r="V238" s="192"/>
      <c r="W238" s="121"/>
      <c r="X238" s="122"/>
      <c r="Y238" s="115"/>
      <c r="Z238" s="193"/>
      <c r="AA238" s="194"/>
      <c r="AB238" s="195"/>
      <c r="AC238" s="115"/>
      <c r="AD238" s="192"/>
      <c r="AE238" s="196"/>
      <c r="AF238" s="197"/>
      <c r="AG238" s="201"/>
      <c r="AH238" s="201"/>
      <c r="AI238" s="201"/>
      <c r="AJ238" s="201"/>
      <c r="AK238" s="122"/>
      <c r="AL238" s="122"/>
    </row>
    <row r="239">
      <c r="A239" s="115"/>
      <c r="B239" s="150"/>
      <c r="C239" s="89"/>
      <c r="D239" s="55"/>
      <c r="E239" s="115"/>
      <c r="F239" s="150"/>
      <c r="G239" s="188"/>
      <c r="H239" s="189"/>
      <c r="I239" s="115"/>
      <c r="J239" s="150"/>
      <c r="K239" s="89"/>
      <c r="L239" s="55"/>
      <c r="M239" s="115"/>
      <c r="N239" s="190"/>
      <c r="O239" s="89"/>
      <c r="P239" s="55"/>
      <c r="Q239" s="191"/>
      <c r="R239" s="192"/>
      <c r="S239" s="121"/>
      <c r="T239" s="122"/>
      <c r="U239" s="191"/>
      <c r="V239" s="192"/>
      <c r="W239" s="121"/>
      <c r="X239" s="122"/>
      <c r="Y239" s="115"/>
      <c r="Z239" s="193"/>
      <c r="AA239" s="194"/>
      <c r="AB239" s="195"/>
      <c r="AC239" s="115"/>
      <c r="AD239" s="192"/>
      <c r="AE239" s="196"/>
      <c r="AF239" s="197"/>
      <c r="AG239" s="201"/>
      <c r="AH239" s="201"/>
      <c r="AI239" s="201"/>
      <c r="AJ239" s="201"/>
      <c r="AK239" s="122"/>
      <c r="AL239" s="122"/>
    </row>
    <row r="240">
      <c r="A240" s="115"/>
      <c r="B240" s="150"/>
      <c r="C240" s="89"/>
      <c r="D240" s="55"/>
      <c r="E240" s="115"/>
      <c r="F240" s="150"/>
      <c r="G240" s="188"/>
      <c r="H240" s="189"/>
      <c r="I240" s="115"/>
      <c r="J240" s="150"/>
      <c r="K240" s="89"/>
      <c r="L240" s="55"/>
      <c r="M240" s="115"/>
      <c r="N240" s="190"/>
      <c r="O240" s="89"/>
      <c r="P240" s="55"/>
      <c r="Q240" s="191"/>
      <c r="R240" s="192"/>
      <c r="S240" s="121"/>
      <c r="T240" s="122"/>
      <c r="U240" s="191"/>
      <c r="V240" s="192"/>
      <c r="W240" s="121"/>
      <c r="X240" s="122"/>
      <c r="Y240" s="115"/>
      <c r="Z240" s="193"/>
      <c r="AA240" s="194"/>
      <c r="AB240" s="195"/>
      <c r="AC240" s="115"/>
      <c r="AD240" s="192"/>
      <c r="AE240" s="196"/>
      <c r="AF240" s="197"/>
      <c r="AG240" s="201"/>
      <c r="AH240" s="201"/>
      <c r="AI240" s="201"/>
      <c r="AJ240" s="201"/>
      <c r="AK240" s="122"/>
      <c r="AL240" s="122"/>
    </row>
    <row r="241">
      <c r="A241" s="115"/>
      <c r="B241" s="150"/>
      <c r="C241" s="89"/>
      <c r="D241" s="55"/>
      <c r="E241" s="115"/>
      <c r="F241" s="150"/>
      <c r="G241" s="188"/>
      <c r="H241" s="189"/>
      <c r="I241" s="115"/>
      <c r="J241" s="150"/>
      <c r="K241" s="89"/>
      <c r="L241" s="55"/>
      <c r="M241" s="115"/>
      <c r="N241" s="190"/>
      <c r="O241" s="89"/>
      <c r="P241" s="55"/>
      <c r="Q241" s="191"/>
      <c r="R241" s="192"/>
      <c r="S241" s="121"/>
      <c r="T241" s="122"/>
      <c r="U241" s="191"/>
      <c r="V241" s="192"/>
      <c r="W241" s="121"/>
      <c r="X241" s="122"/>
      <c r="Y241" s="115"/>
      <c r="Z241" s="193"/>
      <c r="AA241" s="194"/>
      <c r="AB241" s="195"/>
      <c r="AC241" s="115"/>
      <c r="AD241" s="192"/>
      <c r="AE241" s="196"/>
      <c r="AF241" s="197"/>
      <c r="AG241" s="201"/>
      <c r="AH241" s="201"/>
      <c r="AI241" s="201"/>
      <c r="AJ241" s="201"/>
      <c r="AK241" s="122"/>
      <c r="AL241" s="122"/>
    </row>
    <row r="242">
      <c r="A242" s="115"/>
      <c r="B242" s="150"/>
      <c r="C242" s="89"/>
      <c r="D242" s="55"/>
      <c r="E242" s="115"/>
      <c r="F242" s="150"/>
      <c r="G242" s="188"/>
      <c r="H242" s="189"/>
      <c r="I242" s="115"/>
      <c r="J242" s="150"/>
      <c r="K242" s="89"/>
      <c r="L242" s="55"/>
      <c r="M242" s="115"/>
      <c r="N242" s="190"/>
      <c r="O242" s="89"/>
      <c r="P242" s="55"/>
      <c r="Q242" s="191"/>
      <c r="R242" s="192"/>
      <c r="S242" s="121"/>
      <c r="T242" s="122"/>
      <c r="U242" s="191"/>
      <c r="V242" s="192"/>
      <c r="W242" s="121"/>
      <c r="X242" s="122"/>
      <c r="Y242" s="115"/>
      <c r="Z242" s="193"/>
      <c r="AA242" s="194"/>
      <c r="AB242" s="195"/>
      <c r="AC242" s="115"/>
      <c r="AD242" s="192"/>
      <c r="AE242" s="196"/>
      <c r="AF242" s="197"/>
      <c r="AG242" s="201"/>
      <c r="AH242" s="201"/>
      <c r="AI242" s="201"/>
      <c r="AJ242" s="201"/>
      <c r="AK242" s="122"/>
      <c r="AL242" s="122"/>
    </row>
    <row r="243">
      <c r="A243" s="115"/>
      <c r="B243" s="150"/>
      <c r="C243" s="89"/>
      <c r="D243" s="55"/>
      <c r="E243" s="115"/>
      <c r="F243" s="150"/>
      <c r="G243" s="188"/>
      <c r="H243" s="189"/>
      <c r="I243" s="115"/>
      <c r="J243" s="150"/>
      <c r="K243" s="89"/>
      <c r="L243" s="55"/>
      <c r="M243" s="115"/>
      <c r="N243" s="190"/>
      <c r="O243" s="89"/>
      <c r="P243" s="55"/>
      <c r="Q243" s="191"/>
      <c r="R243" s="192"/>
      <c r="S243" s="121"/>
      <c r="T243" s="122"/>
      <c r="U243" s="191"/>
      <c r="V243" s="192"/>
      <c r="W243" s="121"/>
      <c r="X243" s="122"/>
      <c r="Y243" s="115"/>
      <c r="Z243" s="193"/>
      <c r="AA243" s="194"/>
      <c r="AB243" s="195"/>
      <c r="AC243" s="115"/>
      <c r="AD243" s="192"/>
      <c r="AE243" s="196"/>
      <c r="AF243" s="197"/>
      <c r="AG243" s="201"/>
      <c r="AH243" s="201"/>
      <c r="AI243" s="201"/>
      <c r="AJ243" s="201"/>
      <c r="AK243" s="122"/>
      <c r="AL243" s="122"/>
    </row>
    <row r="244">
      <c r="A244" s="115"/>
      <c r="B244" s="150"/>
      <c r="C244" s="89"/>
      <c r="D244" s="55"/>
      <c r="E244" s="115"/>
      <c r="F244" s="150"/>
      <c r="G244" s="188"/>
      <c r="H244" s="189"/>
      <c r="I244" s="115"/>
      <c r="J244" s="150"/>
      <c r="K244" s="89"/>
      <c r="L244" s="55"/>
      <c r="M244" s="115"/>
      <c r="N244" s="190"/>
      <c r="O244" s="89"/>
      <c r="P244" s="55"/>
      <c r="Q244" s="191"/>
      <c r="R244" s="192"/>
      <c r="S244" s="121"/>
      <c r="T244" s="122"/>
      <c r="U244" s="191"/>
      <c r="V244" s="192"/>
      <c r="W244" s="121"/>
      <c r="X244" s="122"/>
      <c r="Y244" s="115"/>
      <c r="Z244" s="193"/>
      <c r="AA244" s="194"/>
      <c r="AB244" s="195"/>
      <c r="AC244" s="115"/>
      <c r="AD244" s="192"/>
      <c r="AE244" s="196"/>
      <c r="AF244" s="197"/>
      <c r="AG244" s="201"/>
      <c r="AH244" s="201"/>
      <c r="AI244" s="201"/>
      <c r="AJ244" s="201"/>
      <c r="AK244" s="122"/>
      <c r="AL244" s="122"/>
    </row>
    <row r="245">
      <c r="A245" s="115"/>
      <c r="B245" s="150"/>
      <c r="C245" s="89"/>
      <c r="D245" s="55"/>
      <c r="E245" s="115"/>
      <c r="F245" s="150"/>
      <c r="G245" s="188"/>
      <c r="H245" s="189"/>
      <c r="I245" s="115"/>
      <c r="J245" s="150"/>
      <c r="K245" s="89"/>
      <c r="L245" s="55"/>
      <c r="M245" s="115"/>
      <c r="N245" s="190"/>
      <c r="O245" s="89"/>
      <c r="P245" s="55"/>
      <c r="Q245" s="191"/>
      <c r="R245" s="192"/>
      <c r="S245" s="121"/>
      <c r="T245" s="122"/>
      <c r="U245" s="191"/>
      <c r="V245" s="192"/>
      <c r="W245" s="121"/>
      <c r="X245" s="122"/>
      <c r="Y245" s="115"/>
      <c r="Z245" s="193"/>
      <c r="AA245" s="194"/>
      <c r="AB245" s="195"/>
      <c r="AC245" s="115"/>
      <c r="AD245" s="192"/>
      <c r="AE245" s="196"/>
      <c r="AF245" s="197"/>
      <c r="AG245" s="201"/>
      <c r="AH245" s="201"/>
      <c r="AI245" s="201"/>
      <c r="AJ245" s="201"/>
      <c r="AK245" s="122"/>
      <c r="AL245" s="122"/>
    </row>
    <row r="246">
      <c r="A246" s="115"/>
      <c r="B246" s="150"/>
      <c r="C246" s="89"/>
      <c r="D246" s="55"/>
      <c r="E246" s="115"/>
      <c r="F246" s="150"/>
      <c r="G246" s="188"/>
      <c r="H246" s="189"/>
      <c r="I246" s="115"/>
      <c r="J246" s="150"/>
      <c r="K246" s="89"/>
      <c r="L246" s="55"/>
      <c r="M246" s="115"/>
      <c r="N246" s="190"/>
      <c r="O246" s="89"/>
      <c r="P246" s="55"/>
      <c r="Q246" s="191"/>
      <c r="R246" s="192"/>
      <c r="S246" s="121"/>
      <c r="T246" s="122"/>
      <c r="U246" s="191"/>
      <c r="V246" s="192"/>
      <c r="W246" s="121"/>
      <c r="X246" s="122"/>
      <c r="Y246" s="115"/>
      <c r="Z246" s="193"/>
      <c r="AA246" s="194"/>
      <c r="AB246" s="195"/>
      <c r="AC246" s="115"/>
      <c r="AD246" s="192"/>
      <c r="AE246" s="196"/>
      <c r="AF246" s="197"/>
      <c r="AG246" s="201"/>
      <c r="AH246" s="201"/>
      <c r="AI246" s="201"/>
      <c r="AJ246" s="201"/>
      <c r="AK246" s="122"/>
      <c r="AL246" s="122"/>
    </row>
    <row r="247">
      <c r="A247" s="115"/>
      <c r="B247" s="150"/>
      <c r="C247" s="89"/>
      <c r="D247" s="55"/>
      <c r="E247" s="115"/>
      <c r="F247" s="150"/>
      <c r="G247" s="188"/>
      <c r="H247" s="189"/>
      <c r="I247" s="115"/>
      <c r="J247" s="150"/>
      <c r="K247" s="89"/>
      <c r="L247" s="55"/>
      <c r="M247" s="115"/>
      <c r="N247" s="190"/>
      <c r="O247" s="89"/>
      <c r="P247" s="55"/>
      <c r="Q247" s="191"/>
      <c r="R247" s="192"/>
      <c r="S247" s="121"/>
      <c r="T247" s="122"/>
      <c r="U247" s="191"/>
      <c r="V247" s="192"/>
      <c r="W247" s="121"/>
      <c r="X247" s="122"/>
      <c r="Y247" s="115"/>
      <c r="Z247" s="193"/>
      <c r="AA247" s="194"/>
      <c r="AB247" s="195"/>
      <c r="AC247" s="115"/>
      <c r="AD247" s="192"/>
      <c r="AE247" s="196"/>
      <c r="AF247" s="197"/>
      <c r="AG247" s="201"/>
      <c r="AH247" s="201"/>
      <c r="AI247" s="201"/>
      <c r="AJ247" s="201"/>
      <c r="AK247" s="122"/>
      <c r="AL247" s="122"/>
    </row>
    <row r="248">
      <c r="A248" s="115"/>
      <c r="B248" s="150"/>
      <c r="C248" s="89"/>
      <c r="D248" s="55"/>
      <c r="E248" s="115"/>
      <c r="F248" s="150"/>
      <c r="G248" s="188"/>
      <c r="H248" s="189"/>
      <c r="I248" s="115"/>
      <c r="J248" s="150"/>
      <c r="K248" s="89"/>
      <c r="L248" s="55"/>
      <c r="M248" s="115"/>
      <c r="N248" s="190"/>
      <c r="O248" s="89"/>
      <c r="P248" s="55"/>
      <c r="Q248" s="191"/>
      <c r="R248" s="192"/>
      <c r="S248" s="121"/>
      <c r="T248" s="122"/>
      <c r="U248" s="191"/>
      <c r="V248" s="192"/>
      <c r="W248" s="121"/>
      <c r="X248" s="122"/>
      <c r="Y248" s="115"/>
      <c r="Z248" s="193"/>
      <c r="AA248" s="194"/>
      <c r="AB248" s="195"/>
      <c r="AC248" s="115"/>
      <c r="AD248" s="192"/>
      <c r="AE248" s="196"/>
      <c r="AF248" s="197"/>
      <c r="AG248" s="201"/>
      <c r="AH248" s="201"/>
      <c r="AI248" s="201"/>
      <c r="AJ248" s="201"/>
      <c r="AK248" s="122"/>
      <c r="AL248" s="122"/>
    </row>
    <row r="249">
      <c r="A249" s="115"/>
      <c r="B249" s="150"/>
      <c r="C249" s="89"/>
      <c r="D249" s="55"/>
      <c r="E249" s="115"/>
      <c r="F249" s="150"/>
      <c r="G249" s="188"/>
      <c r="H249" s="189"/>
      <c r="I249" s="115"/>
      <c r="J249" s="150"/>
      <c r="K249" s="89"/>
      <c r="L249" s="55"/>
      <c r="M249" s="115"/>
      <c r="N249" s="190"/>
      <c r="O249" s="89"/>
      <c r="P249" s="55"/>
      <c r="Q249" s="191"/>
      <c r="R249" s="192"/>
      <c r="S249" s="121"/>
      <c r="T249" s="122"/>
      <c r="U249" s="191"/>
      <c r="V249" s="192"/>
      <c r="W249" s="121"/>
      <c r="X249" s="122"/>
      <c r="Y249" s="115"/>
      <c r="Z249" s="193"/>
      <c r="AA249" s="194"/>
      <c r="AB249" s="195"/>
      <c r="AC249" s="115"/>
      <c r="AD249" s="192"/>
      <c r="AE249" s="196"/>
      <c r="AF249" s="197"/>
      <c r="AG249" s="201"/>
      <c r="AH249" s="201"/>
      <c r="AI249" s="201"/>
      <c r="AJ249" s="201"/>
      <c r="AK249" s="122"/>
      <c r="AL249" s="122"/>
    </row>
    <row r="250">
      <c r="A250" s="115"/>
      <c r="B250" s="150"/>
      <c r="C250" s="89"/>
      <c r="D250" s="55"/>
      <c r="E250" s="115"/>
      <c r="F250" s="150"/>
      <c r="G250" s="188"/>
      <c r="H250" s="189"/>
      <c r="I250" s="115"/>
      <c r="J250" s="150"/>
      <c r="K250" s="89"/>
      <c r="L250" s="55"/>
      <c r="M250" s="115"/>
      <c r="N250" s="190"/>
      <c r="O250" s="89"/>
      <c r="P250" s="55"/>
      <c r="Q250" s="191"/>
      <c r="R250" s="192"/>
      <c r="S250" s="121"/>
      <c r="T250" s="122"/>
      <c r="U250" s="191"/>
      <c r="V250" s="192"/>
      <c r="W250" s="121"/>
      <c r="X250" s="122"/>
      <c r="Y250" s="115"/>
      <c r="Z250" s="193"/>
      <c r="AA250" s="194"/>
      <c r="AB250" s="195"/>
      <c r="AC250" s="115"/>
      <c r="AD250" s="192"/>
      <c r="AE250" s="196"/>
      <c r="AF250" s="197"/>
      <c r="AG250" s="201"/>
      <c r="AH250" s="201"/>
      <c r="AI250" s="201"/>
      <c r="AJ250" s="201"/>
      <c r="AK250" s="122"/>
      <c r="AL250" s="122"/>
    </row>
    <row r="251">
      <c r="A251" s="115"/>
      <c r="B251" s="150"/>
      <c r="C251" s="89"/>
      <c r="D251" s="55"/>
      <c r="E251" s="115"/>
      <c r="F251" s="150"/>
      <c r="G251" s="188"/>
      <c r="H251" s="189"/>
      <c r="I251" s="115"/>
      <c r="J251" s="150"/>
      <c r="K251" s="89"/>
      <c r="L251" s="55"/>
      <c r="M251" s="115"/>
      <c r="N251" s="190"/>
      <c r="O251" s="89"/>
      <c r="P251" s="55"/>
      <c r="Q251" s="191"/>
      <c r="R251" s="192"/>
      <c r="S251" s="121"/>
      <c r="T251" s="122"/>
      <c r="U251" s="191"/>
      <c r="V251" s="192"/>
      <c r="W251" s="121"/>
      <c r="X251" s="122"/>
      <c r="Y251" s="115"/>
      <c r="Z251" s="193"/>
      <c r="AA251" s="194"/>
      <c r="AB251" s="195"/>
      <c r="AC251" s="115"/>
      <c r="AD251" s="192"/>
      <c r="AE251" s="196"/>
      <c r="AF251" s="197"/>
      <c r="AG251" s="201"/>
      <c r="AH251" s="201"/>
      <c r="AI251" s="201"/>
      <c r="AJ251" s="201"/>
      <c r="AK251" s="122"/>
      <c r="AL251" s="122"/>
    </row>
    <row r="252">
      <c r="A252" s="115"/>
      <c r="B252" s="150"/>
      <c r="C252" s="89"/>
      <c r="D252" s="55"/>
      <c r="E252" s="115"/>
      <c r="F252" s="150"/>
      <c r="G252" s="188"/>
      <c r="H252" s="189"/>
      <c r="I252" s="115"/>
      <c r="J252" s="150"/>
      <c r="K252" s="89"/>
      <c r="L252" s="55"/>
      <c r="M252" s="115"/>
      <c r="N252" s="190"/>
      <c r="O252" s="89"/>
      <c r="P252" s="55"/>
      <c r="Q252" s="191"/>
      <c r="R252" s="192"/>
      <c r="S252" s="121"/>
      <c r="T252" s="122"/>
      <c r="U252" s="191"/>
      <c r="V252" s="192"/>
      <c r="W252" s="121"/>
      <c r="X252" s="122"/>
      <c r="Y252" s="115"/>
      <c r="Z252" s="193"/>
      <c r="AA252" s="194"/>
      <c r="AB252" s="195"/>
      <c r="AC252" s="115"/>
      <c r="AD252" s="192"/>
      <c r="AE252" s="196"/>
      <c r="AF252" s="197"/>
      <c r="AG252" s="201"/>
      <c r="AH252" s="201"/>
      <c r="AI252" s="201"/>
      <c r="AJ252" s="201"/>
      <c r="AK252" s="122"/>
      <c r="AL252" s="122"/>
    </row>
    <row r="253">
      <c r="A253" s="115"/>
      <c r="B253" s="150"/>
      <c r="C253" s="89"/>
      <c r="D253" s="55"/>
      <c r="E253" s="115"/>
      <c r="F253" s="150"/>
      <c r="G253" s="188"/>
      <c r="H253" s="189"/>
      <c r="I253" s="115"/>
      <c r="J253" s="150"/>
      <c r="K253" s="89"/>
      <c r="L253" s="55"/>
      <c r="M253" s="115"/>
      <c r="N253" s="190"/>
      <c r="O253" s="89"/>
      <c r="P253" s="55"/>
      <c r="Q253" s="191"/>
      <c r="R253" s="192"/>
      <c r="S253" s="121"/>
      <c r="T253" s="122"/>
      <c r="U253" s="191"/>
      <c r="V253" s="192"/>
      <c r="W253" s="121"/>
      <c r="X253" s="122"/>
      <c r="Y253" s="115"/>
      <c r="Z253" s="193"/>
      <c r="AA253" s="194"/>
      <c r="AB253" s="195"/>
      <c r="AC253" s="115"/>
      <c r="AD253" s="192"/>
      <c r="AE253" s="196"/>
      <c r="AF253" s="197"/>
      <c r="AG253" s="201"/>
      <c r="AH253" s="201"/>
      <c r="AI253" s="201"/>
      <c r="AJ253" s="201"/>
      <c r="AK253" s="122"/>
      <c r="AL253" s="122"/>
    </row>
    <row r="254">
      <c r="A254" s="115"/>
      <c r="B254" s="150"/>
      <c r="C254" s="89"/>
      <c r="D254" s="55"/>
      <c r="E254" s="115"/>
      <c r="F254" s="150"/>
      <c r="G254" s="188"/>
      <c r="H254" s="189"/>
      <c r="I254" s="115"/>
      <c r="J254" s="150"/>
      <c r="K254" s="89"/>
      <c r="L254" s="55"/>
      <c r="M254" s="115"/>
      <c r="N254" s="190"/>
      <c r="O254" s="89"/>
      <c r="P254" s="55"/>
      <c r="Q254" s="191"/>
      <c r="R254" s="192"/>
      <c r="S254" s="121"/>
      <c r="T254" s="122"/>
      <c r="U254" s="191"/>
      <c r="V254" s="192"/>
      <c r="W254" s="121"/>
      <c r="X254" s="122"/>
      <c r="Y254" s="115"/>
      <c r="Z254" s="193"/>
      <c r="AA254" s="194"/>
      <c r="AB254" s="195"/>
      <c r="AC254" s="115"/>
      <c r="AD254" s="192"/>
      <c r="AE254" s="196"/>
      <c r="AF254" s="197"/>
      <c r="AG254" s="201"/>
      <c r="AH254" s="201"/>
      <c r="AI254" s="201"/>
      <c r="AJ254" s="201"/>
      <c r="AK254" s="122"/>
      <c r="AL254" s="122"/>
    </row>
    <row r="255">
      <c r="A255" s="115"/>
      <c r="B255" s="150"/>
      <c r="C255" s="89"/>
      <c r="D255" s="55"/>
      <c r="E255" s="115"/>
      <c r="F255" s="150"/>
      <c r="G255" s="188"/>
      <c r="H255" s="189"/>
      <c r="I255" s="115"/>
      <c r="J255" s="150"/>
      <c r="K255" s="89"/>
      <c r="L255" s="55"/>
      <c r="M255" s="115"/>
      <c r="N255" s="190"/>
      <c r="O255" s="89"/>
      <c r="P255" s="55"/>
      <c r="Q255" s="191"/>
      <c r="R255" s="192"/>
      <c r="S255" s="121"/>
      <c r="T255" s="122"/>
      <c r="U255" s="191"/>
      <c r="V255" s="192"/>
      <c r="W255" s="121"/>
      <c r="X255" s="122"/>
      <c r="Y255" s="115"/>
      <c r="Z255" s="193"/>
      <c r="AA255" s="194"/>
      <c r="AB255" s="195"/>
      <c r="AC255" s="115"/>
      <c r="AD255" s="192"/>
      <c r="AE255" s="196"/>
      <c r="AF255" s="197"/>
      <c r="AG255" s="201"/>
      <c r="AH255" s="201"/>
      <c r="AI255" s="201"/>
      <c r="AJ255" s="201"/>
      <c r="AK255" s="122"/>
      <c r="AL255" s="122"/>
    </row>
    <row r="256">
      <c r="A256" s="115"/>
      <c r="B256" s="150"/>
      <c r="C256" s="89"/>
      <c r="D256" s="55"/>
      <c r="E256" s="115"/>
      <c r="F256" s="150"/>
      <c r="G256" s="188"/>
      <c r="H256" s="189"/>
      <c r="I256" s="115"/>
      <c r="J256" s="150"/>
      <c r="K256" s="89"/>
      <c r="L256" s="55"/>
      <c r="M256" s="115"/>
      <c r="N256" s="190"/>
      <c r="O256" s="89"/>
      <c r="P256" s="55"/>
      <c r="Q256" s="191"/>
      <c r="R256" s="192"/>
      <c r="S256" s="121"/>
      <c r="T256" s="122"/>
      <c r="U256" s="191"/>
      <c r="V256" s="192"/>
      <c r="W256" s="121"/>
      <c r="X256" s="122"/>
      <c r="Y256" s="115"/>
      <c r="Z256" s="193"/>
      <c r="AA256" s="194"/>
      <c r="AB256" s="195"/>
      <c r="AC256" s="115"/>
      <c r="AD256" s="192"/>
      <c r="AE256" s="196"/>
      <c r="AF256" s="197"/>
      <c r="AG256" s="201"/>
      <c r="AH256" s="201"/>
      <c r="AI256" s="201"/>
      <c r="AJ256" s="201"/>
      <c r="AK256" s="122"/>
      <c r="AL256" s="122"/>
    </row>
    <row r="257">
      <c r="A257" s="115"/>
      <c r="B257" s="150"/>
      <c r="C257" s="89"/>
      <c r="D257" s="55"/>
      <c r="E257" s="115"/>
      <c r="F257" s="150"/>
      <c r="G257" s="188"/>
      <c r="H257" s="189"/>
      <c r="I257" s="115"/>
      <c r="J257" s="150"/>
      <c r="K257" s="89"/>
      <c r="L257" s="55"/>
      <c r="M257" s="115"/>
      <c r="N257" s="190"/>
      <c r="O257" s="89"/>
      <c r="P257" s="55"/>
      <c r="Q257" s="191"/>
      <c r="R257" s="192"/>
      <c r="S257" s="121"/>
      <c r="T257" s="122"/>
      <c r="U257" s="191"/>
      <c r="V257" s="192"/>
      <c r="W257" s="121"/>
      <c r="X257" s="122"/>
      <c r="Y257" s="115"/>
      <c r="Z257" s="193"/>
      <c r="AA257" s="194"/>
      <c r="AB257" s="195"/>
      <c r="AC257" s="115"/>
      <c r="AD257" s="192"/>
      <c r="AE257" s="196"/>
      <c r="AF257" s="197"/>
      <c r="AG257" s="201"/>
      <c r="AH257" s="201"/>
      <c r="AI257" s="201"/>
      <c r="AJ257" s="201"/>
      <c r="AK257" s="122"/>
      <c r="AL257" s="122"/>
    </row>
    <row r="258">
      <c r="A258" s="115"/>
      <c r="B258" s="150"/>
      <c r="C258" s="89"/>
      <c r="D258" s="55"/>
      <c r="E258" s="115"/>
      <c r="F258" s="150"/>
      <c r="G258" s="188"/>
      <c r="H258" s="189"/>
      <c r="I258" s="115"/>
      <c r="J258" s="150"/>
      <c r="K258" s="89"/>
      <c r="L258" s="55"/>
      <c r="M258" s="115"/>
      <c r="N258" s="190"/>
      <c r="O258" s="89"/>
      <c r="P258" s="55"/>
      <c r="Q258" s="191"/>
      <c r="R258" s="192"/>
      <c r="S258" s="121"/>
      <c r="T258" s="122"/>
      <c r="U258" s="191"/>
      <c r="V258" s="192"/>
      <c r="W258" s="121"/>
      <c r="X258" s="122"/>
      <c r="Y258" s="115"/>
      <c r="Z258" s="193"/>
      <c r="AA258" s="194"/>
      <c r="AB258" s="195"/>
      <c r="AC258" s="115"/>
      <c r="AD258" s="192"/>
      <c r="AE258" s="196"/>
      <c r="AF258" s="197"/>
      <c r="AG258" s="201"/>
      <c r="AH258" s="201"/>
      <c r="AI258" s="201"/>
      <c r="AJ258" s="201"/>
      <c r="AK258" s="122"/>
      <c r="AL258" s="122"/>
    </row>
    <row r="259">
      <c r="A259" s="115"/>
      <c r="B259" s="150"/>
      <c r="C259" s="89"/>
      <c r="D259" s="55"/>
      <c r="E259" s="115"/>
      <c r="F259" s="150"/>
      <c r="G259" s="188"/>
      <c r="H259" s="189"/>
      <c r="I259" s="115"/>
      <c r="J259" s="150"/>
      <c r="K259" s="89"/>
      <c r="L259" s="55"/>
      <c r="M259" s="115"/>
      <c r="N259" s="190"/>
      <c r="O259" s="89"/>
      <c r="P259" s="55"/>
      <c r="Q259" s="191"/>
      <c r="R259" s="192"/>
      <c r="S259" s="121"/>
      <c r="T259" s="122"/>
      <c r="U259" s="191"/>
      <c r="V259" s="192"/>
      <c r="W259" s="121"/>
      <c r="X259" s="122"/>
      <c r="Y259" s="115"/>
      <c r="Z259" s="193"/>
      <c r="AA259" s="194"/>
      <c r="AB259" s="195"/>
      <c r="AC259" s="115"/>
      <c r="AD259" s="192"/>
      <c r="AE259" s="196"/>
      <c r="AF259" s="197"/>
      <c r="AG259" s="201"/>
      <c r="AH259" s="201"/>
      <c r="AI259" s="201"/>
      <c r="AJ259" s="201"/>
      <c r="AK259" s="122"/>
      <c r="AL259" s="122"/>
    </row>
    <row r="260">
      <c r="A260" s="115"/>
      <c r="B260" s="150"/>
      <c r="C260" s="89"/>
      <c r="D260" s="55"/>
      <c r="E260" s="115"/>
      <c r="F260" s="150"/>
      <c r="G260" s="188"/>
      <c r="H260" s="189"/>
      <c r="I260" s="115"/>
      <c r="J260" s="150"/>
      <c r="K260" s="89"/>
      <c r="L260" s="55"/>
      <c r="M260" s="115"/>
      <c r="N260" s="190"/>
      <c r="O260" s="89"/>
      <c r="P260" s="55"/>
      <c r="Q260" s="191"/>
      <c r="R260" s="192"/>
      <c r="S260" s="121"/>
      <c r="T260" s="122"/>
      <c r="U260" s="191"/>
      <c r="V260" s="192"/>
      <c r="W260" s="121"/>
      <c r="X260" s="122"/>
      <c r="Y260" s="115"/>
      <c r="Z260" s="193"/>
      <c r="AA260" s="194"/>
      <c r="AB260" s="195"/>
      <c r="AC260" s="115"/>
      <c r="AD260" s="192"/>
      <c r="AE260" s="196"/>
      <c r="AF260" s="197"/>
      <c r="AG260" s="201"/>
      <c r="AH260" s="201"/>
      <c r="AI260" s="201"/>
      <c r="AJ260" s="201"/>
      <c r="AK260" s="122"/>
      <c r="AL260" s="122"/>
    </row>
    <row r="261">
      <c r="A261" s="115"/>
      <c r="B261" s="150"/>
      <c r="C261" s="89"/>
      <c r="D261" s="55"/>
      <c r="E261" s="115"/>
      <c r="F261" s="150"/>
      <c r="G261" s="188"/>
      <c r="H261" s="189"/>
      <c r="I261" s="115"/>
      <c r="J261" s="150"/>
      <c r="K261" s="89"/>
      <c r="L261" s="55"/>
      <c r="M261" s="115"/>
      <c r="N261" s="190"/>
      <c r="O261" s="89"/>
      <c r="P261" s="55"/>
      <c r="Q261" s="191"/>
      <c r="R261" s="192"/>
      <c r="S261" s="121"/>
      <c r="T261" s="122"/>
      <c r="U261" s="191"/>
      <c r="V261" s="192"/>
      <c r="W261" s="121"/>
      <c r="X261" s="122"/>
      <c r="Y261" s="115"/>
      <c r="Z261" s="193"/>
      <c r="AA261" s="194"/>
      <c r="AB261" s="195"/>
      <c r="AC261" s="115"/>
      <c r="AD261" s="192"/>
      <c r="AE261" s="196"/>
      <c r="AF261" s="197"/>
      <c r="AG261" s="201"/>
      <c r="AH261" s="201"/>
      <c r="AI261" s="201"/>
      <c r="AJ261" s="201"/>
      <c r="AK261" s="122"/>
      <c r="AL261" s="122"/>
    </row>
    <row r="262">
      <c r="A262" s="115"/>
      <c r="B262" s="150"/>
      <c r="C262" s="89"/>
      <c r="D262" s="55"/>
      <c r="E262" s="115"/>
      <c r="F262" s="150"/>
      <c r="G262" s="188"/>
      <c r="H262" s="189"/>
      <c r="I262" s="115"/>
      <c r="J262" s="150"/>
      <c r="K262" s="89"/>
      <c r="L262" s="55"/>
      <c r="M262" s="115"/>
      <c r="N262" s="190"/>
      <c r="O262" s="89"/>
      <c r="P262" s="55"/>
      <c r="Q262" s="191"/>
      <c r="R262" s="192"/>
      <c r="S262" s="121"/>
      <c r="T262" s="122"/>
      <c r="U262" s="191"/>
      <c r="V262" s="192"/>
      <c r="W262" s="121"/>
      <c r="X262" s="122"/>
      <c r="Y262" s="115"/>
      <c r="Z262" s="193"/>
      <c r="AA262" s="194"/>
      <c r="AB262" s="195"/>
      <c r="AC262" s="115"/>
      <c r="AD262" s="192"/>
      <c r="AE262" s="196"/>
      <c r="AF262" s="197"/>
      <c r="AG262" s="201"/>
      <c r="AH262" s="201"/>
      <c r="AI262" s="201"/>
      <c r="AJ262" s="201"/>
      <c r="AK262" s="122"/>
      <c r="AL262" s="122"/>
    </row>
    <row r="263">
      <c r="A263" s="115"/>
      <c r="B263" s="150"/>
      <c r="C263" s="89"/>
      <c r="D263" s="55"/>
      <c r="E263" s="115"/>
      <c r="F263" s="150"/>
      <c r="G263" s="188"/>
      <c r="H263" s="189"/>
      <c r="I263" s="115"/>
      <c r="J263" s="150"/>
      <c r="K263" s="89"/>
      <c r="L263" s="55"/>
      <c r="M263" s="115"/>
      <c r="N263" s="190"/>
      <c r="O263" s="89"/>
      <c r="P263" s="55"/>
      <c r="Q263" s="191"/>
      <c r="R263" s="192"/>
      <c r="S263" s="121"/>
      <c r="T263" s="122"/>
      <c r="U263" s="191"/>
      <c r="V263" s="192"/>
      <c r="W263" s="121"/>
      <c r="X263" s="122"/>
      <c r="Y263" s="115"/>
      <c r="Z263" s="193"/>
      <c r="AA263" s="194"/>
      <c r="AB263" s="195"/>
      <c r="AC263" s="115"/>
      <c r="AD263" s="192"/>
      <c r="AE263" s="196"/>
      <c r="AF263" s="197"/>
      <c r="AG263" s="201"/>
      <c r="AH263" s="201"/>
      <c r="AI263" s="201"/>
      <c r="AJ263" s="201"/>
      <c r="AK263" s="122"/>
      <c r="AL263" s="122"/>
    </row>
    <row r="264">
      <c r="A264" s="115"/>
      <c r="B264" s="150"/>
      <c r="C264" s="89"/>
      <c r="D264" s="55"/>
      <c r="E264" s="115"/>
      <c r="F264" s="150"/>
      <c r="G264" s="188"/>
      <c r="H264" s="189"/>
      <c r="I264" s="115"/>
      <c r="J264" s="150"/>
      <c r="K264" s="89"/>
      <c r="L264" s="55"/>
      <c r="M264" s="115"/>
      <c r="N264" s="190"/>
      <c r="O264" s="89"/>
      <c r="P264" s="55"/>
      <c r="Q264" s="191"/>
      <c r="R264" s="192"/>
      <c r="S264" s="121"/>
      <c r="T264" s="122"/>
      <c r="U264" s="191"/>
      <c r="V264" s="192"/>
      <c r="W264" s="121"/>
      <c r="X264" s="122"/>
      <c r="Y264" s="115"/>
      <c r="Z264" s="193"/>
      <c r="AA264" s="194"/>
      <c r="AB264" s="195"/>
      <c r="AC264" s="115"/>
      <c r="AD264" s="192"/>
      <c r="AE264" s="196"/>
      <c r="AF264" s="197"/>
      <c r="AG264" s="201"/>
      <c r="AH264" s="201"/>
      <c r="AI264" s="201"/>
      <c r="AJ264" s="201"/>
      <c r="AK264" s="122"/>
      <c r="AL264" s="122"/>
    </row>
    <row r="265">
      <c r="A265" s="115"/>
      <c r="B265" s="150"/>
      <c r="C265" s="89"/>
      <c r="D265" s="55"/>
      <c r="E265" s="115"/>
      <c r="F265" s="150"/>
      <c r="G265" s="188"/>
      <c r="H265" s="189"/>
      <c r="I265" s="115"/>
      <c r="J265" s="150"/>
      <c r="K265" s="89"/>
      <c r="L265" s="55"/>
      <c r="M265" s="115"/>
      <c r="N265" s="190"/>
      <c r="O265" s="89"/>
      <c r="P265" s="55"/>
      <c r="Q265" s="191"/>
      <c r="R265" s="192"/>
      <c r="S265" s="121"/>
      <c r="T265" s="122"/>
      <c r="U265" s="191"/>
      <c r="V265" s="192"/>
      <c r="W265" s="121"/>
      <c r="X265" s="122"/>
      <c r="Y265" s="115"/>
      <c r="Z265" s="193"/>
      <c r="AA265" s="194"/>
      <c r="AB265" s="195"/>
      <c r="AC265" s="115"/>
      <c r="AD265" s="192"/>
      <c r="AE265" s="196"/>
      <c r="AF265" s="197"/>
      <c r="AG265" s="201"/>
      <c r="AH265" s="201"/>
      <c r="AI265" s="201"/>
      <c r="AJ265" s="201"/>
      <c r="AK265" s="122"/>
      <c r="AL265" s="122"/>
    </row>
    <row r="266">
      <c r="A266" s="115"/>
      <c r="B266" s="150"/>
      <c r="C266" s="89"/>
      <c r="D266" s="55"/>
      <c r="E266" s="115"/>
      <c r="F266" s="150"/>
      <c r="G266" s="188"/>
      <c r="H266" s="189"/>
      <c r="I266" s="115"/>
      <c r="J266" s="150"/>
      <c r="K266" s="89"/>
      <c r="L266" s="55"/>
      <c r="M266" s="115"/>
      <c r="N266" s="190"/>
      <c r="O266" s="89"/>
      <c r="P266" s="55"/>
      <c r="Q266" s="191"/>
      <c r="R266" s="192"/>
      <c r="S266" s="121"/>
      <c r="T266" s="122"/>
      <c r="U266" s="191"/>
      <c r="V266" s="192"/>
      <c r="W266" s="121"/>
      <c r="X266" s="122"/>
      <c r="Y266" s="115"/>
      <c r="Z266" s="193"/>
      <c r="AA266" s="194"/>
      <c r="AB266" s="195"/>
      <c r="AC266" s="115"/>
      <c r="AD266" s="192"/>
      <c r="AE266" s="196"/>
      <c r="AF266" s="197"/>
      <c r="AG266" s="201"/>
      <c r="AH266" s="201"/>
      <c r="AI266" s="201"/>
      <c r="AJ266" s="201"/>
      <c r="AK266" s="122"/>
      <c r="AL266" s="122"/>
    </row>
    <row r="267">
      <c r="A267" s="115"/>
      <c r="B267" s="150"/>
      <c r="C267" s="89"/>
      <c r="D267" s="55"/>
      <c r="E267" s="115"/>
      <c r="F267" s="150"/>
      <c r="G267" s="188"/>
      <c r="H267" s="189"/>
      <c r="I267" s="115"/>
      <c r="J267" s="150"/>
      <c r="K267" s="89"/>
      <c r="L267" s="55"/>
      <c r="M267" s="115"/>
      <c r="N267" s="190"/>
      <c r="O267" s="89"/>
      <c r="P267" s="55"/>
      <c r="Q267" s="191"/>
      <c r="R267" s="192"/>
      <c r="S267" s="121"/>
      <c r="T267" s="122"/>
      <c r="U267" s="191"/>
      <c r="V267" s="192"/>
      <c r="W267" s="121"/>
      <c r="X267" s="122"/>
      <c r="Y267" s="115"/>
      <c r="Z267" s="193"/>
      <c r="AA267" s="194"/>
      <c r="AB267" s="195"/>
      <c r="AC267" s="115"/>
      <c r="AD267" s="192"/>
      <c r="AE267" s="196"/>
      <c r="AF267" s="197"/>
      <c r="AG267" s="201"/>
      <c r="AH267" s="201"/>
      <c r="AI267" s="201"/>
      <c r="AJ267" s="201"/>
      <c r="AK267" s="122"/>
      <c r="AL267" s="122"/>
    </row>
    <row r="268">
      <c r="A268" s="115"/>
      <c r="B268" s="150"/>
      <c r="C268" s="89"/>
      <c r="D268" s="55"/>
      <c r="E268" s="115"/>
      <c r="F268" s="150"/>
      <c r="G268" s="188"/>
      <c r="H268" s="189"/>
      <c r="I268" s="115"/>
      <c r="J268" s="150"/>
      <c r="K268" s="89"/>
      <c r="L268" s="55"/>
      <c r="M268" s="115"/>
      <c r="N268" s="190"/>
      <c r="O268" s="89"/>
      <c r="P268" s="55"/>
      <c r="Q268" s="191"/>
      <c r="R268" s="192"/>
      <c r="S268" s="121"/>
      <c r="T268" s="122"/>
      <c r="U268" s="191"/>
      <c r="V268" s="192"/>
      <c r="W268" s="121"/>
      <c r="X268" s="122"/>
      <c r="Y268" s="115"/>
      <c r="Z268" s="193"/>
      <c r="AA268" s="194"/>
      <c r="AB268" s="195"/>
      <c r="AC268" s="115"/>
      <c r="AD268" s="192"/>
      <c r="AE268" s="196"/>
      <c r="AF268" s="197"/>
      <c r="AG268" s="201"/>
      <c r="AH268" s="201"/>
      <c r="AI268" s="201"/>
      <c r="AJ268" s="201"/>
      <c r="AK268" s="122"/>
      <c r="AL268" s="122"/>
    </row>
    <row r="269">
      <c r="A269" s="115"/>
      <c r="B269" s="150"/>
      <c r="C269" s="89"/>
      <c r="D269" s="55"/>
      <c r="E269" s="115"/>
      <c r="F269" s="150"/>
      <c r="G269" s="188"/>
      <c r="H269" s="189"/>
      <c r="I269" s="115"/>
      <c r="J269" s="150"/>
      <c r="K269" s="89"/>
      <c r="L269" s="55"/>
      <c r="M269" s="115"/>
      <c r="N269" s="190"/>
      <c r="O269" s="89"/>
      <c r="P269" s="55"/>
      <c r="Q269" s="191"/>
      <c r="R269" s="192"/>
      <c r="S269" s="121"/>
      <c r="T269" s="122"/>
      <c r="U269" s="191"/>
      <c r="V269" s="192"/>
      <c r="W269" s="121"/>
      <c r="X269" s="122"/>
      <c r="Y269" s="115"/>
      <c r="Z269" s="193"/>
      <c r="AA269" s="194"/>
      <c r="AB269" s="195"/>
      <c r="AC269" s="115"/>
      <c r="AD269" s="192"/>
      <c r="AE269" s="196"/>
      <c r="AF269" s="197"/>
      <c r="AG269" s="201"/>
      <c r="AH269" s="201"/>
      <c r="AI269" s="201"/>
      <c r="AJ269" s="201"/>
      <c r="AK269" s="122"/>
      <c r="AL269" s="122"/>
    </row>
    <row r="270">
      <c r="A270" s="115"/>
      <c r="B270" s="150"/>
      <c r="C270" s="89"/>
      <c r="D270" s="55"/>
      <c r="E270" s="115"/>
      <c r="F270" s="150"/>
      <c r="G270" s="188"/>
      <c r="H270" s="189"/>
      <c r="I270" s="115"/>
      <c r="J270" s="150"/>
      <c r="K270" s="89"/>
      <c r="L270" s="55"/>
      <c r="M270" s="115"/>
      <c r="N270" s="190"/>
      <c r="O270" s="89"/>
      <c r="P270" s="55"/>
      <c r="Q270" s="191"/>
      <c r="R270" s="192"/>
      <c r="S270" s="121"/>
      <c r="T270" s="122"/>
      <c r="U270" s="191"/>
      <c r="V270" s="192"/>
      <c r="W270" s="121"/>
      <c r="X270" s="122"/>
      <c r="Y270" s="115"/>
      <c r="Z270" s="193"/>
      <c r="AA270" s="194"/>
      <c r="AB270" s="195"/>
      <c r="AC270" s="115"/>
      <c r="AD270" s="192"/>
      <c r="AE270" s="196"/>
      <c r="AF270" s="197"/>
      <c r="AG270" s="201"/>
      <c r="AH270" s="201"/>
      <c r="AI270" s="201"/>
      <c r="AJ270" s="201"/>
      <c r="AK270" s="122"/>
      <c r="AL270" s="122"/>
    </row>
    <row r="271">
      <c r="A271" s="115"/>
      <c r="B271" s="150"/>
      <c r="C271" s="89"/>
      <c r="D271" s="55"/>
      <c r="E271" s="115"/>
      <c r="F271" s="150"/>
      <c r="G271" s="188"/>
      <c r="H271" s="189"/>
      <c r="I271" s="115"/>
      <c r="J271" s="150"/>
      <c r="K271" s="89"/>
      <c r="L271" s="55"/>
      <c r="M271" s="115"/>
      <c r="N271" s="190"/>
      <c r="O271" s="89"/>
      <c r="P271" s="55"/>
      <c r="Q271" s="191"/>
      <c r="R271" s="192"/>
      <c r="S271" s="121"/>
      <c r="T271" s="122"/>
      <c r="U271" s="191"/>
      <c r="V271" s="192"/>
      <c r="W271" s="121"/>
      <c r="X271" s="122"/>
      <c r="Y271" s="115"/>
      <c r="Z271" s="193"/>
      <c r="AA271" s="194"/>
      <c r="AB271" s="195"/>
      <c r="AC271" s="115"/>
      <c r="AD271" s="192"/>
      <c r="AE271" s="196"/>
      <c r="AF271" s="197"/>
      <c r="AG271" s="201"/>
      <c r="AH271" s="201"/>
      <c r="AI271" s="201"/>
      <c r="AJ271" s="201"/>
      <c r="AK271" s="122"/>
      <c r="AL271" s="122"/>
    </row>
    <row r="272">
      <c r="A272" s="115"/>
      <c r="B272" s="150"/>
      <c r="C272" s="89"/>
      <c r="D272" s="55"/>
      <c r="E272" s="115"/>
      <c r="F272" s="150"/>
      <c r="G272" s="188"/>
      <c r="H272" s="189"/>
      <c r="I272" s="115"/>
      <c r="J272" s="150"/>
      <c r="K272" s="89"/>
      <c r="L272" s="55"/>
      <c r="M272" s="115"/>
      <c r="N272" s="190"/>
      <c r="O272" s="89"/>
      <c r="P272" s="55"/>
      <c r="Q272" s="191"/>
      <c r="R272" s="192"/>
      <c r="S272" s="121"/>
      <c r="T272" s="122"/>
      <c r="U272" s="191"/>
      <c r="V272" s="192"/>
      <c r="W272" s="121"/>
      <c r="X272" s="122"/>
      <c r="Y272" s="115"/>
      <c r="Z272" s="193"/>
      <c r="AA272" s="194"/>
      <c r="AB272" s="195"/>
      <c r="AC272" s="115"/>
      <c r="AD272" s="192"/>
      <c r="AE272" s="196"/>
      <c r="AF272" s="197"/>
      <c r="AG272" s="201"/>
      <c r="AH272" s="201"/>
      <c r="AI272" s="201"/>
      <c r="AJ272" s="201"/>
      <c r="AK272" s="122"/>
      <c r="AL272" s="122"/>
    </row>
    <row r="273">
      <c r="A273" s="115"/>
      <c r="B273" s="150"/>
      <c r="C273" s="89"/>
      <c r="D273" s="55"/>
      <c r="E273" s="115"/>
      <c r="F273" s="150"/>
      <c r="G273" s="188"/>
      <c r="H273" s="189"/>
      <c r="I273" s="115"/>
      <c r="J273" s="150"/>
      <c r="K273" s="89"/>
      <c r="L273" s="55"/>
      <c r="M273" s="115"/>
      <c r="N273" s="190"/>
      <c r="O273" s="89"/>
      <c r="P273" s="55"/>
      <c r="Q273" s="191"/>
      <c r="R273" s="192"/>
      <c r="S273" s="121"/>
      <c r="T273" s="122"/>
      <c r="U273" s="191"/>
      <c r="V273" s="192"/>
      <c r="W273" s="121"/>
      <c r="X273" s="122"/>
      <c r="Y273" s="115"/>
      <c r="Z273" s="193"/>
      <c r="AA273" s="194"/>
      <c r="AB273" s="195"/>
      <c r="AC273" s="115"/>
      <c r="AD273" s="192"/>
      <c r="AE273" s="196"/>
      <c r="AF273" s="197"/>
      <c r="AG273" s="201"/>
      <c r="AH273" s="201"/>
      <c r="AI273" s="201"/>
      <c r="AJ273" s="201"/>
      <c r="AK273" s="122"/>
      <c r="AL273" s="122"/>
    </row>
    <row r="274">
      <c r="A274" s="115"/>
      <c r="B274" s="150"/>
      <c r="C274" s="89"/>
      <c r="D274" s="55"/>
      <c r="E274" s="115"/>
      <c r="F274" s="150"/>
      <c r="G274" s="188"/>
      <c r="H274" s="189"/>
      <c r="I274" s="115"/>
      <c r="J274" s="150"/>
      <c r="K274" s="89"/>
      <c r="L274" s="55"/>
      <c r="M274" s="115"/>
      <c r="N274" s="190"/>
      <c r="O274" s="89"/>
      <c r="P274" s="55"/>
      <c r="Q274" s="191"/>
      <c r="R274" s="192"/>
      <c r="S274" s="121"/>
      <c r="T274" s="122"/>
      <c r="U274" s="191"/>
      <c r="V274" s="192"/>
      <c r="W274" s="121"/>
      <c r="X274" s="122"/>
      <c r="Y274" s="115"/>
      <c r="Z274" s="193"/>
      <c r="AA274" s="194"/>
      <c r="AB274" s="195"/>
      <c r="AC274" s="115"/>
      <c r="AD274" s="192"/>
      <c r="AE274" s="196"/>
      <c r="AF274" s="197"/>
      <c r="AG274" s="201"/>
      <c r="AH274" s="201"/>
      <c r="AI274" s="201"/>
      <c r="AJ274" s="201"/>
      <c r="AK274" s="122"/>
      <c r="AL274" s="122"/>
    </row>
    <row r="275">
      <c r="A275" s="115"/>
      <c r="B275" s="150"/>
      <c r="C275" s="89"/>
      <c r="D275" s="55"/>
      <c r="E275" s="115"/>
      <c r="F275" s="150"/>
      <c r="G275" s="188"/>
      <c r="H275" s="189"/>
      <c r="I275" s="115"/>
      <c r="J275" s="150"/>
      <c r="K275" s="89"/>
      <c r="L275" s="55"/>
      <c r="M275" s="115"/>
      <c r="N275" s="190"/>
      <c r="O275" s="89"/>
      <c r="P275" s="55"/>
      <c r="Q275" s="191"/>
      <c r="R275" s="192"/>
      <c r="S275" s="121"/>
      <c r="T275" s="122"/>
      <c r="U275" s="191"/>
      <c r="V275" s="192"/>
      <c r="W275" s="121"/>
      <c r="X275" s="122"/>
      <c r="Y275" s="115"/>
      <c r="Z275" s="193"/>
      <c r="AA275" s="194"/>
      <c r="AB275" s="195"/>
      <c r="AC275" s="115"/>
      <c r="AD275" s="192"/>
      <c r="AE275" s="196"/>
      <c r="AF275" s="197"/>
      <c r="AG275" s="201"/>
      <c r="AH275" s="201"/>
      <c r="AI275" s="201"/>
      <c r="AJ275" s="201"/>
      <c r="AK275" s="122"/>
      <c r="AL275" s="122"/>
    </row>
    <row r="276">
      <c r="A276" s="115"/>
      <c r="B276" s="150"/>
      <c r="C276" s="89"/>
      <c r="D276" s="55"/>
      <c r="E276" s="115"/>
      <c r="F276" s="150"/>
      <c r="G276" s="188"/>
      <c r="H276" s="189"/>
      <c r="I276" s="115"/>
      <c r="J276" s="150"/>
      <c r="K276" s="89"/>
      <c r="L276" s="55"/>
      <c r="M276" s="115"/>
      <c r="N276" s="190"/>
      <c r="O276" s="89"/>
      <c r="P276" s="55"/>
      <c r="Q276" s="191"/>
      <c r="R276" s="192"/>
      <c r="S276" s="121"/>
      <c r="T276" s="122"/>
      <c r="U276" s="191"/>
      <c r="V276" s="192"/>
      <c r="W276" s="121"/>
      <c r="X276" s="122"/>
      <c r="Y276" s="115"/>
      <c r="Z276" s="193"/>
      <c r="AA276" s="194"/>
      <c r="AB276" s="195"/>
      <c r="AC276" s="115"/>
      <c r="AD276" s="192"/>
      <c r="AE276" s="196"/>
      <c r="AF276" s="197"/>
      <c r="AG276" s="201"/>
      <c r="AH276" s="201"/>
      <c r="AI276" s="201"/>
      <c r="AJ276" s="201"/>
      <c r="AK276" s="122"/>
      <c r="AL276" s="122"/>
    </row>
    <row r="277">
      <c r="A277" s="115"/>
      <c r="B277" s="150"/>
      <c r="C277" s="89"/>
      <c r="D277" s="55"/>
      <c r="E277" s="115"/>
      <c r="F277" s="150"/>
      <c r="G277" s="188"/>
      <c r="H277" s="189"/>
      <c r="I277" s="115"/>
      <c r="J277" s="150"/>
      <c r="K277" s="89"/>
      <c r="L277" s="55"/>
      <c r="M277" s="115"/>
      <c r="N277" s="190"/>
      <c r="O277" s="89"/>
      <c r="P277" s="55"/>
      <c r="Q277" s="191"/>
      <c r="R277" s="192"/>
      <c r="S277" s="121"/>
      <c r="T277" s="122"/>
      <c r="U277" s="191"/>
      <c r="V277" s="192"/>
      <c r="W277" s="121"/>
      <c r="X277" s="122"/>
      <c r="Y277" s="115"/>
      <c r="Z277" s="193"/>
      <c r="AA277" s="194"/>
      <c r="AB277" s="195"/>
      <c r="AC277" s="115"/>
      <c r="AD277" s="192"/>
      <c r="AE277" s="196"/>
      <c r="AF277" s="197"/>
      <c r="AG277" s="201"/>
      <c r="AH277" s="201"/>
      <c r="AI277" s="201"/>
      <c r="AJ277" s="201"/>
      <c r="AK277" s="122"/>
      <c r="AL277" s="122"/>
    </row>
    <row r="278">
      <c r="A278" s="115"/>
      <c r="B278" s="150"/>
      <c r="C278" s="89"/>
      <c r="D278" s="55"/>
      <c r="E278" s="115"/>
      <c r="F278" s="150"/>
      <c r="G278" s="188"/>
      <c r="H278" s="189"/>
      <c r="I278" s="115"/>
      <c r="J278" s="150"/>
      <c r="K278" s="89"/>
      <c r="L278" s="55"/>
      <c r="M278" s="115"/>
      <c r="N278" s="190"/>
      <c r="O278" s="89"/>
      <c r="P278" s="55"/>
      <c r="Q278" s="191"/>
      <c r="R278" s="192"/>
      <c r="S278" s="121"/>
      <c r="T278" s="122"/>
      <c r="U278" s="191"/>
      <c r="V278" s="192"/>
      <c r="W278" s="121"/>
      <c r="X278" s="122"/>
      <c r="Y278" s="115"/>
      <c r="Z278" s="193"/>
      <c r="AA278" s="194"/>
      <c r="AB278" s="195"/>
      <c r="AC278" s="115"/>
      <c r="AD278" s="192"/>
      <c r="AE278" s="196"/>
      <c r="AF278" s="197"/>
      <c r="AG278" s="201"/>
      <c r="AH278" s="201"/>
      <c r="AI278" s="201"/>
      <c r="AJ278" s="201"/>
      <c r="AK278" s="122"/>
      <c r="AL278" s="122"/>
    </row>
    <row r="279">
      <c r="A279" s="115"/>
      <c r="B279" s="150"/>
      <c r="C279" s="89"/>
      <c r="D279" s="55"/>
      <c r="E279" s="115"/>
      <c r="F279" s="150"/>
      <c r="G279" s="188"/>
      <c r="H279" s="189"/>
      <c r="I279" s="115"/>
      <c r="J279" s="150"/>
      <c r="K279" s="89"/>
      <c r="L279" s="55"/>
      <c r="M279" s="115"/>
      <c r="N279" s="190"/>
      <c r="O279" s="89"/>
      <c r="P279" s="55"/>
      <c r="Q279" s="191"/>
      <c r="R279" s="192"/>
      <c r="S279" s="121"/>
      <c r="T279" s="122"/>
      <c r="U279" s="191"/>
      <c r="V279" s="192"/>
      <c r="W279" s="121"/>
      <c r="X279" s="122"/>
      <c r="Y279" s="115"/>
      <c r="Z279" s="193"/>
      <c r="AA279" s="194"/>
      <c r="AB279" s="195"/>
      <c r="AC279" s="115"/>
      <c r="AD279" s="192"/>
      <c r="AE279" s="196"/>
      <c r="AF279" s="197"/>
      <c r="AG279" s="201"/>
      <c r="AH279" s="201"/>
      <c r="AI279" s="201"/>
      <c r="AJ279" s="201"/>
      <c r="AK279" s="122"/>
      <c r="AL279" s="122"/>
    </row>
    <row r="280">
      <c r="A280" s="115"/>
      <c r="B280" s="150"/>
      <c r="C280" s="89"/>
      <c r="D280" s="55"/>
      <c r="E280" s="115"/>
      <c r="F280" s="150"/>
      <c r="G280" s="188"/>
      <c r="H280" s="189"/>
      <c r="I280" s="115"/>
      <c r="J280" s="150"/>
      <c r="K280" s="89"/>
      <c r="L280" s="55"/>
      <c r="M280" s="115"/>
      <c r="N280" s="190"/>
      <c r="O280" s="89"/>
      <c r="P280" s="55"/>
      <c r="Q280" s="191"/>
      <c r="R280" s="192"/>
      <c r="S280" s="121"/>
      <c r="T280" s="122"/>
      <c r="U280" s="191"/>
      <c r="V280" s="192"/>
      <c r="W280" s="121"/>
      <c r="X280" s="122"/>
      <c r="Y280" s="115"/>
      <c r="Z280" s="193"/>
      <c r="AA280" s="194"/>
      <c r="AB280" s="195"/>
      <c r="AC280" s="115"/>
      <c r="AD280" s="192"/>
      <c r="AE280" s="196"/>
      <c r="AF280" s="197"/>
      <c r="AG280" s="201"/>
      <c r="AH280" s="201"/>
      <c r="AI280" s="201"/>
      <c r="AJ280" s="201"/>
      <c r="AK280" s="122"/>
      <c r="AL280" s="122"/>
    </row>
    <row r="281">
      <c r="A281" s="115"/>
      <c r="B281" s="150"/>
      <c r="C281" s="89"/>
      <c r="D281" s="55"/>
      <c r="E281" s="115"/>
      <c r="F281" s="150"/>
      <c r="G281" s="188"/>
      <c r="H281" s="189"/>
      <c r="I281" s="115"/>
      <c r="J281" s="150"/>
      <c r="K281" s="89"/>
      <c r="L281" s="55"/>
      <c r="M281" s="115"/>
      <c r="N281" s="190"/>
      <c r="O281" s="89"/>
      <c r="P281" s="55"/>
      <c r="Q281" s="191"/>
      <c r="R281" s="192"/>
      <c r="S281" s="121"/>
      <c r="T281" s="122"/>
      <c r="U281" s="191"/>
      <c r="V281" s="192"/>
      <c r="W281" s="121"/>
      <c r="X281" s="122"/>
      <c r="Y281" s="115"/>
      <c r="Z281" s="193"/>
      <c r="AA281" s="194"/>
      <c r="AB281" s="195"/>
      <c r="AC281" s="115"/>
      <c r="AD281" s="192"/>
      <c r="AE281" s="196"/>
      <c r="AF281" s="197"/>
      <c r="AG281" s="201"/>
      <c r="AH281" s="201"/>
      <c r="AI281" s="201"/>
      <c r="AJ281" s="201"/>
      <c r="AK281" s="122"/>
      <c r="AL281" s="122"/>
    </row>
    <row r="282">
      <c r="A282" s="115"/>
      <c r="B282" s="150"/>
      <c r="C282" s="89"/>
      <c r="D282" s="55"/>
      <c r="E282" s="115"/>
      <c r="F282" s="150"/>
      <c r="G282" s="188"/>
      <c r="H282" s="189"/>
      <c r="I282" s="115"/>
      <c r="J282" s="150"/>
      <c r="K282" s="89"/>
      <c r="L282" s="55"/>
      <c r="M282" s="115"/>
      <c r="N282" s="190"/>
      <c r="O282" s="89"/>
      <c r="P282" s="55"/>
      <c r="Q282" s="191"/>
      <c r="R282" s="192"/>
      <c r="S282" s="121"/>
      <c r="T282" s="122"/>
      <c r="U282" s="191"/>
      <c r="V282" s="192"/>
      <c r="W282" s="121"/>
      <c r="X282" s="122"/>
      <c r="Y282" s="115"/>
      <c r="Z282" s="193"/>
      <c r="AA282" s="194"/>
      <c r="AB282" s="195"/>
      <c r="AC282" s="115"/>
      <c r="AD282" s="192"/>
      <c r="AE282" s="196"/>
      <c r="AF282" s="197"/>
      <c r="AG282" s="201"/>
      <c r="AH282" s="201"/>
      <c r="AI282" s="201"/>
      <c r="AJ282" s="201"/>
      <c r="AK282" s="122"/>
      <c r="AL282" s="122"/>
    </row>
    <row r="283">
      <c r="A283" s="115"/>
      <c r="B283" s="150"/>
      <c r="C283" s="89"/>
      <c r="D283" s="55"/>
      <c r="E283" s="115"/>
      <c r="F283" s="150"/>
      <c r="G283" s="188"/>
      <c r="H283" s="189"/>
      <c r="I283" s="115"/>
      <c r="J283" s="150"/>
      <c r="K283" s="89"/>
      <c r="L283" s="55"/>
      <c r="M283" s="115"/>
      <c r="N283" s="190"/>
      <c r="O283" s="89"/>
      <c r="P283" s="55"/>
      <c r="Q283" s="191"/>
      <c r="R283" s="192"/>
      <c r="S283" s="121"/>
      <c r="T283" s="122"/>
      <c r="U283" s="191"/>
      <c r="V283" s="192"/>
      <c r="W283" s="121"/>
      <c r="X283" s="122"/>
      <c r="Y283" s="115"/>
      <c r="Z283" s="193"/>
      <c r="AA283" s="194"/>
      <c r="AB283" s="195"/>
      <c r="AC283" s="115"/>
      <c r="AD283" s="192"/>
      <c r="AE283" s="196"/>
      <c r="AF283" s="197"/>
      <c r="AG283" s="201"/>
      <c r="AH283" s="201"/>
      <c r="AI283" s="201"/>
      <c r="AJ283" s="201"/>
      <c r="AK283" s="122"/>
      <c r="AL283" s="122"/>
    </row>
    <row r="284">
      <c r="A284" s="115"/>
      <c r="B284" s="150"/>
      <c r="C284" s="89"/>
      <c r="D284" s="55"/>
      <c r="E284" s="115"/>
      <c r="F284" s="150"/>
      <c r="G284" s="188"/>
      <c r="H284" s="189"/>
      <c r="I284" s="115"/>
      <c r="J284" s="150"/>
      <c r="K284" s="89"/>
      <c r="L284" s="55"/>
      <c r="M284" s="115"/>
      <c r="N284" s="190"/>
      <c r="O284" s="89"/>
      <c r="P284" s="55"/>
      <c r="Q284" s="191"/>
      <c r="R284" s="192"/>
      <c r="S284" s="121"/>
      <c r="T284" s="122"/>
      <c r="U284" s="191"/>
      <c r="V284" s="192"/>
      <c r="W284" s="121"/>
      <c r="X284" s="122"/>
      <c r="Y284" s="115"/>
      <c r="Z284" s="193"/>
      <c r="AA284" s="194"/>
      <c r="AB284" s="195"/>
      <c r="AC284" s="115"/>
      <c r="AD284" s="192"/>
      <c r="AE284" s="196"/>
      <c r="AF284" s="197"/>
      <c r="AG284" s="201"/>
      <c r="AH284" s="201"/>
      <c r="AI284" s="201"/>
      <c r="AJ284" s="201"/>
      <c r="AK284" s="122"/>
      <c r="AL284" s="122"/>
    </row>
    <row r="285">
      <c r="A285" s="115"/>
      <c r="B285" s="150"/>
      <c r="C285" s="89"/>
      <c r="D285" s="55"/>
      <c r="E285" s="115"/>
      <c r="F285" s="150"/>
      <c r="G285" s="188"/>
      <c r="H285" s="189"/>
      <c r="I285" s="115"/>
      <c r="J285" s="150"/>
      <c r="K285" s="89"/>
      <c r="L285" s="55"/>
      <c r="M285" s="115"/>
      <c r="N285" s="190"/>
      <c r="O285" s="89"/>
      <c r="P285" s="55"/>
      <c r="Q285" s="191"/>
      <c r="R285" s="192"/>
      <c r="S285" s="121"/>
      <c r="T285" s="122"/>
      <c r="U285" s="191"/>
      <c r="V285" s="192"/>
      <c r="W285" s="121"/>
      <c r="X285" s="122"/>
      <c r="Y285" s="115"/>
      <c r="Z285" s="193"/>
      <c r="AA285" s="194"/>
      <c r="AB285" s="195"/>
      <c r="AC285" s="115"/>
      <c r="AD285" s="192"/>
      <c r="AE285" s="196"/>
      <c r="AF285" s="197"/>
      <c r="AG285" s="201"/>
      <c r="AH285" s="201"/>
      <c r="AI285" s="201"/>
      <c r="AJ285" s="201"/>
      <c r="AK285" s="122"/>
      <c r="AL285" s="122"/>
    </row>
    <row r="286">
      <c r="A286" s="115"/>
      <c r="B286" s="150"/>
      <c r="C286" s="89"/>
      <c r="D286" s="55"/>
      <c r="E286" s="115"/>
      <c r="F286" s="150"/>
      <c r="G286" s="188"/>
      <c r="H286" s="189"/>
      <c r="I286" s="115"/>
      <c r="J286" s="150"/>
      <c r="K286" s="89"/>
      <c r="L286" s="55"/>
      <c r="M286" s="115"/>
      <c r="N286" s="190"/>
      <c r="O286" s="89"/>
      <c r="P286" s="55"/>
      <c r="Q286" s="191"/>
      <c r="R286" s="192"/>
      <c r="S286" s="121"/>
      <c r="T286" s="122"/>
      <c r="U286" s="191"/>
      <c r="V286" s="192"/>
      <c r="W286" s="121"/>
      <c r="X286" s="122"/>
      <c r="Y286" s="115"/>
      <c r="Z286" s="193"/>
      <c r="AA286" s="194"/>
      <c r="AB286" s="195"/>
      <c r="AC286" s="115"/>
      <c r="AD286" s="192"/>
      <c r="AE286" s="196"/>
      <c r="AF286" s="197"/>
      <c r="AG286" s="201"/>
      <c r="AH286" s="201"/>
      <c r="AI286" s="201"/>
      <c r="AJ286" s="201"/>
      <c r="AK286" s="122"/>
      <c r="AL286" s="122"/>
    </row>
    <row r="287">
      <c r="A287" s="115"/>
      <c r="B287" s="150"/>
      <c r="C287" s="89"/>
      <c r="D287" s="55"/>
      <c r="E287" s="115"/>
      <c r="F287" s="150"/>
      <c r="G287" s="188"/>
      <c r="H287" s="189"/>
      <c r="I287" s="115"/>
      <c r="J287" s="150"/>
      <c r="K287" s="89"/>
      <c r="L287" s="55"/>
      <c r="M287" s="115"/>
      <c r="N287" s="190"/>
      <c r="O287" s="89"/>
      <c r="P287" s="55"/>
      <c r="Q287" s="191"/>
      <c r="R287" s="192"/>
      <c r="S287" s="121"/>
      <c r="T287" s="122"/>
      <c r="U287" s="191"/>
      <c r="V287" s="192"/>
      <c r="W287" s="121"/>
      <c r="X287" s="122"/>
      <c r="Y287" s="115"/>
      <c r="Z287" s="193"/>
      <c r="AA287" s="194"/>
      <c r="AB287" s="195"/>
      <c r="AC287" s="115"/>
      <c r="AD287" s="192"/>
      <c r="AE287" s="196"/>
      <c r="AF287" s="197"/>
      <c r="AG287" s="201"/>
      <c r="AH287" s="201"/>
      <c r="AI287" s="201"/>
      <c r="AJ287" s="201"/>
      <c r="AK287" s="122"/>
      <c r="AL287" s="122"/>
    </row>
    <row r="288">
      <c r="A288" s="115"/>
      <c r="B288" s="150"/>
      <c r="C288" s="89"/>
      <c r="D288" s="55"/>
      <c r="E288" s="115"/>
      <c r="F288" s="150"/>
      <c r="G288" s="188"/>
      <c r="H288" s="189"/>
      <c r="I288" s="115"/>
      <c r="J288" s="150"/>
      <c r="K288" s="89"/>
      <c r="L288" s="55"/>
      <c r="M288" s="115"/>
      <c r="N288" s="190"/>
      <c r="O288" s="89"/>
      <c r="P288" s="55"/>
      <c r="Q288" s="191"/>
      <c r="R288" s="192"/>
      <c r="S288" s="121"/>
      <c r="T288" s="122"/>
      <c r="U288" s="191"/>
      <c r="V288" s="192"/>
      <c r="W288" s="121"/>
      <c r="X288" s="122"/>
      <c r="Y288" s="115"/>
      <c r="Z288" s="193"/>
      <c r="AA288" s="194"/>
      <c r="AB288" s="195"/>
      <c r="AC288" s="115"/>
      <c r="AD288" s="192"/>
      <c r="AE288" s="196"/>
      <c r="AF288" s="197"/>
      <c r="AG288" s="201"/>
      <c r="AH288" s="201"/>
      <c r="AI288" s="201"/>
      <c r="AJ288" s="201"/>
      <c r="AK288" s="122"/>
      <c r="AL288" s="122"/>
    </row>
    <row r="289">
      <c r="A289" s="115"/>
      <c r="B289" s="150"/>
      <c r="C289" s="89"/>
      <c r="D289" s="55"/>
      <c r="E289" s="115"/>
      <c r="F289" s="150"/>
      <c r="G289" s="188"/>
      <c r="H289" s="189"/>
      <c r="I289" s="115"/>
      <c r="J289" s="150"/>
      <c r="K289" s="89"/>
      <c r="L289" s="55"/>
      <c r="M289" s="115"/>
      <c r="N289" s="190"/>
      <c r="O289" s="89"/>
      <c r="P289" s="55"/>
      <c r="Q289" s="191"/>
      <c r="R289" s="192"/>
      <c r="S289" s="121"/>
      <c r="T289" s="122"/>
      <c r="U289" s="191"/>
      <c r="V289" s="192"/>
      <c r="W289" s="121"/>
      <c r="X289" s="122"/>
      <c r="Y289" s="115"/>
      <c r="Z289" s="193"/>
      <c r="AA289" s="194"/>
      <c r="AB289" s="195"/>
      <c r="AC289" s="115"/>
      <c r="AD289" s="192"/>
      <c r="AE289" s="196"/>
      <c r="AF289" s="197"/>
      <c r="AG289" s="201"/>
      <c r="AH289" s="201"/>
      <c r="AI289" s="201"/>
      <c r="AJ289" s="201"/>
      <c r="AK289" s="122"/>
      <c r="AL289" s="122"/>
    </row>
    <row r="290">
      <c r="A290" s="115"/>
      <c r="B290" s="150"/>
      <c r="C290" s="89"/>
      <c r="D290" s="55"/>
      <c r="E290" s="115"/>
      <c r="F290" s="150"/>
      <c r="G290" s="188"/>
      <c r="H290" s="189"/>
      <c r="I290" s="115"/>
      <c r="J290" s="150"/>
      <c r="K290" s="89"/>
      <c r="L290" s="55"/>
      <c r="M290" s="115"/>
      <c r="N290" s="190"/>
      <c r="O290" s="89"/>
      <c r="P290" s="55"/>
      <c r="Q290" s="191"/>
      <c r="R290" s="192"/>
      <c r="S290" s="121"/>
      <c r="T290" s="122"/>
      <c r="U290" s="191"/>
      <c r="V290" s="192"/>
      <c r="W290" s="121"/>
      <c r="X290" s="122"/>
      <c r="Y290" s="115"/>
      <c r="Z290" s="193"/>
      <c r="AA290" s="194"/>
      <c r="AB290" s="195"/>
      <c r="AC290" s="115"/>
      <c r="AD290" s="192"/>
      <c r="AE290" s="196"/>
      <c r="AF290" s="197"/>
      <c r="AG290" s="201"/>
      <c r="AH290" s="201"/>
      <c r="AI290" s="201"/>
      <c r="AJ290" s="201"/>
      <c r="AK290" s="122"/>
      <c r="AL290" s="122"/>
    </row>
    <row r="291">
      <c r="A291" s="115"/>
      <c r="B291" s="150"/>
      <c r="C291" s="89"/>
      <c r="D291" s="55"/>
      <c r="E291" s="115"/>
      <c r="F291" s="150"/>
      <c r="G291" s="188"/>
      <c r="H291" s="189"/>
      <c r="I291" s="115"/>
      <c r="J291" s="150"/>
      <c r="K291" s="89"/>
      <c r="L291" s="55"/>
      <c r="M291" s="115"/>
      <c r="N291" s="190"/>
      <c r="O291" s="89"/>
      <c r="P291" s="55"/>
      <c r="Q291" s="191"/>
      <c r="R291" s="192"/>
      <c r="S291" s="121"/>
      <c r="T291" s="122"/>
      <c r="U291" s="191"/>
      <c r="V291" s="192"/>
      <c r="W291" s="121"/>
      <c r="X291" s="122"/>
      <c r="Y291" s="115"/>
      <c r="Z291" s="193"/>
      <c r="AA291" s="194"/>
      <c r="AB291" s="195"/>
      <c r="AC291" s="115"/>
      <c r="AD291" s="192"/>
      <c r="AE291" s="196"/>
      <c r="AF291" s="197"/>
      <c r="AG291" s="201"/>
      <c r="AH291" s="201"/>
      <c r="AI291" s="201"/>
      <c r="AJ291" s="201"/>
      <c r="AK291" s="122"/>
      <c r="AL291" s="122"/>
    </row>
    <row r="292">
      <c r="A292" s="115"/>
      <c r="B292" s="150"/>
      <c r="C292" s="89"/>
      <c r="D292" s="55"/>
      <c r="E292" s="115"/>
      <c r="F292" s="150"/>
      <c r="G292" s="188"/>
      <c r="H292" s="189"/>
      <c r="I292" s="115"/>
      <c r="J292" s="150"/>
      <c r="K292" s="89"/>
      <c r="L292" s="55"/>
      <c r="M292" s="115"/>
      <c r="N292" s="190"/>
      <c r="O292" s="89"/>
      <c r="P292" s="55"/>
      <c r="Q292" s="191"/>
      <c r="R292" s="192"/>
      <c r="S292" s="121"/>
      <c r="T292" s="122"/>
      <c r="U292" s="191"/>
      <c r="V292" s="192"/>
      <c r="W292" s="121"/>
      <c r="X292" s="122"/>
      <c r="Y292" s="115"/>
      <c r="Z292" s="193"/>
      <c r="AA292" s="194"/>
      <c r="AB292" s="195"/>
      <c r="AC292" s="115"/>
      <c r="AD292" s="192"/>
      <c r="AE292" s="196"/>
      <c r="AF292" s="197"/>
      <c r="AG292" s="201"/>
      <c r="AH292" s="201"/>
      <c r="AI292" s="201"/>
      <c r="AJ292" s="201"/>
      <c r="AK292" s="122"/>
      <c r="AL292" s="122"/>
    </row>
    <row r="293">
      <c r="A293" s="115"/>
      <c r="B293" s="150"/>
      <c r="C293" s="89"/>
      <c r="D293" s="55"/>
      <c r="E293" s="115"/>
      <c r="F293" s="150"/>
      <c r="G293" s="188"/>
      <c r="H293" s="189"/>
      <c r="I293" s="115"/>
      <c r="J293" s="150"/>
      <c r="K293" s="89"/>
      <c r="L293" s="55"/>
      <c r="M293" s="115"/>
      <c r="N293" s="190"/>
      <c r="O293" s="89"/>
      <c r="P293" s="55"/>
      <c r="Q293" s="191"/>
      <c r="R293" s="192"/>
      <c r="S293" s="121"/>
      <c r="T293" s="122"/>
      <c r="U293" s="191"/>
      <c r="V293" s="192"/>
      <c r="W293" s="121"/>
      <c r="X293" s="122"/>
      <c r="Y293" s="115"/>
      <c r="Z293" s="193"/>
      <c r="AA293" s="194"/>
      <c r="AB293" s="195"/>
      <c r="AC293" s="115"/>
      <c r="AD293" s="192"/>
      <c r="AE293" s="196"/>
      <c r="AF293" s="197"/>
      <c r="AG293" s="201"/>
      <c r="AH293" s="201"/>
      <c r="AI293" s="201"/>
      <c r="AJ293" s="201"/>
      <c r="AK293" s="122"/>
      <c r="AL293" s="122"/>
    </row>
    <row r="294">
      <c r="A294" s="115"/>
      <c r="B294" s="150"/>
      <c r="C294" s="89"/>
      <c r="D294" s="55"/>
      <c r="E294" s="115"/>
      <c r="F294" s="150"/>
      <c r="G294" s="188"/>
      <c r="H294" s="189"/>
      <c r="I294" s="115"/>
      <c r="J294" s="150"/>
      <c r="K294" s="89"/>
      <c r="L294" s="55"/>
      <c r="M294" s="115"/>
      <c r="N294" s="190"/>
      <c r="O294" s="89"/>
      <c r="P294" s="55"/>
      <c r="Q294" s="191"/>
      <c r="R294" s="192"/>
      <c r="S294" s="121"/>
      <c r="T294" s="122"/>
      <c r="U294" s="191"/>
      <c r="V294" s="192"/>
      <c r="W294" s="121"/>
      <c r="X294" s="122"/>
      <c r="Y294" s="115"/>
      <c r="Z294" s="193"/>
      <c r="AA294" s="194"/>
      <c r="AB294" s="195"/>
      <c r="AC294" s="115"/>
      <c r="AD294" s="192"/>
      <c r="AE294" s="196"/>
      <c r="AF294" s="197"/>
      <c r="AG294" s="201"/>
      <c r="AH294" s="201"/>
      <c r="AI294" s="201"/>
      <c r="AJ294" s="201"/>
      <c r="AK294" s="122"/>
      <c r="AL294" s="122"/>
    </row>
    <row r="295">
      <c r="A295" s="115"/>
      <c r="B295" s="150"/>
      <c r="C295" s="89"/>
      <c r="D295" s="55"/>
      <c r="E295" s="115"/>
      <c r="F295" s="150"/>
      <c r="G295" s="188"/>
      <c r="H295" s="189"/>
      <c r="I295" s="115"/>
      <c r="J295" s="150"/>
      <c r="K295" s="89"/>
      <c r="L295" s="55"/>
      <c r="M295" s="115"/>
      <c r="N295" s="190"/>
      <c r="O295" s="89"/>
      <c r="P295" s="55"/>
      <c r="Q295" s="191"/>
      <c r="R295" s="192"/>
      <c r="S295" s="121"/>
      <c r="T295" s="122"/>
      <c r="U295" s="191"/>
      <c r="V295" s="192"/>
      <c r="W295" s="121"/>
      <c r="X295" s="122"/>
      <c r="Y295" s="115"/>
      <c r="Z295" s="193"/>
      <c r="AA295" s="194"/>
      <c r="AB295" s="195"/>
      <c r="AC295" s="115"/>
      <c r="AD295" s="192"/>
      <c r="AE295" s="196"/>
      <c r="AF295" s="197"/>
      <c r="AG295" s="201"/>
      <c r="AH295" s="201"/>
      <c r="AI295" s="201"/>
      <c r="AJ295" s="201"/>
      <c r="AK295" s="122"/>
      <c r="AL295" s="122"/>
    </row>
    <row r="296">
      <c r="A296" s="115"/>
      <c r="B296" s="150"/>
      <c r="C296" s="89"/>
      <c r="D296" s="55"/>
      <c r="E296" s="115"/>
      <c r="F296" s="150"/>
      <c r="G296" s="188"/>
      <c r="H296" s="189"/>
      <c r="I296" s="115"/>
      <c r="J296" s="150"/>
      <c r="K296" s="89"/>
      <c r="L296" s="55"/>
      <c r="M296" s="115"/>
      <c r="N296" s="190"/>
      <c r="O296" s="89"/>
      <c r="P296" s="55"/>
      <c r="Q296" s="191"/>
      <c r="R296" s="192"/>
      <c r="S296" s="121"/>
      <c r="T296" s="122"/>
      <c r="U296" s="191"/>
      <c r="V296" s="192"/>
      <c r="W296" s="121"/>
      <c r="X296" s="122"/>
      <c r="Y296" s="115"/>
      <c r="Z296" s="193"/>
      <c r="AA296" s="194"/>
      <c r="AB296" s="195"/>
      <c r="AC296" s="115"/>
      <c r="AD296" s="192"/>
      <c r="AE296" s="196"/>
      <c r="AF296" s="197"/>
      <c r="AG296" s="201"/>
      <c r="AH296" s="201"/>
      <c r="AI296" s="201"/>
      <c r="AJ296" s="201"/>
      <c r="AK296" s="122"/>
      <c r="AL296" s="122"/>
    </row>
    <row r="297">
      <c r="A297" s="115"/>
      <c r="B297" s="150"/>
      <c r="C297" s="89"/>
      <c r="D297" s="55"/>
      <c r="E297" s="115"/>
      <c r="F297" s="150"/>
      <c r="G297" s="188"/>
      <c r="H297" s="189"/>
      <c r="I297" s="115"/>
      <c r="J297" s="150"/>
      <c r="K297" s="89"/>
      <c r="L297" s="55"/>
      <c r="M297" s="115"/>
      <c r="N297" s="190"/>
      <c r="O297" s="89"/>
      <c r="P297" s="55"/>
      <c r="Q297" s="191"/>
      <c r="R297" s="192"/>
      <c r="S297" s="121"/>
      <c r="T297" s="122"/>
      <c r="U297" s="191"/>
      <c r="V297" s="192"/>
      <c r="W297" s="121"/>
      <c r="X297" s="122"/>
      <c r="Y297" s="115"/>
      <c r="Z297" s="193"/>
      <c r="AA297" s="194"/>
      <c r="AB297" s="195"/>
      <c r="AC297" s="115"/>
      <c r="AD297" s="192"/>
      <c r="AE297" s="196"/>
      <c r="AF297" s="197"/>
      <c r="AG297" s="201"/>
      <c r="AH297" s="201"/>
      <c r="AI297" s="201"/>
      <c r="AJ297" s="201"/>
      <c r="AK297" s="122"/>
      <c r="AL297" s="122"/>
    </row>
    <row r="298">
      <c r="A298" s="115"/>
      <c r="B298" s="150"/>
      <c r="C298" s="89"/>
      <c r="D298" s="55"/>
      <c r="E298" s="115"/>
      <c r="F298" s="150"/>
      <c r="G298" s="188"/>
      <c r="H298" s="189"/>
      <c r="I298" s="115"/>
      <c r="J298" s="150"/>
      <c r="K298" s="89"/>
      <c r="L298" s="55"/>
      <c r="M298" s="115"/>
      <c r="N298" s="190"/>
      <c r="O298" s="89"/>
      <c r="P298" s="55"/>
      <c r="Q298" s="191"/>
      <c r="R298" s="192"/>
      <c r="S298" s="121"/>
      <c r="T298" s="122"/>
      <c r="U298" s="191"/>
      <c r="V298" s="192"/>
      <c r="W298" s="121"/>
      <c r="X298" s="122"/>
      <c r="Y298" s="115"/>
      <c r="Z298" s="193"/>
      <c r="AA298" s="194"/>
      <c r="AB298" s="195"/>
      <c r="AC298" s="115"/>
      <c r="AD298" s="192"/>
      <c r="AE298" s="196"/>
      <c r="AF298" s="197"/>
      <c r="AG298" s="201"/>
      <c r="AH298" s="201"/>
      <c r="AI298" s="201"/>
      <c r="AJ298" s="201"/>
      <c r="AK298" s="122"/>
      <c r="AL298" s="122"/>
    </row>
    <row r="299">
      <c r="A299" s="115"/>
      <c r="B299" s="150"/>
      <c r="C299" s="89"/>
      <c r="D299" s="55"/>
      <c r="E299" s="115"/>
      <c r="F299" s="150"/>
      <c r="G299" s="188"/>
      <c r="H299" s="189"/>
      <c r="I299" s="115"/>
      <c r="J299" s="150"/>
      <c r="K299" s="89"/>
      <c r="L299" s="55"/>
      <c r="M299" s="115"/>
      <c r="N299" s="190"/>
      <c r="O299" s="89"/>
      <c r="P299" s="55"/>
      <c r="Q299" s="191"/>
      <c r="R299" s="192"/>
      <c r="S299" s="121"/>
      <c r="T299" s="122"/>
      <c r="U299" s="191"/>
      <c r="V299" s="192"/>
      <c r="W299" s="121"/>
      <c r="X299" s="122"/>
      <c r="Y299" s="115"/>
      <c r="Z299" s="193"/>
      <c r="AA299" s="194"/>
      <c r="AB299" s="195"/>
      <c r="AC299" s="115"/>
      <c r="AD299" s="192"/>
      <c r="AE299" s="196"/>
      <c r="AF299" s="197"/>
      <c r="AG299" s="201"/>
      <c r="AH299" s="201"/>
      <c r="AI299" s="201"/>
      <c r="AJ299" s="201"/>
      <c r="AK299" s="122"/>
      <c r="AL299" s="122"/>
    </row>
    <row r="300">
      <c r="A300" s="115"/>
      <c r="B300" s="150"/>
      <c r="C300" s="89"/>
      <c r="D300" s="55"/>
      <c r="E300" s="115"/>
      <c r="F300" s="150"/>
      <c r="G300" s="188"/>
      <c r="H300" s="189"/>
      <c r="I300" s="115"/>
      <c r="J300" s="150"/>
      <c r="K300" s="89"/>
      <c r="L300" s="55"/>
      <c r="M300" s="115"/>
      <c r="N300" s="190"/>
      <c r="O300" s="89"/>
      <c r="P300" s="55"/>
      <c r="Q300" s="191"/>
      <c r="R300" s="192"/>
      <c r="S300" s="121"/>
      <c r="T300" s="122"/>
      <c r="U300" s="191"/>
      <c r="V300" s="192"/>
      <c r="W300" s="121"/>
      <c r="X300" s="122"/>
      <c r="Y300" s="115"/>
      <c r="Z300" s="193"/>
      <c r="AA300" s="194"/>
      <c r="AB300" s="195"/>
      <c r="AC300" s="115"/>
      <c r="AD300" s="192"/>
      <c r="AE300" s="196"/>
      <c r="AF300" s="197"/>
      <c r="AG300" s="201"/>
      <c r="AH300" s="201"/>
      <c r="AI300" s="201"/>
      <c r="AJ300" s="201"/>
      <c r="AK300" s="122"/>
      <c r="AL300" s="122"/>
    </row>
    <row r="301">
      <c r="A301" s="115"/>
      <c r="B301" s="150"/>
      <c r="C301" s="89"/>
      <c r="D301" s="55"/>
      <c r="E301" s="115"/>
      <c r="F301" s="150"/>
      <c r="G301" s="188"/>
      <c r="H301" s="189"/>
      <c r="I301" s="115"/>
      <c r="J301" s="150"/>
      <c r="K301" s="89"/>
      <c r="L301" s="55"/>
      <c r="M301" s="115"/>
      <c r="N301" s="190"/>
      <c r="O301" s="89"/>
      <c r="P301" s="55"/>
      <c r="Q301" s="191"/>
      <c r="R301" s="192"/>
      <c r="S301" s="121"/>
      <c r="T301" s="122"/>
      <c r="U301" s="191"/>
      <c r="V301" s="192"/>
      <c r="W301" s="121"/>
      <c r="X301" s="122"/>
      <c r="Y301" s="115"/>
      <c r="Z301" s="193"/>
      <c r="AA301" s="194"/>
      <c r="AB301" s="195"/>
      <c r="AC301" s="115"/>
      <c r="AD301" s="192"/>
      <c r="AE301" s="196"/>
      <c r="AF301" s="197"/>
      <c r="AG301" s="201"/>
      <c r="AH301" s="201"/>
      <c r="AI301" s="201"/>
      <c r="AJ301" s="201"/>
      <c r="AK301" s="122"/>
      <c r="AL301" s="122"/>
    </row>
    <row r="302">
      <c r="A302" s="115"/>
      <c r="B302" s="150"/>
      <c r="C302" s="89"/>
      <c r="D302" s="55"/>
      <c r="E302" s="115"/>
      <c r="F302" s="150"/>
      <c r="G302" s="188"/>
      <c r="H302" s="189"/>
      <c r="I302" s="115"/>
      <c r="J302" s="150"/>
      <c r="K302" s="89"/>
      <c r="L302" s="55"/>
      <c r="M302" s="115"/>
      <c r="N302" s="190"/>
      <c r="O302" s="89"/>
      <c r="P302" s="55"/>
      <c r="Q302" s="191"/>
      <c r="R302" s="192"/>
      <c r="S302" s="121"/>
      <c r="T302" s="122"/>
      <c r="U302" s="191"/>
      <c r="V302" s="192"/>
      <c r="W302" s="121"/>
      <c r="X302" s="122"/>
      <c r="Y302" s="115"/>
      <c r="Z302" s="193"/>
      <c r="AA302" s="194"/>
      <c r="AB302" s="195"/>
      <c r="AC302" s="115"/>
      <c r="AD302" s="192"/>
      <c r="AE302" s="196"/>
      <c r="AF302" s="197"/>
      <c r="AG302" s="201"/>
      <c r="AH302" s="201"/>
      <c r="AI302" s="201"/>
      <c r="AJ302" s="201"/>
      <c r="AK302" s="122"/>
      <c r="AL302" s="122"/>
    </row>
    <row r="303">
      <c r="A303" s="115"/>
      <c r="B303" s="150"/>
      <c r="C303" s="89"/>
      <c r="D303" s="55"/>
      <c r="E303" s="115"/>
      <c r="F303" s="150"/>
      <c r="G303" s="188"/>
      <c r="H303" s="189"/>
      <c r="I303" s="115"/>
      <c r="J303" s="150"/>
      <c r="K303" s="89"/>
      <c r="L303" s="55"/>
      <c r="M303" s="115"/>
      <c r="N303" s="190"/>
      <c r="O303" s="89"/>
      <c r="P303" s="55"/>
      <c r="Q303" s="191"/>
      <c r="R303" s="192"/>
      <c r="S303" s="121"/>
      <c r="T303" s="122"/>
      <c r="U303" s="191"/>
      <c r="V303" s="192"/>
      <c r="W303" s="121"/>
      <c r="X303" s="122"/>
      <c r="Y303" s="115"/>
      <c r="Z303" s="193"/>
      <c r="AA303" s="194"/>
      <c r="AB303" s="195"/>
      <c r="AC303" s="115"/>
      <c r="AD303" s="192"/>
      <c r="AE303" s="196"/>
      <c r="AF303" s="197"/>
      <c r="AG303" s="201"/>
      <c r="AH303" s="201"/>
      <c r="AI303" s="201"/>
      <c r="AJ303" s="201"/>
      <c r="AK303" s="122"/>
      <c r="AL303" s="122"/>
    </row>
    <row r="304">
      <c r="A304" s="115"/>
      <c r="B304" s="150"/>
      <c r="C304" s="89"/>
      <c r="D304" s="55"/>
      <c r="E304" s="115"/>
      <c r="F304" s="150"/>
      <c r="G304" s="188"/>
      <c r="H304" s="189"/>
      <c r="I304" s="115"/>
      <c r="J304" s="150"/>
      <c r="K304" s="89"/>
      <c r="L304" s="55"/>
      <c r="M304" s="115"/>
      <c r="N304" s="190"/>
      <c r="O304" s="89"/>
      <c r="P304" s="55"/>
      <c r="Q304" s="191"/>
      <c r="R304" s="192"/>
      <c r="S304" s="121"/>
      <c r="T304" s="122"/>
      <c r="U304" s="191"/>
      <c r="V304" s="192"/>
      <c r="W304" s="121"/>
      <c r="X304" s="122"/>
      <c r="Y304" s="115"/>
      <c r="Z304" s="193"/>
      <c r="AA304" s="194"/>
      <c r="AB304" s="195"/>
      <c r="AC304" s="115"/>
      <c r="AD304" s="192"/>
      <c r="AE304" s="196"/>
      <c r="AF304" s="197"/>
      <c r="AG304" s="201"/>
      <c r="AH304" s="201"/>
      <c r="AI304" s="201"/>
      <c r="AJ304" s="201"/>
      <c r="AK304" s="122"/>
      <c r="AL304" s="122"/>
    </row>
    <row r="305">
      <c r="A305" s="115"/>
      <c r="B305" s="150"/>
      <c r="C305" s="89"/>
      <c r="D305" s="55"/>
      <c r="E305" s="115"/>
      <c r="F305" s="150"/>
      <c r="G305" s="188"/>
      <c r="H305" s="189"/>
      <c r="I305" s="115"/>
      <c r="J305" s="150"/>
      <c r="K305" s="89"/>
      <c r="L305" s="55"/>
      <c r="M305" s="115"/>
      <c r="N305" s="190"/>
      <c r="O305" s="89"/>
      <c r="P305" s="55"/>
      <c r="Q305" s="191"/>
      <c r="R305" s="192"/>
      <c r="S305" s="121"/>
      <c r="T305" s="122"/>
      <c r="U305" s="191"/>
      <c r="V305" s="192"/>
      <c r="W305" s="121"/>
      <c r="X305" s="122"/>
      <c r="Y305" s="115"/>
      <c r="Z305" s="193"/>
      <c r="AA305" s="194"/>
      <c r="AB305" s="195"/>
      <c r="AC305" s="115"/>
      <c r="AD305" s="192"/>
      <c r="AE305" s="196"/>
      <c r="AF305" s="197"/>
      <c r="AG305" s="201"/>
      <c r="AH305" s="201"/>
      <c r="AI305" s="201"/>
      <c r="AJ305" s="201"/>
      <c r="AK305" s="122"/>
      <c r="AL305" s="122"/>
    </row>
    <row r="306">
      <c r="A306" s="115"/>
      <c r="B306" s="150"/>
      <c r="C306" s="89"/>
      <c r="D306" s="55"/>
      <c r="E306" s="115"/>
      <c r="F306" s="150"/>
      <c r="G306" s="188"/>
      <c r="H306" s="189"/>
      <c r="I306" s="115"/>
      <c r="J306" s="150"/>
      <c r="K306" s="89"/>
      <c r="L306" s="55"/>
      <c r="M306" s="115"/>
      <c r="N306" s="190"/>
      <c r="O306" s="89"/>
      <c r="P306" s="55"/>
      <c r="Q306" s="191"/>
      <c r="R306" s="192"/>
      <c r="S306" s="121"/>
      <c r="T306" s="122"/>
      <c r="U306" s="191"/>
      <c r="V306" s="192"/>
      <c r="W306" s="121"/>
      <c r="X306" s="122"/>
      <c r="Y306" s="115"/>
      <c r="Z306" s="193"/>
      <c r="AA306" s="194"/>
      <c r="AB306" s="195"/>
      <c r="AC306" s="115"/>
      <c r="AD306" s="192"/>
      <c r="AE306" s="196"/>
      <c r="AF306" s="197"/>
      <c r="AG306" s="201"/>
      <c r="AH306" s="201"/>
      <c r="AI306" s="201"/>
      <c r="AJ306" s="201"/>
      <c r="AK306" s="122"/>
      <c r="AL306" s="122"/>
    </row>
    <row r="307">
      <c r="A307" s="115"/>
      <c r="B307" s="150"/>
      <c r="C307" s="89"/>
      <c r="D307" s="55"/>
      <c r="E307" s="115"/>
      <c r="F307" s="150"/>
      <c r="G307" s="188"/>
      <c r="H307" s="189"/>
      <c r="I307" s="115"/>
      <c r="J307" s="150"/>
      <c r="K307" s="89"/>
      <c r="L307" s="55"/>
      <c r="M307" s="115"/>
      <c r="N307" s="190"/>
      <c r="O307" s="89"/>
      <c r="P307" s="55"/>
      <c r="Q307" s="191"/>
      <c r="R307" s="192"/>
      <c r="S307" s="121"/>
      <c r="T307" s="122"/>
      <c r="U307" s="191"/>
      <c r="V307" s="192"/>
      <c r="W307" s="121"/>
      <c r="X307" s="122"/>
      <c r="Y307" s="115"/>
      <c r="Z307" s="193"/>
      <c r="AA307" s="194"/>
      <c r="AB307" s="195"/>
      <c r="AC307" s="115"/>
      <c r="AD307" s="192"/>
      <c r="AE307" s="196"/>
      <c r="AF307" s="197"/>
      <c r="AG307" s="201"/>
      <c r="AH307" s="201"/>
      <c r="AI307" s="201"/>
      <c r="AJ307" s="201"/>
      <c r="AK307" s="122"/>
      <c r="AL307" s="122"/>
    </row>
    <row r="308">
      <c r="A308" s="115"/>
      <c r="B308" s="150"/>
      <c r="C308" s="89"/>
      <c r="D308" s="55"/>
      <c r="E308" s="115"/>
      <c r="F308" s="150"/>
      <c r="G308" s="188"/>
      <c r="H308" s="189"/>
      <c r="I308" s="115"/>
      <c r="J308" s="150"/>
      <c r="K308" s="89"/>
      <c r="L308" s="55"/>
      <c r="M308" s="115"/>
      <c r="N308" s="190"/>
      <c r="O308" s="89"/>
      <c r="P308" s="55"/>
      <c r="Q308" s="191"/>
      <c r="R308" s="192"/>
      <c r="S308" s="121"/>
      <c r="T308" s="122"/>
      <c r="U308" s="191"/>
      <c r="V308" s="192"/>
      <c r="W308" s="121"/>
      <c r="X308" s="122"/>
      <c r="Y308" s="115"/>
      <c r="Z308" s="193"/>
      <c r="AA308" s="194"/>
      <c r="AB308" s="195"/>
      <c r="AC308" s="115"/>
      <c r="AD308" s="192"/>
      <c r="AE308" s="196"/>
      <c r="AF308" s="197"/>
      <c r="AG308" s="201"/>
      <c r="AH308" s="201"/>
      <c r="AI308" s="201"/>
      <c r="AJ308" s="201"/>
      <c r="AK308" s="122"/>
      <c r="AL308" s="122"/>
    </row>
    <row r="309">
      <c r="A309" s="115"/>
      <c r="B309" s="150"/>
      <c r="C309" s="89"/>
      <c r="D309" s="55"/>
      <c r="E309" s="115"/>
      <c r="F309" s="150"/>
      <c r="G309" s="188"/>
      <c r="H309" s="189"/>
      <c r="I309" s="115"/>
      <c r="J309" s="150"/>
      <c r="K309" s="89"/>
      <c r="L309" s="55"/>
      <c r="M309" s="115"/>
      <c r="N309" s="190"/>
      <c r="O309" s="89"/>
      <c r="P309" s="55"/>
      <c r="Q309" s="191"/>
      <c r="R309" s="192"/>
      <c r="S309" s="121"/>
      <c r="T309" s="122"/>
      <c r="U309" s="191"/>
      <c r="V309" s="192"/>
      <c r="W309" s="121"/>
      <c r="X309" s="122"/>
      <c r="Y309" s="115"/>
      <c r="Z309" s="193"/>
      <c r="AA309" s="194"/>
      <c r="AB309" s="195"/>
      <c r="AC309" s="115"/>
      <c r="AD309" s="192"/>
      <c r="AE309" s="196"/>
      <c r="AF309" s="197"/>
      <c r="AG309" s="201"/>
      <c r="AH309" s="201"/>
      <c r="AI309" s="201"/>
      <c r="AJ309" s="201"/>
      <c r="AK309" s="122"/>
      <c r="AL309" s="122"/>
    </row>
    <row r="310">
      <c r="A310" s="115"/>
      <c r="B310" s="150"/>
      <c r="C310" s="89"/>
      <c r="D310" s="55"/>
      <c r="E310" s="115"/>
      <c r="F310" s="150"/>
      <c r="G310" s="188"/>
      <c r="H310" s="189"/>
      <c r="I310" s="115"/>
      <c r="J310" s="150"/>
      <c r="K310" s="89"/>
      <c r="L310" s="55"/>
      <c r="M310" s="115"/>
      <c r="N310" s="190"/>
      <c r="O310" s="89"/>
      <c r="P310" s="55"/>
      <c r="Q310" s="191"/>
      <c r="R310" s="192"/>
      <c r="S310" s="121"/>
      <c r="T310" s="122"/>
      <c r="U310" s="191"/>
      <c r="V310" s="192"/>
      <c r="W310" s="121"/>
      <c r="X310" s="122"/>
      <c r="Y310" s="115"/>
      <c r="Z310" s="193"/>
      <c r="AA310" s="194"/>
      <c r="AB310" s="195"/>
      <c r="AC310" s="115"/>
      <c r="AD310" s="192"/>
      <c r="AE310" s="196"/>
      <c r="AF310" s="197"/>
      <c r="AG310" s="201"/>
      <c r="AH310" s="201"/>
      <c r="AI310" s="201"/>
      <c r="AJ310" s="201"/>
      <c r="AK310" s="122"/>
      <c r="AL310" s="122"/>
    </row>
    <row r="311">
      <c r="A311" s="115"/>
      <c r="B311" s="150"/>
      <c r="C311" s="89"/>
      <c r="D311" s="55"/>
      <c r="E311" s="115"/>
      <c r="F311" s="150"/>
      <c r="G311" s="188"/>
      <c r="H311" s="189"/>
      <c r="I311" s="115"/>
      <c r="J311" s="150"/>
      <c r="K311" s="89"/>
      <c r="L311" s="55"/>
      <c r="M311" s="115"/>
      <c r="N311" s="190"/>
      <c r="O311" s="89"/>
      <c r="P311" s="55"/>
      <c r="Q311" s="191"/>
      <c r="R311" s="192"/>
      <c r="S311" s="121"/>
      <c r="T311" s="122"/>
      <c r="U311" s="191"/>
      <c r="V311" s="192"/>
      <c r="W311" s="121"/>
      <c r="X311" s="122"/>
      <c r="Y311" s="115"/>
      <c r="Z311" s="193"/>
      <c r="AA311" s="194"/>
      <c r="AB311" s="195"/>
      <c r="AC311" s="115"/>
      <c r="AD311" s="192"/>
      <c r="AE311" s="196"/>
      <c r="AF311" s="197"/>
      <c r="AG311" s="201"/>
      <c r="AH311" s="201"/>
      <c r="AI311" s="201"/>
      <c r="AJ311" s="201"/>
      <c r="AK311" s="122"/>
      <c r="AL311" s="122"/>
    </row>
    <row r="312">
      <c r="A312" s="115"/>
      <c r="B312" s="150"/>
      <c r="C312" s="89"/>
      <c r="D312" s="55"/>
      <c r="E312" s="115"/>
      <c r="F312" s="150"/>
      <c r="G312" s="188"/>
      <c r="H312" s="189"/>
      <c r="I312" s="115"/>
      <c r="J312" s="150"/>
      <c r="K312" s="89"/>
      <c r="L312" s="55"/>
      <c r="M312" s="115"/>
      <c r="N312" s="190"/>
      <c r="O312" s="89"/>
      <c r="P312" s="55"/>
      <c r="Q312" s="191"/>
      <c r="R312" s="192"/>
      <c r="S312" s="121"/>
      <c r="T312" s="122"/>
      <c r="U312" s="191"/>
      <c r="V312" s="192"/>
      <c r="W312" s="121"/>
      <c r="X312" s="122"/>
      <c r="Y312" s="115"/>
      <c r="Z312" s="193"/>
      <c r="AA312" s="194"/>
      <c r="AB312" s="195"/>
      <c r="AC312" s="115"/>
      <c r="AD312" s="192"/>
      <c r="AE312" s="196"/>
      <c r="AF312" s="197"/>
      <c r="AG312" s="201"/>
      <c r="AH312" s="201"/>
      <c r="AI312" s="201"/>
      <c r="AJ312" s="201"/>
      <c r="AK312" s="122"/>
      <c r="AL312" s="122"/>
    </row>
    <row r="313">
      <c r="A313" s="115"/>
      <c r="B313" s="150"/>
      <c r="C313" s="89"/>
      <c r="D313" s="55"/>
      <c r="E313" s="115"/>
      <c r="F313" s="150"/>
      <c r="G313" s="188"/>
      <c r="H313" s="189"/>
      <c r="I313" s="115"/>
      <c r="J313" s="150"/>
      <c r="K313" s="89"/>
      <c r="L313" s="55"/>
      <c r="M313" s="115"/>
      <c r="N313" s="190"/>
      <c r="O313" s="89"/>
      <c r="P313" s="55"/>
      <c r="Q313" s="191"/>
      <c r="R313" s="192"/>
      <c r="S313" s="121"/>
      <c r="T313" s="122"/>
      <c r="U313" s="191"/>
      <c r="V313" s="192"/>
      <c r="W313" s="121"/>
      <c r="X313" s="122"/>
      <c r="Y313" s="115"/>
      <c r="Z313" s="193"/>
      <c r="AA313" s="194"/>
      <c r="AB313" s="195"/>
      <c r="AC313" s="115"/>
      <c r="AD313" s="192"/>
      <c r="AE313" s="196"/>
      <c r="AF313" s="197"/>
      <c r="AG313" s="201"/>
      <c r="AH313" s="201"/>
      <c r="AI313" s="201"/>
      <c r="AJ313" s="201"/>
      <c r="AK313" s="122"/>
      <c r="AL313" s="122"/>
    </row>
    <row r="314">
      <c r="A314" s="115"/>
      <c r="B314" s="150"/>
      <c r="C314" s="89"/>
      <c r="D314" s="55"/>
      <c r="E314" s="115"/>
      <c r="F314" s="150"/>
      <c r="G314" s="188"/>
      <c r="H314" s="189"/>
      <c r="I314" s="115"/>
      <c r="J314" s="150"/>
      <c r="K314" s="89"/>
      <c r="L314" s="55"/>
      <c r="M314" s="115"/>
      <c r="N314" s="190"/>
      <c r="O314" s="89"/>
      <c r="P314" s="55"/>
      <c r="Q314" s="191"/>
      <c r="R314" s="192"/>
      <c r="S314" s="121"/>
      <c r="T314" s="122"/>
      <c r="U314" s="191"/>
      <c r="V314" s="192"/>
      <c r="W314" s="121"/>
      <c r="X314" s="122"/>
      <c r="Y314" s="115"/>
      <c r="Z314" s="193"/>
      <c r="AA314" s="194"/>
      <c r="AB314" s="195"/>
      <c r="AC314" s="115"/>
      <c r="AD314" s="192"/>
      <c r="AE314" s="196"/>
      <c r="AF314" s="197"/>
      <c r="AG314" s="201"/>
      <c r="AH314" s="201"/>
      <c r="AI314" s="201"/>
      <c r="AJ314" s="201"/>
      <c r="AK314" s="122"/>
      <c r="AL314" s="122"/>
    </row>
    <row r="315">
      <c r="A315" s="115"/>
      <c r="B315" s="150"/>
      <c r="C315" s="89"/>
      <c r="D315" s="55"/>
      <c r="E315" s="115"/>
      <c r="F315" s="150"/>
      <c r="G315" s="188"/>
      <c r="H315" s="189"/>
      <c r="I315" s="115"/>
      <c r="J315" s="150"/>
      <c r="K315" s="89"/>
      <c r="L315" s="55"/>
      <c r="M315" s="115"/>
      <c r="N315" s="190"/>
      <c r="O315" s="89"/>
      <c r="P315" s="55"/>
      <c r="Q315" s="191"/>
      <c r="R315" s="192"/>
      <c r="S315" s="121"/>
      <c r="T315" s="122"/>
      <c r="U315" s="191"/>
      <c r="V315" s="192"/>
      <c r="W315" s="121"/>
      <c r="X315" s="122"/>
      <c r="Y315" s="115"/>
      <c r="Z315" s="193"/>
      <c r="AA315" s="194"/>
      <c r="AB315" s="195"/>
      <c r="AC315" s="115"/>
      <c r="AD315" s="192"/>
      <c r="AE315" s="196"/>
      <c r="AF315" s="197"/>
      <c r="AG315" s="201"/>
      <c r="AH315" s="201"/>
      <c r="AI315" s="201"/>
      <c r="AJ315" s="201"/>
      <c r="AK315" s="122"/>
      <c r="AL315" s="122"/>
    </row>
    <row r="316">
      <c r="A316" s="115"/>
      <c r="B316" s="150"/>
      <c r="C316" s="89"/>
      <c r="D316" s="55"/>
      <c r="E316" s="115"/>
      <c r="F316" s="150"/>
      <c r="G316" s="188"/>
      <c r="H316" s="189"/>
      <c r="I316" s="115"/>
      <c r="J316" s="150"/>
      <c r="K316" s="89"/>
      <c r="L316" s="55"/>
      <c r="M316" s="115"/>
      <c r="N316" s="190"/>
      <c r="O316" s="89"/>
      <c r="P316" s="55"/>
      <c r="Q316" s="191"/>
      <c r="R316" s="192"/>
      <c r="S316" s="121"/>
      <c r="T316" s="122"/>
      <c r="U316" s="191"/>
      <c r="V316" s="192"/>
      <c r="W316" s="121"/>
      <c r="X316" s="122"/>
      <c r="Y316" s="115"/>
      <c r="Z316" s="193"/>
      <c r="AA316" s="194"/>
      <c r="AB316" s="195"/>
      <c r="AC316" s="115"/>
      <c r="AD316" s="192"/>
      <c r="AE316" s="196"/>
      <c r="AF316" s="197"/>
      <c r="AG316" s="201"/>
      <c r="AH316" s="201"/>
      <c r="AI316" s="201"/>
      <c r="AJ316" s="201"/>
      <c r="AK316" s="122"/>
      <c r="AL316" s="122"/>
    </row>
    <row r="317">
      <c r="A317" s="115"/>
      <c r="B317" s="150"/>
      <c r="C317" s="89"/>
      <c r="D317" s="55"/>
      <c r="E317" s="115"/>
      <c r="F317" s="150"/>
      <c r="G317" s="188"/>
      <c r="H317" s="189"/>
      <c r="I317" s="115"/>
      <c r="J317" s="150"/>
      <c r="K317" s="89"/>
      <c r="L317" s="55"/>
      <c r="M317" s="115"/>
      <c r="N317" s="190"/>
      <c r="O317" s="89"/>
      <c r="P317" s="55"/>
      <c r="Q317" s="191"/>
      <c r="R317" s="192"/>
      <c r="S317" s="121"/>
      <c r="T317" s="122"/>
      <c r="U317" s="191"/>
      <c r="V317" s="192"/>
      <c r="W317" s="121"/>
      <c r="X317" s="122"/>
      <c r="Y317" s="115"/>
      <c r="Z317" s="193"/>
      <c r="AA317" s="194"/>
      <c r="AB317" s="195"/>
      <c r="AC317" s="115"/>
      <c r="AD317" s="192"/>
      <c r="AE317" s="196"/>
      <c r="AF317" s="197"/>
      <c r="AG317" s="201"/>
      <c r="AH317" s="201"/>
      <c r="AI317" s="201"/>
      <c r="AJ317" s="201"/>
      <c r="AK317" s="122"/>
      <c r="AL317" s="122"/>
    </row>
    <row r="318">
      <c r="A318" s="115"/>
      <c r="B318" s="150"/>
      <c r="C318" s="89"/>
      <c r="D318" s="55"/>
      <c r="E318" s="115"/>
      <c r="F318" s="150"/>
      <c r="G318" s="188"/>
      <c r="H318" s="189"/>
      <c r="I318" s="115"/>
      <c r="J318" s="150"/>
      <c r="K318" s="89"/>
      <c r="L318" s="55"/>
      <c r="M318" s="115"/>
      <c r="N318" s="190"/>
      <c r="O318" s="89"/>
      <c r="P318" s="55"/>
      <c r="Q318" s="191"/>
      <c r="R318" s="192"/>
      <c r="S318" s="121"/>
      <c r="T318" s="122"/>
      <c r="U318" s="191"/>
      <c r="V318" s="192"/>
      <c r="W318" s="121"/>
      <c r="X318" s="122"/>
      <c r="Y318" s="115"/>
      <c r="Z318" s="193"/>
      <c r="AA318" s="194"/>
      <c r="AB318" s="195"/>
      <c r="AC318" s="115"/>
      <c r="AD318" s="192"/>
      <c r="AE318" s="196"/>
      <c r="AF318" s="197"/>
      <c r="AG318" s="201"/>
      <c r="AH318" s="201"/>
      <c r="AI318" s="201"/>
      <c r="AJ318" s="201"/>
      <c r="AK318" s="122"/>
      <c r="AL318" s="122"/>
    </row>
    <row r="319">
      <c r="A319" s="115"/>
      <c r="B319" s="150"/>
      <c r="C319" s="89"/>
      <c r="D319" s="55"/>
      <c r="E319" s="115"/>
      <c r="F319" s="150"/>
      <c r="G319" s="188"/>
      <c r="H319" s="189"/>
      <c r="I319" s="115"/>
      <c r="J319" s="150"/>
      <c r="K319" s="89"/>
      <c r="L319" s="55"/>
      <c r="M319" s="115"/>
      <c r="N319" s="190"/>
      <c r="O319" s="89"/>
      <c r="P319" s="55"/>
      <c r="Q319" s="191"/>
      <c r="R319" s="192"/>
      <c r="S319" s="121"/>
      <c r="T319" s="122"/>
      <c r="U319" s="191"/>
      <c r="V319" s="192"/>
      <c r="W319" s="121"/>
      <c r="X319" s="122"/>
      <c r="Y319" s="115"/>
      <c r="Z319" s="193"/>
      <c r="AA319" s="194"/>
      <c r="AB319" s="195"/>
      <c r="AC319" s="115"/>
      <c r="AD319" s="192"/>
      <c r="AE319" s="196"/>
      <c r="AF319" s="197"/>
      <c r="AG319" s="201"/>
      <c r="AH319" s="201"/>
      <c r="AI319" s="201"/>
      <c r="AJ319" s="201"/>
      <c r="AK319" s="122"/>
      <c r="AL319" s="122"/>
    </row>
    <row r="320">
      <c r="A320" s="115"/>
      <c r="B320" s="150"/>
      <c r="C320" s="89"/>
      <c r="D320" s="55"/>
      <c r="E320" s="115"/>
      <c r="F320" s="150"/>
      <c r="G320" s="188"/>
      <c r="H320" s="189"/>
      <c r="I320" s="115"/>
      <c r="J320" s="150"/>
      <c r="K320" s="89"/>
      <c r="L320" s="55"/>
      <c r="M320" s="115"/>
      <c r="N320" s="190"/>
      <c r="O320" s="89"/>
      <c r="P320" s="55"/>
      <c r="Q320" s="191"/>
      <c r="R320" s="192"/>
      <c r="S320" s="121"/>
      <c r="T320" s="122"/>
      <c r="U320" s="191"/>
      <c r="V320" s="192"/>
      <c r="W320" s="121"/>
      <c r="X320" s="122"/>
      <c r="Y320" s="115"/>
      <c r="Z320" s="193"/>
      <c r="AA320" s="194"/>
      <c r="AB320" s="195"/>
      <c r="AC320" s="115"/>
      <c r="AD320" s="192"/>
      <c r="AE320" s="196"/>
      <c r="AF320" s="197"/>
      <c r="AG320" s="201"/>
      <c r="AH320" s="201"/>
      <c r="AI320" s="201"/>
      <c r="AJ320" s="201"/>
      <c r="AK320" s="122"/>
      <c r="AL320" s="122"/>
    </row>
    <row r="321">
      <c r="A321" s="115"/>
      <c r="B321" s="150"/>
      <c r="C321" s="89"/>
      <c r="D321" s="55"/>
      <c r="E321" s="115"/>
      <c r="F321" s="150"/>
      <c r="G321" s="188"/>
      <c r="H321" s="189"/>
      <c r="I321" s="115"/>
      <c r="J321" s="150"/>
      <c r="K321" s="89"/>
      <c r="L321" s="55"/>
      <c r="M321" s="115"/>
      <c r="N321" s="190"/>
      <c r="O321" s="89"/>
      <c r="P321" s="55"/>
      <c r="Q321" s="191"/>
      <c r="R321" s="192"/>
      <c r="S321" s="121"/>
      <c r="T321" s="122"/>
      <c r="U321" s="191"/>
      <c r="V321" s="192"/>
      <c r="W321" s="121"/>
      <c r="X321" s="122"/>
      <c r="Y321" s="115"/>
      <c r="Z321" s="193"/>
      <c r="AA321" s="194"/>
      <c r="AB321" s="195"/>
      <c r="AC321" s="115"/>
      <c r="AD321" s="192"/>
      <c r="AE321" s="196"/>
      <c r="AF321" s="197"/>
      <c r="AG321" s="201"/>
      <c r="AH321" s="201"/>
      <c r="AI321" s="201"/>
      <c r="AJ321" s="201"/>
      <c r="AK321" s="122"/>
      <c r="AL321" s="122"/>
    </row>
    <row r="322">
      <c r="A322" s="115"/>
      <c r="B322" s="150"/>
      <c r="C322" s="89"/>
      <c r="D322" s="55"/>
      <c r="E322" s="115"/>
      <c r="F322" s="150"/>
      <c r="G322" s="188"/>
      <c r="H322" s="189"/>
      <c r="I322" s="115"/>
      <c r="J322" s="150"/>
      <c r="K322" s="89"/>
      <c r="L322" s="55"/>
      <c r="M322" s="115"/>
      <c r="N322" s="190"/>
      <c r="O322" s="89"/>
      <c r="P322" s="55"/>
      <c r="Q322" s="191"/>
      <c r="R322" s="192"/>
      <c r="S322" s="121"/>
      <c r="T322" s="122"/>
      <c r="U322" s="191"/>
      <c r="V322" s="192"/>
      <c r="W322" s="121"/>
      <c r="X322" s="122"/>
      <c r="Y322" s="115"/>
      <c r="Z322" s="193"/>
      <c r="AA322" s="194"/>
      <c r="AB322" s="195"/>
      <c r="AC322" s="115"/>
      <c r="AD322" s="192"/>
      <c r="AE322" s="196"/>
      <c r="AF322" s="197"/>
      <c r="AG322" s="201"/>
      <c r="AH322" s="201"/>
      <c r="AI322" s="201"/>
      <c r="AJ322" s="201"/>
      <c r="AK322" s="122"/>
      <c r="AL322" s="122"/>
    </row>
    <row r="323">
      <c r="A323" s="115"/>
      <c r="B323" s="150"/>
      <c r="C323" s="89"/>
      <c r="D323" s="55"/>
      <c r="E323" s="115"/>
      <c r="F323" s="150"/>
      <c r="G323" s="188"/>
      <c r="H323" s="189"/>
      <c r="I323" s="115"/>
      <c r="J323" s="150"/>
      <c r="K323" s="89"/>
      <c r="L323" s="55"/>
      <c r="M323" s="115"/>
      <c r="N323" s="190"/>
      <c r="O323" s="89"/>
      <c r="P323" s="55"/>
      <c r="Q323" s="191"/>
      <c r="R323" s="192"/>
      <c r="S323" s="121"/>
      <c r="T323" s="122"/>
      <c r="U323" s="191"/>
      <c r="V323" s="192"/>
      <c r="W323" s="121"/>
      <c r="X323" s="122"/>
      <c r="Y323" s="115"/>
      <c r="Z323" s="193"/>
      <c r="AA323" s="194"/>
      <c r="AB323" s="195"/>
      <c r="AC323" s="115"/>
      <c r="AD323" s="192"/>
      <c r="AE323" s="196"/>
      <c r="AF323" s="197"/>
      <c r="AG323" s="201"/>
      <c r="AH323" s="201"/>
      <c r="AI323" s="201"/>
      <c r="AJ323" s="201"/>
      <c r="AK323" s="122"/>
      <c r="AL323" s="122"/>
    </row>
    <row r="324">
      <c r="A324" s="115"/>
      <c r="B324" s="150"/>
      <c r="C324" s="89"/>
      <c r="D324" s="55"/>
      <c r="E324" s="115"/>
      <c r="F324" s="150"/>
      <c r="G324" s="188"/>
      <c r="H324" s="189"/>
      <c r="I324" s="115"/>
      <c r="J324" s="150"/>
      <c r="K324" s="89"/>
      <c r="L324" s="55"/>
      <c r="M324" s="115"/>
      <c r="N324" s="190"/>
      <c r="O324" s="89"/>
      <c r="P324" s="55"/>
      <c r="Q324" s="191"/>
      <c r="R324" s="192"/>
      <c r="S324" s="121"/>
      <c r="T324" s="122"/>
      <c r="U324" s="191"/>
      <c r="V324" s="192"/>
      <c r="W324" s="121"/>
      <c r="X324" s="122"/>
      <c r="Y324" s="115"/>
      <c r="Z324" s="193"/>
      <c r="AA324" s="194"/>
      <c r="AB324" s="195"/>
      <c r="AC324" s="115"/>
      <c r="AD324" s="192"/>
      <c r="AE324" s="196"/>
      <c r="AF324" s="197"/>
      <c r="AG324" s="201"/>
      <c r="AH324" s="201"/>
      <c r="AI324" s="201"/>
      <c r="AJ324" s="201"/>
      <c r="AK324" s="122"/>
      <c r="AL324" s="122"/>
    </row>
    <row r="325">
      <c r="A325" s="115"/>
      <c r="B325" s="150"/>
      <c r="C325" s="89"/>
      <c r="D325" s="55"/>
      <c r="E325" s="115"/>
      <c r="F325" s="150"/>
      <c r="G325" s="188"/>
      <c r="H325" s="189"/>
      <c r="I325" s="115"/>
      <c r="J325" s="150"/>
      <c r="K325" s="89"/>
      <c r="L325" s="55"/>
      <c r="M325" s="115"/>
      <c r="N325" s="190"/>
      <c r="O325" s="89"/>
      <c r="P325" s="55"/>
      <c r="Q325" s="191"/>
      <c r="R325" s="192"/>
      <c r="S325" s="121"/>
      <c r="T325" s="122"/>
      <c r="U325" s="191"/>
      <c r="V325" s="192"/>
      <c r="W325" s="121"/>
      <c r="X325" s="122"/>
      <c r="Y325" s="115"/>
      <c r="Z325" s="193"/>
      <c r="AA325" s="194"/>
      <c r="AB325" s="195"/>
      <c r="AC325" s="115"/>
      <c r="AD325" s="192"/>
      <c r="AE325" s="196"/>
      <c r="AF325" s="197"/>
      <c r="AG325" s="201"/>
      <c r="AH325" s="201"/>
      <c r="AI325" s="201"/>
      <c r="AJ325" s="201"/>
      <c r="AK325" s="122"/>
      <c r="AL325" s="122"/>
    </row>
    <row r="326">
      <c r="A326" s="115"/>
      <c r="B326" s="150"/>
      <c r="C326" s="89"/>
      <c r="D326" s="55"/>
      <c r="E326" s="115"/>
      <c r="F326" s="150"/>
      <c r="G326" s="188"/>
      <c r="H326" s="189"/>
      <c r="I326" s="115"/>
      <c r="J326" s="150"/>
      <c r="K326" s="89"/>
      <c r="L326" s="55"/>
      <c r="M326" s="115"/>
      <c r="N326" s="190"/>
      <c r="O326" s="89"/>
      <c r="P326" s="55"/>
      <c r="Q326" s="191"/>
      <c r="R326" s="192"/>
      <c r="S326" s="121"/>
      <c r="T326" s="122"/>
      <c r="U326" s="191"/>
      <c r="V326" s="192"/>
      <c r="W326" s="121"/>
      <c r="X326" s="122"/>
      <c r="Y326" s="115"/>
      <c r="Z326" s="193"/>
      <c r="AA326" s="194"/>
      <c r="AB326" s="195"/>
      <c r="AC326" s="115"/>
      <c r="AD326" s="192"/>
      <c r="AE326" s="196"/>
      <c r="AF326" s="197"/>
      <c r="AG326" s="201"/>
      <c r="AH326" s="201"/>
      <c r="AI326" s="201"/>
      <c r="AJ326" s="201"/>
      <c r="AK326" s="122"/>
      <c r="AL326" s="122"/>
    </row>
    <row r="327">
      <c r="A327" s="115"/>
      <c r="B327" s="150"/>
      <c r="C327" s="89"/>
      <c r="D327" s="55"/>
      <c r="E327" s="115"/>
      <c r="F327" s="150"/>
      <c r="G327" s="188"/>
      <c r="H327" s="189"/>
      <c r="I327" s="115"/>
      <c r="J327" s="150"/>
      <c r="K327" s="89"/>
      <c r="L327" s="55"/>
      <c r="M327" s="115"/>
      <c r="N327" s="190"/>
      <c r="O327" s="89"/>
      <c r="P327" s="55"/>
      <c r="Q327" s="191"/>
      <c r="R327" s="192"/>
      <c r="S327" s="121"/>
      <c r="T327" s="122"/>
      <c r="U327" s="191"/>
      <c r="V327" s="192"/>
      <c r="W327" s="121"/>
      <c r="X327" s="122"/>
      <c r="Y327" s="115"/>
      <c r="Z327" s="193"/>
      <c r="AA327" s="194"/>
      <c r="AB327" s="195"/>
      <c r="AC327" s="115"/>
      <c r="AD327" s="192"/>
      <c r="AE327" s="196"/>
      <c r="AF327" s="197"/>
      <c r="AG327" s="201"/>
      <c r="AH327" s="201"/>
      <c r="AI327" s="201"/>
      <c r="AJ327" s="201"/>
      <c r="AK327" s="122"/>
      <c r="AL327" s="122"/>
    </row>
    <row r="328">
      <c r="A328" s="115"/>
      <c r="B328" s="150"/>
      <c r="C328" s="89"/>
      <c r="D328" s="55"/>
      <c r="E328" s="115"/>
      <c r="F328" s="150"/>
      <c r="G328" s="188"/>
      <c r="H328" s="189"/>
      <c r="I328" s="115"/>
      <c r="J328" s="150"/>
      <c r="K328" s="89"/>
      <c r="L328" s="55"/>
      <c r="M328" s="115"/>
      <c r="N328" s="190"/>
      <c r="O328" s="89"/>
      <c r="P328" s="55"/>
      <c r="Q328" s="191"/>
      <c r="R328" s="192"/>
      <c r="S328" s="121"/>
      <c r="T328" s="122"/>
      <c r="U328" s="191"/>
      <c r="V328" s="192"/>
      <c r="W328" s="121"/>
      <c r="X328" s="122"/>
      <c r="Y328" s="115"/>
      <c r="Z328" s="193"/>
      <c r="AA328" s="194"/>
      <c r="AB328" s="195"/>
      <c r="AC328" s="115"/>
      <c r="AD328" s="192"/>
      <c r="AE328" s="196"/>
      <c r="AF328" s="197"/>
      <c r="AG328" s="201"/>
      <c r="AH328" s="201"/>
      <c r="AI328" s="201"/>
      <c r="AJ328" s="201"/>
      <c r="AK328" s="122"/>
      <c r="AL328" s="122"/>
    </row>
    <row r="329">
      <c r="A329" s="115"/>
      <c r="B329" s="150"/>
      <c r="C329" s="89"/>
      <c r="D329" s="55"/>
      <c r="E329" s="115"/>
      <c r="F329" s="150"/>
      <c r="G329" s="188"/>
      <c r="H329" s="189"/>
      <c r="I329" s="115"/>
      <c r="J329" s="150"/>
      <c r="K329" s="89"/>
      <c r="L329" s="55"/>
      <c r="M329" s="115"/>
      <c r="N329" s="190"/>
      <c r="O329" s="89"/>
      <c r="P329" s="55"/>
      <c r="Q329" s="191"/>
      <c r="R329" s="192"/>
      <c r="S329" s="121"/>
      <c r="T329" s="122"/>
      <c r="U329" s="191"/>
      <c r="V329" s="192"/>
      <c r="W329" s="121"/>
      <c r="X329" s="122"/>
      <c r="Y329" s="115"/>
      <c r="Z329" s="193"/>
      <c r="AA329" s="194"/>
      <c r="AB329" s="195"/>
      <c r="AC329" s="115"/>
      <c r="AD329" s="192"/>
      <c r="AE329" s="196"/>
      <c r="AF329" s="197"/>
      <c r="AG329" s="201"/>
      <c r="AH329" s="201"/>
      <c r="AI329" s="201"/>
      <c r="AJ329" s="201"/>
      <c r="AK329" s="122"/>
      <c r="AL329" s="122"/>
    </row>
    <row r="330">
      <c r="A330" s="115"/>
      <c r="B330" s="150"/>
      <c r="C330" s="89"/>
      <c r="D330" s="55"/>
      <c r="E330" s="115"/>
      <c r="F330" s="150"/>
      <c r="G330" s="188"/>
      <c r="H330" s="189"/>
      <c r="I330" s="115"/>
      <c r="J330" s="150"/>
      <c r="K330" s="89"/>
      <c r="L330" s="55"/>
      <c r="M330" s="115"/>
      <c r="N330" s="190"/>
      <c r="O330" s="89"/>
      <c r="P330" s="55"/>
      <c r="Q330" s="191"/>
      <c r="R330" s="192"/>
      <c r="S330" s="121"/>
      <c r="T330" s="122"/>
      <c r="U330" s="191"/>
      <c r="V330" s="192"/>
      <c r="W330" s="121"/>
      <c r="X330" s="122"/>
      <c r="Y330" s="115"/>
      <c r="Z330" s="193"/>
      <c r="AA330" s="194"/>
      <c r="AB330" s="195"/>
      <c r="AC330" s="115"/>
      <c r="AD330" s="192"/>
      <c r="AE330" s="196"/>
      <c r="AF330" s="197"/>
      <c r="AG330" s="201"/>
      <c r="AH330" s="201"/>
      <c r="AI330" s="201"/>
      <c r="AJ330" s="201"/>
      <c r="AK330" s="122"/>
      <c r="AL330" s="122"/>
    </row>
    <row r="331">
      <c r="A331" s="115"/>
      <c r="B331" s="150"/>
      <c r="C331" s="89"/>
      <c r="D331" s="55"/>
      <c r="E331" s="115"/>
      <c r="F331" s="150"/>
      <c r="G331" s="188"/>
      <c r="H331" s="189"/>
      <c r="I331" s="115"/>
      <c r="J331" s="150"/>
      <c r="K331" s="89"/>
      <c r="L331" s="55"/>
      <c r="M331" s="115"/>
      <c r="N331" s="190"/>
      <c r="O331" s="89"/>
      <c r="P331" s="55"/>
      <c r="Q331" s="191"/>
      <c r="R331" s="192"/>
      <c r="S331" s="121"/>
      <c r="T331" s="122"/>
      <c r="U331" s="191"/>
      <c r="V331" s="192"/>
      <c r="W331" s="121"/>
      <c r="X331" s="122"/>
      <c r="Y331" s="115"/>
      <c r="Z331" s="193"/>
      <c r="AA331" s="194"/>
      <c r="AB331" s="195"/>
      <c r="AC331" s="115"/>
      <c r="AD331" s="192"/>
      <c r="AE331" s="196"/>
      <c r="AF331" s="197"/>
      <c r="AG331" s="201"/>
      <c r="AH331" s="201"/>
      <c r="AI331" s="201"/>
      <c r="AJ331" s="201"/>
      <c r="AK331" s="122"/>
      <c r="AL331" s="122"/>
    </row>
    <row r="332">
      <c r="A332" s="115"/>
      <c r="B332" s="150"/>
      <c r="C332" s="89"/>
      <c r="D332" s="55"/>
      <c r="E332" s="115"/>
      <c r="F332" s="150"/>
      <c r="G332" s="188"/>
      <c r="H332" s="189"/>
      <c r="I332" s="115"/>
      <c r="J332" s="150"/>
      <c r="K332" s="89"/>
      <c r="L332" s="55"/>
      <c r="M332" s="115"/>
      <c r="N332" s="190"/>
      <c r="O332" s="89"/>
      <c r="P332" s="55"/>
      <c r="Q332" s="191"/>
      <c r="R332" s="192"/>
      <c r="S332" s="121"/>
      <c r="T332" s="122"/>
      <c r="U332" s="191"/>
      <c r="V332" s="192"/>
      <c r="W332" s="121"/>
      <c r="X332" s="122"/>
      <c r="Y332" s="115"/>
      <c r="Z332" s="193"/>
      <c r="AA332" s="194"/>
      <c r="AB332" s="195"/>
      <c r="AC332" s="115"/>
      <c r="AD332" s="192"/>
      <c r="AE332" s="196"/>
      <c r="AF332" s="197"/>
      <c r="AG332" s="201"/>
      <c r="AH332" s="201"/>
      <c r="AI332" s="201"/>
      <c r="AJ332" s="201"/>
      <c r="AK332" s="122"/>
      <c r="AL332" s="122"/>
    </row>
    <row r="333">
      <c r="A333" s="115"/>
      <c r="B333" s="150"/>
      <c r="C333" s="89"/>
      <c r="D333" s="55"/>
      <c r="E333" s="115"/>
      <c r="F333" s="150"/>
      <c r="G333" s="188"/>
      <c r="H333" s="189"/>
      <c r="I333" s="115"/>
      <c r="J333" s="150"/>
      <c r="K333" s="89"/>
      <c r="L333" s="55"/>
      <c r="M333" s="115"/>
      <c r="N333" s="190"/>
      <c r="O333" s="89"/>
      <c r="P333" s="55"/>
      <c r="Q333" s="191"/>
      <c r="R333" s="192"/>
      <c r="S333" s="121"/>
      <c r="T333" s="122"/>
      <c r="U333" s="191"/>
      <c r="V333" s="192"/>
      <c r="W333" s="121"/>
      <c r="X333" s="122"/>
      <c r="Y333" s="115"/>
      <c r="Z333" s="193"/>
      <c r="AA333" s="194"/>
      <c r="AB333" s="195"/>
      <c r="AC333" s="115"/>
      <c r="AD333" s="192"/>
      <c r="AE333" s="196"/>
      <c r="AF333" s="197"/>
      <c r="AG333" s="201"/>
      <c r="AH333" s="201"/>
      <c r="AI333" s="201"/>
      <c r="AJ333" s="201"/>
      <c r="AK333" s="122"/>
      <c r="AL333" s="122"/>
    </row>
    <row r="334">
      <c r="A334" s="115"/>
      <c r="B334" s="150"/>
      <c r="C334" s="89"/>
      <c r="D334" s="55"/>
      <c r="E334" s="115"/>
      <c r="F334" s="150"/>
      <c r="G334" s="188"/>
      <c r="H334" s="189"/>
      <c r="I334" s="115"/>
      <c r="J334" s="150"/>
      <c r="K334" s="89"/>
      <c r="L334" s="55"/>
      <c r="M334" s="115"/>
      <c r="N334" s="190"/>
      <c r="O334" s="89"/>
      <c r="P334" s="55"/>
      <c r="Q334" s="191"/>
      <c r="R334" s="192"/>
      <c r="S334" s="121"/>
      <c r="T334" s="122"/>
      <c r="U334" s="191"/>
      <c r="V334" s="192"/>
      <c r="W334" s="121"/>
      <c r="X334" s="122"/>
      <c r="Y334" s="115"/>
      <c r="Z334" s="193"/>
      <c r="AA334" s="194"/>
      <c r="AB334" s="195"/>
      <c r="AC334" s="115"/>
      <c r="AD334" s="192"/>
      <c r="AE334" s="196"/>
      <c r="AF334" s="197"/>
      <c r="AG334" s="201"/>
      <c r="AH334" s="201"/>
      <c r="AI334" s="201"/>
      <c r="AJ334" s="201"/>
      <c r="AK334" s="122"/>
      <c r="AL334" s="122"/>
    </row>
    <row r="335">
      <c r="A335" s="115"/>
      <c r="B335" s="150"/>
      <c r="C335" s="89"/>
      <c r="D335" s="55"/>
      <c r="E335" s="115"/>
      <c r="F335" s="150"/>
      <c r="G335" s="188"/>
      <c r="H335" s="189"/>
      <c r="I335" s="115"/>
      <c r="J335" s="150"/>
      <c r="K335" s="89"/>
      <c r="L335" s="55"/>
      <c r="M335" s="115"/>
      <c r="N335" s="190"/>
      <c r="O335" s="89"/>
      <c r="P335" s="55"/>
      <c r="Q335" s="191"/>
      <c r="R335" s="192"/>
      <c r="S335" s="121"/>
      <c r="T335" s="122"/>
      <c r="U335" s="191"/>
      <c r="V335" s="192"/>
      <c r="W335" s="121"/>
      <c r="X335" s="122"/>
      <c r="Y335" s="115"/>
      <c r="Z335" s="193"/>
      <c r="AA335" s="194"/>
      <c r="AB335" s="195"/>
      <c r="AC335" s="115"/>
      <c r="AD335" s="192"/>
      <c r="AE335" s="196"/>
      <c r="AF335" s="197"/>
      <c r="AG335" s="201"/>
      <c r="AH335" s="201"/>
      <c r="AI335" s="201"/>
      <c r="AJ335" s="201"/>
      <c r="AK335" s="122"/>
      <c r="AL335" s="122"/>
    </row>
    <row r="336">
      <c r="A336" s="115"/>
      <c r="B336" s="150"/>
      <c r="C336" s="89"/>
      <c r="D336" s="55"/>
      <c r="E336" s="115"/>
      <c r="F336" s="150"/>
      <c r="G336" s="188"/>
      <c r="H336" s="189"/>
      <c r="I336" s="115"/>
      <c r="J336" s="150"/>
      <c r="K336" s="89"/>
      <c r="L336" s="55"/>
      <c r="M336" s="115"/>
      <c r="N336" s="190"/>
      <c r="O336" s="89"/>
      <c r="P336" s="55"/>
      <c r="Q336" s="191"/>
      <c r="R336" s="192"/>
      <c r="S336" s="121"/>
      <c r="T336" s="122"/>
      <c r="U336" s="191"/>
      <c r="V336" s="192"/>
      <c r="W336" s="121"/>
      <c r="X336" s="122"/>
      <c r="Y336" s="115"/>
      <c r="Z336" s="193"/>
      <c r="AA336" s="194"/>
      <c r="AB336" s="195"/>
      <c r="AC336" s="115"/>
      <c r="AD336" s="192"/>
      <c r="AE336" s="196"/>
      <c r="AF336" s="197"/>
      <c r="AG336" s="201"/>
      <c r="AH336" s="201"/>
      <c r="AI336" s="201"/>
      <c r="AJ336" s="201"/>
      <c r="AK336" s="122"/>
      <c r="AL336" s="122"/>
    </row>
    <row r="337">
      <c r="A337" s="115"/>
      <c r="B337" s="150"/>
      <c r="C337" s="89"/>
      <c r="D337" s="55"/>
      <c r="E337" s="115"/>
      <c r="F337" s="150"/>
      <c r="G337" s="188"/>
      <c r="H337" s="189"/>
      <c r="I337" s="115"/>
      <c r="J337" s="150"/>
      <c r="K337" s="89"/>
      <c r="L337" s="55"/>
      <c r="M337" s="115"/>
      <c r="N337" s="190"/>
      <c r="O337" s="89"/>
      <c r="P337" s="55"/>
      <c r="Q337" s="191"/>
      <c r="R337" s="192"/>
      <c r="S337" s="121"/>
      <c r="T337" s="122"/>
      <c r="U337" s="191"/>
      <c r="V337" s="192"/>
      <c r="W337" s="121"/>
      <c r="X337" s="122"/>
      <c r="Y337" s="115"/>
      <c r="Z337" s="193"/>
      <c r="AA337" s="194"/>
      <c r="AB337" s="195"/>
      <c r="AC337" s="115"/>
      <c r="AD337" s="192"/>
      <c r="AE337" s="196"/>
      <c r="AF337" s="197"/>
      <c r="AG337" s="201"/>
      <c r="AH337" s="201"/>
      <c r="AI337" s="201"/>
      <c r="AJ337" s="201"/>
      <c r="AK337" s="122"/>
      <c r="AL337" s="122"/>
    </row>
    <row r="338">
      <c r="A338" s="115"/>
      <c r="B338" s="150"/>
      <c r="C338" s="89"/>
      <c r="D338" s="55"/>
      <c r="E338" s="115"/>
      <c r="F338" s="150"/>
      <c r="G338" s="188"/>
      <c r="H338" s="189"/>
      <c r="I338" s="115"/>
      <c r="J338" s="150"/>
      <c r="K338" s="89"/>
      <c r="L338" s="55"/>
      <c r="M338" s="115"/>
      <c r="N338" s="190"/>
      <c r="O338" s="89"/>
      <c r="P338" s="55"/>
      <c r="Q338" s="191"/>
      <c r="R338" s="192"/>
      <c r="S338" s="121"/>
      <c r="T338" s="122"/>
      <c r="U338" s="191"/>
      <c r="V338" s="192"/>
      <c r="W338" s="121"/>
      <c r="X338" s="122"/>
      <c r="Y338" s="115"/>
      <c r="Z338" s="193"/>
      <c r="AA338" s="194"/>
      <c r="AB338" s="195"/>
      <c r="AC338" s="115"/>
      <c r="AD338" s="192"/>
      <c r="AE338" s="196"/>
      <c r="AF338" s="197"/>
      <c r="AG338" s="201"/>
      <c r="AH338" s="201"/>
      <c r="AI338" s="201"/>
      <c r="AJ338" s="201"/>
      <c r="AK338" s="122"/>
      <c r="AL338" s="122"/>
    </row>
    <row r="339">
      <c r="A339" s="115"/>
      <c r="B339" s="150"/>
      <c r="C339" s="89"/>
      <c r="D339" s="55"/>
      <c r="E339" s="115"/>
      <c r="F339" s="150"/>
      <c r="G339" s="188"/>
      <c r="H339" s="189"/>
      <c r="I339" s="115"/>
      <c r="J339" s="150"/>
      <c r="K339" s="89"/>
      <c r="L339" s="55"/>
      <c r="M339" s="115"/>
      <c r="N339" s="190"/>
      <c r="O339" s="89"/>
      <c r="P339" s="55"/>
      <c r="Q339" s="191"/>
      <c r="R339" s="192"/>
      <c r="S339" s="121"/>
      <c r="T339" s="122"/>
      <c r="U339" s="191"/>
      <c r="V339" s="192"/>
      <c r="W339" s="121"/>
      <c r="X339" s="122"/>
      <c r="Y339" s="115"/>
      <c r="Z339" s="193"/>
      <c r="AA339" s="194"/>
      <c r="AB339" s="195"/>
      <c r="AC339" s="115"/>
      <c r="AD339" s="192"/>
      <c r="AE339" s="196"/>
      <c r="AF339" s="197"/>
      <c r="AG339" s="201"/>
      <c r="AH339" s="201"/>
      <c r="AI339" s="201"/>
      <c r="AJ339" s="201"/>
      <c r="AK339" s="122"/>
      <c r="AL339" s="122"/>
    </row>
    <row r="340">
      <c r="A340" s="115"/>
      <c r="B340" s="150"/>
      <c r="C340" s="89"/>
      <c r="D340" s="55"/>
      <c r="E340" s="115"/>
      <c r="F340" s="150"/>
      <c r="G340" s="188"/>
      <c r="H340" s="189"/>
      <c r="I340" s="115"/>
      <c r="J340" s="150"/>
      <c r="K340" s="89"/>
      <c r="L340" s="55"/>
      <c r="M340" s="115"/>
      <c r="N340" s="190"/>
      <c r="O340" s="89"/>
      <c r="P340" s="55"/>
      <c r="Q340" s="191"/>
      <c r="R340" s="192"/>
      <c r="S340" s="121"/>
      <c r="T340" s="122"/>
      <c r="U340" s="191"/>
      <c r="V340" s="192"/>
      <c r="W340" s="121"/>
      <c r="X340" s="122"/>
      <c r="Y340" s="115"/>
      <c r="Z340" s="193"/>
      <c r="AA340" s="194"/>
      <c r="AB340" s="195"/>
      <c r="AC340" s="115"/>
      <c r="AD340" s="192"/>
      <c r="AE340" s="196"/>
      <c r="AF340" s="197"/>
      <c r="AG340" s="201"/>
      <c r="AH340" s="201"/>
      <c r="AI340" s="201"/>
      <c r="AJ340" s="201"/>
      <c r="AK340" s="122"/>
      <c r="AL340" s="122"/>
    </row>
    <row r="341">
      <c r="A341" s="115"/>
      <c r="B341" s="150"/>
      <c r="C341" s="89"/>
      <c r="D341" s="55"/>
      <c r="E341" s="115"/>
      <c r="F341" s="150"/>
      <c r="G341" s="188"/>
      <c r="H341" s="189"/>
      <c r="I341" s="115"/>
      <c r="J341" s="150"/>
      <c r="K341" s="89"/>
      <c r="L341" s="55"/>
      <c r="M341" s="115"/>
      <c r="N341" s="190"/>
      <c r="O341" s="89"/>
      <c r="P341" s="55"/>
      <c r="Q341" s="191"/>
      <c r="R341" s="192"/>
      <c r="S341" s="121"/>
      <c r="T341" s="122"/>
      <c r="U341" s="191"/>
      <c r="V341" s="192"/>
      <c r="W341" s="121"/>
      <c r="X341" s="122"/>
      <c r="Y341" s="115"/>
      <c r="Z341" s="193"/>
      <c r="AA341" s="194"/>
      <c r="AB341" s="195"/>
      <c r="AC341" s="115"/>
      <c r="AD341" s="192"/>
      <c r="AE341" s="196"/>
      <c r="AF341" s="197"/>
      <c r="AG341" s="201"/>
      <c r="AH341" s="201"/>
      <c r="AI341" s="201"/>
      <c r="AJ341" s="201"/>
      <c r="AK341" s="122"/>
      <c r="AL341" s="122"/>
    </row>
    <row r="342">
      <c r="A342" s="115"/>
      <c r="B342" s="150"/>
      <c r="C342" s="89"/>
      <c r="D342" s="55"/>
      <c r="E342" s="115"/>
      <c r="F342" s="150"/>
      <c r="G342" s="188"/>
      <c r="H342" s="189"/>
      <c r="I342" s="115"/>
      <c r="J342" s="150"/>
      <c r="K342" s="89"/>
      <c r="L342" s="55"/>
      <c r="M342" s="115"/>
      <c r="N342" s="190"/>
      <c r="O342" s="89"/>
      <c r="P342" s="55"/>
      <c r="Q342" s="191"/>
      <c r="R342" s="192"/>
      <c r="S342" s="121"/>
      <c r="T342" s="122"/>
      <c r="U342" s="191"/>
      <c r="V342" s="192"/>
      <c r="W342" s="121"/>
      <c r="X342" s="122"/>
      <c r="Y342" s="115"/>
      <c r="Z342" s="193"/>
      <c r="AA342" s="194"/>
      <c r="AB342" s="195"/>
      <c r="AC342" s="115"/>
      <c r="AD342" s="192"/>
      <c r="AE342" s="196"/>
      <c r="AF342" s="197"/>
      <c r="AG342" s="201"/>
      <c r="AH342" s="201"/>
      <c r="AI342" s="201"/>
      <c r="AJ342" s="201"/>
      <c r="AK342" s="122"/>
      <c r="AL342" s="122"/>
    </row>
    <row r="343">
      <c r="A343" s="115"/>
      <c r="B343" s="150"/>
      <c r="C343" s="89"/>
      <c r="D343" s="55"/>
      <c r="E343" s="115"/>
      <c r="F343" s="150"/>
      <c r="G343" s="188"/>
      <c r="H343" s="189"/>
      <c r="I343" s="115"/>
      <c r="J343" s="150"/>
      <c r="K343" s="89"/>
      <c r="L343" s="55"/>
      <c r="M343" s="115"/>
      <c r="N343" s="190"/>
      <c r="O343" s="89"/>
      <c r="P343" s="55"/>
      <c r="Q343" s="191"/>
      <c r="R343" s="192"/>
      <c r="S343" s="121"/>
      <c r="T343" s="122"/>
      <c r="U343" s="191"/>
      <c r="V343" s="192"/>
      <c r="W343" s="121"/>
      <c r="X343" s="122"/>
      <c r="Y343" s="115"/>
      <c r="Z343" s="193"/>
      <c r="AA343" s="194"/>
      <c r="AB343" s="195"/>
      <c r="AC343" s="115"/>
      <c r="AD343" s="192"/>
      <c r="AE343" s="196"/>
      <c r="AF343" s="197"/>
      <c r="AG343" s="201"/>
      <c r="AH343" s="201"/>
      <c r="AI343" s="201"/>
      <c r="AJ343" s="201"/>
      <c r="AK343" s="122"/>
      <c r="AL343" s="122"/>
    </row>
    <row r="344">
      <c r="A344" s="115"/>
      <c r="B344" s="150"/>
      <c r="C344" s="89"/>
      <c r="D344" s="55"/>
      <c r="E344" s="115"/>
      <c r="F344" s="150"/>
      <c r="G344" s="188"/>
      <c r="H344" s="189"/>
      <c r="I344" s="115"/>
      <c r="J344" s="150"/>
      <c r="K344" s="89"/>
      <c r="L344" s="55"/>
      <c r="M344" s="115"/>
      <c r="N344" s="190"/>
      <c r="O344" s="89"/>
      <c r="P344" s="55"/>
      <c r="Q344" s="191"/>
      <c r="R344" s="192"/>
      <c r="S344" s="121"/>
      <c r="T344" s="122"/>
      <c r="U344" s="191"/>
      <c r="V344" s="192"/>
      <c r="W344" s="121"/>
      <c r="X344" s="122"/>
      <c r="Y344" s="115"/>
      <c r="Z344" s="193"/>
      <c r="AA344" s="194"/>
      <c r="AB344" s="195"/>
      <c r="AC344" s="115"/>
      <c r="AD344" s="192"/>
      <c r="AE344" s="196"/>
      <c r="AF344" s="197"/>
      <c r="AG344" s="201"/>
      <c r="AH344" s="201"/>
      <c r="AI344" s="201"/>
      <c r="AJ344" s="201"/>
      <c r="AK344" s="122"/>
      <c r="AL344" s="122"/>
    </row>
    <row r="345">
      <c r="A345" s="115"/>
      <c r="B345" s="150"/>
      <c r="C345" s="89"/>
      <c r="D345" s="55"/>
      <c r="E345" s="115"/>
      <c r="F345" s="150"/>
      <c r="G345" s="188"/>
      <c r="H345" s="189"/>
      <c r="I345" s="115"/>
      <c r="J345" s="150"/>
      <c r="K345" s="89"/>
      <c r="L345" s="55"/>
      <c r="M345" s="115"/>
      <c r="N345" s="190"/>
      <c r="O345" s="89"/>
      <c r="P345" s="55"/>
      <c r="Q345" s="191"/>
      <c r="R345" s="192"/>
      <c r="S345" s="121"/>
      <c r="T345" s="122"/>
      <c r="U345" s="191"/>
      <c r="V345" s="192"/>
      <c r="W345" s="121"/>
      <c r="X345" s="122"/>
      <c r="Y345" s="115"/>
      <c r="Z345" s="193"/>
      <c r="AA345" s="194"/>
      <c r="AB345" s="195"/>
      <c r="AC345" s="115"/>
      <c r="AD345" s="192"/>
      <c r="AE345" s="196"/>
      <c r="AF345" s="197"/>
      <c r="AG345" s="201"/>
      <c r="AH345" s="201"/>
      <c r="AI345" s="201"/>
      <c r="AJ345" s="201"/>
      <c r="AK345" s="122"/>
      <c r="AL345" s="122"/>
    </row>
    <row r="346">
      <c r="A346" s="115"/>
      <c r="B346" s="150"/>
      <c r="C346" s="89"/>
      <c r="D346" s="55"/>
      <c r="E346" s="115"/>
      <c r="F346" s="150"/>
      <c r="G346" s="188"/>
      <c r="H346" s="189"/>
      <c r="I346" s="115"/>
      <c r="J346" s="150"/>
      <c r="K346" s="89"/>
      <c r="L346" s="55"/>
      <c r="M346" s="115"/>
      <c r="N346" s="190"/>
      <c r="O346" s="89"/>
      <c r="P346" s="55"/>
      <c r="Q346" s="191"/>
      <c r="R346" s="192"/>
      <c r="S346" s="121"/>
      <c r="T346" s="122"/>
      <c r="U346" s="191"/>
      <c r="V346" s="192"/>
      <c r="W346" s="121"/>
      <c r="X346" s="122"/>
      <c r="Y346" s="115"/>
      <c r="Z346" s="193"/>
      <c r="AA346" s="194"/>
      <c r="AB346" s="195"/>
      <c r="AC346" s="115"/>
      <c r="AD346" s="192"/>
      <c r="AE346" s="196"/>
      <c r="AF346" s="197"/>
      <c r="AG346" s="201"/>
      <c r="AH346" s="201"/>
      <c r="AI346" s="201"/>
      <c r="AJ346" s="201"/>
      <c r="AK346" s="122"/>
      <c r="AL346" s="122"/>
    </row>
    <row r="347">
      <c r="A347" s="115"/>
      <c r="B347" s="150"/>
      <c r="C347" s="89"/>
      <c r="D347" s="55"/>
      <c r="E347" s="115"/>
      <c r="F347" s="150"/>
      <c r="G347" s="188"/>
      <c r="H347" s="189"/>
      <c r="I347" s="115"/>
      <c r="J347" s="150"/>
      <c r="K347" s="89"/>
      <c r="L347" s="55"/>
      <c r="M347" s="115"/>
      <c r="N347" s="190"/>
      <c r="O347" s="89"/>
      <c r="P347" s="55"/>
      <c r="Q347" s="191"/>
      <c r="R347" s="192"/>
      <c r="S347" s="121"/>
      <c r="T347" s="122"/>
      <c r="U347" s="191"/>
      <c r="V347" s="192"/>
      <c r="W347" s="121"/>
      <c r="X347" s="122"/>
      <c r="Y347" s="115"/>
      <c r="Z347" s="193"/>
      <c r="AA347" s="194"/>
      <c r="AB347" s="195"/>
      <c r="AC347" s="115"/>
      <c r="AD347" s="192"/>
      <c r="AE347" s="196"/>
      <c r="AF347" s="197"/>
      <c r="AG347" s="201"/>
      <c r="AH347" s="201"/>
      <c r="AI347" s="201"/>
      <c r="AJ347" s="201"/>
      <c r="AK347" s="122"/>
      <c r="AL347" s="122"/>
    </row>
    <row r="348">
      <c r="A348" s="115"/>
      <c r="B348" s="150"/>
      <c r="C348" s="89"/>
      <c r="D348" s="55"/>
      <c r="E348" s="115"/>
      <c r="F348" s="150"/>
      <c r="G348" s="188"/>
      <c r="H348" s="189"/>
      <c r="I348" s="115"/>
      <c r="J348" s="150"/>
      <c r="K348" s="89"/>
      <c r="L348" s="55"/>
      <c r="M348" s="115"/>
      <c r="N348" s="190"/>
      <c r="O348" s="89"/>
      <c r="P348" s="55"/>
      <c r="Q348" s="191"/>
      <c r="R348" s="192"/>
      <c r="S348" s="121"/>
      <c r="T348" s="122"/>
      <c r="U348" s="191"/>
      <c r="V348" s="192"/>
      <c r="W348" s="121"/>
      <c r="X348" s="122"/>
      <c r="Y348" s="115"/>
      <c r="Z348" s="193"/>
      <c r="AA348" s="194"/>
      <c r="AB348" s="195"/>
      <c r="AC348" s="115"/>
      <c r="AD348" s="192"/>
      <c r="AE348" s="196"/>
      <c r="AF348" s="197"/>
      <c r="AG348" s="201"/>
      <c r="AH348" s="201"/>
      <c r="AI348" s="201"/>
      <c r="AJ348" s="201"/>
      <c r="AK348" s="122"/>
      <c r="AL348" s="122"/>
    </row>
    <row r="349">
      <c r="A349" s="115"/>
      <c r="B349" s="150"/>
      <c r="C349" s="89"/>
      <c r="D349" s="55"/>
      <c r="E349" s="115"/>
      <c r="F349" s="150"/>
      <c r="G349" s="188"/>
      <c r="H349" s="189"/>
      <c r="I349" s="115"/>
      <c r="J349" s="150"/>
      <c r="K349" s="89"/>
      <c r="L349" s="55"/>
      <c r="M349" s="115"/>
      <c r="N349" s="190"/>
      <c r="O349" s="89"/>
      <c r="P349" s="55"/>
      <c r="Q349" s="191"/>
      <c r="R349" s="192"/>
      <c r="S349" s="121"/>
      <c r="T349" s="122"/>
      <c r="U349" s="191"/>
      <c r="V349" s="192"/>
      <c r="W349" s="121"/>
      <c r="X349" s="122"/>
      <c r="Y349" s="115"/>
      <c r="Z349" s="193"/>
      <c r="AA349" s="194"/>
      <c r="AB349" s="195"/>
      <c r="AC349" s="115"/>
      <c r="AD349" s="192"/>
      <c r="AE349" s="196"/>
      <c r="AF349" s="197"/>
      <c r="AG349" s="201"/>
      <c r="AH349" s="201"/>
      <c r="AI349" s="201"/>
      <c r="AJ349" s="201"/>
      <c r="AK349" s="122"/>
      <c r="AL349" s="122"/>
    </row>
    <row r="350">
      <c r="A350" s="115"/>
      <c r="B350" s="150"/>
      <c r="C350" s="89"/>
      <c r="D350" s="55"/>
      <c r="E350" s="115"/>
      <c r="F350" s="150"/>
      <c r="G350" s="188"/>
      <c r="H350" s="189"/>
      <c r="I350" s="115"/>
      <c r="J350" s="150"/>
      <c r="K350" s="89"/>
      <c r="L350" s="55"/>
      <c r="M350" s="115"/>
      <c r="N350" s="190"/>
      <c r="O350" s="89"/>
      <c r="P350" s="55"/>
      <c r="Q350" s="191"/>
      <c r="R350" s="192"/>
      <c r="S350" s="121"/>
      <c r="T350" s="122"/>
      <c r="U350" s="191"/>
      <c r="V350" s="192"/>
      <c r="W350" s="121"/>
      <c r="X350" s="122"/>
      <c r="Y350" s="115"/>
      <c r="Z350" s="193"/>
      <c r="AA350" s="194"/>
      <c r="AB350" s="195"/>
      <c r="AC350" s="115"/>
      <c r="AD350" s="192"/>
      <c r="AE350" s="196"/>
      <c r="AF350" s="197"/>
      <c r="AG350" s="201"/>
      <c r="AH350" s="201"/>
      <c r="AI350" s="201"/>
      <c r="AJ350" s="201"/>
      <c r="AK350" s="122"/>
      <c r="AL350" s="122"/>
    </row>
    <row r="351">
      <c r="A351" s="115"/>
      <c r="B351" s="150"/>
      <c r="C351" s="89"/>
      <c r="D351" s="55"/>
      <c r="E351" s="115"/>
      <c r="F351" s="150"/>
      <c r="G351" s="188"/>
      <c r="H351" s="189"/>
      <c r="I351" s="115"/>
      <c r="J351" s="150"/>
      <c r="K351" s="89"/>
      <c r="L351" s="55"/>
      <c r="M351" s="115"/>
      <c r="N351" s="190"/>
      <c r="O351" s="89"/>
      <c r="P351" s="55"/>
      <c r="Q351" s="191"/>
      <c r="R351" s="192"/>
      <c r="S351" s="121"/>
      <c r="T351" s="122"/>
      <c r="U351" s="191"/>
      <c r="V351" s="192"/>
      <c r="W351" s="121"/>
      <c r="X351" s="122"/>
      <c r="Y351" s="115"/>
      <c r="Z351" s="193"/>
      <c r="AA351" s="194"/>
      <c r="AB351" s="195"/>
      <c r="AC351" s="115"/>
      <c r="AD351" s="192"/>
      <c r="AE351" s="196"/>
      <c r="AF351" s="197"/>
      <c r="AG351" s="201"/>
      <c r="AH351" s="201"/>
      <c r="AI351" s="201"/>
      <c r="AJ351" s="201"/>
      <c r="AK351" s="122"/>
      <c r="AL351" s="122"/>
    </row>
    <row r="352">
      <c r="A352" s="115"/>
      <c r="B352" s="150"/>
      <c r="C352" s="89"/>
      <c r="D352" s="55"/>
      <c r="E352" s="115"/>
      <c r="F352" s="150"/>
      <c r="G352" s="188"/>
      <c r="H352" s="189"/>
      <c r="I352" s="115"/>
      <c r="J352" s="150"/>
      <c r="K352" s="89"/>
      <c r="L352" s="55"/>
      <c r="M352" s="115"/>
      <c r="N352" s="190"/>
      <c r="O352" s="89"/>
      <c r="P352" s="55"/>
      <c r="Q352" s="191"/>
      <c r="R352" s="192"/>
      <c r="S352" s="121"/>
      <c r="T352" s="122"/>
      <c r="U352" s="191"/>
      <c r="V352" s="192"/>
      <c r="W352" s="121"/>
      <c r="X352" s="122"/>
      <c r="Y352" s="115"/>
      <c r="Z352" s="193"/>
      <c r="AA352" s="194"/>
      <c r="AB352" s="195"/>
      <c r="AC352" s="115"/>
      <c r="AD352" s="192"/>
      <c r="AE352" s="196"/>
      <c r="AF352" s="197"/>
      <c r="AG352" s="201"/>
      <c r="AH352" s="201"/>
      <c r="AI352" s="201"/>
      <c r="AJ352" s="201"/>
      <c r="AK352" s="122"/>
      <c r="AL352" s="122"/>
    </row>
    <row r="353">
      <c r="A353" s="115"/>
      <c r="B353" s="150"/>
      <c r="C353" s="89"/>
      <c r="D353" s="55"/>
      <c r="E353" s="115"/>
      <c r="F353" s="150"/>
      <c r="G353" s="188"/>
      <c r="H353" s="189"/>
      <c r="I353" s="115"/>
      <c r="J353" s="150"/>
      <c r="K353" s="89"/>
      <c r="L353" s="55"/>
      <c r="M353" s="115"/>
      <c r="N353" s="190"/>
      <c r="O353" s="89"/>
      <c r="P353" s="55"/>
      <c r="Q353" s="191"/>
      <c r="R353" s="192"/>
      <c r="S353" s="121"/>
      <c r="T353" s="122"/>
      <c r="U353" s="191"/>
      <c r="V353" s="192"/>
      <c r="W353" s="121"/>
      <c r="X353" s="122"/>
      <c r="Y353" s="115"/>
      <c r="Z353" s="193"/>
      <c r="AA353" s="194"/>
      <c r="AB353" s="195"/>
      <c r="AC353" s="115"/>
      <c r="AD353" s="192"/>
      <c r="AE353" s="196"/>
      <c r="AF353" s="197"/>
      <c r="AG353" s="201"/>
      <c r="AH353" s="201"/>
      <c r="AI353" s="201"/>
      <c r="AJ353" s="201"/>
      <c r="AK353" s="122"/>
      <c r="AL353" s="122"/>
    </row>
    <row r="354">
      <c r="A354" s="115"/>
      <c r="B354" s="150"/>
      <c r="C354" s="89"/>
      <c r="D354" s="55"/>
      <c r="E354" s="115"/>
      <c r="F354" s="150"/>
      <c r="G354" s="188"/>
      <c r="H354" s="189"/>
      <c r="I354" s="115"/>
      <c r="J354" s="150"/>
      <c r="K354" s="89"/>
      <c r="L354" s="55"/>
      <c r="M354" s="115"/>
      <c r="N354" s="190"/>
      <c r="O354" s="89"/>
      <c r="P354" s="55"/>
      <c r="Q354" s="191"/>
      <c r="R354" s="192"/>
      <c r="S354" s="121"/>
      <c r="T354" s="122"/>
      <c r="U354" s="191"/>
      <c r="V354" s="192"/>
      <c r="W354" s="121"/>
      <c r="X354" s="122"/>
      <c r="Y354" s="115"/>
      <c r="Z354" s="193"/>
      <c r="AA354" s="194"/>
      <c r="AB354" s="195"/>
      <c r="AC354" s="115"/>
      <c r="AD354" s="192"/>
      <c r="AE354" s="196"/>
      <c r="AF354" s="197"/>
      <c r="AG354" s="201"/>
      <c r="AH354" s="201"/>
      <c r="AI354" s="201"/>
      <c r="AJ354" s="201"/>
      <c r="AK354" s="122"/>
      <c r="AL354" s="122"/>
    </row>
    <row r="355">
      <c r="A355" s="115"/>
      <c r="B355" s="150"/>
      <c r="C355" s="89"/>
      <c r="D355" s="55"/>
      <c r="E355" s="115"/>
      <c r="F355" s="150"/>
      <c r="G355" s="188"/>
      <c r="H355" s="189"/>
      <c r="I355" s="115"/>
      <c r="J355" s="150"/>
      <c r="K355" s="89"/>
      <c r="L355" s="55"/>
      <c r="M355" s="115"/>
      <c r="N355" s="190"/>
      <c r="O355" s="89"/>
      <c r="P355" s="55"/>
      <c r="Q355" s="191"/>
      <c r="R355" s="192"/>
      <c r="S355" s="121"/>
      <c r="T355" s="122"/>
      <c r="U355" s="191"/>
      <c r="V355" s="192"/>
      <c r="W355" s="121"/>
      <c r="X355" s="122"/>
      <c r="Y355" s="115"/>
      <c r="Z355" s="193"/>
      <c r="AA355" s="194"/>
      <c r="AB355" s="195"/>
      <c r="AC355" s="115"/>
      <c r="AD355" s="192"/>
      <c r="AE355" s="196"/>
      <c r="AF355" s="197"/>
      <c r="AG355" s="201"/>
      <c r="AH355" s="201"/>
      <c r="AI355" s="201"/>
      <c r="AJ355" s="201"/>
      <c r="AK355" s="122"/>
      <c r="AL355" s="122"/>
    </row>
    <row r="356">
      <c r="A356" s="115"/>
      <c r="B356" s="150"/>
      <c r="C356" s="89"/>
      <c r="D356" s="55"/>
      <c r="E356" s="115"/>
      <c r="F356" s="150"/>
      <c r="G356" s="188"/>
      <c r="H356" s="189"/>
      <c r="I356" s="115"/>
      <c r="J356" s="150"/>
      <c r="K356" s="89"/>
      <c r="L356" s="55"/>
      <c r="M356" s="115"/>
      <c r="N356" s="190"/>
      <c r="O356" s="89"/>
      <c r="P356" s="55"/>
      <c r="Q356" s="191"/>
      <c r="R356" s="192"/>
      <c r="S356" s="121"/>
      <c r="T356" s="122"/>
      <c r="U356" s="191"/>
      <c r="V356" s="192"/>
      <c r="W356" s="121"/>
      <c r="X356" s="122"/>
      <c r="Y356" s="115"/>
      <c r="Z356" s="193"/>
      <c r="AA356" s="194"/>
      <c r="AB356" s="195"/>
      <c r="AC356" s="115"/>
      <c r="AD356" s="192"/>
      <c r="AE356" s="196"/>
      <c r="AF356" s="197"/>
      <c r="AG356" s="201"/>
      <c r="AH356" s="201"/>
      <c r="AI356" s="201"/>
      <c r="AJ356" s="201"/>
      <c r="AK356" s="122"/>
      <c r="AL356" s="122"/>
    </row>
    <row r="357">
      <c r="A357" s="115"/>
      <c r="B357" s="150"/>
      <c r="C357" s="89"/>
      <c r="D357" s="55"/>
      <c r="E357" s="115"/>
      <c r="F357" s="150"/>
      <c r="G357" s="188"/>
      <c r="H357" s="189"/>
      <c r="I357" s="115"/>
      <c r="J357" s="150"/>
      <c r="K357" s="89"/>
      <c r="L357" s="55"/>
      <c r="M357" s="115"/>
      <c r="N357" s="190"/>
      <c r="O357" s="89"/>
      <c r="P357" s="55"/>
      <c r="Q357" s="191"/>
      <c r="R357" s="192"/>
      <c r="S357" s="121"/>
      <c r="T357" s="122"/>
      <c r="U357" s="191"/>
      <c r="V357" s="192"/>
      <c r="W357" s="121"/>
      <c r="X357" s="122"/>
      <c r="Y357" s="115"/>
      <c r="Z357" s="193"/>
      <c r="AA357" s="194"/>
      <c r="AB357" s="195"/>
      <c r="AC357" s="115"/>
      <c r="AD357" s="192"/>
      <c r="AE357" s="196"/>
      <c r="AF357" s="197"/>
      <c r="AG357" s="201"/>
      <c r="AH357" s="201"/>
      <c r="AI357" s="201"/>
      <c r="AJ357" s="201"/>
      <c r="AK357" s="122"/>
      <c r="AL357" s="122"/>
    </row>
    <row r="358">
      <c r="A358" s="115"/>
      <c r="B358" s="150"/>
      <c r="C358" s="89"/>
      <c r="D358" s="55"/>
      <c r="E358" s="115"/>
      <c r="F358" s="150"/>
      <c r="G358" s="188"/>
      <c r="H358" s="189"/>
      <c r="I358" s="115"/>
      <c r="J358" s="150"/>
      <c r="K358" s="89"/>
      <c r="L358" s="55"/>
      <c r="M358" s="115"/>
      <c r="N358" s="190"/>
      <c r="O358" s="89"/>
      <c r="P358" s="55"/>
      <c r="Q358" s="191"/>
      <c r="R358" s="192"/>
      <c r="S358" s="121"/>
      <c r="T358" s="122"/>
      <c r="U358" s="191"/>
      <c r="V358" s="192"/>
      <c r="W358" s="121"/>
      <c r="X358" s="122"/>
      <c r="Y358" s="115"/>
      <c r="Z358" s="193"/>
      <c r="AA358" s="194"/>
      <c r="AB358" s="195"/>
      <c r="AC358" s="115"/>
      <c r="AD358" s="192"/>
      <c r="AE358" s="196"/>
      <c r="AF358" s="197"/>
      <c r="AG358" s="201"/>
      <c r="AH358" s="201"/>
      <c r="AI358" s="201"/>
      <c r="AJ358" s="201"/>
      <c r="AK358" s="122"/>
      <c r="AL358" s="122"/>
    </row>
    <row r="359">
      <c r="A359" s="115"/>
      <c r="B359" s="150"/>
      <c r="C359" s="89"/>
      <c r="D359" s="55"/>
      <c r="E359" s="115"/>
      <c r="F359" s="150"/>
      <c r="G359" s="188"/>
      <c r="H359" s="189"/>
      <c r="I359" s="115"/>
      <c r="J359" s="150"/>
      <c r="K359" s="89"/>
      <c r="L359" s="55"/>
      <c r="M359" s="115"/>
      <c r="N359" s="190"/>
      <c r="O359" s="89"/>
      <c r="P359" s="55"/>
      <c r="Q359" s="191"/>
      <c r="R359" s="192"/>
      <c r="S359" s="121"/>
      <c r="T359" s="122"/>
      <c r="U359" s="191"/>
      <c r="V359" s="192"/>
      <c r="W359" s="121"/>
      <c r="X359" s="122"/>
      <c r="Y359" s="115"/>
      <c r="Z359" s="193"/>
      <c r="AA359" s="194"/>
      <c r="AB359" s="195"/>
      <c r="AC359" s="115"/>
      <c r="AD359" s="192"/>
      <c r="AE359" s="196"/>
      <c r="AF359" s="197"/>
      <c r="AG359" s="201"/>
      <c r="AH359" s="201"/>
      <c r="AI359" s="201"/>
      <c r="AJ359" s="201"/>
      <c r="AK359" s="122"/>
      <c r="AL359" s="122"/>
    </row>
    <row r="360">
      <c r="A360" s="115"/>
      <c r="B360" s="150"/>
      <c r="C360" s="89"/>
      <c r="D360" s="55"/>
      <c r="E360" s="115"/>
      <c r="F360" s="150"/>
      <c r="G360" s="188"/>
      <c r="H360" s="189"/>
      <c r="I360" s="115"/>
      <c r="J360" s="150"/>
      <c r="K360" s="89"/>
      <c r="L360" s="55"/>
      <c r="M360" s="115"/>
      <c r="N360" s="190"/>
      <c r="O360" s="89"/>
      <c r="P360" s="55"/>
      <c r="Q360" s="191"/>
      <c r="R360" s="192"/>
      <c r="S360" s="121"/>
      <c r="T360" s="122"/>
      <c r="U360" s="191"/>
      <c r="V360" s="192"/>
      <c r="W360" s="121"/>
      <c r="X360" s="122"/>
      <c r="Y360" s="115"/>
      <c r="Z360" s="193"/>
      <c r="AA360" s="194"/>
      <c r="AB360" s="195"/>
      <c r="AC360" s="115"/>
      <c r="AD360" s="192"/>
      <c r="AE360" s="196"/>
      <c r="AF360" s="197"/>
      <c r="AG360" s="201"/>
      <c r="AH360" s="201"/>
      <c r="AI360" s="201"/>
      <c r="AJ360" s="201"/>
      <c r="AK360" s="122"/>
      <c r="AL360" s="122"/>
    </row>
    <row r="361">
      <c r="A361" s="115"/>
      <c r="B361" s="150"/>
      <c r="C361" s="89"/>
      <c r="D361" s="55"/>
      <c r="E361" s="115"/>
      <c r="F361" s="150"/>
      <c r="G361" s="188"/>
      <c r="H361" s="189"/>
      <c r="I361" s="115"/>
      <c r="J361" s="150"/>
      <c r="K361" s="89"/>
      <c r="L361" s="55"/>
      <c r="M361" s="115"/>
      <c r="N361" s="190"/>
      <c r="O361" s="89"/>
      <c r="P361" s="55"/>
      <c r="Q361" s="191"/>
      <c r="R361" s="192"/>
      <c r="S361" s="121"/>
      <c r="T361" s="122"/>
      <c r="U361" s="191"/>
      <c r="V361" s="192"/>
      <c r="W361" s="121"/>
      <c r="X361" s="122"/>
      <c r="Y361" s="115"/>
      <c r="Z361" s="193"/>
      <c r="AA361" s="194"/>
      <c r="AB361" s="195"/>
      <c r="AC361" s="115"/>
      <c r="AD361" s="192"/>
      <c r="AE361" s="196"/>
      <c r="AF361" s="197"/>
      <c r="AG361" s="201"/>
      <c r="AH361" s="201"/>
      <c r="AI361" s="201"/>
      <c r="AJ361" s="201"/>
      <c r="AK361" s="122"/>
      <c r="AL361" s="122"/>
    </row>
    <row r="362">
      <c r="A362" s="115"/>
      <c r="B362" s="150"/>
      <c r="C362" s="89"/>
      <c r="D362" s="55"/>
      <c r="E362" s="115"/>
      <c r="F362" s="150"/>
      <c r="G362" s="188"/>
      <c r="H362" s="189"/>
      <c r="I362" s="115"/>
      <c r="J362" s="150"/>
      <c r="K362" s="89"/>
      <c r="L362" s="55"/>
      <c r="M362" s="115"/>
      <c r="N362" s="190"/>
      <c r="O362" s="89"/>
      <c r="P362" s="55"/>
      <c r="Q362" s="191"/>
      <c r="R362" s="192"/>
      <c r="S362" s="121"/>
      <c r="T362" s="122"/>
      <c r="U362" s="191"/>
      <c r="V362" s="192"/>
      <c r="W362" s="121"/>
      <c r="X362" s="122"/>
      <c r="Y362" s="115"/>
      <c r="Z362" s="193"/>
      <c r="AA362" s="194"/>
      <c r="AB362" s="195"/>
      <c r="AC362" s="115"/>
      <c r="AD362" s="192"/>
      <c r="AE362" s="196"/>
      <c r="AF362" s="197"/>
      <c r="AG362" s="201"/>
      <c r="AH362" s="201"/>
      <c r="AI362" s="201"/>
      <c r="AJ362" s="201"/>
      <c r="AK362" s="122"/>
      <c r="AL362" s="122"/>
    </row>
    <row r="363">
      <c r="A363" s="115"/>
      <c r="B363" s="150"/>
      <c r="C363" s="89"/>
      <c r="D363" s="55"/>
      <c r="E363" s="115"/>
      <c r="F363" s="150"/>
      <c r="G363" s="188"/>
      <c r="H363" s="189"/>
      <c r="I363" s="115"/>
      <c r="J363" s="150"/>
      <c r="K363" s="89"/>
      <c r="L363" s="55"/>
      <c r="M363" s="115"/>
      <c r="N363" s="190"/>
      <c r="O363" s="89"/>
      <c r="P363" s="55"/>
      <c r="Q363" s="191"/>
      <c r="R363" s="192"/>
      <c r="S363" s="121"/>
      <c r="T363" s="122"/>
      <c r="U363" s="191"/>
      <c r="V363" s="192"/>
      <c r="W363" s="121"/>
      <c r="X363" s="122"/>
      <c r="Y363" s="115"/>
      <c r="Z363" s="193"/>
      <c r="AA363" s="194"/>
      <c r="AB363" s="195"/>
      <c r="AC363" s="115"/>
      <c r="AD363" s="192"/>
      <c r="AE363" s="196"/>
      <c r="AF363" s="197"/>
      <c r="AG363" s="201"/>
      <c r="AH363" s="201"/>
      <c r="AI363" s="201"/>
      <c r="AJ363" s="201"/>
      <c r="AK363" s="122"/>
      <c r="AL363" s="122"/>
    </row>
    <row r="364">
      <c r="A364" s="115"/>
      <c r="B364" s="150"/>
      <c r="C364" s="89"/>
      <c r="D364" s="55"/>
      <c r="E364" s="115"/>
      <c r="F364" s="150"/>
      <c r="G364" s="188"/>
      <c r="H364" s="189"/>
      <c r="I364" s="115"/>
      <c r="J364" s="150"/>
      <c r="K364" s="89"/>
      <c r="L364" s="55"/>
      <c r="M364" s="115"/>
      <c r="N364" s="190"/>
      <c r="O364" s="89"/>
      <c r="P364" s="55"/>
      <c r="Q364" s="191"/>
      <c r="R364" s="192"/>
      <c r="S364" s="121"/>
      <c r="T364" s="122"/>
      <c r="U364" s="191"/>
      <c r="V364" s="192"/>
      <c r="W364" s="121"/>
      <c r="X364" s="122"/>
      <c r="Y364" s="115"/>
      <c r="Z364" s="193"/>
      <c r="AA364" s="194"/>
      <c r="AB364" s="195"/>
      <c r="AC364" s="115"/>
      <c r="AD364" s="192"/>
      <c r="AE364" s="196"/>
      <c r="AF364" s="197"/>
      <c r="AG364" s="201"/>
      <c r="AH364" s="201"/>
      <c r="AI364" s="201"/>
      <c r="AJ364" s="201"/>
      <c r="AK364" s="122"/>
      <c r="AL364" s="122"/>
    </row>
    <row r="365">
      <c r="A365" s="115"/>
      <c r="B365" s="150"/>
      <c r="C365" s="89"/>
      <c r="D365" s="55"/>
      <c r="E365" s="115"/>
      <c r="F365" s="150"/>
      <c r="G365" s="188"/>
      <c r="H365" s="189"/>
      <c r="I365" s="115"/>
      <c r="J365" s="150"/>
      <c r="K365" s="89"/>
      <c r="L365" s="55"/>
      <c r="M365" s="115"/>
      <c r="N365" s="190"/>
      <c r="O365" s="89"/>
      <c r="P365" s="55"/>
      <c r="Q365" s="191"/>
      <c r="R365" s="192"/>
      <c r="S365" s="121"/>
      <c r="T365" s="122"/>
      <c r="U365" s="191"/>
      <c r="V365" s="192"/>
      <c r="W365" s="121"/>
      <c r="X365" s="122"/>
      <c r="Y365" s="115"/>
      <c r="Z365" s="193"/>
      <c r="AA365" s="194"/>
      <c r="AB365" s="195"/>
      <c r="AC365" s="115"/>
      <c r="AD365" s="192"/>
      <c r="AE365" s="196"/>
      <c r="AF365" s="197"/>
      <c r="AG365" s="201"/>
      <c r="AH365" s="201"/>
      <c r="AI365" s="201"/>
      <c r="AJ365" s="201"/>
      <c r="AK365" s="122"/>
      <c r="AL365" s="122"/>
    </row>
    <row r="366">
      <c r="A366" s="115"/>
      <c r="B366" s="150"/>
      <c r="C366" s="89"/>
      <c r="D366" s="55"/>
      <c r="E366" s="115"/>
      <c r="F366" s="150"/>
      <c r="G366" s="188"/>
      <c r="H366" s="189"/>
      <c r="I366" s="115"/>
      <c r="J366" s="150"/>
      <c r="K366" s="89"/>
      <c r="L366" s="55"/>
      <c r="M366" s="115"/>
      <c r="N366" s="190"/>
      <c r="O366" s="89"/>
      <c r="P366" s="55"/>
      <c r="Q366" s="191"/>
      <c r="R366" s="192"/>
      <c r="S366" s="121"/>
      <c r="T366" s="122"/>
      <c r="U366" s="191"/>
      <c r="V366" s="192"/>
      <c r="W366" s="121"/>
      <c r="X366" s="122"/>
      <c r="Y366" s="115"/>
      <c r="Z366" s="193"/>
      <c r="AA366" s="194"/>
      <c r="AB366" s="195"/>
      <c r="AC366" s="115"/>
      <c r="AD366" s="192"/>
      <c r="AE366" s="196"/>
      <c r="AF366" s="197"/>
      <c r="AG366" s="201"/>
      <c r="AH366" s="201"/>
      <c r="AI366" s="201"/>
      <c r="AJ366" s="201"/>
      <c r="AK366" s="122"/>
      <c r="AL366" s="122"/>
    </row>
    <row r="367">
      <c r="A367" s="115"/>
      <c r="B367" s="150"/>
      <c r="C367" s="89"/>
      <c r="D367" s="55"/>
      <c r="E367" s="115"/>
      <c r="F367" s="150"/>
      <c r="G367" s="188"/>
      <c r="H367" s="189"/>
      <c r="I367" s="115"/>
      <c r="J367" s="150"/>
      <c r="K367" s="89"/>
      <c r="L367" s="55"/>
      <c r="M367" s="115"/>
      <c r="N367" s="190"/>
      <c r="O367" s="89"/>
      <c r="P367" s="55"/>
      <c r="Q367" s="191"/>
      <c r="R367" s="192"/>
      <c r="S367" s="121"/>
      <c r="T367" s="122"/>
      <c r="U367" s="191"/>
      <c r="V367" s="192"/>
      <c r="W367" s="121"/>
      <c r="X367" s="122"/>
      <c r="Y367" s="115"/>
      <c r="Z367" s="193"/>
      <c r="AA367" s="194"/>
      <c r="AB367" s="195"/>
      <c r="AC367" s="115"/>
      <c r="AD367" s="192"/>
      <c r="AE367" s="196"/>
      <c r="AF367" s="197"/>
      <c r="AG367" s="201"/>
      <c r="AH367" s="201"/>
      <c r="AI367" s="201"/>
      <c r="AJ367" s="201"/>
      <c r="AK367" s="122"/>
      <c r="AL367" s="122"/>
    </row>
    <row r="368">
      <c r="A368" s="115"/>
      <c r="B368" s="150"/>
      <c r="C368" s="89"/>
      <c r="D368" s="55"/>
      <c r="E368" s="115"/>
      <c r="F368" s="150"/>
      <c r="G368" s="188"/>
      <c r="H368" s="189"/>
      <c r="I368" s="115"/>
      <c r="J368" s="150"/>
      <c r="K368" s="89"/>
      <c r="L368" s="55"/>
      <c r="M368" s="115"/>
      <c r="N368" s="190"/>
      <c r="O368" s="89"/>
      <c r="P368" s="55"/>
      <c r="Q368" s="191"/>
      <c r="R368" s="192"/>
      <c r="S368" s="121"/>
      <c r="T368" s="122"/>
      <c r="U368" s="191"/>
      <c r="V368" s="192"/>
      <c r="W368" s="121"/>
      <c r="X368" s="122"/>
      <c r="Y368" s="115"/>
      <c r="Z368" s="193"/>
      <c r="AA368" s="194"/>
      <c r="AB368" s="195"/>
      <c r="AC368" s="115"/>
      <c r="AD368" s="192"/>
      <c r="AE368" s="196"/>
      <c r="AF368" s="197"/>
      <c r="AG368" s="201"/>
      <c r="AH368" s="201"/>
      <c r="AI368" s="201"/>
      <c r="AJ368" s="201"/>
      <c r="AK368" s="122"/>
      <c r="AL368" s="122"/>
    </row>
    <row r="369">
      <c r="A369" s="115"/>
      <c r="B369" s="150"/>
      <c r="C369" s="89"/>
      <c r="D369" s="55"/>
      <c r="E369" s="115"/>
      <c r="F369" s="150"/>
      <c r="G369" s="188"/>
      <c r="H369" s="189"/>
      <c r="I369" s="115"/>
      <c r="J369" s="150"/>
      <c r="K369" s="89"/>
      <c r="L369" s="55"/>
      <c r="M369" s="115"/>
      <c r="N369" s="190"/>
      <c r="O369" s="89"/>
      <c r="P369" s="55"/>
      <c r="Q369" s="191"/>
      <c r="R369" s="192"/>
      <c r="S369" s="121"/>
      <c r="T369" s="122"/>
      <c r="U369" s="191"/>
      <c r="V369" s="192"/>
      <c r="W369" s="121"/>
      <c r="X369" s="122"/>
      <c r="Y369" s="115"/>
      <c r="Z369" s="193"/>
      <c r="AA369" s="194"/>
      <c r="AB369" s="195"/>
      <c r="AC369" s="115"/>
      <c r="AD369" s="192"/>
      <c r="AE369" s="196"/>
      <c r="AF369" s="197"/>
      <c r="AG369" s="201"/>
      <c r="AH369" s="201"/>
      <c r="AI369" s="201"/>
      <c r="AJ369" s="201"/>
      <c r="AK369" s="122"/>
      <c r="AL369" s="122"/>
    </row>
    <row r="370">
      <c r="A370" s="115"/>
      <c r="B370" s="150"/>
      <c r="C370" s="89"/>
      <c r="D370" s="55"/>
      <c r="E370" s="115"/>
      <c r="F370" s="150"/>
      <c r="G370" s="188"/>
      <c r="H370" s="189"/>
      <c r="I370" s="115"/>
      <c r="J370" s="150"/>
      <c r="K370" s="89"/>
      <c r="L370" s="55"/>
      <c r="M370" s="115"/>
      <c r="N370" s="190"/>
      <c r="O370" s="89"/>
      <c r="P370" s="55"/>
      <c r="Q370" s="191"/>
      <c r="R370" s="192"/>
      <c r="S370" s="121"/>
      <c r="T370" s="122"/>
      <c r="U370" s="191"/>
      <c r="V370" s="192"/>
      <c r="W370" s="121"/>
      <c r="X370" s="122"/>
      <c r="Y370" s="115"/>
      <c r="Z370" s="193"/>
      <c r="AA370" s="194"/>
      <c r="AB370" s="195"/>
      <c r="AC370" s="115"/>
      <c r="AD370" s="192"/>
      <c r="AE370" s="196"/>
      <c r="AF370" s="197"/>
      <c r="AG370" s="201"/>
      <c r="AH370" s="201"/>
      <c r="AI370" s="201"/>
      <c r="AJ370" s="201"/>
      <c r="AK370" s="122"/>
      <c r="AL370" s="122"/>
    </row>
    <row r="371">
      <c r="A371" s="115"/>
      <c r="B371" s="150"/>
      <c r="C371" s="89"/>
      <c r="D371" s="55"/>
      <c r="E371" s="115"/>
      <c r="F371" s="150"/>
      <c r="G371" s="188"/>
      <c r="H371" s="189"/>
      <c r="I371" s="115"/>
      <c r="J371" s="150"/>
      <c r="K371" s="89"/>
      <c r="L371" s="55"/>
      <c r="M371" s="115"/>
      <c r="N371" s="190"/>
      <c r="O371" s="89"/>
      <c r="P371" s="55"/>
      <c r="Q371" s="191"/>
      <c r="R371" s="192"/>
      <c r="S371" s="121"/>
      <c r="T371" s="122"/>
      <c r="U371" s="191"/>
      <c r="V371" s="192"/>
      <c r="W371" s="121"/>
      <c r="X371" s="122"/>
      <c r="Y371" s="115"/>
      <c r="Z371" s="193"/>
      <c r="AA371" s="194"/>
      <c r="AB371" s="195"/>
      <c r="AC371" s="115"/>
      <c r="AD371" s="192"/>
      <c r="AE371" s="196"/>
      <c r="AF371" s="197"/>
      <c r="AG371" s="201"/>
      <c r="AH371" s="201"/>
      <c r="AI371" s="201"/>
      <c r="AJ371" s="201"/>
      <c r="AK371" s="122"/>
      <c r="AL371" s="122"/>
    </row>
    <row r="372">
      <c r="A372" s="115"/>
      <c r="B372" s="150"/>
      <c r="C372" s="89"/>
      <c r="D372" s="55"/>
      <c r="E372" s="115"/>
      <c r="F372" s="150"/>
      <c r="G372" s="188"/>
      <c r="H372" s="189"/>
      <c r="I372" s="115"/>
      <c r="J372" s="150"/>
      <c r="K372" s="89"/>
      <c r="L372" s="55"/>
      <c r="M372" s="115"/>
      <c r="N372" s="190"/>
      <c r="O372" s="89"/>
      <c r="P372" s="55"/>
      <c r="Q372" s="191"/>
      <c r="R372" s="192"/>
      <c r="S372" s="121"/>
      <c r="T372" s="122"/>
      <c r="U372" s="191"/>
      <c r="V372" s="192"/>
      <c r="W372" s="121"/>
      <c r="X372" s="122"/>
      <c r="Y372" s="115"/>
      <c r="Z372" s="193"/>
      <c r="AA372" s="194"/>
      <c r="AB372" s="195"/>
      <c r="AC372" s="115"/>
      <c r="AD372" s="192"/>
      <c r="AE372" s="196"/>
      <c r="AF372" s="197"/>
      <c r="AG372" s="201"/>
      <c r="AH372" s="201"/>
      <c r="AI372" s="201"/>
      <c r="AJ372" s="201"/>
      <c r="AK372" s="122"/>
      <c r="AL372" s="122"/>
    </row>
    <row r="373">
      <c r="A373" s="115"/>
      <c r="B373" s="150"/>
      <c r="C373" s="89"/>
      <c r="D373" s="55"/>
      <c r="E373" s="115"/>
      <c r="F373" s="150"/>
      <c r="G373" s="188"/>
      <c r="H373" s="189"/>
      <c r="I373" s="115"/>
      <c r="J373" s="150"/>
      <c r="K373" s="89"/>
      <c r="L373" s="55"/>
      <c r="M373" s="115"/>
      <c r="N373" s="190"/>
      <c r="O373" s="89"/>
      <c r="P373" s="55"/>
      <c r="Q373" s="191"/>
      <c r="R373" s="192"/>
      <c r="S373" s="121"/>
      <c r="T373" s="122"/>
      <c r="U373" s="191"/>
      <c r="V373" s="192"/>
      <c r="W373" s="121"/>
      <c r="X373" s="122"/>
      <c r="Y373" s="115"/>
      <c r="Z373" s="193"/>
      <c r="AA373" s="194"/>
      <c r="AB373" s="195"/>
      <c r="AC373" s="115"/>
      <c r="AD373" s="192"/>
      <c r="AE373" s="196"/>
      <c r="AF373" s="197"/>
      <c r="AG373" s="201"/>
      <c r="AH373" s="201"/>
      <c r="AI373" s="201"/>
      <c r="AJ373" s="201"/>
      <c r="AK373" s="122"/>
      <c r="AL373" s="122"/>
    </row>
    <row r="374">
      <c r="A374" s="115"/>
      <c r="B374" s="150"/>
      <c r="C374" s="89"/>
      <c r="D374" s="55"/>
      <c r="E374" s="115"/>
      <c r="F374" s="150"/>
      <c r="G374" s="188"/>
      <c r="H374" s="189"/>
      <c r="I374" s="115"/>
      <c r="J374" s="150"/>
      <c r="K374" s="89"/>
      <c r="L374" s="55"/>
      <c r="M374" s="115"/>
      <c r="N374" s="190"/>
      <c r="O374" s="89"/>
      <c r="P374" s="55"/>
      <c r="Q374" s="191"/>
      <c r="R374" s="192"/>
      <c r="S374" s="121"/>
      <c r="T374" s="122"/>
      <c r="U374" s="191"/>
      <c r="V374" s="192"/>
      <c r="W374" s="121"/>
      <c r="X374" s="122"/>
      <c r="Y374" s="115"/>
      <c r="Z374" s="193"/>
      <c r="AA374" s="194"/>
      <c r="AB374" s="195"/>
      <c r="AC374" s="115"/>
      <c r="AD374" s="192"/>
      <c r="AE374" s="196"/>
      <c r="AF374" s="197"/>
      <c r="AG374" s="201"/>
      <c r="AH374" s="201"/>
      <c r="AI374" s="201"/>
      <c r="AJ374" s="201"/>
      <c r="AK374" s="122"/>
      <c r="AL374" s="122"/>
    </row>
    <row r="375">
      <c r="A375" s="115"/>
      <c r="B375" s="150"/>
      <c r="C375" s="89"/>
      <c r="D375" s="55"/>
      <c r="E375" s="115"/>
      <c r="F375" s="150"/>
      <c r="G375" s="188"/>
      <c r="H375" s="189"/>
      <c r="I375" s="115"/>
      <c r="J375" s="150"/>
      <c r="K375" s="89"/>
      <c r="L375" s="55"/>
      <c r="M375" s="115"/>
      <c r="N375" s="190"/>
      <c r="O375" s="89"/>
      <c r="P375" s="55"/>
      <c r="Q375" s="191"/>
      <c r="R375" s="192"/>
      <c r="S375" s="121"/>
      <c r="T375" s="122"/>
      <c r="U375" s="191"/>
      <c r="V375" s="192"/>
      <c r="W375" s="121"/>
      <c r="X375" s="122"/>
      <c r="Y375" s="115"/>
      <c r="Z375" s="193"/>
      <c r="AA375" s="194"/>
      <c r="AB375" s="195"/>
      <c r="AC375" s="115"/>
      <c r="AD375" s="192"/>
      <c r="AE375" s="196"/>
      <c r="AF375" s="197"/>
      <c r="AG375" s="201"/>
      <c r="AH375" s="201"/>
      <c r="AI375" s="201"/>
      <c r="AJ375" s="201"/>
      <c r="AK375" s="122"/>
      <c r="AL375" s="122"/>
    </row>
    <row r="376">
      <c r="A376" s="115"/>
      <c r="B376" s="150"/>
      <c r="C376" s="89"/>
      <c r="D376" s="55"/>
      <c r="E376" s="115"/>
      <c r="F376" s="150"/>
      <c r="G376" s="188"/>
      <c r="H376" s="189"/>
      <c r="I376" s="115"/>
      <c r="J376" s="150"/>
      <c r="K376" s="89"/>
      <c r="L376" s="55"/>
      <c r="M376" s="115"/>
      <c r="N376" s="190"/>
      <c r="O376" s="89"/>
      <c r="P376" s="55"/>
      <c r="Q376" s="191"/>
      <c r="R376" s="192"/>
      <c r="S376" s="121"/>
      <c r="T376" s="122"/>
      <c r="U376" s="191"/>
      <c r="V376" s="192"/>
      <c r="W376" s="121"/>
      <c r="X376" s="122"/>
      <c r="Y376" s="115"/>
      <c r="Z376" s="193"/>
      <c r="AA376" s="194"/>
      <c r="AB376" s="195"/>
      <c r="AC376" s="115"/>
      <c r="AD376" s="192"/>
      <c r="AE376" s="196"/>
      <c r="AF376" s="197"/>
      <c r="AG376" s="201"/>
      <c r="AH376" s="201"/>
      <c r="AI376" s="201"/>
      <c r="AJ376" s="201"/>
      <c r="AK376" s="122"/>
      <c r="AL376" s="122"/>
    </row>
    <row r="377">
      <c r="A377" s="115"/>
      <c r="B377" s="150"/>
      <c r="C377" s="89"/>
      <c r="D377" s="55"/>
      <c r="E377" s="115"/>
      <c r="F377" s="150"/>
      <c r="G377" s="188"/>
      <c r="H377" s="189"/>
      <c r="I377" s="115"/>
      <c r="J377" s="150"/>
      <c r="K377" s="89"/>
      <c r="L377" s="55"/>
      <c r="M377" s="115"/>
      <c r="N377" s="190"/>
      <c r="O377" s="89"/>
      <c r="P377" s="55"/>
      <c r="Q377" s="191"/>
      <c r="R377" s="192"/>
      <c r="S377" s="121"/>
      <c r="T377" s="122"/>
      <c r="U377" s="191"/>
      <c r="V377" s="192"/>
      <c r="W377" s="121"/>
      <c r="X377" s="122"/>
      <c r="Y377" s="115"/>
      <c r="Z377" s="193"/>
      <c r="AA377" s="194"/>
      <c r="AB377" s="195"/>
      <c r="AC377" s="115"/>
      <c r="AD377" s="192"/>
      <c r="AE377" s="196"/>
      <c r="AF377" s="197"/>
      <c r="AG377" s="201"/>
      <c r="AH377" s="201"/>
      <c r="AI377" s="201"/>
      <c r="AJ377" s="201"/>
      <c r="AK377" s="122"/>
      <c r="AL377" s="122"/>
    </row>
    <row r="378">
      <c r="A378" s="115"/>
      <c r="B378" s="150"/>
      <c r="C378" s="89"/>
      <c r="D378" s="55"/>
      <c r="E378" s="115"/>
      <c r="F378" s="150"/>
      <c r="G378" s="188"/>
      <c r="H378" s="189"/>
      <c r="I378" s="115"/>
      <c r="J378" s="150"/>
      <c r="K378" s="89"/>
      <c r="L378" s="55"/>
      <c r="M378" s="115"/>
      <c r="N378" s="190"/>
      <c r="O378" s="89"/>
      <c r="P378" s="55"/>
      <c r="Q378" s="191"/>
      <c r="R378" s="192"/>
      <c r="S378" s="121"/>
      <c r="T378" s="122"/>
      <c r="U378" s="191"/>
      <c r="V378" s="192"/>
      <c r="W378" s="121"/>
      <c r="X378" s="122"/>
      <c r="Y378" s="115"/>
      <c r="Z378" s="193"/>
      <c r="AA378" s="194"/>
      <c r="AB378" s="195"/>
      <c r="AC378" s="115"/>
      <c r="AD378" s="192"/>
      <c r="AE378" s="196"/>
      <c r="AF378" s="197"/>
      <c r="AG378" s="201"/>
      <c r="AH378" s="201"/>
      <c r="AI378" s="201"/>
      <c r="AJ378" s="201"/>
      <c r="AK378" s="122"/>
      <c r="AL378" s="122"/>
    </row>
    <row r="379">
      <c r="A379" s="115"/>
      <c r="B379" s="150"/>
      <c r="C379" s="89"/>
      <c r="D379" s="55"/>
      <c r="E379" s="115"/>
      <c r="F379" s="150"/>
      <c r="G379" s="188"/>
      <c r="H379" s="189"/>
      <c r="I379" s="115"/>
      <c r="J379" s="150"/>
      <c r="K379" s="89"/>
      <c r="L379" s="55"/>
      <c r="M379" s="115"/>
      <c r="N379" s="190"/>
      <c r="O379" s="89"/>
      <c r="P379" s="55"/>
      <c r="Q379" s="191"/>
      <c r="R379" s="192"/>
      <c r="S379" s="121"/>
      <c r="T379" s="122"/>
      <c r="U379" s="191"/>
      <c r="V379" s="192"/>
      <c r="W379" s="121"/>
      <c r="X379" s="122"/>
      <c r="Y379" s="115"/>
      <c r="Z379" s="193"/>
      <c r="AA379" s="194"/>
      <c r="AB379" s="195"/>
      <c r="AC379" s="115"/>
      <c r="AD379" s="192"/>
      <c r="AE379" s="196"/>
      <c r="AF379" s="197"/>
      <c r="AG379" s="201"/>
      <c r="AH379" s="201"/>
      <c r="AI379" s="201"/>
      <c r="AJ379" s="201"/>
      <c r="AK379" s="122"/>
      <c r="AL379" s="122"/>
    </row>
    <row r="380">
      <c r="A380" s="115"/>
      <c r="B380" s="150"/>
      <c r="C380" s="89"/>
      <c r="D380" s="55"/>
      <c r="E380" s="115"/>
      <c r="F380" s="150"/>
      <c r="G380" s="188"/>
      <c r="H380" s="189"/>
      <c r="I380" s="115"/>
      <c r="J380" s="150"/>
      <c r="K380" s="89"/>
      <c r="L380" s="55"/>
      <c r="M380" s="115"/>
      <c r="N380" s="190"/>
      <c r="O380" s="89"/>
      <c r="P380" s="55"/>
      <c r="Q380" s="191"/>
      <c r="R380" s="192"/>
      <c r="S380" s="121"/>
      <c r="T380" s="122"/>
      <c r="U380" s="191"/>
      <c r="V380" s="192"/>
      <c r="W380" s="121"/>
      <c r="X380" s="122"/>
      <c r="Y380" s="115"/>
      <c r="Z380" s="193"/>
      <c r="AA380" s="194"/>
      <c r="AB380" s="195"/>
      <c r="AC380" s="115"/>
      <c r="AD380" s="192"/>
      <c r="AE380" s="196"/>
      <c r="AF380" s="197"/>
      <c r="AG380" s="201"/>
      <c r="AH380" s="201"/>
      <c r="AI380" s="201"/>
      <c r="AJ380" s="201"/>
      <c r="AK380" s="122"/>
      <c r="AL380" s="122"/>
    </row>
    <row r="381">
      <c r="A381" s="115"/>
      <c r="B381" s="150"/>
      <c r="C381" s="89"/>
      <c r="D381" s="55"/>
      <c r="E381" s="115"/>
      <c r="F381" s="150"/>
      <c r="G381" s="188"/>
      <c r="H381" s="189"/>
      <c r="I381" s="115"/>
      <c r="J381" s="150"/>
      <c r="K381" s="89"/>
      <c r="L381" s="55"/>
      <c r="M381" s="115"/>
      <c r="N381" s="190"/>
      <c r="O381" s="89"/>
      <c r="P381" s="55"/>
      <c r="Q381" s="191"/>
      <c r="R381" s="192"/>
      <c r="S381" s="121"/>
      <c r="T381" s="122"/>
      <c r="U381" s="191"/>
      <c r="V381" s="192"/>
      <c r="W381" s="121"/>
      <c r="X381" s="122"/>
      <c r="Y381" s="115"/>
      <c r="Z381" s="193"/>
      <c r="AA381" s="194"/>
      <c r="AB381" s="195"/>
      <c r="AC381" s="115"/>
      <c r="AD381" s="192"/>
      <c r="AE381" s="196"/>
      <c r="AF381" s="197"/>
      <c r="AG381" s="201"/>
      <c r="AH381" s="201"/>
      <c r="AI381" s="201"/>
      <c r="AJ381" s="201"/>
      <c r="AK381" s="122"/>
      <c r="AL381" s="122"/>
    </row>
    <row r="382">
      <c r="A382" s="115"/>
      <c r="B382" s="150"/>
      <c r="C382" s="89"/>
      <c r="D382" s="55"/>
      <c r="E382" s="115"/>
      <c r="F382" s="150"/>
      <c r="G382" s="188"/>
      <c r="H382" s="189"/>
      <c r="I382" s="115"/>
      <c r="J382" s="150"/>
      <c r="K382" s="89"/>
      <c r="L382" s="55"/>
      <c r="M382" s="115"/>
      <c r="N382" s="190"/>
      <c r="O382" s="89"/>
      <c r="P382" s="55"/>
      <c r="Q382" s="191"/>
      <c r="R382" s="192"/>
      <c r="S382" s="121"/>
      <c r="T382" s="122"/>
      <c r="U382" s="191"/>
      <c r="V382" s="192"/>
      <c r="W382" s="121"/>
      <c r="X382" s="122"/>
      <c r="Y382" s="115"/>
      <c r="Z382" s="193"/>
      <c r="AA382" s="194"/>
      <c r="AB382" s="195"/>
      <c r="AC382" s="115"/>
      <c r="AD382" s="192"/>
      <c r="AE382" s="196"/>
      <c r="AF382" s="197"/>
      <c r="AG382" s="201"/>
      <c r="AH382" s="201"/>
      <c r="AI382" s="201"/>
      <c r="AJ382" s="201"/>
      <c r="AK382" s="122"/>
      <c r="AL382" s="122"/>
    </row>
    <row r="383">
      <c r="A383" s="115"/>
      <c r="B383" s="150"/>
      <c r="C383" s="89"/>
      <c r="D383" s="55"/>
      <c r="E383" s="115"/>
      <c r="F383" s="150"/>
      <c r="G383" s="188"/>
      <c r="H383" s="189"/>
      <c r="I383" s="115"/>
      <c r="J383" s="150"/>
      <c r="K383" s="89"/>
      <c r="L383" s="55"/>
      <c r="M383" s="115"/>
      <c r="N383" s="190"/>
      <c r="O383" s="89"/>
      <c r="P383" s="55"/>
      <c r="Q383" s="191"/>
      <c r="R383" s="192"/>
      <c r="S383" s="121"/>
      <c r="T383" s="122"/>
      <c r="U383" s="191"/>
      <c r="V383" s="192"/>
      <c r="W383" s="121"/>
      <c r="X383" s="122"/>
      <c r="Y383" s="115"/>
      <c r="Z383" s="193"/>
      <c r="AA383" s="194"/>
      <c r="AB383" s="195"/>
      <c r="AC383" s="115"/>
      <c r="AD383" s="192"/>
      <c r="AE383" s="196"/>
      <c r="AF383" s="197"/>
      <c r="AG383" s="201"/>
      <c r="AH383" s="201"/>
      <c r="AI383" s="201"/>
      <c r="AJ383" s="201"/>
      <c r="AK383" s="122"/>
      <c r="AL383" s="122"/>
    </row>
    <row r="384">
      <c r="A384" s="115"/>
      <c r="B384" s="150"/>
      <c r="C384" s="89"/>
      <c r="D384" s="55"/>
      <c r="E384" s="115"/>
      <c r="F384" s="150"/>
      <c r="G384" s="188"/>
      <c r="H384" s="189"/>
      <c r="I384" s="115"/>
      <c r="J384" s="150"/>
      <c r="K384" s="89"/>
      <c r="L384" s="55"/>
      <c r="M384" s="115"/>
      <c r="N384" s="190"/>
      <c r="O384" s="89"/>
      <c r="P384" s="55"/>
      <c r="Q384" s="191"/>
      <c r="R384" s="192"/>
      <c r="S384" s="121"/>
      <c r="T384" s="122"/>
      <c r="U384" s="191"/>
      <c r="V384" s="192"/>
      <c r="W384" s="121"/>
      <c r="X384" s="122"/>
      <c r="Y384" s="115"/>
      <c r="Z384" s="193"/>
      <c r="AA384" s="194"/>
      <c r="AB384" s="195"/>
      <c r="AC384" s="115"/>
      <c r="AD384" s="192"/>
      <c r="AE384" s="196"/>
      <c r="AF384" s="197"/>
      <c r="AG384" s="201"/>
      <c r="AH384" s="201"/>
      <c r="AI384" s="201"/>
      <c r="AJ384" s="201"/>
      <c r="AK384" s="122"/>
      <c r="AL384" s="122"/>
    </row>
    <row r="385">
      <c r="A385" s="115"/>
      <c r="B385" s="150"/>
      <c r="C385" s="89"/>
      <c r="D385" s="55"/>
      <c r="E385" s="115"/>
      <c r="F385" s="150"/>
      <c r="G385" s="188"/>
      <c r="H385" s="189"/>
      <c r="I385" s="115"/>
      <c r="J385" s="150"/>
      <c r="K385" s="89"/>
      <c r="L385" s="55"/>
      <c r="M385" s="115"/>
      <c r="N385" s="190"/>
      <c r="O385" s="89"/>
      <c r="P385" s="55"/>
      <c r="Q385" s="191"/>
      <c r="R385" s="192"/>
      <c r="S385" s="121"/>
      <c r="T385" s="122"/>
      <c r="U385" s="191"/>
      <c r="V385" s="192"/>
      <c r="W385" s="121"/>
      <c r="X385" s="122"/>
      <c r="Y385" s="115"/>
      <c r="Z385" s="193"/>
      <c r="AA385" s="194"/>
      <c r="AB385" s="195"/>
      <c r="AC385" s="115"/>
      <c r="AD385" s="192"/>
      <c r="AE385" s="196"/>
      <c r="AF385" s="197"/>
      <c r="AG385" s="201"/>
      <c r="AH385" s="201"/>
      <c r="AI385" s="201"/>
      <c r="AJ385" s="201"/>
      <c r="AK385" s="122"/>
      <c r="AL385" s="122"/>
    </row>
    <row r="386">
      <c r="A386" s="115"/>
      <c r="B386" s="150"/>
      <c r="C386" s="89"/>
      <c r="D386" s="55"/>
      <c r="E386" s="115"/>
      <c r="F386" s="150"/>
      <c r="G386" s="188"/>
      <c r="H386" s="189"/>
      <c r="I386" s="115"/>
      <c r="J386" s="150"/>
      <c r="K386" s="89"/>
      <c r="L386" s="55"/>
      <c r="M386" s="115"/>
      <c r="N386" s="190"/>
      <c r="O386" s="89"/>
      <c r="P386" s="55"/>
      <c r="Q386" s="191"/>
      <c r="R386" s="192"/>
      <c r="S386" s="121"/>
      <c r="T386" s="122"/>
      <c r="U386" s="191"/>
      <c r="V386" s="192"/>
      <c r="W386" s="121"/>
      <c r="X386" s="122"/>
      <c r="Y386" s="115"/>
      <c r="Z386" s="193"/>
      <c r="AA386" s="194"/>
      <c r="AB386" s="195"/>
      <c r="AC386" s="115"/>
      <c r="AD386" s="192"/>
      <c r="AE386" s="196"/>
      <c r="AF386" s="197"/>
      <c r="AG386" s="201"/>
      <c r="AH386" s="201"/>
      <c r="AI386" s="201"/>
      <c r="AJ386" s="201"/>
      <c r="AK386" s="122"/>
      <c r="AL386" s="122"/>
    </row>
    <row r="387">
      <c r="A387" s="115"/>
      <c r="B387" s="150"/>
      <c r="C387" s="89"/>
      <c r="D387" s="55"/>
      <c r="E387" s="115"/>
      <c r="F387" s="150"/>
      <c r="G387" s="188"/>
      <c r="H387" s="189"/>
      <c r="I387" s="115"/>
      <c r="J387" s="150"/>
      <c r="K387" s="89"/>
      <c r="L387" s="55"/>
      <c r="M387" s="115"/>
      <c r="N387" s="190"/>
      <c r="O387" s="89"/>
      <c r="P387" s="55"/>
      <c r="Q387" s="191"/>
      <c r="R387" s="192"/>
      <c r="S387" s="121"/>
      <c r="T387" s="122"/>
      <c r="U387" s="191"/>
      <c r="V387" s="192"/>
      <c r="W387" s="121"/>
      <c r="X387" s="122"/>
      <c r="Y387" s="115"/>
      <c r="Z387" s="193"/>
      <c r="AA387" s="194"/>
      <c r="AB387" s="195"/>
      <c r="AC387" s="115"/>
      <c r="AD387" s="192"/>
      <c r="AE387" s="196"/>
      <c r="AF387" s="197"/>
      <c r="AG387" s="201"/>
      <c r="AH387" s="201"/>
      <c r="AI387" s="201"/>
      <c r="AJ387" s="201"/>
      <c r="AK387" s="122"/>
      <c r="AL387" s="122"/>
    </row>
    <row r="388">
      <c r="A388" s="115"/>
      <c r="B388" s="150"/>
      <c r="C388" s="89"/>
      <c r="D388" s="55"/>
      <c r="E388" s="115"/>
      <c r="F388" s="150"/>
      <c r="G388" s="188"/>
      <c r="H388" s="189"/>
      <c r="I388" s="115"/>
      <c r="J388" s="150"/>
      <c r="K388" s="89"/>
      <c r="L388" s="55"/>
      <c r="M388" s="115"/>
      <c r="N388" s="190"/>
      <c r="O388" s="89"/>
      <c r="P388" s="55"/>
      <c r="Q388" s="191"/>
      <c r="R388" s="192"/>
      <c r="S388" s="121"/>
      <c r="T388" s="122"/>
      <c r="U388" s="191"/>
      <c r="V388" s="192"/>
      <c r="W388" s="121"/>
      <c r="X388" s="122"/>
      <c r="Y388" s="115"/>
      <c r="Z388" s="193"/>
      <c r="AA388" s="194"/>
      <c r="AB388" s="195"/>
      <c r="AC388" s="115"/>
      <c r="AD388" s="192"/>
      <c r="AE388" s="196"/>
      <c r="AF388" s="197"/>
      <c r="AG388" s="201"/>
      <c r="AH388" s="201"/>
      <c r="AI388" s="201"/>
      <c r="AJ388" s="201"/>
      <c r="AK388" s="122"/>
      <c r="AL388" s="122"/>
    </row>
    <row r="389">
      <c r="A389" s="115"/>
      <c r="B389" s="150"/>
      <c r="C389" s="89"/>
      <c r="D389" s="55"/>
      <c r="E389" s="115"/>
      <c r="F389" s="150"/>
      <c r="G389" s="188"/>
      <c r="H389" s="189"/>
      <c r="I389" s="115"/>
      <c r="J389" s="150"/>
      <c r="K389" s="89"/>
      <c r="L389" s="55"/>
      <c r="M389" s="115"/>
      <c r="N389" s="190"/>
      <c r="O389" s="89"/>
      <c r="P389" s="55"/>
      <c r="Q389" s="191"/>
      <c r="R389" s="192"/>
      <c r="S389" s="121"/>
      <c r="T389" s="122"/>
      <c r="U389" s="191"/>
      <c r="V389" s="192"/>
      <c r="W389" s="121"/>
      <c r="X389" s="122"/>
      <c r="Y389" s="115"/>
      <c r="Z389" s="193"/>
      <c r="AA389" s="194"/>
      <c r="AB389" s="195"/>
      <c r="AC389" s="115"/>
      <c r="AD389" s="192"/>
      <c r="AE389" s="196"/>
      <c r="AF389" s="197"/>
      <c r="AG389" s="201"/>
      <c r="AH389" s="201"/>
      <c r="AI389" s="201"/>
      <c r="AJ389" s="201"/>
      <c r="AK389" s="122"/>
      <c r="AL389" s="122"/>
    </row>
    <row r="390">
      <c r="A390" s="115"/>
      <c r="B390" s="150"/>
      <c r="C390" s="89"/>
      <c r="D390" s="55"/>
      <c r="E390" s="115"/>
      <c r="F390" s="150"/>
      <c r="G390" s="188"/>
      <c r="H390" s="189"/>
      <c r="I390" s="115"/>
      <c r="J390" s="150"/>
      <c r="K390" s="89"/>
      <c r="L390" s="55"/>
      <c r="M390" s="115"/>
      <c r="N390" s="190"/>
      <c r="O390" s="89"/>
      <c r="P390" s="55"/>
      <c r="Q390" s="191"/>
      <c r="R390" s="192"/>
      <c r="S390" s="121"/>
      <c r="T390" s="122"/>
      <c r="U390" s="191"/>
      <c r="V390" s="192"/>
      <c r="W390" s="121"/>
      <c r="X390" s="122"/>
      <c r="Y390" s="115"/>
      <c r="Z390" s="193"/>
      <c r="AA390" s="194"/>
      <c r="AB390" s="195"/>
      <c r="AC390" s="115"/>
      <c r="AD390" s="192"/>
      <c r="AE390" s="196"/>
      <c r="AF390" s="197"/>
      <c r="AG390" s="201"/>
      <c r="AH390" s="201"/>
      <c r="AI390" s="201"/>
      <c r="AJ390" s="201"/>
      <c r="AK390" s="122"/>
      <c r="AL390" s="122"/>
    </row>
    <row r="391">
      <c r="A391" s="115"/>
      <c r="B391" s="150"/>
      <c r="C391" s="89"/>
      <c r="D391" s="55"/>
      <c r="E391" s="115"/>
      <c r="F391" s="150"/>
      <c r="G391" s="188"/>
      <c r="H391" s="189"/>
      <c r="I391" s="115"/>
      <c r="J391" s="150"/>
      <c r="K391" s="89"/>
      <c r="L391" s="55"/>
      <c r="M391" s="115"/>
      <c r="N391" s="190"/>
      <c r="O391" s="89"/>
      <c r="P391" s="55"/>
      <c r="Q391" s="191"/>
      <c r="R391" s="192"/>
      <c r="S391" s="121"/>
      <c r="T391" s="122"/>
      <c r="U391" s="191"/>
      <c r="V391" s="192"/>
      <c r="W391" s="121"/>
      <c r="X391" s="122"/>
      <c r="Y391" s="115"/>
      <c r="Z391" s="193"/>
      <c r="AA391" s="194"/>
      <c r="AB391" s="195"/>
      <c r="AC391" s="115"/>
      <c r="AD391" s="192"/>
      <c r="AE391" s="196"/>
      <c r="AF391" s="197"/>
      <c r="AG391" s="201"/>
      <c r="AH391" s="201"/>
      <c r="AI391" s="201"/>
      <c r="AJ391" s="201"/>
      <c r="AK391" s="122"/>
      <c r="AL391" s="122"/>
    </row>
    <row r="392">
      <c r="A392" s="115"/>
      <c r="B392" s="150"/>
      <c r="C392" s="89"/>
      <c r="D392" s="55"/>
      <c r="E392" s="115"/>
      <c r="F392" s="150"/>
      <c r="G392" s="188"/>
      <c r="H392" s="189"/>
      <c r="I392" s="115"/>
      <c r="J392" s="150"/>
      <c r="K392" s="89"/>
      <c r="L392" s="55"/>
      <c r="M392" s="115"/>
      <c r="N392" s="190"/>
      <c r="O392" s="89"/>
      <c r="P392" s="55"/>
      <c r="Q392" s="191"/>
      <c r="R392" s="192"/>
      <c r="S392" s="121"/>
      <c r="T392" s="122"/>
      <c r="U392" s="191"/>
      <c r="V392" s="192"/>
      <c r="W392" s="121"/>
      <c r="X392" s="122"/>
      <c r="Y392" s="115"/>
      <c r="Z392" s="193"/>
      <c r="AA392" s="194"/>
      <c r="AB392" s="195"/>
      <c r="AC392" s="115"/>
      <c r="AD392" s="192"/>
      <c r="AE392" s="196"/>
      <c r="AF392" s="197"/>
      <c r="AG392" s="201"/>
      <c r="AH392" s="201"/>
      <c r="AI392" s="201"/>
      <c r="AJ392" s="201"/>
      <c r="AK392" s="122"/>
      <c r="AL392" s="122"/>
    </row>
    <row r="393">
      <c r="A393" s="115"/>
      <c r="B393" s="150"/>
      <c r="C393" s="89"/>
      <c r="D393" s="55"/>
      <c r="E393" s="115"/>
      <c r="F393" s="150"/>
      <c r="G393" s="188"/>
      <c r="H393" s="189"/>
      <c r="I393" s="115"/>
      <c r="J393" s="150"/>
      <c r="K393" s="89"/>
      <c r="L393" s="55"/>
      <c r="M393" s="115"/>
      <c r="N393" s="190"/>
      <c r="O393" s="89"/>
      <c r="P393" s="55"/>
      <c r="Q393" s="191"/>
      <c r="R393" s="192"/>
      <c r="S393" s="121"/>
      <c r="T393" s="122"/>
      <c r="U393" s="191"/>
      <c r="V393" s="192"/>
      <c r="W393" s="121"/>
      <c r="X393" s="122"/>
      <c r="Y393" s="115"/>
      <c r="Z393" s="193"/>
      <c r="AA393" s="194"/>
      <c r="AB393" s="195"/>
      <c r="AC393" s="115"/>
      <c r="AD393" s="192"/>
      <c r="AE393" s="196"/>
      <c r="AF393" s="197"/>
      <c r="AG393" s="201"/>
      <c r="AH393" s="201"/>
      <c r="AI393" s="201"/>
      <c r="AJ393" s="201"/>
      <c r="AK393" s="122"/>
      <c r="AL393" s="122"/>
    </row>
    <row r="394">
      <c r="A394" s="115"/>
      <c r="B394" s="150"/>
      <c r="C394" s="89"/>
      <c r="D394" s="55"/>
      <c r="E394" s="115"/>
      <c r="F394" s="150"/>
      <c r="G394" s="188"/>
      <c r="H394" s="189"/>
      <c r="I394" s="115"/>
      <c r="J394" s="150"/>
      <c r="K394" s="89"/>
      <c r="L394" s="55"/>
      <c r="M394" s="115"/>
      <c r="N394" s="190"/>
      <c r="O394" s="89"/>
      <c r="P394" s="55"/>
      <c r="Q394" s="191"/>
      <c r="R394" s="192"/>
      <c r="S394" s="121"/>
      <c r="T394" s="122"/>
      <c r="U394" s="191"/>
      <c r="V394" s="192"/>
      <c r="W394" s="121"/>
      <c r="X394" s="122"/>
      <c r="Y394" s="115"/>
      <c r="Z394" s="193"/>
      <c r="AA394" s="194"/>
      <c r="AB394" s="195"/>
      <c r="AC394" s="115"/>
      <c r="AD394" s="192"/>
      <c r="AE394" s="196"/>
      <c r="AF394" s="197"/>
      <c r="AG394" s="201"/>
      <c r="AH394" s="201"/>
      <c r="AI394" s="201"/>
      <c r="AJ394" s="201"/>
      <c r="AK394" s="122"/>
      <c r="AL394" s="122"/>
    </row>
    <row r="395">
      <c r="A395" s="115"/>
      <c r="B395" s="150"/>
      <c r="C395" s="89"/>
      <c r="D395" s="55"/>
      <c r="E395" s="115"/>
      <c r="F395" s="150"/>
      <c r="G395" s="188"/>
      <c r="H395" s="189"/>
      <c r="I395" s="115"/>
      <c r="J395" s="150"/>
      <c r="K395" s="89"/>
      <c r="L395" s="55"/>
      <c r="M395" s="115"/>
      <c r="N395" s="190"/>
      <c r="O395" s="89"/>
      <c r="P395" s="55"/>
      <c r="Q395" s="191"/>
      <c r="R395" s="192"/>
      <c r="S395" s="121"/>
      <c r="T395" s="122"/>
      <c r="U395" s="191"/>
      <c r="V395" s="192"/>
      <c r="W395" s="121"/>
      <c r="X395" s="122"/>
      <c r="Y395" s="115"/>
      <c r="Z395" s="193"/>
      <c r="AA395" s="194"/>
      <c r="AB395" s="195"/>
      <c r="AC395" s="115"/>
      <c r="AD395" s="192"/>
      <c r="AE395" s="196"/>
      <c r="AF395" s="197"/>
      <c r="AG395" s="201"/>
      <c r="AH395" s="201"/>
      <c r="AI395" s="201"/>
      <c r="AJ395" s="201"/>
      <c r="AK395" s="122"/>
      <c r="AL395" s="122"/>
    </row>
    <row r="396">
      <c r="A396" s="115"/>
      <c r="B396" s="150"/>
      <c r="C396" s="89"/>
      <c r="D396" s="55"/>
      <c r="E396" s="115"/>
      <c r="F396" s="150"/>
      <c r="G396" s="188"/>
      <c r="H396" s="189"/>
      <c r="I396" s="115"/>
      <c r="J396" s="150"/>
      <c r="K396" s="89"/>
      <c r="L396" s="55"/>
      <c r="M396" s="115"/>
      <c r="N396" s="190"/>
      <c r="O396" s="89"/>
      <c r="P396" s="55"/>
      <c r="Q396" s="191"/>
      <c r="R396" s="192"/>
      <c r="S396" s="121"/>
      <c r="T396" s="122"/>
      <c r="U396" s="191"/>
      <c r="V396" s="192"/>
      <c r="W396" s="121"/>
      <c r="X396" s="122"/>
      <c r="Y396" s="115"/>
      <c r="Z396" s="193"/>
      <c r="AA396" s="194"/>
      <c r="AB396" s="195"/>
      <c r="AC396" s="115"/>
      <c r="AD396" s="192"/>
      <c r="AE396" s="196"/>
      <c r="AF396" s="197"/>
      <c r="AG396" s="201"/>
      <c r="AH396" s="201"/>
      <c r="AI396" s="201"/>
      <c r="AJ396" s="201"/>
      <c r="AK396" s="122"/>
      <c r="AL396" s="122"/>
    </row>
    <row r="397">
      <c r="A397" s="115"/>
      <c r="B397" s="150"/>
      <c r="C397" s="89"/>
      <c r="D397" s="55"/>
      <c r="E397" s="115"/>
      <c r="F397" s="150"/>
      <c r="G397" s="188"/>
      <c r="H397" s="189"/>
      <c r="I397" s="115"/>
      <c r="J397" s="150"/>
      <c r="K397" s="89"/>
      <c r="L397" s="55"/>
      <c r="M397" s="115"/>
      <c r="N397" s="190"/>
      <c r="O397" s="89"/>
      <c r="P397" s="55"/>
      <c r="Q397" s="191"/>
      <c r="R397" s="192"/>
      <c r="S397" s="121"/>
      <c r="T397" s="122"/>
      <c r="U397" s="191"/>
      <c r="V397" s="192"/>
      <c r="W397" s="121"/>
      <c r="X397" s="122"/>
      <c r="Y397" s="115"/>
      <c r="Z397" s="193"/>
      <c r="AA397" s="194"/>
      <c r="AB397" s="195"/>
      <c r="AC397" s="115"/>
      <c r="AD397" s="192"/>
      <c r="AE397" s="196"/>
      <c r="AF397" s="197"/>
      <c r="AG397" s="201"/>
      <c r="AH397" s="201"/>
      <c r="AI397" s="201"/>
      <c r="AJ397" s="201"/>
      <c r="AK397" s="122"/>
      <c r="AL397" s="122"/>
    </row>
    <row r="398">
      <c r="A398" s="115"/>
      <c r="B398" s="150"/>
      <c r="C398" s="89"/>
      <c r="D398" s="55"/>
      <c r="E398" s="115"/>
      <c r="F398" s="150"/>
      <c r="G398" s="188"/>
      <c r="H398" s="189"/>
      <c r="I398" s="115"/>
      <c r="J398" s="150"/>
      <c r="K398" s="89"/>
      <c r="L398" s="55"/>
      <c r="M398" s="115"/>
      <c r="N398" s="190"/>
      <c r="O398" s="89"/>
      <c r="P398" s="55"/>
      <c r="Q398" s="191"/>
      <c r="R398" s="192"/>
      <c r="S398" s="121"/>
      <c r="T398" s="122"/>
      <c r="U398" s="191"/>
      <c r="V398" s="192"/>
      <c r="W398" s="121"/>
      <c r="X398" s="122"/>
      <c r="Y398" s="115"/>
      <c r="Z398" s="193"/>
      <c r="AA398" s="194"/>
      <c r="AB398" s="195"/>
      <c r="AC398" s="115"/>
      <c r="AD398" s="192"/>
      <c r="AE398" s="196"/>
      <c r="AF398" s="197"/>
      <c r="AG398" s="201"/>
      <c r="AH398" s="201"/>
      <c r="AI398" s="201"/>
      <c r="AJ398" s="201"/>
      <c r="AK398" s="122"/>
      <c r="AL398" s="122"/>
    </row>
    <row r="399">
      <c r="A399" s="115"/>
      <c r="B399" s="150"/>
      <c r="C399" s="89"/>
      <c r="D399" s="55"/>
      <c r="E399" s="115"/>
      <c r="F399" s="150"/>
      <c r="G399" s="188"/>
      <c r="H399" s="189"/>
      <c r="I399" s="115"/>
      <c r="J399" s="150"/>
      <c r="K399" s="89"/>
      <c r="L399" s="55"/>
      <c r="M399" s="115"/>
      <c r="N399" s="190"/>
      <c r="O399" s="89"/>
      <c r="P399" s="55"/>
      <c r="Q399" s="191"/>
      <c r="R399" s="192"/>
      <c r="S399" s="121"/>
      <c r="T399" s="122"/>
      <c r="U399" s="191"/>
      <c r="V399" s="192"/>
      <c r="W399" s="121"/>
      <c r="X399" s="122"/>
      <c r="Y399" s="115"/>
      <c r="Z399" s="193"/>
      <c r="AA399" s="194"/>
      <c r="AB399" s="195"/>
      <c r="AC399" s="115"/>
      <c r="AD399" s="192"/>
      <c r="AE399" s="196"/>
      <c r="AF399" s="197"/>
      <c r="AG399" s="201"/>
      <c r="AH399" s="201"/>
      <c r="AI399" s="201"/>
      <c r="AJ399" s="201"/>
      <c r="AK399" s="122"/>
      <c r="AL399" s="122"/>
    </row>
    <row r="400">
      <c r="A400" s="115"/>
      <c r="B400" s="150"/>
      <c r="C400" s="89"/>
      <c r="D400" s="55"/>
      <c r="E400" s="115"/>
      <c r="F400" s="150"/>
      <c r="G400" s="188"/>
      <c r="H400" s="189"/>
      <c r="I400" s="115"/>
      <c r="J400" s="150"/>
      <c r="K400" s="89"/>
      <c r="L400" s="55"/>
      <c r="M400" s="115"/>
      <c r="N400" s="190"/>
      <c r="O400" s="89"/>
      <c r="P400" s="55"/>
      <c r="Q400" s="191"/>
      <c r="R400" s="192"/>
      <c r="S400" s="121"/>
      <c r="T400" s="122"/>
      <c r="U400" s="191"/>
      <c r="V400" s="192"/>
      <c r="W400" s="121"/>
      <c r="X400" s="122"/>
      <c r="Y400" s="115"/>
      <c r="Z400" s="193"/>
      <c r="AA400" s="194"/>
      <c r="AB400" s="195"/>
      <c r="AC400" s="115"/>
      <c r="AD400" s="192"/>
      <c r="AE400" s="196"/>
      <c r="AF400" s="197"/>
      <c r="AG400" s="201"/>
      <c r="AH400" s="201"/>
      <c r="AI400" s="201"/>
      <c r="AJ400" s="201"/>
      <c r="AK400" s="122"/>
      <c r="AL400" s="122"/>
    </row>
    <row r="401">
      <c r="A401" s="115"/>
      <c r="B401" s="150"/>
      <c r="C401" s="89"/>
      <c r="D401" s="55"/>
      <c r="E401" s="115"/>
      <c r="F401" s="150"/>
      <c r="G401" s="188"/>
      <c r="H401" s="189"/>
      <c r="I401" s="115"/>
      <c r="J401" s="150"/>
      <c r="K401" s="89"/>
      <c r="L401" s="55"/>
      <c r="M401" s="115"/>
      <c r="N401" s="190"/>
      <c r="O401" s="89"/>
      <c r="P401" s="55"/>
      <c r="Q401" s="191"/>
      <c r="R401" s="192"/>
      <c r="S401" s="121"/>
      <c r="T401" s="122"/>
      <c r="U401" s="191"/>
      <c r="V401" s="192"/>
      <c r="W401" s="121"/>
      <c r="X401" s="122"/>
      <c r="Y401" s="115"/>
      <c r="Z401" s="193"/>
      <c r="AA401" s="194"/>
      <c r="AB401" s="195"/>
      <c r="AC401" s="115"/>
      <c r="AD401" s="192"/>
      <c r="AE401" s="196"/>
      <c r="AF401" s="197"/>
      <c r="AG401" s="201"/>
      <c r="AH401" s="201"/>
      <c r="AI401" s="201"/>
      <c r="AJ401" s="201"/>
      <c r="AK401" s="122"/>
      <c r="AL401" s="122"/>
    </row>
    <row r="402">
      <c r="A402" s="115"/>
      <c r="B402" s="150"/>
      <c r="C402" s="89"/>
      <c r="D402" s="55"/>
      <c r="E402" s="115"/>
      <c r="F402" s="150"/>
      <c r="G402" s="188"/>
      <c r="H402" s="189"/>
      <c r="I402" s="115"/>
      <c r="J402" s="150"/>
      <c r="K402" s="89"/>
      <c r="L402" s="55"/>
      <c r="M402" s="115"/>
      <c r="N402" s="190"/>
      <c r="O402" s="89"/>
      <c r="P402" s="55"/>
      <c r="Q402" s="191"/>
      <c r="R402" s="192"/>
      <c r="S402" s="121"/>
      <c r="T402" s="122"/>
      <c r="U402" s="191"/>
      <c r="V402" s="192"/>
      <c r="W402" s="121"/>
      <c r="X402" s="122"/>
      <c r="Y402" s="115"/>
      <c r="Z402" s="193"/>
      <c r="AA402" s="194"/>
      <c r="AB402" s="195"/>
      <c r="AC402" s="115"/>
      <c r="AD402" s="192"/>
      <c r="AE402" s="196"/>
      <c r="AF402" s="197"/>
      <c r="AG402" s="201"/>
      <c r="AH402" s="201"/>
      <c r="AI402" s="201"/>
      <c r="AJ402" s="201"/>
      <c r="AK402" s="122"/>
      <c r="AL402" s="122"/>
    </row>
    <row r="403">
      <c r="A403" s="115"/>
      <c r="B403" s="150"/>
      <c r="C403" s="89"/>
      <c r="D403" s="55"/>
      <c r="E403" s="115"/>
      <c r="F403" s="150"/>
      <c r="G403" s="188"/>
      <c r="H403" s="189"/>
      <c r="I403" s="115"/>
      <c r="J403" s="150"/>
      <c r="K403" s="89"/>
      <c r="L403" s="55"/>
      <c r="M403" s="115"/>
      <c r="N403" s="190"/>
      <c r="O403" s="89"/>
      <c r="P403" s="55"/>
      <c r="Q403" s="191"/>
      <c r="R403" s="192"/>
      <c r="S403" s="121"/>
      <c r="T403" s="122"/>
      <c r="U403" s="191"/>
      <c r="V403" s="192"/>
      <c r="W403" s="121"/>
      <c r="X403" s="122"/>
      <c r="Y403" s="115"/>
      <c r="Z403" s="193"/>
      <c r="AA403" s="194"/>
      <c r="AB403" s="195"/>
      <c r="AC403" s="115"/>
      <c r="AD403" s="192"/>
      <c r="AE403" s="196"/>
      <c r="AF403" s="197"/>
      <c r="AG403" s="201"/>
      <c r="AH403" s="201"/>
      <c r="AI403" s="201"/>
      <c r="AJ403" s="201"/>
      <c r="AK403" s="122"/>
      <c r="AL403" s="122"/>
    </row>
    <row r="404">
      <c r="A404" s="115"/>
      <c r="B404" s="150"/>
      <c r="C404" s="89"/>
      <c r="D404" s="55"/>
      <c r="E404" s="115"/>
      <c r="F404" s="150"/>
      <c r="G404" s="188"/>
      <c r="H404" s="189"/>
      <c r="I404" s="115"/>
      <c r="J404" s="150"/>
      <c r="K404" s="89"/>
      <c r="L404" s="55"/>
      <c r="M404" s="115"/>
      <c r="N404" s="190"/>
      <c r="O404" s="89"/>
      <c r="P404" s="55"/>
      <c r="Q404" s="191"/>
      <c r="R404" s="192"/>
      <c r="S404" s="121"/>
      <c r="T404" s="122"/>
      <c r="U404" s="191"/>
      <c r="V404" s="192"/>
      <c r="W404" s="121"/>
      <c r="X404" s="122"/>
      <c r="Y404" s="115"/>
      <c r="Z404" s="193"/>
      <c r="AA404" s="194"/>
      <c r="AB404" s="195"/>
      <c r="AC404" s="115"/>
      <c r="AD404" s="192"/>
      <c r="AE404" s="196"/>
      <c r="AF404" s="197"/>
      <c r="AG404" s="201"/>
      <c r="AH404" s="201"/>
      <c r="AI404" s="201"/>
      <c r="AJ404" s="201"/>
      <c r="AK404" s="122"/>
      <c r="AL404" s="122"/>
    </row>
    <row r="405">
      <c r="A405" s="115"/>
      <c r="B405" s="150"/>
      <c r="C405" s="89"/>
      <c r="D405" s="55"/>
      <c r="E405" s="115"/>
      <c r="F405" s="150"/>
      <c r="G405" s="188"/>
      <c r="H405" s="189"/>
      <c r="I405" s="115"/>
      <c r="J405" s="150"/>
      <c r="K405" s="89"/>
      <c r="L405" s="55"/>
      <c r="M405" s="115"/>
      <c r="N405" s="190"/>
      <c r="O405" s="89"/>
      <c r="P405" s="55"/>
      <c r="Q405" s="191"/>
      <c r="R405" s="192"/>
      <c r="S405" s="121"/>
      <c r="T405" s="122"/>
      <c r="U405" s="191"/>
      <c r="V405" s="192"/>
      <c r="W405" s="121"/>
      <c r="X405" s="122"/>
      <c r="Y405" s="115"/>
      <c r="Z405" s="193"/>
      <c r="AA405" s="194"/>
      <c r="AB405" s="195"/>
      <c r="AC405" s="115"/>
      <c r="AD405" s="192"/>
      <c r="AE405" s="196"/>
      <c r="AF405" s="197"/>
      <c r="AG405" s="201"/>
      <c r="AH405" s="201"/>
      <c r="AI405" s="201"/>
      <c r="AJ405" s="201"/>
      <c r="AK405" s="122"/>
      <c r="AL405" s="122"/>
    </row>
    <row r="406">
      <c r="A406" s="115"/>
      <c r="B406" s="150"/>
      <c r="C406" s="89"/>
      <c r="D406" s="55"/>
      <c r="E406" s="115"/>
      <c r="F406" s="150"/>
      <c r="G406" s="188"/>
      <c r="H406" s="189"/>
      <c r="I406" s="115"/>
      <c r="J406" s="150"/>
      <c r="K406" s="89"/>
      <c r="L406" s="55"/>
      <c r="M406" s="115"/>
      <c r="N406" s="190"/>
      <c r="O406" s="89"/>
      <c r="P406" s="55"/>
      <c r="Q406" s="191"/>
      <c r="R406" s="192"/>
      <c r="S406" s="121"/>
      <c r="T406" s="122"/>
      <c r="U406" s="191"/>
      <c r="V406" s="192"/>
      <c r="W406" s="121"/>
      <c r="X406" s="122"/>
      <c r="Y406" s="115"/>
      <c r="Z406" s="193"/>
      <c r="AA406" s="194"/>
      <c r="AB406" s="195"/>
      <c r="AC406" s="115"/>
      <c r="AD406" s="192"/>
      <c r="AE406" s="196"/>
      <c r="AF406" s="197"/>
      <c r="AG406" s="201"/>
      <c r="AH406" s="201"/>
      <c r="AI406" s="201"/>
      <c r="AJ406" s="201"/>
      <c r="AK406" s="122"/>
      <c r="AL406" s="122"/>
    </row>
    <row r="407">
      <c r="A407" s="115"/>
      <c r="B407" s="150"/>
      <c r="C407" s="89"/>
      <c r="D407" s="55"/>
      <c r="E407" s="115"/>
      <c r="F407" s="150"/>
      <c r="G407" s="188"/>
      <c r="H407" s="189"/>
      <c r="I407" s="115"/>
      <c r="J407" s="150"/>
      <c r="K407" s="89"/>
      <c r="L407" s="55"/>
      <c r="M407" s="115"/>
      <c r="N407" s="190"/>
      <c r="O407" s="89"/>
      <c r="P407" s="55"/>
      <c r="Q407" s="191"/>
      <c r="R407" s="192"/>
      <c r="S407" s="121"/>
      <c r="T407" s="122"/>
      <c r="U407" s="191"/>
      <c r="V407" s="192"/>
      <c r="W407" s="121"/>
      <c r="X407" s="122"/>
      <c r="Y407" s="115"/>
      <c r="Z407" s="193"/>
      <c r="AA407" s="194"/>
      <c r="AB407" s="195"/>
      <c r="AC407" s="115"/>
      <c r="AD407" s="192"/>
      <c r="AE407" s="196"/>
      <c r="AF407" s="197"/>
      <c r="AG407" s="201"/>
      <c r="AH407" s="201"/>
      <c r="AI407" s="201"/>
      <c r="AJ407" s="201"/>
      <c r="AK407" s="122"/>
      <c r="AL407" s="122"/>
    </row>
    <row r="408">
      <c r="A408" s="115"/>
      <c r="B408" s="150"/>
      <c r="C408" s="89"/>
      <c r="D408" s="55"/>
      <c r="E408" s="115"/>
      <c r="F408" s="150"/>
      <c r="G408" s="188"/>
      <c r="H408" s="189"/>
      <c r="I408" s="115"/>
      <c r="J408" s="150"/>
      <c r="K408" s="89"/>
      <c r="L408" s="55"/>
      <c r="M408" s="115"/>
      <c r="N408" s="190"/>
      <c r="O408" s="89"/>
      <c r="P408" s="55"/>
      <c r="Q408" s="191"/>
      <c r="R408" s="192"/>
      <c r="S408" s="121"/>
      <c r="T408" s="122"/>
      <c r="U408" s="191"/>
      <c r="V408" s="192"/>
      <c r="W408" s="121"/>
      <c r="X408" s="122"/>
      <c r="Y408" s="115"/>
      <c r="Z408" s="193"/>
      <c r="AA408" s="194"/>
      <c r="AB408" s="195"/>
      <c r="AC408" s="115"/>
      <c r="AD408" s="192"/>
      <c r="AE408" s="196"/>
      <c r="AF408" s="197"/>
      <c r="AG408" s="201"/>
      <c r="AH408" s="201"/>
      <c r="AI408" s="201"/>
      <c r="AJ408" s="201"/>
      <c r="AK408" s="122"/>
      <c r="AL408" s="122"/>
    </row>
    <row r="409">
      <c r="A409" s="115"/>
      <c r="B409" s="150"/>
      <c r="C409" s="89"/>
      <c r="D409" s="55"/>
      <c r="E409" s="115"/>
      <c r="F409" s="150"/>
      <c r="G409" s="188"/>
      <c r="H409" s="189"/>
      <c r="I409" s="115"/>
      <c r="J409" s="150"/>
      <c r="K409" s="89"/>
      <c r="L409" s="55"/>
      <c r="M409" s="115"/>
      <c r="N409" s="190"/>
      <c r="O409" s="89"/>
      <c r="P409" s="55"/>
      <c r="Q409" s="191"/>
      <c r="R409" s="192"/>
      <c r="S409" s="121"/>
      <c r="T409" s="122"/>
      <c r="U409" s="191"/>
      <c r="V409" s="192"/>
      <c r="W409" s="121"/>
      <c r="X409" s="122"/>
      <c r="Y409" s="115"/>
      <c r="Z409" s="193"/>
      <c r="AA409" s="194"/>
      <c r="AB409" s="195"/>
      <c r="AC409" s="115"/>
      <c r="AD409" s="192"/>
      <c r="AE409" s="196"/>
      <c r="AF409" s="197"/>
      <c r="AG409" s="201"/>
      <c r="AH409" s="201"/>
      <c r="AI409" s="201"/>
      <c r="AJ409" s="201"/>
      <c r="AK409" s="122"/>
      <c r="AL409" s="122"/>
    </row>
    <row r="410">
      <c r="A410" s="115"/>
      <c r="B410" s="150"/>
      <c r="C410" s="89"/>
      <c r="D410" s="55"/>
      <c r="E410" s="115"/>
      <c r="F410" s="150"/>
      <c r="G410" s="188"/>
      <c r="H410" s="189"/>
      <c r="I410" s="115"/>
      <c r="J410" s="150"/>
      <c r="K410" s="89"/>
      <c r="L410" s="55"/>
      <c r="M410" s="115"/>
      <c r="N410" s="190"/>
      <c r="O410" s="89"/>
      <c r="P410" s="55"/>
      <c r="Q410" s="191"/>
      <c r="R410" s="192"/>
      <c r="S410" s="121"/>
      <c r="T410" s="122"/>
      <c r="U410" s="191"/>
      <c r="V410" s="192"/>
      <c r="W410" s="121"/>
      <c r="X410" s="122"/>
      <c r="Y410" s="115"/>
      <c r="Z410" s="193"/>
      <c r="AA410" s="194"/>
      <c r="AB410" s="195"/>
      <c r="AC410" s="115"/>
      <c r="AD410" s="192"/>
      <c r="AE410" s="196"/>
      <c r="AF410" s="197"/>
      <c r="AG410" s="201"/>
      <c r="AH410" s="201"/>
      <c r="AI410" s="201"/>
      <c r="AJ410" s="201"/>
      <c r="AK410" s="122"/>
      <c r="AL410" s="122"/>
    </row>
    <row r="411">
      <c r="A411" s="115"/>
      <c r="B411" s="150"/>
      <c r="C411" s="89"/>
      <c r="D411" s="55"/>
      <c r="E411" s="115"/>
      <c r="F411" s="150"/>
      <c r="G411" s="188"/>
      <c r="H411" s="189"/>
      <c r="I411" s="115"/>
      <c r="J411" s="150"/>
      <c r="K411" s="89"/>
      <c r="L411" s="55"/>
      <c r="M411" s="115"/>
      <c r="N411" s="190"/>
      <c r="O411" s="89"/>
      <c r="P411" s="55"/>
      <c r="Q411" s="191"/>
      <c r="R411" s="192"/>
      <c r="S411" s="121"/>
      <c r="T411" s="122"/>
      <c r="U411" s="191"/>
      <c r="V411" s="192"/>
      <c r="W411" s="121"/>
      <c r="X411" s="122"/>
      <c r="Y411" s="115"/>
      <c r="Z411" s="193"/>
      <c r="AA411" s="194"/>
      <c r="AB411" s="195"/>
      <c r="AC411" s="115"/>
      <c r="AD411" s="192"/>
      <c r="AE411" s="196"/>
      <c r="AF411" s="197"/>
      <c r="AG411" s="201"/>
      <c r="AH411" s="201"/>
      <c r="AI411" s="201"/>
      <c r="AJ411" s="201"/>
      <c r="AK411" s="122"/>
      <c r="AL411" s="122"/>
    </row>
    <row r="412">
      <c r="A412" s="115"/>
      <c r="B412" s="150"/>
      <c r="C412" s="89"/>
      <c r="D412" s="55"/>
      <c r="E412" s="115"/>
      <c r="F412" s="150"/>
      <c r="G412" s="188"/>
      <c r="H412" s="189"/>
      <c r="I412" s="115"/>
      <c r="J412" s="150"/>
      <c r="K412" s="89"/>
      <c r="L412" s="55"/>
      <c r="M412" s="115"/>
      <c r="N412" s="190"/>
      <c r="O412" s="89"/>
      <c r="P412" s="55"/>
      <c r="Q412" s="191"/>
      <c r="R412" s="192"/>
      <c r="S412" s="121"/>
      <c r="T412" s="122"/>
      <c r="U412" s="191"/>
      <c r="V412" s="192"/>
      <c r="W412" s="121"/>
      <c r="X412" s="122"/>
      <c r="Y412" s="115"/>
      <c r="Z412" s="193"/>
      <c r="AA412" s="194"/>
      <c r="AB412" s="195"/>
      <c r="AC412" s="115"/>
      <c r="AD412" s="192"/>
      <c r="AE412" s="196"/>
      <c r="AF412" s="197"/>
      <c r="AG412" s="201"/>
      <c r="AH412" s="201"/>
      <c r="AI412" s="201"/>
      <c r="AJ412" s="201"/>
      <c r="AK412" s="122"/>
      <c r="AL412" s="122"/>
    </row>
    <row r="413">
      <c r="A413" s="115"/>
      <c r="B413" s="150"/>
      <c r="C413" s="89"/>
      <c r="D413" s="55"/>
      <c r="E413" s="115"/>
      <c r="F413" s="150"/>
      <c r="G413" s="188"/>
      <c r="H413" s="189"/>
      <c r="I413" s="115"/>
      <c r="J413" s="150"/>
      <c r="K413" s="89"/>
      <c r="L413" s="55"/>
      <c r="M413" s="115"/>
      <c r="N413" s="190"/>
      <c r="O413" s="89"/>
      <c r="P413" s="55"/>
      <c r="Q413" s="191"/>
      <c r="R413" s="192"/>
      <c r="S413" s="121"/>
      <c r="T413" s="122"/>
      <c r="U413" s="191"/>
      <c r="V413" s="192"/>
      <c r="W413" s="121"/>
      <c r="X413" s="122"/>
      <c r="Y413" s="115"/>
      <c r="Z413" s="193"/>
      <c r="AA413" s="194"/>
      <c r="AB413" s="195"/>
      <c r="AC413" s="115"/>
      <c r="AD413" s="192"/>
      <c r="AE413" s="196"/>
      <c r="AF413" s="197"/>
      <c r="AG413" s="201"/>
      <c r="AH413" s="201"/>
      <c r="AI413" s="201"/>
      <c r="AJ413" s="201"/>
      <c r="AK413" s="122"/>
      <c r="AL413" s="122"/>
    </row>
    <row r="414">
      <c r="A414" s="115"/>
      <c r="B414" s="150"/>
      <c r="C414" s="89"/>
      <c r="D414" s="55"/>
      <c r="E414" s="115"/>
      <c r="F414" s="150"/>
      <c r="G414" s="188"/>
      <c r="H414" s="189"/>
      <c r="I414" s="115"/>
      <c r="J414" s="150"/>
      <c r="K414" s="89"/>
      <c r="L414" s="55"/>
      <c r="M414" s="115"/>
      <c r="N414" s="190"/>
      <c r="O414" s="89"/>
      <c r="P414" s="55"/>
      <c r="Q414" s="191"/>
      <c r="R414" s="192"/>
      <c r="S414" s="121"/>
      <c r="T414" s="122"/>
      <c r="U414" s="191"/>
      <c r="V414" s="192"/>
      <c r="W414" s="121"/>
      <c r="X414" s="122"/>
      <c r="Y414" s="115"/>
      <c r="Z414" s="193"/>
      <c r="AA414" s="194"/>
      <c r="AB414" s="195"/>
      <c r="AC414" s="115"/>
      <c r="AD414" s="192"/>
      <c r="AE414" s="196"/>
      <c r="AF414" s="197"/>
      <c r="AG414" s="201"/>
      <c r="AH414" s="201"/>
      <c r="AI414" s="201"/>
      <c r="AJ414" s="201"/>
      <c r="AK414" s="122"/>
      <c r="AL414" s="122"/>
    </row>
    <row r="415">
      <c r="A415" s="115"/>
      <c r="B415" s="150"/>
      <c r="C415" s="89"/>
      <c r="D415" s="55"/>
      <c r="E415" s="115"/>
      <c r="F415" s="150"/>
      <c r="G415" s="188"/>
      <c r="H415" s="189"/>
      <c r="I415" s="115"/>
      <c r="J415" s="150"/>
      <c r="K415" s="89"/>
      <c r="L415" s="55"/>
      <c r="M415" s="115"/>
      <c r="N415" s="190"/>
      <c r="O415" s="89"/>
      <c r="P415" s="55"/>
      <c r="Q415" s="191"/>
      <c r="R415" s="192"/>
      <c r="S415" s="121"/>
      <c r="T415" s="122"/>
      <c r="U415" s="191"/>
      <c r="V415" s="192"/>
      <c r="W415" s="121"/>
      <c r="X415" s="122"/>
      <c r="Y415" s="115"/>
      <c r="Z415" s="193"/>
      <c r="AA415" s="194"/>
      <c r="AB415" s="195"/>
      <c r="AC415" s="115"/>
      <c r="AD415" s="192"/>
      <c r="AE415" s="196"/>
      <c r="AF415" s="197"/>
      <c r="AG415" s="201"/>
      <c r="AH415" s="201"/>
      <c r="AI415" s="201"/>
      <c r="AJ415" s="201"/>
      <c r="AK415" s="122"/>
      <c r="AL415" s="122"/>
    </row>
    <row r="416">
      <c r="A416" s="115"/>
      <c r="B416" s="150"/>
      <c r="C416" s="89"/>
      <c r="D416" s="55"/>
      <c r="E416" s="115"/>
      <c r="F416" s="150"/>
      <c r="G416" s="188"/>
      <c r="H416" s="189"/>
      <c r="I416" s="115"/>
      <c r="J416" s="150"/>
      <c r="K416" s="89"/>
      <c r="L416" s="55"/>
      <c r="M416" s="115"/>
      <c r="N416" s="190"/>
      <c r="O416" s="89"/>
      <c r="P416" s="55"/>
      <c r="Q416" s="191"/>
      <c r="R416" s="192"/>
      <c r="S416" s="121"/>
      <c r="T416" s="122"/>
      <c r="U416" s="191"/>
      <c r="V416" s="192"/>
      <c r="W416" s="121"/>
      <c r="X416" s="122"/>
      <c r="Y416" s="115"/>
      <c r="Z416" s="193"/>
      <c r="AA416" s="194"/>
      <c r="AB416" s="195"/>
      <c r="AC416" s="115"/>
      <c r="AD416" s="192"/>
      <c r="AE416" s="196"/>
      <c r="AF416" s="197"/>
      <c r="AG416" s="201"/>
      <c r="AH416" s="201"/>
      <c r="AI416" s="201"/>
      <c r="AJ416" s="201"/>
      <c r="AK416" s="122"/>
      <c r="AL416" s="122"/>
    </row>
    <row r="417">
      <c r="A417" s="115"/>
      <c r="B417" s="150"/>
      <c r="C417" s="89"/>
      <c r="D417" s="55"/>
      <c r="E417" s="115"/>
      <c r="F417" s="150"/>
      <c r="G417" s="188"/>
      <c r="H417" s="189"/>
      <c r="I417" s="115"/>
      <c r="J417" s="150"/>
      <c r="K417" s="89"/>
      <c r="L417" s="55"/>
      <c r="M417" s="115"/>
      <c r="N417" s="190"/>
      <c r="O417" s="89"/>
      <c r="P417" s="55"/>
      <c r="Q417" s="191"/>
      <c r="R417" s="192"/>
      <c r="S417" s="121"/>
      <c r="T417" s="122"/>
      <c r="U417" s="191"/>
      <c r="V417" s="192"/>
      <c r="W417" s="121"/>
      <c r="X417" s="122"/>
      <c r="Y417" s="115"/>
      <c r="Z417" s="193"/>
      <c r="AA417" s="194"/>
      <c r="AB417" s="195"/>
      <c r="AC417" s="115"/>
      <c r="AD417" s="192"/>
      <c r="AE417" s="196"/>
      <c r="AF417" s="197"/>
      <c r="AG417" s="201"/>
      <c r="AH417" s="201"/>
      <c r="AI417" s="201"/>
      <c r="AJ417" s="201"/>
      <c r="AK417" s="122"/>
      <c r="AL417" s="122"/>
    </row>
    <row r="418">
      <c r="A418" s="115"/>
      <c r="B418" s="150"/>
      <c r="C418" s="89"/>
      <c r="D418" s="55"/>
      <c r="E418" s="115"/>
      <c r="F418" s="150"/>
      <c r="G418" s="188"/>
      <c r="H418" s="189"/>
      <c r="I418" s="115"/>
      <c r="J418" s="150"/>
      <c r="K418" s="89"/>
      <c r="L418" s="55"/>
      <c r="M418" s="115"/>
      <c r="N418" s="190"/>
      <c r="O418" s="89"/>
      <c r="P418" s="55"/>
      <c r="Q418" s="191"/>
      <c r="R418" s="192"/>
      <c r="S418" s="121"/>
      <c r="T418" s="122"/>
      <c r="U418" s="191"/>
      <c r="V418" s="192"/>
      <c r="W418" s="121"/>
      <c r="X418" s="122"/>
      <c r="Y418" s="115"/>
      <c r="Z418" s="193"/>
      <c r="AA418" s="194"/>
      <c r="AB418" s="195"/>
      <c r="AC418" s="115"/>
      <c r="AD418" s="192"/>
      <c r="AE418" s="196"/>
      <c r="AF418" s="197"/>
      <c r="AG418" s="201"/>
      <c r="AH418" s="201"/>
      <c r="AI418" s="201"/>
      <c r="AJ418" s="201"/>
      <c r="AK418" s="122"/>
      <c r="AL418" s="122"/>
    </row>
    <row r="419">
      <c r="A419" s="115"/>
      <c r="B419" s="150"/>
      <c r="C419" s="89"/>
      <c r="D419" s="55"/>
      <c r="E419" s="115"/>
      <c r="F419" s="150"/>
      <c r="G419" s="188"/>
      <c r="H419" s="189"/>
      <c r="I419" s="115"/>
      <c r="J419" s="150"/>
      <c r="K419" s="89"/>
      <c r="L419" s="55"/>
      <c r="M419" s="115"/>
      <c r="N419" s="190"/>
      <c r="O419" s="89"/>
      <c r="P419" s="55"/>
      <c r="Q419" s="191"/>
      <c r="R419" s="192"/>
      <c r="S419" s="121"/>
      <c r="T419" s="122"/>
      <c r="U419" s="191"/>
      <c r="V419" s="192"/>
      <c r="W419" s="121"/>
      <c r="X419" s="122"/>
      <c r="Y419" s="115"/>
      <c r="Z419" s="193"/>
      <c r="AA419" s="194"/>
      <c r="AB419" s="195"/>
      <c r="AC419" s="115"/>
      <c r="AD419" s="192"/>
      <c r="AE419" s="196"/>
      <c r="AF419" s="197"/>
      <c r="AG419" s="201"/>
      <c r="AH419" s="201"/>
      <c r="AI419" s="201"/>
      <c r="AJ419" s="201"/>
      <c r="AK419" s="122"/>
      <c r="AL419" s="122"/>
    </row>
    <row r="420">
      <c r="A420" s="115"/>
      <c r="B420" s="150"/>
      <c r="C420" s="89"/>
      <c r="D420" s="55"/>
      <c r="E420" s="115"/>
      <c r="F420" s="150"/>
      <c r="G420" s="188"/>
      <c r="H420" s="189"/>
      <c r="I420" s="115"/>
      <c r="J420" s="150"/>
      <c r="K420" s="89"/>
      <c r="L420" s="55"/>
      <c r="M420" s="115"/>
      <c r="N420" s="190"/>
      <c r="O420" s="89"/>
      <c r="P420" s="55"/>
      <c r="Q420" s="191"/>
      <c r="R420" s="192"/>
      <c r="S420" s="121"/>
      <c r="T420" s="122"/>
      <c r="U420" s="191"/>
      <c r="V420" s="192"/>
      <c r="W420" s="121"/>
      <c r="X420" s="122"/>
      <c r="Y420" s="115"/>
      <c r="Z420" s="193"/>
      <c r="AA420" s="194"/>
      <c r="AB420" s="195"/>
      <c r="AC420" s="115"/>
      <c r="AD420" s="192"/>
      <c r="AE420" s="196"/>
      <c r="AF420" s="197"/>
      <c r="AG420" s="201"/>
      <c r="AH420" s="201"/>
      <c r="AI420" s="201"/>
      <c r="AJ420" s="201"/>
      <c r="AK420" s="122"/>
      <c r="AL420" s="122"/>
    </row>
    <row r="421">
      <c r="A421" s="115"/>
      <c r="B421" s="150"/>
      <c r="C421" s="89"/>
      <c r="D421" s="55"/>
      <c r="E421" s="115"/>
      <c r="F421" s="150"/>
      <c r="G421" s="188"/>
      <c r="H421" s="189"/>
      <c r="I421" s="115"/>
      <c r="J421" s="150"/>
      <c r="K421" s="89"/>
      <c r="L421" s="55"/>
      <c r="M421" s="115"/>
      <c r="N421" s="190"/>
      <c r="O421" s="89"/>
      <c r="P421" s="55"/>
      <c r="Q421" s="191"/>
      <c r="R421" s="192"/>
      <c r="S421" s="121"/>
      <c r="T421" s="122"/>
      <c r="U421" s="191"/>
      <c r="V421" s="192"/>
      <c r="W421" s="121"/>
      <c r="X421" s="122"/>
      <c r="Y421" s="115"/>
      <c r="Z421" s="193"/>
      <c r="AA421" s="194"/>
      <c r="AB421" s="195"/>
      <c r="AC421" s="115"/>
      <c r="AD421" s="192"/>
      <c r="AE421" s="196"/>
      <c r="AF421" s="197"/>
      <c r="AG421" s="201"/>
      <c r="AH421" s="201"/>
      <c r="AI421" s="201"/>
      <c r="AJ421" s="201"/>
      <c r="AK421" s="122"/>
      <c r="AL421" s="122"/>
    </row>
    <row r="422">
      <c r="A422" s="115"/>
      <c r="B422" s="150"/>
      <c r="C422" s="89"/>
      <c r="D422" s="55"/>
      <c r="E422" s="115"/>
      <c r="F422" s="150"/>
      <c r="G422" s="188"/>
      <c r="H422" s="189"/>
      <c r="I422" s="115"/>
      <c r="J422" s="150"/>
      <c r="K422" s="89"/>
      <c r="L422" s="55"/>
      <c r="M422" s="115"/>
      <c r="N422" s="190"/>
      <c r="O422" s="89"/>
      <c r="P422" s="55"/>
      <c r="Q422" s="191"/>
      <c r="R422" s="192"/>
      <c r="S422" s="121"/>
      <c r="T422" s="122"/>
      <c r="U422" s="191"/>
      <c r="V422" s="192"/>
      <c r="W422" s="121"/>
      <c r="X422" s="122"/>
      <c r="Y422" s="115"/>
      <c r="Z422" s="193"/>
      <c r="AA422" s="194"/>
      <c r="AB422" s="195"/>
      <c r="AC422" s="115"/>
      <c r="AD422" s="192"/>
      <c r="AE422" s="196"/>
      <c r="AF422" s="197"/>
      <c r="AG422" s="201"/>
      <c r="AH422" s="201"/>
      <c r="AI422" s="201"/>
      <c r="AJ422" s="201"/>
      <c r="AK422" s="122"/>
      <c r="AL422" s="122"/>
    </row>
    <row r="423">
      <c r="A423" s="115"/>
      <c r="B423" s="150"/>
      <c r="C423" s="89"/>
      <c r="D423" s="55"/>
      <c r="E423" s="115"/>
      <c r="F423" s="150"/>
      <c r="G423" s="188"/>
      <c r="H423" s="189"/>
      <c r="I423" s="115"/>
      <c r="J423" s="150"/>
      <c r="K423" s="89"/>
      <c r="L423" s="55"/>
      <c r="M423" s="115"/>
      <c r="N423" s="190"/>
      <c r="O423" s="89"/>
      <c r="P423" s="55"/>
      <c r="Q423" s="191"/>
      <c r="R423" s="192"/>
      <c r="S423" s="121"/>
      <c r="T423" s="122"/>
      <c r="U423" s="191"/>
      <c r="V423" s="192"/>
      <c r="W423" s="121"/>
      <c r="X423" s="122"/>
      <c r="Y423" s="115"/>
      <c r="Z423" s="193"/>
      <c r="AA423" s="194"/>
      <c r="AB423" s="195"/>
      <c r="AC423" s="115"/>
      <c r="AD423" s="192"/>
      <c r="AE423" s="196"/>
      <c r="AF423" s="197"/>
      <c r="AG423" s="201"/>
      <c r="AH423" s="201"/>
      <c r="AI423" s="201"/>
      <c r="AJ423" s="201"/>
      <c r="AK423" s="122"/>
      <c r="AL423" s="122"/>
    </row>
    <row r="424">
      <c r="A424" s="115"/>
      <c r="B424" s="150"/>
      <c r="C424" s="89"/>
      <c r="D424" s="55"/>
      <c r="E424" s="115"/>
      <c r="F424" s="150"/>
      <c r="G424" s="188"/>
      <c r="H424" s="189"/>
      <c r="I424" s="115"/>
      <c r="J424" s="150"/>
      <c r="K424" s="89"/>
      <c r="L424" s="55"/>
      <c r="M424" s="115"/>
      <c r="N424" s="190"/>
      <c r="O424" s="89"/>
      <c r="P424" s="55"/>
      <c r="Q424" s="191"/>
      <c r="R424" s="192"/>
      <c r="S424" s="121"/>
      <c r="T424" s="122"/>
      <c r="U424" s="191"/>
      <c r="V424" s="192"/>
      <c r="W424" s="121"/>
      <c r="X424" s="122"/>
      <c r="Y424" s="115"/>
      <c r="Z424" s="193"/>
      <c r="AA424" s="194"/>
      <c r="AB424" s="195"/>
      <c r="AC424" s="115"/>
      <c r="AD424" s="192"/>
      <c r="AE424" s="196"/>
      <c r="AF424" s="197"/>
      <c r="AG424" s="201"/>
      <c r="AH424" s="201"/>
      <c r="AI424" s="201"/>
      <c r="AJ424" s="201"/>
      <c r="AK424" s="122"/>
      <c r="AL424" s="122"/>
    </row>
    <row r="425">
      <c r="A425" s="115"/>
      <c r="B425" s="150"/>
      <c r="C425" s="89"/>
      <c r="D425" s="55"/>
      <c r="E425" s="115"/>
      <c r="F425" s="150"/>
      <c r="G425" s="188"/>
      <c r="H425" s="189"/>
      <c r="I425" s="115"/>
      <c r="J425" s="150"/>
      <c r="K425" s="89"/>
      <c r="L425" s="55"/>
      <c r="M425" s="115"/>
      <c r="N425" s="190"/>
      <c r="O425" s="89"/>
      <c r="P425" s="55"/>
      <c r="Q425" s="191"/>
      <c r="R425" s="192"/>
      <c r="S425" s="121"/>
      <c r="T425" s="122"/>
      <c r="U425" s="191"/>
      <c r="V425" s="192"/>
      <c r="W425" s="121"/>
      <c r="X425" s="122"/>
      <c r="Y425" s="115"/>
      <c r="Z425" s="193"/>
      <c r="AA425" s="194"/>
      <c r="AB425" s="195"/>
      <c r="AC425" s="115"/>
      <c r="AD425" s="192"/>
      <c r="AE425" s="196"/>
      <c r="AF425" s="197"/>
      <c r="AG425" s="201"/>
      <c r="AH425" s="201"/>
      <c r="AI425" s="201"/>
      <c r="AJ425" s="201"/>
      <c r="AK425" s="122"/>
      <c r="AL425" s="122"/>
    </row>
    <row r="426">
      <c r="A426" s="115"/>
      <c r="B426" s="150"/>
      <c r="C426" s="89"/>
      <c r="D426" s="55"/>
      <c r="E426" s="115"/>
      <c r="F426" s="150"/>
      <c r="G426" s="188"/>
      <c r="H426" s="189"/>
      <c r="I426" s="115"/>
      <c r="J426" s="150"/>
      <c r="K426" s="89"/>
      <c r="L426" s="55"/>
      <c r="M426" s="115"/>
      <c r="N426" s="190"/>
      <c r="O426" s="89"/>
      <c r="P426" s="55"/>
      <c r="Q426" s="191"/>
      <c r="R426" s="192"/>
      <c r="S426" s="121"/>
      <c r="T426" s="122"/>
      <c r="U426" s="191"/>
      <c r="V426" s="192"/>
      <c r="W426" s="121"/>
      <c r="X426" s="122"/>
      <c r="Y426" s="115"/>
      <c r="Z426" s="193"/>
      <c r="AA426" s="194"/>
      <c r="AB426" s="195"/>
      <c r="AC426" s="115"/>
      <c r="AD426" s="192"/>
      <c r="AE426" s="196"/>
      <c r="AF426" s="197"/>
      <c r="AG426" s="201"/>
      <c r="AH426" s="201"/>
      <c r="AI426" s="201"/>
      <c r="AJ426" s="201"/>
      <c r="AK426" s="122"/>
      <c r="AL426" s="122"/>
    </row>
    <row r="427">
      <c r="A427" s="115"/>
      <c r="B427" s="150"/>
      <c r="C427" s="89"/>
      <c r="D427" s="55"/>
      <c r="E427" s="115"/>
      <c r="F427" s="150"/>
      <c r="G427" s="188"/>
      <c r="H427" s="189"/>
      <c r="I427" s="115"/>
      <c r="J427" s="150"/>
      <c r="K427" s="89"/>
      <c r="L427" s="55"/>
      <c r="M427" s="115"/>
      <c r="N427" s="190"/>
      <c r="O427" s="89"/>
      <c r="P427" s="55"/>
      <c r="Q427" s="191"/>
      <c r="R427" s="192"/>
      <c r="S427" s="121"/>
      <c r="T427" s="122"/>
      <c r="U427" s="191"/>
      <c r="V427" s="192"/>
      <c r="W427" s="121"/>
      <c r="X427" s="122"/>
      <c r="Y427" s="115"/>
      <c r="Z427" s="193"/>
      <c r="AA427" s="194"/>
      <c r="AB427" s="195"/>
      <c r="AC427" s="115"/>
      <c r="AD427" s="192"/>
      <c r="AE427" s="196"/>
      <c r="AF427" s="197"/>
      <c r="AG427" s="201"/>
      <c r="AH427" s="201"/>
      <c r="AI427" s="201"/>
      <c r="AJ427" s="201"/>
      <c r="AK427" s="122"/>
      <c r="AL427" s="122"/>
    </row>
    <row r="428">
      <c r="A428" s="115"/>
      <c r="B428" s="150"/>
      <c r="C428" s="89"/>
      <c r="D428" s="55"/>
      <c r="E428" s="115"/>
      <c r="F428" s="150"/>
      <c r="G428" s="188"/>
      <c r="H428" s="189"/>
      <c r="I428" s="115"/>
      <c r="J428" s="150"/>
      <c r="K428" s="89"/>
      <c r="L428" s="55"/>
      <c r="M428" s="115"/>
      <c r="N428" s="190"/>
      <c r="O428" s="89"/>
      <c r="P428" s="55"/>
      <c r="Q428" s="191"/>
      <c r="R428" s="192"/>
      <c r="S428" s="121"/>
      <c r="T428" s="122"/>
      <c r="U428" s="191"/>
      <c r="V428" s="192"/>
      <c r="W428" s="121"/>
      <c r="X428" s="122"/>
      <c r="Y428" s="115"/>
      <c r="Z428" s="193"/>
      <c r="AA428" s="194"/>
      <c r="AB428" s="195"/>
      <c r="AC428" s="115"/>
      <c r="AD428" s="192"/>
      <c r="AE428" s="196"/>
      <c r="AF428" s="197"/>
      <c r="AG428" s="201"/>
      <c r="AH428" s="201"/>
      <c r="AI428" s="201"/>
      <c r="AJ428" s="201"/>
      <c r="AK428" s="122"/>
      <c r="AL428" s="122"/>
    </row>
    <row r="429">
      <c r="A429" s="115"/>
      <c r="B429" s="150"/>
      <c r="C429" s="89"/>
      <c r="D429" s="55"/>
      <c r="E429" s="115"/>
      <c r="F429" s="150"/>
      <c r="G429" s="188"/>
      <c r="H429" s="189"/>
      <c r="I429" s="115"/>
      <c r="J429" s="150"/>
      <c r="K429" s="89"/>
      <c r="L429" s="55"/>
      <c r="M429" s="115"/>
      <c r="N429" s="190"/>
      <c r="O429" s="89"/>
      <c r="P429" s="55"/>
      <c r="Q429" s="191"/>
      <c r="R429" s="192"/>
      <c r="S429" s="121"/>
      <c r="T429" s="122"/>
      <c r="U429" s="191"/>
      <c r="V429" s="192"/>
      <c r="W429" s="121"/>
      <c r="X429" s="122"/>
      <c r="Y429" s="115"/>
      <c r="Z429" s="193"/>
      <c r="AA429" s="194"/>
      <c r="AB429" s="195"/>
      <c r="AC429" s="115"/>
      <c r="AD429" s="192"/>
      <c r="AE429" s="196"/>
      <c r="AF429" s="197"/>
      <c r="AG429" s="201"/>
      <c r="AH429" s="201"/>
      <c r="AI429" s="201"/>
      <c r="AJ429" s="201"/>
      <c r="AK429" s="122"/>
      <c r="AL429" s="122"/>
    </row>
    <row r="430">
      <c r="A430" s="115"/>
      <c r="B430" s="150"/>
      <c r="C430" s="89"/>
      <c r="D430" s="55"/>
      <c r="E430" s="115"/>
      <c r="F430" s="150"/>
      <c r="G430" s="188"/>
      <c r="H430" s="189"/>
      <c r="I430" s="115"/>
      <c r="J430" s="150"/>
      <c r="K430" s="89"/>
      <c r="L430" s="55"/>
      <c r="M430" s="115"/>
      <c r="N430" s="190"/>
      <c r="O430" s="89"/>
      <c r="P430" s="55"/>
      <c r="Q430" s="191"/>
      <c r="R430" s="192"/>
      <c r="S430" s="121"/>
      <c r="T430" s="122"/>
      <c r="U430" s="191"/>
      <c r="V430" s="192"/>
      <c r="W430" s="121"/>
      <c r="X430" s="122"/>
      <c r="Y430" s="115"/>
      <c r="Z430" s="193"/>
      <c r="AA430" s="194"/>
      <c r="AB430" s="195"/>
      <c r="AC430" s="115"/>
      <c r="AD430" s="192"/>
      <c r="AE430" s="196"/>
      <c r="AF430" s="197"/>
      <c r="AG430" s="201"/>
      <c r="AH430" s="201"/>
      <c r="AI430" s="201"/>
      <c r="AJ430" s="201"/>
      <c r="AK430" s="122"/>
      <c r="AL430" s="122"/>
    </row>
    <row r="431">
      <c r="A431" s="115"/>
      <c r="B431" s="150"/>
      <c r="C431" s="89"/>
      <c r="D431" s="55"/>
      <c r="E431" s="115"/>
      <c r="F431" s="150"/>
      <c r="G431" s="188"/>
      <c r="H431" s="189"/>
      <c r="I431" s="115"/>
      <c r="J431" s="150"/>
      <c r="K431" s="89"/>
      <c r="L431" s="55"/>
      <c r="M431" s="115"/>
      <c r="N431" s="190"/>
      <c r="O431" s="89"/>
      <c r="P431" s="55"/>
      <c r="Q431" s="191"/>
      <c r="R431" s="192"/>
      <c r="S431" s="121"/>
      <c r="T431" s="122"/>
      <c r="U431" s="191"/>
      <c r="V431" s="192"/>
      <c r="W431" s="121"/>
      <c r="X431" s="122"/>
      <c r="Y431" s="115"/>
      <c r="Z431" s="193"/>
      <c r="AA431" s="194"/>
      <c r="AB431" s="195"/>
      <c r="AC431" s="115"/>
      <c r="AD431" s="192"/>
      <c r="AE431" s="196"/>
      <c r="AF431" s="197"/>
      <c r="AG431" s="201"/>
      <c r="AH431" s="201"/>
      <c r="AI431" s="201"/>
      <c r="AJ431" s="201"/>
      <c r="AK431" s="122"/>
      <c r="AL431" s="122"/>
    </row>
    <row r="432">
      <c r="A432" s="115"/>
      <c r="B432" s="150"/>
      <c r="C432" s="89"/>
      <c r="D432" s="55"/>
      <c r="E432" s="115"/>
      <c r="F432" s="150"/>
      <c r="G432" s="188"/>
      <c r="H432" s="189"/>
      <c r="I432" s="115"/>
      <c r="J432" s="150"/>
      <c r="K432" s="89"/>
      <c r="L432" s="55"/>
      <c r="M432" s="115"/>
      <c r="N432" s="190"/>
      <c r="O432" s="89"/>
      <c r="P432" s="55"/>
      <c r="Q432" s="191"/>
      <c r="R432" s="192"/>
      <c r="S432" s="121"/>
      <c r="T432" s="122"/>
      <c r="U432" s="191"/>
      <c r="V432" s="192"/>
      <c r="W432" s="121"/>
      <c r="X432" s="122"/>
      <c r="Y432" s="115"/>
      <c r="Z432" s="193"/>
      <c r="AA432" s="194"/>
      <c r="AB432" s="195"/>
      <c r="AC432" s="115"/>
      <c r="AD432" s="192"/>
      <c r="AE432" s="196"/>
      <c r="AF432" s="197"/>
      <c r="AG432" s="201"/>
      <c r="AH432" s="201"/>
      <c r="AI432" s="201"/>
      <c r="AJ432" s="201"/>
      <c r="AK432" s="122"/>
      <c r="AL432" s="122"/>
    </row>
    <row r="433">
      <c r="A433" s="115"/>
      <c r="B433" s="150"/>
      <c r="C433" s="89"/>
      <c r="D433" s="55"/>
      <c r="E433" s="115"/>
      <c r="F433" s="150"/>
      <c r="G433" s="188"/>
      <c r="H433" s="189"/>
      <c r="I433" s="115"/>
      <c r="J433" s="150"/>
      <c r="K433" s="89"/>
      <c r="L433" s="55"/>
      <c r="M433" s="115"/>
      <c r="N433" s="190"/>
      <c r="O433" s="89"/>
      <c r="P433" s="55"/>
      <c r="Q433" s="191"/>
      <c r="R433" s="192"/>
      <c r="S433" s="121"/>
      <c r="T433" s="122"/>
      <c r="U433" s="191"/>
      <c r="V433" s="192"/>
      <c r="W433" s="121"/>
      <c r="X433" s="122"/>
      <c r="Y433" s="115"/>
      <c r="Z433" s="193"/>
      <c r="AA433" s="194"/>
      <c r="AB433" s="195"/>
      <c r="AC433" s="115"/>
      <c r="AD433" s="192"/>
      <c r="AE433" s="196"/>
      <c r="AF433" s="197"/>
      <c r="AG433" s="201"/>
      <c r="AH433" s="201"/>
      <c r="AI433" s="201"/>
      <c r="AJ433" s="201"/>
      <c r="AK433" s="122"/>
      <c r="AL433" s="122"/>
    </row>
    <row r="434">
      <c r="A434" s="115"/>
      <c r="B434" s="150"/>
      <c r="C434" s="89"/>
      <c r="D434" s="55"/>
      <c r="E434" s="115"/>
      <c r="F434" s="150"/>
      <c r="G434" s="188"/>
      <c r="H434" s="189"/>
      <c r="I434" s="115"/>
      <c r="J434" s="150"/>
      <c r="K434" s="89"/>
      <c r="L434" s="55"/>
      <c r="M434" s="115"/>
      <c r="N434" s="190"/>
      <c r="O434" s="89"/>
      <c r="P434" s="55"/>
      <c r="Q434" s="191"/>
      <c r="R434" s="192"/>
      <c r="S434" s="121"/>
      <c r="T434" s="122"/>
      <c r="U434" s="191"/>
      <c r="V434" s="192"/>
      <c r="W434" s="121"/>
      <c r="X434" s="122"/>
      <c r="Y434" s="115"/>
      <c r="Z434" s="193"/>
      <c r="AA434" s="194"/>
      <c r="AB434" s="195"/>
      <c r="AC434" s="115"/>
      <c r="AD434" s="192"/>
      <c r="AE434" s="196"/>
      <c r="AF434" s="197"/>
      <c r="AG434" s="201"/>
      <c r="AH434" s="201"/>
      <c r="AI434" s="201"/>
      <c r="AJ434" s="201"/>
      <c r="AK434" s="122"/>
      <c r="AL434" s="122"/>
    </row>
    <row r="435">
      <c r="A435" s="115"/>
      <c r="B435" s="150"/>
      <c r="C435" s="89"/>
      <c r="D435" s="55"/>
      <c r="E435" s="115"/>
      <c r="F435" s="150"/>
      <c r="G435" s="188"/>
      <c r="H435" s="189"/>
      <c r="I435" s="115"/>
      <c r="J435" s="150"/>
      <c r="K435" s="89"/>
      <c r="L435" s="55"/>
      <c r="M435" s="115"/>
      <c r="N435" s="190"/>
      <c r="O435" s="89"/>
      <c r="P435" s="55"/>
      <c r="Q435" s="191"/>
      <c r="R435" s="192"/>
      <c r="S435" s="121"/>
      <c r="T435" s="122"/>
      <c r="U435" s="191"/>
      <c r="V435" s="192"/>
      <c r="W435" s="121"/>
      <c r="X435" s="122"/>
      <c r="Y435" s="115"/>
      <c r="Z435" s="193"/>
      <c r="AA435" s="194"/>
      <c r="AB435" s="195"/>
      <c r="AC435" s="115"/>
      <c r="AD435" s="192"/>
      <c r="AE435" s="196"/>
      <c r="AF435" s="197"/>
      <c r="AG435" s="201"/>
      <c r="AH435" s="201"/>
      <c r="AI435" s="201"/>
      <c r="AJ435" s="201"/>
      <c r="AK435" s="122"/>
      <c r="AL435" s="122"/>
    </row>
    <row r="436">
      <c r="A436" s="115"/>
      <c r="B436" s="150"/>
      <c r="C436" s="89"/>
      <c r="D436" s="55"/>
      <c r="E436" s="115"/>
      <c r="F436" s="150"/>
      <c r="G436" s="188"/>
      <c r="H436" s="189"/>
      <c r="I436" s="115"/>
      <c r="J436" s="150"/>
      <c r="K436" s="89"/>
      <c r="L436" s="55"/>
      <c r="M436" s="115"/>
      <c r="N436" s="190"/>
      <c r="O436" s="89"/>
      <c r="P436" s="55"/>
      <c r="Q436" s="191"/>
      <c r="R436" s="192"/>
      <c r="S436" s="121"/>
      <c r="T436" s="122"/>
      <c r="U436" s="191"/>
      <c r="V436" s="192"/>
      <c r="W436" s="121"/>
      <c r="X436" s="122"/>
      <c r="Y436" s="115"/>
      <c r="Z436" s="193"/>
      <c r="AA436" s="194"/>
      <c r="AB436" s="195"/>
      <c r="AC436" s="115"/>
      <c r="AD436" s="192"/>
      <c r="AE436" s="196"/>
      <c r="AF436" s="197"/>
      <c r="AG436" s="201"/>
      <c r="AH436" s="201"/>
      <c r="AI436" s="201"/>
      <c r="AJ436" s="201"/>
      <c r="AK436" s="122"/>
      <c r="AL436" s="122"/>
    </row>
    <row r="437">
      <c r="A437" s="115"/>
      <c r="B437" s="150"/>
      <c r="C437" s="89"/>
      <c r="D437" s="55"/>
      <c r="E437" s="115"/>
      <c r="F437" s="150"/>
      <c r="G437" s="188"/>
      <c r="H437" s="189"/>
      <c r="I437" s="115"/>
      <c r="J437" s="150"/>
      <c r="K437" s="89"/>
      <c r="L437" s="55"/>
      <c r="M437" s="115"/>
      <c r="N437" s="190"/>
      <c r="O437" s="89"/>
      <c r="P437" s="55"/>
      <c r="Q437" s="191"/>
      <c r="R437" s="192"/>
      <c r="S437" s="121"/>
      <c r="T437" s="122"/>
      <c r="U437" s="191"/>
      <c r="V437" s="192"/>
      <c r="W437" s="121"/>
      <c r="X437" s="122"/>
      <c r="Y437" s="115"/>
      <c r="Z437" s="193"/>
      <c r="AA437" s="194"/>
      <c r="AB437" s="195"/>
      <c r="AC437" s="115"/>
      <c r="AD437" s="192"/>
      <c r="AE437" s="196"/>
      <c r="AF437" s="197"/>
      <c r="AG437" s="201"/>
      <c r="AH437" s="201"/>
      <c r="AI437" s="201"/>
      <c r="AJ437" s="201"/>
      <c r="AK437" s="122"/>
      <c r="AL437" s="122"/>
    </row>
    <row r="438">
      <c r="A438" s="115"/>
      <c r="B438" s="150"/>
      <c r="C438" s="89"/>
      <c r="D438" s="55"/>
      <c r="E438" s="115"/>
      <c r="F438" s="150"/>
      <c r="G438" s="188"/>
      <c r="H438" s="189"/>
      <c r="I438" s="115"/>
      <c r="J438" s="150"/>
      <c r="K438" s="89"/>
      <c r="L438" s="55"/>
      <c r="M438" s="115"/>
      <c r="N438" s="190"/>
      <c r="O438" s="89"/>
      <c r="P438" s="55"/>
      <c r="Q438" s="191"/>
      <c r="R438" s="192"/>
      <c r="S438" s="121"/>
      <c r="T438" s="122"/>
      <c r="U438" s="191"/>
      <c r="V438" s="192"/>
      <c r="W438" s="121"/>
      <c r="X438" s="122"/>
      <c r="Y438" s="115"/>
      <c r="Z438" s="193"/>
      <c r="AA438" s="194"/>
      <c r="AB438" s="195"/>
      <c r="AC438" s="115"/>
      <c r="AD438" s="192"/>
      <c r="AE438" s="196"/>
      <c r="AF438" s="197"/>
      <c r="AG438" s="201"/>
      <c r="AH438" s="201"/>
      <c r="AI438" s="201"/>
      <c r="AJ438" s="201"/>
      <c r="AK438" s="122"/>
      <c r="AL438" s="122"/>
    </row>
    <row r="439">
      <c r="A439" s="115"/>
      <c r="B439" s="150"/>
      <c r="C439" s="89"/>
      <c r="D439" s="55"/>
      <c r="E439" s="115"/>
      <c r="F439" s="150"/>
      <c r="G439" s="188"/>
      <c r="H439" s="189"/>
      <c r="I439" s="115"/>
      <c r="J439" s="150"/>
      <c r="K439" s="89"/>
      <c r="L439" s="55"/>
      <c r="M439" s="115"/>
      <c r="N439" s="190"/>
      <c r="O439" s="89"/>
      <c r="P439" s="55"/>
      <c r="Q439" s="191"/>
      <c r="R439" s="192"/>
      <c r="S439" s="121"/>
      <c r="T439" s="122"/>
      <c r="U439" s="191"/>
      <c r="V439" s="192"/>
      <c r="W439" s="121"/>
      <c r="X439" s="122"/>
      <c r="Y439" s="115"/>
      <c r="Z439" s="193"/>
      <c r="AA439" s="194"/>
      <c r="AB439" s="195"/>
      <c r="AC439" s="115"/>
      <c r="AD439" s="192"/>
      <c r="AE439" s="196"/>
      <c r="AF439" s="197"/>
      <c r="AG439" s="201"/>
      <c r="AH439" s="201"/>
      <c r="AI439" s="201"/>
      <c r="AJ439" s="201"/>
      <c r="AK439" s="122"/>
      <c r="AL439" s="122"/>
    </row>
    <row r="440">
      <c r="A440" s="115"/>
      <c r="B440" s="150"/>
      <c r="C440" s="89"/>
      <c r="D440" s="55"/>
      <c r="E440" s="115"/>
      <c r="F440" s="150"/>
      <c r="G440" s="188"/>
      <c r="H440" s="189"/>
      <c r="I440" s="115"/>
      <c r="J440" s="150"/>
      <c r="K440" s="89"/>
      <c r="L440" s="55"/>
      <c r="M440" s="115"/>
      <c r="N440" s="190"/>
      <c r="O440" s="89"/>
      <c r="P440" s="55"/>
      <c r="Q440" s="191"/>
      <c r="R440" s="192"/>
      <c r="S440" s="121"/>
      <c r="T440" s="122"/>
      <c r="U440" s="191"/>
      <c r="V440" s="192"/>
      <c r="W440" s="121"/>
      <c r="X440" s="122"/>
      <c r="Y440" s="115"/>
      <c r="Z440" s="193"/>
      <c r="AA440" s="194"/>
      <c r="AB440" s="195"/>
      <c r="AC440" s="115"/>
      <c r="AD440" s="192"/>
      <c r="AE440" s="196"/>
      <c r="AF440" s="197"/>
      <c r="AG440" s="201"/>
      <c r="AH440" s="201"/>
      <c r="AI440" s="201"/>
      <c r="AJ440" s="201"/>
      <c r="AK440" s="122"/>
      <c r="AL440" s="122"/>
    </row>
    <row r="441">
      <c r="A441" s="115"/>
      <c r="B441" s="150"/>
      <c r="C441" s="89"/>
      <c r="D441" s="55"/>
      <c r="E441" s="115"/>
      <c r="F441" s="150"/>
      <c r="G441" s="188"/>
      <c r="H441" s="189"/>
      <c r="I441" s="115"/>
      <c r="J441" s="150"/>
      <c r="K441" s="89"/>
      <c r="L441" s="55"/>
      <c r="M441" s="115"/>
      <c r="N441" s="190"/>
      <c r="O441" s="89"/>
      <c r="P441" s="55"/>
      <c r="Q441" s="191"/>
      <c r="R441" s="192"/>
      <c r="S441" s="121"/>
      <c r="T441" s="122"/>
      <c r="U441" s="191"/>
      <c r="V441" s="192"/>
      <c r="W441" s="121"/>
      <c r="X441" s="122"/>
      <c r="Y441" s="115"/>
      <c r="Z441" s="193"/>
      <c r="AA441" s="194"/>
      <c r="AB441" s="195"/>
      <c r="AC441" s="115"/>
      <c r="AD441" s="192"/>
      <c r="AE441" s="196"/>
      <c r="AF441" s="197"/>
      <c r="AG441" s="201"/>
      <c r="AH441" s="201"/>
      <c r="AI441" s="201"/>
      <c r="AJ441" s="201"/>
      <c r="AK441" s="122"/>
      <c r="AL441" s="122"/>
    </row>
    <row r="442">
      <c r="A442" s="115"/>
      <c r="B442" s="150"/>
      <c r="C442" s="89"/>
      <c r="D442" s="55"/>
      <c r="E442" s="115"/>
      <c r="F442" s="150"/>
      <c r="G442" s="188"/>
      <c r="H442" s="189"/>
      <c r="I442" s="115"/>
      <c r="J442" s="150"/>
      <c r="K442" s="89"/>
      <c r="L442" s="55"/>
      <c r="M442" s="115"/>
      <c r="N442" s="190"/>
      <c r="O442" s="89"/>
      <c r="P442" s="55"/>
      <c r="Q442" s="191"/>
      <c r="R442" s="192"/>
      <c r="S442" s="121"/>
      <c r="T442" s="122"/>
      <c r="U442" s="191"/>
      <c r="V442" s="192"/>
      <c r="W442" s="121"/>
      <c r="X442" s="122"/>
      <c r="Y442" s="115"/>
      <c r="Z442" s="193"/>
      <c r="AA442" s="194"/>
      <c r="AB442" s="195"/>
      <c r="AC442" s="115"/>
      <c r="AD442" s="192"/>
      <c r="AE442" s="196"/>
      <c r="AF442" s="197"/>
      <c r="AG442" s="201"/>
      <c r="AH442" s="201"/>
      <c r="AI442" s="201"/>
      <c r="AJ442" s="201"/>
      <c r="AK442" s="122"/>
      <c r="AL442" s="122"/>
    </row>
    <row r="443">
      <c r="A443" s="115"/>
      <c r="B443" s="150"/>
      <c r="C443" s="89"/>
      <c r="D443" s="55"/>
      <c r="E443" s="115"/>
      <c r="F443" s="150"/>
      <c r="G443" s="188"/>
      <c r="H443" s="189"/>
      <c r="I443" s="115"/>
      <c r="J443" s="150"/>
      <c r="K443" s="89"/>
      <c r="L443" s="55"/>
      <c r="M443" s="115"/>
      <c r="N443" s="190"/>
      <c r="O443" s="89"/>
      <c r="P443" s="55"/>
      <c r="Q443" s="191"/>
      <c r="R443" s="192"/>
      <c r="S443" s="121"/>
      <c r="T443" s="122"/>
      <c r="U443" s="191"/>
      <c r="V443" s="192"/>
      <c r="W443" s="121"/>
      <c r="X443" s="122"/>
      <c r="Y443" s="115"/>
      <c r="Z443" s="193"/>
      <c r="AA443" s="194"/>
      <c r="AB443" s="195"/>
      <c r="AC443" s="115"/>
      <c r="AD443" s="192"/>
      <c r="AE443" s="196"/>
      <c r="AF443" s="197"/>
      <c r="AG443" s="201"/>
      <c r="AH443" s="201"/>
      <c r="AI443" s="201"/>
      <c r="AJ443" s="201"/>
      <c r="AK443" s="122"/>
      <c r="AL443" s="122"/>
    </row>
    <row r="444">
      <c r="A444" s="115"/>
      <c r="B444" s="150"/>
      <c r="C444" s="89"/>
      <c r="D444" s="55"/>
      <c r="E444" s="115"/>
      <c r="F444" s="150"/>
      <c r="G444" s="188"/>
      <c r="H444" s="189"/>
      <c r="I444" s="115"/>
      <c r="J444" s="150"/>
      <c r="K444" s="89"/>
      <c r="L444" s="55"/>
      <c r="M444" s="115"/>
      <c r="N444" s="190"/>
      <c r="O444" s="89"/>
      <c r="P444" s="55"/>
      <c r="Q444" s="191"/>
      <c r="R444" s="192"/>
      <c r="S444" s="121"/>
      <c r="T444" s="122"/>
      <c r="U444" s="191"/>
      <c r="V444" s="192"/>
      <c r="W444" s="121"/>
      <c r="X444" s="122"/>
      <c r="Y444" s="115"/>
      <c r="Z444" s="193"/>
      <c r="AA444" s="194"/>
      <c r="AB444" s="195"/>
      <c r="AC444" s="115"/>
      <c r="AD444" s="192"/>
      <c r="AE444" s="196"/>
      <c r="AF444" s="197"/>
      <c r="AG444" s="201"/>
      <c r="AH444" s="201"/>
      <c r="AI444" s="201"/>
      <c r="AJ444" s="201"/>
      <c r="AK444" s="122"/>
      <c r="AL444" s="122"/>
    </row>
    <row r="445">
      <c r="A445" s="115"/>
      <c r="B445" s="150"/>
      <c r="C445" s="89"/>
      <c r="D445" s="55"/>
      <c r="E445" s="115"/>
      <c r="F445" s="150"/>
      <c r="G445" s="188"/>
      <c r="H445" s="189"/>
      <c r="I445" s="115"/>
      <c r="J445" s="150"/>
      <c r="K445" s="89"/>
      <c r="L445" s="55"/>
      <c r="M445" s="115"/>
      <c r="N445" s="190"/>
      <c r="O445" s="89"/>
      <c r="P445" s="55"/>
      <c r="Q445" s="191"/>
      <c r="R445" s="192"/>
      <c r="S445" s="121"/>
      <c r="T445" s="122"/>
      <c r="U445" s="191"/>
      <c r="V445" s="192"/>
      <c r="W445" s="121"/>
      <c r="X445" s="122"/>
      <c r="Y445" s="115"/>
      <c r="Z445" s="193"/>
      <c r="AA445" s="194"/>
      <c r="AB445" s="195"/>
      <c r="AC445" s="115"/>
      <c r="AD445" s="192"/>
      <c r="AE445" s="196"/>
      <c r="AF445" s="197"/>
      <c r="AG445" s="201"/>
      <c r="AH445" s="201"/>
      <c r="AI445" s="201"/>
      <c r="AJ445" s="201"/>
      <c r="AK445" s="122"/>
      <c r="AL445" s="122"/>
    </row>
    <row r="446">
      <c r="A446" s="115"/>
      <c r="B446" s="150"/>
      <c r="C446" s="89"/>
      <c r="D446" s="55"/>
      <c r="E446" s="115"/>
      <c r="F446" s="150"/>
      <c r="G446" s="188"/>
      <c r="H446" s="189"/>
      <c r="I446" s="115"/>
      <c r="J446" s="150"/>
      <c r="K446" s="89"/>
      <c r="L446" s="55"/>
      <c r="M446" s="115"/>
      <c r="N446" s="190"/>
      <c r="O446" s="89"/>
      <c r="P446" s="55"/>
      <c r="Q446" s="191"/>
      <c r="R446" s="192"/>
      <c r="S446" s="121"/>
      <c r="T446" s="122"/>
      <c r="U446" s="191"/>
      <c r="V446" s="192"/>
      <c r="W446" s="121"/>
      <c r="X446" s="122"/>
      <c r="Y446" s="115"/>
      <c r="Z446" s="193"/>
      <c r="AA446" s="194"/>
      <c r="AB446" s="195"/>
      <c r="AC446" s="115"/>
      <c r="AD446" s="192"/>
      <c r="AE446" s="196"/>
      <c r="AF446" s="197"/>
      <c r="AG446" s="201"/>
      <c r="AH446" s="201"/>
      <c r="AI446" s="201"/>
      <c r="AJ446" s="201"/>
      <c r="AK446" s="122"/>
      <c r="AL446" s="122"/>
    </row>
    <row r="447">
      <c r="A447" s="115"/>
      <c r="B447" s="150"/>
      <c r="C447" s="89"/>
      <c r="D447" s="55"/>
      <c r="E447" s="115"/>
      <c r="F447" s="150"/>
      <c r="G447" s="188"/>
      <c r="H447" s="189"/>
      <c r="I447" s="115"/>
      <c r="J447" s="150"/>
      <c r="K447" s="89"/>
      <c r="L447" s="55"/>
      <c r="M447" s="115"/>
      <c r="N447" s="190"/>
      <c r="O447" s="89"/>
      <c r="P447" s="55"/>
      <c r="Q447" s="191"/>
      <c r="R447" s="192"/>
      <c r="S447" s="121"/>
      <c r="T447" s="122"/>
      <c r="U447" s="191"/>
      <c r="V447" s="192"/>
      <c r="W447" s="121"/>
      <c r="X447" s="122"/>
      <c r="Y447" s="115"/>
      <c r="Z447" s="193"/>
      <c r="AA447" s="194"/>
      <c r="AB447" s="195"/>
      <c r="AC447" s="115"/>
      <c r="AD447" s="192"/>
      <c r="AE447" s="196"/>
      <c r="AF447" s="197"/>
      <c r="AG447" s="201"/>
      <c r="AH447" s="201"/>
      <c r="AI447" s="201"/>
      <c r="AJ447" s="201"/>
      <c r="AK447" s="122"/>
      <c r="AL447" s="122"/>
    </row>
    <row r="448">
      <c r="A448" s="115"/>
      <c r="B448" s="150"/>
      <c r="C448" s="89"/>
      <c r="D448" s="55"/>
      <c r="E448" s="115"/>
      <c r="F448" s="150"/>
      <c r="G448" s="188"/>
      <c r="H448" s="189"/>
      <c r="I448" s="115"/>
      <c r="J448" s="150"/>
      <c r="K448" s="89"/>
      <c r="L448" s="55"/>
      <c r="M448" s="115"/>
      <c r="N448" s="190"/>
      <c r="O448" s="89"/>
      <c r="P448" s="55"/>
      <c r="Q448" s="191"/>
      <c r="R448" s="192"/>
      <c r="S448" s="121"/>
      <c r="T448" s="122"/>
      <c r="U448" s="191"/>
      <c r="V448" s="192"/>
      <c r="W448" s="121"/>
      <c r="X448" s="122"/>
      <c r="Y448" s="115"/>
      <c r="Z448" s="193"/>
      <c r="AA448" s="194"/>
      <c r="AB448" s="195"/>
      <c r="AC448" s="115"/>
      <c r="AD448" s="192"/>
      <c r="AE448" s="196"/>
      <c r="AF448" s="197"/>
      <c r="AG448" s="201"/>
      <c r="AH448" s="201"/>
      <c r="AI448" s="201"/>
      <c r="AJ448" s="201"/>
      <c r="AK448" s="122"/>
      <c r="AL448" s="122"/>
    </row>
    <row r="449">
      <c r="A449" s="115"/>
      <c r="B449" s="150"/>
      <c r="C449" s="89"/>
      <c r="D449" s="55"/>
      <c r="E449" s="115"/>
      <c r="F449" s="150"/>
      <c r="G449" s="188"/>
      <c r="H449" s="189"/>
      <c r="I449" s="115"/>
      <c r="J449" s="150"/>
      <c r="K449" s="89"/>
      <c r="L449" s="55"/>
      <c r="M449" s="115"/>
      <c r="N449" s="190"/>
      <c r="O449" s="89"/>
      <c r="P449" s="55"/>
      <c r="Q449" s="191"/>
      <c r="R449" s="192"/>
      <c r="S449" s="121"/>
      <c r="T449" s="122"/>
      <c r="U449" s="191"/>
      <c r="V449" s="192"/>
      <c r="W449" s="121"/>
      <c r="X449" s="122"/>
      <c r="Y449" s="115"/>
      <c r="Z449" s="193"/>
      <c r="AA449" s="194"/>
      <c r="AB449" s="195"/>
      <c r="AC449" s="115"/>
      <c r="AD449" s="192"/>
      <c r="AE449" s="196"/>
      <c r="AF449" s="197"/>
      <c r="AG449" s="201"/>
      <c r="AH449" s="201"/>
      <c r="AI449" s="201"/>
      <c r="AJ449" s="201"/>
      <c r="AK449" s="122"/>
      <c r="AL449" s="122"/>
    </row>
    <row r="450">
      <c r="A450" s="115"/>
      <c r="B450" s="150"/>
      <c r="C450" s="89"/>
      <c r="D450" s="55"/>
      <c r="E450" s="115"/>
      <c r="F450" s="150"/>
      <c r="G450" s="188"/>
      <c r="H450" s="189"/>
      <c r="I450" s="115"/>
      <c r="J450" s="150"/>
      <c r="K450" s="89"/>
      <c r="L450" s="55"/>
      <c r="M450" s="115"/>
      <c r="N450" s="190"/>
      <c r="O450" s="89"/>
      <c r="P450" s="55"/>
      <c r="Q450" s="191"/>
      <c r="R450" s="192"/>
      <c r="S450" s="121"/>
      <c r="T450" s="122"/>
      <c r="U450" s="191"/>
      <c r="V450" s="192"/>
      <c r="W450" s="121"/>
      <c r="X450" s="122"/>
      <c r="Y450" s="115"/>
      <c r="Z450" s="193"/>
      <c r="AA450" s="194"/>
      <c r="AB450" s="195"/>
      <c r="AC450" s="115"/>
      <c r="AD450" s="192"/>
      <c r="AE450" s="196"/>
      <c r="AF450" s="197"/>
      <c r="AG450" s="201"/>
      <c r="AH450" s="201"/>
      <c r="AI450" s="201"/>
      <c r="AJ450" s="201"/>
      <c r="AK450" s="122"/>
      <c r="AL450" s="122"/>
    </row>
    <row r="451">
      <c r="A451" s="115"/>
      <c r="B451" s="150"/>
      <c r="C451" s="89"/>
      <c r="D451" s="55"/>
      <c r="E451" s="115"/>
      <c r="F451" s="150"/>
      <c r="G451" s="188"/>
      <c r="H451" s="189"/>
      <c r="I451" s="115"/>
      <c r="J451" s="150"/>
      <c r="K451" s="89"/>
      <c r="L451" s="55"/>
      <c r="M451" s="115"/>
      <c r="N451" s="190"/>
      <c r="O451" s="89"/>
      <c r="P451" s="55"/>
      <c r="Q451" s="191"/>
      <c r="R451" s="192"/>
      <c r="S451" s="121"/>
      <c r="T451" s="122"/>
      <c r="U451" s="191"/>
      <c r="V451" s="192"/>
      <c r="W451" s="121"/>
      <c r="X451" s="122"/>
      <c r="Y451" s="115"/>
      <c r="Z451" s="193"/>
      <c r="AA451" s="194"/>
      <c r="AB451" s="195"/>
      <c r="AC451" s="115"/>
      <c r="AD451" s="192"/>
      <c r="AE451" s="196"/>
      <c r="AF451" s="197"/>
      <c r="AG451" s="201"/>
      <c r="AH451" s="201"/>
      <c r="AI451" s="201"/>
      <c r="AJ451" s="201"/>
      <c r="AK451" s="122"/>
      <c r="AL451" s="122"/>
    </row>
    <row r="452">
      <c r="A452" s="115"/>
      <c r="B452" s="150"/>
      <c r="C452" s="89"/>
      <c r="D452" s="55"/>
      <c r="E452" s="115"/>
      <c r="F452" s="150"/>
      <c r="G452" s="188"/>
      <c r="H452" s="189"/>
      <c r="I452" s="115"/>
      <c r="J452" s="150"/>
      <c r="K452" s="89"/>
      <c r="L452" s="55"/>
      <c r="M452" s="115"/>
      <c r="N452" s="190"/>
      <c r="O452" s="89"/>
      <c r="P452" s="55"/>
      <c r="Q452" s="191"/>
      <c r="R452" s="192"/>
      <c r="S452" s="121"/>
      <c r="T452" s="122"/>
      <c r="U452" s="191"/>
      <c r="V452" s="192"/>
      <c r="W452" s="121"/>
      <c r="X452" s="122"/>
      <c r="Y452" s="115"/>
      <c r="Z452" s="193"/>
      <c r="AA452" s="194"/>
      <c r="AB452" s="195"/>
      <c r="AC452" s="115"/>
      <c r="AD452" s="192"/>
      <c r="AE452" s="196"/>
      <c r="AF452" s="197"/>
      <c r="AG452" s="201"/>
      <c r="AH452" s="201"/>
      <c r="AI452" s="201"/>
      <c r="AJ452" s="201"/>
      <c r="AK452" s="122"/>
      <c r="AL452" s="122"/>
    </row>
    <row r="453">
      <c r="A453" s="115"/>
      <c r="B453" s="150"/>
      <c r="C453" s="89"/>
      <c r="D453" s="55"/>
      <c r="E453" s="115"/>
      <c r="F453" s="150"/>
      <c r="G453" s="188"/>
      <c r="H453" s="189"/>
      <c r="I453" s="115"/>
      <c r="J453" s="150"/>
      <c r="K453" s="89"/>
      <c r="L453" s="55"/>
      <c r="M453" s="115"/>
      <c r="N453" s="190"/>
      <c r="O453" s="89"/>
      <c r="P453" s="55"/>
      <c r="Q453" s="191"/>
      <c r="R453" s="192"/>
      <c r="S453" s="121"/>
      <c r="T453" s="122"/>
      <c r="U453" s="191"/>
      <c r="V453" s="192"/>
      <c r="W453" s="121"/>
      <c r="X453" s="122"/>
      <c r="Y453" s="115"/>
      <c r="Z453" s="193"/>
      <c r="AA453" s="194"/>
      <c r="AB453" s="195"/>
      <c r="AC453" s="115"/>
      <c r="AD453" s="192"/>
      <c r="AE453" s="196"/>
      <c r="AF453" s="197"/>
      <c r="AG453" s="201"/>
      <c r="AH453" s="201"/>
      <c r="AI453" s="201"/>
      <c r="AJ453" s="201"/>
      <c r="AK453" s="122"/>
      <c r="AL453" s="122"/>
    </row>
    <row r="454">
      <c r="A454" s="115"/>
      <c r="B454" s="150"/>
      <c r="C454" s="89"/>
      <c r="D454" s="55"/>
      <c r="E454" s="115"/>
      <c r="F454" s="150"/>
      <c r="G454" s="188"/>
      <c r="H454" s="189"/>
      <c r="I454" s="115"/>
      <c r="J454" s="150"/>
      <c r="K454" s="89"/>
      <c r="L454" s="55"/>
      <c r="M454" s="115"/>
      <c r="N454" s="190"/>
      <c r="O454" s="89"/>
      <c r="P454" s="55"/>
      <c r="Q454" s="191"/>
      <c r="R454" s="192"/>
      <c r="S454" s="121"/>
      <c r="T454" s="122"/>
      <c r="U454" s="191"/>
      <c r="V454" s="192"/>
      <c r="W454" s="121"/>
      <c r="X454" s="122"/>
      <c r="Y454" s="115"/>
      <c r="Z454" s="193"/>
      <c r="AA454" s="194"/>
      <c r="AB454" s="195"/>
      <c r="AC454" s="115"/>
      <c r="AD454" s="192"/>
      <c r="AE454" s="196"/>
      <c r="AF454" s="197"/>
      <c r="AG454" s="201"/>
      <c r="AH454" s="201"/>
      <c r="AI454" s="201"/>
      <c r="AJ454" s="201"/>
      <c r="AK454" s="122"/>
      <c r="AL454" s="122"/>
    </row>
    <row r="455">
      <c r="A455" s="115"/>
      <c r="B455" s="150"/>
      <c r="C455" s="89"/>
      <c r="D455" s="55"/>
      <c r="E455" s="115"/>
      <c r="F455" s="150"/>
      <c r="G455" s="188"/>
      <c r="H455" s="189"/>
      <c r="I455" s="115"/>
      <c r="J455" s="150"/>
      <c r="K455" s="89"/>
      <c r="L455" s="55"/>
      <c r="M455" s="115"/>
      <c r="N455" s="190"/>
      <c r="O455" s="89"/>
      <c r="P455" s="55"/>
      <c r="Q455" s="191"/>
      <c r="R455" s="192"/>
      <c r="S455" s="121"/>
      <c r="T455" s="122"/>
      <c r="U455" s="191"/>
      <c r="V455" s="192"/>
      <c r="W455" s="121"/>
      <c r="X455" s="122"/>
      <c r="Y455" s="115"/>
      <c r="Z455" s="193"/>
      <c r="AA455" s="194"/>
      <c r="AB455" s="195"/>
      <c r="AC455" s="115"/>
      <c r="AD455" s="192"/>
      <c r="AE455" s="196"/>
      <c r="AF455" s="197"/>
      <c r="AG455" s="201"/>
      <c r="AH455" s="201"/>
      <c r="AI455" s="201"/>
      <c r="AJ455" s="201"/>
      <c r="AK455" s="122"/>
      <c r="AL455" s="122"/>
    </row>
    <row r="456">
      <c r="A456" s="115"/>
      <c r="B456" s="150"/>
      <c r="C456" s="89"/>
      <c r="D456" s="55"/>
      <c r="E456" s="115"/>
      <c r="F456" s="150"/>
      <c r="G456" s="188"/>
      <c r="H456" s="189"/>
      <c r="I456" s="115"/>
      <c r="J456" s="150"/>
      <c r="K456" s="89"/>
      <c r="L456" s="55"/>
      <c r="M456" s="115"/>
      <c r="N456" s="190"/>
      <c r="O456" s="89"/>
      <c r="P456" s="55"/>
      <c r="Q456" s="191"/>
      <c r="R456" s="192"/>
      <c r="S456" s="121"/>
      <c r="T456" s="122"/>
      <c r="U456" s="191"/>
      <c r="V456" s="192"/>
      <c r="W456" s="121"/>
      <c r="X456" s="122"/>
      <c r="Y456" s="115"/>
      <c r="Z456" s="193"/>
      <c r="AA456" s="194"/>
      <c r="AB456" s="195"/>
      <c r="AC456" s="115"/>
      <c r="AD456" s="192"/>
      <c r="AE456" s="196"/>
      <c r="AF456" s="197"/>
      <c r="AG456" s="201"/>
      <c r="AH456" s="201"/>
      <c r="AI456" s="201"/>
      <c r="AJ456" s="201"/>
      <c r="AK456" s="122"/>
      <c r="AL456" s="122"/>
    </row>
    <row r="457">
      <c r="A457" s="115"/>
      <c r="B457" s="150"/>
      <c r="C457" s="89"/>
      <c r="D457" s="55"/>
      <c r="E457" s="115"/>
      <c r="F457" s="150"/>
      <c r="G457" s="188"/>
      <c r="H457" s="189"/>
      <c r="I457" s="115"/>
      <c r="J457" s="150"/>
      <c r="K457" s="89"/>
      <c r="L457" s="55"/>
      <c r="M457" s="115"/>
      <c r="N457" s="190"/>
      <c r="O457" s="89"/>
      <c r="P457" s="55"/>
      <c r="Q457" s="191"/>
      <c r="R457" s="192"/>
      <c r="S457" s="121"/>
      <c r="T457" s="122"/>
      <c r="U457" s="191"/>
      <c r="V457" s="192"/>
      <c r="W457" s="121"/>
      <c r="X457" s="122"/>
      <c r="Y457" s="115"/>
      <c r="Z457" s="193"/>
      <c r="AA457" s="194"/>
      <c r="AB457" s="195"/>
      <c r="AC457" s="115"/>
      <c r="AD457" s="192"/>
      <c r="AE457" s="196"/>
      <c r="AF457" s="197"/>
      <c r="AG457" s="201"/>
      <c r="AH457" s="201"/>
      <c r="AI457" s="201"/>
      <c r="AJ457" s="201"/>
      <c r="AK457" s="122"/>
      <c r="AL457" s="122"/>
    </row>
    <row r="458">
      <c r="A458" s="115"/>
      <c r="B458" s="150"/>
      <c r="C458" s="89"/>
      <c r="D458" s="55"/>
      <c r="E458" s="115"/>
      <c r="F458" s="150"/>
      <c r="G458" s="188"/>
      <c r="H458" s="189"/>
      <c r="I458" s="115"/>
      <c r="J458" s="150"/>
      <c r="K458" s="89"/>
      <c r="L458" s="55"/>
      <c r="M458" s="115"/>
      <c r="N458" s="190"/>
      <c r="O458" s="89"/>
      <c r="P458" s="55"/>
      <c r="Q458" s="191"/>
      <c r="R458" s="192"/>
      <c r="S458" s="121"/>
      <c r="T458" s="122"/>
      <c r="U458" s="191"/>
      <c r="V458" s="192"/>
      <c r="W458" s="121"/>
      <c r="X458" s="122"/>
      <c r="Y458" s="115"/>
      <c r="Z458" s="193"/>
      <c r="AA458" s="194"/>
      <c r="AB458" s="195"/>
      <c r="AC458" s="115"/>
      <c r="AD458" s="192"/>
      <c r="AE458" s="196"/>
      <c r="AF458" s="197"/>
      <c r="AG458" s="201"/>
      <c r="AH458" s="201"/>
      <c r="AI458" s="201"/>
      <c r="AJ458" s="201"/>
      <c r="AK458" s="122"/>
      <c r="AL458" s="122"/>
    </row>
    <row r="459">
      <c r="A459" s="115"/>
      <c r="B459" s="150"/>
      <c r="C459" s="89"/>
      <c r="D459" s="55"/>
      <c r="E459" s="115"/>
      <c r="F459" s="150"/>
      <c r="G459" s="188"/>
      <c r="H459" s="189"/>
      <c r="I459" s="115"/>
      <c r="J459" s="150"/>
      <c r="K459" s="89"/>
      <c r="L459" s="55"/>
      <c r="M459" s="115"/>
      <c r="N459" s="190"/>
      <c r="O459" s="89"/>
      <c r="P459" s="55"/>
      <c r="Q459" s="191"/>
      <c r="R459" s="192"/>
      <c r="S459" s="121"/>
      <c r="T459" s="122"/>
      <c r="U459" s="191"/>
      <c r="V459" s="192"/>
      <c r="W459" s="121"/>
      <c r="X459" s="122"/>
      <c r="Y459" s="115"/>
      <c r="Z459" s="193"/>
      <c r="AA459" s="194"/>
      <c r="AB459" s="195"/>
      <c r="AC459" s="115"/>
      <c r="AD459" s="192"/>
      <c r="AE459" s="196"/>
      <c r="AF459" s="197"/>
      <c r="AG459" s="201"/>
      <c r="AH459" s="201"/>
      <c r="AI459" s="201"/>
      <c r="AJ459" s="201"/>
      <c r="AK459" s="122"/>
      <c r="AL459" s="122"/>
    </row>
    <row r="460">
      <c r="A460" s="115"/>
      <c r="B460" s="150"/>
      <c r="C460" s="89"/>
      <c r="D460" s="55"/>
      <c r="E460" s="115"/>
      <c r="F460" s="150"/>
      <c r="G460" s="188"/>
      <c r="H460" s="189"/>
      <c r="I460" s="115"/>
      <c r="J460" s="150"/>
      <c r="K460" s="89"/>
      <c r="L460" s="55"/>
      <c r="M460" s="115"/>
      <c r="N460" s="190"/>
      <c r="O460" s="89"/>
      <c r="P460" s="55"/>
      <c r="Q460" s="191"/>
      <c r="R460" s="192"/>
      <c r="S460" s="121"/>
      <c r="T460" s="122"/>
      <c r="U460" s="191"/>
      <c r="V460" s="192"/>
      <c r="W460" s="121"/>
      <c r="X460" s="122"/>
      <c r="Y460" s="115"/>
      <c r="Z460" s="193"/>
      <c r="AA460" s="194"/>
      <c r="AB460" s="195"/>
      <c r="AC460" s="115"/>
      <c r="AD460" s="192"/>
      <c r="AE460" s="196"/>
      <c r="AF460" s="197"/>
      <c r="AG460" s="201"/>
      <c r="AH460" s="201"/>
      <c r="AI460" s="201"/>
      <c r="AJ460" s="201"/>
      <c r="AK460" s="122"/>
      <c r="AL460" s="122"/>
    </row>
    <row r="461">
      <c r="A461" s="115"/>
      <c r="B461" s="150"/>
      <c r="C461" s="89"/>
      <c r="D461" s="55"/>
      <c r="E461" s="115"/>
      <c r="F461" s="150"/>
      <c r="G461" s="188"/>
      <c r="H461" s="189"/>
      <c r="I461" s="115"/>
      <c r="J461" s="150"/>
      <c r="K461" s="89"/>
      <c r="L461" s="55"/>
      <c r="M461" s="115"/>
      <c r="N461" s="190"/>
      <c r="O461" s="89"/>
      <c r="P461" s="55"/>
      <c r="Q461" s="191"/>
      <c r="R461" s="192"/>
      <c r="S461" s="121"/>
      <c r="T461" s="122"/>
      <c r="U461" s="191"/>
      <c r="V461" s="192"/>
      <c r="W461" s="121"/>
      <c r="X461" s="122"/>
      <c r="Y461" s="115"/>
      <c r="Z461" s="193"/>
      <c r="AA461" s="194"/>
      <c r="AB461" s="195"/>
      <c r="AC461" s="115"/>
      <c r="AD461" s="192"/>
      <c r="AE461" s="196"/>
      <c r="AF461" s="197"/>
      <c r="AG461" s="201"/>
      <c r="AH461" s="201"/>
      <c r="AI461" s="201"/>
      <c r="AJ461" s="201"/>
      <c r="AK461" s="122"/>
      <c r="AL461" s="122"/>
    </row>
    <row r="462">
      <c r="A462" s="115"/>
      <c r="B462" s="150"/>
      <c r="C462" s="89"/>
      <c r="D462" s="55"/>
      <c r="E462" s="115"/>
      <c r="F462" s="150"/>
      <c r="G462" s="188"/>
      <c r="H462" s="189"/>
      <c r="I462" s="115"/>
      <c r="J462" s="150"/>
      <c r="K462" s="89"/>
      <c r="L462" s="55"/>
      <c r="M462" s="115"/>
      <c r="N462" s="190"/>
      <c r="O462" s="89"/>
      <c r="P462" s="55"/>
      <c r="Q462" s="191"/>
      <c r="R462" s="192"/>
      <c r="S462" s="121"/>
      <c r="T462" s="122"/>
      <c r="U462" s="191"/>
      <c r="V462" s="192"/>
      <c r="W462" s="121"/>
      <c r="X462" s="122"/>
      <c r="Y462" s="115"/>
      <c r="Z462" s="193"/>
      <c r="AA462" s="194"/>
      <c r="AB462" s="195"/>
      <c r="AC462" s="115"/>
      <c r="AD462" s="192"/>
      <c r="AE462" s="196"/>
      <c r="AF462" s="197"/>
      <c r="AG462" s="201"/>
      <c r="AH462" s="201"/>
      <c r="AI462" s="201"/>
      <c r="AJ462" s="201"/>
      <c r="AK462" s="122"/>
      <c r="AL462" s="122"/>
    </row>
    <row r="463">
      <c r="A463" s="115"/>
      <c r="B463" s="150"/>
      <c r="C463" s="89"/>
      <c r="D463" s="55"/>
      <c r="E463" s="115"/>
      <c r="F463" s="150"/>
      <c r="G463" s="188"/>
      <c r="H463" s="189"/>
      <c r="I463" s="115"/>
      <c r="J463" s="150"/>
      <c r="K463" s="89"/>
      <c r="L463" s="55"/>
      <c r="M463" s="115"/>
      <c r="N463" s="190"/>
      <c r="O463" s="89"/>
      <c r="P463" s="55"/>
      <c r="Q463" s="191"/>
      <c r="R463" s="192"/>
      <c r="S463" s="121"/>
      <c r="T463" s="122"/>
      <c r="U463" s="191"/>
      <c r="V463" s="192"/>
      <c r="W463" s="121"/>
      <c r="X463" s="122"/>
      <c r="Y463" s="115"/>
      <c r="Z463" s="193"/>
      <c r="AA463" s="194"/>
      <c r="AB463" s="195"/>
      <c r="AC463" s="115"/>
      <c r="AD463" s="192"/>
      <c r="AE463" s="196"/>
      <c r="AF463" s="197"/>
      <c r="AG463" s="201"/>
      <c r="AH463" s="201"/>
      <c r="AI463" s="201"/>
      <c r="AJ463" s="201"/>
      <c r="AK463" s="122"/>
      <c r="AL463" s="122"/>
    </row>
    <row r="464">
      <c r="A464" s="115"/>
      <c r="B464" s="150"/>
      <c r="C464" s="89"/>
      <c r="D464" s="55"/>
      <c r="E464" s="115"/>
      <c r="F464" s="150"/>
      <c r="G464" s="188"/>
      <c r="H464" s="189"/>
      <c r="I464" s="115"/>
      <c r="J464" s="150"/>
      <c r="K464" s="89"/>
      <c r="L464" s="55"/>
      <c r="M464" s="115"/>
      <c r="N464" s="190"/>
      <c r="O464" s="89"/>
      <c r="P464" s="55"/>
      <c r="Q464" s="191"/>
      <c r="R464" s="192"/>
      <c r="S464" s="121"/>
      <c r="T464" s="122"/>
      <c r="U464" s="191"/>
      <c r="V464" s="192"/>
      <c r="W464" s="121"/>
      <c r="X464" s="122"/>
      <c r="Y464" s="115"/>
      <c r="Z464" s="193"/>
      <c r="AA464" s="194"/>
      <c r="AB464" s="195"/>
      <c r="AC464" s="115"/>
      <c r="AD464" s="192"/>
      <c r="AE464" s="196"/>
      <c r="AF464" s="197"/>
      <c r="AG464" s="201"/>
      <c r="AH464" s="201"/>
      <c r="AI464" s="201"/>
      <c r="AJ464" s="201"/>
      <c r="AK464" s="122"/>
      <c r="AL464" s="122"/>
    </row>
    <row r="465">
      <c r="A465" s="115"/>
      <c r="B465" s="150"/>
      <c r="C465" s="89"/>
      <c r="D465" s="55"/>
      <c r="E465" s="115"/>
      <c r="F465" s="150"/>
      <c r="G465" s="188"/>
      <c r="H465" s="189"/>
      <c r="I465" s="115"/>
      <c r="J465" s="150"/>
      <c r="K465" s="89"/>
      <c r="L465" s="55"/>
      <c r="M465" s="115"/>
      <c r="N465" s="190"/>
      <c r="O465" s="89"/>
      <c r="P465" s="55"/>
      <c r="Q465" s="191"/>
      <c r="R465" s="192"/>
      <c r="S465" s="121"/>
      <c r="T465" s="122"/>
      <c r="U465" s="191"/>
      <c r="V465" s="192"/>
      <c r="W465" s="121"/>
      <c r="X465" s="122"/>
      <c r="Y465" s="115"/>
      <c r="Z465" s="193"/>
      <c r="AA465" s="194"/>
      <c r="AB465" s="195"/>
      <c r="AC465" s="115"/>
      <c r="AD465" s="192"/>
      <c r="AE465" s="196"/>
      <c r="AF465" s="197"/>
      <c r="AG465" s="201"/>
      <c r="AH465" s="201"/>
      <c r="AI465" s="201"/>
      <c r="AJ465" s="201"/>
      <c r="AK465" s="122"/>
      <c r="AL465" s="122"/>
    </row>
    <row r="466">
      <c r="A466" s="115"/>
      <c r="B466" s="150"/>
      <c r="C466" s="89"/>
      <c r="D466" s="55"/>
      <c r="E466" s="115"/>
      <c r="F466" s="150"/>
      <c r="G466" s="188"/>
      <c r="H466" s="189"/>
      <c r="I466" s="115"/>
      <c r="J466" s="150"/>
      <c r="K466" s="89"/>
      <c r="L466" s="55"/>
      <c r="M466" s="115"/>
      <c r="N466" s="190"/>
      <c r="O466" s="89"/>
      <c r="P466" s="55"/>
      <c r="Q466" s="191"/>
      <c r="R466" s="192"/>
      <c r="S466" s="121"/>
      <c r="T466" s="122"/>
      <c r="U466" s="191"/>
      <c r="V466" s="192"/>
      <c r="W466" s="121"/>
      <c r="X466" s="122"/>
      <c r="Y466" s="115"/>
      <c r="Z466" s="193"/>
      <c r="AA466" s="194"/>
      <c r="AB466" s="195"/>
      <c r="AC466" s="115"/>
      <c r="AD466" s="192"/>
      <c r="AE466" s="196"/>
      <c r="AF466" s="197"/>
      <c r="AG466" s="201"/>
      <c r="AH466" s="201"/>
      <c r="AI466" s="201"/>
      <c r="AJ466" s="201"/>
      <c r="AK466" s="122"/>
      <c r="AL466" s="122"/>
    </row>
    <row r="467">
      <c r="A467" s="115"/>
      <c r="B467" s="150"/>
      <c r="C467" s="89"/>
      <c r="D467" s="55"/>
      <c r="E467" s="115"/>
      <c r="F467" s="150"/>
      <c r="G467" s="188"/>
      <c r="H467" s="189"/>
      <c r="I467" s="115"/>
      <c r="J467" s="150"/>
      <c r="K467" s="89"/>
      <c r="L467" s="55"/>
      <c r="M467" s="115"/>
      <c r="N467" s="190"/>
      <c r="O467" s="89"/>
      <c r="P467" s="55"/>
      <c r="Q467" s="191"/>
      <c r="R467" s="192"/>
      <c r="S467" s="121"/>
      <c r="T467" s="122"/>
      <c r="U467" s="191"/>
      <c r="V467" s="192"/>
      <c r="W467" s="121"/>
      <c r="X467" s="122"/>
      <c r="Y467" s="115"/>
      <c r="Z467" s="193"/>
      <c r="AA467" s="194"/>
      <c r="AB467" s="195"/>
      <c r="AC467" s="115"/>
      <c r="AD467" s="192"/>
      <c r="AE467" s="196"/>
      <c r="AF467" s="197"/>
      <c r="AG467" s="201"/>
      <c r="AH467" s="201"/>
      <c r="AI467" s="201"/>
      <c r="AJ467" s="201"/>
      <c r="AK467" s="122"/>
      <c r="AL467" s="122"/>
    </row>
    <row r="468">
      <c r="A468" s="115"/>
      <c r="B468" s="150"/>
      <c r="C468" s="89"/>
      <c r="D468" s="55"/>
      <c r="E468" s="115"/>
      <c r="F468" s="150"/>
      <c r="G468" s="188"/>
      <c r="H468" s="189"/>
      <c r="I468" s="115"/>
      <c r="J468" s="150"/>
      <c r="K468" s="89"/>
      <c r="L468" s="55"/>
      <c r="M468" s="115"/>
      <c r="N468" s="190"/>
      <c r="O468" s="89"/>
      <c r="P468" s="55"/>
      <c r="Q468" s="191"/>
      <c r="R468" s="192"/>
      <c r="S468" s="121"/>
      <c r="T468" s="122"/>
      <c r="U468" s="191"/>
      <c r="V468" s="192"/>
      <c r="W468" s="121"/>
      <c r="X468" s="122"/>
      <c r="Y468" s="115"/>
      <c r="Z468" s="193"/>
      <c r="AA468" s="194"/>
      <c r="AB468" s="195"/>
      <c r="AC468" s="115"/>
      <c r="AD468" s="192"/>
      <c r="AE468" s="196"/>
      <c r="AF468" s="197"/>
      <c r="AG468" s="201"/>
      <c r="AH468" s="201"/>
      <c r="AI468" s="201"/>
      <c r="AJ468" s="201"/>
      <c r="AK468" s="122"/>
      <c r="AL468" s="122"/>
    </row>
    <row r="469">
      <c r="A469" s="115"/>
      <c r="B469" s="150"/>
      <c r="C469" s="89"/>
      <c r="D469" s="55"/>
      <c r="E469" s="115"/>
      <c r="F469" s="150"/>
      <c r="G469" s="188"/>
      <c r="H469" s="189"/>
      <c r="I469" s="115"/>
      <c r="J469" s="150"/>
      <c r="K469" s="89"/>
      <c r="L469" s="55"/>
      <c r="M469" s="115"/>
      <c r="N469" s="190"/>
      <c r="O469" s="89"/>
      <c r="P469" s="55"/>
      <c r="Q469" s="191"/>
      <c r="R469" s="192"/>
      <c r="S469" s="121"/>
      <c r="T469" s="122"/>
      <c r="U469" s="191"/>
      <c r="V469" s="192"/>
      <c r="W469" s="121"/>
      <c r="X469" s="122"/>
      <c r="Y469" s="115"/>
      <c r="Z469" s="193"/>
      <c r="AA469" s="194"/>
      <c r="AB469" s="195"/>
      <c r="AC469" s="115"/>
      <c r="AD469" s="192"/>
      <c r="AE469" s="196"/>
      <c r="AF469" s="197"/>
      <c r="AG469" s="201"/>
      <c r="AH469" s="201"/>
      <c r="AI469" s="201"/>
      <c r="AJ469" s="201"/>
      <c r="AK469" s="122"/>
      <c r="AL469" s="122"/>
    </row>
    <row r="470">
      <c r="A470" s="115"/>
      <c r="B470" s="150"/>
      <c r="C470" s="89"/>
      <c r="D470" s="55"/>
      <c r="E470" s="115"/>
      <c r="F470" s="150"/>
      <c r="G470" s="188"/>
      <c r="H470" s="189"/>
      <c r="I470" s="115"/>
      <c r="J470" s="150"/>
      <c r="K470" s="89"/>
      <c r="L470" s="55"/>
      <c r="M470" s="115"/>
      <c r="N470" s="190"/>
      <c r="O470" s="89"/>
      <c r="P470" s="55"/>
      <c r="Q470" s="191"/>
      <c r="R470" s="192"/>
      <c r="S470" s="121"/>
      <c r="T470" s="122"/>
      <c r="U470" s="191"/>
      <c r="V470" s="192"/>
      <c r="W470" s="121"/>
      <c r="X470" s="122"/>
      <c r="Y470" s="115"/>
      <c r="Z470" s="193"/>
      <c r="AA470" s="194"/>
      <c r="AB470" s="195"/>
      <c r="AC470" s="115"/>
      <c r="AD470" s="192"/>
      <c r="AE470" s="196"/>
      <c r="AF470" s="197"/>
      <c r="AG470" s="201"/>
      <c r="AH470" s="201"/>
      <c r="AI470" s="201"/>
      <c r="AJ470" s="201"/>
      <c r="AK470" s="122"/>
      <c r="AL470" s="122"/>
    </row>
    <row r="471">
      <c r="A471" s="115"/>
      <c r="B471" s="150"/>
      <c r="C471" s="89"/>
      <c r="D471" s="55"/>
      <c r="E471" s="115"/>
      <c r="F471" s="150"/>
      <c r="G471" s="188"/>
      <c r="H471" s="189"/>
      <c r="I471" s="115"/>
      <c r="J471" s="150"/>
      <c r="K471" s="89"/>
      <c r="L471" s="55"/>
      <c r="M471" s="115"/>
      <c r="N471" s="190"/>
      <c r="O471" s="89"/>
      <c r="P471" s="55"/>
      <c r="Q471" s="191"/>
      <c r="R471" s="192"/>
      <c r="S471" s="121"/>
      <c r="T471" s="122"/>
      <c r="U471" s="191"/>
      <c r="V471" s="192"/>
      <c r="W471" s="121"/>
      <c r="X471" s="122"/>
      <c r="Y471" s="115"/>
      <c r="Z471" s="193"/>
      <c r="AA471" s="194"/>
      <c r="AB471" s="195"/>
      <c r="AC471" s="115"/>
      <c r="AD471" s="192"/>
      <c r="AE471" s="196"/>
      <c r="AF471" s="197"/>
      <c r="AG471" s="201"/>
      <c r="AH471" s="201"/>
      <c r="AI471" s="201"/>
      <c r="AJ471" s="201"/>
      <c r="AK471" s="122"/>
      <c r="AL471" s="122"/>
    </row>
    <row r="472">
      <c r="A472" s="115"/>
      <c r="B472" s="150"/>
      <c r="C472" s="89"/>
      <c r="D472" s="55"/>
      <c r="E472" s="115"/>
      <c r="F472" s="150"/>
      <c r="G472" s="188"/>
      <c r="H472" s="189"/>
      <c r="I472" s="115"/>
      <c r="J472" s="150"/>
      <c r="K472" s="89"/>
      <c r="L472" s="55"/>
      <c r="M472" s="115"/>
      <c r="N472" s="190"/>
      <c r="O472" s="89"/>
      <c r="P472" s="55"/>
      <c r="Q472" s="191"/>
      <c r="R472" s="192"/>
      <c r="S472" s="121"/>
      <c r="T472" s="122"/>
      <c r="U472" s="191"/>
      <c r="V472" s="192"/>
      <c r="W472" s="121"/>
      <c r="X472" s="122"/>
      <c r="Y472" s="115"/>
      <c r="Z472" s="193"/>
      <c r="AA472" s="194"/>
      <c r="AB472" s="195"/>
      <c r="AC472" s="115"/>
      <c r="AD472" s="192"/>
      <c r="AE472" s="196"/>
      <c r="AF472" s="197"/>
      <c r="AG472" s="201"/>
      <c r="AH472" s="201"/>
      <c r="AI472" s="201"/>
      <c r="AJ472" s="201"/>
      <c r="AK472" s="122"/>
      <c r="AL472" s="122"/>
    </row>
    <row r="473">
      <c r="A473" s="115"/>
      <c r="B473" s="150"/>
      <c r="C473" s="89"/>
      <c r="D473" s="55"/>
      <c r="E473" s="115"/>
      <c r="F473" s="150"/>
      <c r="G473" s="188"/>
      <c r="H473" s="189"/>
      <c r="I473" s="115"/>
      <c r="J473" s="150"/>
      <c r="K473" s="89"/>
      <c r="L473" s="55"/>
      <c r="M473" s="115"/>
      <c r="N473" s="190"/>
      <c r="O473" s="89"/>
      <c r="P473" s="55"/>
      <c r="Q473" s="191"/>
      <c r="R473" s="192"/>
      <c r="S473" s="121"/>
      <c r="T473" s="122"/>
      <c r="U473" s="191"/>
      <c r="V473" s="192"/>
      <c r="W473" s="121"/>
      <c r="X473" s="122"/>
      <c r="Y473" s="115"/>
      <c r="Z473" s="193"/>
      <c r="AA473" s="194"/>
      <c r="AB473" s="195"/>
      <c r="AC473" s="115"/>
      <c r="AD473" s="192"/>
      <c r="AE473" s="196"/>
      <c r="AF473" s="197"/>
      <c r="AG473" s="201"/>
      <c r="AH473" s="201"/>
      <c r="AI473" s="201"/>
      <c r="AJ473" s="201"/>
      <c r="AK473" s="122"/>
      <c r="AL473" s="122"/>
    </row>
    <row r="474">
      <c r="A474" s="115"/>
      <c r="B474" s="150"/>
      <c r="C474" s="89"/>
      <c r="D474" s="55"/>
      <c r="E474" s="115"/>
      <c r="F474" s="150"/>
      <c r="G474" s="188"/>
      <c r="H474" s="189"/>
      <c r="I474" s="115"/>
      <c r="J474" s="150"/>
      <c r="K474" s="89"/>
      <c r="L474" s="55"/>
      <c r="M474" s="115"/>
      <c r="N474" s="190"/>
      <c r="O474" s="89"/>
      <c r="P474" s="55"/>
      <c r="Q474" s="191"/>
      <c r="R474" s="192"/>
      <c r="S474" s="121"/>
      <c r="T474" s="122"/>
      <c r="U474" s="191"/>
      <c r="V474" s="192"/>
      <c r="W474" s="121"/>
      <c r="X474" s="122"/>
      <c r="Y474" s="115"/>
      <c r="Z474" s="193"/>
      <c r="AA474" s="194"/>
      <c r="AB474" s="195"/>
      <c r="AC474" s="115"/>
      <c r="AD474" s="192"/>
      <c r="AE474" s="196"/>
      <c r="AF474" s="197"/>
      <c r="AG474" s="201"/>
      <c r="AH474" s="201"/>
      <c r="AI474" s="201"/>
      <c r="AJ474" s="201"/>
      <c r="AK474" s="122"/>
      <c r="AL474" s="122"/>
    </row>
    <row r="475">
      <c r="A475" s="115"/>
      <c r="B475" s="150"/>
      <c r="C475" s="89"/>
      <c r="D475" s="55"/>
      <c r="E475" s="115"/>
      <c r="F475" s="150"/>
      <c r="G475" s="188"/>
      <c r="H475" s="189"/>
      <c r="I475" s="115"/>
      <c r="J475" s="150"/>
      <c r="K475" s="89"/>
      <c r="L475" s="55"/>
      <c r="M475" s="115"/>
      <c r="N475" s="190"/>
      <c r="O475" s="89"/>
      <c r="P475" s="55"/>
      <c r="Q475" s="191"/>
      <c r="R475" s="192"/>
      <c r="S475" s="121"/>
      <c r="T475" s="122"/>
      <c r="U475" s="191"/>
      <c r="V475" s="192"/>
      <c r="W475" s="121"/>
      <c r="X475" s="122"/>
      <c r="Y475" s="115"/>
      <c r="Z475" s="193"/>
      <c r="AA475" s="194"/>
      <c r="AB475" s="195"/>
      <c r="AC475" s="115"/>
      <c r="AD475" s="192"/>
      <c r="AE475" s="196"/>
      <c r="AF475" s="197"/>
      <c r="AG475" s="201"/>
      <c r="AH475" s="201"/>
      <c r="AI475" s="201"/>
      <c r="AJ475" s="201"/>
      <c r="AK475" s="122"/>
      <c r="AL475" s="122"/>
    </row>
    <row r="476">
      <c r="A476" s="115"/>
      <c r="B476" s="150"/>
      <c r="C476" s="89"/>
      <c r="D476" s="55"/>
      <c r="E476" s="115"/>
      <c r="F476" s="150"/>
      <c r="G476" s="188"/>
      <c r="H476" s="189"/>
      <c r="I476" s="115"/>
      <c r="J476" s="150"/>
      <c r="K476" s="89"/>
      <c r="L476" s="55"/>
      <c r="M476" s="115"/>
      <c r="N476" s="190"/>
      <c r="O476" s="89"/>
      <c r="P476" s="55"/>
      <c r="Q476" s="191"/>
      <c r="R476" s="192"/>
      <c r="S476" s="121"/>
      <c r="T476" s="122"/>
      <c r="U476" s="191"/>
      <c r="V476" s="192"/>
      <c r="W476" s="121"/>
      <c r="X476" s="122"/>
      <c r="Y476" s="115"/>
      <c r="Z476" s="193"/>
      <c r="AA476" s="194"/>
      <c r="AB476" s="195"/>
      <c r="AC476" s="115"/>
      <c r="AD476" s="192"/>
      <c r="AE476" s="196"/>
      <c r="AF476" s="197"/>
      <c r="AG476" s="201"/>
      <c r="AH476" s="201"/>
      <c r="AI476" s="201"/>
      <c r="AJ476" s="201"/>
      <c r="AK476" s="122"/>
      <c r="AL476" s="122"/>
    </row>
    <row r="477">
      <c r="A477" s="115"/>
      <c r="B477" s="150"/>
      <c r="C477" s="89"/>
      <c r="D477" s="55"/>
      <c r="E477" s="115"/>
      <c r="F477" s="150"/>
      <c r="G477" s="188"/>
      <c r="H477" s="189"/>
      <c r="I477" s="115"/>
      <c r="J477" s="150"/>
      <c r="K477" s="89"/>
      <c r="L477" s="55"/>
      <c r="M477" s="115"/>
      <c r="N477" s="190"/>
      <c r="O477" s="89"/>
      <c r="P477" s="55"/>
      <c r="Q477" s="191"/>
      <c r="R477" s="192"/>
      <c r="S477" s="121"/>
      <c r="T477" s="122"/>
      <c r="U477" s="191"/>
      <c r="V477" s="192"/>
      <c r="W477" s="121"/>
      <c r="X477" s="122"/>
      <c r="Y477" s="115"/>
      <c r="Z477" s="193"/>
      <c r="AA477" s="194"/>
      <c r="AB477" s="195"/>
      <c r="AC477" s="115"/>
      <c r="AD477" s="192"/>
      <c r="AE477" s="196"/>
      <c r="AF477" s="197"/>
      <c r="AG477" s="201"/>
      <c r="AH477" s="201"/>
      <c r="AI477" s="201"/>
      <c r="AJ477" s="201"/>
      <c r="AK477" s="122"/>
      <c r="AL477" s="122"/>
    </row>
    <row r="478">
      <c r="A478" s="115"/>
      <c r="B478" s="150"/>
      <c r="C478" s="89"/>
      <c r="D478" s="55"/>
      <c r="E478" s="115"/>
      <c r="F478" s="150"/>
      <c r="G478" s="188"/>
      <c r="H478" s="189"/>
      <c r="I478" s="115"/>
      <c r="J478" s="150"/>
      <c r="K478" s="89"/>
      <c r="L478" s="55"/>
      <c r="M478" s="115"/>
      <c r="N478" s="190"/>
      <c r="O478" s="89"/>
      <c r="P478" s="55"/>
      <c r="Q478" s="191"/>
      <c r="R478" s="192"/>
      <c r="S478" s="121"/>
      <c r="T478" s="122"/>
      <c r="U478" s="191"/>
      <c r="V478" s="192"/>
      <c r="W478" s="121"/>
      <c r="X478" s="122"/>
      <c r="Y478" s="115"/>
      <c r="Z478" s="193"/>
      <c r="AA478" s="194"/>
      <c r="AB478" s="195"/>
      <c r="AC478" s="115"/>
      <c r="AD478" s="192"/>
      <c r="AE478" s="196"/>
      <c r="AF478" s="197"/>
      <c r="AG478" s="201"/>
      <c r="AH478" s="201"/>
      <c r="AI478" s="201"/>
      <c r="AJ478" s="201"/>
      <c r="AK478" s="122"/>
      <c r="AL478" s="122"/>
    </row>
    <row r="479">
      <c r="A479" s="115"/>
      <c r="B479" s="150"/>
      <c r="C479" s="89"/>
      <c r="D479" s="55"/>
      <c r="E479" s="115"/>
      <c r="F479" s="150"/>
      <c r="G479" s="188"/>
      <c r="H479" s="189"/>
      <c r="I479" s="115"/>
      <c r="J479" s="150"/>
      <c r="K479" s="89"/>
      <c r="L479" s="55"/>
      <c r="M479" s="115"/>
      <c r="N479" s="190"/>
      <c r="O479" s="89"/>
      <c r="P479" s="55"/>
      <c r="Q479" s="191"/>
      <c r="R479" s="192"/>
      <c r="S479" s="121"/>
      <c r="T479" s="122"/>
      <c r="U479" s="191"/>
      <c r="V479" s="192"/>
      <c r="W479" s="121"/>
      <c r="X479" s="122"/>
      <c r="Y479" s="115"/>
      <c r="Z479" s="193"/>
      <c r="AA479" s="194"/>
      <c r="AB479" s="195"/>
      <c r="AC479" s="115"/>
      <c r="AD479" s="192"/>
      <c r="AE479" s="196"/>
      <c r="AF479" s="197"/>
      <c r="AG479" s="201"/>
      <c r="AH479" s="201"/>
      <c r="AI479" s="201"/>
      <c r="AJ479" s="201"/>
      <c r="AK479" s="122"/>
      <c r="AL479" s="122"/>
    </row>
    <row r="480">
      <c r="A480" s="115"/>
      <c r="B480" s="150"/>
      <c r="C480" s="89"/>
      <c r="D480" s="55"/>
      <c r="E480" s="115"/>
      <c r="F480" s="150"/>
      <c r="G480" s="188"/>
      <c r="H480" s="189"/>
      <c r="I480" s="115"/>
      <c r="J480" s="150"/>
      <c r="K480" s="89"/>
      <c r="L480" s="55"/>
      <c r="M480" s="115"/>
      <c r="N480" s="190"/>
      <c r="O480" s="89"/>
      <c r="P480" s="55"/>
      <c r="Q480" s="191"/>
      <c r="R480" s="192"/>
      <c r="S480" s="121"/>
      <c r="T480" s="122"/>
      <c r="U480" s="191"/>
      <c r="V480" s="192"/>
      <c r="W480" s="121"/>
      <c r="X480" s="122"/>
      <c r="Y480" s="115"/>
      <c r="Z480" s="193"/>
      <c r="AA480" s="194"/>
      <c r="AB480" s="195"/>
      <c r="AC480" s="115"/>
      <c r="AD480" s="192"/>
      <c r="AE480" s="196"/>
      <c r="AF480" s="197"/>
      <c r="AG480" s="201"/>
      <c r="AH480" s="201"/>
      <c r="AI480" s="201"/>
      <c r="AJ480" s="201"/>
      <c r="AK480" s="122"/>
      <c r="AL480" s="122"/>
    </row>
    <row r="481">
      <c r="A481" s="115"/>
      <c r="B481" s="150"/>
      <c r="C481" s="89"/>
      <c r="D481" s="55"/>
      <c r="E481" s="115"/>
      <c r="F481" s="150"/>
      <c r="G481" s="188"/>
      <c r="H481" s="189"/>
      <c r="I481" s="115"/>
      <c r="J481" s="150"/>
      <c r="K481" s="89"/>
      <c r="L481" s="55"/>
      <c r="M481" s="115"/>
      <c r="N481" s="190"/>
      <c r="O481" s="89"/>
      <c r="P481" s="55"/>
      <c r="Q481" s="191"/>
      <c r="R481" s="192"/>
      <c r="S481" s="121"/>
      <c r="T481" s="122"/>
      <c r="U481" s="191"/>
      <c r="V481" s="192"/>
      <c r="W481" s="121"/>
      <c r="X481" s="122"/>
      <c r="Y481" s="115"/>
      <c r="Z481" s="193"/>
      <c r="AA481" s="194"/>
      <c r="AB481" s="195"/>
      <c r="AC481" s="115"/>
      <c r="AD481" s="192"/>
      <c r="AE481" s="196"/>
      <c r="AF481" s="197"/>
      <c r="AG481" s="201"/>
      <c r="AH481" s="201"/>
      <c r="AI481" s="201"/>
      <c r="AJ481" s="201"/>
      <c r="AK481" s="122"/>
      <c r="AL481" s="122"/>
    </row>
    <row r="482">
      <c r="A482" s="115"/>
      <c r="B482" s="150"/>
      <c r="C482" s="89"/>
      <c r="D482" s="55"/>
      <c r="E482" s="115"/>
      <c r="F482" s="150"/>
      <c r="G482" s="188"/>
      <c r="H482" s="189"/>
      <c r="I482" s="115"/>
      <c r="J482" s="150"/>
      <c r="K482" s="89"/>
      <c r="L482" s="55"/>
      <c r="M482" s="115"/>
      <c r="N482" s="190"/>
      <c r="O482" s="89"/>
      <c r="P482" s="55"/>
      <c r="Q482" s="191"/>
      <c r="R482" s="192"/>
      <c r="S482" s="121"/>
      <c r="T482" s="122"/>
      <c r="U482" s="191"/>
      <c r="V482" s="192"/>
      <c r="W482" s="121"/>
      <c r="X482" s="122"/>
      <c r="Y482" s="115"/>
      <c r="Z482" s="193"/>
      <c r="AA482" s="194"/>
      <c r="AB482" s="195"/>
      <c r="AC482" s="115"/>
      <c r="AD482" s="192"/>
      <c r="AE482" s="196"/>
      <c r="AF482" s="197"/>
      <c r="AG482" s="201"/>
      <c r="AH482" s="201"/>
      <c r="AI482" s="201"/>
      <c r="AJ482" s="201"/>
      <c r="AK482" s="122"/>
      <c r="AL482" s="122"/>
    </row>
    <row r="483">
      <c r="A483" s="115"/>
      <c r="B483" s="150"/>
      <c r="C483" s="89"/>
      <c r="D483" s="55"/>
      <c r="E483" s="115"/>
      <c r="F483" s="150"/>
      <c r="G483" s="188"/>
      <c r="H483" s="189"/>
      <c r="I483" s="115"/>
      <c r="J483" s="150"/>
      <c r="K483" s="89"/>
      <c r="L483" s="55"/>
      <c r="M483" s="115"/>
      <c r="N483" s="190"/>
      <c r="O483" s="89"/>
      <c r="P483" s="55"/>
      <c r="Q483" s="191"/>
      <c r="R483" s="192"/>
      <c r="S483" s="121"/>
      <c r="T483" s="122"/>
      <c r="U483" s="191"/>
      <c r="V483" s="192"/>
      <c r="W483" s="121"/>
      <c r="X483" s="122"/>
      <c r="Y483" s="115"/>
      <c r="Z483" s="193"/>
      <c r="AA483" s="194"/>
      <c r="AB483" s="195"/>
      <c r="AC483" s="115"/>
      <c r="AD483" s="192"/>
      <c r="AE483" s="196"/>
      <c r="AF483" s="197"/>
      <c r="AG483" s="201"/>
      <c r="AH483" s="201"/>
      <c r="AI483" s="201"/>
      <c r="AJ483" s="201"/>
      <c r="AK483" s="122"/>
      <c r="AL483" s="122"/>
    </row>
    <row r="484">
      <c r="A484" s="115"/>
      <c r="B484" s="150"/>
      <c r="C484" s="89"/>
      <c r="D484" s="55"/>
      <c r="E484" s="115"/>
      <c r="F484" s="150"/>
      <c r="G484" s="188"/>
      <c r="H484" s="189"/>
      <c r="I484" s="115"/>
      <c r="J484" s="150"/>
      <c r="K484" s="89"/>
      <c r="L484" s="55"/>
      <c r="M484" s="115"/>
      <c r="N484" s="190"/>
      <c r="O484" s="89"/>
      <c r="P484" s="55"/>
      <c r="Q484" s="191"/>
      <c r="R484" s="192"/>
      <c r="S484" s="121"/>
      <c r="T484" s="122"/>
      <c r="U484" s="191"/>
      <c r="V484" s="192"/>
      <c r="W484" s="121"/>
      <c r="X484" s="122"/>
      <c r="Y484" s="115"/>
      <c r="Z484" s="193"/>
      <c r="AA484" s="194"/>
      <c r="AB484" s="195"/>
      <c r="AC484" s="115"/>
      <c r="AD484" s="192"/>
      <c r="AE484" s="196"/>
      <c r="AF484" s="197"/>
      <c r="AG484" s="201"/>
      <c r="AH484" s="201"/>
      <c r="AI484" s="201"/>
      <c r="AJ484" s="201"/>
      <c r="AK484" s="122"/>
      <c r="AL484" s="122"/>
    </row>
    <row r="485">
      <c r="A485" s="115"/>
      <c r="B485" s="150"/>
      <c r="C485" s="89"/>
      <c r="D485" s="55"/>
      <c r="E485" s="115"/>
      <c r="F485" s="150"/>
      <c r="G485" s="188"/>
      <c r="H485" s="189"/>
      <c r="I485" s="115"/>
      <c r="J485" s="150"/>
      <c r="K485" s="89"/>
      <c r="L485" s="55"/>
      <c r="M485" s="115"/>
      <c r="N485" s="190"/>
      <c r="O485" s="89"/>
      <c r="P485" s="55"/>
      <c r="Q485" s="191"/>
      <c r="R485" s="192"/>
      <c r="S485" s="121"/>
      <c r="T485" s="122"/>
      <c r="U485" s="191"/>
      <c r="V485" s="192"/>
      <c r="W485" s="121"/>
      <c r="X485" s="122"/>
      <c r="Y485" s="115"/>
      <c r="Z485" s="193"/>
      <c r="AA485" s="194"/>
      <c r="AB485" s="195"/>
      <c r="AC485" s="115"/>
      <c r="AD485" s="192"/>
      <c r="AE485" s="196"/>
      <c r="AF485" s="197"/>
      <c r="AG485" s="201"/>
      <c r="AH485" s="201"/>
      <c r="AI485" s="201"/>
      <c r="AJ485" s="201"/>
      <c r="AK485" s="122"/>
      <c r="AL485" s="122"/>
    </row>
    <row r="486">
      <c r="A486" s="115"/>
      <c r="B486" s="150"/>
      <c r="C486" s="89"/>
      <c r="D486" s="55"/>
      <c r="E486" s="115"/>
      <c r="F486" s="150"/>
      <c r="G486" s="188"/>
      <c r="H486" s="189"/>
      <c r="I486" s="115"/>
      <c r="J486" s="150"/>
      <c r="K486" s="89"/>
      <c r="L486" s="55"/>
      <c r="M486" s="115"/>
      <c r="N486" s="190"/>
      <c r="O486" s="89"/>
      <c r="P486" s="55"/>
      <c r="Q486" s="191"/>
      <c r="R486" s="192"/>
      <c r="S486" s="121"/>
      <c r="T486" s="122"/>
      <c r="U486" s="191"/>
      <c r="V486" s="192"/>
      <c r="W486" s="121"/>
      <c r="X486" s="122"/>
      <c r="Y486" s="115"/>
      <c r="Z486" s="193"/>
      <c r="AA486" s="194"/>
      <c r="AB486" s="195"/>
      <c r="AC486" s="115"/>
      <c r="AD486" s="192"/>
      <c r="AE486" s="196"/>
      <c r="AF486" s="197"/>
      <c r="AG486" s="201"/>
      <c r="AH486" s="201"/>
      <c r="AI486" s="201"/>
      <c r="AJ486" s="201"/>
      <c r="AK486" s="122"/>
      <c r="AL486" s="122"/>
    </row>
    <row r="487">
      <c r="A487" s="115"/>
      <c r="B487" s="150"/>
      <c r="C487" s="89"/>
      <c r="D487" s="55"/>
      <c r="E487" s="115"/>
      <c r="F487" s="150"/>
      <c r="G487" s="188"/>
      <c r="H487" s="189"/>
      <c r="I487" s="115"/>
      <c r="J487" s="150"/>
      <c r="K487" s="89"/>
      <c r="L487" s="55"/>
      <c r="M487" s="115"/>
      <c r="N487" s="190"/>
      <c r="O487" s="89"/>
      <c r="P487" s="55"/>
      <c r="Q487" s="191"/>
      <c r="R487" s="192"/>
      <c r="S487" s="121"/>
      <c r="T487" s="122"/>
      <c r="U487" s="191"/>
      <c r="V487" s="192"/>
      <c r="W487" s="121"/>
      <c r="X487" s="122"/>
      <c r="Y487" s="115"/>
      <c r="Z487" s="193"/>
      <c r="AA487" s="194"/>
      <c r="AB487" s="195"/>
      <c r="AC487" s="115"/>
      <c r="AD487" s="192"/>
      <c r="AE487" s="196"/>
      <c r="AF487" s="197"/>
      <c r="AG487" s="201"/>
      <c r="AH487" s="201"/>
      <c r="AI487" s="201"/>
      <c r="AJ487" s="201"/>
      <c r="AK487" s="122"/>
      <c r="AL487" s="122"/>
    </row>
    <row r="488">
      <c r="A488" s="115"/>
      <c r="B488" s="150"/>
      <c r="C488" s="89"/>
      <c r="D488" s="55"/>
      <c r="E488" s="115"/>
      <c r="F488" s="150"/>
      <c r="G488" s="188"/>
      <c r="H488" s="189"/>
      <c r="I488" s="115"/>
      <c r="J488" s="150"/>
      <c r="K488" s="89"/>
      <c r="L488" s="55"/>
      <c r="M488" s="115"/>
      <c r="N488" s="190"/>
      <c r="O488" s="89"/>
      <c r="P488" s="55"/>
      <c r="Q488" s="191"/>
      <c r="R488" s="192"/>
      <c r="S488" s="121"/>
      <c r="T488" s="122"/>
      <c r="U488" s="191"/>
      <c r="V488" s="192"/>
      <c r="W488" s="121"/>
      <c r="X488" s="122"/>
      <c r="Y488" s="115"/>
      <c r="Z488" s="193"/>
      <c r="AA488" s="194"/>
      <c r="AB488" s="195"/>
      <c r="AC488" s="115"/>
      <c r="AD488" s="192"/>
      <c r="AE488" s="196"/>
      <c r="AF488" s="197"/>
      <c r="AG488" s="201"/>
      <c r="AH488" s="201"/>
      <c r="AI488" s="201"/>
      <c r="AJ488" s="201"/>
      <c r="AK488" s="122"/>
      <c r="AL488" s="122"/>
    </row>
    <row r="489">
      <c r="A489" s="115"/>
      <c r="B489" s="150"/>
      <c r="C489" s="89"/>
      <c r="D489" s="55"/>
      <c r="E489" s="115"/>
      <c r="F489" s="150"/>
      <c r="G489" s="188"/>
      <c r="H489" s="189"/>
      <c r="I489" s="115"/>
      <c r="J489" s="150"/>
      <c r="K489" s="89"/>
      <c r="L489" s="55"/>
      <c r="M489" s="115"/>
      <c r="N489" s="190"/>
      <c r="O489" s="89"/>
      <c r="P489" s="55"/>
      <c r="Q489" s="191"/>
      <c r="R489" s="192"/>
      <c r="S489" s="121"/>
      <c r="T489" s="122"/>
      <c r="U489" s="191"/>
      <c r="V489" s="192"/>
      <c r="W489" s="121"/>
      <c r="X489" s="122"/>
      <c r="Y489" s="115"/>
      <c r="Z489" s="193"/>
      <c r="AA489" s="194"/>
      <c r="AB489" s="195"/>
      <c r="AC489" s="115"/>
      <c r="AD489" s="192"/>
      <c r="AE489" s="196"/>
      <c r="AF489" s="197"/>
      <c r="AG489" s="201"/>
      <c r="AH489" s="201"/>
      <c r="AI489" s="201"/>
      <c r="AJ489" s="201"/>
      <c r="AK489" s="122"/>
      <c r="AL489" s="122"/>
    </row>
    <row r="490">
      <c r="A490" s="115"/>
      <c r="B490" s="150"/>
      <c r="C490" s="89"/>
      <c r="D490" s="55"/>
      <c r="E490" s="115"/>
      <c r="F490" s="150"/>
      <c r="G490" s="188"/>
      <c r="H490" s="189"/>
      <c r="I490" s="115"/>
      <c r="J490" s="150"/>
      <c r="K490" s="89"/>
      <c r="L490" s="55"/>
      <c r="M490" s="115"/>
      <c r="N490" s="190"/>
      <c r="O490" s="89"/>
      <c r="P490" s="55"/>
      <c r="Q490" s="191"/>
      <c r="R490" s="192"/>
      <c r="S490" s="121"/>
      <c r="T490" s="122"/>
      <c r="U490" s="191"/>
      <c r="V490" s="192"/>
      <c r="W490" s="121"/>
      <c r="X490" s="122"/>
      <c r="Y490" s="115"/>
      <c r="Z490" s="193"/>
      <c r="AA490" s="194"/>
      <c r="AB490" s="195"/>
      <c r="AC490" s="115"/>
      <c r="AD490" s="192"/>
      <c r="AE490" s="196"/>
      <c r="AF490" s="197"/>
      <c r="AG490" s="201"/>
      <c r="AH490" s="201"/>
      <c r="AI490" s="201"/>
      <c r="AJ490" s="201"/>
      <c r="AK490" s="122"/>
      <c r="AL490" s="122"/>
    </row>
    <row r="491">
      <c r="A491" s="115"/>
      <c r="B491" s="150"/>
      <c r="C491" s="89"/>
      <c r="D491" s="55"/>
      <c r="E491" s="115"/>
      <c r="F491" s="150"/>
      <c r="G491" s="188"/>
      <c r="H491" s="189"/>
      <c r="I491" s="115"/>
      <c r="J491" s="150"/>
      <c r="K491" s="89"/>
      <c r="L491" s="55"/>
      <c r="M491" s="115"/>
      <c r="N491" s="190"/>
      <c r="O491" s="89"/>
      <c r="P491" s="55"/>
      <c r="Q491" s="191"/>
      <c r="R491" s="192"/>
      <c r="S491" s="121"/>
      <c r="T491" s="122"/>
      <c r="U491" s="191"/>
      <c r="V491" s="192"/>
      <c r="W491" s="121"/>
      <c r="X491" s="122"/>
      <c r="Y491" s="115"/>
      <c r="Z491" s="193"/>
      <c r="AA491" s="194"/>
      <c r="AB491" s="195"/>
      <c r="AC491" s="115"/>
      <c r="AD491" s="192"/>
      <c r="AE491" s="196"/>
      <c r="AF491" s="197"/>
      <c r="AG491" s="201"/>
      <c r="AH491" s="201"/>
      <c r="AI491" s="201"/>
      <c r="AJ491" s="201"/>
      <c r="AK491" s="122"/>
      <c r="AL491" s="122"/>
    </row>
    <row r="492">
      <c r="A492" s="115"/>
      <c r="B492" s="150"/>
      <c r="C492" s="89"/>
      <c r="D492" s="55"/>
      <c r="E492" s="115"/>
      <c r="F492" s="150"/>
      <c r="G492" s="188"/>
      <c r="H492" s="189"/>
      <c r="I492" s="115"/>
      <c r="J492" s="150"/>
      <c r="K492" s="89"/>
      <c r="L492" s="55"/>
      <c r="M492" s="115"/>
      <c r="N492" s="190"/>
      <c r="O492" s="89"/>
      <c r="P492" s="55"/>
      <c r="Q492" s="191"/>
      <c r="R492" s="192"/>
      <c r="S492" s="121"/>
      <c r="T492" s="122"/>
      <c r="U492" s="191"/>
      <c r="V492" s="192"/>
      <c r="W492" s="121"/>
      <c r="X492" s="122"/>
      <c r="Y492" s="115"/>
      <c r="Z492" s="193"/>
      <c r="AA492" s="194"/>
      <c r="AB492" s="195"/>
      <c r="AC492" s="115"/>
      <c r="AD492" s="192"/>
      <c r="AE492" s="196"/>
      <c r="AF492" s="197"/>
      <c r="AG492" s="201"/>
      <c r="AH492" s="201"/>
      <c r="AI492" s="201"/>
      <c r="AJ492" s="201"/>
      <c r="AK492" s="122"/>
      <c r="AL492" s="122"/>
    </row>
    <row r="493">
      <c r="A493" s="115"/>
      <c r="B493" s="150"/>
      <c r="C493" s="89"/>
      <c r="D493" s="55"/>
      <c r="E493" s="115"/>
      <c r="F493" s="150"/>
      <c r="G493" s="188"/>
      <c r="H493" s="189"/>
      <c r="I493" s="115"/>
      <c r="J493" s="150"/>
      <c r="K493" s="89"/>
      <c r="L493" s="55"/>
      <c r="M493" s="115"/>
      <c r="N493" s="190"/>
      <c r="O493" s="89"/>
      <c r="P493" s="55"/>
      <c r="Q493" s="191"/>
      <c r="R493" s="192"/>
      <c r="S493" s="121"/>
      <c r="T493" s="122"/>
      <c r="U493" s="191"/>
      <c r="V493" s="192"/>
      <c r="W493" s="121"/>
      <c r="X493" s="122"/>
      <c r="Y493" s="115"/>
      <c r="Z493" s="193"/>
      <c r="AA493" s="194"/>
      <c r="AB493" s="195"/>
      <c r="AC493" s="115"/>
      <c r="AD493" s="192"/>
      <c r="AE493" s="196"/>
      <c r="AF493" s="197"/>
      <c r="AG493" s="201"/>
      <c r="AH493" s="201"/>
      <c r="AI493" s="201"/>
      <c r="AJ493" s="201"/>
      <c r="AK493" s="122"/>
      <c r="AL493" s="122"/>
    </row>
    <row r="494">
      <c r="A494" s="115"/>
      <c r="B494" s="150"/>
      <c r="C494" s="89"/>
      <c r="D494" s="55"/>
      <c r="E494" s="115"/>
      <c r="F494" s="150"/>
      <c r="G494" s="188"/>
      <c r="H494" s="189"/>
      <c r="I494" s="115"/>
      <c r="J494" s="150"/>
      <c r="K494" s="89"/>
      <c r="L494" s="55"/>
      <c r="M494" s="115"/>
      <c r="N494" s="190"/>
      <c r="O494" s="89"/>
      <c r="P494" s="55"/>
      <c r="Q494" s="191"/>
      <c r="R494" s="192"/>
      <c r="S494" s="121"/>
      <c r="T494" s="122"/>
      <c r="U494" s="191"/>
      <c r="V494" s="192"/>
      <c r="W494" s="121"/>
      <c r="X494" s="122"/>
      <c r="Y494" s="115"/>
      <c r="Z494" s="193"/>
      <c r="AA494" s="194"/>
      <c r="AB494" s="195"/>
      <c r="AC494" s="115"/>
      <c r="AD494" s="192"/>
      <c r="AE494" s="196"/>
      <c r="AF494" s="197"/>
      <c r="AG494" s="201"/>
      <c r="AH494" s="201"/>
      <c r="AI494" s="201"/>
      <c r="AJ494" s="201"/>
      <c r="AK494" s="122"/>
      <c r="AL494" s="122"/>
    </row>
    <row r="495">
      <c r="A495" s="115"/>
      <c r="B495" s="150"/>
      <c r="C495" s="89"/>
      <c r="D495" s="55"/>
      <c r="E495" s="115"/>
      <c r="F495" s="150"/>
      <c r="G495" s="188"/>
      <c r="H495" s="189"/>
      <c r="I495" s="115"/>
      <c r="J495" s="150"/>
      <c r="K495" s="89"/>
      <c r="L495" s="55"/>
      <c r="M495" s="115"/>
      <c r="N495" s="190"/>
      <c r="O495" s="89"/>
      <c r="P495" s="55"/>
      <c r="Q495" s="191"/>
      <c r="R495" s="192"/>
      <c r="S495" s="121"/>
      <c r="T495" s="122"/>
      <c r="U495" s="191"/>
      <c r="V495" s="192"/>
      <c r="W495" s="121"/>
      <c r="X495" s="122"/>
      <c r="Y495" s="115"/>
      <c r="Z495" s="193"/>
      <c r="AA495" s="194"/>
      <c r="AB495" s="195"/>
      <c r="AC495" s="115"/>
      <c r="AD495" s="192"/>
      <c r="AE495" s="196"/>
      <c r="AF495" s="197"/>
      <c r="AG495" s="201"/>
      <c r="AH495" s="201"/>
      <c r="AI495" s="201"/>
      <c r="AJ495" s="201"/>
      <c r="AK495" s="122"/>
      <c r="AL495" s="122"/>
    </row>
    <row r="496">
      <c r="A496" s="115"/>
      <c r="B496" s="150"/>
      <c r="C496" s="89"/>
      <c r="D496" s="55"/>
      <c r="E496" s="115"/>
      <c r="F496" s="150"/>
      <c r="G496" s="188"/>
      <c r="H496" s="189"/>
      <c r="I496" s="115"/>
      <c r="J496" s="150"/>
      <c r="K496" s="89"/>
      <c r="L496" s="55"/>
      <c r="M496" s="115"/>
      <c r="N496" s="190"/>
      <c r="O496" s="89"/>
      <c r="P496" s="55"/>
      <c r="Q496" s="191"/>
      <c r="R496" s="192"/>
      <c r="S496" s="121"/>
      <c r="T496" s="122"/>
      <c r="U496" s="191"/>
      <c r="V496" s="192"/>
      <c r="W496" s="121"/>
      <c r="X496" s="122"/>
      <c r="Y496" s="115"/>
      <c r="Z496" s="193"/>
      <c r="AA496" s="194"/>
      <c r="AB496" s="195"/>
      <c r="AC496" s="115"/>
      <c r="AD496" s="192"/>
      <c r="AE496" s="196"/>
      <c r="AF496" s="197"/>
      <c r="AG496" s="201"/>
      <c r="AH496" s="201"/>
      <c r="AI496" s="201"/>
      <c r="AJ496" s="201"/>
      <c r="AK496" s="122"/>
      <c r="AL496" s="122"/>
    </row>
    <row r="497">
      <c r="A497" s="115"/>
      <c r="B497" s="150"/>
      <c r="C497" s="89"/>
      <c r="D497" s="55"/>
      <c r="E497" s="115"/>
      <c r="F497" s="150"/>
      <c r="G497" s="188"/>
      <c r="H497" s="189"/>
      <c r="I497" s="115"/>
      <c r="J497" s="150"/>
      <c r="K497" s="89"/>
      <c r="L497" s="55"/>
      <c r="M497" s="115"/>
      <c r="N497" s="190"/>
      <c r="O497" s="89"/>
      <c r="P497" s="55"/>
      <c r="Q497" s="191"/>
      <c r="R497" s="192"/>
      <c r="S497" s="121"/>
      <c r="T497" s="122"/>
      <c r="U497" s="191"/>
      <c r="V497" s="192"/>
      <c r="W497" s="121"/>
      <c r="X497" s="122"/>
      <c r="Y497" s="115"/>
      <c r="Z497" s="193"/>
      <c r="AA497" s="194"/>
      <c r="AB497" s="195"/>
      <c r="AC497" s="115"/>
      <c r="AD497" s="192"/>
      <c r="AE497" s="196"/>
      <c r="AF497" s="197"/>
      <c r="AG497" s="201"/>
      <c r="AH497" s="201"/>
      <c r="AI497" s="201"/>
      <c r="AJ497" s="201"/>
      <c r="AK497" s="122"/>
      <c r="AL497" s="122"/>
    </row>
    <row r="498">
      <c r="A498" s="115"/>
      <c r="B498" s="150"/>
      <c r="C498" s="89"/>
      <c r="D498" s="55"/>
      <c r="E498" s="115"/>
      <c r="F498" s="150"/>
      <c r="G498" s="188"/>
      <c r="H498" s="189"/>
      <c r="I498" s="115"/>
      <c r="J498" s="150"/>
      <c r="K498" s="89"/>
      <c r="L498" s="55"/>
      <c r="M498" s="115"/>
      <c r="N498" s="190"/>
      <c r="O498" s="89"/>
      <c r="P498" s="55"/>
      <c r="Q498" s="191"/>
      <c r="R498" s="192"/>
      <c r="S498" s="121"/>
      <c r="T498" s="122"/>
      <c r="U498" s="191"/>
      <c r="V498" s="192"/>
      <c r="W498" s="121"/>
      <c r="X498" s="122"/>
      <c r="Y498" s="115"/>
      <c r="Z498" s="193"/>
      <c r="AA498" s="194"/>
      <c r="AB498" s="195"/>
      <c r="AC498" s="115"/>
      <c r="AD498" s="192"/>
      <c r="AE498" s="196"/>
      <c r="AF498" s="197"/>
      <c r="AG498" s="201"/>
      <c r="AH498" s="201"/>
      <c r="AI498" s="201"/>
      <c r="AJ498" s="201"/>
      <c r="AK498" s="122"/>
      <c r="AL498" s="122"/>
    </row>
    <row r="499">
      <c r="A499" s="115"/>
      <c r="B499" s="150"/>
      <c r="C499" s="89"/>
      <c r="D499" s="55"/>
      <c r="E499" s="115"/>
      <c r="F499" s="150"/>
      <c r="G499" s="188"/>
      <c r="H499" s="189"/>
      <c r="I499" s="115"/>
      <c r="J499" s="150"/>
      <c r="K499" s="89"/>
      <c r="L499" s="55"/>
      <c r="M499" s="115"/>
      <c r="N499" s="190"/>
      <c r="O499" s="89"/>
      <c r="P499" s="55"/>
      <c r="Q499" s="191"/>
      <c r="R499" s="192"/>
      <c r="S499" s="121"/>
      <c r="T499" s="122"/>
      <c r="U499" s="191"/>
      <c r="V499" s="192"/>
      <c r="W499" s="121"/>
      <c r="X499" s="122"/>
      <c r="Y499" s="115"/>
      <c r="Z499" s="193"/>
      <c r="AA499" s="194"/>
      <c r="AB499" s="195"/>
      <c r="AC499" s="115"/>
      <c r="AD499" s="192"/>
      <c r="AE499" s="196"/>
      <c r="AF499" s="197"/>
      <c r="AG499" s="201"/>
      <c r="AH499" s="201"/>
      <c r="AI499" s="201"/>
      <c r="AJ499" s="201"/>
      <c r="AK499" s="122"/>
      <c r="AL499" s="122"/>
    </row>
    <row r="500">
      <c r="A500" s="115"/>
      <c r="B500" s="150"/>
      <c r="C500" s="89"/>
      <c r="D500" s="55"/>
      <c r="E500" s="115"/>
      <c r="F500" s="150"/>
      <c r="G500" s="188"/>
      <c r="H500" s="189"/>
      <c r="I500" s="115"/>
      <c r="J500" s="150"/>
      <c r="K500" s="89"/>
      <c r="L500" s="55"/>
      <c r="M500" s="115"/>
      <c r="N500" s="190"/>
      <c r="O500" s="89"/>
      <c r="P500" s="55"/>
      <c r="Q500" s="191"/>
      <c r="R500" s="192"/>
      <c r="S500" s="121"/>
      <c r="T500" s="122"/>
      <c r="U500" s="191"/>
      <c r="V500" s="192"/>
      <c r="W500" s="121"/>
      <c r="X500" s="122"/>
      <c r="Y500" s="115"/>
      <c r="Z500" s="193"/>
      <c r="AA500" s="194"/>
      <c r="AB500" s="195"/>
      <c r="AC500" s="115"/>
      <c r="AD500" s="192"/>
      <c r="AE500" s="196"/>
      <c r="AF500" s="197"/>
      <c r="AG500" s="201"/>
      <c r="AH500" s="201"/>
      <c r="AI500" s="201"/>
      <c r="AJ500" s="201"/>
      <c r="AK500" s="122"/>
      <c r="AL500" s="122"/>
    </row>
    <row r="501">
      <c r="A501" s="115"/>
      <c r="B501" s="150"/>
      <c r="C501" s="89"/>
      <c r="D501" s="55"/>
      <c r="E501" s="115"/>
      <c r="F501" s="150"/>
      <c r="G501" s="188"/>
      <c r="H501" s="189"/>
      <c r="I501" s="115"/>
      <c r="J501" s="150"/>
      <c r="K501" s="89"/>
      <c r="L501" s="55"/>
      <c r="M501" s="115"/>
      <c r="N501" s="190"/>
      <c r="O501" s="89"/>
      <c r="P501" s="55"/>
      <c r="Q501" s="191"/>
      <c r="R501" s="192"/>
      <c r="S501" s="121"/>
      <c r="T501" s="122"/>
      <c r="U501" s="191"/>
      <c r="V501" s="192"/>
      <c r="W501" s="121"/>
      <c r="X501" s="122"/>
      <c r="Y501" s="115"/>
      <c r="Z501" s="193"/>
      <c r="AA501" s="194"/>
      <c r="AB501" s="195"/>
      <c r="AC501" s="115"/>
      <c r="AD501" s="192"/>
      <c r="AE501" s="196"/>
      <c r="AF501" s="197"/>
      <c r="AG501" s="201"/>
      <c r="AH501" s="201"/>
      <c r="AI501" s="201"/>
      <c r="AJ501" s="201"/>
      <c r="AK501" s="122"/>
      <c r="AL501" s="122"/>
    </row>
    <row r="502">
      <c r="A502" s="115"/>
      <c r="B502" s="150"/>
      <c r="C502" s="89"/>
      <c r="D502" s="55"/>
      <c r="E502" s="115"/>
      <c r="F502" s="150"/>
      <c r="G502" s="188"/>
      <c r="H502" s="189"/>
      <c r="I502" s="115"/>
      <c r="J502" s="150"/>
      <c r="K502" s="89"/>
      <c r="L502" s="55"/>
      <c r="M502" s="115"/>
      <c r="N502" s="190"/>
      <c r="O502" s="89"/>
      <c r="P502" s="55"/>
      <c r="Q502" s="191"/>
      <c r="R502" s="192"/>
      <c r="S502" s="121"/>
      <c r="T502" s="122"/>
      <c r="U502" s="191"/>
      <c r="V502" s="192"/>
      <c r="W502" s="121"/>
      <c r="X502" s="122"/>
      <c r="Y502" s="115"/>
      <c r="Z502" s="193"/>
      <c r="AA502" s="194"/>
      <c r="AB502" s="195"/>
      <c r="AC502" s="115"/>
      <c r="AD502" s="192"/>
      <c r="AE502" s="196"/>
      <c r="AF502" s="197"/>
      <c r="AG502" s="201"/>
      <c r="AH502" s="201"/>
      <c r="AI502" s="201"/>
      <c r="AJ502" s="201"/>
      <c r="AK502" s="122"/>
      <c r="AL502" s="122"/>
    </row>
    <row r="503">
      <c r="A503" s="115"/>
      <c r="B503" s="150"/>
      <c r="C503" s="89"/>
      <c r="D503" s="55"/>
      <c r="E503" s="115"/>
      <c r="F503" s="150"/>
      <c r="G503" s="188"/>
      <c r="H503" s="189"/>
      <c r="I503" s="115"/>
      <c r="J503" s="150"/>
      <c r="K503" s="89"/>
      <c r="L503" s="55"/>
      <c r="M503" s="115"/>
      <c r="N503" s="190"/>
      <c r="O503" s="89"/>
      <c r="P503" s="55"/>
      <c r="Q503" s="191"/>
      <c r="R503" s="192"/>
      <c r="S503" s="121"/>
      <c r="T503" s="122"/>
      <c r="U503" s="191"/>
      <c r="V503" s="192"/>
      <c r="W503" s="121"/>
      <c r="X503" s="122"/>
      <c r="Y503" s="115"/>
      <c r="Z503" s="193"/>
      <c r="AA503" s="194"/>
      <c r="AB503" s="195"/>
      <c r="AC503" s="115"/>
      <c r="AD503" s="192"/>
      <c r="AE503" s="196"/>
      <c r="AF503" s="197"/>
      <c r="AG503" s="201"/>
      <c r="AH503" s="201"/>
      <c r="AI503" s="201"/>
      <c r="AJ503" s="201"/>
      <c r="AK503" s="122"/>
      <c r="AL503" s="122"/>
    </row>
    <row r="504">
      <c r="A504" s="115"/>
      <c r="B504" s="150"/>
      <c r="C504" s="89"/>
      <c r="D504" s="55"/>
      <c r="E504" s="115"/>
      <c r="F504" s="150"/>
      <c r="G504" s="188"/>
      <c r="H504" s="189"/>
      <c r="I504" s="115"/>
      <c r="J504" s="150"/>
      <c r="K504" s="89"/>
      <c r="L504" s="55"/>
      <c r="M504" s="115"/>
      <c r="N504" s="190"/>
      <c r="O504" s="89"/>
      <c r="P504" s="55"/>
      <c r="Q504" s="191"/>
      <c r="R504" s="192"/>
      <c r="S504" s="121"/>
      <c r="T504" s="122"/>
      <c r="U504" s="191"/>
      <c r="V504" s="192"/>
      <c r="W504" s="121"/>
      <c r="X504" s="122"/>
      <c r="Y504" s="115"/>
      <c r="Z504" s="193"/>
      <c r="AA504" s="194"/>
      <c r="AB504" s="195"/>
      <c r="AC504" s="115"/>
      <c r="AD504" s="192"/>
      <c r="AE504" s="196"/>
      <c r="AF504" s="197"/>
      <c r="AG504" s="201"/>
      <c r="AH504" s="201"/>
      <c r="AI504" s="201"/>
      <c r="AJ504" s="201"/>
      <c r="AK504" s="122"/>
      <c r="AL504" s="122"/>
    </row>
    <row r="505">
      <c r="A505" s="115"/>
      <c r="B505" s="150"/>
      <c r="C505" s="89"/>
      <c r="D505" s="55"/>
      <c r="E505" s="115"/>
      <c r="F505" s="150"/>
      <c r="G505" s="188"/>
      <c r="H505" s="189"/>
      <c r="I505" s="115"/>
      <c r="J505" s="150"/>
      <c r="K505" s="89"/>
      <c r="L505" s="55"/>
      <c r="M505" s="115"/>
      <c r="N505" s="190"/>
      <c r="O505" s="89"/>
      <c r="P505" s="55"/>
      <c r="Q505" s="191"/>
      <c r="R505" s="192"/>
      <c r="S505" s="121"/>
      <c r="T505" s="122"/>
      <c r="U505" s="191"/>
      <c r="V505" s="192"/>
      <c r="W505" s="121"/>
      <c r="X505" s="122"/>
      <c r="Y505" s="115"/>
      <c r="Z505" s="193"/>
      <c r="AA505" s="194"/>
      <c r="AB505" s="195"/>
      <c r="AC505" s="115"/>
      <c r="AD505" s="192"/>
      <c r="AE505" s="196"/>
      <c r="AF505" s="197"/>
      <c r="AG505" s="201"/>
      <c r="AH505" s="201"/>
      <c r="AI505" s="201"/>
      <c r="AJ505" s="201"/>
      <c r="AK505" s="122"/>
      <c r="AL505" s="122"/>
    </row>
    <row r="506">
      <c r="A506" s="115"/>
      <c r="B506" s="150"/>
      <c r="C506" s="89"/>
      <c r="D506" s="55"/>
      <c r="E506" s="115"/>
      <c r="F506" s="150"/>
      <c r="G506" s="188"/>
      <c r="H506" s="189"/>
      <c r="I506" s="115"/>
      <c r="J506" s="150"/>
      <c r="K506" s="89"/>
      <c r="L506" s="55"/>
      <c r="M506" s="115"/>
      <c r="N506" s="190"/>
      <c r="O506" s="89"/>
      <c r="P506" s="55"/>
      <c r="Q506" s="191"/>
      <c r="R506" s="192"/>
      <c r="S506" s="121"/>
      <c r="T506" s="122"/>
      <c r="U506" s="191"/>
      <c r="V506" s="192"/>
      <c r="W506" s="121"/>
      <c r="X506" s="122"/>
      <c r="Y506" s="115"/>
      <c r="Z506" s="193"/>
      <c r="AA506" s="194"/>
      <c r="AB506" s="195"/>
      <c r="AC506" s="115"/>
      <c r="AD506" s="192"/>
      <c r="AE506" s="196"/>
      <c r="AF506" s="197"/>
      <c r="AG506" s="201"/>
      <c r="AH506" s="201"/>
      <c r="AI506" s="201"/>
      <c r="AJ506" s="201"/>
      <c r="AK506" s="122"/>
      <c r="AL506" s="122"/>
    </row>
    <row r="507">
      <c r="A507" s="115"/>
      <c r="B507" s="150"/>
      <c r="C507" s="89"/>
      <c r="D507" s="55"/>
      <c r="E507" s="115"/>
      <c r="F507" s="150"/>
      <c r="G507" s="188"/>
      <c r="H507" s="189"/>
      <c r="I507" s="115"/>
      <c r="J507" s="150"/>
      <c r="K507" s="89"/>
      <c r="L507" s="55"/>
      <c r="M507" s="115"/>
      <c r="N507" s="190"/>
      <c r="O507" s="89"/>
      <c r="P507" s="55"/>
      <c r="Q507" s="191"/>
      <c r="R507" s="192"/>
      <c r="S507" s="121"/>
      <c r="T507" s="122"/>
      <c r="U507" s="191"/>
      <c r="V507" s="192"/>
      <c r="W507" s="121"/>
      <c r="X507" s="122"/>
      <c r="Y507" s="115"/>
      <c r="Z507" s="193"/>
      <c r="AA507" s="194"/>
      <c r="AB507" s="195"/>
      <c r="AC507" s="115"/>
      <c r="AD507" s="192"/>
      <c r="AE507" s="196"/>
      <c r="AF507" s="197"/>
      <c r="AG507" s="201"/>
      <c r="AH507" s="201"/>
      <c r="AI507" s="201"/>
      <c r="AJ507" s="201"/>
      <c r="AK507" s="122"/>
      <c r="AL507" s="122"/>
    </row>
    <row r="508">
      <c r="A508" s="115"/>
      <c r="B508" s="150"/>
      <c r="C508" s="89"/>
      <c r="D508" s="55"/>
      <c r="E508" s="115"/>
      <c r="F508" s="150"/>
      <c r="G508" s="188"/>
      <c r="H508" s="189"/>
      <c r="I508" s="115"/>
      <c r="J508" s="150"/>
      <c r="K508" s="89"/>
      <c r="L508" s="55"/>
      <c r="M508" s="115"/>
      <c r="N508" s="190"/>
      <c r="O508" s="89"/>
      <c r="P508" s="55"/>
      <c r="Q508" s="191"/>
      <c r="R508" s="192"/>
      <c r="S508" s="121"/>
      <c r="T508" s="122"/>
      <c r="U508" s="191"/>
      <c r="V508" s="192"/>
      <c r="W508" s="121"/>
      <c r="X508" s="122"/>
      <c r="Y508" s="115"/>
      <c r="Z508" s="193"/>
      <c r="AA508" s="194"/>
      <c r="AB508" s="195"/>
      <c r="AC508" s="115"/>
      <c r="AD508" s="192"/>
      <c r="AE508" s="196"/>
      <c r="AF508" s="197"/>
      <c r="AG508" s="201"/>
      <c r="AH508" s="201"/>
      <c r="AI508" s="201"/>
      <c r="AJ508" s="201"/>
      <c r="AK508" s="122"/>
      <c r="AL508" s="122"/>
    </row>
    <row r="509">
      <c r="A509" s="115"/>
      <c r="B509" s="150"/>
      <c r="C509" s="89"/>
      <c r="D509" s="55"/>
      <c r="E509" s="115"/>
      <c r="F509" s="150"/>
      <c r="G509" s="188"/>
      <c r="H509" s="189"/>
      <c r="I509" s="115"/>
      <c r="J509" s="150"/>
      <c r="K509" s="89"/>
      <c r="L509" s="55"/>
      <c r="M509" s="115"/>
      <c r="N509" s="190"/>
      <c r="O509" s="89"/>
      <c r="P509" s="55"/>
      <c r="Q509" s="191"/>
      <c r="R509" s="192"/>
      <c r="S509" s="121"/>
      <c r="T509" s="122"/>
      <c r="U509" s="191"/>
      <c r="V509" s="192"/>
      <c r="W509" s="121"/>
      <c r="X509" s="122"/>
      <c r="Y509" s="115"/>
      <c r="Z509" s="193"/>
      <c r="AA509" s="194"/>
      <c r="AB509" s="195"/>
      <c r="AC509" s="115"/>
      <c r="AD509" s="192"/>
      <c r="AE509" s="196"/>
      <c r="AF509" s="197"/>
      <c r="AG509" s="201"/>
      <c r="AH509" s="201"/>
      <c r="AI509" s="201"/>
      <c r="AJ509" s="201"/>
      <c r="AK509" s="122"/>
      <c r="AL509" s="122"/>
    </row>
    <row r="510">
      <c r="A510" s="115"/>
      <c r="B510" s="150"/>
      <c r="C510" s="89"/>
      <c r="D510" s="55"/>
      <c r="E510" s="115"/>
      <c r="F510" s="150"/>
      <c r="G510" s="188"/>
      <c r="H510" s="189"/>
      <c r="I510" s="115"/>
      <c r="J510" s="150"/>
      <c r="K510" s="89"/>
      <c r="L510" s="55"/>
      <c r="M510" s="115"/>
      <c r="N510" s="190"/>
      <c r="O510" s="89"/>
      <c r="P510" s="55"/>
      <c r="Q510" s="191"/>
      <c r="R510" s="192"/>
      <c r="S510" s="121"/>
      <c r="T510" s="122"/>
      <c r="U510" s="191"/>
      <c r="V510" s="192"/>
      <c r="W510" s="121"/>
      <c r="X510" s="122"/>
      <c r="Y510" s="115"/>
      <c r="Z510" s="193"/>
      <c r="AA510" s="194"/>
      <c r="AB510" s="195"/>
      <c r="AC510" s="115"/>
      <c r="AD510" s="192"/>
      <c r="AE510" s="196"/>
      <c r="AF510" s="197"/>
      <c r="AG510" s="201"/>
      <c r="AH510" s="201"/>
      <c r="AI510" s="201"/>
      <c r="AJ510" s="201"/>
      <c r="AK510" s="122"/>
      <c r="AL510" s="122"/>
    </row>
    <row r="511">
      <c r="A511" s="115"/>
      <c r="B511" s="150"/>
      <c r="C511" s="89"/>
      <c r="D511" s="55"/>
      <c r="E511" s="115"/>
      <c r="F511" s="150"/>
      <c r="G511" s="188"/>
      <c r="H511" s="189"/>
      <c r="I511" s="115"/>
      <c r="J511" s="150"/>
      <c r="K511" s="89"/>
      <c r="L511" s="55"/>
      <c r="M511" s="115"/>
      <c r="N511" s="190"/>
      <c r="O511" s="89"/>
      <c r="P511" s="55"/>
      <c r="Q511" s="191"/>
      <c r="R511" s="192"/>
      <c r="S511" s="121"/>
      <c r="T511" s="122"/>
      <c r="U511" s="191"/>
      <c r="V511" s="192"/>
      <c r="W511" s="121"/>
      <c r="X511" s="122"/>
      <c r="Y511" s="115"/>
      <c r="Z511" s="193"/>
      <c r="AA511" s="194"/>
      <c r="AB511" s="195"/>
      <c r="AC511" s="115"/>
      <c r="AD511" s="192"/>
      <c r="AE511" s="196"/>
      <c r="AF511" s="197"/>
      <c r="AG511" s="201"/>
      <c r="AH511" s="201"/>
      <c r="AI511" s="201"/>
      <c r="AJ511" s="201"/>
      <c r="AK511" s="122"/>
      <c r="AL511" s="122"/>
    </row>
    <row r="512">
      <c r="A512" s="115"/>
      <c r="B512" s="150"/>
      <c r="C512" s="89"/>
      <c r="D512" s="55"/>
      <c r="E512" s="115"/>
      <c r="F512" s="150"/>
      <c r="G512" s="188"/>
      <c r="H512" s="189"/>
      <c r="I512" s="115"/>
      <c r="J512" s="150"/>
      <c r="K512" s="89"/>
      <c r="L512" s="55"/>
      <c r="M512" s="115"/>
      <c r="N512" s="190"/>
      <c r="O512" s="89"/>
      <c r="P512" s="55"/>
      <c r="Q512" s="191"/>
      <c r="R512" s="192"/>
      <c r="S512" s="121"/>
      <c r="T512" s="122"/>
      <c r="U512" s="191"/>
      <c r="V512" s="192"/>
      <c r="W512" s="121"/>
      <c r="X512" s="122"/>
      <c r="Y512" s="115"/>
      <c r="Z512" s="193"/>
      <c r="AA512" s="194"/>
      <c r="AB512" s="195"/>
      <c r="AC512" s="115"/>
      <c r="AD512" s="192"/>
      <c r="AE512" s="196"/>
      <c r="AF512" s="197"/>
      <c r="AG512" s="201"/>
      <c r="AH512" s="201"/>
      <c r="AI512" s="201"/>
      <c r="AJ512" s="201"/>
      <c r="AK512" s="122"/>
      <c r="AL512" s="122"/>
    </row>
    <row r="513">
      <c r="A513" s="115"/>
      <c r="B513" s="150"/>
      <c r="C513" s="89"/>
      <c r="D513" s="55"/>
      <c r="E513" s="115"/>
      <c r="F513" s="150"/>
      <c r="G513" s="188"/>
      <c r="H513" s="189"/>
      <c r="I513" s="115"/>
      <c r="J513" s="150"/>
      <c r="K513" s="89"/>
      <c r="L513" s="55"/>
      <c r="M513" s="115"/>
      <c r="N513" s="190"/>
      <c r="O513" s="89"/>
      <c r="P513" s="55"/>
      <c r="Q513" s="191"/>
      <c r="R513" s="192"/>
      <c r="S513" s="121"/>
      <c r="T513" s="122"/>
      <c r="U513" s="191"/>
      <c r="V513" s="192"/>
      <c r="W513" s="121"/>
      <c r="X513" s="122"/>
      <c r="Y513" s="115"/>
      <c r="Z513" s="193"/>
      <c r="AA513" s="194"/>
      <c r="AB513" s="195"/>
      <c r="AC513" s="115"/>
      <c r="AD513" s="192"/>
      <c r="AE513" s="196"/>
      <c r="AF513" s="197"/>
      <c r="AG513" s="201"/>
      <c r="AH513" s="201"/>
      <c r="AI513" s="201"/>
      <c r="AJ513" s="201"/>
      <c r="AK513" s="122"/>
      <c r="AL513" s="122"/>
    </row>
    <row r="514">
      <c r="A514" s="115"/>
      <c r="B514" s="150"/>
      <c r="C514" s="89"/>
      <c r="D514" s="55"/>
      <c r="E514" s="115"/>
      <c r="F514" s="150"/>
      <c r="G514" s="188"/>
      <c r="H514" s="189"/>
      <c r="I514" s="115"/>
      <c r="J514" s="150"/>
      <c r="K514" s="89"/>
      <c r="L514" s="55"/>
      <c r="M514" s="115"/>
      <c r="N514" s="190"/>
      <c r="O514" s="89"/>
      <c r="P514" s="55"/>
      <c r="Q514" s="191"/>
      <c r="R514" s="192"/>
      <c r="S514" s="121"/>
      <c r="T514" s="122"/>
      <c r="U514" s="191"/>
      <c r="V514" s="192"/>
      <c r="W514" s="121"/>
      <c r="X514" s="122"/>
      <c r="Y514" s="115"/>
      <c r="Z514" s="193"/>
      <c r="AA514" s="194"/>
      <c r="AB514" s="195"/>
      <c r="AC514" s="115"/>
      <c r="AD514" s="192"/>
      <c r="AE514" s="196"/>
      <c r="AF514" s="197"/>
      <c r="AG514" s="201"/>
      <c r="AH514" s="201"/>
      <c r="AI514" s="201"/>
      <c r="AJ514" s="201"/>
      <c r="AK514" s="122"/>
      <c r="AL514" s="122"/>
    </row>
    <row r="515">
      <c r="A515" s="115"/>
      <c r="B515" s="150"/>
      <c r="C515" s="89"/>
      <c r="D515" s="55"/>
      <c r="E515" s="115"/>
      <c r="F515" s="150"/>
      <c r="G515" s="188"/>
      <c r="H515" s="189"/>
      <c r="I515" s="115"/>
      <c r="J515" s="150"/>
      <c r="K515" s="89"/>
      <c r="L515" s="55"/>
      <c r="M515" s="115"/>
      <c r="N515" s="190"/>
      <c r="O515" s="89"/>
      <c r="P515" s="55"/>
      <c r="Q515" s="191"/>
      <c r="R515" s="192"/>
      <c r="S515" s="121"/>
      <c r="T515" s="122"/>
      <c r="U515" s="191"/>
      <c r="V515" s="192"/>
      <c r="W515" s="121"/>
      <c r="X515" s="122"/>
      <c r="Y515" s="115"/>
      <c r="Z515" s="193"/>
      <c r="AA515" s="194"/>
      <c r="AB515" s="195"/>
      <c r="AC515" s="115"/>
      <c r="AD515" s="192"/>
      <c r="AE515" s="196"/>
      <c r="AF515" s="197"/>
      <c r="AG515" s="201"/>
      <c r="AH515" s="201"/>
      <c r="AI515" s="201"/>
      <c r="AJ515" s="201"/>
      <c r="AK515" s="122"/>
      <c r="AL515" s="122"/>
    </row>
    <row r="516">
      <c r="A516" s="115"/>
      <c r="B516" s="150"/>
      <c r="C516" s="89"/>
      <c r="D516" s="55"/>
      <c r="E516" s="115"/>
      <c r="F516" s="150"/>
      <c r="G516" s="188"/>
      <c r="H516" s="189"/>
      <c r="I516" s="115"/>
      <c r="J516" s="150"/>
      <c r="K516" s="89"/>
      <c r="L516" s="55"/>
      <c r="M516" s="115"/>
      <c r="N516" s="190"/>
      <c r="O516" s="89"/>
      <c r="P516" s="55"/>
      <c r="Q516" s="191"/>
      <c r="R516" s="192"/>
      <c r="S516" s="121"/>
      <c r="T516" s="122"/>
      <c r="U516" s="191"/>
      <c r="V516" s="192"/>
      <c r="W516" s="121"/>
      <c r="X516" s="122"/>
      <c r="Y516" s="115"/>
      <c r="Z516" s="193"/>
      <c r="AA516" s="194"/>
      <c r="AB516" s="195"/>
      <c r="AC516" s="115"/>
      <c r="AD516" s="192"/>
      <c r="AE516" s="196"/>
      <c r="AF516" s="197"/>
      <c r="AG516" s="201"/>
      <c r="AH516" s="201"/>
      <c r="AI516" s="201"/>
      <c r="AJ516" s="201"/>
      <c r="AK516" s="122"/>
      <c r="AL516" s="122"/>
    </row>
    <row r="517">
      <c r="A517" s="115"/>
      <c r="B517" s="150"/>
      <c r="C517" s="89"/>
      <c r="D517" s="55"/>
      <c r="E517" s="115"/>
      <c r="F517" s="150"/>
      <c r="G517" s="188"/>
      <c r="H517" s="189"/>
      <c r="I517" s="115"/>
      <c r="J517" s="150"/>
      <c r="K517" s="89"/>
      <c r="L517" s="55"/>
      <c r="M517" s="115"/>
      <c r="N517" s="190"/>
      <c r="O517" s="89"/>
      <c r="P517" s="55"/>
      <c r="Q517" s="191"/>
      <c r="R517" s="192"/>
      <c r="S517" s="121"/>
      <c r="T517" s="122"/>
      <c r="U517" s="191"/>
      <c r="V517" s="192"/>
      <c r="W517" s="121"/>
      <c r="X517" s="122"/>
      <c r="Y517" s="115"/>
      <c r="Z517" s="193"/>
      <c r="AA517" s="194"/>
      <c r="AB517" s="195"/>
      <c r="AC517" s="115"/>
      <c r="AD517" s="192"/>
      <c r="AE517" s="196"/>
      <c r="AF517" s="197"/>
      <c r="AG517" s="201"/>
      <c r="AH517" s="201"/>
      <c r="AI517" s="201"/>
      <c r="AJ517" s="201"/>
      <c r="AK517" s="122"/>
      <c r="AL517" s="122"/>
    </row>
    <row r="518">
      <c r="A518" s="115"/>
      <c r="B518" s="150"/>
      <c r="C518" s="89"/>
      <c r="D518" s="55"/>
      <c r="E518" s="115"/>
      <c r="F518" s="150"/>
      <c r="G518" s="188"/>
      <c r="H518" s="189"/>
      <c r="I518" s="115"/>
      <c r="J518" s="150"/>
      <c r="K518" s="89"/>
      <c r="L518" s="55"/>
      <c r="M518" s="115"/>
      <c r="N518" s="190"/>
      <c r="O518" s="89"/>
      <c r="P518" s="55"/>
      <c r="Q518" s="191"/>
      <c r="R518" s="192"/>
      <c r="S518" s="121"/>
      <c r="T518" s="122"/>
      <c r="U518" s="191"/>
      <c r="V518" s="192"/>
      <c r="W518" s="121"/>
      <c r="X518" s="122"/>
      <c r="Y518" s="115"/>
      <c r="Z518" s="193"/>
      <c r="AA518" s="194"/>
      <c r="AB518" s="195"/>
      <c r="AC518" s="115"/>
      <c r="AD518" s="192"/>
      <c r="AE518" s="196"/>
      <c r="AF518" s="197"/>
      <c r="AG518" s="201"/>
      <c r="AH518" s="201"/>
      <c r="AI518" s="201"/>
      <c r="AJ518" s="201"/>
      <c r="AK518" s="122"/>
      <c r="AL518" s="122"/>
    </row>
    <row r="519">
      <c r="A519" s="115"/>
      <c r="B519" s="150"/>
      <c r="C519" s="89"/>
      <c r="D519" s="55"/>
      <c r="E519" s="115"/>
      <c r="F519" s="150"/>
      <c r="G519" s="188"/>
      <c r="H519" s="189"/>
      <c r="I519" s="115"/>
      <c r="J519" s="150"/>
      <c r="K519" s="89"/>
      <c r="L519" s="55"/>
      <c r="M519" s="115"/>
      <c r="N519" s="190"/>
      <c r="O519" s="89"/>
      <c r="P519" s="55"/>
      <c r="Q519" s="191"/>
      <c r="R519" s="192"/>
      <c r="S519" s="121"/>
      <c r="T519" s="122"/>
      <c r="U519" s="191"/>
      <c r="V519" s="192"/>
      <c r="W519" s="121"/>
      <c r="X519" s="122"/>
      <c r="Y519" s="115"/>
      <c r="Z519" s="193"/>
      <c r="AA519" s="194"/>
      <c r="AB519" s="195"/>
      <c r="AC519" s="115"/>
      <c r="AD519" s="192"/>
      <c r="AE519" s="196"/>
      <c r="AF519" s="197"/>
      <c r="AG519" s="201"/>
      <c r="AH519" s="201"/>
      <c r="AI519" s="201"/>
      <c r="AJ519" s="201"/>
      <c r="AK519" s="122"/>
      <c r="AL519" s="122"/>
    </row>
    <row r="520">
      <c r="A520" s="115"/>
      <c r="B520" s="150"/>
      <c r="C520" s="89"/>
      <c r="D520" s="55"/>
      <c r="E520" s="115"/>
      <c r="F520" s="150"/>
      <c r="G520" s="188"/>
      <c r="H520" s="189"/>
      <c r="I520" s="115"/>
      <c r="J520" s="150"/>
      <c r="K520" s="89"/>
      <c r="L520" s="55"/>
      <c r="M520" s="115"/>
      <c r="N520" s="190"/>
      <c r="O520" s="89"/>
      <c r="P520" s="55"/>
      <c r="Q520" s="191"/>
      <c r="R520" s="192"/>
      <c r="S520" s="121"/>
      <c r="T520" s="122"/>
      <c r="U520" s="191"/>
      <c r="V520" s="192"/>
      <c r="W520" s="121"/>
      <c r="X520" s="122"/>
      <c r="Y520" s="115"/>
      <c r="Z520" s="193"/>
      <c r="AA520" s="194"/>
      <c r="AB520" s="195"/>
      <c r="AC520" s="115"/>
      <c r="AD520" s="192"/>
      <c r="AE520" s="196"/>
      <c r="AF520" s="197"/>
      <c r="AG520" s="201"/>
      <c r="AH520" s="201"/>
      <c r="AI520" s="201"/>
      <c r="AJ520" s="201"/>
      <c r="AK520" s="122"/>
      <c r="AL520" s="122"/>
    </row>
    <row r="521">
      <c r="A521" s="115"/>
      <c r="B521" s="150"/>
      <c r="C521" s="89"/>
      <c r="D521" s="55"/>
      <c r="E521" s="115"/>
      <c r="F521" s="150"/>
      <c r="G521" s="188"/>
      <c r="H521" s="189"/>
      <c r="I521" s="115"/>
      <c r="J521" s="150"/>
      <c r="K521" s="89"/>
      <c r="L521" s="55"/>
      <c r="M521" s="115"/>
      <c r="N521" s="190"/>
      <c r="O521" s="89"/>
      <c r="P521" s="55"/>
      <c r="Q521" s="191"/>
      <c r="R521" s="192"/>
      <c r="S521" s="121"/>
      <c r="T521" s="122"/>
      <c r="U521" s="191"/>
      <c r="V521" s="192"/>
      <c r="W521" s="121"/>
      <c r="X521" s="122"/>
      <c r="Y521" s="115"/>
      <c r="Z521" s="193"/>
      <c r="AA521" s="194"/>
      <c r="AB521" s="195"/>
      <c r="AC521" s="115"/>
      <c r="AD521" s="192"/>
      <c r="AE521" s="196"/>
      <c r="AF521" s="197"/>
      <c r="AG521" s="201"/>
      <c r="AH521" s="201"/>
      <c r="AI521" s="201"/>
      <c r="AJ521" s="201"/>
      <c r="AK521" s="122"/>
      <c r="AL521" s="122"/>
    </row>
    <row r="522">
      <c r="A522" s="115"/>
      <c r="B522" s="150"/>
      <c r="C522" s="89"/>
      <c r="D522" s="55"/>
      <c r="E522" s="115"/>
      <c r="F522" s="150"/>
      <c r="G522" s="188"/>
      <c r="H522" s="189"/>
      <c r="I522" s="115"/>
      <c r="J522" s="150"/>
      <c r="K522" s="89"/>
      <c r="L522" s="55"/>
      <c r="M522" s="115"/>
      <c r="N522" s="190"/>
      <c r="O522" s="89"/>
      <c r="P522" s="55"/>
      <c r="Q522" s="191"/>
      <c r="R522" s="192"/>
      <c r="S522" s="121"/>
      <c r="T522" s="122"/>
      <c r="U522" s="191"/>
      <c r="V522" s="192"/>
      <c r="W522" s="121"/>
      <c r="X522" s="122"/>
      <c r="Y522" s="115"/>
      <c r="Z522" s="193"/>
      <c r="AA522" s="194"/>
      <c r="AB522" s="195"/>
      <c r="AC522" s="115"/>
      <c r="AD522" s="192"/>
      <c r="AE522" s="196"/>
      <c r="AF522" s="197"/>
      <c r="AG522" s="201"/>
      <c r="AH522" s="201"/>
      <c r="AI522" s="201"/>
      <c r="AJ522" s="201"/>
      <c r="AK522" s="122"/>
      <c r="AL522" s="122"/>
    </row>
    <row r="523">
      <c r="A523" s="115"/>
      <c r="B523" s="150"/>
      <c r="C523" s="89"/>
      <c r="D523" s="55"/>
      <c r="E523" s="115"/>
      <c r="F523" s="150"/>
      <c r="G523" s="188"/>
      <c r="H523" s="189"/>
      <c r="I523" s="115"/>
      <c r="J523" s="150"/>
      <c r="K523" s="89"/>
      <c r="L523" s="55"/>
      <c r="M523" s="115"/>
      <c r="N523" s="190"/>
      <c r="O523" s="89"/>
      <c r="P523" s="55"/>
      <c r="Q523" s="191"/>
      <c r="R523" s="192"/>
      <c r="S523" s="121"/>
      <c r="T523" s="122"/>
      <c r="U523" s="191"/>
      <c r="V523" s="192"/>
      <c r="W523" s="121"/>
      <c r="X523" s="122"/>
      <c r="Y523" s="115"/>
      <c r="Z523" s="193"/>
      <c r="AA523" s="194"/>
      <c r="AB523" s="195"/>
      <c r="AC523" s="115"/>
      <c r="AD523" s="192"/>
      <c r="AE523" s="196"/>
      <c r="AF523" s="197"/>
      <c r="AG523" s="201"/>
      <c r="AH523" s="201"/>
      <c r="AI523" s="201"/>
      <c r="AJ523" s="201"/>
      <c r="AK523" s="122"/>
      <c r="AL523" s="122"/>
    </row>
    <row r="524">
      <c r="A524" s="115"/>
      <c r="B524" s="150"/>
      <c r="C524" s="89"/>
      <c r="D524" s="55"/>
      <c r="E524" s="115"/>
      <c r="F524" s="150"/>
      <c r="G524" s="188"/>
      <c r="H524" s="189"/>
      <c r="I524" s="115"/>
      <c r="J524" s="150"/>
      <c r="K524" s="89"/>
      <c r="L524" s="55"/>
      <c r="M524" s="115"/>
      <c r="N524" s="190"/>
      <c r="O524" s="89"/>
      <c r="P524" s="55"/>
      <c r="Q524" s="191"/>
      <c r="R524" s="192"/>
      <c r="S524" s="121"/>
      <c r="T524" s="122"/>
      <c r="U524" s="191"/>
      <c r="V524" s="192"/>
      <c r="W524" s="121"/>
      <c r="X524" s="122"/>
      <c r="Y524" s="115"/>
      <c r="Z524" s="193"/>
      <c r="AA524" s="194"/>
      <c r="AB524" s="195"/>
      <c r="AC524" s="115"/>
      <c r="AD524" s="192"/>
      <c r="AE524" s="196"/>
      <c r="AF524" s="197"/>
      <c r="AG524" s="201"/>
      <c r="AH524" s="201"/>
      <c r="AI524" s="201"/>
      <c r="AJ524" s="201"/>
      <c r="AK524" s="122"/>
      <c r="AL524" s="122"/>
    </row>
    <row r="525">
      <c r="A525" s="115"/>
      <c r="B525" s="150"/>
      <c r="C525" s="89"/>
      <c r="D525" s="55"/>
      <c r="E525" s="115"/>
      <c r="F525" s="150"/>
      <c r="G525" s="188"/>
      <c r="H525" s="189"/>
      <c r="I525" s="115"/>
      <c r="J525" s="150"/>
      <c r="K525" s="89"/>
      <c r="L525" s="55"/>
      <c r="M525" s="115"/>
      <c r="N525" s="190"/>
      <c r="O525" s="89"/>
      <c r="P525" s="55"/>
      <c r="Q525" s="191"/>
      <c r="R525" s="192"/>
      <c r="S525" s="121"/>
      <c r="T525" s="122"/>
      <c r="U525" s="191"/>
      <c r="V525" s="192"/>
      <c r="W525" s="121"/>
      <c r="X525" s="122"/>
      <c r="Y525" s="115"/>
      <c r="Z525" s="193"/>
      <c r="AA525" s="194"/>
      <c r="AB525" s="195"/>
      <c r="AC525" s="115"/>
      <c r="AD525" s="192"/>
      <c r="AE525" s="196"/>
      <c r="AF525" s="197"/>
      <c r="AG525" s="201"/>
      <c r="AH525" s="201"/>
      <c r="AI525" s="201"/>
      <c r="AJ525" s="201"/>
      <c r="AK525" s="122"/>
      <c r="AL525" s="122"/>
    </row>
    <row r="526">
      <c r="A526" s="115"/>
      <c r="B526" s="150"/>
      <c r="C526" s="89"/>
      <c r="D526" s="55"/>
      <c r="E526" s="115"/>
      <c r="F526" s="150"/>
      <c r="G526" s="188"/>
      <c r="H526" s="189"/>
      <c r="I526" s="115"/>
      <c r="J526" s="150"/>
      <c r="K526" s="89"/>
      <c r="L526" s="55"/>
      <c r="M526" s="115"/>
      <c r="N526" s="190"/>
      <c r="O526" s="89"/>
      <c r="P526" s="55"/>
      <c r="Q526" s="191"/>
      <c r="R526" s="192"/>
      <c r="S526" s="121"/>
      <c r="T526" s="122"/>
      <c r="U526" s="191"/>
      <c r="V526" s="192"/>
      <c r="W526" s="121"/>
      <c r="X526" s="122"/>
      <c r="Y526" s="115"/>
      <c r="Z526" s="193"/>
      <c r="AA526" s="194"/>
      <c r="AB526" s="195"/>
      <c r="AC526" s="115"/>
      <c r="AD526" s="192"/>
      <c r="AE526" s="196"/>
      <c r="AF526" s="197"/>
      <c r="AG526" s="201"/>
      <c r="AH526" s="201"/>
      <c r="AI526" s="201"/>
      <c r="AJ526" s="201"/>
      <c r="AK526" s="122"/>
      <c r="AL526" s="122"/>
    </row>
    <row r="527">
      <c r="A527" s="115"/>
      <c r="B527" s="150"/>
      <c r="C527" s="89"/>
      <c r="D527" s="55"/>
      <c r="E527" s="115"/>
      <c r="F527" s="150"/>
      <c r="G527" s="188"/>
      <c r="H527" s="189"/>
      <c r="I527" s="115"/>
      <c r="J527" s="150"/>
      <c r="K527" s="89"/>
      <c r="L527" s="55"/>
      <c r="M527" s="115"/>
      <c r="N527" s="190"/>
      <c r="O527" s="89"/>
      <c r="P527" s="55"/>
      <c r="Q527" s="191"/>
      <c r="R527" s="192"/>
      <c r="S527" s="121"/>
      <c r="T527" s="122"/>
      <c r="U527" s="191"/>
      <c r="V527" s="192"/>
      <c r="W527" s="121"/>
      <c r="X527" s="122"/>
      <c r="Y527" s="115"/>
      <c r="Z527" s="193"/>
      <c r="AA527" s="194"/>
      <c r="AB527" s="195"/>
      <c r="AC527" s="115"/>
      <c r="AD527" s="192"/>
      <c r="AE527" s="196"/>
      <c r="AF527" s="197"/>
      <c r="AG527" s="201"/>
      <c r="AH527" s="201"/>
      <c r="AI527" s="201"/>
      <c r="AJ527" s="201"/>
      <c r="AK527" s="122"/>
      <c r="AL527" s="122"/>
    </row>
    <row r="528">
      <c r="A528" s="115"/>
      <c r="B528" s="150"/>
      <c r="C528" s="89"/>
      <c r="D528" s="55"/>
      <c r="E528" s="115"/>
      <c r="F528" s="150"/>
      <c r="G528" s="188"/>
      <c r="H528" s="189"/>
      <c r="I528" s="115"/>
      <c r="J528" s="150"/>
      <c r="K528" s="89"/>
      <c r="L528" s="55"/>
      <c r="M528" s="115"/>
      <c r="N528" s="190"/>
      <c r="O528" s="89"/>
      <c r="P528" s="55"/>
      <c r="Q528" s="191"/>
      <c r="R528" s="192"/>
      <c r="S528" s="121"/>
      <c r="T528" s="122"/>
      <c r="U528" s="191"/>
      <c r="V528" s="192"/>
      <c r="W528" s="121"/>
      <c r="X528" s="122"/>
      <c r="Y528" s="115"/>
      <c r="Z528" s="193"/>
      <c r="AA528" s="194"/>
      <c r="AB528" s="195"/>
      <c r="AC528" s="115"/>
      <c r="AD528" s="192"/>
      <c r="AE528" s="196"/>
      <c r="AF528" s="197"/>
      <c r="AG528" s="201"/>
      <c r="AH528" s="201"/>
      <c r="AI528" s="201"/>
      <c r="AJ528" s="201"/>
      <c r="AK528" s="122"/>
      <c r="AL528" s="122"/>
    </row>
    <row r="529">
      <c r="A529" s="115"/>
      <c r="B529" s="150"/>
      <c r="C529" s="89"/>
      <c r="D529" s="55"/>
      <c r="E529" s="115"/>
      <c r="F529" s="150"/>
      <c r="G529" s="188"/>
      <c r="H529" s="189"/>
      <c r="I529" s="115"/>
      <c r="J529" s="150"/>
      <c r="K529" s="89"/>
      <c r="L529" s="55"/>
      <c r="M529" s="115"/>
      <c r="N529" s="190"/>
      <c r="O529" s="89"/>
      <c r="P529" s="55"/>
      <c r="Q529" s="191"/>
      <c r="R529" s="192"/>
      <c r="S529" s="121"/>
      <c r="T529" s="122"/>
      <c r="U529" s="191"/>
      <c r="V529" s="192"/>
      <c r="W529" s="121"/>
      <c r="X529" s="122"/>
      <c r="Y529" s="115"/>
      <c r="Z529" s="193"/>
      <c r="AA529" s="194"/>
      <c r="AB529" s="195"/>
      <c r="AC529" s="115"/>
      <c r="AD529" s="192"/>
      <c r="AE529" s="196"/>
      <c r="AF529" s="197"/>
      <c r="AG529" s="201"/>
      <c r="AH529" s="201"/>
      <c r="AI529" s="201"/>
      <c r="AJ529" s="201"/>
      <c r="AK529" s="122"/>
      <c r="AL529" s="122"/>
    </row>
    <row r="530">
      <c r="A530" s="115"/>
      <c r="B530" s="150"/>
      <c r="C530" s="89"/>
      <c r="D530" s="55"/>
      <c r="E530" s="115"/>
      <c r="F530" s="150"/>
      <c r="G530" s="188"/>
      <c r="H530" s="189"/>
      <c r="I530" s="115"/>
      <c r="J530" s="150"/>
      <c r="K530" s="89"/>
      <c r="L530" s="55"/>
      <c r="M530" s="115"/>
      <c r="N530" s="190"/>
      <c r="O530" s="89"/>
      <c r="P530" s="55"/>
      <c r="Q530" s="191"/>
      <c r="R530" s="192"/>
      <c r="S530" s="121"/>
      <c r="T530" s="122"/>
      <c r="U530" s="191"/>
      <c r="V530" s="192"/>
      <c r="W530" s="121"/>
      <c r="X530" s="122"/>
      <c r="Y530" s="115"/>
      <c r="Z530" s="193"/>
      <c r="AA530" s="194"/>
      <c r="AB530" s="195"/>
      <c r="AC530" s="115"/>
      <c r="AD530" s="192"/>
      <c r="AE530" s="196"/>
      <c r="AF530" s="197"/>
      <c r="AG530" s="201"/>
      <c r="AH530" s="201"/>
      <c r="AI530" s="201"/>
      <c r="AJ530" s="201"/>
      <c r="AK530" s="122"/>
      <c r="AL530" s="122"/>
    </row>
    <row r="531">
      <c r="A531" s="115"/>
      <c r="B531" s="150"/>
      <c r="C531" s="89"/>
      <c r="D531" s="55"/>
      <c r="E531" s="115"/>
      <c r="F531" s="150"/>
      <c r="G531" s="188"/>
      <c r="H531" s="189"/>
      <c r="I531" s="115"/>
      <c r="J531" s="150"/>
      <c r="K531" s="89"/>
      <c r="L531" s="55"/>
      <c r="M531" s="115"/>
      <c r="N531" s="190"/>
      <c r="O531" s="89"/>
      <c r="P531" s="55"/>
      <c r="Q531" s="191"/>
      <c r="R531" s="192"/>
      <c r="S531" s="121"/>
      <c r="T531" s="122"/>
      <c r="U531" s="191"/>
      <c r="V531" s="192"/>
      <c r="W531" s="121"/>
      <c r="X531" s="122"/>
      <c r="Y531" s="115"/>
      <c r="Z531" s="193"/>
      <c r="AA531" s="194"/>
      <c r="AB531" s="195"/>
      <c r="AC531" s="115"/>
      <c r="AD531" s="192"/>
      <c r="AE531" s="196"/>
      <c r="AF531" s="197"/>
      <c r="AG531" s="201"/>
      <c r="AH531" s="201"/>
      <c r="AI531" s="201"/>
      <c r="AJ531" s="201"/>
      <c r="AK531" s="122"/>
      <c r="AL531" s="122"/>
    </row>
    <row r="532">
      <c r="A532" s="115"/>
      <c r="B532" s="150"/>
      <c r="C532" s="89"/>
      <c r="D532" s="55"/>
      <c r="E532" s="115"/>
      <c r="F532" s="150"/>
      <c r="G532" s="188"/>
      <c r="H532" s="189"/>
      <c r="I532" s="115"/>
      <c r="J532" s="150"/>
      <c r="K532" s="89"/>
      <c r="L532" s="55"/>
      <c r="M532" s="115"/>
      <c r="N532" s="190"/>
      <c r="O532" s="89"/>
      <c r="P532" s="55"/>
      <c r="Q532" s="191"/>
      <c r="R532" s="192"/>
      <c r="S532" s="121"/>
      <c r="T532" s="122"/>
      <c r="U532" s="191"/>
      <c r="V532" s="192"/>
      <c r="W532" s="121"/>
      <c r="X532" s="122"/>
      <c r="Y532" s="115"/>
      <c r="Z532" s="193"/>
      <c r="AA532" s="194"/>
      <c r="AB532" s="195"/>
      <c r="AC532" s="115"/>
      <c r="AD532" s="192"/>
      <c r="AE532" s="196"/>
      <c r="AF532" s="197"/>
      <c r="AG532" s="201"/>
      <c r="AH532" s="201"/>
      <c r="AI532" s="201"/>
      <c r="AJ532" s="201"/>
      <c r="AK532" s="122"/>
      <c r="AL532" s="122"/>
    </row>
    <row r="533">
      <c r="A533" s="115"/>
      <c r="B533" s="150"/>
      <c r="C533" s="89"/>
      <c r="D533" s="55"/>
      <c r="E533" s="115"/>
      <c r="F533" s="150"/>
      <c r="G533" s="188"/>
      <c r="H533" s="189"/>
      <c r="I533" s="115"/>
      <c r="J533" s="150"/>
      <c r="K533" s="89"/>
      <c r="L533" s="55"/>
      <c r="M533" s="115"/>
      <c r="N533" s="190"/>
      <c r="O533" s="89"/>
      <c r="P533" s="55"/>
      <c r="Q533" s="191"/>
      <c r="R533" s="192"/>
      <c r="S533" s="121"/>
      <c r="T533" s="122"/>
      <c r="U533" s="191"/>
      <c r="V533" s="192"/>
      <c r="W533" s="121"/>
      <c r="X533" s="122"/>
      <c r="Y533" s="115"/>
      <c r="Z533" s="193"/>
      <c r="AA533" s="194"/>
      <c r="AB533" s="195"/>
      <c r="AC533" s="115"/>
      <c r="AD533" s="192"/>
      <c r="AE533" s="196"/>
      <c r="AF533" s="197"/>
      <c r="AG533" s="201"/>
      <c r="AH533" s="201"/>
      <c r="AI533" s="201"/>
      <c r="AJ533" s="201"/>
      <c r="AK533" s="122"/>
      <c r="AL533" s="122"/>
    </row>
    <row r="534">
      <c r="A534" s="115"/>
      <c r="B534" s="150"/>
      <c r="C534" s="89"/>
      <c r="D534" s="55"/>
      <c r="E534" s="115"/>
      <c r="F534" s="150"/>
      <c r="G534" s="188"/>
      <c r="H534" s="189"/>
      <c r="I534" s="115"/>
      <c r="J534" s="150"/>
      <c r="K534" s="89"/>
      <c r="L534" s="55"/>
      <c r="M534" s="115"/>
      <c r="N534" s="190"/>
      <c r="O534" s="89"/>
      <c r="P534" s="55"/>
      <c r="Q534" s="191"/>
      <c r="R534" s="192"/>
      <c r="S534" s="121"/>
      <c r="T534" s="122"/>
      <c r="U534" s="191"/>
      <c r="V534" s="192"/>
      <c r="W534" s="121"/>
      <c r="X534" s="122"/>
      <c r="Y534" s="115"/>
      <c r="Z534" s="193"/>
      <c r="AA534" s="194"/>
      <c r="AB534" s="195"/>
      <c r="AC534" s="115"/>
      <c r="AD534" s="192"/>
      <c r="AE534" s="196"/>
      <c r="AF534" s="197"/>
      <c r="AG534" s="201"/>
      <c r="AH534" s="201"/>
      <c r="AI534" s="201"/>
      <c r="AJ534" s="201"/>
      <c r="AK534" s="122"/>
      <c r="AL534" s="122"/>
    </row>
    <row r="535">
      <c r="A535" s="115"/>
      <c r="B535" s="150"/>
      <c r="C535" s="89"/>
      <c r="D535" s="55"/>
      <c r="E535" s="115"/>
      <c r="F535" s="150"/>
      <c r="G535" s="188"/>
      <c r="H535" s="189"/>
      <c r="I535" s="115"/>
      <c r="J535" s="150"/>
      <c r="K535" s="89"/>
      <c r="L535" s="55"/>
      <c r="M535" s="115"/>
      <c r="N535" s="190"/>
      <c r="O535" s="89"/>
      <c r="P535" s="55"/>
      <c r="Q535" s="191"/>
      <c r="R535" s="192"/>
      <c r="S535" s="121"/>
      <c r="T535" s="122"/>
      <c r="U535" s="191"/>
      <c r="V535" s="192"/>
      <c r="W535" s="121"/>
      <c r="X535" s="122"/>
      <c r="Y535" s="115"/>
      <c r="Z535" s="193"/>
      <c r="AA535" s="194"/>
      <c r="AB535" s="195"/>
      <c r="AC535" s="115"/>
      <c r="AD535" s="192"/>
      <c r="AE535" s="196"/>
      <c r="AF535" s="197"/>
      <c r="AG535" s="201"/>
      <c r="AH535" s="201"/>
      <c r="AI535" s="201"/>
      <c r="AJ535" s="201"/>
      <c r="AK535" s="122"/>
      <c r="AL535" s="122"/>
    </row>
    <row r="536">
      <c r="A536" s="115"/>
      <c r="B536" s="150"/>
      <c r="C536" s="89"/>
      <c r="D536" s="55"/>
      <c r="E536" s="115"/>
      <c r="F536" s="150"/>
      <c r="G536" s="188"/>
      <c r="H536" s="189"/>
      <c r="I536" s="115"/>
      <c r="J536" s="150"/>
      <c r="K536" s="89"/>
      <c r="L536" s="55"/>
      <c r="M536" s="115"/>
      <c r="N536" s="190"/>
      <c r="O536" s="89"/>
      <c r="P536" s="55"/>
      <c r="Q536" s="191"/>
      <c r="R536" s="192"/>
      <c r="S536" s="121"/>
      <c r="T536" s="122"/>
      <c r="U536" s="191"/>
      <c r="V536" s="192"/>
      <c r="W536" s="121"/>
      <c r="X536" s="122"/>
      <c r="Y536" s="115"/>
      <c r="Z536" s="193"/>
      <c r="AA536" s="194"/>
      <c r="AB536" s="195"/>
      <c r="AC536" s="115"/>
      <c r="AD536" s="192"/>
      <c r="AE536" s="196"/>
      <c r="AF536" s="197"/>
      <c r="AG536" s="201"/>
      <c r="AH536" s="201"/>
      <c r="AI536" s="201"/>
      <c r="AJ536" s="201"/>
      <c r="AK536" s="122"/>
      <c r="AL536" s="122"/>
    </row>
    <row r="537">
      <c r="A537" s="115"/>
      <c r="B537" s="150"/>
      <c r="C537" s="89"/>
      <c r="D537" s="55"/>
      <c r="E537" s="115"/>
      <c r="F537" s="150"/>
      <c r="G537" s="188"/>
      <c r="H537" s="189"/>
      <c r="I537" s="115"/>
      <c r="J537" s="150"/>
      <c r="K537" s="89"/>
      <c r="L537" s="55"/>
      <c r="M537" s="115"/>
      <c r="N537" s="190"/>
      <c r="O537" s="89"/>
      <c r="P537" s="55"/>
      <c r="Q537" s="191"/>
      <c r="R537" s="192"/>
      <c r="S537" s="121"/>
      <c r="T537" s="122"/>
      <c r="U537" s="191"/>
      <c r="V537" s="192"/>
      <c r="W537" s="121"/>
      <c r="X537" s="122"/>
      <c r="Y537" s="115"/>
      <c r="Z537" s="193"/>
      <c r="AA537" s="194"/>
      <c r="AB537" s="195"/>
      <c r="AC537" s="115"/>
      <c r="AD537" s="192"/>
      <c r="AE537" s="196"/>
      <c r="AF537" s="197"/>
      <c r="AG537" s="201"/>
      <c r="AH537" s="201"/>
      <c r="AI537" s="201"/>
      <c r="AJ537" s="201"/>
      <c r="AK537" s="122"/>
      <c r="AL537" s="122"/>
    </row>
    <row r="538">
      <c r="A538" s="115"/>
      <c r="B538" s="150"/>
      <c r="C538" s="89"/>
      <c r="D538" s="55"/>
      <c r="E538" s="115"/>
      <c r="F538" s="150"/>
      <c r="G538" s="188"/>
      <c r="H538" s="189"/>
      <c r="I538" s="115"/>
      <c r="J538" s="150"/>
      <c r="K538" s="89"/>
      <c r="L538" s="55"/>
      <c r="M538" s="115"/>
      <c r="N538" s="190"/>
      <c r="O538" s="89"/>
      <c r="P538" s="55"/>
      <c r="Q538" s="191"/>
      <c r="R538" s="192"/>
      <c r="S538" s="121"/>
      <c r="T538" s="122"/>
      <c r="U538" s="191"/>
      <c r="V538" s="192"/>
      <c r="W538" s="121"/>
      <c r="X538" s="122"/>
      <c r="Y538" s="115"/>
      <c r="Z538" s="193"/>
      <c r="AA538" s="194"/>
      <c r="AB538" s="195"/>
      <c r="AC538" s="115"/>
      <c r="AD538" s="192"/>
      <c r="AE538" s="196"/>
      <c r="AF538" s="197"/>
      <c r="AG538" s="201"/>
      <c r="AH538" s="201"/>
      <c r="AI538" s="201"/>
      <c r="AJ538" s="201"/>
      <c r="AK538" s="122"/>
      <c r="AL538" s="122"/>
    </row>
    <row r="539">
      <c r="A539" s="115"/>
      <c r="B539" s="150"/>
      <c r="C539" s="89"/>
      <c r="D539" s="55"/>
      <c r="E539" s="115"/>
      <c r="F539" s="150"/>
      <c r="G539" s="188"/>
      <c r="H539" s="189"/>
      <c r="I539" s="115"/>
      <c r="J539" s="150"/>
      <c r="K539" s="89"/>
      <c r="L539" s="55"/>
      <c r="M539" s="115"/>
      <c r="N539" s="190"/>
      <c r="O539" s="89"/>
      <c r="P539" s="55"/>
      <c r="Q539" s="191"/>
      <c r="R539" s="192"/>
      <c r="S539" s="121"/>
      <c r="T539" s="122"/>
      <c r="U539" s="191"/>
      <c r="V539" s="192"/>
      <c r="W539" s="121"/>
      <c r="X539" s="122"/>
      <c r="Y539" s="115"/>
      <c r="Z539" s="193"/>
      <c r="AA539" s="194"/>
      <c r="AB539" s="195"/>
      <c r="AC539" s="115"/>
      <c r="AD539" s="192"/>
      <c r="AE539" s="196"/>
      <c r="AF539" s="197"/>
      <c r="AG539" s="201"/>
      <c r="AH539" s="201"/>
      <c r="AI539" s="201"/>
      <c r="AJ539" s="201"/>
      <c r="AK539" s="122"/>
      <c r="AL539" s="122"/>
    </row>
    <row r="540">
      <c r="A540" s="115"/>
      <c r="B540" s="150"/>
      <c r="C540" s="89"/>
      <c r="D540" s="55"/>
      <c r="E540" s="115"/>
      <c r="F540" s="150"/>
      <c r="G540" s="188"/>
      <c r="H540" s="189"/>
      <c r="I540" s="115"/>
      <c r="J540" s="150"/>
      <c r="K540" s="89"/>
      <c r="L540" s="55"/>
      <c r="M540" s="115"/>
      <c r="N540" s="190"/>
      <c r="O540" s="89"/>
      <c r="P540" s="55"/>
      <c r="Q540" s="191"/>
      <c r="R540" s="192"/>
      <c r="S540" s="121"/>
      <c r="T540" s="122"/>
      <c r="U540" s="191"/>
      <c r="V540" s="192"/>
      <c r="W540" s="121"/>
      <c r="X540" s="122"/>
      <c r="Y540" s="115"/>
      <c r="Z540" s="193"/>
      <c r="AA540" s="194"/>
      <c r="AB540" s="195"/>
      <c r="AC540" s="115"/>
      <c r="AD540" s="192"/>
      <c r="AE540" s="196"/>
      <c r="AF540" s="197"/>
      <c r="AG540" s="201"/>
      <c r="AH540" s="201"/>
      <c r="AI540" s="201"/>
      <c r="AJ540" s="201"/>
      <c r="AK540" s="122"/>
      <c r="AL540" s="122"/>
    </row>
    <row r="541">
      <c r="A541" s="115"/>
      <c r="B541" s="150"/>
      <c r="C541" s="89"/>
      <c r="D541" s="55"/>
      <c r="E541" s="115"/>
      <c r="F541" s="150"/>
      <c r="G541" s="188"/>
      <c r="H541" s="189"/>
      <c r="I541" s="115"/>
      <c r="J541" s="150"/>
      <c r="K541" s="89"/>
      <c r="L541" s="55"/>
      <c r="M541" s="115"/>
      <c r="N541" s="190"/>
      <c r="O541" s="89"/>
      <c r="P541" s="55"/>
      <c r="Q541" s="191"/>
      <c r="R541" s="192"/>
      <c r="S541" s="121"/>
      <c r="T541" s="122"/>
      <c r="U541" s="191"/>
      <c r="V541" s="192"/>
      <c r="W541" s="121"/>
      <c r="X541" s="122"/>
      <c r="Y541" s="115"/>
      <c r="Z541" s="193"/>
      <c r="AA541" s="194"/>
      <c r="AB541" s="195"/>
      <c r="AC541" s="115"/>
      <c r="AD541" s="192"/>
      <c r="AE541" s="196"/>
      <c r="AF541" s="197"/>
      <c r="AG541" s="201"/>
      <c r="AH541" s="201"/>
      <c r="AI541" s="201"/>
      <c r="AJ541" s="201"/>
      <c r="AK541" s="122"/>
      <c r="AL541" s="122"/>
    </row>
    <row r="542">
      <c r="A542" s="115"/>
      <c r="B542" s="150"/>
      <c r="C542" s="89"/>
      <c r="D542" s="55"/>
      <c r="E542" s="115"/>
      <c r="F542" s="150"/>
      <c r="G542" s="188"/>
      <c r="H542" s="189"/>
      <c r="I542" s="115"/>
      <c r="J542" s="150"/>
      <c r="K542" s="89"/>
      <c r="L542" s="55"/>
      <c r="M542" s="115"/>
      <c r="N542" s="190"/>
      <c r="O542" s="89"/>
      <c r="P542" s="55"/>
      <c r="Q542" s="191"/>
      <c r="R542" s="192"/>
      <c r="S542" s="121"/>
      <c r="T542" s="122"/>
      <c r="U542" s="191"/>
      <c r="V542" s="192"/>
      <c r="W542" s="121"/>
      <c r="X542" s="122"/>
      <c r="Y542" s="115"/>
      <c r="Z542" s="193"/>
      <c r="AA542" s="194"/>
      <c r="AB542" s="195"/>
      <c r="AC542" s="115"/>
      <c r="AD542" s="192"/>
      <c r="AE542" s="196"/>
      <c r="AF542" s="197"/>
      <c r="AG542" s="201"/>
      <c r="AH542" s="201"/>
      <c r="AI542" s="201"/>
      <c r="AJ542" s="201"/>
      <c r="AK542" s="122"/>
      <c r="AL542" s="122"/>
    </row>
    <row r="543">
      <c r="A543" s="115"/>
      <c r="B543" s="150"/>
      <c r="C543" s="89"/>
      <c r="D543" s="55"/>
      <c r="E543" s="115"/>
      <c r="F543" s="150"/>
      <c r="G543" s="188"/>
      <c r="H543" s="189"/>
      <c r="I543" s="115"/>
      <c r="J543" s="150"/>
      <c r="K543" s="89"/>
      <c r="L543" s="55"/>
      <c r="M543" s="115"/>
      <c r="N543" s="190"/>
      <c r="O543" s="89"/>
      <c r="P543" s="55"/>
      <c r="Q543" s="191"/>
      <c r="R543" s="192"/>
      <c r="S543" s="121"/>
      <c r="T543" s="122"/>
      <c r="U543" s="191"/>
      <c r="V543" s="192"/>
      <c r="W543" s="121"/>
      <c r="X543" s="122"/>
      <c r="Y543" s="115"/>
      <c r="Z543" s="193"/>
      <c r="AA543" s="194"/>
      <c r="AB543" s="195"/>
      <c r="AC543" s="115"/>
      <c r="AD543" s="192"/>
      <c r="AE543" s="196"/>
      <c r="AF543" s="197"/>
      <c r="AG543" s="201"/>
      <c r="AH543" s="201"/>
      <c r="AI543" s="201"/>
      <c r="AJ543" s="201"/>
      <c r="AK543" s="122"/>
      <c r="AL543" s="122"/>
    </row>
    <row r="544">
      <c r="A544" s="115"/>
      <c r="B544" s="150"/>
      <c r="C544" s="89"/>
      <c r="D544" s="55"/>
      <c r="E544" s="115"/>
      <c r="F544" s="150"/>
      <c r="G544" s="188"/>
      <c r="H544" s="189"/>
      <c r="I544" s="115"/>
      <c r="J544" s="150"/>
      <c r="K544" s="89"/>
      <c r="L544" s="55"/>
      <c r="M544" s="115"/>
      <c r="N544" s="190"/>
      <c r="O544" s="89"/>
      <c r="P544" s="55"/>
      <c r="Q544" s="191"/>
      <c r="R544" s="192"/>
      <c r="S544" s="121"/>
      <c r="T544" s="122"/>
      <c r="U544" s="191"/>
      <c r="V544" s="192"/>
      <c r="W544" s="121"/>
      <c r="X544" s="122"/>
      <c r="Y544" s="115"/>
      <c r="Z544" s="193"/>
      <c r="AA544" s="194"/>
      <c r="AB544" s="195"/>
      <c r="AC544" s="115"/>
      <c r="AD544" s="192"/>
      <c r="AE544" s="196"/>
      <c r="AF544" s="197"/>
      <c r="AG544" s="201"/>
      <c r="AH544" s="201"/>
      <c r="AI544" s="201"/>
      <c r="AJ544" s="201"/>
      <c r="AK544" s="122"/>
      <c r="AL544" s="122"/>
    </row>
    <row r="545">
      <c r="A545" s="115"/>
      <c r="B545" s="150"/>
      <c r="C545" s="89"/>
      <c r="D545" s="55"/>
      <c r="E545" s="115"/>
      <c r="F545" s="150"/>
      <c r="G545" s="188"/>
      <c r="H545" s="189"/>
      <c r="I545" s="115"/>
      <c r="J545" s="150"/>
      <c r="K545" s="89"/>
      <c r="L545" s="55"/>
      <c r="M545" s="115"/>
      <c r="N545" s="190"/>
      <c r="O545" s="89"/>
      <c r="P545" s="55"/>
      <c r="Q545" s="191"/>
      <c r="R545" s="192"/>
      <c r="S545" s="121"/>
      <c r="T545" s="122"/>
      <c r="U545" s="191"/>
      <c r="V545" s="192"/>
      <c r="W545" s="121"/>
      <c r="X545" s="122"/>
      <c r="Y545" s="115"/>
      <c r="Z545" s="193"/>
      <c r="AA545" s="194"/>
      <c r="AB545" s="195"/>
      <c r="AC545" s="115"/>
      <c r="AD545" s="192"/>
      <c r="AE545" s="196"/>
      <c r="AF545" s="197"/>
      <c r="AG545" s="201"/>
      <c r="AH545" s="201"/>
      <c r="AI545" s="201"/>
      <c r="AJ545" s="201"/>
      <c r="AK545" s="122"/>
      <c r="AL545" s="122"/>
    </row>
    <row r="546">
      <c r="A546" s="115"/>
      <c r="B546" s="150"/>
      <c r="C546" s="89"/>
      <c r="D546" s="55"/>
      <c r="E546" s="115"/>
      <c r="F546" s="150"/>
      <c r="G546" s="188"/>
      <c r="H546" s="189"/>
      <c r="I546" s="115"/>
      <c r="J546" s="150"/>
      <c r="K546" s="89"/>
      <c r="L546" s="55"/>
      <c r="M546" s="115"/>
      <c r="N546" s="190"/>
      <c r="O546" s="89"/>
      <c r="P546" s="55"/>
      <c r="Q546" s="191"/>
      <c r="R546" s="192"/>
      <c r="S546" s="121"/>
      <c r="T546" s="122"/>
      <c r="U546" s="191"/>
      <c r="V546" s="192"/>
      <c r="W546" s="121"/>
      <c r="X546" s="122"/>
      <c r="Y546" s="115"/>
      <c r="Z546" s="193"/>
      <c r="AA546" s="194"/>
      <c r="AB546" s="195"/>
      <c r="AC546" s="115"/>
      <c r="AD546" s="192"/>
      <c r="AE546" s="196"/>
      <c r="AF546" s="197"/>
      <c r="AG546" s="201"/>
      <c r="AH546" s="201"/>
      <c r="AI546" s="201"/>
      <c r="AJ546" s="201"/>
      <c r="AK546" s="122"/>
      <c r="AL546" s="122"/>
    </row>
    <row r="547">
      <c r="A547" s="115"/>
      <c r="B547" s="150"/>
      <c r="C547" s="89"/>
      <c r="D547" s="55"/>
      <c r="E547" s="115"/>
      <c r="F547" s="150"/>
      <c r="G547" s="188"/>
      <c r="H547" s="189"/>
      <c r="I547" s="115"/>
      <c r="J547" s="150"/>
      <c r="K547" s="89"/>
      <c r="L547" s="55"/>
      <c r="M547" s="115"/>
      <c r="N547" s="190"/>
      <c r="O547" s="89"/>
      <c r="P547" s="55"/>
      <c r="Q547" s="191"/>
      <c r="R547" s="192"/>
      <c r="S547" s="121"/>
      <c r="T547" s="122"/>
      <c r="U547" s="191"/>
      <c r="V547" s="192"/>
      <c r="W547" s="121"/>
      <c r="X547" s="122"/>
      <c r="Y547" s="115"/>
      <c r="Z547" s="193"/>
      <c r="AA547" s="194"/>
      <c r="AB547" s="195"/>
      <c r="AC547" s="115"/>
      <c r="AD547" s="192"/>
      <c r="AE547" s="196"/>
      <c r="AF547" s="197"/>
      <c r="AG547" s="201"/>
      <c r="AH547" s="201"/>
      <c r="AI547" s="201"/>
      <c r="AJ547" s="201"/>
      <c r="AK547" s="122"/>
      <c r="AL547" s="122"/>
    </row>
    <row r="548">
      <c r="A548" s="115"/>
      <c r="B548" s="150"/>
      <c r="C548" s="89"/>
      <c r="D548" s="55"/>
      <c r="E548" s="115"/>
      <c r="F548" s="150"/>
      <c r="G548" s="188"/>
      <c r="H548" s="189"/>
      <c r="I548" s="115"/>
      <c r="J548" s="150"/>
      <c r="K548" s="89"/>
      <c r="L548" s="55"/>
      <c r="M548" s="115"/>
      <c r="N548" s="190"/>
      <c r="O548" s="89"/>
      <c r="P548" s="55"/>
      <c r="Q548" s="191"/>
      <c r="R548" s="192"/>
      <c r="S548" s="121"/>
      <c r="T548" s="122"/>
      <c r="U548" s="191"/>
      <c r="V548" s="192"/>
      <c r="W548" s="121"/>
      <c r="X548" s="122"/>
      <c r="Y548" s="115"/>
      <c r="Z548" s="193"/>
      <c r="AA548" s="194"/>
      <c r="AB548" s="195"/>
      <c r="AC548" s="115"/>
      <c r="AD548" s="192"/>
      <c r="AE548" s="196"/>
      <c r="AF548" s="197"/>
      <c r="AG548" s="201"/>
      <c r="AH548" s="201"/>
      <c r="AI548" s="201"/>
      <c r="AJ548" s="201"/>
      <c r="AK548" s="122"/>
      <c r="AL548" s="122"/>
    </row>
    <row r="549">
      <c r="A549" s="115"/>
      <c r="B549" s="150"/>
      <c r="C549" s="89"/>
      <c r="D549" s="55"/>
      <c r="E549" s="115"/>
      <c r="F549" s="150"/>
      <c r="G549" s="188"/>
      <c r="H549" s="189"/>
      <c r="I549" s="115"/>
      <c r="J549" s="150"/>
      <c r="K549" s="89"/>
      <c r="L549" s="55"/>
      <c r="M549" s="115"/>
      <c r="N549" s="190"/>
      <c r="O549" s="89"/>
      <c r="P549" s="55"/>
      <c r="Q549" s="191"/>
      <c r="R549" s="192"/>
      <c r="S549" s="121"/>
      <c r="T549" s="122"/>
      <c r="U549" s="191"/>
      <c r="V549" s="192"/>
      <c r="W549" s="121"/>
      <c r="X549" s="122"/>
      <c r="Y549" s="115"/>
      <c r="Z549" s="193"/>
      <c r="AA549" s="194"/>
      <c r="AB549" s="195"/>
      <c r="AC549" s="115"/>
      <c r="AD549" s="192"/>
      <c r="AE549" s="196"/>
      <c r="AF549" s="197"/>
      <c r="AG549" s="201"/>
      <c r="AH549" s="201"/>
      <c r="AI549" s="201"/>
      <c r="AJ549" s="201"/>
      <c r="AK549" s="122"/>
      <c r="AL549" s="122"/>
    </row>
    <row r="550">
      <c r="A550" s="115"/>
      <c r="B550" s="150"/>
      <c r="C550" s="89"/>
      <c r="D550" s="55"/>
      <c r="E550" s="115"/>
      <c r="F550" s="150"/>
      <c r="G550" s="188"/>
      <c r="H550" s="189"/>
      <c r="I550" s="115"/>
      <c r="J550" s="150"/>
      <c r="K550" s="89"/>
      <c r="L550" s="55"/>
      <c r="M550" s="115"/>
      <c r="N550" s="190"/>
      <c r="O550" s="89"/>
      <c r="P550" s="55"/>
      <c r="Q550" s="191"/>
      <c r="R550" s="192"/>
      <c r="S550" s="121"/>
      <c r="T550" s="122"/>
      <c r="U550" s="191"/>
      <c r="V550" s="192"/>
      <c r="W550" s="121"/>
      <c r="X550" s="122"/>
      <c r="Y550" s="115"/>
      <c r="Z550" s="193"/>
      <c r="AA550" s="194"/>
      <c r="AB550" s="195"/>
      <c r="AC550" s="115"/>
      <c r="AD550" s="192"/>
      <c r="AE550" s="196"/>
      <c r="AF550" s="197"/>
      <c r="AG550" s="201"/>
      <c r="AH550" s="201"/>
      <c r="AI550" s="201"/>
      <c r="AJ550" s="201"/>
      <c r="AK550" s="122"/>
      <c r="AL550" s="122"/>
    </row>
    <row r="551">
      <c r="A551" s="115"/>
      <c r="B551" s="150"/>
      <c r="C551" s="89"/>
      <c r="D551" s="55"/>
      <c r="E551" s="115"/>
      <c r="F551" s="150"/>
      <c r="G551" s="188"/>
      <c r="H551" s="189"/>
      <c r="I551" s="115"/>
      <c r="J551" s="150"/>
      <c r="K551" s="89"/>
      <c r="L551" s="55"/>
      <c r="M551" s="115"/>
      <c r="N551" s="190"/>
      <c r="O551" s="89"/>
      <c r="P551" s="55"/>
      <c r="Q551" s="191"/>
      <c r="R551" s="192"/>
      <c r="S551" s="121"/>
      <c r="T551" s="122"/>
      <c r="U551" s="191"/>
      <c r="V551" s="192"/>
      <c r="W551" s="121"/>
      <c r="X551" s="122"/>
      <c r="Y551" s="115"/>
      <c r="Z551" s="193"/>
      <c r="AA551" s="194"/>
      <c r="AB551" s="195"/>
      <c r="AC551" s="115"/>
      <c r="AD551" s="192"/>
      <c r="AE551" s="196"/>
      <c r="AF551" s="197"/>
      <c r="AG551" s="201"/>
      <c r="AH551" s="201"/>
      <c r="AI551" s="201"/>
      <c r="AJ551" s="201"/>
      <c r="AK551" s="122"/>
      <c r="AL551" s="122"/>
    </row>
    <row r="552">
      <c r="A552" s="115"/>
      <c r="B552" s="150"/>
      <c r="C552" s="89"/>
      <c r="D552" s="55"/>
      <c r="E552" s="115"/>
      <c r="F552" s="150"/>
      <c r="G552" s="188"/>
      <c r="H552" s="189"/>
      <c r="I552" s="115"/>
      <c r="J552" s="150"/>
      <c r="K552" s="89"/>
      <c r="L552" s="55"/>
      <c r="M552" s="115"/>
      <c r="N552" s="190"/>
      <c r="O552" s="89"/>
      <c r="P552" s="55"/>
      <c r="Q552" s="191"/>
      <c r="R552" s="192"/>
      <c r="S552" s="121"/>
      <c r="T552" s="122"/>
      <c r="U552" s="191"/>
      <c r="V552" s="192"/>
      <c r="W552" s="121"/>
      <c r="X552" s="122"/>
      <c r="Y552" s="115"/>
      <c r="Z552" s="193"/>
      <c r="AA552" s="194"/>
      <c r="AB552" s="195"/>
      <c r="AC552" s="115"/>
      <c r="AD552" s="192"/>
      <c r="AE552" s="196"/>
      <c r="AF552" s="197"/>
      <c r="AG552" s="201"/>
      <c r="AH552" s="201"/>
      <c r="AI552" s="201"/>
      <c r="AJ552" s="201"/>
      <c r="AK552" s="122"/>
      <c r="AL552" s="122"/>
    </row>
    <row r="553">
      <c r="A553" s="115"/>
      <c r="B553" s="150"/>
      <c r="C553" s="89"/>
      <c r="D553" s="55"/>
      <c r="E553" s="115"/>
      <c r="F553" s="150"/>
      <c r="G553" s="188"/>
      <c r="H553" s="189"/>
      <c r="I553" s="115"/>
      <c r="J553" s="150"/>
      <c r="K553" s="89"/>
      <c r="L553" s="55"/>
      <c r="M553" s="115"/>
      <c r="N553" s="190"/>
      <c r="O553" s="89"/>
      <c r="P553" s="55"/>
      <c r="Q553" s="191"/>
      <c r="R553" s="192"/>
      <c r="S553" s="121"/>
      <c r="T553" s="122"/>
      <c r="U553" s="191"/>
      <c r="V553" s="192"/>
      <c r="W553" s="121"/>
      <c r="X553" s="122"/>
      <c r="Y553" s="115"/>
      <c r="Z553" s="193"/>
      <c r="AA553" s="194"/>
      <c r="AB553" s="195"/>
      <c r="AC553" s="115"/>
      <c r="AD553" s="192"/>
      <c r="AE553" s="196"/>
      <c r="AF553" s="197"/>
      <c r="AG553" s="201"/>
      <c r="AH553" s="201"/>
      <c r="AI553" s="201"/>
      <c r="AJ553" s="201"/>
      <c r="AK553" s="122"/>
      <c r="AL553" s="122"/>
    </row>
    <row r="554">
      <c r="A554" s="115"/>
      <c r="B554" s="150"/>
      <c r="C554" s="89"/>
      <c r="D554" s="55"/>
      <c r="E554" s="115"/>
      <c r="F554" s="150"/>
      <c r="G554" s="188"/>
      <c r="H554" s="189"/>
      <c r="I554" s="115"/>
      <c r="J554" s="150"/>
      <c r="K554" s="89"/>
      <c r="L554" s="55"/>
      <c r="M554" s="115"/>
      <c r="N554" s="190"/>
      <c r="O554" s="89"/>
      <c r="P554" s="55"/>
      <c r="Q554" s="191"/>
      <c r="R554" s="192"/>
      <c r="S554" s="121"/>
      <c r="T554" s="122"/>
      <c r="U554" s="191"/>
      <c r="V554" s="192"/>
      <c r="W554" s="121"/>
      <c r="X554" s="122"/>
      <c r="Y554" s="115"/>
      <c r="Z554" s="193"/>
      <c r="AA554" s="194"/>
      <c r="AB554" s="195"/>
      <c r="AC554" s="115"/>
      <c r="AD554" s="192"/>
      <c r="AE554" s="196"/>
      <c r="AF554" s="197"/>
      <c r="AG554" s="201"/>
      <c r="AH554" s="201"/>
      <c r="AI554" s="201"/>
      <c r="AJ554" s="201"/>
      <c r="AK554" s="122"/>
      <c r="AL554" s="122"/>
    </row>
    <row r="555">
      <c r="A555" s="115"/>
      <c r="B555" s="150"/>
      <c r="C555" s="89"/>
      <c r="D555" s="55"/>
      <c r="E555" s="115"/>
      <c r="F555" s="150"/>
      <c r="G555" s="188"/>
      <c r="H555" s="189"/>
      <c r="I555" s="115"/>
      <c r="J555" s="150"/>
      <c r="K555" s="89"/>
      <c r="L555" s="55"/>
      <c r="M555" s="115"/>
      <c r="N555" s="190"/>
      <c r="O555" s="89"/>
      <c r="P555" s="55"/>
      <c r="Q555" s="191"/>
      <c r="R555" s="192"/>
      <c r="S555" s="121"/>
      <c r="T555" s="122"/>
      <c r="U555" s="191"/>
      <c r="V555" s="192"/>
      <c r="W555" s="121"/>
      <c r="X555" s="122"/>
      <c r="Y555" s="115"/>
      <c r="Z555" s="193"/>
      <c r="AA555" s="194"/>
      <c r="AB555" s="195"/>
      <c r="AC555" s="115"/>
      <c r="AD555" s="192"/>
      <c r="AE555" s="196"/>
      <c r="AF555" s="197"/>
      <c r="AG555" s="201"/>
      <c r="AH555" s="201"/>
      <c r="AI555" s="201"/>
      <c r="AJ555" s="201"/>
      <c r="AK555" s="122"/>
      <c r="AL555" s="122"/>
    </row>
    <row r="556">
      <c r="A556" s="115"/>
      <c r="B556" s="150"/>
      <c r="C556" s="89"/>
      <c r="D556" s="55"/>
      <c r="E556" s="115"/>
      <c r="F556" s="150"/>
      <c r="G556" s="188"/>
      <c r="H556" s="189"/>
      <c r="I556" s="115"/>
      <c r="J556" s="150"/>
      <c r="K556" s="89"/>
      <c r="L556" s="55"/>
      <c r="M556" s="115"/>
      <c r="N556" s="190"/>
      <c r="O556" s="89"/>
      <c r="P556" s="55"/>
      <c r="Q556" s="191"/>
      <c r="R556" s="192"/>
      <c r="S556" s="121"/>
      <c r="T556" s="122"/>
      <c r="U556" s="191"/>
      <c r="V556" s="192"/>
      <c r="W556" s="121"/>
      <c r="X556" s="122"/>
      <c r="Y556" s="115"/>
      <c r="Z556" s="193"/>
      <c r="AA556" s="194"/>
      <c r="AB556" s="195"/>
      <c r="AC556" s="115"/>
      <c r="AD556" s="192"/>
      <c r="AE556" s="196"/>
      <c r="AF556" s="197"/>
      <c r="AG556" s="201"/>
      <c r="AH556" s="201"/>
      <c r="AI556" s="201"/>
      <c r="AJ556" s="201"/>
      <c r="AK556" s="122"/>
      <c r="AL556" s="122"/>
    </row>
    <row r="557">
      <c r="A557" s="115"/>
      <c r="B557" s="150"/>
      <c r="C557" s="89"/>
      <c r="D557" s="55"/>
      <c r="E557" s="115"/>
      <c r="F557" s="150"/>
      <c r="G557" s="188"/>
      <c r="H557" s="189"/>
      <c r="I557" s="115"/>
      <c r="J557" s="150"/>
      <c r="K557" s="89"/>
      <c r="L557" s="55"/>
      <c r="M557" s="115"/>
      <c r="N557" s="190"/>
      <c r="O557" s="89"/>
      <c r="P557" s="55"/>
      <c r="Q557" s="191"/>
      <c r="R557" s="192"/>
      <c r="S557" s="121"/>
      <c r="T557" s="122"/>
      <c r="U557" s="191"/>
      <c r="V557" s="192"/>
      <c r="W557" s="121"/>
      <c r="X557" s="122"/>
      <c r="Y557" s="115"/>
      <c r="Z557" s="193"/>
      <c r="AA557" s="194"/>
      <c r="AB557" s="195"/>
      <c r="AC557" s="115"/>
      <c r="AD557" s="192"/>
      <c r="AE557" s="196"/>
      <c r="AF557" s="197"/>
      <c r="AG557" s="201"/>
      <c r="AH557" s="201"/>
      <c r="AI557" s="201"/>
      <c r="AJ557" s="201"/>
      <c r="AK557" s="122"/>
      <c r="AL557" s="122"/>
    </row>
    <row r="558">
      <c r="A558" s="115"/>
      <c r="B558" s="150"/>
      <c r="C558" s="89"/>
      <c r="D558" s="55"/>
      <c r="E558" s="115"/>
      <c r="F558" s="150"/>
      <c r="G558" s="188"/>
      <c r="H558" s="189"/>
      <c r="I558" s="115"/>
      <c r="J558" s="150"/>
      <c r="K558" s="89"/>
      <c r="L558" s="55"/>
      <c r="M558" s="115"/>
      <c r="N558" s="190"/>
      <c r="O558" s="89"/>
      <c r="P558" s="55"/>
      <c r="Q558" s="191"/>
      <c r="R558" s="192"/>
      <c r="S558" s="121"/>
      <c r="T558" s="122"/>
      <c r="U558" s="191"/>
      <c r="V558" s="192"/>
      <c r="W558" s="121"/>
      <c r="X558" s="122"/>
      <c r="Y558" s="115"/>
      <c r="Z558" s="193"/>
      <c r="AA558" s="194"/>
      <c r="AB558" s="195"/>
      <c r="AC558" s="115"/>
      <c r="AD558" s="192"/>
      <c r="AE558" s="196"/>
      <c r="AF558" s="197"/>
      <c r="AG558" s="201"/>
      <c r="AH558" s="201"/>
      <c r="AI558" s="201"/>
      <c r="AJ558" s="201"/>
      <c r="AK558" s="122"/>
      <c r="AL558" s="122"/>
    </row>
    <row r="559">
      <c r="A559" s="115"/>
      <c r="B559" s="150"/>
      <c r="C559" s="89"/>
      <c r="D559" s="55"/>
      <c r="E559" s="115"/>
      <c r="F559" s="150"/>
      <c r="G559" s="188"/>
      <c r="H559" s="189"/>
      <c r="I559" s="115"/>
      <c r="J559" s="150"/>
      <c r="K559" s="89"/>
      <c r="L559" s="55"/>
      <c r="M559" s="115"/>
      <c r="N559" s="190"/>
      <c r="O559" s="89"/>
      <c r="P559" s="55"/>
      <c r="Q559" s="191"/>
      <c r="R559" s="192"/>
      <c r="S559" s="121"/>
      <c r="T559" s="122"/>
      <c r="U559" s="191"/>
      <c r="V559" s="192"/>
      <c r="W559" s="121"/>
      <c r="X559" s="122"/>
      <c r="Y559" s="115"/>
      <c r="Z559" s="193"/>
      <c r="AA559" s="194"/>
      <c r="AB559" s="195"/>
      <c r="AC559" s="115"/>
      <c r="AD559" s="192"/>
      <c r="AE559" s="196"/>
      <c r="AF559" s="197"/>
      <c r="AG559" s="201"/>
      <c r="AH559" s="201"/>
      <c r="AI559" s="201"/>
      <c r="AJ559" s="201"/>
      <c r="AK559" s="122"/>
      <c r="AL559" s="122"/>
    </row>
    <row r="560">
      <c r="A560" s="115"/>
      <c r="B560" s="150"/>
      <c r="C560" s="89"/>
      <c r="D560" s="55"/>
      <c r="E560" s="115"/>
      <c r="F560" s="150"/>
      <c r="G560" s="188"/>
      <c r="H560" s="189"/>
      <c r="I560" s="115"/>
      <c r="J560" s="150"/>
      <c r="K560" s="89"/>
      <c r="L560" s="55"/>
      <c r="M560" s="115"/>
      <c r="N560" s="190"/>
      <c r="O560" s="89"/>
      <c r="P560" s="55"/>
      <c r="Q560" s="191"/>
      <c r="R560" s="192"/>
      <c r="S560" s="121"/>
      <c r="T560" s="122"/>
      <c r="U560" s="191"/>
      <c r="V560" s="192"/>
      <c r="W560" s="121"/>
      <c r="X560" s="122"/>
      <c r="Y560" s="115"/>
      <c r="Z560" s="193"/>
      <c r="AA560" s="194"/>
      <c r="AB560" s="195"/>
      <c r="AC560" s="115"/>
      <c r="AD560" s="192"/>
      <c r="AE560" s="196"/>
      <c r="AF560" s="197"/>
      <c r="AG560" s="201"/>
      <c r="AH560" s="201"/>
      <c r="AI560" s="201"/>
      <c r="AJ560" s="201"/>
      <c r="AK560" s="122"/>
      <c r="AL560" s="122"/>
    </row>
    <row r="561">
      <c r="A561" s="115"/>
      <c r="B561" s="150"/>
      <c r="C561" s="89"/>
      <c r="D561" s="55"/>
      <c r="E561" s="115"/>
      <c r="F561" s="150"/>
      <c r="G561" s="188"/>
      <c r="H561" s="189"/>
      <c r="I561" s="115"/>
      <c r="J561" s="150"/>
      <c r="K561" s="89"/>
      <c r="L561" s="55"/>
      <c r="M561" s="115"/>
      <c r="N561" s="190"/>
      <c r="O561" s="89"/>
      <c r="P561" s="55"/>
      <c r="Q561" s="191"/>
      <c r="R561" s="192"/>
      <c r="S561" s="121"/>
      <c r="T561" s="122"/>
      <c r="U561" s="191"/>
      <c r="V561" s="192"/>
      <c r="W561" s="121"/>
      <c r="X561" s="122"/>
      <c r="Y561" s="115"/>
      <c r="Z561" s="193"/>
      <c r="AA561" s="194"/>
      <c r="AB561" s="195"/>
      <c r="AC561" s="115"/>
      <c r="AD561" s="192"/>
      <c r="AE561" s="196"/>
      <c r="AF561" s="197"/>
      <c r="AG561" s="201"/>
      <c r="AH561" s="201"/>
      <c r="AI561" s="201"/>
      <c r="AJ561" s="201"/>
      <c r="AK561" s="122"/>
      <c r="AL561" s="122"/>
    </row>
    <row r="562">
      <c r="A562" s="115"/>
      <c r="B562" s="150"/>
      <c r="C562" s="89"/>
      <c r="D562" s="55"/>
      <c r="E562" s="115"/>
      <c r="F562" s="150"/>
      <c r="G562" s="188"/>
      <c r="H562" s="189"/>
      <c r="I562" s="115"/>
      <c r="J562" s="150"/>
      <c r="K562" s="89"/>
      <c r="L562" s="55"/>
      <c r="M562" s="115"/>
      <c r="N562" s="190"/>
      <c r="O562" s="89"/>
      <c r="P562" s="55"/>
      <c r="Q562" s="191"/>
      <c r="R562" s="192"/>
      <c r="S562" s="121"/>
      <c r="T562" s="122"/>
      <c r="U562" s="191"/>
      <c r="V562" s="192"/>
      <c r="W562" s="121"/>
      <c r="X562" s="122"/>
      <c r="Y562" s="115"/>
      <c r="Z562" s="193"/>
      <c r="AA562" s="194"/>
      <c r="AB562" s="195"/>
      <c r="AC562" s="115"/>
      <c r="AD562" s="192"/>
      <c r="AE562" s="196"/>
      <c r="AF562" s="197"/>
      <c r="AG562" s="201"/>
      <c r="AH562" s="201"/>
      <c r="AI562" s="201"/>
      <c r="AJ562" s="201"/>
      <c r="AK562" s="122"/>
      <c r="AL562" s="122"/>
    </row>
    <row r="563">
      <c r="A563" s="115"/>
      <c r="B563" s="150"/>
      <c r="C563" s="89"/>
      <c r="D563" s="55"/>
      <c r="E563" s="115"/>
      <c r="F563" s="150"/>
      <c r="G563" s="188"/>
      <c r="H563" s="189"/>
      <c r="I563" s="115"/>
      <c r="J563" s="150"/>
      <c r="K563" s="89"/>
      <c r="L563" s="55"/>
      <c r="M563" s="115"/>
      <c r="N563" s="190"/>
      <c r="O563" s="89"/>
      <c r="P563" s="55"/>
      <c r="Q563" s="191"/>
      <c r="R563" s="192"/>
      <c r="S563" s="121"/>
      <c r="T563" s="122"/>
      <c r="U563" s="191"/>
      <c r="V563" s="192"/>
      <c r="W563" s="121"/>
      <c r="X563" s="122"/>
      <c r="Y563" s="115"/>
      <c r="Z563" s="193"/>
      <c r="AA563" s="194"/>
      <c r="AB563" s="195"/>
      <c r="AC563" s="115"/>
      <c r="AD563" s="192"/>
      <c r="AE563" s="196"/>
      <c r="AF563" s="197"/>
      <c r="AG563" s="201"/>
      <c r="AH563" s="201"/>
      <c r="AI563" s="201"/>
      <c r="AJ563" s="201"/>
      <c r="AK563" s="122"/>
      <c r="AL563" s="122"/>
    </row>
    <row r="564">
      <c r="A564" s="115"/>
      <c r="B564" s="150"/>
      <c r="C564" s="89"/>
      <c r="D564" s="55"/>
      <c r="E564" s="115"/>
      <c r="F564" s="150"/>
      <c r="G564" s="188"/>
      <c r="H564" s="189"/>
      <c r="I564" s="115"/>
      <c r="J564" s="150"/>
      <c r="K564" s="89"/>
      <c r="L564" s="55"/>
      <c r="M564" s="115"/>
      <c r="N564" s="190"/>
      <c r="O564" s="89"/>
      <c r="P564" s="55"/>
      <c r="Q564" s="191"/>
      <c r="R564" s="192"/>
      <c r="S564" s="121"/>
      <c r="T564" s="122"/>
      <c r="U564" s="191"/>
      <c r="V564" s="192"/>
      <c r="W564" s="121"/>
      <c r="X564" s="122"/>
      <c r="Y564" s="115"/>
      <c r="Z564" s="193"/>
      <c r="AA564" s="194"/>
      <c r="AB564" s="195"/>
      <c r="AC564" s="115"/>
      <c r="AD564" s="192"/>
      <c r="AE564" s="196"/>
      <c r="AF564" s="197"/>
      <c r="AG564" s="201"/>
      <c r="AH564" s="201"/>
      <c r="AI564" s="201"/>
      <c r="AJ564" s="201"/>
      <c r="AK564" s="122"/>
      <c r="AL564" s="122"/>
    </row>
    <row r="565">
      <c r="A565" s="115"/>
      <c r="B565" s="150"/>
      <c r="C565" s="89"/>
      <c r="D565" s="55"/>
      <c r="E565" s="115"/>
      <c r="F565" s="150"/>
      <c r="G565" s="188"/>
      <c r="H565" s="189"/>
      <c r="I565" s="115"/>
      <c r="J565" s="150"/>
      <c r="K565" s="89"/>
      <c r="L565" s="55"/>
      <c r="M565" s="115"/>
      <c r="N565" s="190"/>
      <c r="O565" s="89"/>
      <c r="P565" s="55"/>
      <c r="Q565" s="191"/>
      <c r="R565" s="192"/>
      <c r="S565" s="121"/>
      <c r="T565" s="122"/>
      <c r="U565" s="191"/>
      <c r="V565" s="192"/>
      <c r="W565" s="121"/>
      <c r="X565" s="122"/>
      <c r="Y565" s="115"/>
      <c r="Z565" s="193"/>
      <c r="AA565" s="194"/>
      <c r="AB565" s="195"/>
      <c r="AC565" s="115"/>
      <c r="AD565" s="192"/>
      <c r="AE565" s="196"/>
      <c r="AF565" s="197"/>
      <c r="AG565" s="201"/>
      <c r="AH565" s="201"/>
      <c r="AI565" s="201"/>
      <c r="AJ565" s="201"/>
      <c r="AK565" s="122"/>
      <c r="AL565" s="122"/>
    </row>
    <row r="566">
      <c r="A566" s="115"/>
      <c r="B566" s="150"/>
      <c r="C566" s="89"/>
      <c r="D566" s="55"/>
      <c r="E566" s="115"/>
      <c r="F566" s="150"/>
      <c r="G566" s="188"/>
      <c r="H566" s="189"/>
      <c r="I566" s="115"/>
      <c r="J566" s="150"/>
      <c r="K566" s="89"/>
      <c r="L566" s="55"/>
      <c r="M566" s="115"/>
      <c r="N566" s="190"/>
      <c r="O566" s="89"/>
      <c r="P566" s="55"/>
      <c r="Q566" s="191"/>
      <c r="R566" s="192"/>
      <c r="S566" s="121"/>
      <c r="T566" s="122"/>
      <c r="U566" s="191"/>
      <c r="V566" s="192"/>
      <c r="W566" s="121"/>
      <c r="X566" s="122"/>
      <c r="Y566" s="115"/>
      <c r="Z566" s="193"/>
      <c r="AA566" s="194"/>
      <c r="AB566" s="195"/>
      <c r="AC566" s="115"/>
      <c r="AD566" s="192"/>
      <c r="AE566" s="196"/>
      <c r="AF566" s="197"/>
      <c r="AG566" s="201"/>
      <c r="AH566" s="201"/>
      <c r="AI566" s="201"/>
      <c r="AJ566" s="201"/>
      <c r="AK566" s="122"/>
      <c r="AL566" s="122"/>
    </row>
    <row r="567">
      <c r="A567" s="115"/>
      <c r="B567" s="150"/>
      <c r="C567" s="89"/>
      <c r="D567" s="55"/>
      <c r="E567" s="115"/>
      <c r="F567" s="150"/>
      <c r="G567" s="188"/>
      <c r="H567" s="189"/>
      <c r="I567" s="115"/>
      <c r="J567" s="150"/>
      <c r="K567" s="89"/>
      <c r="L567" s="55"/>
      <c r="M567" s="115"/>
      <c r="N567" s="190"/>
      <c r="O567" s="89"/>
      <c r="P567" s="55"/>
      <c r="Q567" s="191"/>
      <c r="R567" s="192"/>
      <c r="S567" s="121"/>
      <c r="T567" s="122"/>
      <c r="U567" s="191"/>
      <c r="V567" s="192"/>
      <c r="W567" s="121"/>
      <c r="X567" s="122"/>
      <c r="Y567" s="115"/>
      <c r="Z567" s="193"/>
      <c r="AA567" s="194"/>
      <c r="AB567" s="195"/>
      <c r="AC567" s="115"/>
      <c r="AD567" s="192"/>
      <c r="AE567" s="196"/>
      <c r="AF567" s="197"/>
      <c r="AG567" s="201"/>
      <c r="AH567" s="201"/>
      <c r="AI567" s="201"/>
      <c r="AJ567" s="201"/>
      <c r="AK567" s="122"/>
      <c r="AL567" s="122"/>
    </row>
    <row r="568">
      <c r="A568" s="115"/>
      <c r="B568" s="150"/>
      <c r="C568" s="89"/>
      <c r="D568" s="55"/>
      <c r="E568" s="115"/>
      <c r="F568" s="150"/>
      <c r="G568" s="188"/>
      <c r="H568" s="189"/>
      <c r="I568" s="115"/>
      <c r="J568" s="150"/>
      <c r="K568" s="89"/>
      <c r="L568" s="55"/>
      <c r="M568" s="115"/>
      <c r="N568" s="190"/>
      <c r="O568" s="89"/>
      <c r="P568" s="55"/>
      <c r="Q568" s="191"/>
      <c r="R568" s="192"/>
      <c r="S568" s="121"/>
      <c r="T568" s="122"/>
      <c r="U568" s="191"/>
      <c r="V568" s="192"/>
      <c r="W568" s="121"/>
      <c r="X568" s="122"/>
      <c r="Y568" s="115"/>
      <c r="Z568" s="193"/>
      <c r="AA568" s="194"/>
      <c r="AB568" s="195"/>
      <c r="AC568" s="115"/>
      <c r="AD568" s="192"/>
      <c r="AE568" s="196"/>
      <c r="AF568" s="197"/>
      <c r="AG568" s="201"/>
      <c r="AH568" s="201"/>
      <c r="AI568" s="201"/>
      <c r="AJ568" s="201"/>
      <c r="AK568" s="122"/>
      <c r="AL568" s="122"/>
    </row>
    <row r="569">
      <c r="A569" s="115"/>
      <c r="B569" s="150"/>
      <c r="C569" s="89"/>
      <c r="D569" s="55"/>
      <c r="E569" s="115"/>
      <c r="F569" s="150"/>
      <c r="G569" s="188"/>
      <c r="H569" s="189"/>
      <c r="I569" s="115"/>
      <c r="J569" s="150"/>
      <c r="K569" s="89"/>
      <c r="L569" s="55"/>
      <c r="M569" s="115"/>
      <c r="N569" s="190"/>
      <c r="O569" s="89"/>
      <c r="P569" s="55"/>
      <c r="Q569" s="191"/>
      <c r="R569" s="192"/>
      <c r="S569" s="121"/>
      <c r="T569" s="122"/>
      <c r="U569" s="191"/>
      <c r="V569" s="192"/>
      <c r="W569" s="121"/>
      <c r="X569" s="122"/>
      <c r="Y569" s="115"/>
      <c r="Z569" s="193"/>
      <c r="AA569" s="194"/>
      <c r="AB569" s="195"/>
      <c r="AC569" s="115"/>
      <c r="AD569" s="192"/>
      <c r="AE569" s="196"/>
      <c r="AF569" s="197"/>
      <c r="AG569" s="201"/>
      <c r="AH569" s="201"/>
      <c r="AI569" s="201"/>
      <c r="AJ569" s="201"/>
      <c r="AK569" s="122"/>
      <c r="AL569" s="122"/>
    </row>
    <row r="570">
      <c r="A570" s="115"/>
      <c r="B570" s="150"/>
      <c r="C570" s="89"/>
      <c r="D570" s="55"/>
      <c r="E570" s="115"/>
      <c r="F570" s="150"/>
      <c r="G570" s="188"/>
      <c r="H570" s="189"/>
      <c r="I570" s="115"/>
      <c r="J570" s="150"/>
      <c r="K570" s="89"/>
      <c r="L570" s="55"/>
      <c r="M570" s="115"/>
      <c r="N570" s="190"/>
      <c r="O570" s="89"/>
      <c r="P570" s="55"/>
      <c r="Q570" s="191"/>
      <c r="R570" s="192"/>
      <c r="S570" s="121"/>
      <c r="T570" s="122"/>
      <c r="U570" s="191"/>
      <c r="V570" s="192"/>
      <c r="W570" s="121"/>
      <c r="X570" s="122"/>
      <c r="Y570" s="115"/>
      <c r="Z570" s="193"/>
      <c r="AA570" s="194"/>
      <c r="AB570" s="195"/>
      <c r="AC570" s="115"/>
      <c r="AD570" s="192"/>
      <c r="AE570" s="196"/>
      <c r="AF570" s="197"/>
      <c r="AG570" s="201"/>
      <c r="AH570" s="201"/>
      <c r="AI570" s="201"/>
      <c r="AJ570" s="201"/>
      <c r="AK570" s="122"/>
      <c r="AL570" s="122"/>
    </row>
    <row r="571">
      <c r="A571" s="115"/>
      <c r="B571" s="150"/>
      <c r="C571" s="89"/>
      <c r="D571" s="55"/>
      <c r="E571" s="115"/>
      <c r="F571" s="150"/>
      <c r="G571" s="188"/>
      <c r="H571" s="189"/>
      <c r="I571" s="115"/>
      <c r="J571" s="150"/>
      <c r="K571" s="89"/>
      <c r="L571" s="55"/>
      <c r="M571" s="115"/>
      <c r="N571" s="190"/>
      <c r="O571" s="89"/>
      <c r="P571" s="55"/>
      <c r="Q571" s="191"/>
      <c r="R571" s="192"/>
      <c r="S571" s="121"/>
      <c r="T571" s="122"/>
      <c r="U571" s="191"/>
      <c r="V571" s="192"/>
      <c r="W571" s="121"/>
      <c r="X571" s="122"/>
      <c r="Y571" s="115"/>
      <c r="Z571" s="193"/>
      <c r="AA571" s="194"/>
      <c r="AB571" s="195"/>
      <c r="AC571" s="115"/>
      <c r="AD571" s="192"/>
      <c r="AE571" s="196"/>
      <c r="AF571" s="197"/>
      <c r="AG571" s="201"/>
      <c r="AH571" s="201"/>
      <c r="AI571" s="201"/>
      <c r="AJ571" s="201"/>
      <c r="AK571" s="122"/>
      <c r="AL571" s="122"/>
    </row>
    <row r="572">
      <c r="A572" s="115"/>
      <c r="B572" s="150"/>
      <c r="C572" s="89"/>
      <c r="D572" s="55"/>
      <c r="E572" s="115"/>
      <c r="F572" s="150"/>
      <c r="G572" s="188"/>
      <c r="H572" s="189"/>
      <c r="I572" s="115"/>
      <c r="J572" s="150"/>
      <c r="K572" s="89"/>
      <c r="L572" s="55"/>
      <c r="M572" s="115"/>
      <c r="N572" s="190"/>
      <c r="O572" s="89"/>
      <c r="P572" s="55"/>
      <c r="Q572" s="191"/>
      <c r="R572" s="192"/>
      <c r="S572" s="121"/>
      <c r="T572" s="122"/>
      <c r="U572" s="191"/>
      <c r="V572" s="192"/>
      <c r="W572" s="121"/>
      <c r="X572" s="122"/>
      <c r="Y572" s="115"/>
      <c r="Z572" s="193"/>
      <c r="AA572" s="194"/>
      <c r="AB572" s="195"/>
      <c r="AC572" s="115"/>
      <c r="AD572" s="192"/>
      <c r="AE572" s="196"/>
      <c r="AF572" s="197"/>
      <c r="AG572" s="201"/>
      <c r="AH572" s="201"/>
      <c r="AI572" s="201"/>
      <c r="AJ572" s="201"/>
      <c r="AK572" s="122"/>
      <c r="AL572" s="122"/>
    </row>
    <row r="573">
      <c r="A573" s="115"/>
      <c r="B573" s="150"/>
      <c r="C573" s="89"/>
      <c r="D573" s="55"/>
      <c r="E573" s="115"/>
      <c r="F573" s="150"/>
      <c r="G573" s="188"/>
      <c r="H573" s="189"/>
      <c r="I573" s="115"/>
      <c r="J573" s="150"/>
      <c r="K573" s="89"/>
      <c r="L573" s="55"/>
      <c r="M573" s="115"/>
      <c r="N573" s="190"/>
      <c r="O573" s="89"/>
      <c r="P573" s="55"/>
      <c r="Q573" s="191"/>
      <c r="R573" s="192"/>
      <c r="S573" s="121"/>
      <c r="T573" s="122"/>
      <c r="U573" s="191"/>
      <c r="V573" s="192"/>
      <c r="W573" s="121"/>
      <c r="X573" s="122"/>
      <c r="Y573" s="115"/>
      <c r="Z573" s="193"/>
      <c r="AA573" s="194"/>
      <c r="AB573" s="195"/>
      <c r="AC573" s="115"/>
      <c r="AD573" s="192"/>
      <c r="AE573" s="196"/>
      <c r="AF573" s="197"/>
      <c r="AG573" s="201"/>
      <c r="AH573" s="201"/>
      <c r="AI573" s="201"/>
      <c r="AJ573" s="201"/>
      <c r="AK573" s="122"/>
      <c r="AL573" s="122"/>
    </row>
    <row r="574">
      <c r="A574" s="115"/>
      <c r="B574" s="150"/>
      <c r="C574" s="89"/>
      <c r="D574" s="55"/>
      <c r="E574" s="115"/>
      <c r="F574" s="150"/>
      <c r="G574" s="188"/>
      <c r="H574" s="189"/>
      <c r="I574" s="115"/>
      <c r="J574" s="150"/>
      <c r="K574" s="89"/>
      <c r="L574" s="55"/>
      <c r="M574" s="115"/>
      <c r="N574" s="190"/>
      <c r="O574" s="89"/>
      <c r="P574" s="55"/>
      <c r="Q574" s="191"/>
      <c r="R574" s="192"/>
      <c r="S574" s="121"/>
      <c r="T574" s="122"/>
      <c r="U574" s="191"/>
      <c r="V574" s="192"/>
      <c r="W574" s="121"/>
      <c r="X574" s="122"/>
      <c r="Y574" s="115"/>
      <c r="Z574" s="193"/>
      <c r="AA574" s="194"/>
      <c r="AB574" s="195"/>
      <c r="AC574" s="115"/>
      <c r="AD574" s="192"/>
      <c r="AE574" s="196"/>
      <c r="AF574" s="197"/>
      <c r="AG574" s="201"/>
      <c r="AH574" s="201"/>
      <c r="AI574" s="201"/>
      <c r="AJ574" s="201"/>
      <c r="AK574" s="122"/>
      <c r="AL574" s="122"/>
    </row>
    <row r="575">
      <c r="A575" s="115"/>
      <c r="B575" s="150"/>
      <c r="C575" s="89"/>
      <c r="D575" s="55"/>
      <c r="E575" s="115"/>
      <c r="F575" s="150"/>
      <c r="G575" s="188"/>
      <c r="H575" s="189"/>
      <c r="I575" s="115"/>
      <c r="J575" s="150"/>
      <c r="K575" s="89"/>
      <c r="L575" s="55"/>
      <c r="M575" s="115"/>
      <c r="N575" s="190"/>
      <c r="O575" s="89"/>
      <c r="P575" s="55"/>
      <c r="Q575" s="191"/>
      <c r="R575" s="192"/>
      <c r="S575" s="121"/>
      <c r="T575" s="122"/>
      <c r="U575" s="191"/>
      <c r="V575" s="192"/>
      <c r="W575" s="121"/>
      <c r="X575" s="122"/>
      <c r="Y575" s="115"/>
      <c r="Z575" s="193"/>
      <c r="AA575" s="194"/>
      <c r="AB575" s="195"/>
      <c r="AC575" s="115"/>
      <c r="AD575" s="192"/>
      <c r="AE575" s="196"/>
      <c r="AF575" s="197"/>
      <c r="AG575" s="201"/>
      <c r="AH575" s="201"/>
      <c r="AI575" s="201"/>
      <c r="AJ575" s="201"/>
      <c r="AK575" s="122"/>
      <c r="AL575" s="122"/>
    </row>
    <row r="576">
      <c r="A576" s="115"/>
      <c r="B576" s="150"/>
      <c r="C576" s="89"/>
      <c r="D576" s="55"/>
      <c r="E576" s="115"/>
      <c r="F576" s="150"/>
      <c r="G576" s="188"/>
      <c r="H576" s="189"/>
      <c r="I576" s="115"/>
      <c r="J576" s="150"/>
      <c r="K576" s="89"/>
      <c r="L576" s="55"/>
      <c r="M576" s="115"/>
      <c r="N576" s="190"/>
      <c r="O576" s="89"/>
      <c r="P576" s="55"/>
      <c r="Q576" s="191"/>
      <c r="R576" s="192"/>
      <c r="S576" s="121"/>
      <c r="T576" s="122"/>
      <c r="U576" s="191"/>
      <c r="V576" s="192"/>
      <c r="W576" s="121"/>
      <c r="X576" s="122"/>
      <c r="Y576" s="115"/>
      <c r="Z576" s="193"/>
      <c r="AA576" s="194"/>
      <c r="AB576" s="195"/>
      <c r="AC576" s="115"/>
      <c r="AD576" s="192"/>
      <c r="AE576" s="196"/>
      <c r="AF576" s="197"/>
      <c r="AG576" s="201"/>
      <c r="AH576" s="201"/>
      <c r="AI576" s="201"/>
      <c r="AJ576" s="201"/>
      <c r="AK576" s="122"/>
      <c r="AL576" s="122"/>
    </row>
    <row r="577">
      <c r="A577" s="115"/>
      <c r="B577" s="150"/>
      <c r="C577" s="89"/>
      <c r="D577" s="55"/>
      <c r="E577" s="115"/>
      <c r="F577" s="150"/>
      <c r="G577" s="188"/>
      <c r="H577" s="189"/>
      <c r="I577" s="115"/>
      <c r="J577" s="150"/>
      <c r="K577" s="89"/>
      <c r="L577" s="55"/>
      <c r="M577" s="115"/>
      <c r="N577" s="190"/>
      <c r="O577" s="89"/>
      <c r="P577" s="55"/>
      <c r="Q577" s="191"/>
      <c r="R577" s="192"/>
      <c r="S577" s="121"/>
      <c r="T577" s="122"/>
      <c r="U577" s="191"/>
      <c r="V577" s="192"/>
      <c r="W577" s="121"/>
      <c r="X577" s="122"/>
      <c r="Y577" s="115"/>
      <c r="Z577" s="193"/>
      <c r="AA577" s="194"/>
      <c r="AB577" s="195"/>
      <c r="AC577" s="115"/>
      <c r="AD577" s="192"/>
      <c r="AE577" s="196"/>
      <c r="AF577" s="197"/>
      <c r="AG577" s="201"/>
      <c r="AH577" s="201"/>
      <c r="AI577" s="201"/>
      <c r="AJ577" s="201"/>
      <c r="AK577" s="122"/>
      <c r="AL577" s="122"/>
    </row>
    <row r="578">
      <c r="A578" s="115"/>
      <c r="B578" s="150"/>
      <c r="C578" s="89"/>
      <c r="D578" s="55"/>
      <c r="E578" s="115"/>
      <c r="F578" s="150"/>
      <c r="G578" s="188"/>
      <c r="H578" s="189"/>
      <c r="I578" s="115"/>
      <c r="J578" s="150"/>
      <c r="K578" s="89"/>
      <c r="L578" s="55"/>
      <c r="M578" s="115"/>
      <c r="N578" s="190"/>
      <c r="O578" s="89"/>
      <c r="P578" s="55"/>
      <c r="Q578" s="191"/>
      <c r="R578" s="192"/>
      <c r="S578" s="121"/>
      <c r="T578" s="122"/>
      <c r="U578" s="191"/>
      <c r="V578" s="192"/>
      <c r="W578" s="121"/>
      <c r="X578" s="122"/>
      <c r="Y578" s="115"/>
      <c r="Z578" s="193"/>
      <c r="AA578" s="194"/>
      <c r="AB578" s="195"/>
      <c r="AC578" s="115"/>
      <c r="AD578" s="192"/>
      <c r="AE578" s="196"/>
      <c r="AF578" s="197"/>
      <c r="AG578" s="201"/>
      <c r="AH578" s="201"/>
      <c r="AI578" s="201"/>
      <c r="AJ578" s="201"/>
      <c r="AK578" s="122"/>
      <c r="AL578" s="122"/>
    </row>
    <row r="579">
      <c r="A579" s="115"/>
      <c r="B579" s="150"/>
      <c r="C579" s="89"/>
      <c r="D579" s="55"/>
      <c r="E579" s="115"/>
      <c r="F579" s="150"/>
      <c r="G579" s="188"/>
      <c r="H579" s="189"/>
      <c r="I579" s="115"/>
      <c r="J579" s="150"/>
      <c r="K579" s="89"/>
      <c r="L579" s="55"/>
      <c r="M579" s="115"/>
      <c r="N579" s="190"/>
      <c r="O579" s="89"/>
      <c r="P579" s="55"/>
      <c r="Q579" s="191"/>
      <c r="R579" s="192"/>
      <c r="S579" s="121"/>
      <c r="T579" s="122"/>
      <c r="U579" s="191"/>
      <c r="V579" s="192"/>
      <c r="W579" s="121"/>
      <c r="X579" s="122"/>
      <c r="Y579" s="115"/>
      <c r="Z579" s="193"/>
      <c r="AA579" s="194"/>
      <c r="AB579" s="195"/>
      <c r="AC579" s="115"/>
      <c r="AD579" s="192"/>
      <c r="AE579" s="196"/>
      <c r="AF579" s="197"/>
      <c r="AG579" s="201"/>
      <c r="AH579" s="201"/>
      <c r="AI579" s="201"/>
      <c r="AJ579" s="201"/>
      <c r="AK579" s="122"/>
      <c r="AL579" s="122"/>
    </row>
    <row r="580">
      <c r="A580" s="115"/>
      <c r="B580" s="150"/>
      <c r="C580" s="89"/>
      <c r="D580" s="55"/>
      <c r="E580" s="115"/>
      <c r="F580" s="150"/>
      <c r="G580" s="188"/>
      <c r="H580" s="189"/>
      <c r="I580" s="115"/>
      <c r="J580" s="150"/>
      <c r="K580" s="89"/>
      <c r="L580" s="55"/>
      <c r="M580" s="115"/>
      <c r="N580" s="190"/>
      <c r="O580" s="89"/>
      <c r="P580" s="55"/>
      <c r="Q580" s="191"/>
      <c r="R580" s="192"/>
      <c r="S580" s="121"/>
      <c r="T580" s="122"/>
      <c r="U580" s="191"/>
      <c r="V580" s="192"/>
      <c r="W580" s="121"/>
      <c r="X580" s="122"/>
      <c r="Y580" s="115"/>
      <c r="Z580" s="193"/>
      <c r="AA580" s="194"/>
      <c r="AB580" s="195"/>
      <c r="AC580" s="115"/>
      <c r="AD580" s="192"/>
      <c r="AE580" s="196"/>
      <c r="AF580" s="197"/>
      <c r="AG580" s="201"/>
      <c r="AH580" s="201"/>
      <c r="AI580" s="201"/>
      <c r="AJ580" s="201"/>
      <c r="AK580" s="122"/>
      <c r="AL580" s="122"/>
    </row>
    <row r="581">
      <c r="A581" s="115"/>
      <c r="B581" s="150"/>
      <c r="C581" s="89"/>
      <c r="D581" s="55"/>
      <c r="E581" s="115"/>
      <c r="F581" s="150"/>
      <c r="G581" s="188"/>
      <c r="H581" s="189"/>
      <c r="I581" s="115"/>
      <c r="J581" s="150"/>
      <c r="K581" s="89"/>
      <c r="L581" s="55"/>
      <c r="M581" s="115"/>
      <c r="N581" s="190"/>
      <c r="O581" s="89"/>
      <c r="P581" s="55"/>
      <c r="Q581" s="191"/>
      <c r="R581" s="192"/>
      <c r="S581" s="121"/>
      <c r="T581" s="122"/>
      <c r="U581" s="191"/>
      <c r="V581" s="192"/>
      <c r="W581" s="121"/>
      <c r="X581" s="122"/>
      <c r="Y581" s="115"/>
      <c r="Z581" s="193"/>
      <c r="AA581" s="194"/>
      <c r="AB581" s="195"/>
      <c r="AC581" s="115"/>
      <c r="AD581" s="192"/>
      <c r="AE581" s="196"/>
      <c r="AF581" s="197"/>
      <c r="AG581" s="201"/>
      <c r="AH581" s="201"/>
      <c r="AI581" s="201"/>
      <c r="AJ581" s="201"/>
      <c r="AK581" s="122"/>
      <c r="AL581" s="122"/>
    </row>
    <row r="582">
      <c r="A582" s="115"/>
      <c r="B582" s="150"/>
      <c r="C582" s="89"/>
      <c r="D582" s="55"/>
      <c r="E582" s="115"/>
      <c r="F582" s="150"/>
      <c r="G582" s="188"/>
      <c r="H582" s="189"/>
      <c r="I582" s="115"/>
      <c r="J582" s="150"/>
      <c r="K582" s="89"/>
      <c r="L582" s="55"/>
      <c r="M582" s="115"/>
      <c r="N582" s="190"/>
      <c r="O582" s="89"/>
      <c r="P582" s="55"/>
      <c r="Q582" s="191"/>
      <c r="R582" s="192"/>
      <c r="S582" s="121"/>
      <c r="T582" s="122"/>
      <c r="U582" s="191"/>
      <c r="V582" s="192"/>
      <c r="W582" s="121"/>
      <c r="X582" s="122"/>
      <c r="Y582" s="115"/>
      <c r="Z582" s="193"/>
      <c r="AA582" s="194"/>
      <c r="AB582" s="195"/>
      <c r="AC582" s="115"/>
      <c r="AD582" s="192"/>
      <c r="AE582" s="196"/>
      <c r="AF582" s="197"/>
      <c r="AG582" s="201"/>
      <c r="AH582" s="201"/>
      <c r="AI582" s="201"/>
      <c r="AJ582" s="201"/>
      <c r="AK582" s="122"/>
      <c r="AL582" s="122"/>
    </row>
    <row r="583">
      <c r="A583" s="115"/>
      <c r="B583" s="150"/>
      <c r="C583" s="89"/>
      <c r="D583" s="55"/>
      <c r="E583" s="115"/>
      <c r="F583" s="150"/>
      <c r="G583" s="188"/>
      <c r="H583" s="189"/>
      <c r="I583" s="115"/>
      <c r="J583" s="150"/>
      <c r="K583" s="89"/>
      <c r="L583" s="55"/>
      <c r="M583" s="115"/>
      <c r="N583" s="190"/>
      <c r="O583" s="89"/>
      <c r="P583" s="55"/>
      <c r="Q583" s="191"/>
      <c r="R583" s="192"/>
      <c r="S583" s="121"/>
      <c r="T583" s="122"/>
      <c r="U583" s="191"/>
      <c r="V583" s="192"/>
      <c r="W583" s="121"/>
      <c r="X583" s="122"/>
      <c r="Y583" s="115"/>
      <c r="Z583" s="193"/>
      <c r="AA583" s="194"/>
      <c r="AB583" s="195"/>
      <c r="AC583" s="115"/>
      <c r="AD583" s="192"/>
      <c r="AE583" s="196"/>
      <c r="AF583" s="197"/>
      <c r="AG583" s="201"/>
      <c r="AH583" s="201"/>
      <c r="AI583" s="201"/>
      <c r="AJ583" s="201"/>
      <c r="AK583" s="122"/>
      <c r="AL583" s="122"/>
    </row>
    <row r="584">
      <c r="A584" s="115"/>
      <c r="B584" s="150"/>
      <c r="C584" s="89"/>
      <c r="D584" s="55"/>
      <c r="E584" s="115"/>
      <c r="F584" s="150"/>
      <c r="G584" s="188"/>
      <c r="H584" s="189"/>
      <c r="I584" s="115"/>
      <c r="J584" s="150"/>
      <c r="K584" s="89"/>
      <c r="L584" s="55"/>
      <c r="M584" s="115"/>
      <c r="N584" s="190"/>
      <c r="O584" s="89"/>
      <c r="P584" s="55"/>
      <c r="Q584" s="191"/>
      <c r="R584" s="192"/>
      <c r="S584" s="121"/>
      <c r="T584" s="122"/>
      <c r="U584" s="191"/>
      <c r="V584" s="192"/>
      <c r="W584" s="121"/>
      <c r="X584" s="122"/>
      <c r="Y584" s="115"/>
      <c r="Z584" s="193"/>
      <c r="AA584" s="194"/>
      <c r="AB584" s="195"/>
      <c r="AC584" s="115"/>
      <c r="AD584" s="192"/>
      <c r="AE584" s="196"/>
      <c r="AF584" s="197"/>
      <c r="AG584" s="201"/>
      <c r="AH584" s="201"/>
      <c r="AI584" s="201"/>
      <c r="AJ584" s="201"/>
      <c r="AK584" s="122"/>
      <c r="AL584" s="122"/>
    </row>
    <row r="585">
      <c r="A585" s="115"/>
      <c r="B585" s="150"/>
      <c r="C585" s="89"/>
      <c r="D585" s="55"/>
      <c r="E585" s="115"/>
      <c r="F585" s="150"/>
      <c r="G585" s="188"/>
      <c r="H585" s="189"/>
      <c r="I585" s="115"/>
      <c r="J585" s="150"/>
      <c r="K585" s="89"/>
      <c r="L585" s="55"/>
      <c r="M585" s="115"/>
      <c r="N585" s="190"/>
      <c r="O585" s="89"/>
      <c r="P585" s="55"/>
      <c r="Q585" s="191"/>
      <c r="R585" s="192"/>
      <c r="S585" s="121"/>
      <c r="T585" s="122"/>
      <c r="U585" s="191"/>
      <c r="V585" s="192"/>
      <c r="W585" s="121"/>
      <c r="X585" s="122"/>
      <c r="Y585" s="115"/>
      <c r="Z585" s="193"/>
      <c r="AA585" s="194"/>
      <c r="AB585" s="195"/>
      <c r="AC585" s="115"/>
      <c r="AD585" s="192"/>
      <c r="AE585" s="196"/>
      <c r="AF585" s="197"/>
      <c r="AG585" s="201"/>
      <c r="AH585" s="201"/>
      <c r="AI585" s="201"/>
      <c r="AJ585" s="201"/>
      <c r="AK585" s="122"/>
      <c r="AL585" s="122"/>
    </row>
    <row r="586">
      <c r="A586" s="115"/>
      <c r="B586" s="150"/>
      <c r="C586" s="89"/>
      <c r="D586" s="55"/>
      <c r="E586" s="115"/>
      <c r="F586" s="150"/>
      <c r="G586" s="188"/>
      <c r="H586" s="189"/>
      <c r="I586" s="115"/>
      <c r="J586" s="150"/>
      <c r="K586" s="89"/>
      <c r="L586" s="55"/>
      <c r="M586" s="115"/>
      <c r="N586" s="190"/>
      <c r="O586" s="89"/>
      <c r="P586" s="55"/>
      <c r="Q586" s="191"/>
      <c r="R586" s="192"/>
      <c r="S586" s="121"/>
      <c r="T586" s="122"/>
      <c r="U586" s="191"/>
      <c r="V586" s="192"/>
      <c r="W586" s="121"/>
      <c r="X586" s="122"/>
      <c r="Y586" s="115"/>
      <c r="Z586" s="193"/>
      <c r="AA586" s="194"/>
      <c r="AB586" s="195"/>
      <c r="AC586" s="115"/>
      <c r="AD586" s="192"/>
      <c r="AE586" s="196"/>
      <c r="AF586" s="197"/>
      <c r="AG586" s="201"/>
      <c r="AH586" s="201"/>
      <c r="AI586" s="201"/>
      <c r="AJ586" s="201"/>
      <c r="AK586" s="122"/>
      <c r="AL586" s="122"/>
    </row>
    <row r="587">
      <c r="A587" s="115"/>
      <c r="B587" s="150"/>
      <c r="C587" s="89"/>
      <c r="D587" s="55"/>
      <c r="E587" s="115"/>
      <c r="F587" s="150"/>
      <c r="G587" s="188"/>
      <c r="H587" s="189"/>
      <c r="I587" s="115"/>
      <c r="J587" s="150"/>
      <c r="K587" s="89"/>
      <c r="L587" s="55"/>
      <c r="M587" s="115"/>
      <c r="N587" s="190"/>
      <c r="O587" s="89"/>
      <c r="P587" s="55"/>
      <c r="Q587" s="191"/>
      <c r="R587" s="192"/>
      <c r="S587" s="121"/>
      <c r="T587" s="122"/>
      <c r="U587" s="191"/>
      <c r="V587" s="192"/>
      <c r="W587" s="121"/>
      <c r="X587" s="122"/>
      <c r="Y587" s="115"/>
      <c r="Z587" s="193"/>
      <c r="AA587" s="194"/>
      <c r="AB587" s="195"/>
      <c r="AC587" s="115"/>
      <c r="AD587" s="192"/>
      <c r="AE587" s="196"/>
      <c r="AF587" s="197"/>
      <c r="AG587" s="201"/>
      <c r="AH587" s="201"/>
      <c r="AI587" s="201"/>
      <c r="AJ587" s="201"/>
      <c r="AK587" s="122"/>
      <c r="AL587" s="122"/>
    </row>
    <row r="588">
      <c r="A588" s="115"/>
      <c r="B588" s="150"/>
      <c r="C588" s="89"/>
      <c r="D588" s="55"/>
      <c r="E588" s="115"/>
      <c r="F588" s="150"/>
      <c r="G588" s="188"/>
      <c r="H588" s="189"/>
      <c r="I588" s="115"/>
      <c r="J588" s="150"/>
      <c r="K588" s="89"/>
      <c r="L588" s="55"/>
      <c r="M588" s="115"/>
      <c r="N588" s="190"/>
      <c r="O588" s="89"/>
      <c r="P588" s="55"/>
      <c r="Q588" s="191"/>
      <c r="R588" s="192"/>
      <c r="S588" s="121"/>
      <c r="T588" s="122"/>
      <c r="U588" s="191"/>
      <c r="V588" s="192"/>
      <c r="W588" s="121"/>
      <c r="X588" s="122"/>
      <c r="Y588" s="115"/>
      <c r="Z588" s="193"/>
      <c r="AA588" s="194"/>
      <c r="AB588" s="195"/>
      <c r="AC588" s="115"/>
      <c r="AD588" s="192"/>
      <c r="AE588" s="196"/>
      <c r="AF588" s="197"/>
      <c r="AG588" s="201"/>
      <c r="AH588" s="201"/>
      <c r="AI588" s="201"/>
      <c r="AJ588" s="201"/>
      <c r="AK588" s="122"/>
      <c r="AL588" s="122"/>
    </row>
    <row r="589">
      <c r="A589" s="115"/>
      <c r="B589" s="150"/>
      <c r="C589" s="89"/>
      <c r="D589" s="55"/>
      <c r="E589" s="115"/>
      <c r="F589" s="150"/>
      <c r="G589" s="188"/>
      <c r="H589" s="189"/>
      <c r="I589" s="115"/>
      <c r="J589" s="150"/>
      <c r="K589" s="89"/>
      <c r="L589" s="55"/>
      <c r="M589" s="115"/>
      <c r="N589" s="190"/>
      <c r="O589" s="89"/>
      <c r="P589" s="55"/>
      <c r="Q589" s="191"/>
      <c r="R589" s="192"/>
      <c r="S589" s="121"/>
      <c r="T589" s="122"/>
      <c r="U589" s="191"/>
      <c r="V589" s="192"/>
      <c r="W589" s="121"/>
      <c r="X589" s="122"/>
      <c r="Y589" s="115"/>
      <c r="Z589" s="193"/>
      <c r="AA589" s="194"/>
      <c r="AB589" s="195"/>
      <c r="AC589" s="115"/>
      <c r="AD589" s="192"/>
      <c r="AE589" s="196"/>
      <c r="AF589" s="197"/>
      <c r="AG589" s="201"/>
      <c r="AH589" s="201"/>
      <c r="AI589" s="201"/>
      <c r="AJ589" s="201"/>
      <c r="AK589" s="122"/>
      <c r="AL589" s="122"/>
    </row>
    <row r="590">
      <c r="A590" s="115"/>
      <c r="B590" s="150"/>
      <c r="C590" s="89"/>
      <c r="D590" s="55"/>
      <c r="E590" s="115"/>
      <c r="F590" s="150"/>
      <c r="G590" s="188"/>
      <c r="H590" s="189"/>
      <c r="I590" s="115"/>
      <c r="J590" s="150"/>
      <c r="K590" s="89"/>
      <c r="L590" s="55"/>
      <c r="M590" s="115"/>
      <c r="N590" s="190"/>
      <c r="O590" s="89"/>
      <c r="P590" s="55"/>
      <c r="Q590" s="191"/>
      <c r="R590" s="192"/>
      <c r="S590" s="121"/>
      <c r="T590" s="122"/>
      <c r="U590" s="191"/>
      <c r="V590" s="192"/>
      <c r="W590" s="121"/>
      <c r="X590" s="122"/>
      <c r="Y590" s="115"/>
      <c r="Z590" s="193"/>
      <c r="AA590" s="194"/>
      <c r="AB590" s="195"/>
      <c r="AC590" s="115"/>
      <c r="AD590" s="192"/>
      <c r="AE590" s="196"/>
      <c r="AF590" s="197"/>
      <c r="AG590" s="201"/>
      <c r="AH590" s="201"/>
      <c r="AI590" s="201"/>
      <c r="AJ590" s="201"/>
      <c r="AK590" s="122"/>
      <c r="AL590" s="122"/>
    </row>
    <row r="591">
      <c r="A591" s="115"/>
      <c r="B591" s="150"/>
      <c r="C591" s="89"/>
      <c r="D591" s="55"/>
      <c r="E591" s="115"/>
      <c r="F591" s="150"/>
      <c r="G591" s="188"/>
      <c r="H591" s="189"/>
      <c r="I591" s="115"/>
      <c r="J591" s="150"/>
      <c r="K591" s="89"/>
      <c r="L591" s="55"/>
      <c r="M591" s="115"/>
      <c r="N591" s="190"/>
      <c r="O591" s="89"/>
      <c r="P591" s="55"/>
      <c r="Q591" s="191"/>
      <c r="R591" s="192"/>
      <c r="S591" s="121"/>
      <c r="T591" s="122"/>
      <c r="U591" s="191"/>
      <c r="V591" s="192"/>
      <c r="W591" s="121"/>
      <c r="X591" s="122"/>
      <c r="Y591" s="115"/>
      <c r="Z591" s="193"/>
      <c r="AA591" s="194"/>
      <c r="AB591" s="195"/>
      <c r="AC591" s="115"/>
      <c r="AD591" s="192"/>
      <c r="AE591" s="196"/>
      <c r="AF591" s="197"/>
      <c r="AG591" s="201"/>
      <c r="AH591" s="201"/>
      <c r="AI591" s="201"/>
      <c r="AJ591" s="201"/>
      <c r="AK591" s="122"/>
      <c r="AL591" s="122"/>
    </row>
    <row r="592">
      <c r="A592" s="115"/>
      <c r="B592" s="150"/>
      <c r="C592" s="89"/>
      <c r="D592" s="55"/>
      <c r="E592" s="115"/>
      <c r="F592" s="150"/>
      <c r="G592" s="188"/>
      <c r="H592" s="189"/>
      <c r="I592" s="115"/>
      <c r="J592" s="150"/>
      <c r="K592" s="89"/>
      <c r="L592" s="55"/>
      <c r="M592" s="115"/>
      <c r="N592" s="190"/>
      <c r="O592" s="89"/>
      <c r="P592" s="55"/>
      <c r="Q592" s="191"/>
      <c r="R592" s="192"/>
      <c r="S592" s="121"/>
      <c r="T592" s="122"/>
      <c r="U592" s="191"/>
      <c r="V592" s="192"/>
      <c r="W592" s="121"/>
      <c r="X592" s="122"/>
      <c r="Y592" s="115"/>
      <c r="Z592" s="193"/>
      <c r="AA592" s="194"/>
      <c r="AB592" s="195"/>
      <c r="AC592" s="115"/>
      <c r="AD592" s="192"/>
      <c r="AE592" s="196"/>
      <c r="AF592" s="197"/>
      <c r="AG592" s="201"/>
      <c r="AH592" s="201"/>
      <c r="AI592" s="201"/>
      <c r="AJ592" s="201"/>
      <c r="AK592" s="122"/>
      <c r="AL592" s="122"/>
    </row>
    <row r="593">
      <c r="A593" s="115"/>
      <c r="B593" s="150"/>
      <c r="C593" s="89"/>
      <c r="D593" s="55"/>
      <c r="E593" s="115"/>
      <c r="F593" s="150"/>
      <c r="G593" s="188"/>
      <c r="H593" s="189"/>
      <c r="I593" s="115"/>
      <c r="J593" s="150"/>
      <c r="K593" s="89"/>
      <c r="L593" s="55"/>
      <c r="M593" s="115"/>
      <c r="N593" s="190"/>
      <c r="O593" s="89"/>
      <c r="P593" s="55"/>
      <c r="Q593" s="191"/>
      <c r="R593" s="192"/>
      <c r="S593" s="121"/>
      <c r="T593" s="122"/>
      <c r="U593" s="191"/>
      <c r="V593" s="192"/>
      <c r="W593" s="121"/>
      <c r="X593" s="122"/>
      <c r="Y593" s="115"/>
      <c r="Z593" s="193"/>
      <c r="AA593" s="194"/>
      <c r="AB593" s="195"/>
      <c r="AC593" s="115"/>
      <c r="AD593" s="192"/>
      <c r="AE593" s="196"/>
      <c r="AF593" s="197"/>
      <c r="AG593" s="201"/>
      <c r="AH593" s="201"/>
      <c r="AI593" s="201"/>
      <c r="AJ593" s="201"/>
      <c r="AK593" s="122"/>
      <c r="AL593" s="122"/>
    </row>
    <row r="594">
      <c r="A594" s="115"/>
      <c r="B594" s="150"/>
      <c r="C594" s="89"/>
      <c r="D594" s="55"/>
      <c r="E594" s="115"/>
      <c r="F594" s="150"/>
      <c r="G594" s="188"/>
      <c r="H594" s="189"/>
      <c r="I594" s="115"/>
      <c r="J594" s="150"/>
      <c r="K594" s="89"/>
      <c r="L594" s="55"/>
      <c r="M594" s="115"/>
      <c r="N594" s="190"/>
      <c r="O594" s="89"/>
      <c r="P594" s="55"/>
      <c r="Q594" s="191"/>
      <c r="R594" s="192"/>
      <c r="S594" s="121"/>
      <c r="T594" s="122"/>
      <c r="U594" s="191"/>
      <c r="V594" s="192"/>
      <c r="W594" s="121"/>
      <c r="X594" s="122"/>
      <c r="Y594" s="115"/>
      <c r="Z594" s="193"/>
      <c r="AA594" s="194"/>
      <c r="AB594" s="195"/>
      <c r="AC594" s="115"/>
      <c r="AD594" s="192"/>
      <c r="AE594" s="196"/>
      <c r="AF594" s="197"/>
      <c r="AG594" s="201"/>
      <c r="AH594" s="201"/>
      <c r="AI594" s="201"/>
      <c r="AJ594" s="201"/>
      <c r="AK594" s="122"/>
      <c r="AL594" s="122"/>
    </row>
    <row r="595">
      <c r="A595" s="115"/>
      <c r="B595" s="150"/>
      <c r="C595" s="89"/>
      <c r="D595" s="55"/>
      <c r="E595" s="115"/>
      <c r="F595" s="150"/>
      <c r="G595" s="188"/>
      <c r="H595" s="189"/>
      <c r="I595" s="115"/>
      <c r="J595" s="150"/>
      <c r="K595" s="89"/>
      <c r="L595" s="55"/>
      <c r="M595" s="115"/>
      <c r="N595" s="190"/>
      <c r="O595" s="89"/>
      <c r="P595" s="55"/>
      <c r="Q595" s="191"/>
      <c r="R595" s="192"/>
      <c r="S595" s="121"/>
      <c r="T595" s="122"/>
      <c r="U595" s="191"/>
      <c r="V595" s="192"/>
      <c r="W595" s="121"/>
      <c r="X595" s="122"/>
      <c r="Y595" s="115"/>
      <c r="Z595" s="193"/>
      <c r="AA595" s="194"/>
      <c r="AB595" s="195"/>
      <c r="AC595" s="115"/>
      <c r="AD595" s="192"/>
      <c r="AE595" s="196"/>
      <c r="AF595" s="197"/>
      <c r="AG595" s="201"/>
      <c r="AH595" s="201"/>
      <c r="AI595" s="201"/>
      <c r="AJ595" s="201"/>
      <c r="AK595" s="122"/>
      <c r="AL595" s="122"/>
    </row>
    <row r="596">
      <c r="A596" s="115"/>
      <c r="B596" s="150"/>
      <c r="C596" s="89"/>
      <c r="D596" s="55"/>
      <c r="E596" s="115"/>
      <c r="F596" s="150"/>
      <c r="G596" s="188"/>
      <c r="H596" s="189"/>
      <c r="I596" s="115"/>
      <c r="J596" s="150"/>
      <c r="K596" s="89"/>
      <c r="L596" s="55"/>
      <c r="M596" s="115"/>
      <c r="N596" s="190"/>
      <c r="O596" s="89"/>
      <c r="P596" s="55"/>
      <c r="Q596" s="191"/>
      <c r="R596" s="192"/>
      <c r="S596" s="121"/>
      <c r="T596" s="122"/>
      <c r="U596" s="191"/>
      <c r="V596" s="192"/>
      <c r="W596" s="121"/>
      <c r="X596" s="122"/>
      <c r="Y596" s="115"/>
      <c r="Z596" s="193"/>
      <c r="AA596" s="194"/>
      <c r="AB596" s="195"/>
      <c r="AC596" s="115"/>
      <c r="AD596" s="192"/>
      <c r="AE596" s="196"/>
      <c r="AF596" s="197"/>
      <c r="AG596" s="201"/>
      <c r="AH596" s="201"/>
      <c r="AI596" s="201"/>
      <c r="AJ596" s="201"/>
      <c r="AK596" s="122"/>
      <c r="AL596" s="122"/>
    </row>
    <row r="597">
      <c r="A597" s="115"/>
      <c r="B597" s="150"/>
      <c r="C597" s="89"/>
      <c r="D597" s="55"/>
      <c r="E597" s="115"/>
      <c r="F597" s="150"/>
      <c r="G597" s="188"/>
      <c r="H597" s="189"/>
      <c r="I597" s="115"/>
      <c r="J597" s="150"/>
      <c r="K597" s="89"/>
      <c r="L597" s="55"/>
      <c r="M597" s="115"/>
      <c r="N597" s="190"/>
      <c r="O597" s="89"/>
      <c r="P597" s="55"/>
      <c r="Q597" s="191"/>
      <c r="R597" s="192"/>
      <c r="S597" s="121"/>
      <c r="T597" s="122"/>
      <c r="U597" s="191"/>
      <c r="V597" s="192"/>
      <c r="W597" s="121"/>
      <c r="X597" s="122"/>
      <c r="Y597" s="115"/>
      <c r="Z597" s="193"/>
      <c r="AA597" s="194"/>
      <c r="AB597" s="195"/>
      <c r="AC597" s="115"/>
      <c r="AD597" s="192"/>
      <c r="AE597" s="196"/>
      <c r="AF597" s="197"/>
      <c r="AG597" s="201"/>
      <c r="AH597" s="201"/>
      <c r="AI597" s="201"/>
      <c r="AJ597" s="201"/>
      <c r="AK597" s="122"/>
      <c r="AL597" s="122"/>
    </row>
    <row r="598">
      <c r="A598" s="115"/>
      <c r="B598" s="150"/>
      <c r="C598" s="89"/>
      <c r="D598" s="55"/>
      <c r="E598" s="115"/>
      <c r="F598" s="150"/>
      <c r="G598" s="188"/>
      <c r="H598" s="189"/>
      <c r="I598" s="115"/>
      <c r="J598" s="150"/>
      <c r="K598" s="89"/>
      <c r="L598" s="55"/>
      <c r="M598" s="115"/>
      <c r="N598" s="190"/>
      <c r="O598" s="89"/>
      <c r="P598" s="55"/>
      <c r="Q598" s="191"/>
      <c r="R598" s="192"/>
      <c r="S598" s="121"/>
      <c r="T598" s="122"/>
      <c r="U598" s="191"/>
      <c r="V598" s="192"/>
      <c r="W598" s="121"/>
      <c r="X598" s="122"/>
      <c r="Y598" s="115"/>
      <c r="Z598" s="193"/>
      <c r="AA598" s="194"/>
      <c r="AB598" s="195"/>
      <c r="AC598" s="115"/>
      <c r="AD598" s="192"/>
      <c r="AE598" s="196"/>
      <c r="AF598" s="197"/>
      <c r="AG598" s="201"/>
      <c r="AH598" s="201"/>
      <c r="AI598" s="201"/>
      <c r="AJ598" s="201"/>
      <c r="AK598" s="122"/>
      <c r="AL598" s="122"/>
    </row>
    <row r="599">
      <c r="A599" s="115"/>
      <c r="B599" s="150"/>
      <c r="C599" s="89"/>
      <c r="D599" s="55"/>
      <c r="E599" s="115"/>
      <c r="F599" s="150"/>
      <c r="G599" s="188"/>
      <c r="H599" s="189"/>
      <c r="I599" s="115"/>
      <c r="J599" s="150"/>
      <c r="K599" s="89"/>
      <c r="L599" s="55"/>
      <c r="M599" s="115"/>
      <c r="N599" s="190"/>
      <c r="O599" s="89"/>
      <c r="P599" s="55"/>
      <c r="Q599" s="191"/>
      <c r="R599" s="192"/>
      <c r="S599" s="121"/>
      <c r="T599" s="122"/>
      <c r="U599" s="191"/>
      <c r="V599" s="192"/>
      <c r="W599" s="121"/>
      <c r="X599" s="122"/>
      <c r="Y599" s="115"/>
      <c r="Z599" s="193"/>
      <c r="AA599" s="194"/>
      <c r="AB599" s="195"/>
      <c r="AC599" s="115"/>
      <c r="AD599" s="192"/>
      <c r="AE599" s="196"/>
      <c r="AF599" s="197"/>
      <c r="AG599" s="201"/>
      <c r="AH599" s="201"/>
      <c r="AI599" s="201"/>
      <c r="AJ599" s="201"/>
      <c r="AK599" s="122"/>
      <c r="AL599" s="122"/>
    </row>
    <row r="600">
      <c r="A600" s="115"/>
      <c r="B600" s="150"/>
      <c r="C600" s="89"/>
      <c r="D600" s="55"/>
      <c r="E600" s="115"/>
      <c r="F600" s="150"/>
      <c r="G600" s="188"/>
      <c r="H600" s="189"/>
      <c r="I600" s="115"/>
      <c r="J600" s="150"/>
      <c r="K600" s="89"/>
      <c r="L600" s="55"/>
      <c r="M600" s="115"/>
      <c r="N600" s="190"/>
      <c r="O600" s="89"/>
      <c r="P600" s="55"/>
      <c r="Q600" s="191"/>
      <c r="R600" s="192"/>
      <c r="S600" s="121"/>
      <c r="T600" s="122"/>
      <c r="U600" s="191"/>
      <c r="V600" s="192"/>
      <c r="W600" s="121"/>
      <c r="X600" s="122"/>
      <c r="Y600" s="115"/>
      <c r="Z600" s="193"/>
      <c r="AA600" s="194"/>
      <c r="AB600" s="195"/>
      <c r="AC600" s="115"/>
      <c r="AD600" s="192"/>
      <c r="AE600" s="196"/>
      <c r="AF600" s="197"/>
      <c r="AG600" s="201"/>
      <c r="AH600" s="201"/>
      <c r="AI600" s="201"/>
      <c r="AJ600" s="201"/>
      <c r="AK600" s="122"/>
      <c r="AL600" s="122"/>
    </row>
    <row r="601">
      <c r="A601" s="115"/>
      <c r="B601" s="150"/>
      <c r="C601" s="89"/>
      <c r="D601" s="55"/>
      <c r="E601" s="115"/>
      <c r="F601" s="150"/>
      <c r="G601" s="188"/>
      <c r="H601" s="189"/>
      <c r="I601" s="115"/>
      <c r="J601" s="150"/>
      <c r="K601" s="89"/>
      <c r="L601" s="55"/>
      <c r="M601" s="115"/>
      <c r="N601" s="190"/>
      <c r="O601" s="89"/>
      <c r="P601" s="55"/>
      <c r="Q601" s="191"/>
      <c r="R601" s="192"/>
      <c r="S601" s="121"/>
      <c r="T601" s="122"/>
      <c r="U601" s="191"/>
      <c r="V601" s="192"/>
      <c r="W601" s="121"/>
      <c r="X601" s="122"/>
      <c r="Y601" s="115"/>
      <c r="Z601" s="193"/>
      <c r="AA601" s="194"/>
      <c r="AB601" s="195"/>
      <c r="AC601" s="115"/>
      <c r="AD601" s="192"/>
      <c r="AE601" s="196"/>
      <c r="AF601" s="197"/>
      <c r="AG601" s="201"/>
      <c r="AH601" s="201"/>
      <c r="AI601" s="201"/>
      <c r="AJ601" s="201"/>
      <c r="AK601" s="122"/>
      <c r="AL601" s="122"/>
    </row>
    <row r="602">
      <c r="A602" s="115"/>
      <c r="B602" s="150"/>
      <c r="C602" s="89"/>
      <c r="D602" s="55"/>
      <c r="E602" s="115"/>
      <c r="F602" s="150"/>
      <c r="G602" s="188"/>
      <c r="H602" s="189"/>
      <c r="I602" s="115"/>
      <c r="J602" s="150"/>
      <c r="K602" s="89"/>
      <c r="L602" s="55"/>
      <c r="M602" s="115"/>
      <c r="N602" s="190"/>
      <c r="O602" s="89"/>
      <c r="P602" s="55"/>
      <c r="Q602" s="191"/>
      <c r="R602" s="192"/>
      <c r="S602" s="121"/>
      <c r="T602" s="122"/>
      <c r="U602" s="191"/>
      <c r="V602" s="192"/>
      <c r="W602" s="121"/>
      <c r="X602" s="122"/>
      <c r="Y602" s="115"/>
      <c r="Z602" s="193"/>
      <c r="AA602" s="194"/>
      <c r="AB602" s="195"/>
      <c r="AC602" s="115"/>
      <c r="AD602" s="192"/>
      <c r="AE602" s="196"/>
      <c r="AF602" s="197"/>
      <c r="AG602" s="201"/>
      <c r="AH602" s="201"/>
      <c r="AI602" s="201"/>
      <c r="AJ602" s="201"/>
      <c r="AK602" s="122"/>
      <c r="AL602" s="122"/>
    </row>
    <row r="603">
      <c r="A603" s="115"/>
      <c r="B603" s="150"/>
      <c r="C603" s="89"/>
      <c r="D603" s="55"/>
      <c r="E603" s="115"/>
      <c r="F603" s="150"/>
      <c r="G603" s="188"/>
      <c r="H603" s="189"/>
      <c r="I603" s="115"/>
      <c r="J603" s="150"/>
      <c r="K603" s="89"/>
      <c r="L603" s="55"/>
      <c r="M603" s="115"/>
      <c r="N603" s="190"/>
      <c r="O603" s="89"/>
      <c r="P603" s="55"/>
      <c r="Q603" s="191"/>
      <c r="R603" s="192"/>
      <c r="S603" s="121"/>
      <c r="T603" s="122"/>
      <c r="U603" s="191"/>
      <c r="V603" s="192"/>
      <c r="W603" s="121"/>
      <c r="X603" s="122"/>
      <c r="Y603" s="115"/>
      <c r="Z603" s="193"/>
      <c r="AA603" s="194"/>
      <c r="AB603" s="195"/>
      <c r="AC603" s="115"/>
      <c r="AD603" s="192"/>
      <c r="AE603" s="196"/>
      <c r="AF603" s="197"/>
      <c r="AG603" s="201"/>
      <c r="AH603" s="201"/>
      <c r="AI603" s="201"/>
      <c r="AJ603" s="201"/>
      <c r="AK603" s="122"/>
      <c r="AL603" s="122"/>
    </row>
    <row r="604">
      <c r="A604" s="115"/>
      <c r="B604" s="150"/>
      <c r="C604" s="89"/>
      <c r="D604" s="55"/>
      <c r="E604" s="115"/>
      <c r="F604" s="150"/>
      <c r="G604" s="188"/>
      <c r="H604" s="189"/>
      <c r="I604" s="115"/>
      <c r="J604" s="150"/>
      <c r="K604" s="89"/>
      <c r="L604" s="55"/>
      <c r="M604" s="115"/>
      <c r="N604" s="190"/>
      <c r="O604" s="89"/>
      <c r="P604" s="55"/>
      <c r="Q604" s="191"/>
      <c r="R604" s="192"/>
      <c r="S604" s="121"/>
      <c r="T604" s="122"/>
      <c r="U604" s="191"/>
      <c r="V604" s="192"/>
      <c r="W604" s="121"/>
      <c r="X604" s="122"/>
      <c r="Y604" s="115"/>
      <c r="Z604" s="193"/>
      <c r="AA604" s="194"/>
      <c r="AB604" s="195"/>
      <c r="AC604" s="115"/>
      <c r="AD604" s="192"/>
      <c r="AE604" s="196"/>
      <c r="AF604" s="197"/>
      <c r="AG604" s="201"/>
      <c r="AH604" s="201"/>
      <c r="AI604" s="201"/>
      <c r="AJ604" s="201"/>
      <c r="AK604" s="122"/>
      <c r="AL604" s="122"/>
    </row>
    <row r="605">
      <c r="A605" s="115"/>
      <c r="B605" s="150"/>
      <c r="C605" s="89"/>
      <c r="D605" s="55"/>
      <c r="E605" s="115"/>
      <c r="F605" s="150"/>
      <c r="G605" s="188"/>
      <c r="H605" s="189"/>
      <c r="I605" s="115"/>
      <c r="J605" s="150"/>
      <c r="K605" s="89"/>
      <c r="L605" s="55"/>
      <c r="M605" s="115"/>
      <c r="N605" s="190"/>
      <c r="O605" s="89"/>
      <c r="P605" s="55"/>
      <c r="Q605" s="191"/>
      <c r="R605" s="192"/>
      <c r="S605" s="121"/>
      <c r="T605" s="122"/>
      <c r="U605" s="191"/>
      <c r="V605" s="192"/>
      <c r="W605" s="121"/>
      <c r="X605" s="122"/>
      <c r="Y605" s="115"/>
      <c r="Z605" s="193"/>
      <c r="AA605" s="194"/>
      <c r="AB605" s="195"/>
      <c r="AC605" s="115"/>
      <c r="AD605" s="192"/>
      <c r="AE605" s="196"/>
      <c r="AF605" s="197"/>
      <c r="AG605" s="201"/>
      <c r="AH605" s="201"/>
      <c r="AI605" s="201"/>
      <c r="AJ605" s="201"/>
      <c r="AK605" s="122"/>
      <c r="AL605" s="122"/>
    </row>
    <row r="606">
      <c r="A606" s="115"/>
      <c r="B606" s="150"/>
      <c r="C606" s="89"/>
      <c r="D606" s="55"/>
      <c r="E606" s="115"/>
      <c r="F606" s="150"/>
      <c r="G606" s="188"/>
      <c r="H606" s="189"/>
      <c r="I606" s="115"/>
      <c r="J606" s="150"/>
      <c r="K606" s="89"/>
      <c r="L606" s="55"/>
      <c r="M606" s="115"/>
      <c r="N606" s="190"/>
      <c r="O606" s="89"/>
      <c r="P606" s="55"/>
      <c r="Q606" s="191"/>
      <c r="R606" s="192"/>
      <c r="S606" s="121"/>
      <c r="T606" s="122"/>
      <c r="U606" s="191"/>
      <c r="V606" s="192"/>
      <c r="W606" s="121"/>
      <c r="X606" s="122"/>
      <c r="Y606" s="115"/>
      <c r="Z606" s="193"/>
      <c r="AA606" s="194"/>
      <c r="AB606" s="195"/>
      <c r="AC606" s="115"/>
      <c r="AD606" s="192"/>
      <c r="AE606" s="196"/>
      <c r="AF606" s="197"/>
      <c r="AG606" s="201"/>
      <c r="AH606" s="201"/>
      <c r="AI606" s="201"/>
      <c r="AJ606" s="201"/>
      <c r="AK606" s="122"/>
      <c r="AL606" s="122"/>
    </row>
    <row r="607">
      <c r="A607" s="115"/>
      <c r="B607" s="150"/>
      <c r="C607" s="89"/>
      <c r="D607" s="55"/>
      <c r="E607" s="115"/>
      <c r="F607" s="150"/>
      <c r="G607" s="188"/>
      <c r="H607" s="189"/>
      <c r="I607" s="115"/>
      <c r="J607" s="150"/>
      <c r="K607" s="89"/>
      <c r="L607" s="55"/>
      <c r="M607" s="115"/>
      <c r="N607" s="190"/>
      <c r="O607" s="89"/>
      <c r="P607" s="55"/>
      <c r="Q607" s="191"/>
      <c r="R607" s="192"/>
      <c r="S607" s="121"/>
      <c r="T607" s="122"/>
      <c r="U607" s="191"/>
      <c r="V607" s="192"/>
      <c r="W607" s="121"/>
      <c r="X607" s="122"/>
      <c r="Y607" s="115"/>
      <c r="Z607" s="193"/>
      <c r="AA607" s="194"/>
      <c r="AB607" s="195"/>
      <c r="AC607" s="115"/>
      <c r="AD607" s="192"/>
      <c r="AE607" s="196"/>
      <c r="AF607" s="197"/>
      <c r="AG607" s="201"/>
      <c r="AH607" s="201"/>
      <c r="AI607" s="201"/>
      <c r="AJ607" s="201"/>
      <c r="AK607" s="122"/>
      <c r="AL607" s="122"/>
    </row>
    <row r="608">
      <c r="A608" s="115"/>
      <c r="B608" s="150"/>
      <c r="C608" s="89"/>
      <c r="D608" s="55"/>
      <c r="E608" s="115"/>
      <c r="F608" s="150"/>
      <c r="G608" s="188"/>
      <c r="H608" s="189"/>
      <c r="I608" s="115"/>
      <c r="J608" s="150"/>
      <c r="K608" s="89"/>
      <c r="L608" s="55"/>
      <c r="M608" s="115"/>
      <c r="N608" s="190"/>
      <c r="O608" s="89"/>
      <c r="P608" s="55"/>
      <c r="Q608" s="191"/>
      <c r="R608" s="192"/>
      <c r="S608" s="121"/>
      <c r="T608" s="122"/>
      <c r="U608" s="191"/>
      <c r="V608" s="192"/>
      <c r="W608" s="121"/>
      <c r="X608" s="122"/>
      <c r="Y608" s="115"/>
      <c r="Z608" s="193"/>
      <c r="AA608" s="194"/>
      <c r="AB608" s="195"/>
      <c r="AC608" s="115"/>
      <c r="AD608" s="192"/>
      <c r="AE608" s="196"/>
      <c r="AF608" s="197"/>
      <c r="AG608" s="201"/>
      <c r="AH608" s="201"/>
      <c r="AI608" s="201"/>
      <c r="AJ608" s="201"/>
      <c r="AK608" s="122"/>
      <c r="AL608" s="122"/>
    </row>
    <row r="609">
      <c r="A609" s="115"/>
      <c r="B609" s="150"/>
      <c r="C609" s="89"/>
      <c r="D609" s="55"/>
      <c r="E609" s="115"/>
      <c r="F609" s="150"/>
      <c r="G609" s="188"/>
      <c r="H609" s="189"/>
      <c r="I609" s="115"/>
      <c r="J609" s="150"/>
      <c r="K609" s="89"/>
      <c r="L609" s="55"/>
      <c r="M609" s="115"/>
      <c r="N609" s="190"/>
      <c r="O609" s="89"/>
      <c r="P609" s="55"/>
      <c r="Q609" s="191"/>
      <c r="R609" s="192"/>
      <c r="S609" s="121"/>
      <c r="T609" s="122"/>
      <c r="U609" s="191"/>
      <c r="V609" s="192"/>
      <c r="W609" s="121"/>
      <c r="X609" s="122"/>
      <c r="Y609" s="115"/>
      <c r="Z609" s="193"/>
      <c r="AA609" s="194"/>
      <c r="AB609" s="195"/>
      <c r="AC609" s="115"/>
      <c r="AD609" s="192"/>
      <c r="AE609" s="196"/>
      <c r="AF609" s="197"/>
      <c r="AG609" s="201"/>
      <c r="AH609" s="201"/>
      <c r="AI609" s="201"/>
      <c r="AJ609" s="201"/>
      <c r="AK609" s="122"/>
      <c r="AL609" s="122"/>
    </row>
    <row r="610">
      <c r="A610" s="115"/>
      <c r="B610" s="150"/>
      <c r="C610" s="89"/>
      <c r="D610" s="55"/>
      <c r="E610" s="115"/>
      <c r="F610" s="150"/>
      <c r="G610" s="188"/>
      <c r="H610" s="189"/>
      <c r="I610" s="115"/>
      <c r="J610" s="150"/>
      <c r="K610" s="89"/>
      <c r="L610" s="55"/>
      <c r="M610" s="115"/>
      <c r="N610" s="190"/>
      <c r="O610" s="89"/>
      <c r="P610" s="55"/>
      <c r="Q610" s="191"/>
      <c r="R610" s="192"/>
      <c r="S610" s="121"/>
      <c r="T610" s="122"/>
      <c r="U610" s="191"/>
      <c r="V610" s="192"/>
      <c r="W610" s="121"/>
      <c r="X610" s="122"/>
      <c r="Y610" s="115"/>
      <c r="Z610" s="193"/>
      <c r="AA610" s="194"/>
      <c r="AB610" s="195"/>
      <c r="AC610" s="115"/>
      <c r="AD610" s="192"/>
      <c r="AE610" s="196"/>
      <c r="AF610" s="197"/>
      <c r="AG610" s="201"/>
      <c r="AH610" s="201"/>
      <c r="AI610" s="201"/>
      <c r="AJ610" s="201"/>
      <c r="AK610" s="122"/>
      <c r="AL610" s="122"/>
    </row>
    <row r="611">
      <c r="A611" s="115"/>
      <c r="B611" s="150"/>
      <c r="C611" s="89"/>
      <c r="D611" s="55"/>
      <c r="E611" s="115"/>
      <c r="F611" s="150"/>
      <c r="G611" s="188"/>
      <c r="H611" s="189"/>
      <c r="I611" s="115"/>
      <c r="J611" s="150"/>
      <c r="K611" s="89"/>
      <c r="L611" s="55"/>
      <c r="M611" s="115"/>
      <c r="N611" s="190"/>
      <c r="O611" s="89"/>
      <c r="P611" s="55"/>
      <c r="Q611" s="191"/>
      <c r="R611" s="192"/>
      <c r="S611" s="121"/>
      <c r="T611" s="122"/>
      <c r="U611" s="191"/>
      <c r="V611" s="192"/>
      <c r="W611" s="121"/>
      <c r="X611" s="122"/>
      <c r="Y611" s="115"/>
      <c r="Z611" s="193"/>
      <c r="AA611" s="194"/>
      <c r="AB611" s="195"/>
      <c r="AC611" s="115"/>
      <c r="AD611" s="192"/>
      <c r="AE611" s="196"/>
      <c r="AF611" s="197"/>
      <c r="AG611" s="201"/>
      <c r="AH611" s="201"/>
      <c r="AI611" s="201"/>
      <c r="AJ611" s="201"/>
      <c r="AK611" s="122"/>
      <c r="AL611" s="122"/>
    </row>
    <row r="612">
      <c r="A612" s="115"/>
      <c r="B612" s="150"/>
      <c r="C612" s="89"/>
      <c r="D612" s="55"/>
      <c r="E612" s="115"/>
      <c r="F612" s="150"/>
      <c r="G612" s="188"/>
      <c r="H612" s="189"/>
      <c r="I612" s="115"/>
      <c r="J612" s="150"/>
      <c r="K612" s="89"/>
      <c r="L612" s="55"/>
      <c r="M612" s="115"/>
      <c r="N612" s="190"/>
      <c r="O612" s="89"/>
      <c r="P612" s="55"/>
      <c r="Q612" s="191"/>
      <c r="R612" s="192"/>
      <c r="S612" s="121"/>
      <c r="T612" s="122"/>
      <c r="U612" s="191"/>
      <c r="V612" s="192"/>
      <c r="W612" s="121"/>
      <c r="X612" s="122"/>
      <c r="Y612" s="115"/>
      <c r="Z612" s="193"/>
      <c r="AA612" s="194"/>
      <c r="AB612" s="195"/>
      <c r="AC612" s="115"/>
      <c r="AD612" s="192"/>
      <c r="AE612" s="196"/>
      <c r="AF612" s="197"/>
      <c r="AG612" s="201"/>
      <c r="AH612" s="201"/>
      <c r="AI612" s="201"/>
      <c r="AJ612" s="201"/>
      <c r="AK612" s="122"/>
      <c r="AL612" s="122"/>
    </row>
    <row r="613">
      <c r="A613" s="115"/>
      <c r="B613" s="150"/>
      <c r="C613" s="89"/>
      <c r="D613" s="55"/>
      <c r="E613" s="115"/>
      <c r="F613" s="150"/>
      <c r="G613" s="188"/>
      <c r="H613" s="189"/>
      <c r="I613" s="115"/>
      <c r="J613" s="150"/>
      <c r="K613" s="89"/>
      <c r="L613" s="55"/>
      <c r="M613" s="115"/>
      <c r="N613" s="190"/>
      <c r="O613" s="89"/>
      <c r="P613" s="55"/>
      <c r="Q613" s="191"/>
      <c r="R613" s="192"/>
      <c r="S613" s="121"/>
      <c r="T613" s="122"/>
      <c r="U613" s="191"/>
      <c r="V613" s="192"/>
      <c r="W613" s="121"/>
      <c r="X613" s="122"/>
      <c r="Y613" s="115"/>
      <c r="Z613" s="193"/>
      <c r="AA613" s="194"/>
      <c r="AB613" s="195"/>
      <c r="AC613" s="115"/>
      <c r="AD613" s="192"/>
      <c r="AE613" s="196"/>
      <c r="AF613" s="197"/>
      <c r="AG613" s="201"/>
      <c r="AH613" s="201"/>
      <c r="AI613" s="201"/>
      <c r="AJ613" s="201"/>
      <c r="AK613" s="122"/>
      <c r="AL613" s="122"/>
    </row>
    <row r="614">
      <c r="A614" s="115"/>
      <c r="B614" s="150"/>
      <c r="C614" s="89"/>
      <c r="D614" s="55"/>
      <c r="E614" s="115"/>
      <c r="F614" s="150"/>
      <c r="G614" s="188"/>
      <c r="H614" s="189"/>
      <c r="I614" s="115"/>
      <c r="J614" s="150"/>
      <c r="K614" s="89"/>
      <c r="L614" s="55"/>
      <c r="M614" s="115"/>
      <c r="N614" s="190"/>
      <c r="O614" s="89"/>
      <c r="P614" s="55"/>
      <c r="Q614" s="191"/>
      <c r="R614" s="192"/>
      <c r="S614" s="121"/>
      <c r="T614" s="122"/>
      <c r="U614" s="191"/>
      <c r="V614" s="192"/>
      <c r="W614" s="121"/>
      <c r="X614" s="122"/>
      <c r="Y614" s="115"/>
      <c r="Z614" s="193"/>
      <c r="AA614" s="194"/>
      <c r="AB614" s="195"/>
      <c r="AC614" s="115"/>
      <c r="AD614" s="192"/>
      <c r="AE614" s="196"/>
      <c r="AF614" s="197"/>
      <c r="AG614" s="201"/>
      <c r="AH614" s="201"/>
      <c r="AI614" s="201"/>
      <c r="AJ614" s="201"/>
      <c r="AK614" s="122"/>
      <c r="AL614" s="122"/>
    </row>
    <row r="615">
      <c r="A615" s="115"/>
      <c r="B615" s="150"/>
      <c r="C615" s="89"/>
      <c r="D615" s="55"/>
      <c r="E615" s="115"/>
      <c r="F615" s="150"/>
      <c r="G615" s="188"/>
      <c r="H615" s="189"/>
      <c r="I615" s="115"/>
      <c r="J615" s="150"/>
      <c r="K615" s="89"/>
      <c r="L615" s="55"/>
      <c r="M615" s="115"/>
      <c r="N615" s="190"/>
      <c r="O615" s="89"/>
      <c r="P615" s="55"/>
      <c r="Q615" s="191"/>
      <c r="R615" s="192"/>
      <c r="S615" s="121"/>
      <c r="T615" s="122"/>
      <c r="U615" s="191"/>
      <c r="V615" s="192"/>
      <c r="W615" s="121"/>
      <c r="X615" s="122"/>
      <c r="Y615" s="115"/>
      <c r="Z615" s="193"/>
      <c r="AA615" s="194"/>
      <c r="AB615" s="195"/>
      <c r="AC615" s="115"/>
      <c r="AD615" s="192"/>
      <c r="AE615" s="196"/>
      <c r="AF615" s="197"/>
      <c r="AG615" s="201"/>
      <c r="AH615" s="201"/>
      <c r="AI615" s="201"/>
      <c r="AJ615" s="201"/>
      <c r="AK615" s="122"/>
      <c r="AL615" s="122"/>
    </row>
    <row r="616">
      <c r="A616" s="115"/>
      <c r="B616" s="150"/>
      <c r="C616" s="89"/>
      <c r="D616" s="55"/>
      <c r="E616" s="115"/>
      <c r="F616" s="150"/>
      <c r="G616" s="188"/>
      <c r="H616" s="189"/>
      <c r="I616" s="115"/>
      <c r="J616" s="150"/>
      <c r="K616" s="89"/>
      <c r="L616" s="55"/>
      <c r="M616" s="115"/>
      <c r="N616" s="190"/>
      <c r="O616" s="89"/>
      <c r="P616" s="55"/>
      <c r="Q616" s="191"/>
      <c r="R616" s="192"/>
      <c r="S616" s="121"/>
      <c r="T616" s="122"/>
      <c r="U616" s="191"/>
      <c r="V616" s="192"/>
      <c r="W616" s="121"/>
      <c r="X616" s="122"/>
      <c r="Y616" s="115"/>
      <c r="Z616" s="193"/>
      <c r="AA616" s="194"/>
      <c r="AB616" s="195"/>
      <c r="AC616" s="115"/>
      <c r="AD616" s="192"/>
      <c r="AE616" s="196"/>
      <c r="AF616" s="197"/>
      <c r="AG616" s="201"/>
      <c r="AH616" s="201"/>
      <c r="AI616" s="201"/>
      <c r="AJ616" s="201"/>
      <c r="AK616" s="122"/>
      <c r="AL616" s="122"/>
    </row>
    <row r="617">
      <c r="A617" s="115"/>
      <c r="B617" s="150"/>
      <c r="C617" s="89"/>
      <c r="D617" s="55"/>
      <c r="E617" s="115"/>
      <c r="F617" s="150"/>
      <c r="G617" s="188"/>
      <c r="H617" s="189"/>
      <c r="I617" s="115"/>
      <c r="J617" s="150"/>
      <c r="K617" s="89"/>
      <c r="L617" s="55"/>
      <c r="M617" s="115"/>
      <c r="N617" s="190"/>
      <c r="O617" s="89"/>
      <c r="P617" s="55"/>
      <c r="Q617" s="191"/>
      <c r="R617" s="192"/>
      <c r="S617" s="121"/>
      <c r="T617" s="122"/>
      <c r="U617" s="191"/>
      <c r="V617" s="192"/>
      <c r="W617" s="121"/>
      <c r="X617" s="122"/>
      <c r="Y617" s="115"/>
      <c r="Z617" s="193"/>
      <c r="AA617" s="194"/>
      <c r="AB617" s="195"/>
      <c r="AC617" s="115"/>
      <c r="AD617" s="192"/>
      <c r="AE617" s="196"/>
      <c r="AF617" s="197"/>
      <c r="AG617" s="201"/>
      <c r="AH617" s="201"/>
      <c r="AI617" s="201"/>
      <c r="AJ617" s="201"/>
      <c r="AK617" s="122"/>
      <c r="AL617" s="122"/>
    </row>
    <row r="618">
      <c r="A618" s="115"/>
      <c r="B618" s="150"/>
      <c r="C618" s="89"/>
      <c r="D618" s="55"/>
      <c r="E618" s="115"/>
      <c r="F618" s="150"/>
      <c r="G618" s="188"/>
      <c r="H618" s="189"/>
      <c r="I618" s="115"/>
      <c r="J618" s="150"/>
      <c r="K618" s="89"/>
      <c r="L618" s="55"/>
      <c r="M618" s="115"/>
      <c r="N618" s="190"/>
      <c r="O618" s="89"/>
      <c r="P618" s="55"/>
      <c r="Q618" s="191"/>
      <c r="R618" s="192"/>
      <c r="S618" s="121"/>
      <c r="T618" s="122"/>
      <c r="U618" s="191"/>
      <c r="V618" s="192"/>
      <c r="W618" s="121"/>
      <c r="X618" s="122"/>
      <c r="Y618" s="115"/>
      <c r="Z618" s="193"/>
      <c r="AA618" s="194"/>
      <c r="AB618" s="195"/>
      <c r="AC618" s="115"/>
      <c r="AD618" s="192"/>
      <c r="AE618" s="196"/>
      <c r="AF618" s="197"/>
      <c r="AG618" s="201"/>
      <c r="AH618" s="201"/>
      <c r="AI618" s="201"/>
      <c r="AJ618" s="201"/>
      <c r="AK618" s="122"/>
      <c r="AL618" s="122"/>
    </row>
    <row r="619">
      <c r="A619" s="115"/>
      <c r="B619" s="150"/>
      <c r="C619" s="89"/>
      <c r="D619" s="55"/>
      <c r="E619" s="115"/>
      <c r="F619" s="150"/>
      <c r="G619" s="188"/>
      <c r="H619" s="189"/>
      <c r="I619" s="115"/>
      <c r="J619" s="150"/>
      <c r="K619" s="89"/>
      <c r="L619" s="55"/>
      <c r="M619" s="115"/>
      <c r="N619" s="190"/>
      <c r="O619" s="89"/>
      <c r="P619" s="55"/>
      <c r="Q619" s="191"/>
      <c r="R619" s="192"/>
      <c r="S619" s="121"/>
      <c r="T619" s="122"/>
      <c r="U619" s="191"/>
      <c r="V619" s="192"/>
      <c r="W619" s="121"/>
      <c r="X619" s="122"/>
      <c r="Y619" s="115"/>
      <c r="Z619" s="193"/>
      <c r="AA619" s="194"/>
      <c r="AB619" s="195"/>
      <c r="AC619" s="115"/>
      <c r="AD619" s="192"/>
      <c r="AE619" s="196"/>
      <c r="AF619" s="197"/>
      <c r="AG619" s="201"/>
      <c r="AH619" s="201"/>
      <c r="AI619" s="201"/>
      <c r="AJ619" s="201"/>
      <c r="AK619" s="122"/>
      <c r="AL619" s="122"/>
    </row>
    <row r="620">
      <c r="A620" s="115"/>
      <c r="B620" s="150"/>
      <c r="C620" s="89"/>
      <c r="D620" s="55"/>
      <c r="E620" s="115"/>
      <c r="F620" s="150"/>
      <c r="G620" s="188"/>
      <c r="H620" s="189"/>
      <c r="I620" s="115"/>
      <c r="J620" s="150"/>
      <c r="K620" s="89"/>
      <c r="L620" s="55"/>
      <c r="M620" s="115"/>
      <c r="N620" s="190"/>
      <c r="O620" s="89"/>
      <c r="P620" s="55"/>
      <c r="Q620" s="191"/>
      <c r="R620" s="192"/>
      <c r="S620" s="121"/>
      <c r="T620" s="122"/>
      <c r="U620" s="191"/>
      <c r="V620" s="192"/>
      <c r="W620" s="121"/>
      <c r="X620" s="122"/>
      <c r="Y620" s="115"/>
      <c r="Z620" s="193"/>
      <c r="AA620" s="194"/>
      <c r="AB620" s="195"/>
      <c r="AC620" s="115"/>
      <c r="AD620" s="192"/>
      <c r="AE620" s="196"/>
      <c r="AF620" s="197"/>
      <c r="AG620" s="201"/>
      <c r="AH620" s="201"/>
      <c r="AI620" s="201"/>
      <c r="AJ620" s="201"/>
      <c r="AK620" s="122"/>
      <c r="AL620" s="122"/>
    </row>
    <row r="621">
      <c r="A621" s="115"/>
      <c r="B621" s="150"/>
      <c r="C621" s="89"/>
      <c r="D621" s="55"/>
      <c r="E621" s="115"/>
      <c r="F621" s="150"/>
      <c r="G621" s="188"/>
      <c r="H621" s="189"/>
      <c r="I621" s="115"/>
      <c r="J621" s="150"/>
      <c r="K621" s="89"/>
      <c r="L621" s="55"/>
      <c r="M621" s="115"/>
      <c r="N621" s="190"/>
      <c r="O621" s="89"/>
      <c r="P621" s="55"/>
      <c r="Q621" s="191"/>
      <c r="R621" s="192"/>
      <c r="S621" s="121"/>
      <c r="T621" s="122"/>
      <c r="U621" s="191"/>
      <c r="V621" s="192"/>
      <c r="W621" s="121"/>
      <c r="X621" s="122"/>
      <c r="Y621" s="115"/>
      <c r="Z621" s="193"/>
      <c r="AA621" s="194"/>
      <c r="AB621" s="195"/>
      <c r="AC621" s="115"/>
      <c r="AD621" s="192"/>
      <c r="AE621" s="196"/>
      <c r="AF621" s="197"/>
      <c r="AG621" s="201"/>
      <c r="AH621" s="201"/>
      <c r="AI621" s="201"/>
      <c r="AJ621" s="201"/>
      <c r="AK621" s="122"/>
      <c r="AL621" s="122"/>
    </row>
    <row r="622">
      <c r="A622" s="115"/>
      <c r="B622" s="150"/>
      <c r="C622" s="89"/>
      <c r="D622" s="55"/>
      <c r="E622" s="115"/>
      <c r="F622" s="150"/>
      <c r="G622" s="188"/>
      <c r="H622" s="189"/>
      <c r="I622" s="115"/>
      <c r="J622" s="150"/>
      <c r="K622" s="89"/>
      <c r="L622" s="55"/>
      <c r="M622" s="115"/>
      <c r="N622" s="190"/>
      <c r="O622" s="89"/>
      <c r="P622" s="55"/>
      <c r="Q622" s="191"/>
      <c r="R622" s="192"/>
      <c r="S622" s="121"/>
      <c r="T622" s="122"/>
      <c r="U622" s="191"/>
      <c r="V622" s="192"/>
      <c r="W622" s="121"/>
      <c r="X622" s="122"/>
      <c r="Y622" s="115"/>
      <c r="Z622" s="193"/>
      <c r="AA622" s="194"/>
      <c r="AB622" s="195"/>
      <c r="AC622" s="115"/>
      <c r="AD622" s="192"/>
      <c r="AE622" s="196"/>
      <c r="AF622" s="197"/>
      <c r="AG622" s="201"/>
      <c r="AH622" s="201"/>
      <c r="AI622" s="201"/>
      <c r="AJ622" s="201"/>
      <c r="AK622" s="122"/>
      <c r="AL622" s="122"/>
    </row>
    <row r="623">
      <c r="A623" s="115"/>
      <c r="B623" s="150"/>
      <c r="C623" s="89"/>
      <c r="D623" s="55"/>
      <c r="E623" s="115"/>
      <c r="F623" s="150"/>
      <c r="G623" s="188"/>
      <c r="H623" s="189"/>
      <c r="I623" s="115"/>
      <c r="J623" s="150"/>
      <c r="K623" s="89"/>
      <c r="L623" s="55"/>
      <c r="M623" s="115"/>
      <c r="N623" s="190"/>
      <c r="O623" s="89"/>
      <c r="P623" s="55"/>
      <c r="Q623" s="191"/>
      <c r="R623" s="192"/>
      <c r="S623" s="121"/>
      <c r="T623" s="122"/>
      <c r="U623" s="191"/>
      <c r="V623" s="192"/>
      <c r="W623" s="121"/>
      <c r="X623" s="122"/>
      <c r="Y623" s="115"/>
      <c r="Z623" s="193"/>
      <c r="AA623" s="194"/>
      <c r="AB623" s="195"/>
      <c r="AC623" s="115"/>
      <c r="AD623" s="192"/>
      <c r="AE623" s="196"/>
      <c r="AF623" s="197"/>
      <c r="AG623" s="201"/>
      <c r="AH623" s="201"/>
      <c r="AI623" s="201"/>
      <c r="AJ623" s="201"/>
      <c r="AK623" s="122"/>
      <c r="AL623" s="122"/>
    </row>
    <row r="624">
      <c r="A624" s="115"/>
      <c r="B624" s="150"/>
      <c r="C624" s="89"/>
      <c r="D624" s="55"/>
      <c r="E624" s="115"/>
      <c r="F624" s="150"/>
      <c r="G624" s="188"/>
      <c r="H624" s="189"/>
      <c r="I624" s="115"/>
      <c r="J624" s="150"/>
      <c r="K624" s="89"/>
      <c r="L624" s="55"/>
      <c r="M624" s="115"/>
      <c r="N624" s="190"/>
      <c r="O624" s="89"/>
      <c r="P624" s="55"/>
      <c r="Q624" s="191"/>
      <c r="R624" s="192"/>
      <c r="S624" s="121"/>
      <c r="T624" s="122"/>
      <c r="U624" s="191"/>
      <c r="V624" s="192"/>
      <c r="W624" s="121"/>
      <c r="X624" s="122"/>
      <c r="Y624" s="115"/>
      <c r="Z624" s="193"/>
      <c r="AA624" s="194"/>
      <c r="AB624" s="195"/>
      <c r="AC624" s="115"/>
      <c r="AD624" s="192"/>
      <c r="AE624" s="196"/>
      <c r="AF624" s="197"/>
      <c r="AG624" s="201"/>
      <c r="AH624" s="201"/>
      <c r="AI624" s="201"/>
      <c r="AJ624" s="201"/>
      <c r="AK624" s="122"/>
      <c r="AL624" s="122"/>
    </row>
    <row r="625">
      <c r="A625" s="115"/>
      <c r="B625" s="150"/>
      <c r="C625" s="89"/>
      <c r="D625" s="55"/>
      <c r="E625" s="115"/>
      <c r="F625" s="150"/>
      <c r="G625" s="188"/>
      <c r="H625" s="189"/>
      <c r="I625" s="115"/>
      <c r="J625" s="150"/>
      <c r="K625" s="89"/>
      <c r="L625" s="55"/>
      <c r="M625" s="115"/>
      <c r="N625" s="190"/>
      <c r="O625" s="89"/>
      <c r="P625" s="55"/>
      <c r="Q625" s="191"/>
      <c r="R625" s="192"/>
      <c r="S625" s="121"/>
      <c r="T625" s="122"/>
      <c r="U625" s="191"/>
      <c r="V625" s="192"/>
      <c r="W625" s="121"/>
      <c r="X625" s="122"/>
      <c r="Y625" s="115"/>
      <c r="Z625" s="193"/>
      <c r="AA625" s="194"/>
      <c r="AB625" s="195"/>
      <c r="AC625" s="115"/>
      <c r="AD625" s="192"/>
      <c r="AE625" s="196"/>
      <c r="AF625" s="197"/>
      <c r="AG625" s="201"/>
      <c r="AH625" s="201"/>
      <c r="AI625" s="201"/>
      <c r="AJ625" s="201"/>
      <c r="AK625" s="122"/>
      <c r="AL625" s="122"/>
    </row>
    <row r="626">
      <c r="A626" s="115"/>
      <c r="B626" s="150"/>
      <c r="C626" s="89"/>
      <c r="D626" s="55"/>
      <c r="E626" s="115"/>
      <c r="F626" s="150"/>
      <c r="G626" s="188"/>
      <c r="H626" s="189"/>
      <c r="I626" s="115"/>
      <c r="J626" s="150"/>
      <c r="K626" s="89"/>
      <c r="L626" s="55"/>
      <c r="M626" s="115"/>
      <c r="N626" s="190"/>
      <c r="O626" s="89"/>
      <c r="P626" s="55"/>
      <c r="Q626" s="191"/>
      <c r="R626" s="192"/>
      <c r="S626" s="121"/>
      <c r="T626" s="122"/>
      <c r="U626" s="191"/>
      <c r="V626" s="192"/>
      <c r="W626" s="121"/>
      <c r="X626" s="122"/>
      <c r="Y626" s="115"/>
      <c r="Z626" s="193"/>
      <c r="AA626" s="194"/>
      <c r="AB626" s="195"/>
      <c r="AC626" s="115"/>
      <c r="AD626" s="192"/>
      <c r="AE626" s="196"/>
      <c r="AF626" s="197"/>
      <c r="AG626" s="201"/>
      <c r="AH626" s="201"/>
      <c r="AI626" s="201"/>
      <c r="AJ626" s="201"/>
      <c r="AK626" s="122"/>
      <c r="AL626" s="122"/>
    </row>
    <row r="627">
      <c r="A627" s="115"/>
      <c r="B627" s="150"/>
      <c r="C627" s="89"/>
      <c r="D627" s="55"/>
      <c r="E627" s="115"/>
      <c r="F627" s="150"/>
      <c r="G627" s="188"/>
      <c r="H627" s="189"/>
      <c r="I627" s="115"/>
      <c r="J627" s="150"/>
      <c r="K627" s="89"/>
      <c r="L627" s="55"/>
      <c r="M627" s="115"/>
      <c r="N627" s="190"/>
      <c r="O627" s="89"/>
      <c r="P627" s="55"/>
      <c r="Q627" s="191"/>
      <c r="R627" s="192"/>
      <c r="S627" s="121"/>
      <c r="T627" s="122"/>
      <c r="U627" s="191"/>
      <c r="V627" s="192"/>
      <c r="W627" s="121"/>
      <c r="X627" s="122"/>
      <c r="Y627" s="115"/>
      <c r="Z627" s="193"/>
      <c r="AA627" s="194"/>
      <c r="AB627" s="195"/>
      <c r="AC627" s="115"/>
      <c r="AD627" s="192"/>
      <c r="AE627" s="196"/>
      <c r="AF627" s="197"/>
      <c r="AG627" s="201"/>
      <c r="AH627" s="201"/>
      <c r="AI627" s="201"/>
      <c r="AJ627" s="201"/>
      <c r="AK627" s="122"/>
      <c r="AL627" s="122"/>
    </row>
    <row r="628">
      <c r="A628" s="115"/>
      <c r="B628" s="150"/>
      <c r="C628" s="89"/>
      <c r="D628" s="55"/>
      <c r="E628" s="115"/>
      <c r="F628" s="150"/>
      <c r="G628" s="188"/>
      <c r="H628" s="189"/>
      <c r="I628" s="115"/>
      <c r="J628" s="150"/>
      <c r="K628" s="89"/>
      <c r="L628" s="55"/>
      <c r="M628" s="115"/>
      <c r="N628" s="190"/>
      <c r="O628" s="89"/>
      <c r="P628" s="55"/>
      <c r="Q628" s="191"/>
      <c r="R628" s="192"/>
      <c r="S628" s="121"/>
      <c r="T628" s="122"/>
      <c r="U628" s="191"/>
      <c r="V628" s="192"/>
      <c r="W628" s="121"/>
      <c r="X628" s="122"/>
      <c r="Y628" s="115"/>
      <c r="Z628" s="193"/>
      <c r="AA628" s="194"/>
      <c r="AB628" s="195"/>
      <c r="AC628" s="115"/>
      <c r="AD628" s="192"/>
      <c r="AE628" s="196"/>
      <c r="AF628" s="197"/>
      <c r="AG628" s="201"/>
      <c r="AH628" s="201"/>
      <c r="AI628" s="201"/>
      <c r="AJ628" s="201"/>
      <c r="AK628" s="122"/>
      <c r="AL628" s="122"/>
    </row>
    <row r="629">
      <c r="A629" s="115"/>
      <c r="B629" s="150"/>
      <c r="C629" s="89"/>
      <c r="D629" s="55"/>
      <c r="E629" s="115"/>
      <c r="F629" s="150"/>
      <c r="G629" s="188"/>
      <c r="H629" s="189"/>
      <c r="I629" s="115"/>
      <c r="J629" s="150"/>
      <c r="K629" s="89"/>
      <c r="L629" s="55"/>
      <c r="M629" s="115"/>
      <c r="N629" s="190"/>
      <c r="O629" s="89"/>
      <c r="P629" s="55"/>
      <c r="Q629" s="191"/>
      <c r="R629" s="192"/>
      <c r="S629" s="121"/>
      <c r="T629" s="122"/>
      <c r="U629" s="191"/>
      <c r="V629" s="192"/>
      <c r="W629" s="121"/>
      <c r="X629" s="122"/>
      <c r="Y629" s="115"/>
      <c r="Z629" s="193"/>
      <c r="AA629" s="194"/>
      <c r="AB629" s="195"/>
      <c r="AC629" s="115"/>
      <c r="AD629" s="192"/>
      <c r="AE629" s="196"/>
      <c r="AF629" s="197"/>
      <c r="AG629" s="201"/>
      <c r="AH629" s="201"/>
      <c r="AI629" s="201"/>
      <c r="AJ629" s="201"/>
      <c r="AK629" s="122"/>
      <c r="AL629" s="122"/>
    </row>
    <row r="630">
      <c r="A630" s="115"/>
      <c r="B630" s="150"/>
      <c r="C630" s="89"/>
      <c r="D630" s="55"/>
      <c r="E630" s="115"/>
      <c r="F630" s="150"/>
      <c r="G630" s="188"/>
      <c r="H630" s="189"/>
      <c r="I630" s="115"/>
      <c r="J630" s="150"/>
      <c r="K630" s="89"/>
      <c r="L630" s="55"/>
      <c r="M630" s="115"/>
      <c r="N630" s="190"/>
      <c r="O630" s="89"/>
      <c r="P630" s="55"/>
      <c r="Q630" s="191"/>
      <c r="R630" s="192"/>
      <c r="S630" s="121"/>
      <c r="T630" s="122"/>
      <c r="U630" s="191"/>
      <c r="V630" s="192"/>
      <c r="W630" s="121"/>
      <c r="X630" s="122"/>
      <c r="Y630" s="115"/>
      <c r="Z630" s="193"/>
      <c r="AA630" s="194"/>
      <c r="AB630" s="195"/>
      <c r="AC630" s="115"/>
      <c r="AD630" s="192"/>
      <c r="AE630" s="196"/>
      <c r="AF630" s="197"/>
      <c r="AG630" s="201"/>
      <c r="AH630" s="201"/>
      <c r="AI630" s="201"/>
      <c r="AJ630" s="201"/>
      <c r="AK630" s="122"/>
      <c r="AL630" s="122"/>
    </row>
    <row r="631">
      <c r="A631" s="115"/>
      <c r="B631" s="150"/>
      <c r="C631" s="89"/>
      <c r="D631" s="55"/>
      <c r="E631" s="115"/>
      <c r="F631" s="150"/>
      <c r="G631" s="188"/>
      <c r="H631" s="189"/>
      <c r="I631" s="115"/>
      <c r="J631" s="150"/>
      <c r="K631" s="89"/>
      <c r="L631" s="55"/>
      <c r="M631" s="115"/>
      <c r="N631" s="190"/>
      <c r="O631" s="89"/>
      <c r="P631" s="55"/>
      <c r="Q631" s="191"/>
      <c r="R631" s="192"/>
      <c r="S631" s="121"/>
      <c r="T631" s="122"/>
      <c r="U631" s="191"/>
      <c r="V631" s="192"/>
      <c r="W631" s="121"/>
      <c r="X631" s="122"/>
      <c r="Y631" s="115"/>
      <c r="Z631" s="193"/>
      <c r="AA631" s="194"/>
      <c r="AB631" s="195"/>
      <c r="AC631" s="115"/>
      <c r="AD631" s="192"/>
      <c r="AE631" s="196"/>
      <c r="AF631" s="197"/>
      <c r="AG631" s="201"/>
      <c r="AH631" s="201"/>
      <c r="AI631" s="201"/>
      <c r="AJ631" s="201"/>
      <c r="AK631" s="122"/>
      <c r="AL631" s="122"/>
    </row>
    <row r="632">
      <c r="A632" s="115"/>
      <c r="B632" s="150"/>
      <c r="C632" s="89"/>
      <c r="D632" s="55"/>
      <c r="E632" s="115"/>
      <c r="F632" s="150"/>
      <c r="G632" s="188"/>
      <c r="H632" s="189"/>
      <c r="I632" s="115"/>
      <c r="J632" s="150"/>
      <c r="K632" s="89"/>
      <c r="L632" s="55"/>
      <c r="M632" s="115"/>
      <c r="N632" s="190"/>
      <c r="O632" s="89"/>
      <c r="P632" s="55"/>
      <c r="Q632" s="191"/>
      <c r="R632" s="192"/>
      <c r="S632" s="121"/>
      <c r="T632" s="122"/>
      <c r="U632" s="191"/>
      <c r="V632" s="192"/>
      <c r="W632" s="121"/>
      <c r="X632" s="122"/>
      <c r="Y632" s="115"/>
      <c r="Z632" s="193"/>
      <c r="AA632" s="194"/>
      <c r="AB632" s="195"/>
      <c r="AC632" s="115"/>
      <c r="AD632" s="192"/>
      <c r="AE632" s="196"/>
      <c r="AF632" s="197"/>
      <c r="AG632" s="201"/>
      <c r="AH632" s="201"/>
      <c r="AI632" s="201"/>
      <c r="AJ632" s="201"/>
      <c r="AK632" s="122"/>
      <c r="AL632" s="122"/>
    </row>
    <row r="633">
      <c r="A633" s="115"/>
      <c r="B633" s="150"/>
      <c r="C633" s="89"/>
      <c r="D633" s="55"/>
      <c r="E633" s="115"/>
      <c r="F633" s="150"/>
      <c r="G633" s="188"/>
      <c r="H633" s="189"/>
      <c r="I633" s="115"/>
      <c r="J633" s="150"/>
      <c r="K633" s="89"/>
      <c r="L633" s="55"/>
      <c r="M633" s="115"/>
      <c r="N633" s="190"/>
      <c r="O633" s="89"/>
      <c r="P633" s="55"/>
      <c r="Q633" s="191"/>
      <c r="R633" s="192"/>
      <c r="S633" s="121"/>
      <c r="T633" s="122"/>
      <c r="U633" s="191"/>
      <c r="V633" s="192"/>
      <c r="W633" s="121"/>
      <c r="X633" s="122"/>
      <c r="Y633" s="115"/>
      <c r="Z633" s="193"/>
      <c r="AA633" s="194"/>
      <c r="AB633" s="195"/>
      <c r="AC633" s="115"/>
      <c r="AD633" s="192"/>
      <c r="AE633" s="196"/>
      <c r="AF633" s="197"/>
      <c r="AG633" s="201"/>
      <c r="AH633" s="201"/>
      <c r="AI633" s="201"/>
      <c r="AJ633" s="201"/>
      <c r="AK633" s="122"/>
      <c r="AL633" s="122"/>
    </row>
    <row r="634">
      <c r="A634" s="115"/>
      <c r="B634" s="150"/>
      <c r="C634" s="89"/>
      <c r="D634" s="55"/>
      <c r="E634" s="115"/>
      <c r="F634" s="150"/>
      <c r="G634" s="188"/>
      <c r="H634" s="189"/>
      <c r="I634" s="115"/>
      <c r="J634" s="150"/>
      <c r="K634" s="89"/>
      <c r="L634" s="55"/>
      <c r="M634" s="115"/>
      <c r="N634" s="190"/>
      <c r="O634" s="89"/>
      <c r="P634" s="55"/>
      <c r="Q634" s="191"/>
      <c r="R634" s="192"/>
      <c r="S634" s="121"/>
      <c r="T634" s="122"/>
      <c r="U634" s="191"/>
      <c r="V634" s="192"/>
      <c r="W634" s="121"/>
      <c r="X634" s="122"/>
      <c r="Y634" s="115"/>
      <c r="Z634" s="193"/>
      <c r="AA634" s="194"/>
      <c r="AB634" s="195"/>
      <c r="AC634" s="115"/>
      <c r="AD634" s="192"/>
      <c r="AE634" s="196"/>
      <c r="AF634" s="197"/>
      <c r="AG634" s="201"/>
      <c r="AH634" s="201"/>
      <c r="AI634" s="201"/>
      <c r="AJ634" s="201"/>
      <c r="AK634" s="122"/>
      <c r="AL634" s="122"/>
    </row>
    <row r="635">
      <c r="A635" s="115"/>
      <c r="B635" s="150"/>
      <c r="C635" s="89"/>
      <c r="D635" s="55"/>
      <c r="E635" s="115"/>
      <c r="F635" s="150"/>
      <c r="G635" s="188"/>
      <c r="H635" s="189"/>
      <c r="I635" s="115"/>
      <c r="J635" s="150"/>
      <c r="K635" s="89"/>
      <c r="L635" s="55"/>
      <c r="M635" s="115"/>
      <c r="N635" s="190"/>
      <c r="O635" s="89"/>
      <c r="P635" s="55"/>
      <c r="Q635" s="191"/>
      <c r="R635" s="192"/>
      <c r="S635" s="121"/>
      <c r="T635" s="122"/>
      <c r="U635" s="191"/>
      <c r="V635" s="192"/>
      <c r="W635" s="121"/>
      <c r="X635" s="122"/>
      <c r="Y635" s="115"/>
      <c r="Z635" s="193"/>
      <c r="AA635" s="194"/>
      <c r="AB635" s="195"/>
      <c r="AC635" s="115"/>
      <c r="AD635" s="192"/>
      <c r="AE635" s="196"/>
      <c r="AF635" s="197"/>
      <c r="AG635" s="201"/>
      <c r="AH635" s="201"/>
      <c r="AI635" s="201"/>
      <c r="AJ635" s="201"/>
      <c r="AK635" s="122"/>
      <c r="AL635" s="122"/>
    </row>
    <row r="636">
      <c r="A636" s="115"/>
      <c r="B636" s="150"/>
      <c r="C636" s="89"/>
      <c r="D636" s="55"/>
      <c r="E636" s="115"/>
      <c r="F636" s="150"/>
      <c r="G636" s="188"/>
      <c r="H636" s="189"/>
      <c r="I636" s="115"/>
      <c r="J636" s="150"/>
      <c r="K636" s="89"/>
      <c r="L636" s="55"/>
      <c r="M636" s="115"/>
      <c r="N636" s="190"/>
      <c r="O636" s="89"/>
      <c r="P636" s="55"/>
      <c r="Q636" s="191"/>
      <c r="R636" s="192"/>
      <c r="S636" s="121"/>
      <c r="T636" s="122"/>
      <c r="U636" s="191"/>
      <c r="V636" s="192"/>
      <c r="W636" s="121"/>
      <c r="X636" s="122"/>
      <c r="Y636" s="115"/>
      <c r="Z636" s="193"/>
      <c r="AA636" s="194"/>
      <c r="AB636" s="195"/>
      <c r="AC636" s="115"/>
      <c r="AD636" s="192"/>
      <c r="AE636" s="196"/>
      <c r="AF636" s="197"/>
      <c r="AG636" s="201"/>
      <c r="AH636" s="201"/>
      <c r="AI636" s="201"/>
      <c r="AJ636" s="201"/>
      <c r="AK636" s="122"/>
      <c r="AL636" s="122"/>
    </row>
    <row r="637">
      <c r="A637" s="115"/>
      <c r="B637" s="150"/>
      <c r="C637" s="89"/>
      <c r="D637" s="55"/>
      <c r="E637" s="115"/>
      <c r="F637" s="150"/>
      <c r="G637" s="188"/>
      <c r="H637" s="189"/>
      <c r="I637" s="115"/>
      <c r="J637" s="150"/>
      <c r="K637" s="89"/>
      <c r="L637" s="55"/>
      <c r="M637" s="115"/>
      <c r="N637" s="190"/>
      <c r="O637" s="89"/>
      <c r="P637" s="55"/>
      <c r="Q637" s="191"/>
      <c r="R637" s="192"/>
      <c r="S637" s="121"/>
      <c r="T637" s="122"/>
      <c r="U637" s="191"/>
      <c r="V637" s="192"/>
      <c r="W637" s="121"/>
      <c r="X637" s="122"/>
      <c r="Y637" s="115"/>
      <c r="Z637" s="193"/>
      <c r="AA637" s="194"/>
      <c r="AB637" s="195"/>
      <c r="AC637" s="115"/>
      <c r="AD637" s="192"/>
      <c r="AE637" s="196"/>
      <c r="AF637" s="197"/>
      <c r="AG637" s="201"/>
      <c r="AH637" s="201"/>
      <c r="AI637" s="201"/>
      <c r="AJ637" s="201"/>
      <c r="AK637" s="122"/>
      <c r="AL637" s="122"/>
    </row>
    <row r="638">
      <c r="A638" s="115"/>
      <c r="B638" s="150"/>
      <c r="C638" s="89"/>
      <c r="D638" s="55"/>
      <c r="E638" s="115"/>
      <c r="F638" s="150"/>
      <c r="G638" s="188"/>
      <c r="H638" s="189"/>
      <c r="I638" s="115"/>
      <c r="J638" s="150"/>
      <c r="K638" s="89"/>
      <c r="L638" s="55"/>
      <c r="M638" s="115"/>
      <c r="N638" s="190"/>
      <c r="O638" s="89"/>
      <c r="P638" s="55"/>
      <c r="Q638" s="191"/>
      <c r="R638" s="192"/>
      <c r="S638" s="121"/>
      <c r="T638" s="122"/>
      <c r="U638" s="191"/>
      <c r="V638" s="192"/>
      <c r="W638" s="121"/>
      <c r="X638" s="122"/>
      <c r="Y638" s="115"/>
      <c r="Z638" s="193"/>
      <c r="AA638" s="194"/>
      <c r="AB638" s="195"/>
      <c r="AC638" s="115"/>
      <c r="AD638" s="192"/>
      <c r="AE638" s="196"/>
      <c r="AF638" s="197"/>
      <c r="AG638" s="201"/>
      <c r="AH638" s="201"/>
      <c r="AI638" s="201"/>
      <c r="AJ638" s="201"/>
      <c r="AK638" s="122"/>
      <c r="AL638" s="122"/>
    </row>
    <row r="639">
      <c r="A639" s="115"/>
      <c r="B639" s="150"/>
      <c r="C639" s="89"/>
      <c r="D639" s="55"/>
      <c r="E639" s="115"/>
      <c r="F639" s="150"/>
      <c r="G639" s="188"/>
      <c r="H639" s="189"/>
      <c r="I639" s="115"/>
      <c r="J639" s="150"/>
      <c r="K639" s="89"/>
      <c r="L639" s="55"/>
      <c r="M639" s="115"/>
      <c r="N639" s="190"/>
      <c r="O639" s="89"/>
      <c r="P639" s="55"/>
      <c r="Q639" s="191"/>
      <c r="R639" s="192"/>
      <c r="S639" s="121"/>
      <c r="T639" s="122"/>
      <c r="U639" s="191"/>
      <c r="V639" s="192"/>
      <c r="W639" s="121"/>
      <c r="X639" s="122"/>
      <c r="Y639" s="115"/>
      <c r="Z639" s="193"/>
      <c r="AA639" s="194"/>
      <c r="AB639" s="195"/>
      <c r="AC639" s="115"/>
      <c r="AD639" s="192"/>
      <c r="AE639" s="196"/>
      <c r="AF639" s="197"/>
      <c r="AG639" s="201"/>
      <c r="AH639" s="201"/>
      <c r="AI639" s="201"/>
      <c r="AJ639" s="201"/>
      <c r="AK639" s="122"/>
      <c r="AL639" s="122"/>
    </row>
    <row r="640">
      <c r="A640" s="115"/>
      <c r="B640" s="150"/>
      <c r="C640" s="89"/>
      <c r="D640" s="55"/>
      <c r="E640" s="115"/>
      <c r="F640" s="150"/>
      <c r="G640" s="188"/>
      <c r="H640" s="189"/>
      <c r="I640" s="115"/>
      <c r="J640" s="150"/>
      <c r="K640" s="89"/>
      <c r="L640" s="55"/>
      <c r="M640" s="115"/>
      <c r="N640" s="190"/>
      <c r="O640" s="89"/>
      <c r="P640" s="55"/>
      <c r="Q640" s="191"/>
      <c r="R640" s="192"/>
      <c r="S640" s="121"/>
      <c r="T640" s="122"/>
      <c r="U640" s="191"/>
      <c r="V640" s="192"/>
      <c r="W640" s="121"/>
      <c r="X640" s="122"/>
      <c r="Y640" s="115"/>
      <c r="Z640" s="193"/>
      <c r="AA640" s="194"/>
      <c r="AB640" s="195"/>
      <c r="AC640" s="115"/>
      <c r="AD640" s="192"/>
      <c r="AE640" s="196"/>
      <c r="AF640" s="197"/>
      <c r="AG640" s="201"/>
      <c r="AH640" s="201"/>
      <c r="AI640" s="201"/>
      <c r="AJ640" s="201"/>
      <c r="AK640" s="122"/>
      <c r="AL640" s="122"/>
    </row>
    <row r="641">
      <c r="A641" s="115"/>
      <c r="B641" s="150"/>
      <c r="C641" s="89"/>
      <c r="D641" s="55"/>
      <c r="E641" s="115"/>
      <c r="F641" s="150"/>
      <c r="G641" s="188"/>
      <c r="H641" s="189"/>
      <c r="I641" s="115"/>
      <c r="J641" s="150"/>
      <c r="K641" s="89"/>
      <c r="L641" s="55"/>
      <c r="M641" s="115"/>
      <c r="N641" s="190"/>
      <c r="O641" s="89"/>
      <c r="P641" s="55"/>
      <c r="Q641" s="191"/>
      <c r="R641" s="192"/>
      <c r="S641" s="121"/>
      <c r="T641" s="122"/>
      <c r="U641" s="191"/>
      <c r="V641" s="192"/>
      <c r="W641" s="121"/>
      <c r="X641" s="122"/>
      <c r="Y641" s="115"/>
      <c r="Z641" s="193"/>
      <c r="AA641" s="194"/>
      <c r="AB641" s="195"/>
      <c r="AC641" s="115"/>
      <c r="AD641" s="192"/>
      <c r="AE641" s="196"/>
      <c r="AF641" s="197"/>
      <c r="AG641" s="201"/>
      <c r="AH641" s="201"/>
      <c r="AI641" s="201"/>
      <c r="AJ641" s="201"/>
      <c r="AK641" s="122"/>
      <c r="AL641" s="122"/>
    </row>
    <row r="642">
      <c r="A642" s="115"/>
      <c r="B642" s="150"/>
      <c r="C642" s="89"/>
      <c r="D642" s="55"/>
      <c r="E642" s="115"/>
      <c r="F642" s="150"/>
      <c r="G642" s="188"/>
      <c r="H642" s="189"/>
      <c r="I642" s="115"/>
      <c r="J642" s="150"/>
      <c r="K642" s="89"/>
      <c r="L642" s="55"/>
      <c r="M642" s="115"/>
      <c r="N642" s="190"/>
      <c r="O642" s="89"/>
      <c r="P642" s="55"/>
      <c r="Q642" s="191"/>
      <c r="R642" s="192"/>
      <c r="S642" s="121"/>
      <c r="T642" s="122"/>
      <c r="U642" s="191"/>
      <c r="V642" s="192"/>
      <c r="W642" s="121"/>
      <c r="X642" s="122"/>
      <c r="Y642" s="115"/>
      <c r="Z642" s="193"/>
      <c r="AA642" s="194"/>
      <c r="AB642" s="195"/>
      <c r="AC642" s="115"/>
      <c r="AD642" s="192"/>
      <c r="AE642" s="196"/>
      <c r="AF642" s="197"/>
      <c r="AG642" s="201"/>
      <c r="AH642" s="201"/>
      <c r="AI642" s="201"/>
      <c r="AJ642" s="201"/>
      <c r="AK642" s="122"/>
      <c r="AL642" s="122"/>
    </row>
    <row r="643">
      <c r="A643" s="115"/>
      <c r="B643" s="150"/>
      <c r="C643" s="89"/>
      <c r="D643" s="55"/>
      <c r="E643" s="115"/>
      <c r="F643" s="150"/>
      <c r="G643" s="188"/>
      <c r="H643" s="189"/>
      <c r="I643" s="115"/>
      <c r="J643" s="150"/>
      <c r="K643" s="89"/>
      <c r="L643" s="55"/>
      <c r="M643" s="115"/>
      <c r="N643" s="190"/>
      <c r="O643" s="89"/>
      <c r="P643" s="55"/>
      <c r="Q643" s="191"/>
      <c r="R643" s="192"/>
      <c r="S643" s="121"/>
      <c r="T643" s="122"/>
      <c r="U643" s="191"/>
      <c r="V643" s="192"/>
      <c r="W643" s="121"/>
      <c r="X643" s="122"/>
      <c r="Y643" s="115"/>
      <c r="Z643" s="193"/>
      <c r="AA643" s="194"/>
      <c r="AB643" s="195"/>
      <c r="AC643" s="115"/>
      <c r="AD643" s="192"/>
      <c r="AE643" s="196"/>
      <c r="AF643" s="197"/>
      <c r="AG643" s="201"/>
      <c r="AH643" s="201"/>
      <c r="AI643" s="201"/>
      <c r="AJ643" s="201"/>
      <c r="AK643" s="122"/>
      <c r="AL643" s="122"/>
    </row>
    <row r="644">
      <c r="A644" s="115"/>
      <c r="B644" s="150"/>
      <c r="C644" s="89"/>
      <c r="D644" s="55"/>
      <c r="E644" s="115"/>
      <c r="F644" s="150"/>
      <c r="G644" s="188"/>
      <c r="H644" s="189"/>
      <c r="I644" s="115"/>
      <c r="J644" s="150"/>
      <c r="K644" s="89"/>
      <c r="L644" s="55"/>
      <c r="M644" s="115"/>
      <c r="N644" s="190"/>
      <c r="O644" s="89"/>
      <c r="P644" s="55"/>
      <c r="Q644" s="191"/>
      <c r="R644" s="192"/>
      <c r="S644" s="121"/>
      <c r="T644" s="122"/>
      <c r="U644" s="191"/>
      <c r="V644" s="192"/>
      <c r="W644" s="121"/>
      <c r="X644" s="122"/>
      <c r="Y644" s="115"/>
      <c r="Z644" s="193"/>
      <c r="AA644" s="194"/>
      <c r="AB644" s="195"/>
      <c r="AC644" s="115"/>
      <c r="AD644" s="192"/>
      <c r="AE644" s="196"/>
      <c r="AF644" s="197"/>
      <c r="AG644" s="201"/>
      <c r="AH644" s="201"/>
      <c r="AI644" s="201"/>
      <c r="AJ644" s="201"/>
      <c r="AK644" s="122"/>
      <c r="AL644" s="122"/>
    </row>
    <row r="645">
      <c r="A645" s="115"/>
      <c r="B645" s="150"/>
      <c r="C645" s="89"/>
      <c r="D645" s="55"/>
      <c r="E645" s="115"/>
      <c r="F645" s="150"/>
      <c r="G645" s="188"/>
      <c r="H645" s="189"/>
      <c r="I645" s="115"/>
      <c r="J645" s="150"/>
      <c r="K645" s="89"/>
      <c r="L645" s="55"/>
      <c r="M645" s="115"/>
      <c r="N645" s="190"/>
      <c r="O645" s="89"/>
      <c r="P645" s="55"/>
      <c r="Q645" s="191"/>
      <c r="R645" s="192"/>
      <c r="S645" s="121"/>
      <c r="T645" s="122"/>
      <c r="U645" s="191"/>
      <c r="V645" s="192"/>
      <c r="W645" s="121"/>
      <c r="X645" s="122"/>
      <c r="Y645" s="115"/>
      <c r="Z645" s="193"/>
      <c r="AA645" s="194"/>
      <c r="AB645" s="195"/>
      <c r="AC645" s="115"/>
      <c r="AD645" s="192"/>
      <c r="AE645" s="196"/>
      <c r="AF645" s="197"/>
      <c r="AG645" s="201"/>
      <c r="AH645" s="201"/>
      <c r="AI645" s="201"/>
      <c r="AJ645" s="201"/>
      <c r="AK645" s="122"/>
      <c r="AL645" s="122"/>
    </row>
    <row r="646">
      <c r="A646" s="115"/>
      <c r="B646" s="150"/>
      <c r="C646" s="89"/>
      <c r="D646" s="55"/>
      <c r="E646" s="115"/>
      <c r="F646" s="150"/>
      <c r="G646" s="188"/>
      <c r="H646" s="189"/>
      <c r="I646" s="115"/>
      <c r="J646" s="150"/>
      <c r="K646" s="89"/>
      <c r="L646" s="55"/>
      <c r="M646" s="115"/>
      <c r="N646" s="190"/>
      <c r="O646" s="89"/>
      <c r="P646" s="55"/>
      <c r="Q646" s="191"/>
      <c r="R646" s="192"/>
      <c r="S646" s="121"/>
      <c r="T646" s="122"/>
      <c r="U646" s="191"/>
      <c r="V646" s="192"/>
      <c r="W646" s="121"/>
      <c r="X646" s="122"/>
      <c r="Y646" s="115"/>
      <c r="Z646" s="193"/>
      <c r="AA646" s="194"/>
      <c r="AB646" s="195"/>
      <c r="AC646" s="115"/>
      <c r="AD646" s="192"/>
      <c r="AE646" s="196"/>
      <c r="AF646" s="197"/>
      <c r="AG646" s="201"/>
      <c r="AH646" s="201"/>
      <c r="AI646" s="201"/>
      <c r="AJ646" s="201"/>
      <c r="AK646" s="122"/>
      <c r="AL646" s="122"/>
    </row>
    <row r="647">
      <c r="A647" s="115"/>
      <c r="B647" s="150"/>
      <c r="C647" s="89"/>
      <c r="D647" s="55"/>
      <c r="E647" s="115"/>
      <c r="F647" s="150"/>
      <c r="G647" s="188"/>
      <c r="H647" s="189"/>
      <c r="I647" s="115"/>
      <c r="J647" s="150"/>
      <c r="K647" s="89"/>
      <c r="L647" s="55"/>
      <c r="M647" s="115"/>
      <c r="N647" s="190"/>
      <c r="O647" s="89"/>
      <c r="P647" s="55"/>
      <c r="Q647" s="191"/>
      <c r="R647" s="192"/>
      <c r="S647" s="121"/>
      <c r="T647" s="122"/>
      <c r="U647" s="191"/>
      <c r="V647" s="192"/>
      <c r="W647" s="121"/>
      <c r="X647" s="122"/>
      <c r="Y647" s="115"/>
      <c r="Z647" s="193"/>
      <c r="AA647" s="194"/>
      <c r="AB647" s="195"/>
      <c r="AC647" s="115"/>
      <c r="AD647" s="192"/>
      <c r="AE647" s="196"/>
      <c r="AF647" s="197"/>
      <c r="AG647" s="201"/>
      <c r="AH647" s="201"/>
      <c r="AI647" s="201"/>
      <c r="AJ647" s="201"/>
      <c r="AK647" s="122"/>
      <c r="AL647" s="122"/>
    </row>
    <row r="648">
      <c r="A648" s="115"/>
      <c r="B648" s="150"/>
      <c r="C648" s="89"/>
      <c r="D648" s="55"/>
      <c r="E648" s="115"/>
      <c r="F648" s="150"/>
      <c r="G648" s="188"/>
      <c r="H648" s="189"/>
      <c r="I648" s="115"/>
      <c r="J648" s="150"/>
      <c r="K648" s="89"/>
      <c r="L648" s="55"/>
      <c r="M648" s="115"/>
      <c r="N648" s="190"/>
      <c r="O648" s="89"/>
      <c r="P648" s="55"/>
      <c r="Q648" s="191"/>
      <c r="R648" s="192"/>
      <c r="S648" s="121"/>
      <c r="T648" s="122"/>
      <c r="U648" s="191"/>
      <c r="V648" s="192"/>
      <c r="W648" s="121"/>
      <c r="X648" s="122"/>
      <c r="Y648" s="115"/>
      <c r="Z648" s="193"/>
      <c r="AA648" s="194"/>
      <c r="AB648" s="195"/>
      <c r="AC648" s="115"/>
      <c r="AD648" s="192"/>
      <c r="AE648" s="196"/>
      <c r="AF648" s="197"/>
      <c r="AG648" s="201"/>
      <c r="AH648" s="201"/>
      <c r="AI648" s="201"/>
      <c r="AJ648" s="201"/>
      <c r="AK648" s="122"/>
      <c r="AL648" s="122"/>
    </row>
    <row r="649">
      <c r="A649" s="115"/>
      <c r="B649" s="150"/>
      <c r="C649" s="89"/>
      <c r="D649" s="55"/>
      <c r="E649" s="115"/>
      <c r="F649" s="150"/>
      <c r="G649" s="188"/>
      <c r="H649" s="189"/>
      <c r="I649" s="115"/>
      <c r="J649" s="150"/>
      <c r="K649" s="89"/>
      <c r="L649" s="55"/>
      <c r="M649" s="115"/>
      <c r="N649" s="190"/>
      <c r="O649" s="89"/>
      <c r="P649" s="55"/>
      <c r="Q649" s="191"/>
      <c r="R649" s="192"/>
      <c r="S649" s="121"/>
      <c r="T649" s="122"/>
      <c r="U649" s="191"/>
      <c r="V649" s="192"/>
      <c r="W649" s="121"/>
      <c r="X649" s="122"/>
      <c r="Y649" s="115"/>
      <c r="Z649" s="193"/>
      <c r="AA649" s="194"/>
      <c r="AB649" s="195"/>
      <c r="AC649" s="115"/>
      <c r="AD649" s="192"/>
      <c r="AE649" s="196"/>
      <c r="AF649" s="197"/>
      <c r="AG649" s="201"/>
      <c r="AH649" s="201"/>
      <c r="AI649" s="201"/>
      <c r="AJ649" s="201"/>
      <c r="AK649" s="122"/>
      <c r="AL649" s="122"/>
    </row>
    <row r="650">
      <c r="A650" s="115"/>
      <c r="B650" s="150"/>
      <c r="C650" s="89"/>
      <c r="D650" s="55"/>
      <c r="E650" s="115"/>
      <c r="F650" s="150"/>
      <c r="G650" s="188"/>
      <c r="H650" s="189"/>
      <c r="I650" s="115"/>
      <c r="J650" s="150"/>
      <c r="K650" s="89"/>
      <c r="L650" s="55"/>
      <c r="M650" s="115"/>
      <c r="N650" s="190"/>
      <c r="O650" s="89"/>
      <c r="P650" s="55"/>
      <c r="Q650" s="191"/>
      <c r="R650" s="192"/>
      <c r="S650" s="121"/>
      <c r="T650" s="122"/>
      <c r="U650" s="191"/>
      <c r="V650" s="192"/>
      <c r="W650" s="121"/>
      <c r="X650" s="122"/>
      <c r="Y650" s="115"/>
      <c r="Z650" s="193"/>
      <c r="AA650" s="194"/>
      <c r="AB650" s="195"/>
      <c r="AC650" s="115"/>
      <c r="AD650" s="192"/>
      <c r="AE650" s="196"/>
      <c r="AF650" s="197"/>
      <c r="AG650" s="201"/>
      <c r="AH650" s="201"/>
      <c r="AI650" s="201"/>
      <c r="AJ650" s="201"/>
      <c r="AK650" s="122"/>
      <c r="AL650" s="122"/>
    </row>
    <row r="651">
      <c r="A651" s="115"/>
      <c r="B651" s="150"/>
      <c r="C651" s="89"/>
      <c r="D651" s="55"/>
      <c r="E651" s="115"/>
      <c r="F651" s="150"/>
      <c r="G651" s="188"/>
      <c r="H651" s="189"/>
      <c r="I651" s="115"/>
      <c r="J651" s="150"/>
      <c r="K651" s="89"/>
      <c r="L651" s="55"/>
      <c r="M651" s="115"/>
      <c r="N651" s="190"/>
      <c r="O651" s="89"/>
      <c r="P651" s="55"/>
      <c r="Q651" s="191"/>
      <c r="R651" s="192"/>
      <c r="S651" s="121"/>
      <c r="T651" s="122"/>
      <c r="U651" s="191"/>
      <c r="V651" s="192"/>
      <c r="W651" s="121"/>
      <c r="X651" s="122"/>
      <c r="Y651" s="115"/>
      <c r="Z651" s="193"/>
      <c r="AA651" s="194"/>
      <c r="AB651" s="195"/>
      <c r="AC651" s="115"/>
      <c r="AD651" s="192"/>
      <c r="AE651" s="196"/>
      <c r="AF651" s="197"/>
      <c r="AG651" s="201"/>
      <c r="AH651" s="201"/>
      <c r="AI651" s="201"/>
      <c r="AJ651" s="201"/>
      <c r="AK651" s="122"/>
      <c r="AL651" s="122"/>
    </row>
    <row r="652">
      <c r="A652" s="115"/>
      <c r="B652" s="150"/>
      <c r="C652" s="89"/>
      <c r="D652" s="55"/>
      <c r="E652" s="115"/>
      <c r="F652" s="150"/>
      <c r="G652" s="188"/>
      <c r="H652" s="189"/>
      <c r="I652" s="115"/>
      <c r="J652" s="150"/>
      <c r="K652" s="89"/>
      <c r="L652" s="55"/>
      <c r="M652" s="115"/>
      <c r="N652" s="190"/>
      <c r="O652" s="89"/>
      <c r="P652" s="55"/>
      <c r="Q652" s="191"/>
      <c r="R652" s="192"/>
      <c r="S652" s="121"/>
      <c r="T652" s="122"/>
      <c r="U652" s="191"/>
      <c r="V652" s="192"/>
      <c r="W652" s="121"/>
      <c r="X652" s="122"/>
      <c r="Y652" s="115"/>
      <c r="Z652" s="193"/>
      <c r="AA652" s="194"/>
      <c r="AB652" s="195"/>
      <c r="AC652" s="115"/>
      <c r="AD652" s="192"/>
      <c r="AE652" s="196"/>
      <c r="AF652" s="197"/>
      <c r="AG652" s="201"/>
      <c r="AH652" s="201"/>
      <c r="AI652" s="201"/>
      <c r="AJ652" s="201"/>
      <c r="AK652" s="122"/>
      <c r="AL652" s="122"/>
    </row>
    <row r="653">
      <c r="A653" s="115"/>
      <c r="B653" s="150"/>
      <c r="C653" s="89"/>
      <c r="D653" s="55"/>
      <c r="E653" s="115"/>
      <c r="F653" s="150"/>
      <c r="G653" s="188"/>
      <c r="H653" s="189"/>
      <c r="I653" s="115"/>
      <c r="J653" s="150"/>
      <c r="K653" s="89"/>
      <c r="L653" s="55"/>
      <c r="M653" s="115"/>
      <c r="N653" s="190"/>
      <c r="O653" s="89"/>
      <c r="P653" s="55"/>
      <c r="Q653" s="191"/>
      <c r="R653" s="192"/>
      <c r="S653" s="121"/>
      <c r="T653" s="122"/>
      <c r="U653" s="191"/>
      <c r="V653" s="192"/>
      <c r="W653" s="121"/>
      <c r="X653" s="122"/>
      <c r="Y653" s="115"/>
      <c r="Z653" s="193"/>
      <c r="AA653" s="194"/>
      <c r="AB653" s="195"/>
      <c r="AC653" s="115"/>
      <c r="AD653" s="192"/>
      <c r="AE653" s="196"/>
      <c r="AF653" s="197"/>
      <c r="AG653" s="201"/>
      <c r="AH653" s="201"/>
      <c r="AI653" s="201"/>
      <c r="AJ653" s="201"/>
      <c r="AK653" s="122"/>
      <c r="AL653" s="122"/>
    </row>
    <row r="654">
      <c r="A654" s="115"/>
      <c r="B654" s="150"/>
      <c r="C654" s="89"/>
      <c r="D654" s="55"/>
      <c r="E654" s="115"/>
      <c r="F654" s="150"/>
      <c r="G654" s="188"/>
      <c r="H654" s="189"/>
      <c r="I654" s="115"/>
      <c r="J654" s="150"/>
      <c r="K654" s="89"/>
      <c r="L654" s="55"/>
      <c r="M654" s="115"/>
      <c r="N654" s="190"/>
      <c r="O654" s="89"/>
      <c r="P654" s="55"/>
      <c r="Q654" s="191"/>
      <c r="R654" s="192"/>
      <c r="S654" s="121"/>
      <c r="T654" s="122"/>
      <c r="U654" s="191"/>
      <c r="V654" s="192"/>
      <c r="W654" s="121"/>
      <c r="X654" s="122"/>
      <c r="Y654" s="115"/>
      <c r="Z654" s="193"/>
      <c r="AA654" s="194"/>
      <c r="AB654" s="195"/>
      <c r="AC654" s="115"/>
      <c r="AD654" s="192"/>
      <c r="AE654" s="196"/>
      <c r="AF654" s="197"/>
      <c r="AG654" s="201"/>
      <c r="AH654" s="201"/>
      <c r="AI654" s="201"/>
      <c r="AJ654" s="201"/>
      <c r="AK654" s="122"/>
      <c r="AL654" s="122"/>
    </row>
    <row r="655">
      <c r="A655" s="115"/>
      <c r="B655" s="150"/>
      <c r="C655" s="89"/>
      <c r="D655" s="55"/>
      <c r="E655" s="115"/>
      <c r="F655" s="150"/>
      <c r="G655" s="188"/>
      <c r="H655" s="189"/>
      <c r="I655" s="115"/>
      <c r="J655" s="150"/>
      <c r="K655" s="89"/>
      <c r="L655" s="55"/>
      <c r="M655" s="115"/>
      <c r="N655" s="190"/>
      <c r="O655" s="89"/>
      <c r="P655" s="55"/>
      <c r="Q655" s="191"/>
      <c r="R655" s="192"/>
      <c r="S655" s="121"/>
      <c r="T655" s="122"/>
      <c r="U655" s="191"/>
      <c r="V655" s="192"/>
      <c r="W655" s="121"/>
      <c r="X655" s="122"/>
      <c r="Y655" s="115"/>
      <c r="Z655" s="193"/>
      <c r="AA655" s="194"/>
      <c r="AB655" s="195"/>
      <c r="AC655" s="115"/>
      <c r="AD655" s="192"/>
      <c r="AE655" s="196"/>
      <c r="AF655" s="197"/>
      <c r="AG655" s="201"/>
      <c r="AH655" s="201"/>
      <c r="AI655" s="201"/>
      <c r="AJ655" s="201"/>
      <c r="AK655" s="122"/>
      <c r="AL655" s="122"/>
    </row>
    <row r="656">
      <c r="A656" s="115"/>
      <c r="B656" s="150"/>
      <c r="C656" s="89"/>
      <c r="D656" s="55"/>
      <c r="E656" s="115"/>
      <c r="F656" s="150"/>
      <c r="G656" s="188"/>
      <c r="H656" s="189"/>
      <c r="I656" s="115"/>
      <c r="J656" s="150"/>
      <c r="K656" s="89"/>
      <c r="L656" s="55"/>
      <c r="M656" s="115"/>
      <c r="N656" s="190"/>
      <c r="O656" s="89"/>
      <c r="P656" s="55"/>
      <c r="Q656" s="191"/>
      <c r="R656" s="192"/>
      <c r="S656" s="121"/>
      <c r="T656" s="122"/>
      <c r="U656" s="191"/>
      <c r="V656" s="192"/>
      <c r="W656" s="121"/>
      <c r="X656" s="122"/>
      <c r="Y656" s="115"/>
      <c r="Z656" s="193"/>
      <c r="AA656" s="194"/>
      <c r="AB656" s="195"/>
      <c r="AC656" s="115"/>
      <c r="AD656" s="192"/>
      <c r="AE656" s="196"/>
      <c r="AF656" s="197"/>
      <c r="AG656" s="201"/>
      <c r="AH656" s="201"/>
      <c r="AI656" s="201"/>
      <c r="AJ656" s="201"/>
      <c r="AK656" s="122"/>
      <c r="AL656" s="122"/>
    </row>
    <row r="657">
      <c r="A657" s="115"/>
      <c r="B657" s="150"/>
      <c r="C657" s="89"/>
      <c r="D657" s="55"/>
      <c r="E657" s="115"/>
      <c r="F657" s="150"/>
      <c r="G657" s="188"/>
      <c r="H657" s="189"/>
      <c r="I657" s="115"/>
      <c r="J657" s="150"/>
      <c r="K657" s="89"/>
      <c r="L657" s="55"/>
      <c r="M657" s="115"/>
      <c r="N657" s="190"/>
      <c r="O657" s="89"/>
      <c r="P657" s="55"/>
      <c r="Q657" s="191"/>
      <c r="R657" s="192"/>
      <c r="S657" s="121"/>
      <c r="T657" s="122"/>
      <c r="U657" s="191"/>
      <c r="V657" s="192"/>
      <c r="W657" s="121"/>
      <c r="X657" s="122"/>
      <c r="Y657" s="115"/>
      <c r="Z657" s="193"/>
      <c r="AA657" s="194"/>
      <c r="AB657" s="195"/>
      <c r="AC657" s="115"/>
      <c r="AD657" s="192"/>
      <c r="AE657" s="196"/>
      <c r="AF657" s="197"/>
      <c r="AG657" s="201"/>
      <c r="AH657" s="201"/>
      <c r="AI657" s="201"/>
      <c r="AJ657" s="201"/>
      <c r="AK657" s="122"/>
      <c r="AL657" s="122"/>
    </row>
    <row r="658">
      <c r="A658" s="115"/>
      <c r="B658" s="150"/>
      <c r="C658" s="89"/>
      <c r="D658" s="55"/>
      <c r="E658" s="115"/>
      <c r="F658" s="150"/>
      <c r="G658" s="188"/>
      <c r="H658" s="189"/>
      <c r="I658" s="115"/>
      <c r="J658" s="150"/>
      <c r="K658" s="89"/>
      <c r="L658" s="55"/>
      <c r="M658" s="115"/>
      <c r="N658" s="190"/>
      <c r="O658" s="89"/>
      <c r="P658" s="55"/>
      <c r="Q658" s="191"/>
      <c r="R658" s="192"/>
      <c r="S658" s="121"/>
      <c r="T658" s="122"/>
      <c r="U658" s="191"/>
      <c r="V658" s="192"/>
      <c r="W658" s="121"/>
      <c r="X658" s="122"/>
      <c r="Y658" s="115"/>
      <c r="Z658" s="193"/>
      <c r="AA658" s="194"/>
      <c r="AB658" s="195"/>
      <c r="AC658" s="115"/>
      <c r="AD658" s="192"/>
      <c r="AE658" s="196"/>
      <c r="AF658" s="197"/>
      <c r="AG658" s="201"/>
      <c r="AH658" s="201"/>
      <c r="AI658" s="201"/>
      <c r="AJ658" s="201"/>
      <c r="AK658" s="122"/>
      <c r="AL658" s="122"/>
    </row>
    <row r="659">
      <c r="A659" s="115"/>
      <c r="B659" s="150"/>
      <c r="C659" s="89"/>
      <c r="D659" s="55"/>
      <c r="E659" s="115"/>
      <c r="F659" s="150"/>
      <c r="G659" s="188"/>
      <c r="H659" s="189"/>
      <c r="I659" s="115"/>
      <c r="J659" s="150"/>
      <c r="K659" s="89"/>
      <c r="L659" s="55"/>
      <c r="M659" s="115"/>
      <c r="N659" s="190"/>
      <c r="O659" s="89"/>
      <c r="P659" s="55"/>
      <c r="Q659" s="191"/>
      <c r="R659" s="192"/>
      <c r="S659" s="121"/>
      <c r="T659" s="122"/>
      <c r="U659" s="191"/>
      <c r="V659" s="192"/>
      <c r="W659" s="121"/>
      <c r="X659" s="122"/>
      <c r="Y659" s="115"/>
      <c r="Z659" s="193"/>
      <c r="AA659" s="194"/>
      <c r="AB659" s="195"/>
      <c r="AC659" s="115"/>
      <c r="AD659" s="192"/>
      <c r="AE659" s="196"/>
      <c r="AF659" s="197"/>
      <c r="AG659" s="201"/>
      <c r="AH659" s="201"/>
      <c r="AI659" s="201"/>
      <c r="AJ659" s="201"/>
      <c r="AK659" s="122"/>
      <c r="AL659" s="122"/>
    </row>
    <row r="660">
      <c r="A660" s="115"/>
      <c r="B660" s="150"/>
      <c r="C660" s="89"/>
      <c r="D660" s="55"/>
      <c r="E660" s="115"/>
      <c r="F660" s="150"/>
      <c r="G660" s="188"/>
      <c r="H660" s="189"/>
      <c r="I660" s="115"/>
      <c r="J660" s="150"/>
      <c r="K660" s="89"/>
      <c r="L660" s="55"/>
      <c r="M660" s="115"/>
      <c r="N660" s="190"/>
      <c r="O660" s="89"/>
      <c r="P660" s="55"/>
      <c r="Q660" s="191"/>
      <c r="R660" s="192"/>
      <c r="S660" s="121"/>
      <c r="T660" s="122"/>
      <c r="U660" s="191"/>
      <c r="V660" s="192"/>
      <c r="W660" s="121"/>
      <c r="X660" s="122"/>
      <c r="Y660" s="115"/>
      <c r="Z660" s="193"/>
      <c r="AA660" s="194"/>
      <c r="AB660" s="195"/>
      <c r="AC660" s="115"/>
      <c r="AD660" s="192"/>
      <c r="AE660" s="196"/>
      <c r="AF660" s="197"/>
      <c r="AG660" s="201"/>
      <c r="AH660" s="201"/>
      <c r="AI660" s="201"/>
      <c r="AJ660" s="201"/>
      <c r="AK660" s="122"/>
      <c r="AL660" s="122"/>
    </row>
    <row r="661">
      <c r="A661" s="115"/>
      <c r="B661" s="150"/>
      <c r="C661" s="89"/>
      <c r="D661" s="55"/>
      <c r="E661" s="115"/>
      <c r="F661" s="150"/>
      <c r="G661" s="188"/>
      <c r="H661" s="189"/>
      <c r="I661" s="115"/>
      <c r="J661" s="150"/>
      <c r="K661" s="89"/>
      <c r="L661" s="55"/>
      <c r="M661" s="115"/>
      <c r="N661" s="190"/>
      <c r="O661" s="89"/>
      <c r="P661" s="55"/>
      <c r="Q661" s="191"/>
      <c r="R661" s="192"/>
      <c r="S661" s="121"/>
      <c r="T661" s="122"/>
      <c r="U661" s="191"/>
      <c r="V661" s="192"/>
      <c r="W661" s="121"/>
      <c r="X661" s="122"/>
      <c r="Y661" s="115"/>
      <c r="Z661" s="193"/>
      <c r="AA661" s="194"/>
      <c r="AB661" s="195"/>
      <c r="AC661" s="115"/>
      <c r="AD661" s="192"/>
      <c r="AE661" s="196"/>
      <c r="AF661" s="197"/>
      <c r="AG661" s="201"/>
      <c r="AH661" s="201"/>
      <c r="AI661" s="201"/>
      <c r="AJ661" s="201"/>
      <c r="AK661" s="122"/>
      <c r="AL661" s="122"/>
    </row>
    <row r="662">
      <c r="A662" s="115"/>
      <c r="B662" s="150"/>
      <c r="C662" s="89"/>
      <c r="D662" s="55"/>
      <c r="E662" s="115"/>
      <c r="F662" s="150"/>
      <c r="G662" s="188"/>
      <c r="H662" s="189"/>
      <c r="I662" s="115"/>
      <c r="J662" s="150"/>
      <c r="K662" s="89"/>
      <c r="L662" s="55"/>
      <c r="M662" s="115"/>
      <c r="N662" s="190"/>
      <c r="O662" s="89"/>
      <c r="P662" s="55"/>
      <c r="Q662" s="191"/>
      <c r="R662" s="192"/>
      <c r="S662" s="121"/>
      <c r="T662" s="122"/>
      <c r="U662" s="191"/>
      <c r="V662" s="192"/>
      <c r="W662" s="121"/>
      <c r="X662" s="122"/>
      <c r="Y662" s="115"/>
      <c r="Z662" s="193"/>
      <c r="AA662" s="194"/>
      <c r="AB662" s="195"/>
      <c r="AC662" s="115"/>
      <c r="AD662" s="192"/>
      <c r="AE662" s="196"/>
      <c r="AF662" s="197"/>
      <c r="AG662" s="201"/>
      <c r="AH662" s="201"/>
      <c r="AI662" s="201"/>
      <c r="AJ662" s="201"/>
      <c r="AK662" s="122"/>
      <c r="AL662" s="122"/>
    </row>
    <row r="663">
      <c r="A663" s="115"/>
      <c r="B663" s="150"/>
      <c r="C663" s="89"/>
      <c r="D663" s="55"/>
      <c r="E663" s="115"/>
      <c r="F663" s="150"/>
      <c r="G663" s="188"/>
      <c r="H663" s="189"/>
      <c r="I663" s="115"/>
      <c r="J663" s="150"/>
      <c r="K663" s="89"/>
      <c r="L663" s="55"/>
      <c r="M663" s="115"/>
      <c r="N663" s="190"/>
      <c r="O663" s="89"/>
      <c r="P663" s="55"/>
      <c r="Q663" s="191"/>
      <c r="R663" s="192"/>
      <c r="S663" s="121"/>
      <c r="T663" s="122"/>
      <c r="U663" s="191"/>
      <c r="V663" s="192"/>
      <c r="W663" s="121"/>
      <c r="X663" s="122"/>
      <c r="Y663" s="115"/>
      <c r="Z663" s="193"/>
      <c r="AA663" s="194"/>
      <c r="AB663" s="195"/>
      <c r="AC663" s="115"/>
      <c r="AD663" s="192"/>
      <c r="AE663" s="196"/>
      <c r="AF663" s="197"/>
      <c r="AG663" s="201"/>
      <c r="AH663" s="201"/>
      <c r="AI663" s="201"/>
      <c r="AJ663" s="201"/>
      <c r="AK663" s="122"/>
      <c r="AL663" s="122"/>
    </row>
    <row r="664">
      <c r="A664" s="115"/>
      <c r="B664" s="150"/>
      <c r="C664" s="89"/>
      <c r="D664" s="55"/>
      <c r="E664" s="115"/>
      <c r="F664" s="150"/>
      <c r="G664" s="188"/>
      <c r="H664" s="189"/>
      <c r="I664" s="115"/>
      <c r="J664" s="150"/>
      <c r="K664" s="89"/>
      <c r="L664" s="55"/>
      <c r="M664" s="115"/>
      <c r="N664" s="190"/>
      <c r="O664" s="89"/>
      <c r="P664" s="55"/>
      <c r="Q664" s="191"/>
      <c r="R664" s="192"/>
      <c r="S664" s="121"/>
      <c r="T664" s="122"/>
      <c r="U664" s="191"/>
      <c r="V664" s="192"/>
      <c r="W664" s="121"/>
      <c r="X664" s="122"/>
      <c r="Y664" s="115"/>
      <c r="Z664" s="193"/>
      <c r="AA664" s="194"/>
      <c r="AB664" s="195"/>
      <c r="AC664" s="115"/>
      <c r="AD664" s="192"/>
      <c r="AE664" s="196"/>
      <c r="AF664" s="197"/>
      <c r="AG664" s="201"/>
      <c r="AH664" s="201"/>
      <c r="AI664" s="201"/>
      <c r="AJ664" s="201"/>
      <c r="AK664" s="122"/>
      <c r="AL664" s="122"/>
    </row>
    <row r="665">
      <c r="A665" s="115"/>
      <c r="B665" s="150"/>
      <c r="C665" s="89"/>
      <c r="D665" s="55"/>
      <c r="E665" s="115"/>
      <c r="F665" s="150"/>
      <c r="G665" s="188"/>
      <c r="H665" s="189"/>
      <c r="I665" s="115"/>
      <c r="J665" s="150"/>
      <c r="K665" s="89"/>
      <c r="L665" s="55"/>
      <c r="M665" s="115"/>
      <c r="N665" s="190"/>
      <c r="O665" s="89"/>
      <c r="P665" s="55"/>
      <c r="Q665" s="191"/>
      <c r="R665" s="192"/>
      <c r="S665" s="121"/>
      <c r="T665" s="122"/>
      <c r="U665" s="191"/>
      <c r="V665" s="192"/>
      <c r="W665" s="121"/>
      <c r="X665" s="122"/>
      <c r="Y665" s="115"/>
      <c r="Z665" s="193"/>
      <c r="AA665" s="194"/>
      <c r="AB665" s="195"/>
      <c r="AC665" s="115"/>
      <c r="AD665" s="192"/>
      <c r="AE665" s="196"/>
      <c r="AF665" s="197"/>
      <c r="AG665" s="201"/>
      <c r="AH665" s="201"/>
      <c r="AI665" s="201"/>
      <c r="AJ665" s="201"/>
      <c r="AK665" s="122"/>
      <c r="AL665" s="122"/>
    </row>
    <row r="666">
      <c r="A666" s="115"/>
      <c r="B666" s="150"/>
      <c r="C666" s="89"/>
      <c r="D666" s="55"/>
      <c r="E666" s="115"/>
      <c r="F666" s="150"/>
      <c r="G666" s="188"/>
      <c r="H666" s="189"/>
      <c r="I666" s="115"/>
      <c r="J666" s="150"/>
      <c r="K666" s="89"/>
      <c r="L666" s="55"/>
      <c r="M666" s="115"/>
      <c r="N666" s="190"/>
      <c r="O666" s="89"/>
      <c r="P666" s="55"/>
      <c r="Q666" s="191"/>
      <c r="R666" s="192"/>
      <c r="S666" s="121"/>
      <c r="T666" s="122"/>
      <c r="U666" s="191"/>
      <c r="V666" s="192"/>
      <c r="W666" s="121"/>
      <c r="X666" s="122"/>
      <c r="Y666" s="115"/>
      <c r="Z666" s="193"/>
      <c r="AA666" s="194"/>
      <c r="AB666" s="195"/>
      <c r="AC666" s="115"/>
      <c r="AD666" s="192"/>
      <c r="AE666" s="196"/>
      <c r="AF666" s="197"/>
      <c r="AG666" s="201"/>
      <c r="AH666" s="201"/>
      <c r="AI666" s="201"/>
      <c r="AJ666" s="201"/>
      <c r="AK666" s="122"/>
      <c r="AL666" s="122"/>
    </row>
    <row r="667">
      <c r="A667" s="115"/>
      <c r="B667" s="150"/>
      <c r="C667" s="89"/>
      <c r="D667" s="55"/>
      <c r="E667" s="115"/>
      <c r="F667" s="150"/>
      <c r="G667" s="188"/>
      <c r="H667" s="189"/>
      <c r="I667" s="115"/>
      <c r="J667" s="150"/>
      <c r="K667" s="89"/>
      <c r="L667" s="55"/>
      <c r="M667" s="115"/>
      <c r="N667" s="190"/>
      <c r="O667" s="89"/>
      <c r="P667" s="55"/>
      <c r="Q667" s="191"/>
      <c r="R667" s="192"/>
      <c r="S667" s="121"/>
      <c r="T667" s="122"/>
      <c r="U667" s="191"/>
      <c r="V667" s="192"/>
      <c r="W667" s="121"/>
      <c r="X667" s="122"/>
      <c r="Y667" s="115"/>
      <c r="Z667" s="193"/>
      <c r="AA667" s="194"/>
      <c r="AB667" s="195"/>
      <c r="AC667" s="115"/>
      <c r="AD667" s="192"/>
      <c r="AE667" s="196"/>
      <c r="AF667" s="197"/>
      <c r="AG667" s="201"/>
      <c r="AH667" s="201"/>
      <c r="AI667" s="201"/>
      <c r="AJ667" s="201"/>
      <c r="AK667" s="122"/>
      <c r="AL667" s="122"/>
    </row>
    <row r="668">
      <c r="A668" s="115"/>
      <c r="B668" s="150"/>
      <c r="C668" s="89"/>
      <c r="D668" s="55"/>
      <c r="E668" s="115"/>
      <c r="F668" s="150"/>
      <c r="G668" s="188"/>
      <c r="H668" s="189"/>
      <c r="I668" s="115"/>
      <c r="J668" s="150"/>
      <c r="K668" s="89"/>
      <c r="L668" s="55"/>
      <c r="M668" s="115"/>
      <c r="N668" s="190"/>
      <c r="O668" s="89"/>
      <c r="P668" s="55"/>
      <c r="Q668" s="191"/>
      <c r="R668" s="192"/>
      <c r="S668" s="121"/>
      <c r="T668" s="122"/>
      <c r="U668" s="191"/>
      <c r="V668" s="192"/>
      <c r="W668" s="121"/>
      <c r="X668" s="122"/>
      <c r="Y668" s="115"/>
      <c r="Z668" s="193"/>
      <c r="AA668" s="194"/>
      <c r="AB668" s="195"/>
      <c r="AC668" s="115"/>
      <c r="AD668" s="192"/>
      <c r="AE668" s="196"/>
      <c r="AF668" s="197"/>
      <c r="AG668" s="201"/>
      <c r="AH668" s="201"/>
      <c r="AI668" s="201"/>
      <c r="AJ668" s="201"/>
      <c r="AK668" s="122"/>
      <c r="AL668" s="122"/>
    </row>
    <row r="669">
      <c r="A669" s="115"/>
      <c r="B669" s="150"/>
      <c r="C669" s="89"/>
      <c r="D669" s="55"/>
      <c r="E669" s="115"/>
      <c r="F669" s="150"/>
      <c r="G669" s="188"/>
      <c r="H669" s="189"/>
      <c r="I669" s="115"/>
      <c r="J669" s="150"/>
      <c r="K669" s="89"/>
      <c r="L669" s="55"/>
      <c r="M669" s="115"/>
      <c r="N669" s="190"/>
      <c r="O669" s="89"/>
      <c r="P669" s="55"/>
      <c r="Q669" s="191"/>
      <c r="R669" s="192"/>
      <c r="S669" s="121"/>
      <c r="T669" s="122"/>
      <c r="U669" s="191"/>
      <c r="V669" s="192"/>
      <c r="W669" s="121"/>
      <c r="X669" s="122"/>
      <c r="Y669" s="115"/>
      <c r="Z669" s="193"/>
      <c r="AA669" s="194"/>
      <c r="AB669" s="195"/>
      <c r="AC669" s="115"/>
      <c r="AD669" s="192"/>
      <c r="AE669" s="196"/>
      <c r="AF669" s="197"/>
      <c r="AG669" s="201"/>
      <c r="AH669" s="201"/>
      <c r="AI669" s="201"/>
      <c r="AJ669" s="201"/>
      <c r="AK669" s="122"/>
      <c r="AL669" s="122"/>
    </row>
    <row r="670">
      <c r="A670" s="115"/>
      <c r="B670" s="150"/>
      <c r="C670" s="89"/>
      <c r="D670" s="55"/>
      <c r="E670" s="115"/>
      <c r="F670" s="150"/>
      <c r="G670" s="188"/>
      <c r="H670" s="189"/>
      <c r="I670" s="115"/>
      <c r="J670" s="150"/>
      <c r="K670" s="89"/>
      <c r="L670" s="55"/>
      <c r="M670" s="115"/>
      <c r="N670" s="190"/>
      <c r="O670" s="89"/>
      <c r="P670" s="55"/>
      <c r="Q670" s="191"/>
      <c r="R670" s="192"/>
      <c r="S670" s="121"/>
      <c r="T670" s="122"/>
      <c r="U670" s="191"/>
      <c r="V670" s="192"/>
      <c r="W670" s="121"/>
      <c r="X670" s="122"/>
      <c r="Y670" s="115"/>
      <c r="Z670" s="193"/>
      <c r="AA670" s="194"/>
      <c r="AB670" s="195"/>
      <c r="AC670" s="115"/>
      <c r="AD670" s="192"/>
      <c r="AE670" s="196"/>
      <c r="AF670" s="197"/>
      <c r="AG670" s="201"/>
      <c r="AH670" s="201"/>
      <c r="AI670" s="201"/>
      <c r="AJ670" s="201"/>
      <c r="AK670" s="122"/>
      <c r="AL670" s="122"/>
    </row>
    <row r="671">
      <c r="A671" s="115"/>
      <c r="B671" s="150"/>
      <c r="C671" s="89"/>
      <c r="D671" s="55"/>
      <c r="E671" s="115"/>
      <c r="F671" s="150"/>
      <c r="G671" s="188"/>
      <c r="H671" s="189"/>
      <c r="I671" s="115"/>
      <c r="J671" s="150"/>
      <c r="K671" s="89"/>
      <c r="L671" s="55"/>
      <c r="M671" s="115"/>
      <c r="N671" s="190"/>
      <c r="O671" s="89"/>
      <c r="P671" s="55"/>
      <c r="Q671" s="191"/>
      <c r="R671" s="192"/>
      <c r="S671" s="121"/>
      <c r="T671" s="122"/>
      <c r="U671" s="191"/>
      <c r="V671" s="192"/>
      <c r="W671" s="121"/>
      <c r="X671" s="122"/>
      <c r="Y671" s="115"/>
      <c r="Z671" s="193"/>
      <c r="AA671" s="194"/>
      <c r="AB671" s="195"/>
      <c r="AC671" s="115"/>
      <c r="AD671" s="192"/>
      <c r="AE671" s="196"/>
      <c r="AF671" s="197"/>
      <c r="AG671" s="201"/>
      <c r="AH671" s="201"/>
      <c r="AI671" s="201"/>
      <c r="AJ671" s="201"/>
      <c r="AK671" s="122"/>
      <c r="AL671" s="122"/>
    </row>
    <row r="672">
      <c r="A672" s="115"/>
      <c r="B672" s="150"/>
      <c r="C672" s="89"/>
      <c r="D672" s="55"/>
      <c r="E672" s="115"/>
      <c r="F672" s="150"/>
      <c r="G672" s="188"/>
      <c r="H672" s="189"/>
      <c r="I672" s="115"/>
      <c r="J672" s="150"/>
      <c r="K672" s="89"/>
      <c r="L672" s="55"/>
      <c r="M672" s="115"/>
      <c r="N672" s="190"/>
      <c r="O672" s="89"/>
      <c r="P672" s="55"/>
      <c r="Q672" s="191"/>
      <c r="R672" s="192"/>
      <c r="S672" s="121"/>
      <c r="T672" s="122"/>
      <c r="U672" s="191"/>
      <c r="V672" s="192"/>
      <c r="W672" s="121"/>
      <c r="X672" s="122"/>
      <c r="Y672" s="115"/>
      <c r="Z672" s="193"/>
      <c r="AA672" s="194"/>
      <c r="AB672" s="195"/>
      <c r="AC672" s="115"/>
      <c r="AD672" s="192"/>
      <c r="AE672" s="196"/>
      <c r="AF672" s="197"/>
      <c r="AG672" s="201"/>
      <c r="AH672" s="201"/>
      <c r="AI672" s="201"/>
      <c r="AJ672" s="201"/>
      <c r="AK672" s="122"/>
      <c r="AL672" s="122"/>
    </row>
    <row r="673">
      <c r="A673" s="115"/>
      <c r="B673" s="150"/>
      <c r="C673" s="89"/>
      <c r="D673" s="55"/>
      <c r="E673" s="115"/>
      <c r="F673" s="150"/>
      <c r="G673" s="188"/>
      <c r="H673" s="189"/>
      <c r="I673" s="115"/>
      <c r="J673" s="150"/>
      <c r="K673" s="89"/>
      <c r="L673" s="55"/>
      <c r="M673" s="115"/>
      <c r="N673" s="190"/>
      <c r="O673" s="89"/>
      <c r="P673" s="55"/>
      <c r="Q673" s="191"/>
      <c r="R673" s="192"/>
      <c r="S673" s="121"/>
      <c r="T673" s="122"/>
      <c r="U673" s="191"/>
      <c r="V673" s="192"/>
      <c r="W673" s="121"/>
      <c r="X673" s="122"/>
      <c r="Y673" s="115"/>
      <c r="Z673" s="193"/>
      <c r="AA673" s="194"/>
      <c r="AB673" s="195"/>
      <c r="AC673" s="115"/>
      <c r="AD673" s="192"/>
      <c r="AE673" s="196"/>
      <c r="AF673" s="197"/>
      <c r="AG673" s="201"/>
      <c r="AH673" s="201"/>
      <c r="AI673" s="201"/>
      <c r="AJ673" s="201"/>
      <c r="AK673" s="122"/>
      <c r="AL673" s="122"/>
    </row>
    <row r="674">
      <c r="A674" s="115"/>
      <c r="B674" s="150"/>
      <c r="C674" s="89"/>
      <c r="D674" s="55"/>
      <c r="E674" s="115"/>
      <c r="F674" s="150"/>
      <c r="G674" s="188"/>
      <c r="H674" s="189"/>
      <c r="I674" s="115"/>
      <c r="J674" s="150"/>
      <c r="K674" s="89"/>
      <c r="L674" s="55"/>
      <c r="M674" s="115"/>
      <c r="N674" s="190"/>
      <c r="O674" s="89"/>
      <c r="P674" s="55"/>
      <c r="Q674" s="191"/>
      <c r="R674" s="192"/>
      <c r="S674" s="121"/>
      <c r="T674" s="122"/>
      <c r="U674" s="191"/>
      <c r="V674" s="192"/>
      <c r="W674" s="121"/>
      <c r="X674" s="122"/>
      <c r="Y674" s="115"/>
      <c r="Z674" s="193"/>
      <c r="AA674" s="194"/>
      <c r="AB674" s="195"/>
      <c r="AC674" s="115"/>
      <c r="AD674" s="192"/>
      <c r="AE674" s="196"/>
      <c r="AF674" s="197"/>
      <c r="AG674" s="201"/>
      <c r="AH674" s="201"/>
      <c r="AI674" s="201"/>
      <c r="AJ674" s="201"/>
      <c r="AK674" s="122"/>
      <c r="AL674" s="122"/>
    </row>
    <row r="675">
      <c r="A675" s="115"/>
      <c r="B675" s="150"/>
      <c r="C675" s="89"/>
      <c r="D675" s="55"/>
      <c r="E675" s="115"/>
      <c r="F675" s="150"/>
      <c r="G675" s="188"/>
      <c r="H675" s="189"/>
      <c r="I675" s="115"/>
      <c r="J675" s="150"/>
      <c r="K675" s="89"/>
      <c r="L675" s="55"/>
      <c r="M675" s="115"/>
      <c r="N675" s="190"/>
      <c r="O675" s="89"/>
      <c r="P675" s="55"/>
      <c r="Q675" s="191"/>
      <c r="R675" s="192"/>
      <c r="S675" s="121"/>
      <c r="T675" s="122"/>
      <c r="U675" s="191"/>
      <c r="V675" s="192"/>
      <c r="W675" s="121"/>
      <c r="X675" s="122"/>
      <c r="Y675" s="115"/>
      <c r="Z675" s="193"/>
      <c r="AA675" s="194"/>
      <c r="AB675" s="195"/>
      <c r="AC675" s="115"/>
      <c r="AD675" s="192"/>
      <c r="AE675" s="196"/>
      <c r="AF675" s="197"/>
      <c r="AG675" s="201"/>
      <c r="AH675" s="201"/>
      <c r="AI675" s="201"/>
      <c r="AJ675" s="201"/>
      <c r="AK675" s="122"/>
      <c r="AL675" s="122"/>
    </row>
    <row r="676">
      <c r="A676" s="115"/>
      <c r="B676" s="150"/>
      <c r="C676" s="89"/>
      <c r="D676" s="55"/>
      <c r="E676" s="115"/>
      <c r="F676" s="150"/>
      <c r="G676" s="188"/>
      <c r="H676" s="189"/>
      <c r="I676" s="115"/>
      <c r="J676" s="150"/>
      <c r="K676" s="89"/>
      <c r="L676" s="55"/>
      <c r="M676" s="115"/>
      <c r="N676" s="190"/>
      <c r="O676" s="89"/>
      <c r="P676" s="55"/>
      <c r="Q676" s="191"/>
      <c r="R676" s="192"/>
      <c r="S676" s="121"/>
      <c r="T676" s="122"/>
      <c r="U676" s="191"/>
      <c r="V676" s="192"/>
      <c r="W676" s="121"/>
      <c r="X676" s="122"/>
      <c r="Y676" s="115"/>
      <c r="Z676" s="193"/>
      <c r="AA676" s="194"/>
      <c r="AB676" s="195"/>
      <c r="AC676" s="115"/>
      <c r="AD676" s="192"/>
      <c r="AE676" s="196"/>
      <c r="AF676" s="197"/>
      <c r="AG676" s="201"/>
      <c r="AH676" s="201"/>
      <c r="AI676" s="201"/>
      <c r="AJ676" s="201"/>
      <c r="AK676" s="122"/>
      <c r="AL676" s="122"/>
    </row>
    <row r="677">
      <c r="A677" s="115"/>
      <c r="B677" s="150"/>
      <c r="C677" s="89"/>
      <c r="D677" s="55"/>
      <c r="E677" s="115"/>
      <c r="F677" s="150"/>
      <c r="G677" s="188"/>
      <c r="H677" s="189"/>
      <c r="I677" s="115"/>
      <c r="J677" s="150"/>
      <c r="K677" s="89"/>
      <c r="L677" s="55"/>
      <c r="M677" s="115"/>
      <c r="N677" s="190"/>
      <c r="O677" s="89"/>
      <c r="P677" s="55"/>
      <c r="Q677" s="191"/>
      <c r="R677" s="192"/>
      <c r="S677" s="121"/>
      <c r="T677" s="122"/>
      <c r="U677" s="191"/>
      <c r="V677" s="192"/>
      <c r="W677" s="121"/>
      <c r="X677" s="122"/>
      <c r="Y677" s="115"/>
      <c r="Z677" s="193"/>
      <c r="AA677" s="194"/>
      <c r="AB677" s="195"/>
      <c r="AC677" s="115"/>
      <c r="AD677" s="192"/>
      <c r="AE677" s="196"/>
      <c r="AF677" s="197"/>
      <c r="AG677" s="201"/>
      <c r="AH677" s="201"/>
      <c r="AI677" s="201"/>
      <c r="AJ677" s="201"/>
      <c r="AK677" s="122"/>
      <c r="AL677" s="122"/>
    </row>
    <row r="678">
      <c r="A678" s="115"/>
      <c r="B678" s="150"/>
      <c r="C678" s="89"/>
      <c r="D678" s="55"/>
      <c r="E678" s="115"/>
      <c r="F678" s="150"/>
      <c r="G678" s="188"/>
      <c r="H678" s="189"/>
      <c r="I678" s="115"/>
      <c r="J678" s="150"/>
      <c r="K678" s="89"/>
      <c r="L678" s="55"/>
      <c r="M678" s="115"/>
      <c r="N678" s="190"/>
      <c r="O678" s="89"/>
      <c r="P678" s="55"/>
      <c r="Q678" s="191"/>
      <c r="R678" s="192"/>
      <c r="S678" s="121"/>
      <c r="T678" s="122"/>
      <c r="U678" s="191"/>
      <c r="V678" s="192"/>
      <c r="W678" s="121"/>
      <c r="X678" s="122"/>
      <c r="Y678" s="115"/>
      <c r="Z678" s="193"/>
      <c r="AA678" s="194"/>
      <c r="AB678" s="195"/>
      <c r="AC678" s="115"/>
      <c r="AD678" s="192"/>
      <c r="AE678" s="196"/>
      <c r="AF678" s="197"/>
      <c r="AG678" s="201"/>
      <c r="AH678" s="201"/>
      <c r="AI678" s="201"/>
      <c r="AJ678" s="201"/>
      <c r="AK678" s="122"/>
      <c r="AL678" s="122"/>
    </row>
    <row r="679">
      <c r="A679" s="115"/>
      <c r="B679" s="150"/>
      <c r="C679" s="89"/>
      <c r="D679" s="55"/>
      <c r="E679" s="115"/>
      <c r="F679" s="150"/>
      <c r="G679" s="188"/>
      <c r="H679" s="189"/>
      <c r="I679" s="115"/>
      <c r="J679" s="150"/>
      <c r="K679" s="89"/>
      <c r="L679" s="55"/>
      <c r="M679" s="115"/>
      <c r="N679" s="190"/>
      <c r="O679" s="89"/>
      <c r="P679" s="55"/>
      <c r="Q679" s="191"/>
      <c r="R679" s="192"/>
      <c r="S679" s="121"/>
      <c r="T679" s="122"/>
      <c r="U679" s="191"/>
      <c r="V679" s="192"/>
      <c r="W679" s="121"/>
      <c r="X679" s="122"/>
      <c r="Y679" s="115"/>
      <c r="Z679" s="193"/>
      <c r="AA679" s="194"/>
      <c r="AB679" s="195"/>
      <c r="AC679" s="115"/>
      <c r="AD679" s="192"/>
      <c r="AE679" s="196"/>
      <c r="AF679" s="197"/>
      <c r="AG679" s="201"/>
      <c r="AH679" s="201"/>
      <c r="AI679" s="201"/>
      <c r="AJ679" s="201"/>
      <c r="AK679" s="122"/>
      <c r="AL679" s="122"/>
    </row>
    <row r="680">
      <c r="A680" s="115"/>
      <c r="B680" s="150"/>
      <c r="C680" s="89"/>
      <c r="D680" s="55"/>
      <c r="E680" s="115"/>
      <c r="F680" s="150"/>
      <c r="G680" s="188"/>
      <c r="H680" s="189"/>
      <c r="I680" s="115"/>
      <c r="J680" s="150"/>
      <c r="K680" s="89"/>
      <c r="L680" s="55"/>
      <c r="M680" s="115"/>
      <c r="N680" s="190"/>
      <c r="O680" s="89"/>
      <c r="P680" s="55"/>
      <c r="Q680" s="191"/>
      <c r="R680" s="192"/>
      <c r="S680" s="121"/>
      <c r="T680" s="122"/>
      <c r="U680" s="191"/>
      <c r="V680" s="192"/>
      <c r="W680" s="121"/>
      <c r="X680" s="122"/>
      <c r="Y680" s="115"/>
      <c r="Z680" s="193"/>
      <c r="AA680" s="194"/>
      <c r="AB680" s="195"/>
      <c r="AC680" s="115"/>
      <c r="AD680" s="192"/>
      <c r="AE680" s="196"/>
      <c r="AF680" s="197"/>
      <c r="AG680" s="201"/>
      <c r="AH680" s="201"/>
      <c r="AI680" s="201"/>
      <c r="AJ680" s="201"/>
      <c r="AK680" s="122"/>
      <c r="AL680" s="122"/>
    </row>
    <row r="681">
      <c r="A681" s="115"/>
      <c r="B681" s="150"/>
      <c r="C681" s="89"/>
      <c r="D681" s="55"/>
      <c r="E681" s="115"/>
      <c r="F681" s="150"/>
      <c r="G681" s="188"/>
      <c r="H681" s="189"/>
      <c r="I681" s="115"/>
      <c r="J681" s="150"/>
      <c r="K681" s="89"/>
      <c r="L681" s="55"/>
      <c r="M681" s="115"/>
      <c r="N681" s="190"/>
      <c r="O681" s="89"/>
      <c r="P681" s="55"/>
      <c r="Q681" s="191"/>
      <c r="R681" s="192"/>
      <c r="S681" s="121"/>
      <c r="T681" s="122"/>
      <c r="U681" s="191"/>
      <c r="V681" s="192"/>
      <c r="W681" s="121"/>
      <c r="X681" s="122"/>
      <c r="Y681" s="115"/>
      <c r="Z681" s="193"/>
      <c r="AA681" s="194"/>
      <c r="AB681" s="195"/>
      <c r="AC681" s="115"/>
      <c r="AD681" s="192"/>
      <c r="AE681" s="196"/>
      <c r="AF681" s="197"/>
      <c r="AG681" s="201"/>
      <c r="AH681" s="201"/>
      <c r="AI681" s="201"/>
      <c r="AJ681" s="201"/>
      <c r="AK681" s="122"/>
      <c r="AL681" s="122"/>
    </row>
    <row r="682">
      <c r="A682" s="115"/>
      <c r="B682" s="150"/>
      <c r="C682" s="89"/>
      <c r="D682" s="55"/>
      <c r="E682" s="115"/>
      <c r="F682" s="150"/>
      <c r="G682" s="188"/>
      <c r="H682" s="189"/>
      <c r="I682" s="115"/>
      <c r="J682" s="150"/>
      <c r="K682" s="89"/>
      <c r="L682" s="55"/>
      <c r="M682" s="115"/>
      <c r="N682" s="190"/>
      <c r="O682" s="89"/>
      <c r="P682" s="55"/>
      <c r="Q682" s="191"/>
      <c r="R682" s="192"/>
      <c r="S682" s="121"/>
      <c r="T682" s="122"/>
      <c r="U682" s="191"/>
      <c r="V682" s="192"/>
      <c r="W682" s="121"/>
      <c r="X682" s="122"/>
      <c r="Y682" s="115"/>
      <c r="Z682" s="193"/>
      <c r="AA682" s="194"/>
      <c r="AB682" s="195"/>
      <c r="AC682" s="115"/>
      <c r="AD682" s="192"/>
      <c r="AE682" s="196"/>
      <c r="AF682" s="197"/>
      <c r="AG682" s="201"/>
      <c r="AH682" s="201"/>
      <c r="AI682" s="201"/>
      <c r="AJ682" s="201"/>
      <c r="AK682" s="122"/>
      <c r="AL682" s="122"/>
    </row>
    <row r="683">
      <c r="A683" s="115"/>
      <c r="B683" s="150"/>
      <c r="C683" s="89"/>
      <c r="D683" s="55"/>
      <c r="E683" s="115"/>
      <c r="F683" s="150"/>
      <c r="G683" s="188"/>
      <c r="H683" s="189"/>
      <c r="I683" s="115"/>
      <c r="J683" s="150"/>
      <c r="K683" s="89"/>
      <c r="L683" s="55"/>
      <c r="M683" s="115"/>
      <c r="N683" s="190"/>
      <c r="O683" s="89"/>
      <c r="P683" s="55"/>
      <c r="Q683" s="191"/>
      <c r="R683" s="192"/>
      <c r="S683" s="121"/>
      <c r="T683" s="122"/>
      <c r="U683" s="191"/>
      <c r="V683" s="192"/>
      <c r="W683" s="121"/>
      <c r="X683" s="122"/>
      <c r="Y683" s="115"/>
      <c r="Z683" s="193"/>
      <c r="AA683" s="194"/>
      <c r="AB683" s="195"/>
      <c r="AC683" s="115"/>
      <c r="AD683" s="192"/>
      <c r="AE683" s="196"/>
      <c r="AF683" s="197"/>
      <c r="AG683" s="201"/>
      <c r="AH683" s="201"/>
      <c r="AI683" s="201"/>
      <c r="AJ683" s="201"/>
      <c r="AK683" s="122"/>
      <c r="AL683" s="122"/>
    </row>
    <row r="684">
      <c r="A684" s="115"/>
      <c r="B684" s="150"/>
      <c r="C684" s="89"/>
      <c r="D684" s="55"/>
      <c r="E684" s="115"/>
      <c r="F684" s="150"/>
      <c r="G684" s="188"/>
      <c r="H684" s="189"/>
      <c r="I684" s="115"/>
      <c r="J684" s="150"/>
      <c r="K684" s="89"/>
      <c r="L684" s="55"/>
      <c r="M684" s="115"/>
      <c r="N684" s="190"/>
      <c r="O684" s="89"/>
      <c r="P684" s="55"/>
      <c r="Q684" s="191"/>
      <c r="R684" s="192"/>
      <c r="S684" s="121"/>
      <c r="T684" s="122"/>
      <c r="U684" s="191"/>
      <c r="V684" s="192"/>
      <c r="W684" s="121"/>
      <c r="X684" s="122"/>
      <c r="Y684" s="115"/>
      <c r="Z684" s="193"/>
      <c r="AA684" s="194"/>
      <c r="AB684" s="195"/>
      <c r="AC684" s="115"/>
      <c r="AD684" s="192"/>
      <c r="AE684" s="196"/>
      <c r="AF684" s="197"/>
      <c r="AG684" s="201"/>
      <c r="AH684" s="201"/>
      <c r="AI684" s="201"/>
      <c r="AJ684" s="201"/>
      <c r="AK684" s="122"/>
      <c r="AL684" s="122"/>
    </row>
    <row r="685">
      <c r="A685" s="115"/>
      <c r="B685" s="150"/>
      <c r="C685" s="89"/>
      <c r="D685" s="55"/>
      <c r="E685" s="115"/>
      <c r="F685" s="150"/>
      <c r="G685" s="188"/>
      <c r="H685" s="189"/>
      <c r="I685" s="115"/>
      <c r="J685" s="150"/>
      <c r="K685" s="89"/>
      <c r="L685" s="55"/>
      <c r="M685" s="115"/>
      <c r="N685" s="190"/>
      <c r="O685" s="89"/>
      <c r="P685" s="55"/>
      <c r="Q685" s="191"/>
      <c r="R685" s="192"/>
      <c r="S685" s="121"/>
      <c r="T685" s="122"/>
      <c r="U685" s="191"/>
      <c r="V685" s="192"/>
      <c r="W685" s="121"/>
      <c r="X685" s="122"/>
      <c r="Y685" s="115"/>
      <c r="Z685" s="193"/>
      <c r="AA685" s="194"/>
      <c r="AB685" s="195"/>
      <c r="AC685" s="115"/>
      <c r="AD685" s="192"/>
      <c r="AE685" s="196"/>
      <c r="AF685" s="197"/>
      <c r="AG685" s="201"/>
      <c r="AH685" s="201"/>
      <c r="AI685" s="201"/>
      <c r="AJ685" s="201"/>
      <c r="AK685" s="122"/>
      <c r="AL685" s="122"/>
    </row>
    <row r="686">
      <c r="A686" s="115"/>
      <c r="B686" s="150"/>
      <c r="C686" s="89"/>
      <c r="D686" s="55"/>
      <c r="E686" s="115"/>
      <c r="F686" s="150"/>
      <c r="G686" s="188"/>
      <c r="H686" s="189"/>
      <c r="I686" s="115"/>
      <c r="J686" s="150"/>
      <c r="K686" s="89"/>
      <c r="L686" s="55"/>
      <c r="M686" s="115"/>
      <c r="N686" s="190"/>
      <c r="O686" s="89"/>
      <c r="P686" s="55"/>
      <c r="Q686" s="191"/>
      <c r="R686" s="192"/>
      <c r="S686" s="121"/>
      <c r="T686" s="122"/>
      <c r="U686" s="191"/>
      <c r="V686" s="192"/>
      <c r="W686" s="121"/>
      <c r="X686" s="122"/>
      <c r="Y686" s="115"/>
      <c r="Z686" s="193"/>
      <c r="AA686" s="194"/>
      <c r="AB686" s="195"/>
      <c r="AC686" s="115"/>
      <c r="AD686" s="192"/>
      <c r="AE686" s="196"/>
      <c r="AF686" s="197"/>
      <c r="AG686" s="201"/>
      <c r="AH686" s="201"/>
      <c r="AI686" s="201"/>
      <c r="AJ686" s="201"/>
      <c r="AK686" s="122"/>
      <c r="AL686" s="122"/>
    </row>
    <row r="687">
      <c r="A687" s="115"/>
      <c r="B687" s="150"/>
      <c r="C687" s="89"/>
      <c r="D687" s="55"/>
      <c r="E687" s="115"/>
      <c r="F687" s="150"/>
      <c r="G687" s="188"/>
      <c r="H687" s="189"/>
      <c r="I687" s="115"/>
      <c r="J687" s="150"/>
      <c r="K687" s="89"/>
      <c r="L687" s="55"/>
      <c r="M687" s="115"/>
      <c r="N687" s="190"/>
      <c r="O687" s="89"/>
      <c r="P687" s="55"/>
      <c r="Q687" s="191"/>
      <c r="R687" s="192"/>
      <c r="S687" s="121"/>
      <c r="T687" s="122"/>
      <c r="U687" s="191"/>
      <c r="V687" s="192"/>
      <c r="W687" s="121"/>
      <c r="X687" s="122"/>
      <c r="Y687" s="115"/>
      <c r="Z687" s="193"/>
      <c r="AA687" s="194"/>
      <c r="AB687" s="195"/>
      <c r="AC687" s="115"/>
      <c r="AD687" s="192"/>
      <c r="AE687" s="196"/>
      <c r="AF687" s="197"/>
      <c r="AG687" s="201"/>
      <c r="AH687" s="201"/>
      <c r="AI687" s="201"/>
      <c r="AJ687" s="201"/>
      <c r="AK687" s="122"/>
      <c r="AL687" s="122"/>
    </row>
    <row r="688">
      <c r="A688" s="115"/>
      <c r="B688" s="150"/>
      <c r="C688" s="89"/>
      <c r="D688" s="55"/>
      <c r="E688" s="115"/>
      <c r="F688" s="150"/>
      <c r="G688" s="188"/>
      <c r="H688" s="189"/>
      <c r="I688" s="115"/>
      <c r="J688" s="150"/>
      <c r="K688" s="89"/>
      <c r="L688" s="55"/>
      <c r="M688" s="115"/>
      <c r="N688" s="190"/>
      <c r="O688" s="89"/>
      <c r="P688" s="55"/>
      <c r="Q688" s="191"/>
      <c r="R688" s="192"/>
      <c r="S688" s="121"/>
      <c r="T688" s="122"/>
      <c r="U688" s="191"/>
      <c r="V688" s="192"/>
      <c r="W688" s="121"/>
      <c r="X688" s="122"/>
      <c r="Y688" s="115"/>
      <c r="Z688" s="193"/>
      <c r="AA688" s="194"/>
      <c r="AB688" s="195"/>
      <c r="AC688" s="115"/>
      <c r="AD688" s="192"/>
      <c r="AE688" s="196"/>
      <c r="AF688" s="197"/>
      <c r="AG688" s="201"/>
      <c r="AH688" s="201"/>
      <c r="AI688" s="201"/>
      <c r="AJ688" s="201"/>
      <c r="AK688" s="122"/>
      <c r="AL688" s="122"/>
    </row>
    <row r="689">
      <c r="A689" s="115"/>
      <c r="B689" s="150"/>
      <c r="C689" s="89"/>
      <c r="D689" s="55"/>
      <c r="E689" s="115"/>
      <c r="F689" s="150"/>
      <c r="G689" s="188"/>
      <c r="H689" s="189"/>
      <c r="I689" s="115"/>
      <c r="J689" s="150"/>
      <c r="K689" s="89"/>
      <c r="L689" s="55"/>
      <c r="M689" s="115"/>
      <c r="N689" s="190"/>
      <c r="O689" s="89"/>
      <c r="P689" s="55"/>
      <c r="Q689" s="191"/>
      <c r="R689" s="192"/>
      <c r="S689" s="121"/>
      <c r="T689" s="122"/>
      <c r="U689" s="191"/>
      <c r="V689" s="192"/>
      <c r="W689" s="121"/>
      <c r="X689" s="122"/>
      <c r="Y689" s="115"/>
      <c r="Z689" s="193"/>
      <c r="AA689" s="194"/>
      <c r="AB689" s="195"/>
      <c r="AC689" s="115"/>
      <c r="AD689" s="192"/>
      <c r="AE689" s="196"/>
      <c r="AF689" s="197"/>
      <c r="AG689" s="201"/>
      <c r="AH689" s="201"/>
      <c r="AI689" s="201"/>
      <c r="AJ689" s="201"/>
      <c r="AK689" s="122"/>
      <c r="AL689" s="122"/>
    </row>
    <row r="690">
      <c r="A690" s="115"/>
      <c r="B690" s="150"/>
      <c r="C690" s="89"/>
      <c r="D690" s="55"/>
      <c r="E690" s="115"/>
      <c r="F690" s="150"/>
      <c r="G690" s="188"/>
      <c r="H690" s="189"/>
      <c r="I690" s="115"/>
      <c r="J690" s="150"/>
      <c r="K690" s="89"/>
      <c r="L690" s="55"/>
      <c r="M690" s="115"/>
      <c r="N690" s="190"/>
      <c r="O690" s="89"/>
      <c r="P690" s="55"/>
      <c r="Q690" s="191"/>
      <c r="R690" s="192"/>
      <c r="S690" s="121"/>
      <c r="T690" s="122"/>
      <c r="U690" s="191"/>
      <c r="V690" s="192"/>
      <c r="W690" s="121"/>
      <c r="X690" s="122"/>
      <c r="Y690" s="115"/>
      <c r="Z690" s="193"/>
      <c r="AA690" s="194"/>
      <c r="AB690" s="195"/>
      <c r="AC690" s="115"/>
      <c r="AD690" s="192"/>
      <c r="AE690" s="196"/>
      <c r="AF690" s="197"/>
      <c r="AG690" s="201"/>
      <c r="AH690" s="201"/>
      <c r="AI690" s="201"/>
      <c r="AJ690" s="201"/>
      <c r="AK690" s="122"/>
      <c r="AL690" s="122"/>
    </row>
    <row r="691">
      <c r="A691" s="115"/>
      <c r="B691" s="150"/>
      <c r="C691" s="89"/>
      <c r="D691" s="55"/>
      <c r="E691" s="115"/>
      <c r="F691" s="150"/>
      <c r="G691" s="188"/>
      <c r="H691" s="189"/>
      <c r="I691" s="115"/>
      <c r="J691" s="150"/>
      <c r="K691" s="89"/>
      <c r="L691" s="55"/>
      <c r="M691" s="115"/>
      <c r="N691" s="190"/>
      <c r="O691" s="89"/>
      <c r="P691" s="55"/>
      <c r="Q691" s="191"/>
      <c r="R691" s="192"/>
      <c r="S691" s="121"/>
      <c r="T691" s="122"/>
      <c r="U691" s="191"/>
      <c r="V691" s="192"/>
      <c r="W691" s="121"/>
      <c r="X691" s="122"/>
      <c r="Y691" s="115"/>
      <c r="Z691" s="193"/>
      <c r="AA691" s="194"/>
      <c r="AB691" s="195"/>
      <c r="AC691" s="115"/>
      <c r="AD691" s="192"/>
      <c r="AE691" s="196"/>
      <c r="AF691" s="197"/>
      <c r="AG691" s="201"/>
      <c r="AH691" s="201"/>
      <c r="AI691" s="201"/>
      <c r="AJ691" s="201"/>
      <c r="AK691" s="122"/>
      <c r="AL691" s="122"/>
    </row>
    <row r="692">
      <c r="A692" s="115"/>
      <c r="B692" s="150"/>
      <c r="C692" s="89"/>
      <c r="D692" s="55"/>
      <c r="E692" s="115"/>
      <c r="F692" s="150"/>
      <c r="G692" s="188"/>
      <c r="H692" s="189"/>
      <c r="I692" s="115"/>
      <c r="J692" s="150"/>
      <c r="K692" s="89"/>
      <c r="L692" s="55"/>
      <c r="M692" s="115"/>
      <c r="N692" s="190"/>
      <c r="O692" s="89"/>
      <c r="P692" s="55"/>
      <c r="Q692" s="191"/>
      <c r="R692" s="192"/>
      <c r="S692" s="121"/>
      <c r="T692" s="122"/>
      <c r="U692" s="191"/>
      <c r="V692" s="192"/>
      <c r="W692" s="121"/>
      <c r="X692" s="122"/>
      <c r="Y692" s="115"/>
      <c r="Z692" s="193"/>
      <c r="AA692" s="194"/>
      <c r="AB692" s="195"/>
      <c r="AC692" s="115"/>
      <c r="AD692" s="192"/>
      <c r="AE692" s="196"/>
      <c r="AF692" s="197"/>
      <c r="AG692" s="201"/>
      <c r="AH692" s="201"/>
      <c r="AI692" s="201"/>
      <c r="AJ692" s="201"/>
      <c r="AK692" s="122"/>
      <c r="AL692" s="122"/>
    </row>
    <row r="693">
      <c r="A693" s="115"/>
      <c r="B693" s="150"/>
      <c r="C693" s="89"/>
      <c r="D693" s="55"/>
      <c r="E693" s="115"/>
      <c r="F693" s="150"/>
      <c r="G693" s="188"/>
      <c r="H693" s="189"/>
      <c r="I693" s="115"/>
      <c r="J693" s="150"/>
      <c r="K693" s="89"/>
      <c r="L693" s="55"/>
      <c r="M693" s="115"/>
      <c r="N693" s="190"/>
      <c r="O693" s="89"/>
      <c r="P693" s="55"/>
      <c r="Q693" s="191"/>
      <c r="R693" s="192"/>
      <c r="S693" s="121"/>
      <c r="T693" s="122"/>
      <c r="U693" s="191"/>
      <c r="V693" s="192"/>
      <c r="W693" s="121"/>
      <c r="X693" s="122"/>
      <c r="Y693" s="115"/>
      <c r="Z693" s="193"/>
      <c r="AA693" s="194"/>
      <c r="AB693" s="195"/>
      <c r="AC693" s="115"/>
      <c r="AD693" s="192"/>
      <c r="AE693" s="196"/>
      <c r="AF693" s="197"/>
      <c r="AG693" s="201"/>
      <c r="AH693" s="201"/>
      <c r="AI693" s="201"/>
      <c r="AJ693" s="201"/>
      <c r="AK693" s="122"/>
      <c r="AL693" s="122"/>
    </row>
    <row r="694">
      <c r="A694" s="115"/>
      <c r="B694" s="150"/>
      <c r="C694" s="89"/>
      <c r="D694" s="55"/>
      <c r="E694" s="115"/>
      <c r="F694" s="150"/>
      <c r="G694" s="188"/>
      <c r="H694" s="189"/>
      <c r="I694" s="115"/>
      <c r="J694" s="150"/>
      <c r="K694" s="89"/>
      <c r="L694" s="55"/>
      <c r="M694" s="115"/>
      <c r="N694" s="190"/>
      <c r="O694" s="89"/>
      <c r="P694" s="55"/>
      <c r="Q694" s="191"/>
      <c r="R694" s="192"/>
      <c r="S694" s="121"/>
      <c r="T694" s="122"/>
      <c r="U694" s="191"/>
      <c r="V694" s="192"/>
      <c r="W694" s="121"/>
      <c r="X694" s="122"/>
      <c r="Y694" s="115"/>
      <c r="Z694" s="193"/>
      <c r="AA694" s="194"/>
      <c r="AB694" s="195"/>
      <c r="AC694" s="115"/>
      <c r="AD694" s="192"/>
      <c r="AE694" s="196"/>
      <c r="AF694" s="197"/>
      <c r="AG694" s="201"/>
      <c r="AH694" s="201"/>
      <c r="AI694" s="201"/>
      <c r="AJ694" s="201"/>
      <c r="AK694" s="122"/>
      <c r="AL694" s="122"/>
    </row>
    <row r="695">
      <c r="A695" s="115"/>
      <c r="B695" s="150"/>
      <c r="C695" s="89"/>
      <c r="D695" s="55"/>
      <c r="E695" s="115"/>
      <c r="F695" s="150"/>
      <c r="G695" s="188"/>
      <c r="H695" s="189"/>
      <c r="I695" s="115"/>
      <c r="J695" s="150"/>
      <c r="K695" s="89"/>
      <c r="L695" s="55"/>
      <c r="M695" s="115"/>
      <c r="N695" s="190"/>
      <c r="O695" s="89"/>
      <c r="P695" s="55"/>
      <c r="Q695" s="191"/>
      <c r="R695" s="192"/>
      <c r="S695" s="121"/>
      <c r="T695" s="122"/>
      <c r="U695" s="191"/>
      <c r="V695" s="192"/>
      <c r="W695" s="121"/>
      <c r="X695" s="122"/>
      <c r="Y695" s="115"/>
      <c r="Z695" s="193"/>
      <c r="AA695" s="194"/>
      <c r="AB695" s="195"/>
      <c r="AC695" s="115"/>
      <c r="AD695" s="192"/>
      <c r="AE695" s="196"/>
      <c r="AF695" s="197"/>
      <c r="AG695" s="201"/>
      <c r="AH695" s="201"/>
      <c r="AI695" s="201"/>
      <c r="AJ695" s="201"/>
      <c r="AK695" s="122"/>
      <c r="AL695" s="122"/>
    </row>
    <row r="696">
      <c r="A696" s="115"/>
      <c r="B696" s="150"/>
      <c r="C696" s="89"/>
      <c r="D696" s="55"/>
      <c r="E696" s="115"/>
      <c r="F696" s="150"/>
      <c r="G696" s="188"/>
      <c r="H696" s="189"/>
      <c r="I696" s="115"/>
      <c r="J696" s="150"/>
      <c r="K696" s="89"/>
      <c r="L696" s="55"/>
      <c r="M696" s="115"/>
      <c r="N696" s="190"/>
      <c r="O696" s="89"/>
      <c r="P696" s="55"/>
      <c r="Q696" s="191"/>
      <c r="R696" s="192"/>
      <c r="S696" s="121"/>
      <c r="T696" s="122"/>
      <c r="U696" s="191"/>
      <c r="V696" s="192"/>
      <c r="W696" s="121"/>
      <c r="X696" s="122"/>
      <c r="Y696" s="115"/>
      <c r="Z696" s="193"/>
      <c r="AA696" s="194"/>
      <c r="AB696" s="195"/>
      <c r="AC696" s="115"/>
      <c r="AD696" s="192"/>
      <c r="AE696" s="196"/>
      <c r="AF696" s="197"/>
      <c r="AG696" s="201"/>
      <c r="AH696" s="201"/>
      <c r="AI696" s="201"/>
      <c r="AJ696" s="201"/>
      <c r="AK696" s="122"/>
      <c r="AL696" s="122"/>
    </row>
    <row r="697">
      <c r="A697" s="115"/>
      <c r="B697" s="150"/>
      <c r="C697" s="89"/>
      <c r="D697" s="55"/>
      <c r="E697" s="115"/>
      <c r="F697" s="150"/>
      <c r="G697" s="188"/>
      <c r="H697" s="189"/>
      <c r="I697" s="115"/>
      <c r="J697" s="150"/>
      <c r="K697" s="89"/>
      <c r="L697" s="55"/>
      <c r="M697" s="115"/>
      <c r="N697" s="190"/>
      <c r="O697" s="89"/>
      <c r="P697" s="55"/>
      <c r="Q697" s="191"/>
      <c r="R697" s="192"/>
      <c r="S697" s="121"/>
      <c r="T697" s="122"/>
      <c r="U697" s="191"/>
      <c r="V697" s="192"/>
      <c r="W697" s="121"/>
      <c r="X697" s="122"/>
      <c r="Y697" s="115"/>
      <c r="Z697" s="193"/>
      <c r="AA697" s="194"/>
      <c r="AB697" s="195"/>
      <c r="AC697" s="115"/>
      <c r="AD697" s="192"/>
      <c r="AE697" s="196"/>
      <c r="AF697" s="197"/>
      <c r="AG697" s="201"/>
      <c r="AH697" s="201"/>
      <c r="AI697" s="201"/>
      <c r="AJ697" s="201"/>
      <c r="AK697" s="122"/>
      <c r="AL697" s="122"/>
    </row>
    <row r="698">
      <c r="A698" s="115"/>
      <c r="B698" s="150"/>
      <c r="C698" s="89"/>
      <c r="D698" s="55"/>
      <c r="E698" s="115"/>
      <c r="F698" s="150"/>
      <c r="G698" s="188"/>
      <c r="H698" s="189"/>
      <c r="I698" s="115"/>
      <c r="J698" s="150"/>
      <c r="K698" s="89"/>
      <c r="L698" s="55"/>
      <c r="M698" s="115"/>
      <c r="N698" s="190"/>
      <c r="O698" s="89"/>
      <c r="P698" s="55"/>
      <c r="Q698" s="191"/>
      <c r="R698" s="192"/>
      <c r="S698" s="121"/>
      <c r="T698" s="122"/>
      <c r="U698" s="191"/>
      <c r="V698" s="192"/>
      <c r="W698" s="121"/>
      <c r="X698" s="122"/>
      <c r="Y698" s="115"/>
      <c r="Z698" s="193"/>
      <c r="AA698" s="194"/>
      <c r="AB698" s="195"/>
      <c r="AC698" s="115"/>
      <c r="AD698" s="192"/>
      <c r="AE698" s="196"/>
      <c r="AF698" s="197"/>
      <c r="AG698" s="201"/>
      <c r="AH698" s="201"/>
      <c r="AI698" s="201"/>
      <c r="AJ698" s="201"/>
      <c r="AK698" s="122"/>
      <c r="AL698" s="122"/>
    </row>
    <row r="699">
      <c r="A699" s="115"/>
      <c r="B699" s="150"/>
      <c r="C699" s="89"/>
      <c r="D699" s="55"/>
      <c r="E699" s="115"/>
      <c r="F699" s="150"/>
      <c r="G699" s="188"/>
      <c r="H699" s="189"/>
      <c r="I699" s="115"/>
      <c r="J699" s="150"/>
      <c r="K699" s="89"/>
      <c r="L699" s="55"/>
      <c r="M699" s="115"/>
      <c r="N699" s="190"/>
      <c r="O699" s="89"/>
      <c r="P699" s="55"/>
      <c r="Q699" s="191"/>
      <c r="R699" s="192"/>
      <c r="S699" s="121"/>
      <c r="T699" s="122"/>
      <c r="U699" s="191"/>
      <c r="V699" s="192"/>
      <c r="W699" s="121"/>
      <c r="X699" s="122"/>
      <c r="Y699" s="115"/>
      <c r="Z699" s="193"/>
      <c r="AA699" s="194"/>
      <c r="AB699" s="195"/>
      <c r="AC699" s="115"/>
      <c r="AD699" s="192"/>
      <c r="AE699" s="196"/>
      <c r="AF699" s="197"/>
      <c r="AG699" s="201"/>
      <c r="AH699" s="201"/>
      <c r="AI699" s="201"/>
      <c r="AJ699" s="201"/>
      <c r="AK699" s="122"/>
      <c r="AL699" s="122"/>
    </row>
    <row r="700">
      <c r="A700" s="115"/>
      <c r="B700" s="150"/>
      <c r="C700" s="89"/>
      <c r="D700" s="55"/>
      <c r="E700" s="115"/>
      <c r="F700" s="150"/>
      <c r="G700" s="188"/>
      <c r="H700" s="189"/>
      <c r="I700" s="115"/>
      <c r="J700" s="150"/>
      <c r="K700" s="89"/>
      <c r="L700" s="55"/>
      <c r="M700" s="115"/>
      <c r="N700" s="190"/>
      <c r="O700" s="89"/>
      <c r="P700" s="55"/>
      <c r="Q700" s="191"/>
      <c r="R700" s="192"/>
      <c r="S700" s="121"/>
      <c r="T700" s="122"/>
      <c r="U700" s="191"/>
      <c r="V700" s="192"/>
      <c r="W700" s="121"/>
      <c r="X700" s="122"/>
      <c r="Y700" s="115"/>
      <c r="Z700" s="193"/>
      <c r="AA700" s="194"/>
      <c r="AB700" s="195"/>
      <c r="AC700" s="115"/>
      <c r="AD700" s="192"/>
      <c r="AE700" s="196"/>
      <c r="AF700" s="197"/>
      <c r="AG700" s="201"/>
      <c r="AH700" s="201"/>
      <c r="AI700" s="201"/>
      <c r="AJ700" s="201"/>
      <c r="AK700" s="122"/>
      <c r="AL700" s="122"/>
    </row>
    <row r="701">
      <c r="A701" s="115"/>
      <c r="B701" s="150"/>
      <c r="C701" s="89"/>
      <c r="D701" s="55"/>
      <c r="E701" s="115"/>
      <c r="F701" s="150"/>
      <c r="G701" s="188"/>
      <c r="H701" s="189"/>
      <c r="I701" s="115"/>
      <c r="J701" s="150"/>
      <c r="K701" s="89"/>
      <c r="L701" s="55"/>
      <c r="M701" s="115"/>
      <c r="N701" s="190"/>
      <c r="O701" s="89"/>
      <c r="P701" s="55"/>
      <c r="Q701" s="191"/>
      <c r="R701" s="192"/>
      <c r="S701" s="121"/>
      <c r="T701" s="122"/>
      <c r="U701" s="191"/>
      <c r="V701" s="192"/>
      <c r="W701" s="121"/>
      <c r="X701" s="122"/>
      <c r="Y701" s="115"/>
      <c r="Z701" s="193"/>
      <c r="AA701" s="194"/>
      <c r="AB701" s="195"/>
      <c r="AC701" s="115"/>
      <c r="AD701" s="192"/>
      <c r="AE701" s="196"/>
      <c r="AF701" s="197"/>
      <c r="AG701" s="201"/>
      <c r="AH701" s="201"/>
      <c r="AI701" s="201"/>
      <c r="AJ701" s="201"/>
      <c r="AK701" s="122"/>
      <c r="AL701" s="122"/>
    </row>
    <row r="702">
      <c r="A702" s="115"/>
      <c r="B702" s="150"/>
      <c r="C702" s="89"/>
      <c r="D702" s="55"/>
      <c r="E702" s="115"/>
      <c r="F702" s="150"/>
      <c r="G702" s="188"/>
      <c r="H702" s="189"/>
      <c r="I702" s="115"/>
      <c r="J702" s="150"/>
      <c r="K702" s="89"/>
      <c r="L702" s="55"/>
      <c r="M702" s="115"/>
      <c r="N702" s="190"/>
      <c r="O702" s="89"/>
      <c r="P702" s="55"/>
      <c r="Q702" s="191"/>
      <c r="R702" s="192"/>
      <c r="S702" s="121"/>
      <c r="T702" s="122"/>
      <c r="U702" s="191"/>
      <c r="V702" s="192"/>
      <c r="W702" s="121"/>
      <c r="X702" s="122"/>
      <c r="Y702" s="115"/>
      <c r="Z702" s="193"/>
      <c r="AA702" s="194"/>
      <c r="AB702" s="195"/>
      <c r="AC702" s="115"/>
      <c r="AD702" s="192"/>
      <c r="AE702" s="196"/>
      <c r="AF702" s="197"/>
      <c r="AG702" s="201"/>
      <c r="AH702" s="201"/>
      <c r="AI702" s="201"/>
      <c r="AJ702" s="201"/>
      <c r="AK702" s="122"/>
      <c r="AL702" s="122"/>
    </row>
    <row r="703">
      <c r="A703" s="115"/>
      <c r="B703" s="150"/>
      <c r="C703" s="89"/>
      <c r="D703" s="55"/>
      <c r="E703" s="115"/>
      <c r="F703" s="150"/>
      <c r="G703" s="188"/>
      <c r="H703" s="189"/>
      <c r="I703" s="115"/>
      <c r="J703" s="150"/>
      <c r="K703" s="89"/>
      <c r="L703" s="55"/>
      <c r="M703" s="115"/>
      <c r="N703" s="190"/>
      <c r="O703" s="89"/>
      <c r="P703" s="55"/>
      <c r="Q703" s="191"/>
      <c r="R703" s="192"/>
      <c r="S703" s="121"/>
      <c r="T703" s="122"/>
      <c r="U703" s="191"/>
      <c r="V703" s="192"/>
      <c r="W703" s="121"/>
      <c r="X703" s="122"/>
      <c r="Y703" s="115"/>
      <c r="Z703" s="193"/>
      <c r="AA703" s="194"/>
      <c r="AB703" s="195"/>
      <c r="AC703" s="115"/>
      <c r="AD703" s="192"/>
      <c r="AE703" s="196"/>
      <c r="AF703" s="197"/>
      <c r="AG703" s="201"/>
      <c r="AH703" s="201"/>
      <c r="AI703" s="201"/>
      <c r="AJ703" s="201"/>
      <c r="AK703" s="122"/>
      <c r="AL703" s="122"/>
    </row>
    <row r="704">
      <c r="A704" s="115"/>
      <c r="B704" s="150"/>
      <c r="C704" s="89"/>
      <c r="D704" s="55"/>
      <c r="E704" s="115"/>
      <c r="F704" s="150"/>
      <c r="G704" s="188"/>
      <c r="H704" s="189"/>
      <c r="I704" s="115"/>
      <c r="J704" s="150"/>
      <c r="K704" s="89"/>
      <c r="L704" s="55"/>
      <c r="M704" s="115"/>
      <c r="N704" s="190"/>
      <c r="O704" s="89"/>
      <c r="P704" s="55"/>
      <c r="Q704" s="191"/>
      <c r="R704" s="192"/>
      <c r="S704" s="121"/>
      <c r="T704" s="122"/>
      <c r="U704" s="191"/>
      <c r="V704" s="192"/>
      <c r="W704" s="121"/>
      <c r="X704" s="122"/>
      <c r="Y704" s="115"/>
      <c r="Z704" s="193"/>
      <c r="AA704" s="194"/>
      <c r="AB704" s="195"/>
      <c r="AC704" s="115"/>
      <c r="AD704" s="192"/>
      <c r="AE704" s="196"/>
      <c r="AF704" s="197"/>
      <c r="AG704" s="201"/>
      <c r="AH704" s="201"/>
      <c r="AI704" s="201"/>
      <c r="AJ704" s="201"/>
      <c r="AK704" s="122"/>
      <c r="AL704" s="122"/>
    </row>
    <row r="705">
      <c r="A705" s="115"/>
      <c r="B705" s="150"/>
      <c r="C705" s="89"/>
      <c r="D705" s="55"/>
      <c r="E705" s="115"/>
      <c r="F705" s="150"/>
      <c r="G705" s="188"/>
      <c r="H705" s="189"/>
      <c r="I705" s="115"/>
      <c r="J705" s="150"/>
      <c r="K705" s="89"/>
      <c r="L705" s="55"/>
      <c r="M705" s="115"/>
      <c r="N705" s="190"/>
      <c r="O705" s="89"/>
      <c r="P705" s="55"/>
      <c r="Q705" s="191"/>
      <c r="R705" s="192"/>
      <c r="S705" s="121"/>
      <c r="T705" s="122"/>
      <c r="U705" s="191"/>
      <c r="V705" s="192"/>
      <c r="W705" s="121"/>
      <c r="X705" s="122"/>
      <c r="Y705" s="115"/>
      <c r="Z705" s="193"/>
      <c r="AA705" s="194"/>
      <c r="AB705" s="195"/>
      <c r="AC705" s="115"/>
      <c r="AD705" s="192"/>
      <c r="AE705" s="196"/>
      <c r="AF705" s="197"/>
      <c r="AG705" s="201"/>
      <c r="AH705" s="201"/>
      <c r="AI705" s="201"/>
      <c r="AJ705" s="201"/>
      <c r="AK705" s="122"/>
      <c r="AL705" s="122"/>
    </row>
    <row r="706">
      <c r="A706" s="115"/>
      <c r="B706" s="150"/>
      <c r="C706" s="89"/>
      <c r="D706" s="55"/>
      <c r="E706" s="115"/>
      <c r="F706" s="150"/>
      <c r="G706" s="188"/>
      <c r="H706" s="189"/>
      <c r="I706" s="115"/>
      <c r="J706" s="150"/>
      <c r="K706" s="89"/>
      <c r="L706" s="55"/>
      <c r="M706" s="115"/>
      <c r="N706" s="190"/>
      <c r="O706" s="89"/>
      <c r="P706" s="55"/>
      <c r="Q706" s="191"/>
      <c r="R706" s="192"/>
      <c r="S706" s="121"/>
      <c r="T706" s="122"/>
      <c r="U706" s="191"/>
      <c r="V706" s="192"/>
      <c r="W706" s="121"/>
      <c r="X706" s="122"/>
      <c r="Y706" s="115"/>
      <c r="Z706" s="193"/>
      <c r="AA706" s="194"/>
      <c r="AB706" s="195"/>
      <c r="AC706" s="115"/>
      <c r="AD706" s="192"/>
      <c r="AE706" s="196"/>
      <c r="AF706" s="197"/>
      <c r="AG706" s="201"/>
      <c r="AH706" s="201"/>
      <c r="AI706" s="201"/>
      <c r="AJ706" s="201"/>
      <c r="AK706" s="122"/>
      <c r="AL706" s="122"/>
    </row>
    <row r="707">
      <c r="A707" s="115"/>
      <c r="B707" s="150"/>
      <c r="C707" s="89"/>
      <c r="D707" s="55"/>
      <c r="E707" s="115"/>
      <c r="F707" s="150"/>
      <c r="G707" s="188"/>
      <c r="H707" s="189"/>
      <c r="I707" s="115"/>
      <c r="J707" s="150"/>
      <c r="K707" s="89"/>
      <c r="L707" s="55"/>
      <c r="M707" s="115"/>
      <c r="N707" s="190"/>
      <c r="O707" s="89"/>
      <c r="P707" s="55"/>
      <c r="Q707" s="191"/>
      <c r="R707" s="192"/>
      <c r="S707" s="121"/>
      <c r="T707" s="122"/>
      <c r="U707" s="191"/>
      <c r="V707" s="192"/>
      <c r="W707" s="121"/>
      <c r="X707" s="122"/>
      <c r="Y707" s="115"/>
      <c r="Z707" s="193"/>
      <c r="AA707" s="194"/>
      <c r="AB707" s="195"/>
      <c r="AC707" s="115"/>
      <c r="AD707" s="192"/>
      <c r="AE707" s="196"/>
      <c r="AF707" s="197"/>
      <c r="AG707" s="201"/>
      <c r="AH707" s="201"/>
      <c r="AI707" s="201"/>
      <c r="AJ707" s="201"/>
      <c r="AK707" s="122"/>
      <c r="AL707" s="122"/>
    </row>
    <row r="708">
      <c r="A708" s="115"/>
      <c r="B708" s="150"/>
      <c r="C708" s="89"/>
      <c r="D708" s="55"/>
      <c r="E708" s="115"/>
      <c r="F708" s="150"/>
      <c r="G708" s="188"/>
      <c r="H708" s="189"/>
      <c r="I708" s="115"/>
      <c r="J708" s="150"/>
      <c r="K708" s="89"/>
      <c r="L708" s="55"/>
      <c r="M708" s="115"/>
      <c r="N708" s="190"/>
      <c r="O708" s="89"/>
      <c r="P708" s="55"/>
      <c r="Q708" s="191"/>
      <c r="R708" s="192"/>
      <c r="S708" s="121"/>
      <c r="T708" s="122"/>
      <c r="U708" s="191"/>
      <c r="V708" s="192"/>
      <c r="W708" s="121"/>
      <c r="X708" s="122"/>
      <c r="Y708" s="115"/>
      <c r="Z708" s="193"/>
      <c r="AA708" s="194"/>
      <c r="AB708" s="195"/>
      <c r="AC708" s="115"/>
      <c r="AD708" s="192"/>
      <c r="AE708" s="196"/>
      <c r="AF708" s="197"/>
      <c r="AG708" s="201"/>
      <c r="AH708" s="201"/>
      <c r="AI708" s="201"/>
      <c r="AJ708" s="201"/>
      <c r="AK708" s="122"/>
      <c r="AL708" s="122"/>
    </row>
    <row r="709">
      <c r="A709" s="115"/>
      <c r="B709" s="150"/>
      <c r="C709" s="89"/>
      <c r="D709" s="55"/>
      <c r="E709" s="115"/>
      <c r="F709" s="150"/>
      <c r="G709" s="188"/>
      <c r="H709" s="189"/>
      <c r="I709" s="115"/>
      <c r="J709" s="150"/>
      <c r="K709" s="89"/>
      <c r="L709" s="55"/>
      <c r="M709" s="115"/>
      <c r="N709" s="190"/>
      <c r="O709" s="89"/>
      <c r="P709" s="55"/>
      <c r="Q709" s="191"/>
      <c r="R709" s="192"/>
      <c r="S709" s="121"/>
      <c r="T709" s="122"/>
      <c r="U709" s="191"/>
      <c r="V709" s="192"/>
      <c r="W709" s="121"/>
      <c r="X709" s="122"/>
      <c r="Y709" s="115"/>
      <c r="Z709" s="193"/>
      <c r="AA709" s="194"/>
      <c r="AB709" s="195"/>
      <c r="AC709" s="115"/>
      <c r="AD709" s="192"/>
      <c r="AE709" s="196"/>
      <c r="AF709" s="197"/>
      <c r="AG709" s="201"/>
      <c r="AH709" s="201"/>
      <c r="AI709" s="201"/>
      <c r="AJ709" s="201"/>
      <c r="AK709" s="122"/>
      <c r="AL709" s="122"/>
    </row>
    <row r="710">
      <c r="A710" s="115"/>
      <c r="B710" s="150"/>
      <c r="C710" s="89"/>
      <c r="D710" s="55"/>
      <c r="E710" s="115"/>
      <c r="F710" s="150"/>
      <c r="G710" s="188"/>
      <c r="H710" s="189"/>
      <c r="I710" s="115"/>
      <c r="J710" s="150"/>
      <c r="K710" s="89"/>
      <c r="L710" s="55"/>
      <c r="M710" s="115"/>
      <c r="N710" s="190"/>
      <c r="O710" s="89"/>
      <c r="P710" s="55"/>
      <c r="Q710" s="191"/>
      <c r="R710" s="192"/>
      <c r="S710" s="121"/>
      <c r="T710" s="122"/>
      <c r="U710" s="191"/>
      <c r="V710" s="192"/>
      <c r="W710" s="121"/>
      <c r="X710" s="122"/>
      <c r="Y710" s="115"/>
      <c r="Z710" s="193"/>
      <c r="AA710" s="194"/>
      <c r="AB710" s="195"/>
      <c r="AC710" s="115"/>
      <c r="AD710" s="192"/>
      <c r="AE710" s="196"/>
      <c r="AF710" s="197"/>
      <c r="AG710" s="201"/>
      <c r="AH710" s="201"/>
      <c r="AI710" s="201"/>
      <c r="AJ710" s="201"/>
      <c r="AK710" s="122"/>
      <c r="AL710" s="122"/>
    </row>
    <row r="711">
      <c r="A711" s="115"/>
      <c r="B711" s="150"/>
      <c r="C711" s="89"/>
      <c r="D711" s="55"/>
      <c r="E711" s="115"/>
      <c r="F711" s="150"/>
      <c r="G711" s="188"/>
      <c r="H711" s="189"/>
      <c r="I711" s="115"/>
      <c r="J711" s="150"/>
      <c r="K711" s="89"/>
      <c r="L711" s="55"/>
      <c r="M711" s="115"/>
      <c r="N711" s="190"/>
      <c r="O711" s="89"/>
      <c r="P711" s="55"/>
      <c r="Q711" s="191"/>
      <c r="R711" s="192"/>
      <c r="S711" s="121"/>
      <c r="T711" s="122"/>
      <c r="U711" s="191"/>
      <c r="V711" s="192"/>
      <c r="W711" s="121"/>
      <c r="X711" s="122"/>
      <c r="Y711" s="115"/>
      <c r="Z711" s="193"/>
      <c r="AA711" s="194"/>
      <c r="AB711" s="195"/>
      <c r="AC711" s="115"/>
      <c r="AD711" s="192"/>
      <c r="AE711" s="196"/>
      <c r="AF711" s="197"/>
      <c r="AG711" s="201"/>
      <c r="AH711" s="201"/>
      <c r="AI711" s="201"/>
      <c r="AJ711" s="201"/>
      <c r="AK711" s="122"/>
      <c r="AL711" s="122"/>
    </row>
    <row r="712">
      <c r="A712" s="115"/>
      <c r="B712" s="150"/>
      <c r="C712" s="89"/>
      <c r="D712" s="55"/>
      <c r="E712" s="115"/>
      <c r="F712" s="150"/>
      <c r="G712" s="188"/>
      <c r="H712" s="189"/>
      <c r="I712" s="115"/>
      <c r="J712" s="150"/>
      <c r="K712" s="89"/>
      <c r="L712" s="55"/>
      <c r="M712" s="115"/>
      <c r="N712" s="190"/>
      <c r="O712" s="89"/>
      <c r="P712" s="55"/>
      <c r="Q712" s="191"/>
      <c r="R712" s="192"/>
      <c r="S712" s="121"/>
      <c r="T712" s="122"/>
      <c r="U712" s="191"/>
      <c r="V712" s="192"/>
      <c r="W712" s="121"/>
      <c r="X712" s="122"/>
      <c r="Y712" s="115"/>
      <c r="Z712" s="193"/>
      <c r="AA712" s="194"/>
      <c r="AB712" s="195"/>
      <c r="AC712" s="115"/>
      <c r="AD712" s="192"/>
      <c r="AE712" s="196"/>
      <c r="AF712" s="197"/>
      <c r="AG712" s="201"/>
      <c r="AH712" s="201"/>
      <c r="AI712" s="201"/>
      <c r="AJ712" s="201"/>
      <c r="AK712" s="122"/>
      <c r="AL712" s="122"/>
    </row>
    <row r="713">
      <c r="A713" s="115"/>
      <c r="B713" s="150"/>
      <c r="C713" s="89"/>
      <c r="D713" s="55"/>
      <c r="E713" s="115"/>
      <c r="F713" s="150"/>
      <c r="G713" s="188"/>
      <c r="H713" s="189"/>
      <c r="I713" s="115"/>
      <c r="J713" s="150"/>
      <c r="K713" s="89"/>
      <c r="L713" s="55"/>
      <c r="M713" s="115"/>
      <c r="N713" s="190"/>
      <c r="O713" s="89"/>
      <c r="P713" s="55"/>
      <c r="Q713" s="191"/>
      <c r="R713" s="192"/>
      <c r="S713" s="121"/>
      <c r="T713" s="122"/>
      <c r="U713" s="191"/>
      <c r="V713" s="192"/>
      <c r="W713" s="121"/>
      <c r="X713" s="122"/>
      <c r="Y713" s="115"/>
      <c r="Z713" s="193"/>
      <c r="AA713" s="194"/>
      <c r="AB713" s="195"/>
      <c r="AC713" s="115"/>
      <c r="AD713" s="192"/>
      <c r="AE713" s="196"/>
      <c r="AF713" s="197"/>
      <c r="AG713" s="201"/>
      <c r="AH713" s="201"/>
      <c r="AI713" s="201"/>
      <c r="AJ713" s="201"/>
      <c r="AK713" s="122"/>
      <c r="AL713" s="122"/>
    </row>
    <row r="714">
      <c r="A714" s="115"/>
      <c r="B714" s="150"/>
      <c r="C714" s="89"/>
      <c r="D714" s="55"/>
      <c r="E714" s="115"/>
      <c r="F714" s="150"/>
      <c r="G714" s="188"/>
      <c r="H714" s="189"/>
      <c r="I714" s="115"/>
      <c r="J714" s="150"/>
      <c r="K714" s="89"/>
      <c r="L714" s="55"/>
      <c r="M714" s="115"/>
      <c r="N714" s="190"/>
      <c r="O714" s="89"/>
      <c r="P714" s="55"/>
      <c r="Q714" s="191"/>
      <c r="R714" s="192"/>
      <c r="S714" s="121"/>
      <c r="T714" s="122"/>
      <c r="U714" s="191"/>
      <c r="V714" s="192"/>
      <c r="W714" s="121"/>
      <c r="X714" s="122"/>
      <c r="Y714" s="115"/>
      <c r="Z714" s="193"/>
      <c r="AA714" s="194"/>
      <c r="AB714" s="195"/>
      <c r="AC714" s="115"/>
      <c r="AD714" s="192"/>
      <c r="AE714" s="196"/>
      <c r="AF714" s="197"/>
      <c r="AG714" s="201"/>
      <c r="AH714" s="201"/>
      <c r="AI714" s="201"/>
      <c r="AJ714" s="201"/>
      <c r="AK714" s="122"/>
      <c r="AL714" s="122"/>
    </row>
    <row r="715">
      <c r="A715" s="115"/>
      <c r="B715" s="150"/>
      <c r="C715" s="89"/>
      <c r="D715" s="55"/>
      <c r="E715" s="115"/>
      <c r="F715" s="150"/>
      <c r="G715" s="188"/>
      <c r="H715" s="189"/>
      <c r="I715" s="115"/>
      <c r="J715" s="150"/>
      <c r="K715" s="89"/>
      <c r="L715" s="55"/>
      <c r="M715" s="115"/>
      <c r="N715" s="190"/>
      <c r="O715" s="89"/>
      <c r="P715" s="55"/>
      <c r="Q715" s="191"/>
      <c r="R715" s="192"/>
      <c r="S715" s="121"/>
      <c r="T715" s="122"/>
      <c r="U715" s="191"/>
      <c r="V715" s="192"/>
      <c r="W715" s="121"/>
      <c r="X715" s="122"/>
      <c r="Y715" s="115"/>
      <c r="Z715" s="193"/>
      <c r="AA715" s="194"/>
      <c r="AB715" s="195"/>
      <c r="AC715" s="115"/>
      <c r="AD715" s="192"/>
      <c r="AE715" s="196"/>
      <c r="AF715" s="197"/>
      <c r="AG715" s="201"/>
      <c r="AH715" s="201"/>
      <c r="AI715" s="201"/>
      <c r="AJ715" s="201"/>
      <c r="AK715" s="122"/>
      <c r="AL715" s="122"/>
    </row>
    <row r="716">
      <c r="A716" s="115"/>
      <c r="B716" s="150"/>
      <c r="C716" s="89"/>
      <c r="D716" s="55"/>
      <c r="E716" s="115"/>
      <c r="F716" s="150"/>
      <c r="G716" s="188"/>
      <c r="H716" s="189"/>
      <c r="I716" s="115"/>
      <c r="J716" s="150"/>
      <c r="K716" s="89"/>
      <c r="L716" s="55"/>
      <c r="M716" s="115"/>
      <c r="N716" s="190"/>
      <c r="O716" s="89"/>
      <c r="P716" s="55"/>
      <c r="Q716" s="191"/>
      <c r="R716" s="192"/>
      <c r="S716" s="121"/>
      <c r="T716" s="122"/>
      <c r="U716" s="191"/>
      <c r="V716" s="192"/>
      <c r="W716" s="121"/>
      <c r="X716" s="122"/>
      <c r="Y716" s="115"/>
      <c r="Z716" s="193"/>
      <c r="AA716" s="194"/>
      <c r="AB716" s="195"/>
      <c r="AC716" s="115"/>
      <c r="AD716" s="192"/>
      <c r="AE716" s="196"/>
      <c r="AF716" s="197"/>
      <c r="AG716" s="201"/>
      <c r="AH716" s="201"/>
      <c r="AI716" s="201"/>
      <c r="AJ716" s="201"/>
      <c r="AK716" s="122"/>
      <c r="AL716" s="122"/>
    </row>
    <row r="717">
      <c r="A717" s="115"/>
      <c r="B717" s="150"/>
      <c r="C717" s="89"/>
      <c r="D717" s="55"/>
      <c r="E717" s="115"/>
      <c r="F717" s="150"/>
      <c r="G717" s="188"/>
      <c r="H717" s="189"/>
      <c r="I717" s="115"/>
      <c r="J717" s="150"/>
      <c r="K717" s="89"/>
      <c r="L717" s="55"/>
      <c r="M717" s="115"/>
      <c r="N717" s="190"/>
      <c r="O717" s="89"/>
      <c r="P717" s="55"/>
      <c r="Q717" s="191"/>
      <c r="R717" s="192"/>
      <c r="S717" s="121"/>
      <c r="T717" s="122"/>
      <c r="U717" s="191"/>
      <c r="V717" s="192"/>
      <c r="W717" s="121"/>
      <c r="X717" s="122"/>
      <c r="Y717" s="115"/>
      <c r="Z717" s="193"/>
      <c r="AA717" s="194"/>
      <c r="AB717" s="195"/>
      <c r="AC717" s="115"/>
      <c r="AD717" s="192"/>
      <c r="AE717" s="196"/>
      <c r="AF717" s="197"/>
      <c r="AG717" s="201"/>
      <c r="AH717" s="201"/>
      <c r="AI717" s="201"/>
      <c r="AJ717" s="201"/>
      <c r="AK717" s="122"/>
      <c r="AL717" s="122"/>
    </row>
    <row r="718">
      <c r="A718" s="115"/>
      <c r="B718" s="150"/>
      <c r="C718" s="89"/>
      <c r="D718" s="55"/>
      <c r="E718" s="115"/>
      <c r="F718" s="150"/>
      <c r="G718" s="188"/>
      <c r="H718" s="189"/>
      <c r="I718" s="115"/>
      <c r="J718" s="150"/>
      <c r="K718" s="89"/>
      <c r="L718" s="55"/>
      <c r="M718" s="115"/>
      <c r="N718" s="190"/>
      <c r="O718" s="89"/>
      <c r="P718" s="55"/>
      <c r="Q718" s="191"/>
      <c r="R718" s="192"/>
      <c r="S718" s="121"/>
      <c r="T718" s="122"/>
      <c r="U718" s="191"/>
      <c r="V718" s="192"/>
      <c r="W718" s="121"/>
      <c r="X718" s="122"/>
      <c r="Y718" s="115"/>
      <c r="Z718" s="193"/>
      <c r="AA718" s="194"/>
      <c r="AB718" s="195"/>
      <c r="AC718" s="115"/>
      <c r="AD718" s="192"/>
      <c r="AE718" s="196"/>
      <c r="AF718" s="197"/>
      <c r="AG718" s="201"/>
      <c r="AH718" s="201"/>
      <c r="AI718" s="201"/>
      <c r="AJ718" s="201"/>
      <c r="AK718" s="122"/>
      <c r="AL718" s="122"/>
    </row>
    <row r="719">
      <c r="A719" s="115"/>
      <c r="B719" s="150"/>
      <c r="C719" s="89"/>
      <c r="D719" s="55"/>
      <c r="E719" s="115"/>
      <c r="F719" s="150"/>
      <c r="G719" s="188"/>
      <c r="H719" s="189"/>
      <c r="I719" s="115"/>
      <c r="J719" s="150"/>
      <c r="K719" s="89"/>
      <c r="L719" s="55"/>
      <c r="M719" s="115"/>
      <c r="N719" s="190"/>
      <c r="O719" s="89"/>
      <c r="P719" s="55"/>
      <c r="Q719" s="191"/>
      <c r="R719" s="192"/>
      <c r="S719" s="121"/>
      <c r="T719" s="122"/>
      <c r="U719" s="191"/>
      <c r="V719" s="192"/>
      <c r="W719" s="121"/>
      <c r="X719" s="122"/>
      <c r="Y719" s="115"/>
      <c r="Z719" s="193"/>
      <c r="AA719" s="194"/>
      <c r="AB719" s="195"/>
      <c r="AC719" s="115"/>
      <c r="AD719" s="192"/>
      <c r="AE719" s="196"/>
      <c r="AF719" s="197"/>
      <c r="AG719" s="201"/>
      <c r="AH719" s="201"/>
      <c r="AI719" s="201"/>
      <c r="AJ719" s="201"/>
      <c r="AK719" s="122"/>
      <c r="AL719" s="122"/>
    </row>
    <row r="720">
      <c r="A720" s="115"/>
      <c r="B720" s="150"/>
      <c r="C720" s="89"/>
      <c r="D720" s="55"/>
      <c r="E720" s="115"/>
      <c r="F720" s="150"/>
      <c r="G720" s="188"/>
      <c r="H720" s="189"/>
      <c r="I720" s="115"/>
      <c r="J720" s="150"/>
      <c r="K720" s="89"/>
      <c r="L720" s="55"/>
      <c r="M720" s="115"/>
      <c r="N720" s="190"/>
      <c r="O720" s="89"/>
      <c r="P720" s="55"/>
      <c r="Q720" s="191"/>
      <c r="R720" s="192"/>
      <c r="S720" s="121"/>
      <c r="T720" s="122"/>
      <c r="U720" s="191"/>
      <c r="V720" s="192"/>
      <c r="W720" s="121"/>
      <c r="X720" s="122"/>
      <c r="Y720" s="115"/>
      <c r="Z720" s="193"/>
      <c r="AA720" s="194"/>
      <c r="AB720" s="195"/>
      <c r="AC720" s="115"/>
      <c r="AD720" s="192"/>
      <c r="AE720" s="196"/>
      <c r="AF720" s="197"/>
      <c r="AG720" s="201"/>
      <c r="AH720" s="201"/>
      <c r="AI720" s="201"/>
      <c r="AJ720" s="201"/>
      <c r="AK720" s="122"/>
      <c r="AL720" s="122"/>
    </row>
    <row r="721">
      <c r="A721" s="115"/>
      <c r="B721" s="150"/>
      <c r="C721" s="89"/>
      <c r="D721" s="55"/>
      <c r="E721" s="115"/>
      <c r="F721" s="150"/>
      <c r="G721" s="188"/>
      <c r="H721" s="189"/>
      <c r="I721" s="115"/>
      <c r="J721" s="150"/>
      <c r="K721" s="89"/>
      <c r="L721" s="55"/>
      <c r="M721" s="115"/>
      <c r="N721" s="190"/>
      <c r="O721" s="89"/>
      <c r="P721" s="55"/>
      <c r="Q721" s="191"/>
      <c r="R721" s="192"/>
      <c r="S721" s="121"/>
      <c r="T721" s="122"/>
      <c r="U721" s="191"/>
      <c r="V721" s="192"/>
      <c r="W721" s="121"/>
      <c r="X721" s="122"/>
      <c r="Y721" s="115"/>
      <c r="Z721" s="193"/>
      <c r="AA721" s="194"/>
      <c r="AB721" s="195"/>
      <c r="AC721" s="115"/>
      <c r="AD721" s="192"/>
      <c r="AE721" s="196"/>
      <c r="AF721" s="197"/>
      <c r="AG721" s="201"/>
      <c r="AH721" s="201"/>
      <c r="AI721" s="201"/>
      <c r="AJ721" s="201"/>
      <c r="AK721" s="122"/>
      <c r="AL721" s="122"/>
    </row>
    <row r="722">
      <c r="A722" s="115"/>
      <c r="B722" s="150"/>
      <c r="C722" s="89"/>
      <c r="D722" s="55"/>
      <c r="E722" s="115"/>
      <c r="F722" s="150"/>
      <c r="G722" s="188"/>
      <c r="H722" s="189"/>
      <c r="I722" s="115"/>
      <c r="J722" s="150"/>
      <c r="K722" s="89"/>
      <c r="L722" s="55"/>
      <c r="M722" s="115"/>
      <c r="N722" s="190"/>
      <c r="O722" s="89"/>
      <c r="P722" s="55"/>
      <c r="Q722" s="191"/>
      <c r="R722" s="192"/>
      <c r="S722" s="121"/>
      <c r="T722" s="122"/>
      <c r="U722" s="191"/>
      <c r="V722" s="192"/>
      <c r="W722" s="121"/>
      <c r="X722" s="122"/>
      <c r="Y722" s="115"/>
      <c r="Z722" s="193"/>
      <c r="AA722" s="194"/>
      <c r="AB722" s="195"/>
      <c r="AC722" s="115"/>
      <c r="AD722" s="192"/>
      <c r="AE722" s="196"/>
      <c r="AF722" s="197"/>
      <c r="AG722" s="201"/>
      <c r="AH722" s="201"/>
      <c r="AI722" s="201"/>
      <c r="AJ722" s="201"/>
      <c r="AK722" s="122"/>
      <c r="AL722" s="122"/>
    </row>
    <row r="723">
      <c r="A723" s="115"/>
      <c r="B723" s="150"/>
      <c r="C723" s="89"/>
      <c r="D723" s="55"/>
      <c r="E723" s="115"/>
      <c r="F723" s="150"/>
      <c r="G723" s="188"/>
      <c r="H723" s="189"/>
      <c r="I723" s="115"/>
      <c r="J723" s="150"/>
      <c r="K723" s="89"/>
      <c r="L723" s="55"/>
      <c r="M723" s="115"/>
      <c r="N723" s="190"/>
      <c r="O723" s="89"/>
      <c r="P723" s="55"/>
      <c r="Q723" s="191"/>
      <c r="R723" s="192"/>
      <c r="S723" s="121"/>
      <c r="T723" s="122"/>
      <c r="U723" s="191"/>
      <c r="V723" s="192"/>
      <c r="W723" s="121"/>
      <c r="X723" s="122"/>
      <c r="Y723" s="115"/>
      <c r="Z723" s="193"/>
      <c r="AA723" s="194"/>
      <c r="AB723" s="195"/>
      <c r="AC723" s="115"/>
      <c r="AD723" s="192"/>
      <c r="AE723" s="196"/>
      <c r="AF723" s="197"/>
      <c r="AG723" s="201"/>
      <c r="AH723" s="201"/>
      <c r="AI723" s="201"/>
      <c r="AJ723" s="201"/>
      <c r="AK723" s="122"/>
      <c r="AL723" s="122"/>
    </row>
    <row r="724">
      <c r="A724" s="115"/>
      <c r="B724" s="150"/>
      <c r="C724" s="89"/>
      <c r="D724" s="55"/>
      <c r="E724" s="115"/>
      <c r="F724" s="150"/>
      <c r="G724" s="188"/>
      <c r="H724" s="189"/>
      <c r="I724" s="115"/>
      <c r="J724" s="150"/>
      <c r="K724" s="89"/>
      <c r="L724" s="55"/>
      <c r="M724" s="115"/>
      <c r="N724" s="190"/>
      <c r="O724" s="89"/>
      <c r="P724" s="55"/>
      <c r="Q724" s="191"/>
      <c r="R724" s="192"/>
      <c r="S724" s="121"/>
      <c r="T724" s="122"/>
      <c r="U724" s="191"/>
      <c r="V724" s="192"/>
      <c r="W724" s="121"/>
      <c r="X724" s="122"/>
      <c r="Y724" s="115"/>
      <c r="Z724" s="193"/>
      <c r="AA724" s="194"/>
      <c r="AB724" s="195"/>
      <c r="AC724" s="115"/>
      <c r="AD724" s="192"/>
      <c r="AE724" s="196"/>
      <c r="AF724" s="197"/>
      <c r="AG724" s="201"/>
      <c r="AH724" s="201"/>
      <c r="AI724" s="201"/>
      <c r="AJ724" s="201"/>
      <c r="AK724" s="122"/>
      <c r="AL724" s="122"/>
    </row>
    <row r="725">
      <c r="A725" s="115"/>
      <c r="B725" s="150"/>
      <c r="C725" s="89"/>
      <c r="D725" s="55"/>
      <c r="E725" s="115"/>
      <c r="F725" s="150"/>
      <c r="G725" s="188"/>
      <c r="H725" s="189"/>
      <c r="I725" s="115"/>
      <c r="J725" s="150"/>
      <c r="K725" s="89"/>
      <c r="L725" s="55"/>
      <c r="M725" s="115"/>
      <c r="N725" s="190"/>
      <c r="O725" s="89"/>
      <c r="P725" s="55"/>
      <c r="Q725" s="191"/>
      <c r="R725" s="192"/>
      <c r="S725" s="121"/>
      <c r="T725" s="122"/>
      <c r="U725" s="191"/>
      <c r="V725" s="192"/>
      <c r="W725" s="121"/>
      <c r="X725" s="122"/>
      <c r="Y725" s="115"/>
      <c r="Z725" s="193"/>
      <c r="AA725" s="194"/>
      <c r="AB725" s="195"/>
      <c r="AC725" s="115"/>
      <c r="AD725" s="192"/>
      <c r="AE725" s="196"/>
      <c r="AF725" s="197"/>
      <c r="AG725" s="201"/>
      <c r="AH725" s="201"/>
      <c r="AI725" s="201"/>
      <c r="AJ725" s="201"/>
      <c r="AK725" s="122"/>
      <c r="AL725" s="122"/>
    </row>
    <row r="726">
      <c r="A726" s="115"/>
      <c r="B726" s="150"/>
      <c r="C726" s="89"/>
      <c r="D726" s="55"/>
      <c r="E726" s="115"/>
      <c r="F726" s="150"/>
      <c r="G726" s="188"/>
      <c r="H726" s="189"/>
      <c r="I726" s="115"/>
      <c r="J726" s="150"/>
      <c r="K726" s="89"/>
      <c r="L726" s="55"/>
      <c r="M726" s="115"/>
      <c r="N726" s="190"/>
      <c r="O726" s="89"/>
      <c r="P726" s="55"/>
      <c r="Q726" s="191"/>
      <c r="R726" s="192"/>
      <c r="S726" s="121"/>
      <c r="T726" s="122"/>
      <c r="U726" s="191"/>
      <c r="V726" s="192"/>
      <c r="W726" s="121"/>
      <c r="X726" s="122"/>
      <c r="Y726" s="115"/>
      <c r="Z726" s="193"/>
      <c r="AA726" s="194"/>
      <c r="AB726" s="195"/>
      <c r="AC726" s="115"/>
      <c r="AD726" s="192"/>
      <c r="AE726" s="196"/>
      <c r="AF726" s="197"/>
      <c r="AG726" s="201"/>
      <c r="AH726" s="201"/>
      <c r="AI726" s="201"/>
      <c r="AJ726" s="201"/>
      <c r="AK726" s="122"/>
      <c r="AL726" s="122"/>
    </row>
    <row r="727">
      <c r="A727" s="115"/>
      <c r="B727" s="150"/>
      <c r="C727" s="89"/>
      <c r="D727" s="55"/>
      <c r="E727" s="115"/>
      <c r="F727" s="150"/>
      <c r="G727" s="188"/>
      <c r="H727" s="189"/>
      <c r="I727" s="115"/>
      <c r="J727" s="150"/>
      <c r="K727" s="89"/>
      <c r="L727" s="55"/>
      <c r="M727" s="115"/>
      <c r="N727" s="190"/>
      <c r="O727" s="89"/>
      <c r="P727" s="55"/>
      <c r="Q727" s="191"/>
      <c r="R727" s="192"/>
      <c r="S727" s="121"/>
      <c r="T727" s="122"/>
      <c r="U727" s="191"/>
      <c r="V727" s="192"/>
      <c r="W727" s="121"/>
      <c r="X727" s="122"/>
      <c r="Y727" s="115"/>
      <c r="Z727" s="193"/>
      <c r="AA727" s="194"/>
      <c r="AB727" s="195"/>
      <c r="AC727" s="115"/>
      <c r="AD727" s="192"/>
      <c r="AE727" s="196"/>
      <c r="AF727" s="197"/>
      <c r="AG727" s="201"/>
      <c r="AH727" s="201"/>
      <c r="AI727" s="201"/>
      <c r="AJ727" s="201"/>
      <c r="AK727" s="122"/>
      <c r="AL727" s="122"/>
    </row>
    <row r="728">
      <c r="A728" s="115"/>
      <c r="B728" s="150"/>
      <c r="C728" s="89"/>
      <c r="D728" s="55"/>
      <c r="E728" s="115"/>
      <c r="F728" s="150"/>
      <c r="G728" s="188"/>
      <c r="H728" s="189"/>
      <c r="I728" s="115"/>
      <c r="J728" s="150"/>
      <c r="K728" s="89"/>
      <c r="L728" s="55"/>
      <c r="M728" s="115"/>
      <c r="N728" s="190"/>
      <c r="O728" s="89"/>
      <c r="P728" s="55"/>
      <c r="Q728" s="191"/>
      <c r="R728" s="192"/>
      <c r="S728" s="121"/>
      <c r="T728" s="122"/>
      <c r="U728" s="191"/>
      <c r="V728" s="192"/>
      <c r="W728" s="121"/>
      <c r="X728" s="122"/>
      <c r="Y728" s="115"/>
      <c r="Z728" s="193"/>
      <c r="AA728" s="194"/>
      <c r="AB728" s="195"/>
      <c r="AC728" s="115"/>
      <c r="AD728" s="192"/>
      <c r="AE728" s="196"/>
      <c r="AF728" s="197"/>
      <c r="AG728" s="201"/>
      <c r="AH728" s="201"/>
      <c r="AI728" s="201"/>
      <c r="AJ728" s="201"/>
      <c r="AK728" s="122"/>
      <c r="AL728" s="122"/>
    </row>
    <row r="729">
      <c r="A729" s="115"/>
      <c r="B729" s="150"/>
      <c r="C729" s="89"/>
      <c r="D729" s="55"/>
      <c r="E729" s="115"/>
      <c r="F729" s="150"/>
      <c r="G729" s="188"/>
      <c r="H729" s="189"/>
      <c r="I729" s="115"/>
      <c r="J729" s="150"/>
      <c r="K729" s="89"/>
      <c r="L729" s="55"/>
      <c r="M729" s="115"/>
      <c r="N729" s="190"/>
      <c r="O729" s="89"/>
      <c r="P729" s="55"/>
      <c r="Q729" s="191"/>
      <c r="R729" s="192"/>
      <c r="S729" s="121"/>
      <c r="T729" s="122"/>
      <c r="U729" s="191"/>
      <c r="V729" s="192"/>
      <c r="W729" s="121"/>
      <c r="X729" s="122"/>
      <c r="Y729" s="115"/>
      <c r="Z729" s="193"/>
      <c r="AA729" s="194"/>
      <c r="AB729" s="195"/>
      <c r="AC729" s="115"/>
      <c r="AD729" s="192"/>
      <c r="AE729" s="196"/>
      <c r="AF729" s="197"/>
      <c r="AG729" s="201"/>
      <c r="AH729" s="201"/>
      <c r="AI729" s="201"/>
      <c r="AJ729" s="201"/>
      <c r="AK729" s="122"/>
      <c r="AL729" s="122"/>
    </row>
    <row r="730">
      <c r="A730" s="115"/>
      <c r="B730" s="150"/>
      <c r="C730" s="89"/>
      <c r="D730" s="55"/>
      <c r="E730" s="115"/>
      <c r="F730" s="150"/>
      <c r="G730" s="188"/>
      <c r="H730" s="189"/>
      <c r="I730" s="115"/>
      <c r="J730" s="150"/>
      <c r="K730" s="89"/>
      <c r="L730" s="55"/>
      <c r="M730" s="115"/>
      <c r="N730" s="190"/>
      <c r="O730" s="89"/>
      <c r="P730" s="55"/>
      <c r="Q730" s="191"/>
      <c r="R730" s="192"/>
      <c r="S730" s="121"/>
      <c r="T730" s="122"/>
      <c r="U730" s="191"/>
      <c r="V730" s="192"/>
      <c r="W730" s="121"/>
      <c r="X730" s="122"/>
      <c r="Y730" s="115"/>
      <c r="Z730" s="193"/>
      <c r="AA730" s="194"/>
      <c r="AB730" s="195"/>
      <c r="AC730" s="115"/>
      <c r="AD730" s="192"/>
      <c r="AE730" s="196"/>
      <c r="AF730" s="197"/>
      <c r="AG730" s="201"/>
      <c r="AH730" s="201"/>
      <c r="AI730" s="201"/>
      <c r="AJ730" s="201"/>
      <c r="AK730" s="122"/>
      <c r="AL730" s="122"/>
    </row>
    <row r="731">
      <c r="A731" s="115"/>
      <c r="B731" s="150"/>
      <c r="C731" s="89"/>
      <c r="D731" s="55"/>
      <c r="E731" s="115"/>
      <c r="F731" s="150"/>
      <c r="G731" s="188"/>
      <c r="H731" s="189"/>
      <c r="I731" s="115"/>
      <c r="J731" s="150"/>
      <c r="K731" s="89"/>
      <c r="L731" s="55"/>
      <c r="M731" s="115"/>
      <c r="N731" s="190"/>
      <c r="O731" s="89"/>
      <c r="P731" s="55"/>
      <c r="Q731" s="191"/>
      <c r="R731" s="192"/>
      <c r="S731" s="121"/>
      <c r="T731" s="122"/>
      <c r="U731" s="191"/>
      <c r="V731" s="192"/>
      <c r="W731" s="121"/>
      <c r="X731" s="122"/>
      <c r="Y731" s="115"/>
      <c r="Z731" s="193"/>
      <c r="AA731" s="194"/>
      <c r="AB731" s="195"/>
      <c r="AC731" s="115"/>
      <c r="AD731" s="192"/>
      <c r="AE731" s="196"/>
      <c r="AF731" s="197"/>
      <c r="AG731" s="201"/>
      <c r="AH731" s="201"/>
      <c r="AI731" s="201"/>
      <c r="AJ731" s="201"/>
      <c r="AK731" s="122"/>
      <c r="AL731" s="122"/>
    </row>
    <row r="732">
      <c r="A732" s="115"/>
      <c r="B732" s="150"/>
      <c r="C732" s="89"/>
      <c r="D732" s="55"/>
      <c r="E732" s="115"/>
      <c r="F732" s="150"/>
      <c r="G732" s="188"/>
      <c r="H732" s="189"/>
      <c r="I732" s="115"/>
      <c r="J732" s="150"/>
      <c r="K732" s="89"/>
      <c r="L732" s="55"/>
      <c r="M732" s="115"/>
      <c r="N732" s="190"/>
      <c r="O732" s="89"/>
      <c r="P732" s="55"/>
      <c r="Q732" s="191"/>
      <c r="R732" s="192"/>
      <c r="S732" s="121"/>
      <c r="T732" s="122"/>
      <c r="U732" s="191"/>
      <c r="V732" s="192"/>
      <c r="W732" s="121"/>
      <c r="X732" s="122"/>
      <c r="Y732" s="115"/>
      <c r="Z732" s="193"/>
      <c r="AA732" s="194"/>
      <c r="AB732" s="195"/>
      <c r="AC732" s="115"/>
      <c r="AD732" s="192"/>
      <c r="AE732" s="196"/>
      <c r="AF732" s="197"/>
      <c r="AG732" s="201"/>
      <c r="AH732" s="201"/>
      <c r="AI732" s="201"/>
      <c r="AJ732" s="201"/>
      <c r="AK732" s="122"/>
      <c r="AL732" s="122"/>
    </row>
    <row r="733">
      <c r="A733" s="115"/>
      <c r="B733" s="150"/>
      <c r="C733" s="89"/>
      <c r="D733" s="55"/>
      <c r="E733" s="115"/>
      <c r="F733" s="150"/>
      <c r="G733" s="188"/>
      <c r="H733" s="189"/>
      <c r="I733" s="115"/>
      <c r="J733" s="150"/>
      <c r="K733" s="89"/>
      <c r="L733" s="55"/>
      <c r="M733" s="115"/>
      <c r="N733" s="190"/>
      <c r="O733" s="89"/>
      <c r="P733" s="55"/>
      <c r="Q733" s="191"/>
      <c r="R733" s="192"/>
      <c r="S733" s="121"/>
      <c r="T733" s="122"/>
      <c r="U733" s="191"/>
      <c r="V733" s="192"/>
      <c r="W733" s="121"/>
      <c r="X733" s="122"/>
      <c r="Y733" s="115"/>
      <c r="Z733" s="193"/>
      <c r="AA733" s="194"/>
      <c r="AB733" s="195"/>
      <c r="AC733" s="115"/>
      <c r="AD733" s="192"/>
      <c r="AE733" s="196"/>
      <c r="AF733" s="197"/>
      <c r="AG733" s="201"/>
      <c r="AH733" s="201"/>
      <c r="AI733" s="201"/>
      <c r="AJ733" s="201"/>
      <c r="AK733" s="122"/>
      <c r="AL733" s="122"/>
    </row>
    <row r="734">
      <c r="A734" s="115"/>
      <c r="B734" s="150"/>
      <c r="C734" s="89"/>
      <c r="D734" s="55"/>
      <c r="E734" s="115"/>
      <c r="F734" s="150"/>
      <c r="G734" s="188"/>
      <c r="H734" s="189"/>
      <c r="I734" s="115"/>
      <c r="J734" s="150"/>
      <c r="K734" s="89"/>
      <c r="L734" s="55"/>
      <c r="M734" s="115"/>
      <c r="N734" s="190"/>
      <c r="O734" s="89"/>
      <c r="P734" s="55"/>
      <c r="Q734" s="191"/>
      <c r="R734" s="192"/>
      <c r="S734" s="121"/>
      <c r="T734" s="122"/>
      <c r="U734" s="191"/>
      <c r="V734" s="192"/>
      <c r="W734" s="121"/>
      <c r="X734" s="122"/>
      <c r="Y734" s="115"/>
      <c r="Z734" s="193"/>
      <c r="AA734" s="194"/>
      <c r="AB734" s="195"/>
      <c r="AC734" s="115"/>
      <c r="AD734" s="192"/>
      <c r="AE734" s="196"/>
      <c r="AF734" s="197"/>
      <c r="AG734" s="201"/>
      <c r="AH734" s="201"/>
      <c r="AI734" s="201"/>
      <c r="AJ734" s="201"/>
      <c r="AK734" s="122"/>
      <c r="AL734" s="122"/>
    </row>
    <row r="735">
      <c r="A735" s="115"/>
      <c r="B735" s="150"/>
      <c r="C735" s="89"/>
      <c r="D735" s="55"/>
      <c r="E735" s="115"/>
      <c r="F735" s="150"/>
      <c r="G735" s="188"/>
      <c r="H735" s="189"/>
      <c r="I735" s="115"/>
      <c r="J735" s="150"/>
      <c r="K735" s="89"/>
      <c r="L735" s="55"/>
      <c r="M735" s="115"/>
      <c r="N735" s="190"/>
      <c r="O735" s="89"/>
      <c r="P735" s="55"/>
      <c r="Q735" s="191"/>
      <c r="R735" s="192"/>
      <c r="S735" s="121"/>
      <c r="T735" s="122"/>
      <c r="U735" s="191"/>
      <c r="V735" s="192"/>
      <c r="W735" s="121"/>
      <c r="X735" s="122"/>
      <c r="Y735" s="115"/>
      <c r="Z735" s="193"/>
      <c r="AA735" s="194"/>
      <c r="AB735" s="195"/>
      <c r="AC735" s="115"/>
      <c r="AD735" s="192"/>
      <c r="AE735" s="196"/>
      <c r="AF735" s="197"/>
      <c r="AG735" s="201"/>
      <c r="AH735" s="201"/>
      <c r="AI735" s="201"/>
      <c r="AJ735" s="201"/>
      <c r="AK735" s="122"/>
      <c r="AL735" s="122"/>
    </row>
    <row r="736">
      <c r="A736" s="115"/>
      <c r="B736" s="150"/>
      <c r="C736" s="89"/>
      <c r="D736" s="55"/>
      <c r="E736" s="115"/>
      <c r="F736" s="150"/>
      <c r="G736" s="188"/>
      <c r="H736" s="189"/>
      <c r="I736" s="115"/>
      <c r="J736" s="150"/>
      <c r="K736" s="89"/>
      <c r="L736" s="55"/>
      <c r="M736" s="115"/>
      <c r="N736" s="190"/>
      <c r="O736" s="89"/>
      <c r="P736" s="55"/>
      <c r="Q736" s="191"/>
      <c r="R736" s="192"/>
      <c r="S736" s="121"/>
      <c r="T736" s="122"/>
      <c r="U736" s="191"/>
      <c r="V736" s="192"/>
      <c r="W736" s="121"/>
      <c r="X736" s="122"/>
      <c r="Y736" s="115"/>
      <c r="Z736" s="193"/>
      <c r="AA736" s="194"/>
      <c r="AB736" s="195"/>
      <c r="AC736" s="115"/>
      <c r="AD736" s="192"/>
      <c r="AE736" s="196"/>
      <c r="AF736" s="197"/>
      <c r="AG736" s="201"/>
      <c r="AH736" s="201"/>
      <c r="AI736" s="201"/>
      <c r="AJ736" s="201"/>
      <c r="AK736" s="122"/>
      <c r="AL736" s="122"/>
    </row>
    <row r="737">
      <c r="A737" s="115"/>
      <c r="B737" s="150"/>
      <c r="C737" s="89"/>
      <c r="D737" s="55"/>
      <c r="E737" s="115"/>
      <c r="F737" s="150"/>
      <c r="G737" s="188"/>
      <c r="H737" s="189"/>
      <c r="I737" s="115"/>
      <c r="J737" s="150"/>
      <c r="K737" s="89"/>
      <c r="L737" s="55"/>
      <c r="M737" s="115"/>
      <c r="N737" s="190"/>
      <c r="O737" s="89"/>
      <c r="P737" s="55"/>
      <c r="Q737" s="191"/>
      <c r="R737" s="192"/>
      <c r="S737" s="121"/>
      <c r="T737" s="122"/>
      <c r="U737" s="191"/>
      <c r="V737" s="192"/>
      <c r="W737" s="121"/>
      <c r="X737" s="122"/>
      <c r="Y737" s="115"/>
      <c r="Z737" s="193"/>
      <c r="AA737" s="194"/>
      <c r="AB737" s="195"/>
      <c r="AC737" s="115"/>
      <c r="AD737" s="192"/>
      <c r="AE737" s="196"/>
      <c r="AF737" s="197"/>
      <c r="AG737" s="201"/>
      <c r="AH737" s="201"/>
      <c r="AI737" s="201"/>
      <c r="AJ737" s="201"/>
      <c r="AK737" s="122"/>
      <c r="AL737" s="122"/>
    </row>
    <row r="738">
      <c r="A738" s="115"/>
      <c r="B738" s="150"/>
      <c r="C738" s="89"/>
      <c r="D738" s="55"/>
      <c r="E738" s="115"/>
      <c r="F738" s="150"/>
      <c r="G738" s="188"/>
      <c r="H738" s="189"/>
      <c r="I738" s="115"/>
      <c r="J738" s="150"/>
      <c r="K738" s="89"/>
      <c r="L738" s="55"/>
      <c r="M738" s="115"/>
      <c r="N738" s="190"/>
      <c r="O738" s="89"/>
      <c r="P738" s="55"/>
      <c r="Q738" s="191"/>
      <c r="R738" s="192"/>
      <c r="S738" s="121"/>
      <c r="T738" s="122"/>
      <c r="U738" s="191"/>
      <c r="V738" s="192"/>
      <c r="W738" s="121"/>
      <c r="X738" s="122"/>
      <c r="Y738" s="115"/>
      <c r="Z738" s="193"/>
      <c r="AA738" s="194"/>
      <c r="AB738" s="195"/>
      <c r="AC738" s="115"/>
      <c r="AD738" s="192"/>
      <c r="AE738" s="196"/>
      <c r="AF738" s="197"/>
      <c r="AG738" s="201"/>
      <c r="AH738" s="201"/>
      <c r="AI738" s="201"/>
      <c r="AJ738" s="201"/>
      <c r="AK738" s="122"/>
      <c r="AL738" s="122"/>
    </row>
    <row r="739">
      <c r="A739" s="115"/>
      <c r="B739" s="150"/>
      <c r="C739" s="89"/>
      <c r="D739" s="55"/>
      <c r="E739" s="115"/>
      <c r="F739" s="150"/>
      <c r="G739" s="188"/>
      <c r="H739" s="189"/>
      <c r="I739" s="115"/>
      <c r="J739" s="150"/>
      <c r="K739" s="89"/>
      <c r="L739" s="55"/>
      <c r="M739" s="115"/>
      <c r="N739" s="190"/>
      <c r="O739" s="89"/>
      <c r="P739" s="55"/>
      <c r="Q739" s="191"/>
      <c r="R739" s="192"/>
      <c r="S739" s="121"/>
      <c r="T739" s="122"/>
      <c r="U739" s="191"/>
      <c r="V739" s="192"/>
      <c r="W739" s="121"/>
      <c r="X739" s="122"/>
      <c r="Y739" s="115"/>
      <c r="Z739" s="193"/>
      <c r="AA739" s="194"/>
      <c r="AB739" s="195"/>
      <c r="AC739" s="115"/>
      <c r="AD739" s="192"/>
      <c r="AE739" s="196"/>
      <c r="AF739" s="197"/>
      <c r="AG739" s="201"/>
      <c r="AH739" s="201"/>
      <c r="AI739" s="201"/>
      <c r="AJ739" s="201"/>
      <c r="AK739" s="122"/>
      <c r="AL739" s="122"/>
    </row>
    <row r="740">
      <c r="A740" s="115"/>
      <c r="B740" s="150"/>
      <c r="C740" s="89"/>
      <c r="D740" s="55"/>
      <c r="E740" s="115"/>
      <c r="F740" s="150"/>
      <c r="G740" s="188"/>
      <c r="H740" s="189"/>
      <c r="I740" s="115"/>
      <c r="J740" s="150"/>
      <c r="K740" s="89"/>
      <c r="L740" s="55"/>
      <c r="M740" s="115"/>
      <c r="N740" s="190"/>
      <c r="O740" s="89"/>
      <c r="P740" s="55"/>
      <c r="Q740" s="191"/>
      <c r="R740" s="192"/>
      <c r="S740" s="121"/>
      <c r="T740" s="122"/>
      <c r="U740" s="191"/>
      <c r="V740" s="192"/>
      <c r="W740" s="121"/>
      <c r="X740" s="122"/>
      <c r="Y740" s="115"/>
      <c r="Z740" s="193"/>
      <c r="AA740" s="194"/>
      <c r="AB740" s="195"/>
      <c r="AC740" s="115"/>
      <c r="AD740" s="192"/>
      <c r="AE740" s="196"/>
      <c r="AF740" s="197"/>
      <c r="AG740" s="201"/>
      <c r="AH740" s="201"/>
      <c r="AI740" s="201"/>
      <c r="AJ740" s="201"/>
      <c r="AK740" s="122"/>
      <c r="AL740" s="122"/>
    </row>
    <row r="741">
      <c r="A741" s="115"/>
      <c r="B741" s="150"/>
      <c r="C741" s="89"/>
      <c r="D741" s="55"/>
      <c r="E741" s="115"/>
      <c r="F741" s="150"/>
      <c r="G741" s="188"/>
      <c r="H741" s="189"/>
      <c r="I741" s="115"/>
      <c r="J741" s="150"/>
      <c r="K741" s="89"/>
      <c r="L741" s="55"/>
      <c r="M741" s="115"/>
      <c r="N741" s="190"/>
      <c r="O741" s="89"/>
      <c r="P741" s="55"/>
      <c r="Q741" s="191"/>
      <c r="R741" s="192"/>
      <c r="S741" s="121"/>
      <c r="T741" s="122"/>
      <c r="U741" s="191"/>
      <c r="V741" s="192"/>
      <c r="W741" s="121"/>
      <c r="X741" s="122"/>
      <c r="Y741" s="115"/>
      <c r="Z741" s="193"/>
      <c r="AA741" s="194"/>
      <c r="AB741" s="195"/>
      <c r="AC741" s="115"/>
      <c r="AD741" s="192"/>
      <c r="AE741" s="196"/>
      <c r="AF741" s="197"/>
      <c r="AG741" s="201"/>
      <c r="AH741" s="201"/>
      <c r="AI741" s="201"/>
      <c r="AJ741" s="201"/>
      <c r="AK741" s="122"/>
      <c r="AL741" s="122"/>
    </row>
    <row r="742">
      <c r="A742" s="115"/>
      <c r="B742" s="150"/>
      <c r="C742" s="89"/>
      <c r="D742" s="55"/>
      <c r="E742" s="115"/>
      <c r="F742" s="150"/>
      <c r="G742" s="188"/>
      <c r="H742" s="189"/>
      <c r="I742" s="115"/>
      <c r="J742" s="150"/>
      <c r="K742" s="89"/>
      <c r="L742" s="55"/>
      <c r="M742" s="115"/>
      <c r="N742" s="190"/>
      <c r="O742" s="89"/>
      <c r="P742" s="55"/>
      <c r="Q742" s="191"/>
      <c r="R742" s="192"/>
      <c r="S742" s="121"/>
      <c r="T742" s="122"/>
      <c r="U742" s="191"/>
      <c r="V742" s="192"/>
      <c r="W742" s="121"/>
      <c r="X742" s="122"/>
      <c r="Y742" s="115"/>
      <c r="Z742" s="193"/>
      <c r="AA742" s="194"/>
      <c r="AB742" s="195"/>
      <c r="AC742" s="115"/>
      <c r="AD742" s="192"/>
      <c r="AE742" s="196"/>
      <c r="AF742" s="197"/>
      <c r="AG742" s="201"/>
      <c r="AH742" s="201"/>
      <c r="AI742" s="201"/>
      <c r="AJ742" s="201"/>
      <c r="AK742" s="122"/>
      <c r="AL742" s="122"/>
    </row>
    <row r="743">
      <c r="A743" s="115"/>
      <c r="B743" s="150"/>
      <c r="C743" s="89"/>
      <c r="D743" s="55"/>
      <c r="E743" s="115"/>
      <c r="F743" s="150"/>
      <c r="G743" s="188"/>
      <c r="H743" s="189"/>
      <c r="I743" s="115"/>
      <c r="J743" s="150"/>
      <c r="K743" s="89"/>
      <c r="L743" s="55"/>
      <c r="M743" s="115"/>
      <c r="N743" s="190"/>
      <c r="O743" s="89"/>
      <c r="P743" s="55"/>
      <c r="Q743" s="191"/>
      <c r="R743" s="192"/>
      <c r="S743" s="121"/>
      <c r="T743" s="122"/>
      <c r="U743" s="191"/>
      <c r="V743" s="192"/>
      <c r="W743" s="121"/>
      <c r="X743" s="122"/>
      <c r="Y743" s="115"/>
      <c r="Z743" s="193"/>
      <c r="AA743" s="194"/>
      <c r="AB743" s="195"/>
      <c r="AC743" s="115"/>
      <c r="AD743" s="192"/>
      <c r="AE743" s="196"/>
      <c r="AF743" s="197"/>
      <c r="AG743" s="201"/>
      <c r="AH743" s="201"/>
      <c r="AI743" s="201"/>
      <c r="AJ743" s="201"/>
      <c r="AK743" s="122"/>
      <c r="AL743" s="122"/>
    </row>
    <row r="744">
      <c r="A744" s="115"/>
      <c r="B744" s="150"/>
      <c r="C744" s="89"/>
      <c r="D744" s="55"/>
      <c r="E744" s="115"/>
      <c r="F744" s="150"/>
      <c r="G744" s="188"/>
      <c r="H744" s="189"/>
      <c r="I744" s="115"/>
      <c r="J744" s="150"/>
      <c r="K744" s="89"/>
      <c r="L744" s="55"/>
      <c r="M744" s="115"/>
      <c r="N744" s="190"/>
      <c r="O744" s="89"/>
      <c r="P744" s="55"/>
      <c r="Q744" s="191"/>
      <c r="R744" s="192"/>
      <c r="S744" s="121"/>
      <c r="T744" s="122"/>
      <c r="U744" s="191"/>
      <c r="V744" s="192"/>
      <c r="W744" s="121"/>
      <c r="X744" s="122"/>
      <c r="Y744" s="115"/>
      <c r="Z744" s="193"/>
      <c r="AA744" s="194"/>
      <c r="AB744" s="195"/>
      <c r="AC744" s="115"/>
      <c r="AD744" s="192"/>
      <c r="AE744" s="196"/>
      <c r="AF744" s="197"/>
      <c r="AG744" s="201"/>
      <c r="AH744" s="201"/>
      <c r="AI744" s="201"/>
      <c r="AJ744" s="201"/>
      <c r="AK744" s="122"/>
      <c r="AL744" s="122"/>
    </row>
    <row r="745">
      <c r="A745" s="115"/>
      <c r="B745" s="150"/>
      <c r="C745" s="89"/>
      <c r="D745" s="55"/>
      <c r="E745" s="115"/>
      <c r="F745" s="150"/>
      <c r="G745" s="188"/>
      <c r="H745" s="189"/>
      <c r="I745" s="115"/>
      <c r="J745" s="150"/>
      <c r="K745" s="89"/>
      <c r="L745" s="55"/>
      <c r="M745" s="115"/>
      <c r="N745" s="190"/>
      <c r="O745" s="89"/>
      <c r="P745" s="55"/>
      <c r="Q745" s="191"/>
      <c r="R745" s="192"/>
      <c r="S745" s="121"/>
      <c r="T745" s="122"/>
      <c r="U745" s="191"/>
      <c r="V745" s="192"/>
      <c r="W745" s="121"/>
      <c r="X745" s="122"/>
      <c r="Y745" s="115"/>
      <c r="Z745" s="193"/>
      <c r="AA745" s="194"/>
      <c r="AB745" s="195"/>
      <c r="AC745" s="115"/>
      <c r="AD745" s="192"/>
      <c r="AE745" s="196"/>
      <c r="AF745" s="197"/>
      <c r="AG745" s="201"/>
      <c r="AH745" s="201"/>
      <c r="AI745" s="201"/>
      <c r="AJ745" s="201"/>
      <c r="AK745" s="122"/>
      <c r="AL745" s="122"/>
    </row>
    <row r="746">
      <c r="A746" s="115"/>
      <c r="B746" s="150"/>
      <c r="C746" s="89"/>
      <c r="D746" s="55"/>
      <c r="E746" s="115"/>
      <c r="F746" s="150"/>
      <c r="G746" s="188"/>
      <c r="H746" s="189"/>
      <c r="I746" s="115"/>
      <c r="J746" s="150"/>
      <c r="K746" s="89"/>
      <c r="L746" s="55"/>
      <c r="M746" s="115"/>
      <c r="N746" s="190"/>
      <c r="O746" s="89"/>
      <c r="P746" s="55"/>
      <c r="Q746" s="191"/>
      <c r="R746" s="192"/>
      <c r="S746" s="121"/>
      <c r="T746" s="122"/>
      <c r="U746" s="191"/>
      <c r="V746" s="192"/>
      <c r="W746" s="121"/>
      <c r="X746" s="122"/>
      <c r="Y746" s="115"/>
      <c r="Z746" s="193"/>
      <c r="AA746" s="194"/>
      <c r="AB746" s="195"/>
      <c r="AC746" s="115"/>
      <c r="AD746" s="192"/>
      <c r="AE746" s="196"/>
      <c r="AF746" s="197"/>
      <c r="AG746" s="201"/>
      <c r="AH746" s="201"/>
      <c r="AI746" s="201"/>
      <c r="AJ746" s="201"/>
      <c r="AK746" s="122"/>
      <c r="AL746" s="122"/>
    </row>
    <row r="747">
      <c r="A747" s="115"/>
      <c r="B747" s="150"/>
      <c r="C747" s="89"/>
      <c r="D747" s="55"/>
      <c r="E747" s="115"/>
      <c r="F747" s="150"/>
      <c r="G747" s="188"/>
      <c r="H747" s="189"/>
      <c r="I747" s="115"/>
      <c r="J747" s="150"/>
      <c r="K747" s="89"/>
      <c r="L747" s="55"/>
      <c r="M747" s="115"/>
      <c r="N747" s="190"/>
      <c r="O747" s="89"/>
      <c r="P747" s="55"/>
      <c r="Q747" s="191"/>
      <c r="R747" s="192"/>
      <c r="S747" s="121"/>
      <c r="T747" s="122"/>
      <c r="U747" s="191"/>
      <c r="V747" s="192"/>
      <c r="W747" s="121"/>
      <c r="X747" s="122"/>
      <c r="Y747" s="115"/>
      <c r="Z747" s="193"/>
      <c r="AA747" s="194"/>
      <c r="AB747" s="195"/>
      <c r="AC747" s="115"/>
      <c r="AD747" s="192"/>
      <c r="AE747" s="196"/>
      <c r="AF747" s="197"/>
      <c r="AG747" s="201"/>
      <c r="AH747" s="201"/>
      <c r="AI747" s="201"/>
      <c r="AJ747" s="201"/>
      <c r="AK747" s="122"/>
      <c r="AL747" s="122"/>
    </row>
    <row r="748">
      <c r="A748" s="115"/>
      <c r="B748" s="150"/>
      <c r="C748" s="89"/>
      <c r="D748" s="55"/>
      <c r="E748" s="115"/>
      <c r="F748" s="150"/>
      <c r="G748" s="188"/>
      <c r="H748" s="189"/>
      <c r="I748" s="115"/>
      <c r="J748" s="150"/>
      <c r="K748" s="89"/>
      <c r="L748" s="55"/>
      <c r="M748" s="115"/>
      <c r="N748" s="190"/>
      <c r="O748" s="89"/>
      <c r="P748" s="55"/>
      <c r="Q748" s="191"/>
      <c r="R748" s="192"/>
      <c r="S748" s="121"/>
      <c r="T748" s="122"/>
      <c r="U748" s="191"/>
      <c r="V748" s="192"/>
      <c r="W748" s="121"/>
      <c r="X748" s="122"/>
      <c r="Y748" s="115"/>
      <c r="Z748" s="193"/>
      <c r="AA748" s="194"/>
      <c r="AB748" s="195"/>
      <c r="AC748" s="115"/>
      <c r="AD748" s="192"/>
      <c r="AE748" s="196"/>
      <c r="AF748" s="197"/>
      <c r="AG748" s="201"/>
      <c r="AH748" s="201"/>
      <c r="AI748" s="201"/>
      <c r="AJ748" s="201"/>
      <c r="AK748" s="122"/>
      <c r="AL748" s="122"/>
    </row>
    <row r="749">
      <c r="A749" s="115"/>
      <c r="B749" s="150"/>
      <c r="C749" s="89"/>
      <c r="D749" s="55"/>
      <c r="E749" s="115"/>
      <c r="F749" s="150"/>
      <c r="G749" s="188"/>
      <c r="H749" s="189"/>
      <c r="I749" s="115"/>
      <c r="J749" s="150"/>
      <c r="K749" s="89"/>
      <c r="L749" s="55"/>
      <c r="M749" s="115"/>
      <c r="N749" s="190"/>
      <c r="O749" s="89"/>
      <c r="P749" s="55"/>
      <c r="Q749" s="191"/>
      <c r="R749" s="192"/>
      <c r="S749" s="121"/>
      <c r="T749" s="122"/>
      <c r="U749" s="191"/>
      <c r="V749" s="192"/>
      <c r="W749" s="121"/>
      <c r="X749" s="122"/>
      <c r="Y749" s="115"/>
      <c r="Z749" s="193"/>
      <c r="AA749" s="194"/>
      <c r="AB749" s="195"/>
      <c r="AC749" s="115"/>
      <c r="AD749" s="192"/>
      <c r="AE749" s="196"/>
      <c r="AF749" s="197"/>
      <c r="AG749" s="201"/>
      <c r="AH749" s="201"/>
      <c r="AI749" s="201"/>
      <c r="AJ749" s="201"/>
      <c r="AK749" s="122"/>
      <c r="AL749" s="122"/>
    </row>
    <row r="750">
      <c r="A750" s="115"/>
      <c r="B750" s="150"/>
      <c r="C750" s="89"/>
      <c r="D750" s="55"/>
      <c r="E750" s="115"/>
      <c r="F750" s="150"/>
      <c r="G750" s="188"/>
      <c r="H750" s="189"/>
      <c r="I750" s="115"/>
      <c r="J750" s="150"/>
      <c r="K750" s="89"/>
      <c r="L750" s="55"/>
      <c r="M750" s="115"/>
      <c r="N750" s="190"/>
      <c r="O750" s="89"/>
      <c r="P750" s="55"/>
      <c r="Q750" s="191"/>
      <c r="R750" s="192"/>
      <c r="S750" s="121"/>
      <c r="T750" s="122"/>
      <c r="U750" s="191"/>
      <c r="V750" s="192"/>
      <c r="W750" s="121"/>
      <c r="X750" s="122"/>
      <c r="Y750" s="115"/>
      <c r="Z750" s="193"/>
      <c r="AA750" s="194"/>
      <c r="AB750" s="195"/>
      <c r="AC750" s="115"/>
      <c r="AD750" s="192"/>
      <c r="AE750" s="196"/>
      <c r="AF750" s="197"/>
      <c r="AG750" s="201"/>
      <c r="AH750" s="201"/>
      <c r="AI750" s="201"/>
      <c r="AJ750" s="201"/>
      <c r="AK750" s="122"/>
      <c r="AL750" s="122"/>
    </row>
    <row r="751">
      <c r="A751" s="115"/>
      <c r="B751" s="150"/>
      <c r="C751" s="89"/>
      <c r="D751" s="55"/>
      <c r="E751" s="115"/>
      <c r="F751" s="150"/>
      <c r="G751" s="188"/>
      <c r="H751" s="189"/>
      <c r="I751" s="115"/>
      <c r="J751" s="150"/>
      <c r="K751" s="89"/>
      <c r="L751" s="55"/>
      <c r="M751" s="115"/>
      <c r="N751" s="190"/>
      <c r="O751" s="89"/>
      <c r="P751" s="55"/>
      <c r="Q751" s="191"/>
      <c r="R751" s="192"/>
      <c r="S751" s="121"/>
      <c r="T751" s="122"/>
      <c r="U751" s="191"/>
      <c r="V751" s="192"/>
      <c r="W751" s="121"/>
      <c r="X751" s="122"/>
      <c r="Y751" s="115"/>
      <c r="Z751" s="193"/>
      <c r="AA751" s="194"/>
      <c r="AB751" s="195"/>
      <c r="AC751" s="115"/>
      <c r="AD751" s="192"/>
      <c r="AE751" s="196"/>
      <c r="AF751" s="197"/>
      <c r="AG751" s="201"/>
      <c r="AH751" s="201"/>
      <c r="AI751" s="201"/>
      <c r="AJ751" s="201"/>
      <c r="AK751" s="122"/>
      <c r="AL751" s="122"/>
    </row>
    <row r="752">
      <c r="A752" s="115"/>
      <c r="B752" s="150"/>
      <c r="C752" s="89"/>
      <c r="D752" s="55"/>
      <c r="E752" s="115"/>
      <c r="F752" s="150"/>
      <c r="G752" s="188"/>
      <c r="H752" s="189"/>
      <c r="I752" s="115"/>
      <c r="J752" s="150"/>
      <c r="K752" s="89"/>
      <c r="L752" s="55"/>
      <c r="M752" s="115"/>
      <c r="N752" s="190"/>
      <c r="O752" s="89"/>
      <c r="P752" s="55"/>
      <c r="Q752" s="191"/>
      <c r="R752" s="192"/>
      <c r="S752" s="121"/>
      <c r="T752" s="122"/>
      <c r="U752" s="191"/>
      <c r="V752" s="192"/>
      <c r="W752" s="121"/>
      <c r="X752" s="122"/>
      <c r="Y752" s="115"/>
      <c r="Z752" s="193"/>
      <c r="AA752" s="194"/>
      <c r="AB752" s="195"/>
      <c r="AC752" s="115"/>
      <c r="AD752" s="192"/>
      <c r="AE752" s="196"/>
      <c r="AF752" s="197"/>
      <c r="AG752" s="201"/>
      <c r="AH752" s="201"/>
      <c r="AI752" s="201"/>
      <c r="AJ752" s="201"/>
      <c r="AK752" s="122"/>
      <c r="AL752" s="122"/>
    </row>
    <row r="753">
      <c r="A753" s="115"/>
      <c r="B753" s="150"/>
      <c r="C753" s="89"/>
      <c r="D753" s="55"/>
      <c r="E753" s="115"/>
      <c r="F753" s="150"/>
      <c r="G753" s="188"/>
      <c r="H753" s="189"/>
      <c r="I753" s="115"/>
      <c r="J753" s="150"/>
      <c r="K753" s="89"/>
      <c r="L753" s="55"/>
      <c r="M753" s="115"/>
      <c r="N753" s="190"/>
      <c r="O753" s="89"/>
      <c r="P753" s="55"/>
      <c r="Q753" s="191"/>
      <c r="R753" s="192"/>
      <c r="S753" s="121"/>
      <c r="T753" s="122"/>
      <c r="U753" s="191"/>
      <c r="V753" s="192"/>
      <c r="W753" s="121"/>
      <c r="X753" s="122"/>
      <c r="Y753" s="115"/>
      <c r="Z753" s="193"/>
      <c r="AA753" s="194"/>
      <c r="AB753" s="195"/>
      <c r="AC753" s="115"/>
      <c r="AD753" s="192"/>
      <c r="AE753" s="196"/>
      <c r="AF753" s="197"/>
      <c r="AG753" s="201"/>
      <c r="AH753" s="201"/>
      <c r="AI753" s="201"/>
      <c r="AJ753" s="201"/>
      <c r="AK753" s="122"/>
      <c r="AL753" s="122"/>
    </row>
    <row r="754">
      <c r="A754" s="115"/>
      <c r="B754" s="150"/>
      <c r="C754" s="89"/>
      <c r="D754" s="55"/>
      <c r="E754" s="115"/>
      <c r="F754" s="150"/>
      <c r="G754" s="188"/>
      <c r="H754" s="189"/>
      <c r="I754" s="115"/>
      <c r="J754" s="150"/>
      <c r="K754" s="89"/>
      <c r="L754" s="55"/>
      <c r="M754" s="115"/>
      <c r="N754" s="190"/>
      <c r="O754" s="89"/>
      <c r="P754" s="55"/>
      <c r="Q754" s="191"/>
      <c r="R754" s="192"/>
      <c r="S754" s="121"/>
      <c r="T754" s="122"/>
      <c r="U754" s="191"/>
      <c r="V754" s="192"/>
      <c r="W754" s="121"/>
      <c r="X754" s="122"/>
      <c r="Y754" s="115"/>
      <c r="Z754" s="193"/>
      <c r="AA754" s="194"/>
      <c r="AB754" s="195"/>
      <c r="AC754" s="115"/>
      <c r="AD754" s="192"/>
      <c r="AE754" s="196"/>
      <c r="AF754" s="197"/>
      <c r="AG754" s="201"/>
      <c r="AH754" s="201"/>
      <c r="AI754" s="201"/>
      <c r="AJ754" s="201"/>
      <c r="AK754" s="122"/>
      <c r="AL754" s="122"/>
    </row>
    <row r="755">
      <c r="A755" s="115"/>
      <c r="B755" s="150"/>
      <c r="C755" s="89"/>
      <c r="D755" s="55"/>
      <c r="E755" s="115"/>
      <c r="F755" s="150"/>
      <c r="G755" s="188"/>
      <c r="H755" s="189"/>
      <c r="I755" s="115"/>
      <c r="J755" s="150"/>
      <c r="K755" s="89"/>
      <c r="L755" s="55"/>
      <c r="M755" s="115"/>
      <c r="N755" s="190"/>
      <c r="O755" s="89"/>
      <c r="P755" s="55"/>
      <c r="Q755" s="191"/>
      <c r="R755" s="192"/>
      <c r="S755" s="121"/>
      <c r="T755" s="122"/>
      <c r="U755" s="191"/>
      <c r="V755" s="192"/>
      <c r="W755" s="121"/>
      <c r="X755" s="122"/>
      <c r="Y755" s="115"/>
      <c r="Z755" s="193"/>
      <c r="AA755" s="194"/>
      <c r="AB755" s="195"/>
      <c r="AC755" s="115"/>
      <c r="AD755" s="192"/>
      <c r="AE755" s="196"/>
      <c r="AF755" s="197"/>
      <c r="AG755" s="201"/>
      <c r="AH755" s="201"/>
      <c r="AI755" s="201"/>
      <c r="AJ755" s="201"/>
      <c r="AK755" s="122"/>
      <c r="AL755" s="122"/>
    </row>
    <row r="756">
      <c r="A756" s="115"/>
      <c r="B756" s="150"/>
      <c r="C756" s="89"/>
      <c r="D756" s="55"/>
      <c r="E756" s="115"/>
      <c r="F756" s="150"/>
      <c r="G756" s="188"/>
      <c r="H756" s="189"/>
      <c r="I756" s="115"/>
      <c r="J756" s="150"/>
      <c r="K756" s="89"/>
      <c r="L756" s="55"/>
      <c r="M756" s="115"/>
      <c r="N756" s="190"/>
      <c r="O756" s="89"/>
      <c r="P756" s="55"/>
      <c r="Q756" s="191"/>
      <c r="R756" s="192"/>
      <c r="S756" s="121"/>
      <c r="T756" s="122"/>
      <c r="U756" s="191"/>
      <c r="V756" s="192"/>
      <c r="W756" s="121"/>
      <c r="X756" s="122"/>
      <c r="Y756" s="115"/>
      <c r="Z756" s="193"/>
      <c r="AA756" s="194"/>
      <c r="AB756" s="195"/>
      <c r="AC756" s="115"/>
      <c r="AD756" s="192"/>
      <c r="AE756" s="196"/>
      <c r="AF756" s="197"/>
      <c r="AG756" s="201"/>
      <c r="AH756" s="201"/>
      <c r="AI756" s="201"/>
      <c r="AJ756" s="201"/>
      <c r="AK756" s="122"/>
      <c r="AL756" s="122"/>
    </row>
    <row r="757">
      <c r="A757" s="115"/>
      <c r="B757" s="150"/>
      <c r="C757" s="89"/>
      <c r="D757" s="55"/>
      <c r="E757" s="115"/>
      <c r="F757" s="150"/>
      <c r="G757" s="188"/>
      <c r="H757" s="189"/>
      <c r="I757" s="115"/>
      <c r="J757" s="150"/>
      <c r="K757" s="89"/>
      <c r="L757" s="55"/>
      <c r="M757" s="115"/>
      <c r="N757" s="190"/>
      <c r="O757" s="89"/>
      <c r="P757" s="55"/>
      <c r="Q757" s="191"/>
      <c r="R757" s="192"/>
      <c r="S757" s="121"/>
      <c r="T757" s="122"/>
      <c r="U757" s="191"/>
      <c r="V757" s="192"/>
      <c r="W757" s="121"/>
      <c r="X757" s="122"/>
      <c r="Y757" s="115"/>
      <c r="Z757" s="193"/>
      <c r="AA757" s="194"/>
      <c r="AB757" s="195"/>
      <c r="AC757" s="115"/>
      <c r="AD757" s="192"/>
      <c r="AE757" s="196"/>
      <c r="AF757" s="197"/>
      <c r="AG757" s="201"/>
      <c r="AH757" s="201"/>
      <c r="AI757" s="201"/>
      <c r="AJ757" s="201"/>
      <c r="AK757" s="122"/>
      <c r="AL757" s="122"/>
    </row>
    <row r="758">
      <c r="A758" s="115"/>
      <c r="B758" s="150"/>
      <c r="C758" s="89"/>
      <c r="D758" s="55"/>
      <c r="E758" s="115"/>
      <c r="F758" s="150"/>
      <c r="G758" s="188"/>
      <c r="H758" s="189"/>
      <c r="I758" s="115"/>
      <c r="J758" s="150"/>
      <c r="K758" s="89"/>
      <c r="L758" s="55"/>
      <c r="M758" s="115"/>
      <c r="N758" s="190"/>
      <c r="O758" s="89"/>
      <c r="P758" s="55"/>
      <c r="Q758" s="191"/>
      <c r="R758" s="192"/>
      <c r="S758" s="121"/>
      <c r="T758" s="122"/>
      <c r="U758" s="191"/>
      <c r="V758" s="192"/>
      <c r="W758" s="121"/>
      <c r="X758" s="122"/>
      <c r="Y758" s="115"/>
      <c r="Z758" s="193"/>
      <c r="AA758" s="194"/>
      <c r="AB758" s="195"/>
      <c r="AC758" s="115"/>
      <c r="AD758" s="192"/>
      <c r="AE758" s="196"/>
      <c r="AF758" s="197"/>
      <c r="AG758" s="201"/>
      <c r="AH758" s="201"/>
      <c r="AI758" s="201"/>
      <c r="AJ758" s="201"/>
      <c r="AK758" s="122"/>
      <c r="AL758" s="122"/>
    </row>
    <row r="759">
      <c r="A759" s="115"/>
      <c r="B759" s="150"/>
      <c r="C759" s="89"/>
      <c r="D759" s="55"/>
      <c r="E759" s="115"/>
      <c r="F759" s="150"/>
      <c r="G759" s="188"/>
      <c r="H759" s="189"/>
      <c r="I759" s="115"/>
      <c r="J759" s="150"/>
      <c r="K759" s="89"/>
      <c r="L759" s="55"/>
      <c r="M759" s="115"/>
      <c r="N759" s="190"/>
      <c r="O759" s="89"/>
      <c r="P759" s="55"/>
      <c r="Q759" s="191"/>
      <c r="R759" s="192"/>
      <c r="S759" s="121"/>
      <c r="T759" s="122"/>
      <c r="U759" s="191"/>
      <c r="V759" s="192"/>
      <c r="W759" s="121"/>
      <c r="X759" s="122"/>
      <c r="Y759" s="115"/>
      <c r="Z759" s="193"/>
      <c r="AA759" s="194"/>
      <c r="AB759" s="195"/>
      <c r="AC759" s="115"/>
      <c r="AD759" s="192"/>
      <c r="AE759" s="196"/>
      <c r="AF759" s="197"/>
      <c r="AG759" s="201"/>
      <c r="AH759" s="201"/>
      <c r="AI759" s="201"/>
      <c r="AJ759" s="201"/>
      <c r="AK759" s="122"/>
      <c r="AL759" s="122"/>
    </row>
    <row r="760">
      <c r="A760" s="115"/>
      <c r="B760" s="150"/>
      <c r="C760" s="89"/>
      <c r="D760" s="55"/>
      <c r="E760" s="115"/>
      <c r="F760" s="150"/>
      <c r="G760" s="188"/>
      <c r="H760" s="189"/>
      <c r="I760" s="115"/>
      <c r="J760" s="150"/>
      <c r="K760" s="89"/>
      <c r="L760" s="55"/>
      <c r="M760" s="115"/>
      <c r="N760" s="190"/>
      <c r="O760" s="89"/>
      <c r="P760" s="55"/>
      <c r="Q760" s="191"/>
      <c r="R760" s="192"/>
      <c r="S760" s="121"/>
      <c r="T760" s="122"/>
      <c r="U760" s="191"/>
      <c r="V760" s="192"/>
      <c r="W760" s="121"/>
      <c r="X760" s="122"/>
      <c r="Y760" s="115"/>
      <c r="Z760" s="193"/>
      <c r="AA760" s="194"/>
      <c r="AB760" s="195"/>
      <c r="AC760" s="115"/>
      <c r="AD760" s="192"/>
      <c r="AE760" s="196"/>
      <c r="AF760" s="197"/>
      <c r="AG760" s="201"/>
      <c r="AH760" s="201"/>
      <c r="AI760" s="201"/>
      <c r="AJ760" s="201"/>
      <c r="AK760" s="122"/>
      <c r="AL760" s="122"/>
    </row>
    <row r="761">
      <c r="A761" s="115"/>
      <c r="B761" s="150"/>
      <c r="C761" s="89"/>
      <c r="D761" s="55"/>
      <c r="E761" s="115"/>
      <c r="F761" s="150"/>
      <c r="G761" s="188"/>
      <c r="H761" s="189"/>
      <c r="I761" s="115"/>
      <c r="J761" s="150"/>
      <c r="K761" s="89"/>
      <c r="L761" s="55"/>
      <c r="M761" s="115"/>
      <c r="N761" s="190"/>
      <c r="O761" s="89"/>
      <c r="P761" s="55"/>
      <c r="Q761" s="191"/>
      <c r="R761" s="192"/>
      <c r="S761" s="121"/>
      <c r="T761" s="122"/>
      <c r="U761" s="191"/>
      <c r="V761" s="192"/>
      <c r="W761" s="121"/>
      <c r="X761" s="122"/>
      <c r="Y761" s="115"/>
      <c r="Z761" s="193"/>
      <c r="AA761" s="194"/>
      <c r="AB761" s="195"/>
      <c r="AC761" s="115"/>
      <c r="AD761" s="192"/>
      <c r="AE761" s="196"/>
      <c r="AF761" s="197"/>
      <c r="AG761" s="201"/>
      <c r="AH761" s="201"/>
      <c r="AI761" s="201"/>
      <c r="AJ761" s="201"/>
      <c r="AK761" s="122"/>
      <c r="AL761" s="122"/>
    </row>
    <row r="762">
      <c r="A762" s="115"/>
      <c r="B762" s="150"/>
      <c r="C762" s="89"/>
      <c r="D762" s="55"/>
      <c r="E762" s="115"/>
      <c r="F762" s="150"/>
      <c r="G762" s="188"/>
      <c r="H762" s="189"/>
      <c r="I762" s="115"/>
      <c r="J762" s="150"/>
      <c r="K762" s="89"/>
      <c r="L762" s="55"/>
      <c r="M762" s="115"/>
      <c r="N762" s="190"/>
      <c r="O762" s="89"/>
      <c r="P762" s="55"/>
      <c r="Q762" s="191"/>
      <c r="R762" s="192"/>
      <c r="S762" s="121"/>
      <c r="T762" s="122"/>
      <c r="U762" s="191"/>
      <c r="V762" s="192"/>
      <c r="W762" s="121"/>
      <c r="X762" s="122"/>
      <c r="Y762" s="115"/>
      <c r="Z762" s="193"/>
      <c r="AA762" s="194"/>
      <c r="AB762" s="195"/>
      <c r="AC762" s="115"/>
      <c r="AD762" s="192"/>
      <c r="AE762" s="196"/>
      <c r="AF762" s="197"/>
      <c r="AG762" s="201"/>
      <c r="AH762" s="201"/>
      <c r="AI762" s="201"/>
      <c r="AJ762" s="201"/>
      <c r="AK762" s="122"/>
      <c r="AL762" s="122"/>
    </row>
    <row r="763">
      <c r="A763" s="115"/>
      <c r="B763" s="150"/>
      <c r="C763" s="89"/>
      <c r="D763" s="55"/>
      <c r="E763" s="115"/>
      <c r="F763" s="150"/>
      <c r="G763" s="188"/>
      <c r="H763" s="189"/>
      <c r="I763" s="115"/>
      <c r="J763" s="150"/>
      <c r="K763" s="89"/>
      <c r="L763" s="55"/>
      <c r="M763" s="115"/>
      <c r="N763" s="190"/>
      <c r="O763" s="89"/>
      <c r="P763" s="55"/>
      <c r="Q763" s="191"/>
      <c r="R763" s="192"/>
      <c r="S763" s="121"/>
      <c r="T763" s="122"/>
      <c r="U763" s="191"/>
      <c r="V763" s="192"/>
      <c r="W763" s="121"/>
      <c r="X763" s="122"/>
      <c r="Y763" s="115"/>
      <c r="Z763" s="193"/>
      <c r="AA763" s="194"/>
      <c r="AB763" s="195"/>
      <c r="AC763" s="115"/>
      <c r="AD763" s="192"/>
      <c r="AE763" s="196"/>
      <c r="AF763" s="197"/>
      <c r="AG763" s="201"/>
      <c r="AH763" s="201"/>
      <c r="AI763" s="201"/>
      <c r="AJ763" s="201"/>
      <c r="AK763" s="122"/>
      <c r="AL763" s="122"/>
    </row>
    <row r="764">
      <c r="A764" s="115"/>
      <c r="B764" s="150"/>
      <c r="C764" s="89"/>
      <c r="D764" s="55"/>
      <c r="E764" s="115"/>
      <c r="F764" s="150"/>
      <c r="G764" s="188"/>
      <c r="H764" s="189"/>
      <c r="I764" s="115"/>
      <c r="J764" s="150"/>
      <c r="K764" s="89"/>
      <c r="L764" s="55"/>
      <c r="M764" s="115"/>
      <c r="N764" s="190"/>
      <c r="O764" s="89"/>
      <c r="P764" s="55"/>
      <c r="Q764" s="191"/>
      <c r="R764" s="192"/>
      <c r="S764" s="121"/>
      <c r="T764" s="122"/>
      <c r="U764" s="191"/>
      <c r="V764" s="192"/>
      <c r="W764" s="121"/>
      <c r="X764" s="122"/>
      <c r="Y764" s="115"/>
      <c r="Z764" s="193"/>
      <c r="AA764" s="194"/>
      <c r="AB764" s="195"/>
      <c r="AC764" s="115"/>
      <c r="AD764" s="192"/>
      <c r="AE764" s="196"/>
      <c r="AF764" s="197"/>
      <c r="AG764" s="201"/>
      <c r="AH764" s="201"/>
      <c r="AI764" s="201"/>
      <c r="AJ764" s="201"/>
      <c r="AK764" s="122"/>
      <c r="AL764" s="122"/>
    </row>
    <row r="765">
      <c r="A765" s="115"/>
      <c r="B765" s="150"/>
      <c r="C765" s="89"/>
      <c r="D765" s="55"/>
      <c r="E765" s="115"/>
      <c r="F765" s="150"/>
      <c r="G765" s="188"/>
      <c r="H765" s="189"/>
      <c r="I765" s="115"/>
      <c r="J765" s="150"/>
      <c r="K765" s="89"/>
      <c r="L765" s="55"/>
      <c r="M765" s="115"/>
      <c r="N765" s="190"/>
      <c r="O765" s="89"/>
      <c r="P765" s="55"/>
      <c r="Q765" s="191"/>
      <c r="R765" s="192"/>
      <c r="S765" s="121"/>
      <c r="T765" s="122"/>
      <c r="U765" s="191"/>
      <c r="V765" s="192"/>
      <c r="W765" s="121"/>
      <c r="X765" s="122"/>
      <c r="Y765" s="115"/>
      <c r="Z765" s="193"/>
      <c r="AA765" s="194"/>
      <c r="AB765" s="195"/>
      <c r="AC765" s="115"/>
      <c r="AD765" s="192"/>
      <c r="AE765" s="196"/>
      <c r="AF765" s="197"/>
      <c r="AG765" s="201"/>
      <c r="AH765" s="201"/>
      <c r="AI765" s="201"/>
      <c r="AJ765" s="201"/>
      <c r="AK765" s="122"/>
      <c r="AL765" s="122"/>
    </row>
    <row r="766">
      <c r="A766" s="115"/>
      <c r="B766" s="150"/>
      <c r="C766" s="89"/>
      <c r="D766" s="55"/>
      <c r="E766" s="115"/>
      <c r="F766" s="150"/>
      <c r="G766" s="188"/>
      <c r="H766" s="189"/>
      <c r="I766" s="115"/>
      <c r="J766" s="150"/>
      <c r="K766" s="89"/>
      <c r="L766" s="55"/>
      <c r="M766" s="115"/>
      <c r="N766" s="190"/>
      <c r="O766" s="89"/>
      <c r="P766" s="55"/>
      <c r="Q766" s="191"/>
      <c r="R766" s="192"/>
      <c r="S766" s="121"/>
      <c r="T766" s="122"/>
      <c r="U766" s="191"/>
      <c r="V766" s="192"/>
      <c r="W766" s="121"/>
      <c r="X766" s="122"/>
      <c r="Y766" s="115"/>
      <c r="Z766" s="193"/>
      <c r="AA766" s="194"/>
      <c r="AB766" s="195"/>
      <c r="AC766" s="115"/>
      <c r="AD766" s="192"/>
      <c r="AE766" s="196"/>
      <c r="AF766" s="197"/>
      <c r="AG766" s="201"/>
      <c r="AH766" s="201"/>
      <c r="AI766" s="201"/>
      <c r="AJ766" s="201"/>
      <c r="AK766" s="122"/>
      <c r="AL766" s="122"/>
    </row>
    <row r="767">
      <c r="A767" s="115"/>
      <c r="B767" s="150"/>
      <c r="C767" s="89"/>
      <c r="D767" s="55"/>
      <c r="E767" s="115"/>
      <c r="F767" s="150"/>
      <c r="G767" s="188"/>
      <c r="H767" s="189"/>
      <c r="I767" s="115"/>
      <c r="J767" s="150"/>
      <c r="K767" s="89"/>
      <c r="L767" s="55"/>
      <c r="M767" s="115"/>
      <c r="N767" s="190"/>
      <c r="O767" s="89"/>
      <c r="P767" s="55"/>
      <c r="Q767" s="191"/>
      <c r="R767" s="192"/>
      <c r="S767" s="121"/>
      <c r="T767" s="122"/>
      <c r="U767" s="191"/>
      <c r="V767" s="192"/>
      <c r="W767" s="121"/>
      <c r="X767" s="122"/>
      <c r="Y767" s="115"/>
      <c r="Z767" s="193"/>
      <c r="AA767" s="194"/>
      <c r="AB767" s="195"/>
      <c r="AC767" s="115"/>
      <c r="AD767" s="192"/>
      <c r="AE767" s="196"/>
      <c r="AF767" s="197"/>
      <c r="AG767" s="201"/>
      <c r="AH767" s="201"/>
      <c r="AI767" s="201"/>
      <c r="AJ767" s="201"/>
      <c r="AK767" s="122"/>
      <c r="AL767" s="122"/>
    </row>
    <row r="768">
      <c r="A768" s="115"/>
      <c r="B768" s="150"/>
      <c r="C768" s="89"/>
      <c r="D768" s="55"/>
      <c r="E768" s="115"/>
      <c r="F768" s="150"/>
      <c r="G768" s="188"/>
      <c r="H768" s="189"/>
      <c r="I768" s="115"/>
      <c r="J768" s="150"/>
      <c r="K768" s="89"/>
      <c r="L768" s="55"/>
      <c r="M768" s="115"/>
      <c r="N768" s="190"/>
      <c r="O768" s="89"/>
      <c r="P768" s="55"/>
      <c r="Q768" s="191"/>
      <c r="R768" s="192"/>
      <c r="S768" s="121"/>
      <c r="T768" s="122"/>
      <c r="U768" s="191"/>
      <c r="V768" s="192"/>
      <c r="W768" s="121"/>
      <c r="X768" s="122"/>
      <c r="Y768" s="115"/>
      <c r="Z768" s="193"/>
      <c r="AA768" s="194"/>
      <c r="AB768" s="195"/>
      <c r="AC768" s="115"/>
      <c r="AD768" s="192"/>
      <c r="AE768" s="196"/>
      <c r="AF768" s="197"/>
      <c r="AG768" s="201"/>
      <c r="AH768" s="201"/>
      <c r="AI768" s="201"/>
      <c r="AJ768" s="201"/>
      <c r="AK768" s="122"/>
      <c r="AL768" s="122"/>
    </row>
    <row r="769">
      <c r="A769" s="115"/>
      <c r="B769" s="150"/>
      <c r="C769" s="89"/>
      <c r="D769" s="55"/>
      <c r="E769" s="115"/>
      <c r="F769" s="150"/>
      <c r="G769" s="188"/>
      <c r="H769" s="189"/>
      <c r="I769" s="115"/>
      <c r="J769" s="150"/>
      <c r="K769" s="89"/>
      <c r="L769" s="55"/>
      <c r="M769" s="115"/>
      <c r="N769" s="190"/>
      <c r="O769" s="89"/>
      <c r="P769" s="55"/>
      <c r="Q769" s="191"/>
      <c r="R769" s="192"/>
      <c r="S769" s="121"/>
      <c r="T769" s="122"/>
      <c r="U769" s="191"/>
      <c r="V769" s="192"/>
      <c r="W769" s="121"/>
      <c r="X769" s="122"/>
      <c r="Y769" s="115"/>
      <c r="Z769" s="193"/>
      <c r="AA769" s="194"/>
      <c r="AB769" s="195"/>
      <c r="AC769" s="115"/>
      <c r="AD769" s="192"/>
      <c r="AE769" s="196"/>
      <c r="AF769" s="197"/>
      <c r="AG769" s="201"/>
      <c r="AH769" s="201"/>
      <c r="AI769" s="201"/>
      <c r="AJ769" s="201"/>
      <c r="AK769" s="122"/>
      <c r="AL769" s="122"/>
    </row>
    <row r="770">
      <c r="A770" s="115"/>
      <c r="B770" s="150"/>
      <c r="C770" s="89"/>
      <c r="D770" s="55"/>
      <c r="E770" s="115"/>
      <c r="F770" s="150"/>
      <c r="G770" s="188"/>
      <c r="H770" s="189"/>
      <c r="I770" s="115"/>
      <c r="J770" s="150"/>
      <c r="K770" s="89"/>
      <c r="L770" s="55"/>
      <c r="M770" s="115"/>
      <c r="N770" s="190"/>
      <c r="O770" s="89"/>
      <c r="P770" s="55"/>
      <c r="Q770" s="191"/>
      <c r="R770" s="192"/>
      <c r="S770" s="121"/>
      <c r="T770" s="122"/>
      <c r="U770" s="191"/>
      <c r="V770" s="192"/>
      <c r="W770" s="121"/>
      <c r="X770" s="122"/>
      <c r="Y770" s="115"/>
      <c r="Z770" s="193"/>
      <c r="AA770" s="194"/>
      <c r="AB770" s="195"/>
      <c r="AC770" s="115"/>
      <c r="AD770" s="192"/>
      <c r="AE770" s="196"/>
      <c r="AF770" s="197"/>
      <c r="AG770" s="201"/>
      <c r="AH770" s="201"/>
      <c r="AI770" s="201"/>
      <c r="AJ770" s="201"/>
      <c r="AK770" s="122"/>
      <c r="AL770" s="122"/>
    </row>
    <row r="771">
      <c r="A771" s="115"/>
      <c r="B771" s="150"/>
      <c r="C771" s="89"/>
      <c r="D771" s="55"/>
      <c r="E771" s="115"/>
      <c r="F771" s="150"/>
      <c r="G771" s="188"/>
      <c r="H771" s="189"/>
      <c r="I771" s="115"/>
      <c r="J771" s="150"/>
      <c r="K771" s="89"/>
      <c r="L771" s="55"/>
      <c r="M771" s="115"/>
      <c r="N771" s="190"/>
      <c r="O771" s="89"/>
      <c r="P771" s="55"/>
      <c r="Q771" s="191"/>
      <c r="R771" s="192"/>
      <c r="S771" s="121"/>
      <c r="T771" s="122"/>
      <c r="U771" s="191"/>
      <c r="V771" s="192"/>
      <c r="W771" s="121"/>
      <c r="X771" s="122"/>
      <c r="Y771" s="115"/>
      <c r="Z771" s="193"/>
      <c r="AA771" s="194"/>
      <c r="AB771" s="195"/>
      <c r="AC771" s="115"/>
      <c r="AD771" s="192"/>
      <c r="AE771" s="196"/>
      <c r="AF771" s="197"/>
      <c r="AG771" s="201"/>
      <c r="AH771" s="201"/>
      <c r="AI771" s="201"/>
      <c r="AJ771" s="201"/>
      <c r="AK771" s="122"/>
      <c r="AL771" s="122"/>
    </row>
    <row r="772">
      <c r="A772" s="115"/>
      <c r="B772" s="150"/>
      <c r="C772" s="89"/>
      <c r="D772" s="55"/>
      <c r="E772" s="115"/>
      <c r="F772" s="150"/>
      <c r="G772" s="188"/>
      <c r="H772" s="189"/>
      <c r="I772" s="115"/>
      <c r="J772" s="150"/>
      <c r="K772" s="89"/>
      <c r="L772" s="55"/>
      <c r="M772" s="115"/>
      <c r="N772" s="190"/>
      <c r="O772" s="89"/>
      <c r="P772" s="55"/>
      <c r="Q772" s="191"/>
      <c r="R772" s="192"/>
      <c r="S772" s="121"/>
      <c r="T772" s="122"/>
      <c r="U772" s="191"/>
      <c r="V772" s="192"/>
      <c r="W772" s="121"/>
      <c r="X772" s="122"/>
      <c r="Y772" s="115"/>
      <c r="Z772" s="193"/>
      <c r="AA772" s="194"/>
      <c r="AB772" s="195"/>
      <c r="AC772" s="115"/>
      <c r="AD772" s="192"/>
      <c r="AE772" s="196"/>
      <c r="AF772" s="197"/>
      <c r="AG772" s="201"/>
      <c r="AH772" s="201"/>
      <c r="AI772" s="201"/>
      <c r="AJ772" s="201"/>
      <c r="AK772" s="122"/>
      <c r="AL772" s="122"/>
    </row>
    <row r="773">
      <c r="A773" s="115"/>
      <c r="B773" s="150"/>
      <c r="C773" s="89"/>
      <c r="D773" s="55"/>
      <c r="E773" s="115"/>
      <c r="F773" s="150"/>
      <c r="G773" s="188"/>
      <c r="H773" s="189"/>
      <c r="I773" s="115"/>
      <c r="J773" s="150"/>
      <c r="K773" s="89"/>
      <c r="L773" s="55"/>
      <c r="M773" s="115"/>
      <c r="N773" s="190"/>
      <c r="O773" s="89"/>
      <c r="P773" s="55"/>
      <c r="Q773" s="191"/>
      <c r="R773" s="192"/>
      <c r="S773" s="121"/>
      <c r="T773" s="122"/>
      <c r="U773" s="191"/>
      <c r="V773" s="192"/>
      <c r="W773" s="121"/>
      <c r="X773" s="122"/>
      <c r="Y773" s="115"/>
      <c r="Z773" s="193"/>
      <c r="AA773" s="194"/>
      <c r="AB773" s="195"/>
      <c r="AC773" s="115"/>
      <c r="AD773" s="192"/>
      <c r="AE773" s="196"/>
      <c r="AF773" s="197"/>
      <c r="AG773" s="201"/>
      <c r="AH773" s="201"/>
      <c r="AI773" s="201"/>
      <c r="AJ773" s="201"/>
      <c r="AK773" s="122"/>
      <c r="AL773" s="122"/>
    </row>
    <row r="774">
      <c r="A774" s="115"/>
      <c r="B774" s="150"/>
      <c r="C774" s="89"/>
      <c r="D774" s="55"/>
      <c r="E774" s="115"/>
      <c r="F774" s="150"/>
      <c r="G774" s="188"/>
      <c r="H774" s="189"/>
      <c r="I774" s="115"/>
      <c r="J774" s="150"/>
      <c r="K774" s="89"/>
      <c r="L774" s="55"/>
      <c r="M774" s="115"/>
      <c r="N774" s="190"/>
      <c r="O774" s="89"/>
      <c r="P774" s="55"/>
      <c r="Q774" s="191"/>
      <c r="R774" s="192"/>
      <c r="S774" s="121"/>
      <c r="T774" s="122"/>
      <c r="U774" s="191"/>
      <c r="V774" s="192"/>
      <c r="W774" s="121"/>
      <c r="X774" s="122"/>
      <c r="Y774" s="115"/>
      <c r="Z774" s="193"/>
      <c r="AA774" s="194"/>
      <c r="AB774" s="195"/>
      <c r="AC774" s="115"/>
      <c r="AD774" s="192"/>
      <c r="AE774" s="196"/>
      <c r="AF774" s="197"/>
      <c r="AG774" s="201"/>
      <c r="AH774" s="201"/>
      <c r="AI774" s="201"/>
      <c r="AJ774" s="201"/>
      <c r="AK774" s="122"/>
      <c r="AL774" s="122"/>
    </row>
    <row r="775">
      <c r="A775" s="115"/>
      <c r="B775" s="150"/>
      <c r="C775" s="89"/>
      <c r="D775" s="55"/>
      <c r="E775" s="115"/>
      <c r="F775" s="150"/>
      <c r="G775" s="188"/>
      <c r="H775" s="189"/>
      <c r="I775" s="115"/>
      <c r="J775" s="150"/>
      <c r="K775" s="89"/>
      <c r="L775" s="55"/>
      <c r="M775" s="115"/>
      <c r="N775" s="190"/>
      <c r="O775" s="89"/>
      <c r="P775" s="55"/>
      <c r="Q775" s="191"/>
      <c r="R775" s="192"/>
      <c r="S775" s="121"/>
      <c r="T775" s="122"/>
      <c r="U775" s="191"/>
      <c r="V775" s="192"/>
      <c r="W775" s="121"/>
      <c r="X775" s="122"/>
      <c r="Y775" s="115"/>
      <c r="Z775" s="193"/>
      <c r="AA775" s="194"/>
      <c r="AB775" s="195"/>
      <c r="AC775" s="115"/>
      <c r="AD775" s="192"/>
      <c r="AE775" s="196"/>
      <c r="AF775" s="197"/>
      <c r="AG775" s="201"/>
      <c r="AH775" s="201"/>
      <c r="AI775" s="201"/>
      <c r="AJ775" s="201"/>
      <c r="AK775" s="122"/>
      <c r="AL775" s="122"/>
    </row>
    <row r="776">
      <c r="A776" s="115"/>
      <c r="B776" s="150"/>
      <c r="C776" s="89"/>
      <c r="D776" s="55"/>
      <c r="E776" s="115"/>
      <c r="F776" s="150"/>
      <c r="G776" s="188"/>
      <c r="H776" s="189"/>
      <c r="I776" s="115"/>
      <c r="J776" s="150"/>
      <c r="K776" s="89"/>
      <c r="L776" s="55"/>
      <c r="M776" s="115"/>
      <c r="N776" s="190"/>
      <c r="O776" s="89"/>
      <c r="P776" s="55"/>
      <c r="Q776" s="191"/>
      <c r="R776" s="192"/>
      <c r="S776" s="121"/>
      <c r="T776" s="122"/>
      <c r="U776" s="191"/>
      <c r="V776" s="192"/>
      <c r="W776" s="121"/>
      <c r="X776" s="122"/>
      <c r="Y776" s="115"/>
      <c r="Z776" s="193"/>
      <c r="AA776" s="194"/>
      <c r="AB776" s="195"/>
      <c r="AC776" s="115"/>
      <c r="AD776" s="192"/>
      <c r="AE776" s="196"/>
      <c r="AF776" s="197"/>
      <c r="AG776" s="201"/>
      <c r="AH776" s="201"/>
      <c r="AI776" s="201"/>
      <c r="AJ776" s="201"/>
      <c r="AK776" s="122"/>
      <c r="AL776" s="122"/>
    </row>
    <row r="777">
      <c r="A777" s="115"/>
      <c r="B777" s="150"/>
      <c r="C777" s="89"/>
      <c r="D777" s="55"/>
      <c r="E777" s="115"/>
      <c r="F777" s="150"/>
      <c r="G777" s="188"/>
      <c r="H777" s="189"/>
      <c r="I777" s="115"/>
      <c r="J777" s="150"/>
      <c r="K777" s="89"/>
      <c r="L777" s="55"/>
      <c r="M777" s="115"/>
      <c r="N777" s="190"/>
      <c r="O777" s="89"/>
      <c r="P777" s="55"/>
      <c r="Q777" s="191"/>
      <c r="R777" s="192"/>
      <c r="S777" s="121"/>
      <c r="T777" s="122"/>
      <c r="U777" s="191"/>
      <c r="V777" s="192"/>
      <c r="W777" s="121"/>
      <c r="X777" s="122"/>
      <c r="Y777" s="115"/>
      <c r="Z777" s="193"/>
      <c r="AA777" s="194"/>
      <c r="AB777" s="195"/>
      <c r="AC777" s="115"/>
      <c r="AD777" s="192"/>
      <c r="AE777" s="196"/>
      <c r="AF777" s="197"/>
      <c r="AG777" s="201"/>
      <c r="AH777" s="201"/>
      <c r="AI777" s="201"/>
      <c r="AJ777" s="201"/>
      <c r="AK777" s="122"/>
      <c r="AL777" s="122"/>
    </row>
    <row r="778">
      <c r="A778" s="115"/>
      <c r="B778" s="150"/>
      <c r="C778" s="89"/>
      <c r="D778" s="55"/>
      <c r="E778" s="115"/>
      <c r="F778" s="150"/>
      <c r="G778" s="188"/>
      <c r="H778" s="189"/>
      <c r="I778" s="115"/>
      <c r="J778" s="150"/>
      <c r="K778" s="89"/>
      <c r="L778" s="55"/>
      <c r="M778" s="115"/>
      <c r="N778" s="190"/>
      <c r="O778" s="89"/>
      <c r="P778" s="55"/>
      <c r="Q778" s="191"/>
      <c r="R778" s="192"/>
      <c r="S778" s="121"/>
      <c r="T778" s="122"/>
      <c r="U778" s="191"/>
      <c r="V778" s="192"/>
      <c r="W778" s="121"/>
      <c r="X778" s="122"/>
      <c r="Y778" s="115"/>
      <c r="Z778" s="193"/>
      <c r="AA778" s="194"/>
      <c r="AB778" s="195"/>
      <c r="AC778" s="115"/>
      <c r="AD778" s="192"/>
      <c r="AE778" s="196"/>
      <c r="AF778" s="197"/>
      <c r="AG778" s="201"/>
      <c r="AH778" s="201"/>
      <c r="AI778" s="201"/>
      <c r="AJ778" s="201"/>
      <c r="AK778" s="122"/>
      <c r="AL778" s="122"/>
    </row>
    <row r="779">
      <c r="A779" s="115"/>
      <c r="B779" s="150"/>
      <c r="C779" s="89"/>
      <c r="D779" s="55"/>
      <c r="E779" s="115"/>
      <c r="F779" s="150"/>
      <c r="G779" s="188"/>
      <c r="H779" s="189"/>
      <c r="I779" s="115"/>
      <c r="J779" s="150"/>
      <c r="K779" s="89"/>
      <c r="L779" s="55"/>
      <c r="M779" s="115"/>
      <c r="N779" s="190"/>
      <c r="O779" s="89"/>
      <c r="P779" s="55"/>
      <c r="Q779" s="191"/>
      <c r="R779" s="192"/>
      <c r="S779" s="121"/>
      <c r="T779" s="122"/>
      <c r="U779" s="191"/>
      <c r="V779" s="192"/>
      <c r="W779" s="121"/>
      <c r="X779" s="122"/>
      <c r="Y779" s="115"/>
      <c r="Z779" s="193"/>
      <c r="AA779" s="194"/>
      <c r="AB779" s="195"/>
      <c r="AC779" s="115"/>
      <c r="AD779" s="192"/>
      <c r="AE779" s="196"/>
      <c r="AF779" s="197"/>
      <c r="AG779" s="201"/>
      <c r="AH779" s="201"/>
      <c r="AI779" s="201"/>
      <c r="AJ779" s="201"/>
      <c r="AK779" s="122"/>
      <c r="AL779" s="122"/>
    </row>
    <row r="780">
      <c r="A780" s="115"/>
      <c r="B780" s="150"/>
      <c r="C780" s="89"/>
      <c r="D780" s="55"/>
      <c r="E780" s="115"/>
      <c r="F780" s="150"/>
      <c r="G780" s="188"/>
      <c r="H780" s="189"/>
      <c r="I780" s="115"/>
      <c r="J780" s="150"/>
      <c r="K780" s="89"/>
      <c r="L780" s="55"/>
      <c r="M780" s="115"/>
      <c r="N780" s="190"/>
      <c r="O780" s="89"/>
      <c r="P780" s="55"/>
      <c r="Q780" s="191"/>
      <c r="R780" s="192"/>
      <c r="S780" s="121"/>
      <c r="T780" s="122"/>
      <c r="U780" s="191"/>
      <c r="V780" s="192"/>
      <c r="W780" s="121"/>
      <c r="X780" s="122"/>
      <c r="Y780" s="115"/>
      <c r="Z780" s="193"/>
      <c r="AA780" s="194"/>
      <c r="AB780" s="195"/>
      <c r="AC780" s="115"/>
      <c r="AD780" s="192"/>
      <c r="AE780" s="196"/>
      <c r="AF780" s="197"/>
      <c r="AG780" s="201"/>
      <c r="AH780" s="201"/>
      <c r="AI780" s="201"/>
      <c r="AJ780" s="201"/>
      <c r="AK780" s="122"/>
      <c r="AL780" s="122"/>
    </row>
    <row r="781">
      <c r="A781" s="115"/>
      <c r="B781" s="150"/>
      <c r="C781" s="89"/>
      <c r="D781" s="55"/>
      <c r="E781" s="115"/>
      <c r="F781" s="150"/>
      <c r="G781" s="188"/>
      <c r="H781" s="189"/>
      <c r="I781" s="115"/>
      <c r="J781" s="150"/>
      <c r="K781" s="89"/>
      <c r="L781" s="55"/>
      <c r="M781" s="115"/>
      <c r="N781" s="190"/>
      <c r="O781" s="89"/>
      <c r="P781" s="55"/>
      <c r="Q781" s="191"/>
      <c r="R781" s="192"/>
      <c r="S781" s="121"/>
      <c r="T781" s="122"/>
      <c r="U781" s="191"/>
      <c r="V781" s="192"/>
      <c r="W781" s="121"/>
      <c r="X781" s="122"/>
      <c r="Y781" s="115"/>
      <c r="Z781" s="193"/>
      <c r="AA781" s="194"/>
      <c r="AB781" s="195"/>
      <c r="AC781" s="115"/>
      <c r="AD781" s="192"/>
      <c r="AE781" s="196"/>
      <c r="AF781" s="197"/>
      <c r="AG781" s="201"/>
      <c r="AH781" s="201"/>
      <c r="AI781" s="201"/>
      <c r="AJ781" s="201"/>
      <c r="AK781" s="122"/>
      <c r="AL781" s="122"/>
    </row>
    <row r="782">
      <c r="A782" s="115"/>
      <c r="B782" s="150"/>
      <c r="C782" s="89"/>
      <c r="D782" s="55"/>
      <c r="E782" s="115"/>
      <c r="F782" s="150"/>
      <c r="G782" s="188"/>
      <c r="H782" s="189"/>
      <c r="I782" s="115"/>
      <c r="J782" s="150"/>
      <c r="K782" s="89"/>
      <c r="L782" s="55"/>
      <c r="M782" s="115"/>
      <c r="N782" s="190"/>
      <c r="O782" s="89"/>
      <c r="P782" s="55"/>
      <c r="Q782" s="191"/>
      <c r="R782" s="192"/>
      <c r="S782" s="121"/>
      <c r="T782" s="122"/>
      <c r="U782" s="191"/>
      <c r="V782" s="192"/>
      <c r="W782" s="121"/>
      <c r="X782" s="122"/>
      <c r="Y782" s="115"/>
      <c r="Z782" s="193"/>
      <c r="AA782" s="194"/>
      <c r="AB782" s="195"/>
      <c r="AC782" s="115"/>
      <c r="AD782" s="192"/>
      <c r="AE782" s="196"/>
      <c r="AF782" s="197"/>
      <c r="AG782" s="201"/>
      <c r="AH782" s="201"/>
      <c r="AI782" s="201"/>
      <c r="AJ782" s="201"/>
      <c r="AK782" s="122"/>
      <c r="AL782" s="122"/>
    </row>
    <row r="783">
      <c r="A783" s="115"/>
      <c r="B783" s="150"/>
      <c r="C783" s="89"/>
      <c r="D783" s="55"/>
      <c r="E783" s="115"/>
      <c r="F783" s="150"/>
      <c r="G783" s="188"/>
      <c r="H783" s="189"/>
      <c r="I783" s="115"/>
      <c r="J783" s="150"/>
      <c r="K783" s="89"/>
      <c r="L783" s="55"/>
      <c r="M783" s="115"/>
      <c r="N783" s="190"/>
      <c r="O783" s="89"/>
      <c r="P783" s="55"/>
      <c r="Q783" s="191"/>
      <c r="R783" s="192"/>
      <c r="S783" s="121"/>
      <c r="T783" s="122"/>
      <c r="U783" s="191"/>
      <c r="V783" s="192"/>
      <c r="W783" s="121"/>
      <c r="X783" s="122"/>
      <c r="Y783" s="115"/>
      <c r="Z783" s="193"/>
      <c r="AA783" s="194"/>
      <c r="AB783" s="195"/>
      <c r="AC783" s="115"/>
      <c r="AD783" s="192"/>
      <c r="AE783" s="196"/>
      <c r="AF783" s="197"/>
      <c r="AG783" s="201"/>
      <c r="AH783" s="201"/>
      <c r="AI783" s="201"/>
      <c r="AJ783" s="201"/>
      <c r="AK783" s="122"/>
      <c r="AL783" s="122"/>
    </row>
    <row r="784">
      <c r="A784" s="115"/>
      <c r="B784" s="150"/>
      <c r="C784" s="89"/>
      <c r="D784" s="55"/>
      <c r="E784" s="115"/>
      <c r="F784" s="150"/>
      <c r="G784" s="188"/>
      <c r="H784" s="189"/>
      <c r="I784" s="115"/>
      <c r="J784" s="150"/>
      <c r="K784" s="89"/>
      <c r="L784" s="55"/>
      <c r="M784" s="115"/>
      <c r="N784" s="190"/>
      <c r="O784" s="89"/>
      <c r="P784" s="55"/>
      <c r="Q784" s="191"/>
      <c r="R784" s="192"/>
      <c r="S784" s="121"/>
      <c r="T784" s="122"/>
      <c r="U784" s="191"/>
      <c r="V784" s="192"/>
      <c r="W784" s="121"/>
      <c r="X784" s="122"/>
      <c r="Y784" s="115"/>
      <c r="Z784" s="193"/>
      <c r="AA784" s="194"/>
      <c r="AB784" s="195"/>
      <c r="AC784" s="115"/>
      <c r="AD784" s="192"/>
      <c r="AE784" s="196"/>
      <c r="AF784" s="197"/>
      <c r="AG784" s="201"/>
      <c r="AH784" s="201"/>
      <c r="AI784" s="201"/>
      <c r="AJ784" s="201"/>
      <c r="AK784" s="122"/>
      <c r="AL784" s="122"/>
    </row>
    <row r="785">
      <c r="A785" s="115"/>
      <c r="B785" s="150"/>
      <c r="C785" s="89"/>
      <c r="D785" s="55"/>
      <c r="E785" s="115"/>
      <c r="F785" s="150"/>
      <c r="G785" s="188"/>
      <c r="H785" s="189"/>
      <c r="I785" s="115"/>
      <c r="J785" s="150"/>
      <c r="K785" s="89"/>
      <c r="L785" s="55"/>
      <c r="M785" s="115"/>
      <c r="N785" s="190"/>
      <c r="O785" s="89"/>
      <c r="P785" s="55"/>
      <c r="Q785" s="191"/>
      <c r="R785" s="192"/>
      <c r="S785" s="121"/>
      <c r="T785" s="122"/>
      <c r="U785" s="191"/>
      <c r="V785" s="192"/>
      <c r="W785" s="121"/>
      <c r="X785" s="122"/>
      <c r="Y785" s="115"/>
      <c r="Z785" s="193"/>
      <c r="AA785" s="194"/>
      <c r="AB785" s="195"/>
      <c r="AC785" s="115"/>
      <c r="AD785" s="192"/>
      <c r="AE785" s="196"/>
      <c r="AF785" s="197"/>
      <c r="AG785" s="201"/>
      <c r="AH785" s="201"/>
      <c r="AI785" s="201"/>
      <c r="AJ785" s="201"/>
      <c r="AK785" s="122"/>
      <c r="AL785" s="122"/>
    </row>
    <row r="786">
      <c r="A786" s="115"/>
      <c r="B786" s="150"/>
      <c r="C786" s="89"/>
      <c r="D786" s="55"/>
      <c r="E786" s="115"/>
      <c r="F786" s="150"/>
      <c r="G786" s="188"/>
      <c r="H786" s="189"/>
      <c r="I786" s="115"/>
      <c r="J786" s="150"/>
      <c r="K786" s="89"/>
      <c r="L786" s="55"/>
      <c r="M786" s="115"/>
      <c r="N786" s="190"/>
      <c r="O786" s="89"/>
      <c r="P786" s="55"/>
      <c r="Q786" s="191"/>
      <c r="R786" s="192"/>
      <c r="S786" s="121"/>
      <c r="T786" s="122"/>
      <c r="U786" s="191"/>
      <c r="V786" s="192"/>
      <c r="W786" s="121"/>
      <c r="X786" s="122"/>
      <c r="Y786" s="115"/>
      <c r="Z786" s="193"/>
      <c r="AA786" s="194"/>
      <c r="AB786" s="195"/>
      <c r="AC786" s="115"/>
      <c r="AD786" s="192"/>
      <c r="AE786" s="196"/>
      <c r="AF786" s="197"/>
      <c r="AG786" s="201"/>
      <c r="AH786" s="201"/>
      <c r="AI786" s="201"/>
      <c r="AJ786" s="201"/>
      <c r="AK786" s="122"/>
      <c r="AL786" s="122"/>
    </row>
    <row r="787">
      <c r="A787" s="115"/>
      <c r="B787" s="150"/>
      <c r="C787" s="89"/>
      <c r="D787" s="55"/>
      <c r="E787" s="115"/>
      <c r="F787" s="150"/>
      <c r="G787" s="188"/>
      <c r="H787" s="189"/>
      <c r="I787" s="115"/>
      <c r="J787" s="150"/>
      <c r="K787" s="89"/>
      <c r="L787" s="55"/>
      <c r="M787" s="115"/>
      <c r="N787" s="190"/>
      <c r="O787" s="89"/>
      <c r="P787" s="55"/>
      <c r="Q787" s="191"/>
      <c r="R787" s="192"/>
      <c r="S787" s="121"/>
      <c r="T787" s="122"/>
      <c r="U787" s="191"/>
      <c r="V787" s="192"/>
      <c r="W787" s="121"/>
      <c r="X787" s="122"/>
      <c r="Y787" s="115"/>
      <c r="Z787" s="193"/>
      <c r="AA787" s="194"/>
      <c r="AB787" s="195"/>
      <c r="AC787" s="115"/>
      <c r="AD787" s="192"/>
      <c r="AE787" s="196"/>
      <c r="AF787" s="197"/>
      <c r="AG787" s="201"/>
      <c r="AH787" s="201"/>
      <c r="AI787" s="201"/>
      <c r="AJ787" s="201"/>
      <c r="AK787" s="122"/>
      <c r="AL787" s="122"/>
    </row>
    <row r="788">
      <c r="A788" s="115"/>
      <c r="B788" s="150"/>
      <c r="C788" s="89"/>
      <c r="D788" s="55"/>
      <c r="E788" s="115"/>
      <c r="F788" s="150"/>
      <c r="G788" s="188"/>
      <c r="H788" s="189"/>
      <c r="I788" s="115"/>
      <c r="J788" s="150"/>
      <c r="K788" s="89"/>
      <c r="L788" s="55"/>
      <c r="M788" s="115"/>
      <c r="N788" s="190"/>
      <c r="O788" s="89"/>
      <c r="P788" s="55"/>
      <c r="Q788" s="191"/>
      <c r="R788" s="192"/>
      <c r="S788" s="121"/>
      <c r="T788" s="122"/>
      <c r="U788" s="191"/>
      <c r="V788" s="192"/>
      <c r="W788" s="121"/>
      <c r="X788" s="122"/>
      <c r="Y788" s="115"/>
      <c r="Z788" s="193"/>
      <c r="AA788" s="194"/>
      <c r="AB788" s="195"/>
      <c r="AC788" s="115"/>
      <c r="AD788" s="192"/>
      <c r="AE788" s="196"/>
      <c r="AF788" s="197"/>
      <c r="AG788" s="201"/>
      <c r="AH788" s="201"/>
      <c r="AI788" s="201"/>
      <c r="AJ788" s="201"/>
      <c r="AK788" s="122"/>
      <c r="AL788" s="122"/>
    </row>
    <row r="789">
      <c r="A789" s="115"/>
      <c r="B789" s="150"/>
      <c r="C789" s="89"/>
      <c r="D789" s="55"/>
      <c r="E789" s="115"/>
      <c r="F789" s="150"/>
      <c r="G789" s="188"/>
      <c r="H789" s="189"/>
      <c r="I789" s="115"/>
      <c r="J789" s="150"/>
      <c r="K789" s="89"/>
      <c r="L789" s="55"/>
      <c r="M789" s="115"/>
      <c r="N789" s="190"/>
      <c r="O789" s="89"/>
      <c r="P789" s="55"/>
      <c r="Q789" s="191"/>
      <c r="R789" s="192"/>
      <c r="S789" s="121"/>
      <c r="T789" s="122"/>
      <c r="U789" s="191"/>
      <c r="V789" s="192"/>
      <c r="W789" s="121"/>
      <c r="X789" s="122"/>
      <c r="Y789" s="115"/>
      <c r="Z789" s="193"/>
      <c r="AA789" s="194"/>
      <c r="AB789" s="195"/>
      <c r="AC789" s="115"/>
      <c r="AD789" s="192"/>
      <c r="AE789" s="196"/>
      <c r="AF789" s="197"/>
      <c r="AG789" s="201"/>
      <c r="AH789" s="201"/>
      <c r="AI789" s="201"/>
      <c r="AJ789" s="201"/>
      <c r="AK789" s="122"/>
      <c r="AL789" s="122"/>
    </row>
    <row r="790">
      <c r="A790" s="115"/>
      <c r="B790" s="150"/>
      <c r="C790" s="89"/>
      <c r="D790" s="55"/>
      <c r="E790" s="115"/>
      <c r="F790" s="150"/>
      <c r="G790" s="188"/>
      <c r="H790" s="189"/>
      <c r="I790" s="115"/>
      <c r="J790" s="150"/>
      <c r="K790" s="89"/>
      <c r="L790" s="55"/>
      <c r="M790" s="115"/>
      <c r="N790" s="190"/>
      <c r="O790" s="89"/>
      <c r="P790" s="55"/>
      <c r="Q790" s="191"/>
      <c r="R790" s="192"/>
      <c r="S790" s="121"/>
      <c r="T790" s="122"/>
      <c r="U790" s="191"/>
      <c r="V790" s="192"/>
      <c r="W790" s="121"/>
      <c r="X790" s="122"/>
      <c r="Y790" s="115"/>
      <c r="Z790" s="193"/>
      <c r="AA790" s="194"/>
      <c r="AB790" s="195"/>
      <c r="AC790" s="115"/>
      <c r="AD790" s="192"/>
      <c r="AE790" s="196"/>
      <c r="AF790" s="197"/>
      <c r="AG790" s="201"/>
      <c r="AH790" s="201"/>
      <c r="AI790" s="201"/>
      <c r="AJ790" s="201"/>
      <c r="AK790" s="122"/>
      <c r="AL790" s="122"/>
    </row>
    <row r="791">
      <c r="A791" s="115"/>
      <c r="B791" s="150"/>
      <c r="C791" s="89"/>
      <c r="D791" s="55"/>
      <c r="E791" s="115"/>
      <c r="F791" s="150"/>
      <c r="G791" s="188"/>
      <c r="H791" s="189"/>
      <c r="I791" s="115"/>
      <c r="J791" s="150"/>
      <c r="K791" s="89"/>
      <c r="L791" s="55"/>
      <c r="M791" s="115"/>
      <c r="N791" s="190"/>
      <c r="O791" s="89"/>
      <c r="P791" s="55"/>
      <c r="Q791" s="191"/>
      <c r="R791" s="192"/>
      <c r="S791" s="121"/>
      <c r="T791" s="122"/>
      <c r="U791" s="191"/>
      <c r="V791" s="192"/>
      <c r="W791" s="121"/>
      <c r="X791" s="122"/>
      <c r="Y791" s="115"/>
      <c r="Z791" s="193"/>
      <c r="AA791" s="194"/>
      <c r="AB791" s="195"/>
      <c r="AC791" s="115"/>
      <c r="AD791" s="192"/>
      <c r="AE791" s="196"/>
      <c r="AF791" s="197"/>
      <c r="AG791" s="201"/>
      <c r="AH791" s="201"/>
      <c r="AI791" s="201"/>
      <c r="AJ791" s="201"/>
      <c r="AK791" s="122"/>
      <c r="AL791" s="122"/>
    </row>
    <row r="792">
      <c r="A792" s="115"/>
      <c r="B792" s="150"/>
      <c r="C792" s="89"/>
      <c r="D792" s="55"/>
      <c r="E792" s="115"/>
      <c r="F792" s="150"/>
      <c r="G792" s="188"/>
      <c r="H792" s="189"/>
      <c r="I792" s="115"/>
      <c r="J792" s="150"/>
      <c r="K792" s="89"/>
      <c r="L792" s="55"/>
      <c r="M792" s="115"/>
      <c r="N792" s="190"/>
      <c r="O792" s="89"/>
      <c r="P792" s="55"/>
      <c r="Q792" s="191"/>
      <c r="R792" s="192"/>
      <c r="S792" s="121"/>
      <c r="T792" s="122"/>
      <c r="U792" s="191"/>
      <c r="V792" s="192"/>
      <c r="W792" s="121"/>
      <c r="X792" s="122"/>
      <c r="Y792" s="115"/>
      <c r="Z792" s="193"/>
      <c r="AA792" s="194"/>
      <c r="AB792" s="195"/>
      <c r="AC792" s="115"/>
      <c r="AD792" s="192"/>
      <c r="AE792" s="196"/>
      <c r="AF792" s="197"/>
      <c r="AG792" s="201"/>
      <c r="AH792" s="201"/>
      <c r="AI792" s="201"/>
      <c r="AJ792" s="201"/>
      <c r="AK792" s="122"/>
      <c r="AL792" s="122"/>
    </row>
    <row r="793">
      <c r="A793" s="115"/>
      <c r="B793" s="150"/>
      <c r="C793" s="89"/>
      <c r="D793" s="55"/>
      <c r="E793" s="115"/>
      <c r="F793" s="150"/>
      <c r="G793" s="188"/>
      <c r="H793" s="189"/>
      <c r="I793" s="115"/>
      <c r="J793" s="150"/>
      <c r="K793" s="89"/>
      <c r="L793" s="55"/>
      <c r="M793" s="115"/>
      <c r="N793" s="190"/>
      <c r="O793" s="89"/>
      <c r="P793" s="55"/>
      <c r="Q793" s="191"/>
      <c r="R793" s="192"/>
      <c r="S793" s="121"/>
      <c r="T793" s="122"/>
      <c r="U793" s="191"/>
      <c r="V793" s="192"/>
      <c r="W793" s="121"/>
      <c r="X793" s="122"/>
      <c r="Y793" s="115"/>
      <c r="Z793" s="193"/>
      <c r="AA793" s="194"/>
      <c r="AB793" s="195"/>
      <c r="AC793" s="115"/>
      <c r="AD793" s="192"/>
      <c r="AE793" s="196"/>
      <c r="AF793" s="197"/>
      <c r="AG793" s="201"/>
      <c r="AH793" s="201"/>
      <c r="AI793" s="201"/>
      <c r="AJ793" s="201"/>
      <c r="AK793" s="122"/>
      <c r="AL793" s="122"/>
    </row>
    <row r="794">
      <c r="A794" s="115"/>
      <c r="B794" s="150"/>
      <c r="C794" s="89"/>
      <c r="D794" s="55"/>
      <c r="E794" s="115"/>
      <c r="F794" s="150"/>
      <c r="G794" s="188"/>
      <c r="H794" s="189"/>
      <c r="I794" s="115"/>
      <c r="J794" s="150"/>
      <c r="K794" s="89"/>
      <c r="L794" s="55"/>
      <c r="M794" s="115"/>
      <c r="N794" s="190"/>
      <c r="O794" s="89"/>
      <c r="P794" s="55"/>
      <c r="Q794" s="191"/>
      <c r="R794" s="192"/>
      <c r="S794" s="121"/>
      <c r="T794" s="122"/>
      <c r="U794" s="191"/>
      <c r="V794" s="192"/>
      <c r="W794" s="121"/>
      <c r="X794" s="122"/>
      <c r="Y794" s="115"/>
      <c r="Z794" s="193"/>
      <c r="AA794" s="194"/>
      <c r="AB794" s="195"/>
      <c r="AC794" s="115"/>
      <c r="AD794" s="192"/>
      <c r="AE794" s="196"/>
      <c r="AF794" s="197"/>
      <c r="AG794" s="201"/>
      <c r="AH794" s="201"/>
      <c r="AI794" s="201"/>
      <c r="AJ794" s="201"/>
      <c r="AK794" s="122"/>
      <c r="AL794" s="122"/>
    </row>
    <row r="795">
      <c r="A795" s="115"/>
      <c r="B795" s="150"/>
      <c r="C795" s="89"/>
      <c r="D795" s="55"/>
      <c r="E795" s="115"/>
      <c r="F795" s="150"/>
      <c r="G795" s="188"/>
      <c r="H795" s="189"/>
      <c r="I795" s="115"/>
      <c r="J795" s="150"/>
      <c r="K795" s="89"/>
      <c r="L795" s="55"/>
      <c r="M795" s="115"/>
      <c r="N795" s="190"/>
      <c r="O795" s="89"/>
      <c r="P795" s="55"/>
      <c r="Q795" s="191"/>
      <c r="R795" s="192"/>
      <c r="S795" s="121"/>
      <c r="T795" s="122"/>
      <c r="U795" s="191"/>
      <c r="V795" s="192"/>
      <c r="W795" s="121"/>
      <c r="X795" s="122"/>
      <c r="Y795" s="115"/>
      <c r="Z795" s="193"/>
      <c r="AA795" s="194"/>
      <c r="AB795" s="195"/>
      <c r="AC795" s="115"/>
      <c r="AD795" s="192"/>
      <c r="AE795" s="196"/>
      <c r="AF795" s="197"/>
      <c r="AG795" s="201"/>
      <c r="AH795" s="201"/>
      <c r="AI795" s="201"/>
      <c r="AJ795" s="201"/>
      <c r="AK795" s="122"/>
      <c r="AL795" s="122"/>
    </row>
    <row r="796">
      <c r="A796" s="115"/>
      <c r="B796" s="150"/>
      <c r="C796" s="89"/>
      <c r="D796" s="55"/>
      <c r="E796" s="115"/>
      <c r="F796" s="150"/>
      <c r="G796" s="188"/>
      <c r="H796" s="189"/>
      <c r="I796" s="115"/>
      <c r="J796" s="150"/>
      <c r="K796" s="89"/>
      <c r="L796" s="55"/>
      <c r="M796" s="115"/>
      <c r="N796" s="190"/>
      <c r="O796" s="89"/>
      <c r="P796" s="55"/>
      <c r="Q796" s="191"/>
      <c r="R796" s="192"/>
      <c r="S796" s="121"/>
      <c r="T796" s="122"/>
      <c r="U796" s="191"/>
      <c r="V796" s="192"/>
      <c r="W796" s="121"/>
      <c r="X796" s="122"/>
      <c r="Y796" s="115"/>
      <c r="Z796" s="193"/>
      <c r="AA796" s="194"/>
      <c r="AB796" s="195"/>
      <c r="AC796" s="115"/>
      <c r="AD796" s="192"/>
      <c r="AE796" s="196"/>
      <c r="AF796" s="197"/>
      <c r="AG796" s="201"/>
      <c r="AH796" s="201"/>
      <c r="AI796" s="201"/>
      <c r="AJ796" s="201"/>
      <c r="AK796" s="122"/>
      <c r="AL796" s="122"/>
    </row>
    <row r="797">
      <c r="A797" s="115"/>
      <c r="B797" s="150"/>
      <c r="C797" s="89"/>
      <c r="D797" s="55"/>
      <c r="E797" s="115"/>
      <c r="F797" s="150"/>
      <c r="G797" s="188"/>
      <c r="H797" s="189"/>
      <c r="I797" s="115"/>
      <c r="J797" s="150"/>
      <c r="K797" s="89"/>
      <c r="L797" s="55"/>
      <c r="M797" s="115"/>
      <c r="N797" s="190"/>
      <c r="O797" s="89"/>
      <c r="P797" s="55"/>
      <c r="Q797" s="191"/>
      <c r="R797" s="192"/>
      <c r="S797" s="121"/>
      <c r="T797" s="122"/>
      <c r="U797" s="191"/>
      <c r="V797" s="192"/>
      <c r="W797" s="121"/>
      <c r="X797" s="122"/>
      <c r="Y797" s="115"/>
      <c r="Z797" s="193"/>
      <c r="AA797" s="194"/>
      <c r="AB797" s="195"/>
      <c r="AC797" s="115"/>
      <c r="AD797" s="192"/>
      <c r="AE797" s="196"/>
      <c r="AF797" s="197"/>
      <c r="AG797" s="201"/>
      <c r="AH797" s="201"/>
      <c r="AI797" s="201"/>
      <c r="AJ797" s="201"/>
      <c r="AK797" s="122"/>
      <c r="AL797" s="122"/>
    </row>
    <row r="798">
      <c r="A798" s="115"/>
      <c r="B798" s="150"/>
      <c r="C798" s="89"/>
      <c r="D798" s="55"/>
      <c r="E798" s="115"/>
      <c r="F798" s="150"/>
      <c r="G798" s="188"/>
      <c r="H798" s="189"/>
      <c r="I798" s="115"/>
      <c r="J798" s="150"/>
      <c r="K798" s="89"/>
      <c r="L798" s="55"/>
      <c r="M798" s="115"/>
      <c r="N798" s="190"/>
      <c r="O798" s="89"/>
      <c r="P798" s="55"/>
      <c r="Q798" s="191"/>
      <c r="R798" s="192"/>
      <c r="S798" s="121"/>
      <c r="T798" s="122"/>
      <c r="U798" s="191"/>
      <c r="V798" s="192"/>
      <c r="W798" s="121"/>
      <c r="X798" s="122"/>
      <c r="Y798" s="115"/>
      <c r="Z798" s="193"/>
      <c r="AA798" s="194"/>
      <c r="AB798" s="195"/>
      <c r="AC798" s="115"/>
      <c r="AD798" s="192"/>
      <c r="AE798" s="196"/>
      <c r="AF798" s="197"/>
      <c r="AG798" s="201"/>
      <c r="AH798" s="201"/>
      <c r="AI798" s="201"/>
      <c r="AJ798" s="201"/>
      <c r="AK798" s="122"/>
      <c r="AL798" s="122"/>
    </row>
    <row r="799">
      <c r="A799" s="115"/>
      <c r="B799" s="150"/>
      <c r="C799" s="89"/>
      <c r="D799" s="55"/>
      <c r="E799" s="115"/>
      <c r="F799" s="150"/>
      <c r="G799" s="188"/>
      <c r="H799" s="189"/>
      <c r="I799" s="115"/>
      <c r="J799" s="150"/>
      <c r="K799" s="89"/>
      <c r="L799" s="55"/>
      <c r="M799" s="115"/>
      <c r="N799" s="190"/>
      <c r="O799" s="89"/>
      <c r="P799" s="55"/>
      <c r="Q799" s="191"/>
      <c r="R799" s="192"/>
      <c r="S799" s="121"/>
      <c r="T799" s="122"/>
      <c r="U799" s="191"/>
      <c r="V799" s="192"/>
      <c r="W799" s="121"/>
      <c r="X799" s="122"/>
      <c r="Y799" s="115"/>
      <c r="Z799" s="193"/>
      <c r="AA799" s="194"/>
      <c r="AB799" s="195"/>
      <c r="AC799" s="115"/>
      <c r="AD799" s="192"/>
      <c r="AE799" s="196"/>
      <c r="AF799" s="197"/>
      <c r="AG799" s="201"/>
      <c r="AH799" s="201"/>
      <c r="AI799" s="201"/>
      <c r="AJ799" s="201"/>
      <c r="AK799" s="122"/>
      <c r="AL799" s="122"/>
    </row>
    <row r="800">
      <c r="A800" s="115"/>
      <c r="B800" s="150"/>
      <c r="C800" s="89"/>
      <c r="D800" s="55"/>
      <c r="E800" s="115"/>
      <c r="F800" s="150"/>
      <c r="G800" s="188"/>
      <c r="H800" s="189"/>
      <c r="I800" s="115"/>
      <c r="J800" s="150"/>
      <c r="K800" s="89"/>
      <c r="L800" s="55"/>
      <c r="M800" s="115"/>
      <c r="N800" s="190"/>
      <c r="O800" s="89"/>
      <c r="P800" s="55"/>
      <c r="Q800" s="191"/>
      <c r="R800" s="192"/>
      <c r="S800" s="121"/>
      <c r="T800" s="122"/>
      <c r="U800" s="191"/>
      <c r="V800" s="192"/>
      <c r="W800" s="121"/>
      <c r="X800" s="122"/>
      <c r="Y800" s="115"/>
      <c r="Z800" s="193"/>
      <c r="AA800" s="194"/>
      <c r="AB800" s="195"/>
      <c r="AC800" s="115"/>
      <c r="AD800" s="192"/>
      <c r="AE800" s="196"/>
      <c r="AF800" s="197"/>
      <c r="AG800" s="201"/>
      <c r="AH800" s="201"/>
      <c r="AI800" s="201"/>
      <c r="AJ800" s="201"/>
      <c r="AK800" s="122"/>
      <c r="AL800" s="122"/>
    </row>
    <row r="801">
      <c r="A801" s="115"/>
      <c r="B801" s="150"/>
      <c r="C801" s="89"/>
      <c r="D801" s="55"/>
      <c r="E801" s="115"/>
      <c r="F801" s="150"/>
      <c r="G801" s="188"/>
      <c r="H801" s="189"/>
      <c r="I801" s="115"/>
      <c r="J801" s="150"/>
      <c r="K801" s="89"/>
      <c r="L801" s="55"/>
      <c r="M801" s="115"/>
      <c r="N801" s="190"/>
      <c r="O801" s="89"/>
      <c r="P801" s="55"/>
      <c r="Q801" s="191"/>
      <c r="R801" s="192"/>
      <c r="S801" s="121"/>
      <c r="T801" s="122"/>
      <c r="U801" s="191"/>
      <c r="V801" s="192"/>
      <c r="W801" s="121"/>
      <c r="X801" s="122"/>
      <c r="Y801" s="115"/>
      <c r="Z801" s="193"/>
      <c r="AA801" s="194"/>
      <c r="AB801" s="195"/>
      <c r="AC801" s="115"/>
      <c r="AD801" s="192"/>
      <c r="AE801" s="196"/>
      <c r="AF801" s="197"/>
      <c r="AG801" s="201"/>
      <c r="AH801" s="201"/>
      <c r="AI801" s="201"/>
      <c r="AJ801" s="201"/>
      <c r="AK801" s="122"/>
      <c r="AL801" s="122"/>
    </row>
    <row r="802">
      <c r="A802" s="115"/>
      <c r="B802" s="150"/>
      <c r="C802" s="89"/>
      <c r="D802" s="55"/>
      <c r="E802" s="115"/>
      <c r="F802" s="150"/>
      <c r="G802" s="188"/>
      <c r="H802" s="189"/>
      <c r="I802" s="115"/>
      <c r="J802" s="150"/>
      <c r="K802" s="89"/>
      <c r="L802" s="55"/>
      <c r="M802" s="115"/>
      <c r="N802" s="190"/>
      <c r="O802" s="89"/>
      <c r="P802" s="55"/>
      <c r="Q802" s="191"/>
      <c r="R802" s="192"/>
      <c r="S802" s="121"/>
      <c r="T802" s="122"/>
      <c r="U802" s="191"/>
      <c r="V802" s="192"/>
      <c r="W802" s="121"/>
      <c r="X802" s="122"/>
      <c r="Y802" s="115"/>
      <c r="Z802" s="193"/>
      <c r="AA802" s="194"/>
      <c r="AB802" s="195"/>
      <c r="AC802" s="115"/>
      <c r="AD802" s="192"/>
      <c r="AE802" s="196"/>
      <c r="AF802" s="197"/>
      <c r="AG802" s="201"/>
      <c r="AH802" s="201"/>
      <c r="AI802" s="201"/>
      <c r="AJ802" s="201"/>
      <c r="AK802" s="122"/>
      <c r="AL802" s="122"/>
    </row>
    <row r="803">
      <c r="A803" s="115"/>
      <c r="B803" s="150"/>
      <c r="C803" s="89"/>
      <c r="D803" s="55"/>
      <c r="E803" s="115"/>
      <c r="F803" s="150"/>
      <c r="G803" s="188"/>
      <c r="H803" s="189"/>
      <c r="I803" s="115"/>
      <c r="J803" s="150"/>
      <c r="K803" s="89"/>
      <c r="L803" s="55"/>
      <c r="M803" s="115"/>
      <c r="N803" s="190"/>
      <c r="O803" s="89"/>
      <c r="P803" s="55"/>
      <c r="Q803" s="191"/>
      <c r="R803" s="192"/>
      <c r="S803" s="121"/>
      <c r="T803" s="122"/>
      <c r="U803" s="191"/>
      <c r="V803" s="192"/>
      <c r="W803" s="121"/>
      <c r="X803" s="122"/>
      <c r="Y803" s="115"/>
      <c r="Z803" s="193"/>
      <c r="AA803" s="194"/>
      <c r="AB803" s="195"/>
      <c r="AC803" s="115"/>
      <c r="AD803" s="192"/>
      <c r="AE803" s="196"/>
      <c r="AF803" s="197"/>
      <c r="AG803" s="201"/>
      <c r="AH803" s="201"/>
      <c r="AI803" s="201"/>
      <c r="AJ803" s="201"/>
      <c r="AK803" s="122"/>
      <c r="AL803" s="122"/>
    </row>
    <row r="804">
      <c r="A804" s="115"/>
      <c r="B804" s="150"/>
      <c r="C804" s="89"/>
      <c r="D804" s="55"/>
      <c r="E804" s="115"/>
      <c r="F804" s="150"/>
      <c r="G804" s="188"/>
      <c r="H804" s="189"/>
      <c r="I804" s="115"/>
      <c r="J804" s="150"/>
      <c r="K804" s="89"/>
      <c r="L804" s="55"/>
      <c r="M804" s="115"/>
      <c r="N804" s="190"/>
      <c r="O804" s="89"/>
      <c r="P804" s="55"/>
      <c r="Q804" s="191"/>
      <c r="R804" s="192"/>
      <c r="S804" s="121"/>
      <c r="T804" s="122"/>
      <c r="U804" s="191"/>
      <c r="V804" s="192"/>
      <c r="W804" s="121"/>
      <c r="X804" s="122"/>
      <c r="Y804" s="115"/>
      <c r="Z804" s="193"/>
      <c r="AA804" s="194"/>
      <c r="AB804" s="195"/>
      <c r="AC804" s="115"/>
      <c r="AD804" s="192"/>
      <c r="AE804" s="196"/>
      <c r="AF804" s="197"/>
      <c r="AG804" s="201"/>
      <c r="AH804" s="201"/>
      <c r="AI804" s="201"/>
      <c r="AJ804" s="201"/>
      <c r="AK804" s="122"/>
      <c r="AL804" s="122"/>
    </row>
    <row r="805">
      <c r="A805" s="115"/>
      <c r="B805" s="150"/>
      <c r="C805" s="89"/>
      <c r="D805" s="55"/>
      <c r="E805" s="115"/>
      <c r="F805" s="150"/>
      <c r="G805" s="188"/>
      <c r="H805" s="189"/>
      <c r="I805" s="115"/>
      <c r="J805" s="150"/>
      <c r="K805" s="89"/>
      <c r="L805" s="55"/>
      <c r="M805" s="115"/>
      <c r="N805" s="190"/>
      <c r="O805" s="89"/>
      <c r="P805" s="55"/>
      <c r="Q805" s="191"/>
      <c r="R805" s="192"/>
      <c r="S805" s="121"/>
      <c r="T805" s="122"/>
      <c r="U805" s="191"/>
      <c r="V805" s="192"/>
      <c r="W805" s="121"/>
      <c r="X805" s="122"/>
      <c r="Y805" s="115"/>
      <c r="Z805" s="193"/>
      <c r="AA805" s="194"/>
      <c r="AB805" s="195"/>
      <c r="AC805" s="115"/>
      <c r="AD805" s="192"/>
      <c r="AE805" s="196"/>
      <c r="AF805" s="197"/>
      <c r="AG805" s="201"/>
      <c r="AH805" s="201"/>
      <c r="AI805" s="201"/>
      <c r="AJ805" s="201"/>
      <c r="AK805" s="122"/>
      <c r="AL805" s="122"/>
    </row>
    <row r="806">
      <c r="A806" s="115"/>
      <c r="B806" s="150"/>
      <c r="C806" s="89"/>
      <c r="D806" s="55"/>
      <c r="E806" s="115"/>
      <c r="F806" s="150"/>
      <c r="G806" s="188"/>
      <c r="H806" s="189"/>
      <c r="I806" s="115"/>
      <c r="J806" s="150"/>
      <c r="K806" s="89"/>
      <c r="L806" s="55"/>
      <c r="M806" s="115"/>
      <c r="N806" s="190"/>
      <c r="O806" s="89"/>
      <c r="P806" s="55"/>
      <c r="Q806" s="191"/>
      <c r="R806" s="192"/>
      <c r="S806" s="121"/>
      <c r="T806" s="122"/>
      <c r="U806" s="191"/>
      <c r="V806" s="192"/>
      <c r="W806" s="121"/>
      <c r="X806" s="122"/>
      <c r="Y806" s="115"/>
      <c r="Z806" s="193"/>
      <c r="AA806" s="194"/>
      <c r="AB806" s="195"/>
      <c r="AC806" s="115"/>
      <c r="AD806" s="192"/>
      <c r="AE806" s="196"/>
      <c r="AF806" s="197"/>
      <c r="AG806" s="201"/>
      <c r="AH806" s="201"/>
      <c r="AI806" s="201"/>
      <c r="AJ806" s="201"/>
      <c r="AK806" s="122"/>
      <c r="AL806" s="122"/>
    </row>
    <row r="807">
      <c r="A807" s="115"/>
      <c r="B807" s="150"/>
      <c r="C807" s="89"/>
      <c r="D807" s="55"/>
      <c r="E807" s="115"/>
      <c r="F807" s="150"/>
      <c r="G807" s="188"/>
      <c r="H807" s="189"/>
      <c r="I807" s="115"/>
      <c r="J807" s="150"/>
      <c r="K807" s="89"/>
      <c r="L807" s="55"/>
      <c r="M807" s="115"/>
      <c r="N807" s="190"/>
      <c r="O807" s="89"/>
      <c r="P807" s="55"/>
      <c r="Q807" s="191"/>
      <c r="R807" s="192"/>
      <c r="S807" s="121"/>
      <c r="T807" s="122"/>
      <c r="U807" s="191"/>
      <c r="V807" s="192"/>
      <c r="W807" s="121"/>
      <c r="X807" s="122"/>
      <c r="Y807" s="115"/>
      <c r="Z807" s="193"/>
      <c r="AA807" s="194"/>
      <c r="AB807" s="195"/>
      <c r="AC807" s="115"/>
      <c r="AD807" s="192"/>
      <c r="AE807" s="196"/>
      <c r="AF807" s="197"/>
      <c r="AG807" s="201"/>
      <c r="AH807" s="201"/>
      <c r="AI807" s="201"/>
      <c r="AJ807" s="201"/>
      <c r="AK807" s="122"/>
      <c r="AL807" s="122"/>
    </row>
    <row r="808">
      <c r="A808" s="115"/>
      <c r="B808" s="150"/>
      <c r="C808" s="89"/>
      <c r="D808" s="55"/>
      <c r="E808" s="115"/>
      <c r="F808" s="150"/>
      <c r="G808" s="188"/>
      <c r="H808" s="189"/>
      <c r="I808" s="115"/>
      <c r="J808" s="150"/>
      <c r="K808" s="89"/>
      <c r="L808" s="55"/>
      <c r="M808" s="115"/>
      <c r="N808" s="190"/>
      <c r="O808" s="89"/>
      <c r="P808" s="55"/>
      <c r="Q808" s="191"/>
      <c r="R808" s="192"/>
      <c r="S808" s="121"/>
      <c r="T808" s="122"/>
      <c r="U808" s="191"/>
      <c r="V808" s="192"/>
      <c r="W808" s="121"/>
      <c r="X808" s="122"/>
      <c r="Y808" s="115"/>
      <c r="Z808" s="193"/>
      <c r="AA808" s="194"/>
      <c r="AB808" s="195"/>
      <c r="AC808" s="115"/>
      <c r="AD808" s="192"/>
      <c r="AE808" s="196"/>
      <c r="AF808" s="197"/>
      <c r="AG808" s="201"/>
      <c r="AH808" s="201"/>
      <c r="AI808" s="201"/>
      <c r="AJ808" s="201"/>
      <c r="AK808" s="122"/>
      <c r="AL808" s="122"/>
    </row>
    <row r="809">
      <c r="A809" s="115"/>
      <c r="B809" s="150"/>
      <c r="C809" s="89"/>
      <c r="D809" s="55"/>
      <c r="E809" s="115"/>
      <c r="F809" s="150"/>
      <c r="G809" s="188"/>
      <c r="H809" s="189"/>
      <c r="I809" s="115"/>
      <c r="J809" s="150"/>
      <c r="K809" s="89"/>
      <c r="L809" s="55"/>
      <c r="M809" s="115"/>
      <c r="N809" s="190"/>
      <c r="O809" s="89"/>
      <c r="P809" s="55"/>
      <c r="Q809" s="191"/>
      <c r="R809" s="192"/>
      <c r="S809" s="121"/>
      <c r="T809" s="122"/>
      <c r="U809" s="191"/>
      <c r="V809" s="192"/>
      <c r="W809" s="121"/>
      <c r="X809" s="122"/>
      <c r="Y809" s="115"/>
      <c r="Z809" s="193"/>
      <c r="AA809" s="194"/>
      <c r="AB809" s="195"/>
      <c r="AC809" s="115"/>
      <c r="AD809" s="192"/>
      <c r="AE809" s="196"/>
      <c r="AF809" s="197"/>
      <c r="AG809" s="201"/>
      <c r="AH809" s="201"/>
      <c r="AI809" s="201"/>
      <c r="AJ809" s="201"/>
      <c r="AK809" s="122"/>
      <c r="AL809" s="122"/>
    </row>
    <row r="810">
      <c r="A810" s="115"/>
      <c r="B810" s="150"/>
      <c r="C810" s="89"/>
      <c r="D810" s="55"/>
      <c r="E810" s="115"/>
      <c r="F810" s="150"/>
      <c r="G810" s="188"/>
      <c r="H810" s="189"/>
      <c r="I810" s="115"/>
      <c r="J810" s="150"/>
      <c r="K810" s="89"/>
      <c r="L810" s="55"/>
      <c r="M810" s="115"/>
      <c r="N810" s="190"/>
      <c r="O810" s="89"/>
      <c r="P810" s="55"/>
      <c r="Q810" s="191"/>
      <c r="R810" s="192"/>
      <c r="S810" s="121"/>
      <c r="T810" s="122"/>
      <c r="U810" s="191"/>
      <c r="V810" s="192"/>
      <c r="W810" s="121"/>
      <c r="X810" s="122"/>
      <c r="Y810" s="115"/>
      <c r="Z810" s="193"/>
      <c r="AA810" s="194"/>
      <c r="AB810" s="195"/>
      <c r="AC810" s="115"/>
      <c r="AD810" s="192"/>
      <c r="AE810" s="196"/>
      <c r="AF810" s="197"/>
      <c r="AG810" s="201"/>
      <c r="AH810" s="201"/>
      <c r="AI810" s="201"/>
      <c r="AJ810" s="201"/>
      <c r="AK810" s="122"/>
      <c r="AL810" s="122"/>
    </row>
    <row r="811">
      <c r="A811" s="115"/>
      <c r="B811" s="150"/>
      <c r="C811" s="89"/>
      <c r="D811" s="55"/>
      <c r="E811" s="115"/>
      <c r="F811" s="150"/>
      <c r="G811" s="188"/>
      <c r="H811" s="189"/>
      <c r="I811" s="115"/>
      <c r="J811" s="150"/>
      <c r="K811" s="89"/>
      <c r="L811" s="55"/>
      <c r="M811" s="115"/>
      <c r="N811" s="190"/>
      <c r="O811" s="89"/>
      <c r="P811" s="55"/>
      <c r="Q811" s="191"/>
      <c r="R811" s="192"/>
      <c r="S811" s="121"/>
      <c r="T811" s="122"/>
      <c r="U811" s="191"/>
      <c r="V811" s="192"/>
      <c r="W811" s="121"/>
      <c r="X811" s="122"/>
      <c r="Y811" s="115"/>
      <c r="Z811" s="193"/>
      <c r="AA811" s="194"/>
      <c r="AB811" s="195"/>
      <c r="AC811" s="115"/>
      <c r="AD811" s="192"/>
      <c r="AE811" s="196"/>
      <c r="AF811" s="197"/>
      <c r="AG811" s="201"/>
      <c r="AH811" s="201"/>
      <c r="AI811" s="201"/>
      <c r="AJ811" s="201"/>
      <c r="AK811" s="122"/>
      <c r="AL811" s="122"/>
    </row>
    <row r="812">
      <c r="A812" s="115"/>
      <c r="B812" s="150"/>
      <c r="C812" s="89"/>
      <c r="D812" s="55"/>
      <c r="E812" s="115"/>
      <c r="F812" s="150"/>
      <c r="G812" s="188"/>
      <c r="H812" s="189"/>
      <c r="I812" s="115"/>
      <c r="J812" s="150"/>
      <c r="K812" s="89"/>
      <c r="L812" s="55"/>
      <c r="M812" s="115"/>
      <c r="N812" s="190"/>
      <c r="O812" s="89"/>
      <c r="P812" s="55"/>
      <c r="Q812" s="191"/>
      <c r="R812" s="192"/>
      <c r="S812" s="121"/>
      <c r="T812" s="122"/>
      <c r="U812" s="191"/>
      <c r="V812" s="192"/>
      <c r="W812" s="121"/>
      <c r="X812" s="122"/>
      <c r="Y812" s="115"/>
      <c r="Z812" s="193"/>
      <c r="AA812" s="194"/>
      <c r="AB812" s="195"/>
      <c r="AC812" s="115"/>
      <c r="AD812" s="192"/>
      <c r="AE812" s="196"/>
      <c r="AF812" s="197"/>
      <c r="AG812" s="201"/>
      <c r="AH812" s="201"/>
      <c r="AI812" s="201"/>
      <c r="AJ812" s="201"/>
      <c r="AK812" s="122"/>
      <c r="AL812" s="122"/>
    </row>
    <row r="813">
      <c r="A813" s="115"/>
      <c r="B813" s="150"/>
      <c r="C813" s="89"/>
      <c r="D813" s="55"/>
      <c r="E813" s="115"/>
      <c r="F813" s="150"/>
      <c r="G813" s="188"/>
      <c r="H813" s="189"/>
      <c r="I813" s="115"/>
      <c r="J813" s="150"/>
      <c r="K813" s="89"/>
      <c r="L813" s="55"/>
      <c r="M813" s="115"/>
      <c r="N813" s="190"/>
      <c r="O813" s="89"/>
      <c r="P813" s="55"/>
      <c r="Q813" s="191"/>
      <c r="R813" s="192"/>
      <c r="S813" s="121"/>
      <c r="T813" s="122"/>
      <c r="U813" s="191"/>
      <c r="V813" s="192"/>
      <c r="W813" s="121"/>
      <c r="X813" s="122"/>
      <c r="Y813" s="115"/>
      <c r="Z813" s="193"/>
      <c r="AA813" s="194"/>
      <c r="AB813" s="195"/>
      <c r="AC813" s="115"/>
      <c r="AD813" s="192"/>
      <c r="AE813" s="196"/>
      <c r="AF813" s="197"/>
      <c r="AG813" s="201"/>
      <c r="AH813" s="201"/>
      <c r="AI813" s="201"/>
      <c r="AJ813" s="201"/>
      <c r="AK813" s="122"/>
      <c r="AL813" s="122"/>
    </row>
    <row r="814">
      <c r="A814" s="115"/>
      <c r="B814" s="150"/>
      <c r="C814" s="89"/>
      <c r="D814" s="55"/>
      <c r="E814" s="115"/>
      <c r="F814" s="150"/>
      <c r="G814" s="188"/>
      <c r="H814" s="189"/>
      <c r="I814" s="115"/>
      <c r="J814" s="150"/>
      <c r="K814" s="89"/>
      <c r="L814" s="55"/>
      <c r="M814" s="115"/>
      <c r="N814" s="190"/>
      <c r="O814" s="89"/>
      <c r="P814" s="55"/>
      <c r="Q814" s="191"/>
      <c r="R814" s="192"/>
      <c r="S814" s="121"/>
      <c r="T814" s="122"/>
      <c r="U814" s="191"/>
      <c r="V814" s="192"/>
      <c r="W814" s="121"/>
      <c r="X814" s="122"/>
      <c r="Y814" s="115"/>
      <c r="Z814" s="193"/>
      <c r="AA814" s="194"/>
      <c r="AB814" s="195"/>
      <c r="AC814" s="115"/>
      <c r="AD814" s="192"/>
      <c r="AE814" s="196"/>
      <c r="AF814" s="197"/>
      <c r="AG814" s="201"/>
      <c r="AH814" s="201"/>
      <c r="AI814" s="201"/>
      <c r="AJ814" s="201"/>
      <c r="AK814" s="122"/>
      <c r="AL814" s="122"/>
    </row>
    <row r="815">
      <c r="A815" s="115"/>
      <c r="B815" s="150"/>
      <c r="C815" s="89"/>
      <c r="D815" s="55"/>
      <c r="E815" s="115"/>
      <c r="F815" s="150"/>
      <c r="G815" s="188"/>
      <c r="H815" s="189"/>
      <c r="I815" s="115"/>
      <c r="J815" s="150"/>
      <c r="K815" s="89"/>
      <c r="L815" s="55"/>
      <c r="M815" s="115"/>
      <c r="N815" s="190"/>
      <c r="O815" s="89"/>
      <c r="P815" s="55"/>
      <c r="Q815" s="191"/>
      <c r="R815" s="192"/>
      <c r="S815" s="121"/>
      <c r="T815" s="122"/>
      <c r="U815" s="191"/>
      <c r="V815" s="192"/>
      <c r="W815" s="121"/>
      <c r="X815" s="122"/>
      <c r="Y815" s="115"/>
      <c r="Z815" s="193"/>
      <c r="AA815" s="194"/>
      <c r="AB815" s="195"/>
      <c r="AC815" s="115"/>
      <c r="AD815" s="192"/>
      <c r="AE815" s="196"/>
      <c r="AF815" s="197"/>
      <c r="AG815" s="201"/>
      <c r="AH815" s="201"/>
      <c r="AI815" s="201"/>
      <c r="AJ815" s="201"/>
      <c r="AK815" s="122"/>
      <c r="AL815" s="122"/>
    </row>
    <row r="816">
      <c r="A816" s="115"/>
      <c r="B816" s="150"/>
      <c r="C816" s="89"/>
      <c r="D816" s="55"/>
      <c r="E816" s="115"/>
      <c r="F816" s="150"/>
      <c r="G816" s="188"/>
      <c r="H816" s="189"/>
      <c r="I816" s="115"/>
      <c r="J816" s="150"/>
      <c r="K816" s="89"/>
      <c r="L816" s="55"/>
      <c r="M816" s="115"/>
      <c r="N816" s="190"/>
      <c r="O816" s="89"/>
      <c r="P816" s="55"/>
      <c r="Q816" s="191"/>
      <c r="R816" s="192"/>
      <c r="S816" s="121"/>
      <c r="T816" s="122"/>
      <c r="U816" s="191"/>
      <c r="V816" s="192"/>
      <c r="W816" s="121"/>
      <c r="X816" s="122"/>
      <c r="Y816" s="115"/>
      <c r="Z816" s="193"/>
      <c r="AA816" s="194"/>
      <c r="AB816" s="195"/>
      <c r="AC816" s="115"/>
      <c r="AD816" s="192"/>
      <c r="AE816" s="196"/>
      <c r="AF816" s="197"/>
      <c r="AG816" s="201"/>
      <c r="AH816" s="201"/>
      <c r="AI816" s="201"/>
      <c r="AJ816" s="201"/>
      <c r="AK816" s="122"/>
      <c r="AL816" s="122"/>
    </row>
    <row r="817">
      <c r="A817" s="115"/>
      <c r="B817" s="150"/>
      <c r="C817" s="89"/>
      <c r="D817" s="55"/>
      <c r="E817" s="115"/>
      <c r="F817" s="150"/>
      <c r="G817" s="188"/>
      <c r="H817" s="189"/>
      <c r="I817" s="115"/>
      <c r="J817" s="150"/>
      <c r="K817" s="89"/>
      <c r="L817" s="55"/>
      <c r="M817" s="115"/>
      <c r="N817" s="190"/>
      <c r="O817" s="89"/>
      <c r="P817" s="55"/>
      <c r="Q817" s="191"/>
      <c r="R817" s="192"/>
      <c r="S817" s="121"/>
      <c r="T817" s="122"/>
      <c r="U817" s="191"/>
      <c r="V817" s="192"/>
      <c r="W817" s="121"/>
      <c r="X817" s="122"/>
      <c r="Y817" s="115"/>
      <c r="Z817" s="193"/>
      <c r="AA817" s="194"/>
      <c r="AB817" s="195"/>
      <c r="AC817" s="115"/>
      <c r="AD817" s="192"/>
      <c r="AE817" s="196"/>
      <c r="AF817" s="197"/>
      <c r="AG817" s="201"/>
      <c r="AH817" s="201"/>
      <c r="AI817" s="201"/>
      <c r="AJ817" s="201"/>
      <c r="AK817" s="122"/>
      <c r="AL817" s="122"/>
    </row>
    <row r="818">
      <c r="A818" s="115"/>
      <c r="B818" s="150"/>
      <c r="C818" s="89"/>
      <c r="D818" s="55"/>
      <c r="E818" s="115"/>
      <c r="F818" s="150"/>
      <c r="G818" s="188"/>
      <c r="H818" s="189"/>
      <c r="I818" s="115"/>
      <c r="J818" s="150"/>
      <c r="K818" s="89"/>
      <c r="L818" s="55"/>
      <c r="M818" s="115"/>
      <c r="N818" s="190"/>
      <c r="O818" s="89"/>
      <c r="P818" s="55"/>
      <c r="Q818" s="191"/>
      <c r="R818" s="192"/>
      <c r="S818" s="121"/>
      <c r="T818" s="122"/>
      <c r="U818" s="191"/>
      <c r="V818" s="192"/>
      <c r="W818" s="121"/>
      <c r="X818" s="122"/>
      <c r="Y818" s="115"/>
      <c r="Z818" s="193"/>
      <c r="AA818" s="194"/>
      <c r="AB818" s="195"/>
      <c r="AC818" s="115"/>
      <c r="AD818" s="192"/>
      <c r="AE818" s="196"/>
      <c r="AF818" s="197"/>
      <c r="AG818" s="201"/>
      <c r="AH818" s="201"/>
      <c r="AI818" s="201"/>
      <c r="AJ818" s="201"/>
      <c r="AK818" s="122"/>
      <c r="AL818" s="122"/>
    </row>
    <row r="819">
      <c r="A819" s="115"/>
      <c r="B819" s="150"/>
      <c r="C819" s="89"/>
      <c r="D819" s="55"/>
      <c r="E819" s="115"/>
      <c r="F819" s="150"/>
      <c r="G819" s="188"/>
      <c r="H819" s="189"/>
      <c r="I819" s="115"/>
      <c r="J819" s="150"/>
      <c r="K819" s="89"/>
      <c r="L819" s="55"/>
      <c r="M819" s="115"/>
      <c r="N819" s="190"/>
      <c r="O819" s="89"/>
      <c r="P819" s="55"/>
      <c r="Q819" s="191"/>
      <c r="R819" s="192"/>
      <c r="S819" s="121"/>
      <c r="T819" s="122"/>
      <c r="U819" s="191"/>
      <c r="V819" s="192"/>
      <c r="W819" s="121"/>
      <c r="X819" s="122"/>
      <c r="Y819" s="115"/>
      <c r="Z819" s="193"/>
      <c r="AA819" s="194"/>
      <c r="AB819" s="195"/>
      <c r="AC819" s="115"/>
      <c r="AD819" s="192"/>
      <c r="AE819" s="196"/>
      <c r="AF819" s="197"/>
      <c r="AG819" s="201"/>
      <c r="AH819" s="201"/>
      <c r="AI819" s="201"/>
      <c r="AJ819" s="201"/>
      <c r="AK819" s="122"/>
      <c r="AL819" s="122"/>
    </row>
    <row r="820">
      <c r="A820" s="115"/>
      <c r="B820" s="150"/>
      <c r="C820" s="89"/>
      <c r="D820" s="55"/>
      <c r="E820" s="115"/>
      <c r="F820" s="150"/>
      <c r="G820" s="188"/>
      <c r="H820" s="189"/>
      <c r="I820" s="115"/>
      <c r="J820" s="150"/>
      <c r="K820" s="89"/>
      <c r="L820" s="55"/>
      <c r="M820" s="115"/>
      <c r="N820" s="190"/>
      <c r="O820" s="89"/>
      <c r="P820" s="55"/>
      <c r="Q820" s="191"/>
      <c r="R820" s="192"/>
      <c r="S820" s="121"/>
      <c r="T820" s="122"/>
      <c r="U820" s="191"/>
      <c r="V820" s="192"/>
      <c r="W820" s="121"/>
      <c r="X820" s="122"/>
      <c r="Y820" s="115"/>
      <c r="Z820" s="193"/>
      <c r="AA820" s="194"/>
      <c r="AB820" s="195"/>
      <c r="AC820" s="115"/>
      <c r="AD820" s="192"/>
      <c r="AE820" s="196"/>
      <c r="AF820" s="197"/>
      <c r="AG820" s="201"/>
      <c r="AH820" s="201"/>
      <c r="AI820" s="201"/>
      <c r="AJ820" s="201"/>
      <c r="AK820" s="122"/>
      <c r="AL820" s="122"/>
    </row>
    <row r="821">
      <c r="A821" s="115"/>
      <c r="B821" s="150"/>
      <c r="C821" s="89"/>
      <c r="D821" s="55"/>
      <c r="E821" s="115"/>
      <c r="F821" s="150"/>
      <c r="G821" s="188"/>
      <c r="H821" s="189"/>
      <c r="I821" s="115"/>
      <c r="J821" s="150"/>
      <c r="K821" s="89"/>
      <c r="L821" s="55"/>
      <c r="M821" s="115"/>
      <c r="N821" s="190"/>
      <c r="O821" s="89"/>
      <c r="P821" s="55"/>
      <c r="Q821" s="191"/>
      <c r="R821" s="192"/>
      <c r="S821" s="121"/>
      <c r="T821" s="122"/>
      <c r="U821" s="191"/>
      <c r="V821" s="192"/>
      <c r="W821" s="121"/>
      <c r="X821" s="122"/>
      <c r="Y821" s="115"/>
      <c r="Z821" s="193"/>
      <c r="AA821" s="194"/>
      <c r="AB821" s="195"/>
      <c r="AC821" s="115"/>
      <c r="AD821" s="192"/>
      <c r="AE821" s="196"/>
      <c r="AF821" s="197"/>
      <c r="AG821" s="201"/>
      <c r="AH821" s="201"/>
      <c r="AI821" s="201"/>
      <c r="AJ821" s="201"/>
      <c r="AK821" s="122"/>
      <c r="AL821" s="122"/>
    </row>
    <row r="822">
      <c r="A822" s="115"/>
      <c r="B822" s="150"/>
      <c r="C822" s="89"/>
      <c r="D822" s="55"/>
      <c r="E822" s="115"/>
      <c r="F822" s="150"/>
      <c r="G822" s="188"/>
      <c r="H822" s="189"/>
      <c r="I822" s="115"/>
      <c r="J822" s="150"/>
      <c r="K822" s="89"/>
      <c r="L822" s="55"/>
      <c r="M822" s="115"/>
      <c r="N822" s="190"/>
      <c r="O822" s="89"/>
      <c r="P822" s="55"/>
      <c r="Q822" s="191"/>
      <c r="R822" s="192"/>
      <c r="S822" s="121"/>
      <c r="T822" s="122"/>
      <c r="U822" s="191"/>
      <c r="V822" s="192"/>
      <c r="W822" s="121"/>
      <c r="X822" s="122"/>
      <c r="Y822" s="115"/>
      <c r="Z822" s="193"/>
      <c r="AA822" s="194"/>
      <c r="AB822" s="195"/>
      <c r="AC822" s="115"/>
      <c r="AD822" s="192"/>
      <c r="AE822" s="196"/>
      <c r="AF822" s="197"/>
      <c r="AG822" s="201"/>
      <c r="AH822" s="201"/>
      <c r="AI822" s="201"/>
      <c r="AJ822" s="201"/>
      <c r="AK822" s="122"/>
      <c r="AL822" s="122"/>
    </row>
    <row r="823">
      <c r="A823" s="115"/>
      <c r="B823" s="150"/>
      <c r="C823" s="89"/>
      <c r="D823" s="55"/>
      <c r="E823" s="115"/>
      <c r="F823" s="150"/>
      <c r="G823" s="188"/>
      <c r="H823" s="189"/>
      <c r="I823" s="115"/>
      <c r="J823" s="150"/>
      <c r="K823" s="89"/>
      <c r="L823" s="55"/>
      <c r="M823" s="115"/>
      <c r="N823" s="190"/>
      <c r="O823" s="89"/>
      <c r="P823" s="55"/>
      <c r="Q823" s="191"/>
      <c r="R823" s="192"/>
      <c r="S823" s="121"/>
      <c r="T823" s="122"/>
      <c r="U823" s="191"/>
      <c r="V823" s="192"/>
      <c r="W823" s="121"/>
      <c r="X823" s="122"/>
      <c r="Y823" s="115"/>
      <c r="Z823" s="193"/>
      <c r="AA823" s="194"/>
      <c r="AB823" s="195"/>
      <c r="AC823" s="115"/>
      <c r="AD823" s="192"/>
      <c r="AE823" s="196"/>
      <c r="AF823" s="197"/>
      <c r="AG823" s="201"/>
      <c r="AH823" s="201"/>
      <c r="AI823" s="201"/>
      <c r="AJ823" s="201"/>
      <c r="AK823" s="122"/>
      <c r="AL823" s="122"/>
    </row>
    <row r="824">
      <c r="A824" s="115"/>
      <c r="B824" s="150"/>
      <c r="C824" s="89"/>
      <c r="D824" s="55"/>
      <c r="E824" s="115"/>
      <c r="F824" s="150"/>
      <c r="G824" s="188"/>
      <c r="H824" s="189"/>
      <c r="I824" s="115"/>
      <c r="J824" s="150"/>
      <c r="K824" s="89"/>
      <c r="L824" s="55"/>
      <c r="M824" s="115"/>
      <c r="N824" s="190"/>
      <c r="O824" s="89"/>
      <c r="P824" s="55"/>
      <c r="Q824" s="191"/>
      <c r="R824" s="192"/>
      <c r="S824" s="121"/>
      <c r="T824" s="122"/>
      <c r="U824" s="191"/>
      <c r="V824" s="192"/>
      <c r="W824" s="121"/>
      <c r="X824" s="122"/>
      <c r="Y824" s="115"/>
      <c r="Z824" s="193"/>
      <c r="AA824" s="194"/>
      <c r="AB824" s="195"/>
      <c r="AC824" s="115"/>
      <c r="AD824" s="192"/>
      <c r="AE824" s="196"/>
      <c r="AF824" s="197"/>
      <c r="AG824" s="201"/>
      <c r="AH824" s="201"/>
      <c r="AI824" s="201"/>
      <c r="AJ824" s="201"/>
      <c r="AK824" s="122"/>
      <c r="AL824" s="122"/>
    </row>
    <row r="825">
      <c r="A825" s="115"/>
      <c r="B825" s="150"/>
      <c r="C825" s="89"/>
      <c r="D825" s="55"/>
      <c r="E825" s="115"/>
      <c r="F825" s="150"/>
      <c r="G825" s="188"/>
      <c r="H825" s="189"/>
      <c r="I825" s="115"/>
      <c r="J825" s="150"/>
      <c r="K825" s="89"/>
      <c r="L825" s="55"/>
      <c r="M825" s="115"/>
      <c r="N825" s="190"/>
      <c r="O825" s="89"/>
      <c r="P825" s="55"/>
      <c r="Q825" s="191"/>
      <c r="R825" s="192"/>
      <c r="S825" s="121"/>
      <c r="T825" s="122"/>
      <c r="U825" s="191"/>
      <c r="V825" s="192"/>
      <c r="W825" s="121"/>
      <c r="X825" s="122"/>
      <c r="Y825" s="115"/>
      <c r="Z825" s="193"/>
      <c r="AA825" s="194"/>
      <c r="AB825" s="195"/>
      <c r="AC825" s="115"/>
      <c r="AD825" s="192"/>
      <c r="AE825" s="196"/>
      <c r="AF825" s="197"/>
      <c r="AG825" s="201"/>
      <c r="AH825" s="201"/>
      <c r="AI825" s="201"/>
      <c r="AJ825" s="201"/>
      <c r="AK825" s="122"/>
      <c r="AL825" s="122"/>
    </row>
    <row r="826">
      <c r="A826" s="115"/>
      <c r="B826" s="150"/>
      <c r="C826" s="89"/>
      <c r="D826" s="55"/>
      <c r="E826" s="115"/>
      <c r="F826" s="150"/>
      <c r="G826" s="188"/>
      <c r="H826" s="189"/>
      <c r="I826" s="115"/>
      <c r="J826" s="150"/>
      <c r="K826" s="89"/>
      <c r="L826" s="55"/>
      <c r="M826" s="115"/>
      <c r="N826" s="190"/>
      <c r="O826" s="89"/>
      <c r="P826" s="55"/>
      <c r="Q826" s="191"/>
      <c r="R826" s="192"/>
      <c r="S826" s="121"/>
      <c r="T826" s="122"/>
      <c r="U826" s="191"/>
      <c r="V826" s="192"/>
      <c r="W826" s="121"/>
      <c r="X826" s="122"/>
      <c r="Y826" s="115"/>
      <c r="Z826" s="193"/>
      <c r="AA826" s="194"/>
      <c r="AB826" s="195"/>
      <c r="AC826" s="115"/>
      <c r="AD826" s="192"/>
      <c r="AE826" s="196"/>
      <c r="AF826" s="197"/>
      <c r="AG826" s="201"/>
      <c r="AH826" s="201"/>
      <c r="AI826" s="201"/>
      <c r="AJ826" s="201"/>
      <c r="AK826" s="122"/>
      <c r="AL826" s="122"/>
    </row>
    <row r="827">
      <c r="A827" s="115"/>
      <c r="B827" s="150"/>
      <c r="C827" s="89"/>
      <c r="D827" s="55"/>
      <c r="E827" s="115"/>
      <c r="F827" s="150"/>
      <c r="G827" s="188"/>
      <c r="H827" s="189"/>
      <c r="I827" s="115"/>
      <c r="J827" s="150"/>
      <c r="K827" s="89"/>
      <c r="L827" s="55"/>
      <c r="M827" s="115"/>
      <c r="N827" s="190"/>
      <c r="O827" s="89"/>
      <c r="P827" s="55"/>
      <c r="Q827" s="191"/>
      <c r="R827" s="192"/>
      <c r="S827" s="121"/>
      <c r="T827" s="122"/>
      <c r="U827" s="191"/>
      <c r="V827" s="192"/>
      <c r="W827" s="121"/>
      <c r="X827" s="122"/>
      <c r="Y827" s="115"/>
      <c r="Z827" s="193"/>
      <c r="AA827" s="194"/>
      <c r="AB827" s="195"/>
      <c r="AC827" s="115"/>
      <c r="AD827" s="192"/>
      <c r="AE827" s="196"/>
      <c r="AF827" s="197"/>
      <c r="AG827" s="201"/>
      <c r="AH827" s="201"/>
      <c r="AI827" s="201"/>
      <c r="AJ827" s="201"/>
      <c r="AK827" s="122"/>
      <c r="AL827" s="122"/>
    </row>
    <row r="828">
      <c r="A828" s="115"/>
      <c r="B828" s="150"/>
      <c r="C828" s="89"/>
      <c r="D828" s="55"/>
      <c r="E828" s="115"/>
      <c r="F828" s="150"/>
      <c r="G828" s="188"/>
      <c r="H828" s="189"/>
      <c r="I828" s="115"/>
      <c r="J828" s="150"/>
      <c r="K828" s="89"/>
      <c r="L828" s="55"/>
      <c r="M828" s="115"/>
      <c r="N828" s="190"/>
      <c r="O828" s="89"/>
      <c r="P828" s="55"/>
      <c r="Q828" s="191"/>
      <c r="R828" s="192"/>
      <c r="S828" s="121"/>
      <c r="T828" s="122"/>
      <c r="U828" s="191"/>
      <c r="V828" s="192"/>
      <c r="W828" s="121"/>
      <c r="X828" s="122"/>
      <c r="Y828" s="115"/>
      <c r="Z828" s="193"/>
      <c r="AA828" s="194"/>
      <c r="AB828" s="195"/>
      <c r="AC828" s="115"/>
      <c r="AD828" s="192"/>
      <c r="AE828" s="196"/>
      <c r="AF828" s="197"/>
      <c r="AG828" s="201"/>
      <c r="AH828" s="201"/>
      <c r="AI828" s="201"/>
      <c r="AJ828" s="201"/>
      <c r="AK828" s="122"/>
      <c r="AL828" s="122"/>
    </row>
    <row r="829">
      <c r="A829" s="115"/>
      <c r="B829" s="150"/>
      <c r="C829" s="89"/>
      <c r="D829" s="55"/>
      <c r="E829" s="115"/>
      <c r="F829" s="150"/>
      <c r="G829" s="188"/>
      <c r="H829" s="189"/>
      <c r="I829" s="115"/>
      <c r="J829" s="150"/>
      <c r="K829" s="89"/>
      <c r="L829" s="55"/>
      <c r="M829" s="115"/>
      <c r="N829" s="190"/>
      <c r="O829" s="89"/>
      <c r="P829" s="55"/>
      <c r="Q829" s="191"/>
      <c r="R829" s="192"/>
      <c r="S829" s="121"/>
      <c r="T829" s="122"/>
      <c r="U829" s="191"/>
      <c r="V829" s="192"/>
      <c r="W829" s="121"/>
      <c r="X829" s="122"/>
      <c r="Y829" s="115"/>
      <c r="Z829" s="193"/>
      <c r="AA829" s="194"/>
      <c r="AB829" s="195"/>
      <c r="AC829" s="115"/>
      <c r="AD829" s="192"/>
      <c r="AE829" s="196"/>
      <c r="AF829" s="197"/>
      <c r="AG829" s="201"/>
      <c r="AH829" s="201"/>
      <c r="AI829" s="201"/>
      <c r="AJ829" s="201"/>
      <c r="AK829" s="122"/>
      <c r="AL829" s="122"/>
    </row>
    <row r="830">
      <c r="A830" s="115"/>
      <c r="B830" s="150"/>
      <c r="C830" s="89"/>
      <c r="D830" s="55"/>
      <c r="E830" s="115"/>
      <c r="F830" s="150"/>
      <c r="G830" s="188"/>
      <c r="H830" s="189"/>
      <c r="I830" s="115"/>
      <c r="J830" s="150"/>
      <c r="K830" s="89"/>
      <c r="L830" s="55"/>
      <c r="M830" s="115"/>
      <c r="N830" s="190"/>
      <c r="O830" s="89"/>
      <c r="P830" s="55"/>
      <c r="Q830" s="191"/>
      <c r="R830" s="192"/>
      <c r="S830" s="121"/>
      <c r="T830" s="122"/>
      <c r="U830" s="191"/>
      <c r="V830" s="192"/>
      <c r="W830" s="121"/>
      <c r="X830" s="122"/>
      <c r="Y830" s="115"/>
      <c r="Z830" s="193"/>
      <c r="AA830" s="194"/>
      <c r="AB830" s="195"/>
      <c r="AC830" s="115"/>
      <c r="AD830" s="192"/>
      <c r="AE830" s="196"/>
      <c r="AF830" s="197"/>
      <c r="AG830" s="201"/>
      <c r="AH830" s="201"/>
      <c r="AI830" s="201"/>
      <c r="AJ830" s="201"/>
      <c r="AK830" s="122"/>
      <c r="AL830" s="122"/>
    </row>
    <row r="831">
      <c r="A831" s="115"/>
      <c r="B831" s="150"/>
      <c r="C831" s="89"/>
      <c r="D831" s="55"/>
      <c r="E831" s="115"/>
      <c r="F831" s="150"/>
      <c r="G831" s="188"/>
      <c r="H831" s="189"/>
      <c r="I831" s="115"/>
      <c r="J831" s="150"/>
      <c r="K831" s="89"/>
      <c r="L831" s="55"/>
      <c r="M831" s="115"/>
      <c r="N831" s="190"/>
      <c r="O831" s="89"/>
      <c r="P831" s="55"/>
      <c r="Q831" s="191"/>
      <c r="R831" s="192"/>
      <c r="S831" s="121"/>
      <c r="T831" s="122"/>
      <c r="U831" s="191"/>
      <c r="V831" s="192"/>
      <c r="W831" s="121"/>
      <c r="X831" s="122"/>
      <c r="Y831" s="115"/>
      <c r="Z831" s="193"/>
      <c r="AA831" s="194"/>
      <c r="AB831" s="195"/>
      <c r="AC831" s="115"/>
      <c r="AD831" s="192"/>
      <c r="AE831" s="196"/>
      <c r="AF831" s="197"/>
      <c r="AG831" s="201"/>
      <c r="AH831" s="201"/>
      <c r="AI831" s="201"/>
      <c r="AJ831" s="201"/>
      <c r="AK831" s="122"/>
      <c r="AL831" s="122"/>
    </row>
    <row r="832">
      <c r="A832" s="115"/>
      <c r="B832" s="150"/>
      <c r="C832" s="89"/>
      <c r="D832" s="55"/>
      <c r="E832" s="115"/>
      <c r="F832" s="150"/>
      <c r="G832" s="188"/>
      <c r="H832" s="189"/>
      <c r="I832" s="115"/>
      <c r="J832" s="150"/>
      <c r="K832" s="89"/>
      <c r="L832" s="55"/>
      <c r="M832" s="115"/>
      <c r="N832" s="190"/>
      <c r="O832" s="89"/>
      <c r="P832" s="55"/>
      <c r="Q832" s="191"/>
      <c r="R832" s="192"/>
      <c r="S832" s="121"/>
      <c r="T832" s="122"/>
      <c r="U832" s="191"/>
      <c r="V832" s="192"/>
      <c r="W832" s="121"/>
      <c r="X832" s="122"/>
      <c r="Y832" s="115"/>
      <c r="Z832" s="193"/>
      <c r="AA832" s="194"/>
      <c r="AB832" s="195"/>
      <c r="AC832" s="115"/>
      <c r="AD832" s="192"/>
      <c r="AE832" s="196"/>
      <c r="AF832" s="197"/>
      <c r="AG832" s="201"/>
      <c r="AH832" s="201"/>
      <c r="AI832" s="201"/>
      <c r="AJ832" s="201"/>
      <c r="AK832" s="122"/>
      <c r="AL832" s="122"/>
    </row>
    <row r="833">
      <c r="A833" s="115"/>
      <c r="B833" s="150"/>
      <c r="C833" s="89"/>
      <c r="D833" s="55"/>
      <c r="E833" s="115"/>
      <c r="F833" s="150"/>
      <c r="G833" s="188"/>
      <c r="H833" s="189"/>
      <c r="I833" s="115"/>
      <c r="J833" s="150"/>
      <c r="K833" s="89"/>
      <c r="L833" s="55"/>
      <c r="M833" s="115"/>
      <c r="N833" s="190"/>
      <c r="O833" s="89"/>
      <c r="P833" s="55"/>
      <c r="Q833" s="191"/>
      <c r="R833" s="192"/>
      <c r="S833" s="121"/>
      <c r="T833" s="122"/>
      <c r="U833" s="191"/>
      <c r="V833" s="192"/>
      <c r="W833" s="121"/>
      <c r="X833" s="122"/>
      <c r="Y833" s="115"/>
      <c r="Z833" s="193"/>
      <c r="AA833" s="194"/>
      <c r="AB833" s="195"/>
      <c r="AC833" s="115"/>
      <c r="AD833" s="192"/>
      <c r="AE833" s="196"/>
      <c r="AF833" s="197"/>
      <c r="AG833" s="201"/>
      <c r="AH833" s="201"/>
      <c r="AI833" s="201"/>
      <c r="AJ833" s="201"/>
      <c r="AK833" s="122"/>
      <c r="AL833" s="122"/>
    </row>
    <row r="834">
      <c r="A834" s="115"/>
      <c r="B834" s="150"/>
      <c r="C834" s="89"/>
      <c r="D834" s="55"/>
      <c r="E834" s="115"/>
      <c r="F834" s="150"/>
      <c r="G834" s="188"/>
      <c r="H834" s="189"/>
      <c r="I834" s="115"/>
      <c r="J834" s="150"/>
      <c r="K834" s="89"/>
      <c r="L834" s="55"/>
      <c r="M834" s="115"/>
      <c r="N834" s="190"/>
      <c r="O834" s="89"/>
      <c r="P834" s="55"/>
      <c r="Q834" s="191"/>
      <c r="R834" s="192"/>
      <c r="S834" s="121"/>
      <c r="T834" s="122"/>
      <c r="U834" s="191"/>
      <c r="V834" s="192"/>
      <c r="W834" s="121"/>
      <c r="X834" s="122"/>
      <c r="Y834" s="115"/>
      <c r="Z834" s="193"/>
      <c r="AA834" s="194"/>
      <c r="AB834" s="195"/>
      <c r="AC834" s="115"/>
      <c r="AD834" s="192"/>
      <c r="AE834" s="196"/>
      <c r="AF834" s="197"/>
      <c r="AG834" s="201"/>
      <c r="AH834" s="201"/>
      <c r="AI834" s="201"/>
      <c r="AJ834" s="201"/>
      <c r="AK834" s="122"/>
      <c r="AL834" s="122"/>
    </row>
    <row r="835">
      <c r="A835" s="115"/>
      <c r="B835" s="150"/>
      <c r="C835" s="89"/>
      <c r="D835" s="55"/>
      <c r="E835" s="115"/>
      <c r="F835" s="150"/>
      <c r="G835" s="188"/>
      <c r="H835" s="189"/>
      <c r="I835" s="115"/>
      <c r="J835" s="150"/>
      <c r="K835" s="89"/>
      <c r="L835" s="55"/>
      <c r="M835" s="115"/>
      <c r="N835" s="190"/>
      <c r="O835" s="89"/>
      <c r="P835" s="55"/>
      <c r="Q835" s="191"/>
      <c r="R835" s="192"/>
      <c r="S835" s="121"/>
      <c r="T835" s="122"/>
      <c r="U835" s="191"/>
      <c r="V835" s="192"/>
      <c r="W835" s="121"/>
      <c r="X835" s="122"/>
      <c r="Y835" s="115"/>
      <c r="Z835" s="193"/>
      <c r="AA835" s="194"/>
      <c r="AB835" s="195"/>
      <c r="AC835" s="115"/>
      <c r="AD835" s="192"/>
      <c r="AE835" s="196"/>
      <c r="AF835" s="197"/>
      <c r="AG835" s="201"/>
      <c r="AH835" s="201"/>
      <c r="AI835" s="201"/>
      <c r="AJ835" s="201"/>
      <c r="AK835" s="122"/>
      <c r="AL835" s="122"/>
    </row>
    <row r="836">
      <c r="A836" s="115"/>
      <c r="B836" s="150"/>
      <c r="C836" s="89"/>
      <c r="D836" s="55"/>
      <c r="E836" s="115"/>
      <c r="F836" s="150"/>
      <c r="G836" s="188"/>
      <c r="H836" s="189"/>
      <c r="I836" s="115"/>
      <c r="J836" s="150"/>
      <c r="K836" s="89"/>
      <c r="L836" s="55"/>
      <c r="M836" s="115"/>
      <c r="N836" s="190"/>
      <c r="O836" s="89"/>
      <c r="P836" s="55"/>
      <c r="Q836" s="191"/>
      <c r="R836" s="192"/>
      <c r="S836" s="121"/>
      <c r="T836" s="122"/>
      <c r="U836" s="191"/>
      <c r="V836" s="192"/>
      <c r="W836" s="121"/>
      <c r="X836" s="122"/>
      <c r="Y836" s="115"/>
      <c r="Z836" s="193"/>
      <c r="AA836" s="194"/>
      <c r="AB836" s="195"/>
      <c r="AC836" s="115"/>
      <c r="AD836" s="192"/>
      <c r="AE836" s="196"/>
      <c r="AF836" s="197"/>
      <c r="AG836" s="201"/>
      <c r="AH836" s="201"/>
      <c r="AI836" s="201"/>
      <c r="AJ836" s="201"/>
      <c r="AK836" s="122"/>
      <c r="AL836" s="122"/>
    </row>
    <row r="837">
      <c r="A837" s="115"/>
      <c r="B837" s="150"/>
      <c r="C837" s="89"/>
      <c r="D837" s="55"/>
      <c r="E837" s="115"/>
      <c r="F837" s="150"/>
      <c r="G837" s="188"/>
      <c r="H837" s="189"/>
      <c r="I837" s="115"/>
      <c r="J837" s="150"/>
      <c r="K837" s="89"/>
      <c r="L837" s="55"/>
      <c r="M837" s="115"/>
      <c r="N837" s="190"/>
      <c r="O837" s="89"/>
      <c r="P837" s="55"/>
      <c r="Q837" s="191"/>
      <c r="R837" s="192"/>
      <c r="S837" s="121"/>
      <c r="T837" s="122"/>
      <c r="U837" s="191"/>
      <c r="V837" s="192"/>
      <c r="W837" s="121"/>
      <c r="X837" s="122"/>
      <c r="Y837" s="115"/>
      <c r="Z837" s="193"/>
      <c r="AA837" s="194"/>
      <c r="AB837" s="195"/>
      <c r="AC837" s="115"/>
      <c r="AD837" s="192"/>
      <c r="AE837" s="196"/>
      <c r="AF837" s="197"/>
      <c r="AG837" s="201"/>
      <c r="AH837" s="201"/>
      <c r="AI837" s="201"/>
      <c r="AJ837" s="201"/>
      <c r="AK837" s="122"/>
      <c r="AL837" s="122"/>
    </row>
    <row r="838">
      <c r="A838" s="115"/>
      <c r="B838" s="150"/>
      <c r="C838" s="89"/>
      <c r="D838" s="55"/>
      <c r="E838" s="115"/>
      <c r="F838" s="150"/>
      <c r="G838" s="188"/>
      <c r="H838" s="189"/>
      <c r="I838" s="115"/>
      <c r="J838" s="150"/>
      <c r="K838" s="89"/>
      <c r="L838" s="55"/>
      <c r="M838" s="115"/>
      <c r="N838" s="190"/>
      <c r="O838" s="89"/>
      <c r="P838" s="55"/>
      <c r="Q838" s="191"/>
      <c r="R838" s="192"/>
      <c r="S838" s="121"/>
      <c r="T838" s="122"/>
      <c r="U838" s="191"/>
      <c r="V838" s="192"/>
      <c r="W838" s="121"/>
      <c r="X838" s="122"/>
      <c r="Y838" s="115"/>
      <c r="Z838" s="193"/>
      <c r="AA838" s="194"/>
      <c r="AB838" s="195"/>
      <c r="AC838" s="115"/>
      <c r="AD838" s="192"/>
      <c r="AE838" s="196"/>
      <c r="AF838" s="197"/>
      <c r="AG838" s="201"/>
      <c r="AH838" s="201"/>
      <c r="AI838" s="201"/>
      <c r="AJ838" s="201"/>
      <c r="AK838" s="122"/>
      <c r="AL838" s="122"/>
    </row>
    <row r="839">
      <c r="A839" s="115"/>
      <c r="B839" s="150"/>
      <c r="C839" s="89"/>
      <c r="D839" s="55"/>
      <c r="E839" s="115"/>
      <c r="F839" s="150"/>
      <c r="G839" s="188"/>
      <c r="H839" s="189"/>
      <c r="I839" s="115"/>
      <c r="J839" s="150"/>
      <c r="K839" s="89"/>
      <c r="L839" s="55"/>
      <c r="M839" s="115"/>
      <c r="N839" s="190"/>
      <c r="O839" s="89"/>
      <c r="P839" s="55"/>
      <c r="Q839" s="191"/>
      <c r="R839" s="192"/>
      <c r="S839" s="121"/>
      <c r="T839" s="122"/>
      <c r="U839" s="191"/>
      <c r="V839" s="192"/>
      <c r="W839" s="121"/>
      <c r="X839" s="122"/>
      <c r="Y839" s="115"/>
      <c r="Z839" s="193"/>
      <c r="AA839" s="194"/>
      <c r="AB839" s="195"/>
      <c r="AC839" s="115"/>
      <c r="AD839" s="192"/>
      <c r="AE839" s="196"/>
      <c r="AF839" s="197"/>
      <c r="AG839" s="201"/>
      <c r="AH839" s="201"/>
      <c r="AI839" s="201"/>
      <c r="AJ839" s="201"/>
      <c r="AK839" s="122"/>
      <c r="AL839" s="122"/>
    </row>
    <row r="840">
      <c r="A840" s="115"/>
      <c r="B840" s="150"/>
      <c r="C840" s="89"/>
      <c r="D840" s="55"/>
      <c r="E840" s="115"/>
      <c r="F840" s="150"/>
      <c r="G840" s="188"/>
      <c r="H840" s="189"/>
      <c r="I840" s="115"/>
      <c r="J840" s="150"/>
      <c r="K840" s="89"/>
      <c r="L840" s="55"/>
      <c r="M840" s="115"/>
      <c r="N840" s="190"/>
      <c r="O840" s="89"/>
      <c r="P840" s="55"/>
      <c r="Q840" s="191"/>
      <c r="R840" s="192"/>
      <c r="S840" s="121"/>
      <c r="T840" s="122"/>
      <c r="U840" s="191"/>
      <c r="V840" s="192"/>
      <c r="W840" s="121"/>
      <c r="X840" s="122"/>
      <c r="Y840" s="115"/>
      <c r="Z840" s="193"/>
      <c r="AA840" s="194"/>
      <c r="AB840" s="195"/>
      <c r="AC840" s="115"/>
      <c r="AD840" s="192"/>
      <c r="AE840" s="196"/>
      <c r="AF840" s="197"/>
      <c r="AG840" s="201"/>
      <c r="AH840" s="201"/>
      <c r="AI840" s="201"/>
      <c r="AJ840" s="201"/>
      <c r="AK840" s="122"/>
      <c r="AL840" s="122"/>
    </row>
    <row r="841">
      <c r="A841" s="115"/>
      <c r="B841" s="150"/>
      <c r="C841" s="89"/>
      <c r="D841" s="55"/>
      <c r="E841" s="115"/>
      <c r="F841" s="150"/>
      <c r="G841" s="188"/>
      <c r="H841" s="189"/>
      <c r="I841" s="115"/>
      <c r="J841" s="150"/>
      <c r="K841" s="89"/>
      <c r="L841" s="55"/>
      <c r="M841" s="115"/>
      <c r="N841" s="190"/>
      <c r="O841" s="89"/>
      <c r="P841" s="55"/>
      <c r="Q841" s="191"/>
      <c r="R841" s="192"/>
      <c r="S841" s="121"/>
      <c r="T841" s="122"/>
      <c r="U841" s="191"/>
      <c r="V841" s="192"/>
      <c r="W841" s="121"/>
      <c r="X841" s="122"/>
      <c r="Y841" s="115"/>
      <c r="Z841" s="193"/>
      <c r="AA841" s="194"/>
      <c r="AB841" s="195"/>
      <c r="AC841" s="115"/>
      <c r="AD841" s="192"/>
      <c r="AE841" s="196"/>
      <c r="AF841" s="197"/>
      <c r="AG841" s="201"/>
      <c r="AH841" s="201"/>
      <c r="AI841" s="201"/>
      <c r="AJ841" s="201"/>
      <c r="AK841" s="122"/>
      <c r="AL841" s="122"/>
    </row>
    <row r="842">
      <c r="A842" s="115"/>
      <c r="B842" s="150"/>
      <c r="C842" s="89"/>
      <c r="D842" s="55"/>
      <c r="E842" s="115"/>
      <c r="F842" s="150"/>
      <c r="G842" s="188"/>
      <c r="H842" s="189"/>
      <c r="I842" s="115"/>
      <c r="J842" s="150"/>
      <c r="K842" s="89"/>
      <c r="L842" s="55"/>
      <c r="M842" s="115"/>
      <c r="N842" s="190"/>
      <c r="O842" s="89"/>
      <c r="P842" s="55"/>
      <c r="Q842" s="191"/>
      <c r="R842" s="192"/>
      <c r="S842" s="121"/>
      <c r="T842" s="122"/>
      <c r="U842" s="191"/>
      <c r="V842" s="192"/>
      <c r="W842" s="121"/>
      <c r="X842" s="122"/>
      <c r="Y842" s="115"/>
      <c r="Z842" s="193"/>
      <c r="AA842" s="194"/>
      <c r="AB842" s="195"/>
      <c r="AC842" s="115"/>
      <c r="AD842" s="192"/>
      <c r="AE842" s="196"/>
      <c r="AF842" s="197"/>
      <c r="AG842" s="201"/>
      <c r="AH842" s="201"/>
      <c r="AI842" s="201"/>
      <c r="AJ842" s="201"/>
      <c r="AK842" s="122"/>
      <c r="AL842" s="122"/>
    </row>
    <row r="843">
      <c r="A843" s="115"/>
      <c r="B843" s="150"/>
      <c r="C843" s="89"/>
      <c r="D843" s="55"/>
      <c r="E843" s="115"/>
      <c r="F843" s="150"/>
      <c r="G843" s="188"/>
      <c r="H843" s="189"/>
      <c r="I843" s="115"/>
      <c r="J843" s="150"/>
      <c r="K843" s="89"/>
      <c r="L843" s="55"/>
      <c r="M843" s="115"/>
      <c r="N843" s="190"/>
      <c r="O843" s="89"/>
      <c r="P843" s="55"/>
      <c r="Q843" s="191"/>
      <c r="R843" s="192"/>
      <c r="S843" s="121"/>
      <c r="T843" s="122"/>
      <c r="U843" s="191"/>
      <c r="V843" s="192"/>
      <c r="W843" s="121"/>
      <c r="X843" s="122"/>
      <c r="Y843" s="115"/>
      <c r="Z843" s="193"/>
      <c r="AA843" s="194"/>
      <c r="AB843" s="195"/>
      <c r="AC843" s="115"/>
      <c r="AD843" s="192"/>
      <c r="AE843" s="196"/>
      <c r="AF843" s="197"/>
      <c r="AG843" s="201"/>
      <c r="AH843" s="201"/>
      <c r="AI843" s="201"/>
      <c r="AJ843" s="201"/>
      <c r="AK843" s="122"/>
      <c r="AL843" s="122"/>
    </row>
    <row r="844">
      <c r="A844" s="115"/>
      <c r="B844" s="150"/>
      <c r="C844" s="89"/>
      <c r="D844" s="55"/>
      <c r="E844" s="115"/>
      <c r="F844" s="150"/>
      <c r="G844" s="188"/>
      <c r="H844" s="189"/>
      <c r="I844" s="115"/>
      <c r="J844" s="150"/>
      <c r="K844" s="89"/>
      <c r="L844" s="55"/>
      <c r="M844" s="115"/>
      <c r="N844" s="190"/>
      <c r="O844" s="89"/>
      <c r="P844" s="55"/>
      <c r="Q844" s="191"/>
      <c r="R844" s="192"/>
      <c r="S844" s="121"/>
      <c r="T844" s="122"/>
      <c r="U844" s="191"/>
      <c r="V844" s="192"/>
      <c r="W844" s="121"/>
      <c r="X844" s="122"/>
      <c r="Y844" s="115"/>
      <c r="Z844" s="193"/>
      <c r="AA844" s="194"/>
      <c r="AB844" s="195"/>
      <c r="AC844" s="115"/>
      <c r="AD844" s="192"/>
      <c r="AE844" s="196"/>
      <c r="AF844" s="197"/>
      <c r="AG844" s="201"/>
      <c r="AH844" s="201"/>
      <c r="AI844" s="201"/>
      <c r="AJ844" s="201"/>
      <c r="AK844" s="122"/>
      <c r="AL844" s="122"/>
    </row>
    <row r="845">
      <c r="A845" s="115"/>
      <c r="B845" s="150"/>
      <c r="C845" s="89"/>
      <c r="D845" s="55"/>
      <c r="E845" s="115"/>
      <c r="F845" s="150"/>
      <c r="G845" s="188"/>
      <c r="H845" s="189"/>
      <c r="I845" s="115"/>
      <c r="J845" s="150"/>
      <c r="K845" s="89"/>
      <c r="L845" s="55"/>
      <c r="M845" s="115"/>
      <c r="N845" s="190"/>
      <c r="O845" s="89"/>
      <c r="P845" s="55"/>
      <c r="Q845" s="191"/>
      <c r="R845" s="192"/>
      <c r="S845" s="121"/>
      <c r="T845" s="122"/>
      <c r="U845" s="191"/>
      <c r="V845" s="192"/>
      <c r="W845" s="121"/>
      <c r="X845" s="122"/>
      <c r="Y845" s="115"/>
      <c r="Z845" s="193"/>
      <c r="AA845" s="194"/>
      <c r="AB845" s="195"/>
      <c r="AC845" s="115"/>
      <c r="AD845" s="192"/>
      <c r="AE845" s="196"/>
      <c r="AF845" s="197"/>
      <c r="AG845" s="201"/>
      <c r="AH845" s="201"/>
      <c r="AI845" s="201"/>
      <c r="AJ845" s="201"/>
      <c r="AK845" s="122"/>
      <c r="AL845" s="122"/>
    </row>
    <row r="846">
      <c r="A846" s="115"/>
      <c r="B846" s="150"/>
      <c r="C846" s="89"/>
      <c r="D846" s="55"/>
      <c r="E846" s="115"/>
      <c r="F846" s="150"/>
      <c r="G846" s="188"/>
      <c r="H846" s="189"/>
      <c r="I846" s="115"/>
      <c r="J846" s="150"/>
      <c r="K846" s="89"/>
      <c r="L846" s="55"/>
      <c r="M846" s="115"/>
      <c r="N846" s="190"/>
      <c r="O846" s="89"/>
      <c r="P846" s="55"/>
      <c r="Q846" s="191"/>
      <c r="R846" s="192"/>
      <c r="S846" s="121"/>
      <c r="T846" s="122"/>
      <c r="U846" s="191"/>
      <c r="V846" s="192"/>
      <c r="W846" s="121"/>
      <c r="X846" s="122"/>
      <c r="Y846" s="115"/>
      <c r="Z846" s="193"/>
      <c r="AA846" s="194"/>
      <c r="AB846" s="195"/>
      <c r="AC846" s="115"/>
      <c r="AD846" s="192"/>
      <c r="AE846" s="196"/>
      <c r="AF846" s="197"/>
      <c r="AG846" s="201"/>
      <c r="AH846" s="201"/>
      <c r="AI846" s="201"/>
      <c r="AJ846" s="201"/>
      <c r="AK846" s="122"/>
      <c r="AL846" s="122"/>
    </row>
    <row r="847">
      <c r="A847" s="115"/>
      <c r="B847" s="150"/>
      <c r="C847" s="89"/>
      <c r="D847" s="55"/>
      <c r="E847" s="115"/>
      <c r="F847" s="150"/>
      <c r="G847" s="188"/>
      <c r="H847" s="189"/>
      <c r="I847" s="115"/>
      <c r="J847" s="150"/>
      <c r="K847" s="89"/>
      <c r="L847" s="55"/>
      <c r="M847" s="115"/>
      <c r="N847" s="190"/>
      <c r="O847" s="89"/>
      <c r="P847" s="55"/>
      <c r="Q847" s="191"/>
      <c r="R847" s="192"/>
      <c r="S847" s="121"/>
      <c r="T847" s="122"/>
      <c r="U847" s="191"/>
      <c r="V847" s="192"/>
      <c r="W847" s="121"/>
      <c r="X847" s="122"/>
      <c r="Y847" s="115"/>
      <c r="Z847" s="193"/>
      <c r="AA847" s="194"/>
      <c r="AB847" s="195"/>
      <c r="AC847" s="115"/>
      <c r="AD847" s="192"/>
      <c r="AE847" s="196"/>
      <c r="AF847" s="197"/>
      <c r="AG847" s="201"/>
      <c r="AH847" s="201"/>
      <c r="AI847" s="201"/>
      <c r="AJ847" s="201"/>
      <c r="AK847" s="122"/>
      <c r="AL847" s="122"/>
    </row>
    <row r="848">
      <c r="A848" s="115"/>
      <c r="B848" s="150"/>
      <c r="C848" s="89"/>
      <c r="D848" s="55"/>
      <c r="E848" s="115"/>
      <c r="F848" s="150"/>
      <c r="G848" s="188"/>
      <c r="H848" s="189"/>
      <c r="I848" s="115"/>
      <c r="J848" s="150"/>
      <c r="K848" s="89"/>
      <c r="L848" s="55"/>
      <c r="M848" s="115"/>
      <c r="N848" s="190"/>
      <c r="O848" s="89"/>
      <c r="P848" s="55"/>
      <c r="Q848" s="191"/>
      <c r="R848" s="192"/>
      <c r="S848" s="121"/>
      <c r="T848" s="122"/>
      <c r="U848" s="191"/>
      <c r="V848" s="192"/>
      <c r="W848" s="121"/>
      <c r="X848" s="122"/>
      <c r="Y848" s="115"/>
      <c r="Z848" s="193"/>
      <c r="AA848" s="194"/>
      <c r="AB848" s="195"/>
      <c r="AC848" s="115"/>
      <c r="AD848" s="192"/>
      <c r="AE848" s="196"/>
      <c r="AF848" s="197"/>
      <c r="AG848" s="201"/>
      <c r="AH848" s="201"/>
      <c r="AI848" s="201"/>
      <c r="AJ848" s="201"/>
      <c r="AK848" s="122"/>
      <c r="AL848" s="122"/>
    </row>
    <row r="849">
      <c r="A849" s="115"/>
      <c r="B849" s="150"/>
      <c r="C849" s="89"/>
      <c r="D849" s="55"/>
      <c r="E849" s="115"/>
      <c r="F849" s="150"/>
      <c r="G849" s="188"/>
      <c r="H849" s="189"/>
      <c r="I849" s="115"/>
      <c r="J849" s="150"/>
      <c r="K849" s="89"/>
      <c r="L849" s="55"/>
      <c r="M849" s="115"/>
      <c r="N849" s="190"/>
      <c r="O849" s="89"/>
      <c r="P849" s="55"/>
      <c r="Q849" s="191"/>
      <c r="R849" s="192"/>
      <c r="S849" s="121"/>
      <c r="T849" s="122"/>
      <c r="U849" s="191"/>
      <c r="V849" s="192"/>
      <c r="W849" s="121"/>
      <c r="X849" s="122"/>
      <c r="Y849" s="115"/>
      <c r="Z849" s="193"/>
      <c r="AA849" s="194"/>
      <c r="AB849" s="195"/>
      <c r="AC849" s="115"/>
      <c r="AD849" s="192"/>
      <c r="AE849" s="196"/>
      <c r="AF849" s="197"/>
      <c r="AG849" s="201"/>
      <c r="AH849" s="201"/>
      <c r="AI849" s="201"/>
      <c r="AJ849" s="201"/>
      <c r="AK849" s="122"/>
      <c r="AL849" s="122"/>
    </row>
    <row r="850">
      <c r="A850" s="115"/>
      <c r="B850" s="150"/>
      <c r="C850" s="89"/>
      <c r="D850" s="55"/>
      <c r="E850" s="115"/>
      <c r="F850" s="150"/>
      <c r="G850" s="188"/>
      <c r="H850" s="189"/>
      <c r="I850" s="115"/>
      <c r="J850" s="150"/>
      <c r="K850" s="89"/>
      <c r="L850" s="55"/>
      <c r="M850" s="115"/>
      <c r="N850" s="190"/>
      <c r="O850" s="89"/>
      <c r="P850" s="55"/>
      <c r="Q850" s="191"/>
      <c r="R850" s="192"/>
      <c r="S850" s="121"/>
      <c r="T850" s="122"/>
      <c r="U850" s="191"/>
      <c r="V850" s="192"/>
      <c r="W850" s="121"/>
      <c r="X850" s="122"/>
      <c r="Y850" s="115"/>
      <c r="Z850" s="193"/>
      <c r="AA850" s="194"/>
      <c r="AB850" s="195"/>
      <c r="AC850" s="115"/>
      <c r="AD850" s="192"/>
      <c r="AE850" s="196"/>
      <c r="AF850" s="197"/>
      <c r="AG850" s="201"/>
      <c r="AH850" s="201"/>
      <c r="AI850" s="201"/>
      <c r="AJ850" s="201"/>
      <c r="AK850" s="122"/>
      <c r="AL850" s="122"/>
    </row>
    <row r="851">
      <c r="A851" s="115"/>
      <c r="B851" s="150"/>
      <c r="C851" s="89"/>
      <c r="D851" s="55"/>
      <c r="E851" s="115"/>
      <c r="F851" s="150"/>
      <c r="G851" s="188"/>
      <c r="H851" s="189"/>
      <c r="I851" s="115"/>
      <c r="J851" s="150"/>
      <c r="K851" s="89"/>
      <c r="L851" s="55"/>
      <c r="M851" s="115"/>
      <c r="N851" s="190"/>
      <c r="O851" s="89"/>
      <c r="P851" s="55"/>
      <c r="Q851" s="191"/>
      <c r="R851" s="192"/>
      <c r="S851" s="121"/>
      <c r="T851" s="122"/>
      <c r="U851" s="191"/>
      <c r="V851" s="192"/>
      <c r="W851" s="121"/>
      <c r="X851" s="122"/>
      <c r="Y851" s="115"/>
      <c r="Z851" s="193"/>
      <c r="AA851" s="194"/>
      <c r="AB851" s="195"/>
      <c r="AC851" s="115"/>
      <c r="AD851" s="192"/>
      <c r="AE851" s="196"/>
      <c r="AF851" s="197"/>
      <c r="AG851" s="201"/>
      <c r="AH851" s="201"/>
      <c r="AI851" s="201"/>
      <c r="AJ851" s="201"/>
      <c r="AK851" s="122"/>
      <c r="AL851" s="122"/>
    </row>
    <row r="852">
      <c r="A852" s="115"/>
      <c r="B852" s="150"/>
      <c r="C852" s="89"/>
      <c r="D852" s="55"/>
      <c r="E852" s="115"/>
      <c r="F852" s="150"/>
      <c r="G852" s="188"/>
      <c r="H852" s="189"/>
      <c r="I852" s="115"/>
      <c r="J852" s="150"/>
      <c r="K852" s="89"/>
      <c r="L852" s="55"/>
      <c r="M852" s="115"/>
      <c r="N852" s="190"/>
      <c r="O852" s="89"/>
      <c r="P852" s="55"/>
      <c r="Q852" s="191"/>
      <c r="R852" s="192"/>
      <c r="S852" s="121"/>
      <c r="T852" s="122"/>
      <c r="U852" s="191"/>
      <c r="V852" s="192"/>
      <c r="W852" s="121"/>
      <c r="X852" s="122"/>
      <c r="Y852" s="115"/>
      <c r="Z852" s="193"/>
      <c r="AA852" s="194"/>
      <c r="AB852" s="195"/>
      <c r="AC852" s="115"/>
      <c r="AD852" s="192"/>
      <c r="AE852" s="196"/>
      <c r="AF852" s="197"/>
      <c r="AG852" s="201"/>
      <c r="AH852" s="201"/>
      <c r="AI852" s="201"/>
      <c r="AJ852" s="201"/>
      <c r="AK852" s="122"/>
      <c r="AL852" s="122"/>
    </row>
    <row r="853">
      <c r="A853" s="115"/>
      <c r="B853" s="150"/>
      <c r="C853" s="89"/>
      <c r="D853" s="55"/>
      <c r="E853" s="115"/>
      <c r="F853" s="150"/>
      <c r="G853" s="188"/>
      <c r="H853" s="189"/>
      <c r="I853" s="115"/>
      <c r="J853" s="150"/>
      <c r="K853" s="89"/>
      <c r="L853" s="55"/>
      <c r="M853" s="115"/>
      <c r="N853" s="190"/>
      <c r="O853" s="89"/>
      <c r="P853" s="55"/>
      <c r="Q853" s="191"/>
      <c r="R853" s="192"/>
      <c r="S853" s="121"/>
      <c r="T853" s="122"/>
      <c r="U853" s="191"/>
      <c r="V853" s="192"/>
      <c r="W853" s="121"/>
      <c r="X853" s="122"/>
      <c r="Y853" s="115"/>
      <c r="Z853" s="193"/>
      <c r="AA853" s="194"/>
      <c r="AB853" s="195"/>
      <c r="AC853" s="115"/>
      <c r="AD853" s="192"/>
      <c r="AE853" s="196"/>
      <c r="AF853" s="197"/>
      <c r="AG853" s="201"/>
      <c r="AH853" s="201"/>
      <c r="AI853" s="201"/>
      <c r="AJ853" s="201"/>
      <c r="AK853" s="122"/>
      <c r="AL853" s="122"/>
    </row>
    <row r="854">
      <c r="A854" s="115"/>
      <c r="B854" s="150"/>
      <c r="C854" s="89"/>
      <c r="D854" s="55"/>
      <c r="E854" s="115"/>
      <c r="F854" s="150"/>
      <c r="G854" s="188"/>
      <c r="H854" s="189"/>
      <c r="I854" s="115"/>
      <c r="J854" s="150"/>
      <c r="K854" s="89"/>
      <c r="L854" s="55"/>
      <c r="M854" s="115"/>
      <c r="N854" s="190"/>
      <c r="O854" s="89"/>
      <c r="P854" s="55"/>
      <c r="Q854" s="191"/>
      <c r="R854" s="192"/>
      <c r="S854" s="121"/>
      <c r="T854" s="122"/>
      <c r="U854" s="191"/>
      <c r="V854" s="192"/>
      <c r="W854" s="121"/>
      <c r="X854" s="122"/>
      <c r="Y854" s="115"/>
      <c r="Z854" s="193"/>
      <c r="AA854" s="194"/>
      <c r="AB854" s="195"/>
      <c r="AC854" s="115"/>
      <c r="AD854" s="192"/>
      <c r="AE854" s="196"/>
      <c r="AF854" s="197"/>
      <c r="AG854" s="201"/>
      <c r="AH854" s="201"/>
      <c r="AI854" s="201"/>
      <c r="AJ854" s="201"/>
      <c r="AK854" s="122"/>
      <c r="AL854" s="122"/>
    </row>
    <row r="855">
      <c r="A855" s="115"/>
      <c r="B855" s="150"/>
      <c r="C855" s="89"/>
      <c r="D855" s="55"/>
      <c r="E855" s="115"/>
      <c r="F855" s="150"/>
      <c r="G855" s="188"/>
      <c r="H855" s="189"/>
      <c r="I855" s="115"/>
      <c r="J855" s="150"/>
      <c r="K855" s="89"/>
      <c r="L855" s="55"/>
      <c r="M855" s="115"/>
      <c r="N855" s="190"/>
      <c r="O855" s="89"/>
      <c r="P855" s="55"/>
      <c r="Q855" s="191"/>
      <c r="R855" s="192"/>
      <c r="S855" s="121"/>
      <c r="T855" s="122"/>
      <c r="U855" s="191"/>
      <c r="V855" s="192"/>
      <c r="W855" s="121"/>
      <c r="X855" s="122"/>
      <c r="Y855" s="115"/>
      <c r="Z855" s="193"/>
      <c r="AA855" s="194"/>
      <c r="AB855" s="195"/>
      <c r="AC855" s="115"/>
      <c r="AD855" s="192"/>
      <c r="AE855" s="196"/>
      <c r="AF855" s="197"/>
      <c r="AG855" s="201"/>
      <c r="AH855" s="201"/>
      <c r="AI855" s="201"/>
      <c r="AJ855" s="201"/>
      <c r="AK855" s="122"/>
      <c r="AL855" s="122"/>
    </row>
    <row r="856">
      <c r="A856" s="115"/>
      <c r="B856" s="150"/>
      <c r="C856" s="89"/>
      <c r="D856" s="55"/>
      <c r="E856" s="115"/>
      <c r="F856" s="150"/>
      <c r="G856" s="188"/>
      <c r="H856" s="189"/>
      <c r="I856" s="115"/>
      <c r="J856" s="150"/>
      <c r="K856" s="89"/>
      <c r="L856" s="55"/>
      <c r="M856" s="115"/>
      <c r="N856" s="190"/>
      <c r="O856" s="89"/>
      <c r="P856" s="55"/>
      <c r="Q856" s="191"/>
      <c r="R856" s="192"/>
      <c r="S856" s="121"/>
      <c r="T856" s="122"/>
      <c r="U856" s="191"/>
      <c r="V856" s="192"/>
      <c r="W856" s="121"/>
      <c r="X856" s="122"/>
      <c r="Y856" s="115"/>
      <c r="Z856" s="193"/>
      <c r="AA856" s="194"/>
      <c r="AB856" s="195"/>
      <c r="AC856" s="115"/>
      <c r="AD856" s="192"/>
      <c r="AE856" s="196"/>
      <c r="AF856" s="197"/>
      <c r="AG856" s="201"/>
      <c r="AH856" s="201"/>
      <c r="AI856" s="201"/>
      <c r="AJ856" s="201"/>
      <c r="AK856" s="122"/>
      <c r="AL856" s="122"/>
    </row>
    <row r="857">
      <c r="A857" s="115"/>
      <c r="B857" s="150"/>
      <c r="C857" s="89"/>
      <c r="D857" s="55"/>
      <c r="E857" s="115"/>
      <c r="F857" s="150"/>
      <c r="G857" s="188"/>
      <c r="H857" s="189"/>
      <c r="I857" s="115"/>
      <c r="J857" s="150"/>
      <c r="K857" s="89"/>
      <c r="L857" s="55"/>
      <c r="M857" s="115"/>
      <c r="N857" s="190"/>
      <c r="O857" s="89"/>
      <c r="P857" s="55"/>
      <c r="Q857" s="191"/>
      <c r="R857" s="192"/>
      <c r="S857" s="121"/>
      <c r="T857" s="122"/>
      <c r="U857" s="191"/>
      <c r="V857" s="192"/>
      <c r="W857" s="121"/>
      <c r="X857" s="122"/>
      <c r="Y857" s="115"/>
      <c r="Z857" s="193"/>
      <c r="AA857" s="194"/>
      <c r="AB857" s="195"/>
      <c r="AC857" s="115"/>
      <c r="AD857" s="192"/>
      <c r="AE857" s="196"/>
      <c r="AF857" s="197"/>
      <c r="AG857" s="201"/>
      <c r="AH857" s="201"/>
      <c r="AI857" s="201"/>
      <c r="AJ857" s="201"/>
      <c r="AK857" s="122"/>
      <c r="AL857" s="122"/>
    </row>
    <row r="858">
      <c r="A858" s="115"/>
      <c r="B858" s="150"/>
      <c r="C858" s="89"/>
      <c r="D858" s="55"/>
      <c r="E858" s="115"/>
      <c r="F858" s="150"/>
      <c r="G858" s="188"/>
      <c r="H858" s="189"/>
      <c r="I858" s="115"/>
      <c r="J858" s="150"/>
      <c r="K858" s="89"/>
      <c r="L858" s="55"/>
      <c r="M858" s="115"/>
      <c r="N858" s="190"/>
      <c r="O858" s="89"/>
      <c r="P858" s="55"/>
      <c r="Q858" s="191"/>
      <c r="R858" s="192"/>
      <c r="S858" s="121"/>
      <c r="T858" s="122"/>
      <c r="U858" s="191"/>
      <c r="V858" s="192"/>
      <c r="W858" s="121"/>
      <c r="X858" s="122"/>
      <c r="Y858" s="115"/>
      <c r="Z858" s="193"/>
      <c r="AA858" s="194"/>
      <c r="AB858" s="195"/>
      <c r="AC858" s="115"/>
      <c r="AD858" s="192"/>
      <c r="AE858" s="196"/>
      <c r="AF858" s="197"/>
      <c r="AG858" s="201"/>
      <c r="AH858" s="201"/>
      <c r="AI858" s="201"/>
      <c r="AJ858" s="201"/>
      <c r="AK858" s="122"/>
      <c r="AL858" s="122"/>
    </row>
    <row r="859">
      <c r="A859" s="115"/>
      <c r="B859" s="150"/>
      <c r="C859" s="89"/>
      <c r="D859" s="55"/>
      <c r="E859" s="115"/>
      <c r="F859" s="150"/>
      <c r="G859" s="188"/>
      <c r="H859" s="189"/>
      <c r="I859" s="115"/>
      <c r="J859" s="150"/>
      <c r="K859" s="89"/>
      <c r="L859" s="55"/>
      <c r="M859" s="115"/>
      <c r="N859" s="190"/>
      <c r="O859" s="89"/>
      <c r="P859" s="55"/>
      <c r="Q859" s="191"/>
      <c r="R859" s="192"/>
      <c r="S859" s="121"/>
      <c r="T859" s="122"/>
      <c r="U859" s="191"/>
      <c r="V859" s="192"/>
      <c r="W859" s="121"/>
      <c r="X859" s="122"/>
      <c r="Y859" s="115"/>
      <c r="Z859" s="193"/>
      <c r="AA859" s="194"/>
      <c r="AB859" s="195"/>
      <c r="AC859" s="115"/>
      <c r="AD859" s="192"/>
      <c r="AE859" s="196"/>
      <c r="AF859" s="197"/>
      <c r="AG859" s="201"/>
      <c r="AH859" s="201"/>
      <c r="AI859" s="201"/>
      <c r="AJ859" s="201"/>
      <c r="AK859" s="122"/>
      <c r="AL859" s="122"/>
    </row>
    <row r="860">
      <c r="A860" s="115"/>
      <c r="B860" s="150"/>
      <c r="C860" s="89"/>
      <c r="D860" s="55"/>
      <c r="E860" s="115"/>
      <c r="F860" s="150"/>
      <c r="G860" s="188"/>
      <c r="H860" s="189"/>
      <c r="I860" s="115"/>
      <c r="J860" s="150"/>
      <c r="K860" s="89"/>
      <c r="L860" s="55"/>
      <c r="M860" s="115"/>
      <c r="N860" s="190"/>
      <c r="O860" s="89"/>
      <c r="P860" s="55"/>
      <c r="Q860" s="191"/>
      <c r="R860" s="192"/>
      <c r="S860" s="121"/>
      <c r="T860" s="122"/>
      <c r="U860" s="191"/>
      <c r="V860" s="192"/>
      <c r="W860" s="121"/>
      <c r="X860" s="122"/>
      <c r="Y860" s="115"/>
      <c r="Z860" s="193"/>
      <c r="AA860" s="194"/>
      <c r="AB860" s="195"/>
      <c r="AC860" s="115"/>
      <c r="AD860" s="192"/>
      <c r="AE860" s="196"/>
      <c r="AF860" s="197"/>
      <c r="AG860" s="201"/>
      <c r="AH860" s="201"/>
      <c r="AI860" s="201"/>
      <c r="AJ860" s="201"/>
      <c r="AK860" s="122"/>
      <c r="AL860" s="122"/>
    </row>
    <row r="861">
      <c r="A861" s="115"/>
      <c r="B861" s="150"/>
      <c r="C861" s="89"/>
      <c r="D861" s="55"/>
      <c r="E861" s="115"/>
      <c r="F861" s="150"/>
      <c r="G861" s="188"/>
      <c r="H861" s="189"/>
      <c r="I861" s="115"/>
      <c r="J861" s="150"/>
      <c r="K861" s="89"/>
      <c r="L861" s="55"/>
      <c r="M861" s="115"/>
      <c r="N861" s="190"/>
      <c r="O861" s="89"/>
      <c r="P861" s="55"/>
      <c r="Q861" s="191"/>
      <c r="R861" s="192"/>
      <c r="S861" s="121"/>
      <c r="T861" s="122"/>
      <c r="U861" s="191"/>
      <c r="V861" s="192"/>
      <c r="W861" s="121"/>
      <c r="X861" s="122"/>
      <c r="Y861" s="115"/>
      <c r="Z861" s="193"/>
      <c r="AA861" s="194"/>
      <c r="AB861" s="195"/>
      <c r="AC861" s="115"/>
      <c r="AD861" s="192"/>
      <c r="AE861" s="196"/>
      <c r="AF861" s="197"/>
      <c r="AG861" s="201"/>
      <c r="AH861" s="201"/>
      <c r="AI861" s="201"/>
      <c r="AJ861" s="201"/>
      <c r="AK861" s="122"/>
      <c r="AL861" s="122"/>
    </row>
    <row r="862">
      <c r="A862" s="115"/>
      <c r="B862" s="150"/>
      <c r="C862" s="89"/>
      <c r="D862" s="55"/>
      <c r="E862" s="115"/>
      <c r="F862" s="150"/>
      <c r="G862" s="188"/>
      <c r="H862" s="189"/>
      <c r="I862" s="115"/>
      <c r="J862" s="150"/>
      <c r="K862" s="89"/>
      <c r="L862" s="55"/>
      <c r="M862" s="115"/>
      <c r="N862" s="190"/>
      <c r="O862" s="89"/>
      <c r="P862" s="55"/>
      <c r="Q862" s="191"/>
      <c r="R862" s="192"/>
      <c r="S862" s="121"/>
      <c r="T862" s="122"/>
      <c r="U862" s="191"/>
      <c r="V862" s="192"/>
      <c r="W862" s="121"/>
      <c r="X862" s="122"/>
      <c r="Y862" s="115"/>
      <c r="Z862" s="193"/>
      <c r="AA862" s="194"/>
      <c r="AB862" s="195"/>
      <c r="AC862" s="115"/>
      <c r="AD862" s="192"/>
      <c r="AE862" s="196"/>
      <c r="AF862" s="197"/>
      <c r="AG862" s="201"/>
      <c r="AH862" s="201"/>
      <c r="AI862" s="201"/>
      <c r="AJ862" s="201"/>
      <c r="AK862" s="122"/>
      <c r="AL862" s="122"/>
    </row>
    <row r="863">
      <c r="A863" s="115"/>
      <c r="B863" s="150"/>
      <c r="C863" s="89"/>
      <c r="D863" s="55"/>
      <c r="E863" s="115"/>
      <c r="F863" s="150"/>
      <c r="G863" s="188"/>
      <c r="H863" s="189"/>
      <c r="I863" s="115"/>
      <c r="J863" s="150"/>
      <c r="K863" s="89"/>
      <c r="L863" s="55"/>
      <c r="M863" s="115"/>
      <c r="N863" s="190"/>
      <c r="O863" s="89"/>
      <c r="P863" s="55"/>
      <c r="Q863" s="191"/>
      <c r="R863" s="192"/>
      <c r="S863" s="121"/>
      <c r="T863" s="122"/>
      <c r="U863" s="191"/>
      <c r="V863" s="192"/>
      <c r="W863" s="121"/>
      <c r="X863" s="122"/>
      <c r="Y863" s="115"/>
      <c r="Z863" s="193"/>
      <c r="AA863" s="194"/>
      <c r="AB863" s="195"/>
      <c r="AC863" s="115"/>
      <c r="AD863" s="192"/>
      <c r="AE863" s="196"/>
      <c r="AF863" s="197"/>
      <c r="AG863" s="201"/>
      <c r="AH863" s="201"/>
      <c r="AI863" s="201"/>
      <c r="AJ863" s="201"/>
      <c r="AK863" s="122"/>
      <c r="AL863" s="122"/>
    </row>
    <row r="864">
      <c r="A864" s="115"/>
      <c r="B864" s="150"/>
      <c r="C864" s="89"/>
      <c r="D864" s="55"/>
      <c r="E864" s="115"/>
      <c r="F864" s="150"/>
      <c r="G864" s="188"/>
      <c r="H864" s="189"/>
      <c r="I864" s="115"/>
      <c r="J864" s="150"/>
      <c r="K864" s="89"/>
      <c r="L864" s="55"/>
      <c r="M864" s="115"/>
      <c r="N864" s="190"/>
      <c r="O864" s="89"/>
      <c r="P864" s="55"/>
      <c r="Q864" s="191"/>
      <c r="R864" s="192"/>
      <c r="S864" s="121"/>
      <c r="T864" s="122"/>
      <c r="U864" s="191"/>
      <c r="V864" s="192"/>
      <c r="W864" s="121"/>
      <c r="X864" s="122"/>
      <c r="Y864" s="115"/>
      <c r="Z864" s="193"/>
      <c r="AA864" s="194"/>
      <c r="AB864" s="195"/>
      <c r="AC864" s="115"/>
      <c r="AD864" s="192"/>
      <c r="AE864" s="196"/>
      <c r="AF864" s="197"/>
      <c r="AG864" s="201"/>
      <c r="AH864" s="201"/>
      <c r="AI864" s="201"/>
      <c r="AJ864" s="201"/>
      <c r="AK864" s="122"/>
      <c r="AL864" s="122"/>
    </row>
    <row r="865">
      <c r="A865" s="115"/>
      <c r="B865" s="150"/>
      <c r="C865" s="89"/>
      <c r="D865" s="55"/>
      <c r="E865" s="115"/>
      <c r="F865" s="150"/>
      <c r="G865" s="188"/>
      <c r="H865" s="189"/>
      <c r="I865" s="115"/>
      <c r="J865" s="150"/>
      <c r="K865" s="89"/>
      <c r="L865" s="55"/>
      <c r="M865" s="115"/>
      <c r="N865" s="190"/>
      <c r="O865" s="89"/>
      <c r="P865" s="55"/>
      <c r="Q865" s="191"/>
      <c r="R865" s="192"/>
      <c r="S865" s="121"/>
      <c r="T865" s="122"/>
      <c r="U865" s="191"/>
      <c r="V865" s="192"/>
      <c r="W865" s="121"/>
      <c r="X865" s="122"/>
      <c r="Y865" s="115"/>
      <c r="Z865" s="193"/>
      <c r="AA865" s="194"/>
      <c r="AB865" s="195"/>
      <c r="AC865" s="115"/>
      <c r="AD865" s="192"/>
      <c r="AE865" s="196"/>
      <c r="AF865" s="197"/>
      <c r="AG865" s="201"/>
      <c r="AH865" s="201"/>
      <c r="AI865" s="201"/>
      <c r="AJ865" s="201"/>
      <c r="AK865" s="122"/>
      <c r="AL865" s="122"/>
    </row>
    <row r="866">
      <c r="A866" s="115"/>
      <c r="B866" s="150"/>
      <c r="C866" s="89"/>
      <c r="D866" s="55"/>
      <c r="E866" s="115"/>
      <c r="F866" s="150"/>
      <c r="G866" s="188"/>
      <c r="H866" s="189"/>
      <c r="I866" s="115"/>
      <c r="J866" s="150"/>
      <c r="K866" s="89"/>
      <c r="L866" s="55"/>
      <c r="M866" s="115"/>
      <c r="N866" s="190"/>
      <c r="O866" s="89"/>
      <c r="P866" s="55"/>
      <c r="Q866" s="191"/>
      <c r="R866" s="192"/>
      <c r="S866" s="121"/>
      <c r="T866" s="122"/>
      <c r="U866" s="191"/>
      <c r="V866" s="192"/>
      <c r="W866" s="121"/>
      <c r="X866" s="122"/>
      <c r="Y866" s="115"/>
      <c r="Z866" s="193"/>
      <c r="AA866" s="194"/>
      <c r="AB866" s="195"/>
      <c r="AC866" s="115"/>
      <c r="AD866" s="192"/>
      <c r="AE866" s="196"/>
      <c r="AF866" s="197"/>
      <c r="AG866" s="201"/>
      <c r="AH866" s="201"/>
      <c r="AI866" s="201"/>
      <c r="AJ866" s="201"/>
      <c r="AK866" s="122"/>
      <c r="AL866" s="122"/>
    </row>
    <row r="867">
      <c r="A867" s="115"/>
      <c r="B867" s="150"/>
      <c r="C867" s="89"/>
      <c r="D867" s="55"/>
      <c r="E867" s="115"/>
      <c r="F867" s="150"/>
      <c r="G867" s="188"/>
      <c r="H867" s="189"/>
      <c r="I867" s="115"/>
      <c r="J867" s="150"/>
      <c r="K867" s="89"/>
      <c r="L867" s="55"/>
      <c r="M867" s="115"/>
      <c r="N867" s="190"/>
      <c r="O867" s="89"/>
      <c r="P867" s="55"/>
      <c r="Q867" s="191"/>
      <c r="R867" s="192"/>
      <c r="S867" s="121"/>
      <c r="T867" s="122"/>
      <c r="U867" s="191"/>
      <c r="V867" s="192"/>
      <c r="W867" s="121"/>
      <c r="X867" s="122"/>
      <c r="Y867" s="115"/>
      <c r="Z867" s="193"/>
      <c r="AA867" s="194"/>
      <c r="AB867" s="195"/>
      <c r="AC867" s="115"/>
      <c r="AD867" s="192"/>
      <c r="AE867" s="196"/>
      <c r="AF867" s="197"/>
      <c r="AG867" s="201"/>
      <c r="AH867" s="201"/>
      <c r="AI867" s="201"/>
      <c r="AJ867" s="201"/>
      <c r="AK867" s="122"/>
      <c r="AL867" s="122"/>
    </row>
    <row r="868">
      <c r="A868" s="115"/>
      <c r="B868" s="150"/>
      <c r="C868" s="89"/>
      <c r="D868" s="55"/>
      <c r="E868" s="115"/>
      <c r="F868" s="150"/>
      <c r="G868" s="188"/>
      <c r="H868" s="189"/>
      <c r="I868" s="115"/>
      <c r="J868" s="150"/>
      <c r="K868" s="89"/>
      <c r="L868" s="55"/>
      <c r="M868" s="115"/>
      <c r="N868" s="190"/>
      <c r="O868" s="89"/>
      <c r="P868" s="55"/>
      <c r="Q868" s="191"/>
      <c r="R868" s="192"/>
      <c r="S868" s="121"/>
      <c r="T868" s="122"/>
      <c r="U868" s="191"/>
      <c r="V868" s="192"/>
      <c r="W868" s="121"/>
      <c r="X868" s="122"/>
      <c r="Y868" s="115"/>
      <c r="Z868" s="193"/>
      <c r="AA868" s="194"/>
      <c r="AB868" s="195"/>
      <c r="AC868" s="115"/>
      <c r="AD868" s="192"/>
      <c r="AE868" s="196"/>
      <c r="AF868" s="197"/>
      <c r="AG868" s="201"/>
      <c r="AH868" s="201"/>
      <c r="AI868" s="201"/>
      <c r="AJ868" s="201"/>
      <c r="AK868" s="122"/>
      <c r="AL868" s="122"/>
    </row>
    <row r="869">
      <c r="A869" s="115"/>
      <c r="B869" s="150"/>
      <c r="C869" s="89"/>
      <c r="D869" s="55"/>
      <c r="E869" s="115"/>
      <c r="F869" s="150"/>
      <c r="G869" s="188"/>
      <c r="H869" s="189"/>
      <c r="I869" s="115"/>
      <c r="J869" s="150"/>
      <c r="K869" s="89"/>
      <c r="L869" s="55"/>
      <c r="M869" s="115"/>
      <c r="N869" s="190"/>
      <c r="O869" s="89"/>
      <c r="P869" s="55"/>
      <c r="Q869" s="191"/>
      <c r="R869" s="192"/>
      <c r="S869" s="121"/>
      <c r="T869" s="122"/>
      <c r="U869" s="191"/>
      <c r="V869" s="192"/>
      <c r="W869" s="121"/>
      <c r="X869" s="122"/>
      <c r="Y869" s="115"/>
      <c r="Z869" s="193"/>
      <c r="AA869" s="194"/>
      <c r="AB869" s="195"/>
      <c r="AC869" s="115"/>
      <c r="AD869" s="192"/>
      <c r="AE869" s="196"/>
      <c r="AF869" s="197"/>
      <c r="AG869" s="201"/>
      <c r="AH869" s="201"/>
      <c r="AI869" s="201"/>
      <c r="AJ869" s="201"/>
      <c r="AK869" s="122"/>
      <c r="AL869" s="122"/>
    </row>
    <row r="870">
      <c r="A870" s="115"/>
      <c r="B870" s="150"/>
      <c r="C870" s="89"/>
      <c r="D870" s="55"/>
      <c r="E870" s="115"/>
      <c r="F870" s="150"/>
      <c r="G870" s="188"/>
      <c r="H870" s="189"/>
      <c r="I870" s="115"/>
      <c r="J870" s="150"/>
      <c r="K870" s="89"/>
      <c r="L870" s="55"/>
      <c r="M870" s="115"/>
      <c r="N870" s="190"/>
      <c r="O870" s="89"/>
      <c r="P870" s="55"/>
      <c r="Q870" s="191"/>
      <c r="R870" s="192"/>
      <c r="S870" s="121"/>
      <c r="T870" s="122"/>
      <c r="U870" s="191"/>
      <c r="V870" s="192"/>
      <c r="W870" s="121"/>
      <c r="X870" s="122"/>
      <c r="Y870" s="115"/>
      <c r="Z870" s="193"/>
      <c r="AA870" s="194"/>
      <c r="AB870" s="195"/>
      <c r="AC870" s="115"/>
      <c r="AD870" s="192"/>
      <c r="AE870" s="196"/>
      <c r="AF870" s="197"/>
      <c r="AG870" s="201"/>
      <c r="AH870" s="201"/>
      <c r="AI870" s="201"/>
      <c r="AJ870" s="201"/>
      <c r="AK870" s="122"/>
      <c r="AL870" s="122"/>
    </row>
    <row r="871">
      <c r="A871" s="115"/>
      <c r="B871" s="150"/>
      <c r="C871" s="89"/>
      <c r="D871" s="55"/>
      <c r="E871" s="115"/>
      <c r="F871" s="150"/>
      <c r="G871" s="188"/>
      <c r="H871" s="189"/>
      <c r="I871" s="115"/>
      <c r="J871" s="150"/>
      <c r="K871" s="89"/>
      <c r="L871" s="55"/>
      <c r="M871" s="115"/>
      <c r="N871" s="190"/>
      <c r="O871" s="89"/>
      <c r="P871" s="55"/>
      <c r="Q871" s="191"/>
      <c r="R871" s="192"/>
      <c r="S871" s="121"/>
      <c r="T871" s="122"/>
      <c r="U871" s="191"/>
      <c r="V871" s="192"/>
      <c r="W871" s="121"/>
      <c r="X871" s="122"/>
      <c r="Y871" s="115"/>
      <c r="Z871" s="193"/>
      <c r="AA871" s="194"/>
      <c r="AB871" s="195"/>
      <c r="AC871" s="115"/>
      <c r="AD871" s="192"/>
      <c r="AE871" s="196"/>
      <c r="AF871" s="197"/>
      <c r="AG871" s="201"/>
      <c r="AH871" s="201"/>
      <c r="AI871" s="201"/>
      <c r="AJ871" s="201"/>
      <c r="AK871" s="122"/>
      <c r="AL871" s="122"/>
    </row>
    <row r="872">
      <c r="A872" s="115"/>
      <c r="B872" s="150"/>
      <c r="C872" s="89"/>
      <c r="D872" s="55"/>
      <c r="E872" s="115"/>
      <c r="F872" s="150"/>
      <c r="G872" s="188"/>
      <c r="H872" s="189"/>
      <c r="I872" s="115"/>
      <c r="J872" s="150"/>
      <c r="K872" s="89"/>
      <c r="L872" s="55"/>
      <c r="M872" s="115"/>
      <c r="N872" s="190"/>
      <c r="O872" s="89"/>
      <c r="P872" s="55"/>
      <c r="Q872" s="191"/>
      <c r="R872" s="192"/>
      <c r="S872" s="121"/>
      <c r="T872" s="122"/>
      <c r="U872" s="191"/>
      <c r="V872" s="192"/>
      <c r="W872" s="121"/>
      <c r="X872" s="122"/>
      <c r="Y872" s="115"/>
      <c r="Z872" s="193"/>
      <c r="AA872" s="194"/>
      <c r="AB872" s="195"/>
      <c r="AC872" s="115"/>
      <c r="AD872" s="192"/>
      <c r="AE872" s="196"/>
      <c r="AF872" s="197"/>
      <c r="AG872" s="201"/>
      <c r="AH872" s="201"/>
      <c r="AI872" s="201"/>
      <c r="AJ872" s="201"/>
      <c r="AK872" s="122"/>
      <c r="AL872" s="122"/>
    </row>
    <row r="873">
      <c r="A873" s="115"/>
      <c r="B873" s="150"/>
      <c r="C873" s="89"/>
      <c r="D873" s="55"/>
      <c r="E873" s="115"/>
      <c r="F873" s="150"/>
      <c r="G873" s="188"/>
      <c r="H873" s="189"/>
      <c r="I873" s="115"/>
      <c r="J873" s="150"/>
      <c r="K873" s="89"/>
      <c r="L873" s="55"/>
      <c r="M873" s="115"/>
      <c r="N873" s="190"/>
      <c r="O873" s="89"/>
      <c r="P873" s="55"/>
      <c r="Q873" s="191"/>
      <c r="R873" s="192"/>
      <c r="S873" s="121"/>
      <c r="T873" s="122"/>
      <c r="U873" s="191"/>
      <c r="V873" s="192"/>
      <c r="W873" s="121"/>
      <c r="X873" s="122"/>
      <c r="Y873" s="115"/>
      <c r="Z873" s="193"/>
      <c r="AA873" s="194"/>
      <c r="AB873" s="195"/>
      <c r="AC873" s="115"/>
      <c r="AD873" s="192"/>
      <c r="AE873" s="196"/>
      <c r="AF873" s="197"/>
      <c r="AG873" s="201"/>
      <c r="AH873" s="201"/>
      <c r="AI873" s="201"/>
      <c r="AJ873" s="201"/>
      <c r="AK873" s="122"/>
      <c r="AL873" s="122"/>
    </row>
    <row r="874">
      <c r="A874" s="115"/>
      <c r="B874" s="150"/>
      <c r="C874" s="89"/>
      <c r="D874" s="55"/>
      <c r="E874" s="115"/>
      <c r="F874" s="150"/>
      <c r="G874" s="188"/>
      <c r="H874" s="189"/>
      <c r="I874" s="115"/>
      <c r="J874" s="150"/>
      <c r="K874" s="89"/>
      <c r="L874" s="55"/>
      <c r="M874" s="115"/>
      <c r="N874" s="190"/>
      <c r="O874" s="89"/>
      <c r="P874" s="55"/>
      <c r="Q874" s="191"/>
      <c r="R874" s="192"/>
      <c r="S874" s="121"/>
      <c r="T874" s="122"/>
      <c r="U874" s="191"/>
      <c r="V874" s="192"/>
      <c r="W874" s="121"/>
      <c r="X874" s="122"/>
      <c r="Y874" s="115"/>
      <c r="Z874" s="193"/>
      <c r="AA874" s="194"/>
      <c r="AB874" s="195"/>
      <c r="AC874" s="115"/>
      <c r="AD874" s="192"/>
      <c r="AE874" s="196"/>
      <c r="AF874" s="197"/>
      <c r="AG874" s="201"/>
      <c r="AH874" s="201"/>
      <c r="AI874" s="201"/>
      <c r="AJ874" s="201"/>
      <c r="AK874" s="122"/>
      <c r="AL874" s="122"/>
    </row>
    <row r="875">
      <c r="A875" s="115"/>
      <c r="B875" s="150"/>
      <c r="C875" s="89"/>
      <c r="D875" s="55"/>
      <c r="E875" s="115"/>
      <c r="F875" s="150"/>
      <c r="G875" s="188"/>
      <c r="H875" s="189"/>
      <c r="I875" s="115"/>
      <c r="J875" s="150"/>
      <c r="K875" s="89"/>
      <c r="L875" s="55"/>
      <c r="M875" s="115"/>
      <c r="N875" s="190"/>
      <c r="O875" s="89"/>
      <c r="P875" s="55"/>
      <c r="Q875" s="191"/>
      <c r="R875" s="192"/>
      <c r="S875" s="121"/>
      <c r="T875" s="122"/>
      <c r="U875" s="191"/>
      <c r="V875" s="192"/>
      <c r="W875" s="121"/>
      <c r="X875" s="122"/>
      <c r="Y875" s="115"/>
      <c r="Z875" s="193"/>
      <c r="AA875" s="194"/>
      <c r="AB875" s="195"/>
      <c r="AC875" s="115"/>
      <c r="AD875" s="192"/>
      <c r="AE875" s="196"/>
      <c r="AF875" s="197"/>
      <c r="AG875" s="201"/>
      <c r="AH875" s="201"/>
      <c r="AI875" s="201"/>
      <c r="AJ875" s="201"/>
      <c r="AK875" s="122"/>
      <c r="AL875" s="122"/>
    </row>
    <row r="876">
      <c r="A876" s="115"/>
      <c r="B876" s="150"/>
      <c r="C876" s="89"/>
      <c r="D876" s="55"/>
      <c r="E876" s="115"/>
      <c r="F876" s="150"/>
      <c r="G876" s="188"/>
      <c r="H876" s="189"/>
      <c r="I876" s="115"/>
      <c r="J876" s="150"/>
      <c r="K876" s="89"/>
      <c r="L876" s="55"/>
      <c r="M876" s="115"/>
      <c r="N876" s="190"/>
      <c r="O876" s="89"/>
      <c r="P876" s="55"/>
      <c r="Q876" s="191"/>
      <c r="R876" s="192"/>
      <c r="S876" s="121"/>
      <c r="T876" s="122"/>
      <c r="U876" s="191"/>
      <c r="V876" s="192"/>
      <c r="W876" s="121"/>
      <c r="X876" s="122"/>
      <c r="Y876" s="115"/>
      <c r="Z876" s="193"/>
      <c r="AA876" s="194"/>
      <c r="AB876" s="195"/>
      <c r="AC876" s="115"/>
      <c r="AD876" s="192"/>
      <c r="AE876" s="196"/>
      <c r="AF876" s="197"/>
      <c r="AG876" s="201"/>
      <c r="AH876" s="201"/>
      <c r="AI876" s="201"/>
      <c r="AJ876" s="201"/>
      <c r="AK876" s="122"/>
      <c r="AL876" s="122"/>
    </row>
    <row r="877">
      <c r="A877" s="115"/>
      <c r="B877" s="150"/>
      <c r="C877" s="89"/>
      <c r="D877" s="55"/>
      <c r="E877" s="115"/>
      <c r="F877" s="150"/>
      <c r="G877" s="188"/>
      <c r="H877" s="189"/>
      <c r="I877" s="115"/>
      <c r="J877" s="150"/>
      <c r="K877" s="89"/>
      <c r="L877" s="55"/>
      <c r="M877" s="115"/>
      <c r="N877" s="190"/>
      <c r="O877" s="89"/>
      <c r="P877" s="55"/>
      <c r="Q877" s="191"/>
      <c r="R877" s="192"/>
      <c r="S877" s="121"/>
      <c r="T877" s="122"/>
      <c r="U877" s="191"/>
      <c r="V877" s="192"/>
      <c r="W877" s="121"/>
      <c r="X877" s="122"/>
      <c r="Y877" s="115"/>
      <c r="Z877" s="193"/>
      <c r="AA877" s="194"/>
      <c r="AB877" s="195"/>
      <c r="AC877" s="115"/>
      <c r="AD877" s="192"/>
      <c r="AE877" s="196"/>
      <c r="AF877" s="197"/>
      <c r="AG877" s="201"/>
      <c r="AH877" s="201"/>
      <c r="AI877" s="201"/>
      <c r="AJ877" s="201"/>
      <c r="AK877" s="122"/>
      <c r="AL877" s="122"/>
    </row>
    <row r="878">
      <c r="A878" s="115"/>
      <c r="B878" s="150"/>
      <c r="C878" s="89"/>
      <c r="D878" s="55"/>
      <c r="E878" s="115"/>
      <c r="F878" s="150"/>
      <c r="G878" s="188"/>
      <c r="H878" s="189"/>
      <c r="I878" s="115"/>
      <c r="J878" s="150"/>
      <c r="K878" s="89"/>
      <c r="L878" s="55"/>
      <c r="M878" s="115"/>
      <c r="N878" s="190"/>
      <c r="O878" s="89"/>
      <c r="P878" s="55"/>
      <c r="Q878" s="191"/>
      <c r="R878" s="192"/>
      <c r="S878" s="121"/>
      <c r="T878" s="122"/>
      <c r="U878" s="191"/>
      <c r="V878" s="192"/>
      <c r="W878" s="121"/>
      <c r="X878" s="122"/>
      <c r="Y878" s="115"/>
      <c r="Z878" s="193"/>
      <c r="AA878" s="194"/>
      <c r="AB878" s="195"/>
      <c r="AC878" s="115"/>
      <c r="AD878" s="192"/>
      <c r="AE878" s="196"/>
      <c r="AF878" s="197"/>
      <c r="AG878" s="201"/>
      <c r="AH878" s="201"/>
      <c r="AI878" s="201"/>
      <c r="AJ878" s="201"/>
      <c r="AK878" s="122"/>
      <c r="AL878" s="122"/>
    </row>
    <row r="879">
      <c r="A879" s="115"/>
      <c r="B879" s="150"/>
      <c r="C879" s="89"/>
      <c r="D879" s="55"/>
      <c r="E879" s="115"/>
      <c r="F879" s="150"/>
      <c r="G879" s="188"/>
      <c r="H879" s="189"/>
      <c r="I879" s="115"/>
      <c r="J879" s="150"/>
      <c r="K879" s="89"/>
      <c r="L879" s="55"/>
      <c r="M879" s="115"/>
      <c r="N879" s="190"/>
      <c r="O879" s="89"/>
      <c r="P879" s="55"/>
      <c r="Q879" s="191"/>
      <c r="R879" s="192"/>
      <c r="S879" s="121"/>
      <c r="T879" s="122"/>
      <c r="U879" s="191"/>
      <c r="V879" s="192"/>
      <c r="W879" s="121"/>
      <c r="X879" s="122"/>
      <c r="Y879" s="115"/>
      <c r="Z879" s="193"/>
      <c r="AA879" s="194"/>
      <c r="AB879" s="195"/>
      <c r="AC879" s="115"/>
      <c r="AD879" s="192"/>
      <c r="AE879" s="196"/>
      <c r="AF879" s="197"/>
      <c r="AG879" s="201"/>
      <c r="AH879" s="201"/>
      <c r="AI879" s="201"/>
      <c r="AJ879" s="201"/>
      <c r="AK879" s="122"/>
      <c r="AL879" s="122"/>
    </row>
    <row r="880">
      <c r="A880" s="115"/>
      <c r="B880" s="150"/>
      <c r="C880" s="89"/>
      <c r="D880" s="55"/>
      <c r="E880" s="115"/>
      <c r="F880" s="150"/>
      <c r="G880" s="188"/>
      <c r="H880" s="189"/>
      <c r="I880" s="115"/>
      <c r="J880" s="150"/>
      <c r="K880" s="89"/>
      <c r="L880" s="55"/>
      <c r="M880" s="115"/>
      <c r="N880" s="190"/>
      <c r="O880" s="89"/>
      <c r="P880" s="55"/>
      <c r="Q880" s="191"/>
      <c r="R880" s="192"/>
      <c r="S880" s="121"/>
      <c r="T880" s="122"/>
      <c r="U880" s="191"/>
      <c r="V880" s="192"/>
      <c r="W880" s="121"/>
      <c r="X880" s="122"/>
      <c r="Y880" s="115"/>
      <c r="Z880" s="193"/>
      <c r="AA880" s="194"/>
      <c r="AB880" s="195"/>
      <c r="AC880" s="115"/>
      <c r="AD880" s="192"/>
      <c r="AE880" s="196"/>
      <c r="AF880" s="197"/>
      <c r="AG880" s="201"/>
      <c r="AH880" s="201"/>
      <c r="AI880" s="201"/>
      <c r="AJ880" s="201"/>
      <c r="AK880" s="122"/>
      <c r="AL880" s="122"/>
    </row>
    <row r="881">
      <c r="A881" s="115"/>
      <c r="B881" s="150"/>
      <c r="C881" s="89"/>
      <c r="D881" s="55"/>
      <c r="E881" s="115"/>
      <c r="F881" s="150"/>
      <c r="G881" s="188"/>
      <c r="H881" s="189"/>
      <c r="I881" s="115"/>
      <c r="J881" s="150"/>
      <c r="K881" s="89"/>
      <c r="L881" s="55"/>
      <c r="M881" s="115"/>
      <c r="N881" s="190"/>
      <c r="O881" s="89"/>
      <c r="P881" s="55"/>
      <c r="Q881" s="191"/>
      <c r="R881" s="192"/>
      <c r="S881" s="121"/>
      <c r="T881" s="122"/>
      <c r="U881" s="191"/>
      <c r="V881" s="192"/>
      <c r="W881" s="121"/>
      <c r="X881" s="122"/>
      <c r="Y881" s="115"/>
      <c r="Z881" s="193"/>
      <c r="AA881" s="194"/>
      <c r="AB881" s="195"/>
      <c r="AC881" s="115"/>
      <c r="AD881" s="192"/>
      <c r="AE881" s="196"/>
      <c r="AF881" s="197"/>
      <c r="AG881" s="201"/>
      <c r="AH881" s="201"/>
      <c r="AI881" s="201"/>
      <c r="AJ881" s="201"/>
      <c r="AK881" s="122"/>
      <c r="AL881" s="122"/>
    </row>
    <row r="882">
      <c r="A882" s="115"/>
      <c r="B882" s="150"/>
      <c r="C882" s="89"/>
      <c r="D882" s="55"/>
      <c r="E882" s="115"/>
      <c r="F882" s="150"/>
      <c r="G882" s="188"/>
      <c r="H882" s="189"/>
      <c r="I882" s="115"/>
      <c r="J882" s="150"/>
      <c r="K882" s="89"/>
      <c r="L882" s="55"/>
      <c r="M882" s="115"/>
      <c r="N882" s="190"/>
      <c r="O882" s="89"/>
      <c r="P882" s="55"/>
      <c r="Q882" s="191"/>
      <c r="R882" s="192"/>
      <c r="S882" s="121"/>
      <c r="T882" s="122"/>
      <c r="U882" s="191"/>
      <c r="V882" s="192"/>
      <c r="W882" s="121"/>
      <c r="X882" s="122"/>
      <c r="Y882" s="115"/>
      <c r="Z882" s="193"/>
      <c r="AA882" s="194"/>
      <c r="AB882" s="195"/>
      <c r="AC882" s="115"/>
      <c r="AD882" s="192"/>
      <c r="AE882" s="196"/>
      <c r="AF882" s="197"/>
      <c r="AG882" s="201"/>
      <c r="AH882" s="201"/>
      <c r="AI882" s="201"/>
      <c r="AJ882" s="201"/>
      <c r="AK882" s="122"/>
      <c r="AL882" s="122"/>
    </row>
    <row r="883">
      <c r="A883" s="115"/>
      <c r="B883" s="150"/>
      <c r="C883" s="89"/>
      <c r="D883" s="55"/>
      <c r="E883" s="115"/>
      <c r="F883" s="150"/>
      <c r="G883" s="188"/>
      <c r="H883" s="189"/>
      <c r="I883" s="115"/>
      <c r="J883" s="150"/>
      <c r="K883" s="89"/>
      <c r="L883" s="55"/>
      <c r="M883" s="115"/>
      <c r="N883" s="190"/>
      <c r="O883" s="89"/>
      <c r="P883" s="55"/>
      <c r="Q883" s="191"/>
      <c r="R883" s="192"/>
      <c r="S883" s="121"/>
      <c r="T883" s="122"/>
      <c r="U883" s="191"/>
      <c r="V883" s="192"/>
      <c r="W883" s="121"/>
      <c r="X883" s="122"/>
      <c r="Y883" s="115"/>
      <c r="Z883" s="193"/>
      <c r="AA883" s="194"/>
      <c r="AB883" s="195"/>
      <c r="AC883" s="115"/>
      <c r="AD883" s="192"/>
      <c r="AE883" s="196"/>
      <c r="AF883" s="197"/>
      <c r="AG883" s="201"/>
      <c r="AH883" s="201"/>
      <c r="AI883" s="201"/>
      <c r="AJ883" s="201"/>
      <c r="AK883" s="122"/>
      <c r="AL883" s="122"/>
    </row>
    <row r="884">
      <c r="A884" s="115"/>
      <c r="B884" s="150"/>
      <c r="C884" s="89"/>
      <c r="D884" s="55"/>
      <c r="E884" s="115"/>
      <c r="F884" s="150"/>
      <c r="G884" s="188"/>
      <c r="H884" s="189"/>
      <c r="I884" s="115"/>
      <c r="J884" s="150"/>
      <c r="K884" s="89"/>
      <c r="L884" s="55"/>
      <c r="M884" s="115"/>
      <c r="N884" s="190"/>
      <c r="O884" s="89"/>
      <c r="P884" s="55"/>
      <c r="Q884" s="191"/>
      <c r="R884" s="192"/>
      <c r="S884" s="121"/>
      <c r="T884" s="122"/>
      <c r="U884" s="191"/>
      <c r="V884" s="192"/>
      <c r="W884" s="121"/>
      <c r="X884" s="122"/>
      <c r="Y884" s="115"/>
      <c r="Z884" s="193"/>
      <c r="AA884" s="194"/>
      <c r="AB884" s="195"/>
      <c r="AC884" s="115"/>
      <c r="AD884" s="192"/>
      <c r="AE884" s="196"/>
      <c r="AF884" s="197"/>
      <c r="AG884" s="201"/>
      <c r="AH884" s="201"/>
      <c r="AI884" s="201"/>
      <c r="AJ884" s="201"/>
      <c r="AK884" s="122"/>
      <c r="AL884" s="122"/>
    </row>
    <row r="885">
      <c r="A885" s="115"/>
      <c r="B885" s="150"/>
      <c r="C885" s="89"/>
      <c r="D885" s="55"/>
      <c r="E885" s="115"/>
      <c r="F885" s="150"/>
      <c r="G885" s="188"/>
      <c r="H885" s="189"/>
      <c r="I885" s="115"/>
      <c r="J885" s="150"/>
      <c r="K885" s="89"/>
      <c r="L885" s="55"/>
      <c r="M885" s="115"/>
      <c r="N885" s="190"/>
      <c r="O885" s="89"/>
      <c r="P885" s="55"/>
      <c r="Q885" s="191"/>
      <c r="R885" s="192"/>
      <c r="S885" s="121"/>
      <c r="T885" s="122"/>
      <c r="U885" s="191"/>
      <c r="V885" s="192"/>
      <c r="W885" s="121"/>
      <c r="X885" s="122"/>
      <c r="Y885" s="115"/>
      <c r="Z885" s="193"/>
      <c r="AA885" s="194"/>
      <c r="AB885" s="195"/>
      <c r="AC885" s="115"/>
      <c r="AD885" s="192"/>
      <c r="AE885" s="196"/>
      <c r="AF885" s="197"/>
      <c r="AG885" s="201"/>
      <c r="AH885" s="201"/>
      <c r="AI885" s="201"/>
      <c r="AJ885" s="201"/>
      <c r="AK885" s="122"/>
      <c r="AL885" s="122"/>
    </row>
    <row r="886">
      <c r="A886" s="115"/>
      <c r="B886" s="150"/>
      <c r="C886" s="89"/>
      <c r="D886" s="55"/>
      <c r="E886" s="115"/>
      <c r="F886" s="150"/>
      <c r="G886" s="188"/>
      <c r="H886" s="189"/>
      <c r="I886" s="115"/>
      <c r="J886" s="150"/>
      <c r="K886" s="89"/>
      <c r="L886" s="55"/>
      <c r="M886" s="115"/>
      <c r="N886" s="190"/>
      <c r="O886" s="89"/>
      <c r="P886" s="55"/>
      <c r="Q886" s="191"/>
      <c r="R886" s="192"/>
      <c r="S886" s="121"/>
      <c r="T886" s="122"/>
      <c r="U886" s="191"/>
      <c r="V886" s="192"/>
      <c r="W886" s="121"/>
      <c r="X886" s="122"/>
      <c r="Y886" s="115"/>
      <c r="Z886" s="193"/>
      <c r="AA886" s="194"/>
      <c r="AB886" s="195"/>
      <c r="AC886" s="115"/>
      <c r="AD886" s="192"/>
      <c r="AE886" s="196"/>
      <c r="AF886" s="197"/>
      <c r="AG886" s="201"/>
      <c r="AH886" s="201"/>
      <c r="AI886" s="201"/>
      <c r="AJ886" s="201"/>
      <c r="AK886" s="122"/>
      <c r="AL886" s="122"/>
    </row>
    <row r="887">
      <c r="A887" s="115"/>
      <c r="B887" s="150"/>
      <c r="C887" s="89"/>
      <c r="D887" s="55"/>
      <c r="E887" s="115"/>
      <c r="F887" s="150"/>
      <c r="G887" s="188"/>
      <c r="H887" s="189"/>
      <c r="I887" s="115"/>
      <c r="J887" s="150"/>
      <c r="K887" s="89"/>
      <c r="L887" s="55"/>
      <c r="M887" s="115"/>
      <c r="N887" s="190"/>
      <c r="O887" s="89"/>
      <c r="P887" s="55"/>
      <c r="Q887" s="191"/>
      <c r="R887" s="192"/>
      <c r="S887" s="121"/>
      <c r="T887" s="122"/>
      <c r="U887" s="191"/>
      <c r="V887" s="192"/>
      <c r="W887" s="121"/>
      <c r="X887" s="122"/>
      <c r="Y887" s="115"/>
      <c r="Z887" s="193"/>
      <c r="AA887" s="194"/>
      <c r="AB887" s="195"/>
      <c r="AC887" s="115"/>
      <c r="AD887" s="192"/>
      <c r="AE887" s="196"/>
      <c r="AF887" s="197"/>
      <c r="AG887" s="201"/>
      <c r="AH887" s="201"/>
      <c r="AI887" s="201"/>
      <c r="AJ887" s="201"/>
      <c r="AK887" s="122"/>
      <c r="AL887" s="122"/>
    </row>
    <row r="888">
      <c r="A888" s="115"/>
      <c r="B888" s="150"/>
      <c r="C888" s="89"/>
      <c r="D888" s="55"/>
      <c r="E888" s="115"/>
      <c r="F888" s="150"/>
      <c r="G888" s="188"/>
      <c r="H888" s="189"/>
      <c r="I888" s="115"/>
      <c r="J888" s="150"/>
      <c r="K888" s="89"/>
      <c r="L888" s="55"/>
      <c r="M888" s="115"/>
      <c r="N888" s="190"/>
      <c r="O888" s="89"/>
      <c r="P888" s="55"/>
      <c r="Q888" s="191"/>
      <c r="R888" s="192"/>
      <c r="S888" s="121"/>
      <c r="T888" s="122"/>
      <c r="U888" s="191"/>
      <c r="V888" s="192"/>
      <c r="W888" s="121"/>
      <c r="X888" s="122"/>
      <c r="Y888" s="115"/>
      <c r="Z888" s="193"/>
      <c r="AA888" s="194"/>
      <c r="AB888" s="195"/>
      <c r="AC888" s="115"/>
      <c r="AD888" s="192"/>
      <c r="AE888" s="196"/>
      <c r="AF888" s="197"/>
      <c r="AG888" s="201"/>
      <c r="AH888" s="201"/>
      <c r="AI888" s="201"/>
      <c r="AJ888" s="201"/>
      <c r="AK888" s="122"/>
      <c r="AL888" s="122"/>
    </row>
    <row r="889">
      <c r="A889" s="115"/>
      <c r="B889" s="150"/>
      <c r="C889" s="89"/>
      <c r="D889" s="55"/>
      <c r="E889" s="115"/>
      <c r="F889" s="150"/>
      <c r="G889" s="188"/>
      <c r="H889" s="189"/>
      <c r="I889" s="115"/>
      <c r="J889" s="150"/>
      <c r="K889" s="89"/>
      <c r="L889" s="55"/>
      <c r="M889" s="115"/>
      <c r="N889" s="190"/>
      <c r="O889" s="89"/>
      <c r="P889" s="55"/>
      <c r="Q889" s="191"/>
      <c r="R889" s="192"/>
      <c r="S889" s="121"/>
      <c r="T889" s="122"/>
      <c r="U889" s="191"/>
      <c r="V889" s="192"/>
      <c r="W889" s="121"/>
      <c r="X889" s="122"/>
      <c r="Y889" s="115"/>
      <c r="Z889" s="193"/>
      <c r="AA889" s="194"/>
      <c r="AB889" s="195"/>
      <c r="AC889" s="115"/>
      <c r="AD889" s="192"/>
      <c r="AE889" s="196"/>
      <c r="AF889" s="197"/>
      <c r="AG889" s="201"/>
      <c r="AH889" s="201"/>
      <c r="AI889" s="201"/>
      <c r="AJ889" s="201"/>
      <c r="AK889" s="122"/>
      <c r="AL889" s="122"/>
    </row>
    <row r="890">
      <c r="A890" s="115"/>
      <c r="B890" s="150"/>
      <c r="C890" s="89"/>
      <c r="D890" s="55"/>
      <c r="E890" s="115"/>
      <c r="F890" s="150"/>
      <c r="G890" s="188"/>
      <c r="H890" s="189"/>
      <c r="I890" s="115"/>
      <c r="J890" s="150"/>
      <c r="K890" s="89"/>
      <c r="L890" s="55"/>
      <c r="M890" s="115"/>
      <c r="N890" s="190"/>
      <c r="O890" s="89"/>
      <c r="P890" s="55"/>
      <c r="Q890" s="191"/>
      <c r="R890" s="192"/>
      <c r="S890" s="121"/>
      <c r="T890" s="122"/>
      <c r="U890" s="191"/>
      <c r="V890" s="192"/>
      <c r="W890" s="121"/>
      <c r="X890" s="122"/>
      <c r="Y890" s="115"/>
      <c r="Z890" s="193"/>
      <c r="AA890" s="194"/>
      <c r="AB890" s="195"/>
      <c r="AC890" s="115"/>
      <c r="AD890" s="192"/>
      <c r="AE890" s="196"/>
      <c r="AF890" s="197"/>
      <c r="AG890" s="201"/>
      <c r="AH890" s="201"/>
      <c r="AI890" s="201"/>
      <c r="AJ890" s="201"/>
      <c r="AK890" s="122"/>
      <c r="AL890" s="122"/>
    </row>
    <row r="891">
      <c r="A891" s="115"/>
      <c r="B891" s="150"/>
      <c r="C891" s="89"/>
      <c r="D891" s="55"/>
      <c r="E891" s="115"/>
      <c r="F891" s="150"/>
      <c r="G891" s="188"/>
      <c r="H891" s="189"/>
      <c r="I891" s="115"/>
      <c r="J891" s="150"/>
      <c r="K891" s="89"/>
      <c r="L891" s="55"/>
      <c r="M891" s="115"/>
      <c r="N891" s="190"/>
      <c r="O891" s="89"/>
      <c r="P891" s="55"/>
      <c r="Q891" s="191"/>
      <c r="R891" s="192"/>
      <c r="S891" s="121"/>
      <c r="T891" s="122"/>
      <c r="U891" s="191"/>
      <c r="V891" s="192"/>
      <c r="W891" s="121"/>
      <c r="X891" s="122"/>
      <c r="Y891" s="115"/>
      <c r="Z891" s="193"/>
      <c r="AA891" s="194"/>
      <c r="AB891" s="195"/>
      <c r="AC891" s="115"/>
      <c r="AD891" s="192"/>
      <c r="AE891" s="196"/>
      <c r="AF891" s="197"/>
      <c r="AG891" s="201"/>
      <c r="AH891" s="201"/>
      <c r="AI891" s="201"/>
      <c r="AJ891" s="201"/>
      <c r="AK891" s="122"/>
      <c r="AL891" s="122"/>
    </row>
    <row r="892">
      <c r="A892" s="115"/>
      <c r="B892" s="150"/>
      <c r="C892" s="89"/>
      <c r="D892" s="55"/>
      <c r="E892" s="115"/>
      <c r="F892" s="150"/>
      <c r="G892" s="188"/>
      <c r="H892" s="189"/>
      <c r="I892" s="115"/>
      <c r="J892" s="150"/>
      <c r="K892" s="89"/>
      <c r="L892" s="55"/>
      <c r="M892" s="115"/>
      <c r="N892" s="190"/>
      <c r="O892" s="89"/>
      <c r="P892" s="55"/>
      <c r="Q892" s="191"/>
      <c r="R892" s="192"/>
      <c r="S892" s="121"/>
      <c r="T892" s="122"/>
      <c r="U892" s="191"/>
      <c r="V892" s="192"/>
      <c r="W892" s="121"/>
      <c r="X892" s="122"/>
      <c r="Y892" s="115"/>
      <c r="Z892" s="193"/>
      <c r="AA892" s="194"/>
      <c r="AB892" s="195"/>
      <c r="AC892" s="115"/>
      <c r="AD892" s="192"/>
      <c r="AE892" s="196"/>
      <c r="AF892" s="197"/>
      <c r="AG892" s="201"/>
      <c r="AH892" s="201"/>
      <c r="AI892" s="201"/>
      <c r="AJ892" s="201"/>
      <c r="AK892" s="122"/>
      <c r="AL892" s="122"/>
    </row>
    <row r="893">
      <c r="A893" s="115"/>
      <c r="B893" s="150"/>
      <c r="C893" s="89"/>
      <c r="D893" s="55"/>
      <c r="E893" s="115"/>
      <c r="F893" s="150"/>
      <c r="G893" s="188"/>
      <c r="H893" s="189"/>
      <c r="I893" s="115"/>
      <c r="J893" s="150"/>
      <c r="K893" s="89"/>
      <c r="L893" s="55"/>
      <c r="M893" s="115"/>
      <c r="N893" s="190"/>
      <c r="O893" s="89"/>
      <c r="P893" s="55"/>
      <c r="Q893" s="191"/>
      <c r="R893" s="192"/>
      <c r="S893" s="121"/>
      <c r="T893" s="122"/>
      <c r="U893" s="191"/>
      <c r="V893" s="192"/>
      <c r="W893" s="121"/>
      <c r="X893" s="122"/>
      <c r="Y893" s="115"/>
      <c r="Z893" s="193"/>
      <c r="AA893" s="194"/>
      <c r="AB893" s="195"/>
      <c r="AC893" s="115"/>
      <c r="AD893" s="192"/>
      <c r="AE893" s="196"/>
      <c r="AF893" s="197"/>
      <c r="AG893" s="201"/>
      <c r="AH893" s="201"/>
      <c r="AI893" s="201"/>
      <c r="AJ893" s="201"/>
      <c r="AK893" s="122"/>
      <c r="AL893" s="122"/>
    </row>
    <row r="894">
      <c r="A894" s="115"/>
      <c r="B894" s="150"/>
      <c r="C894" s="89"/>
      <c r="D894" s="55"/>
      <c r="E894" s="115"/>
      <c r="F894" s="150"/>
      <c r="G894" s="188"/>
      <c r="H894" s="189"/>
      <c r="I894" s="115"/>
      <c r="J894" s="150"/>
      <c r="K894" s="89"/>
      <c r="L894" s="55"/>
      <c r="M894" s="115"/>
      <c r="N894" s="190"/>
      <c r="O894" s="89"/>
      <c r="P894" s="55"/>
      <c r="Q894" s="191"/>
      <c r="R894" s="192"/>
      <c r="S894" s="121"/>
      <c r="T894" s="122"/>
      <c r="U894" s="191"/>
      <c r="V894" s="192"/>
      <c r="W894" s="121"/>
      <c r="X894" s="122"/>
      <c r="Y894" s="115"/>
      <c r="Z894" s="193"/>
      <c r="AA894" s="194"/>
      <c r="AB894" s="195"/>
      <c r="AC894" s="115"/>
      <c r="AD894" s="192"/>
      <c r="AE894" s="196"/>
      <c r="AF894" s="197"/>
      <c r="AG894" s="201"/>
      <c r="AH894" s="201"/>
      <c r="AI894" s="201"/>
      <c r="AJ894" s="201"/>
      <c r="AK894" s="122"/>
      <c r="AL894" s="122"/>
    </row>
    <row r="895">
      <c r="A895" s="115"/>
      <c r="B895" s="150"/>
      <c r="C895" s="89"/>
      <c r="D895" s="55"/>
      <c r="E895" s="115"/>
      <c r="F895" s="150"/>
      <c r="G895" s="188"/>
      <c r="H895" s="189"/>
      <c r="I895" s="115"/>
      <c r="J895" s="150"/>
      <c r="K895" s="89"/>
      <c r="L895" s="55"/>
      <c r="M895" s="115"/>
      <c r="N895" s="190"/>
      <c r="O895" s="89"/>
      <c r="P895" s="55"/>
      <c r="Q895" s="191"/>
      <c r="R895" s="192"/>
      <c r="S895" s="121"/>
      <c r="T895" s="122"/>
      <c r="U895" s="191"/>
      <c r="V895" s="192"/>
      <c r="W895" s="121"/>
      <c r="X895" s="122"/>
      <c r="Y895" s="115"/>
      <c r="Z895" s="193"/>
      <c r="AA895" s="194"/>
      <c r="AB895" s="195"/>
      <c r="AC895" s="115"/>
      <c r="AD895" s="192"/>
      <c r="AE895" s="196"/>
      <c r="AF895" s="197"/>
      <c r="AG895" s="201"/>
      <c r="AH895" s="201"/>
      <c r="AI895" s="201"/>
      <c r="AJ895" s="201"/>
      <c r="AK895" s="122"/>
      <c r="AL895" s="122"/>
    </row>
    <row r="896">
      <c r="A896" s="115"/>
      <c r="B896" s="150"/>
      <c r="C896" s="89"/>
      <c r="D896" s="55"/>
      <c r="E896" s="115"/>
      <c r="F896" s="150"/>
      <c r="G896" s="188"/>
      <c r="H896" s="189"/>
      <c r="I896" s="115"/>
      <c r="J896" s="150"/>
      <c r="K896" s="89"/>
      <c r="L896" s="55"/>
      <c r="M896" s="115"/>
      <c r="N896" s="190"/>
      <c r="O896" s="89"/>
      <c r="P896" s="55"/>
      <c r="Q896" s="191"/>
      <c r="R896" s="192"/>
      <c r="S896" s="121"/>
      <c r="T896" s="122"/>
      <c r="U896" s="191"/>
      <c r="V896" s="192"/>
      <c r="W896" s="121"/>
      <c r="X896" s="122"/>
      <c r="Y896" s="115"/>
      <c r="Z896" s="193"/>
      <c r="AA896" s="194"/>
      <c r="AB896" s="195"/>
      <c r="AC896" s="115"/>
      <c r="AD896" s="192"/>
      <c r="AE896" s="196"/>
      <c r="AF896" s="197"/>
      <c r="AG896" s="201"/>
      <c r="AH896" s="201"/>
      <c r="AI896" s="201"/>
      <c r="AJ896" s="201"/>
      <c r="AK896" s="122"/>
      <c r="AL896" s="122"/>
    </row>
    <row r="897">
      <c r="A897" s="115"/>
      <c r="B897" s="150"/>
      <c r="C897" s="89"/>
      <c r="D897" s="55"/>
      <c r="E897" s="115"/>
      <c r="F897" s="150"/>
      <c r="G897" s="188"/>
      <c r="H897" s="189"/>
      <c r="I897" s="115"/>
      <c r="J897" s="150"/>
      <c r="K897" s="89"/>
      <c r="L897" s="55"/>
      <c r="M897" s="115"/>
      <c r="N897" s="190"/>
      <c r="O897" s="89"/>
      <c r="P897" s="55"/>
      <c r="Q897" s="191"/>
      <c r="R897" s="192"/>
      <c r="S897" s="121"/>
      <c r="T897" s="122"/>
      <c r="U897" s="191"/>
      <c r="V897" s="192"/>
      <c r="W897" s="121"/>
      <c r="X897" s="122"/>
      <c r="Y897" s="115"/>
      <c r="Z897" s="193"/>
      <c r="AA897" s="194"/>
      <c r="AB897" s="195"/>
      <c r="AC897" s="115"/>
      <c r="AD897" s="192"/>
      <c r="AE897" s="196"/>
      <c r="AF897" s="197"/>
      <c r="AG897" s="201"/>
      <c r="AH897" s="201"/>
      <c r="AI897" s="201"/>
      <c r="AJ897" s="201"/>
      <c r="AK897" s="122"/>
      <c r="AL897" s="122"/>
    </row>
    <row r="898">
      <c r="A898" s="115"/>
      <c r="B898" s="150"/>
      <c r="C898" s="89"/>
      <c r="D898" s="55"/>
      <c r="E898" s="115"/>
      <c r="F898" s="150"/>
      <c r="G898" s="188"/>
      <c r="H898" s="189"/>
      <c r="I898" s="115"/>
      <c r="J898" s="150"/>
      <c r="K898" s="89"/>
      <c r="L898" s="55"/>
      <c r="M898" s="115"/>
      <c r="N898" s="190"/>
      <c r="O898" s="89"/>
      <c r="P898" s="55"/>
      <c r="Q898" s="191"/>
      <c r="R898" s="192"/>
      <c r="S898" s="121"/>
      <c r="T898" s="122"/>
      <c r="U898" s="191"/>
      <c r="V898" s="192"/>
      <c r="W898" s="121"/>
      <c r="X898" s="122"/>
      <c r="Y898" s="115"/>
      <c r="Z898" s="193"/>
      <c r="AA898" s="194"/>
      <c r="AB898" s="195"/>
      <c r="AC898" s="115"/>
      <c r="AD898" s="192"/>
      <c r="AE898" s="196"/>
      <c r="AF898" s="197"/>
      <c r="AG898" s="201"/>
      <c r="AH898" s="201"/>
      <c r="AI898" s="201"/>
      <c r="AJ898" s="201"/>
      <c r="AK898" s="122"/>
      <c r="AL898" s="122"/>
    </row>
    <row r="899">
      <c r="A899" s="115"/>
      <c r="B899" s="150"/>
      <c r="C899" s="89"/>
      <c r="D899" s="55"/>
      <c r="E899" s="115"/>
      <c r="F899" s="150"/>
      <c r="G899" s="188"/>
      <c r="H899" s="189"/>
      <c r="I899" s="115"/>
      <c r="J899" s="150"/>
      <c r="K899" s="89"/>
      <c r="L899" s="55"/>
      <c r="M899" s="115"/>
      <c r="N899" s="190"/>
      <c r="O899" s="89"/>
      <c r="P899" s="55"/>
      <c r="Q899" s="191"/>
      <c r="R899" s="192"/>
      <c r="S899" s="121"/>
      <c r="T899" s="122"/>
      <c r="U899" s="191"/>
      <c r="V899" s="192"/>
      <c r="W899" s="121"/>
      <c r="X899" s="122"/>
      <c r="Y899" s="115"/>
      <c r="Z899" s="193"/>
      <c r="AA899" s="194"/>
      <c r="AB899" s="195"/>
      <c r="AC899" s="115"/>
      <c r="AD899" s="192"/>
      <c r="AE899" s="196"/>
      <c r="AF899" s="197"/>
      <c r="AG899" s="201"/>
      <c r="AH899" s="201"/>
      <c r="AI899" s="201"/>
      <c r="AJ899" s="201"/>
      <c r="AK899" s="122"/>
      <c r="AL899" s="122"/>
    </row>
    <row r="900">
      <c r="A900" s="115"/>
      <c r="B900" s="150"/>
      <c r="C900" s="89"/>
      <c r="D900" s="55"/>
      <c r="E900" s="115"/>
      <c r="F900" s="150"/>
      <c r="G900" s="188"/>
      <c r="H900" s="189"/>
      <c r="I900" s="115"/>
      <c r="J900" s="150"/>
      <c r="K900" s="89"/>
      <c r="L900" s="55"/>
      <c r="M900" s="115"/>
      <c r="N900" s="190"/>
      <c r="O900" s="89"/>
      <c r="P900" s="55"/>
      <c r="Q900" s="191"/>
      <c r="R900" s="192"/>
      <c r="S900" s="121"/>
      <c r="T900" s="122"/>
      <c r="U900" s="191"/>
      <c r="V900" s="192"/>
      <c r="W900" s="121"/>
      <c r="X900" s="122"/>
      <c r="Y900" s="115"/>
      <c r="Z900" s="193"/>
      <c r="AA900" s="194"/>
      <c r="AB900" s="195"/>
      <c r="AC900" s="115"/>
      <c r="AD900" s="192"/>
      <c r="AE900" s="196"/>
      <c r="AF900" s="197"/>
      <c r="AG900" s="201"/>
      <c r="AH900" s="201"/>
      <c r="AI900" s="201"/>
      <c r="AJ900" s="201"/>
      <c r="AK900" s="122"/>
      <c r="AL900" s="122"/>
    </row>
    <row r="901">
      <c r="A901" s="115"/>
      <c r="B901" s="150"/>
      <c r="C901" s="89"/>
      <c r="D901" s="55"/>
      <c r="E901" s="115"/>
      <c r="F901" s="150"/>
      <c r="G901" s="188"/>
      <c r="H901" s="189"/>
      <c r="I901" s="115"/>
      <c r="J901" s="150"/>
      <c r="K901" s="89"/>
      <c r="L901" s="55"/>
      <c r="M901" s="115"/>
      <c r="N901" s="190"/>
      <c r="O901" s="89"/>
      <c r="P901" s="55"/>
      <c r="Q901" s="191"/>
      <c r="R901" s="192"/>
      <c r="S901" s="121"/>
      <c r="T901" s="122"/>
      <c r="U901" s="191"/>
      <c r="V901" s="192"/>
      <c r="W901" s="121"/>
      <c r="X901" s="122"/>
      <c r="Y901" s="115"/>
      <c r="Z901" s="193"/>
      <c r="AA901" s="194"/>
      <c r="AB901" s="195"/>
      <c r="AC901" s="115"/>
      <c r="AD901" s="192"/>
      <c r="AE901" s="196"/>
      <c r="AF901" s="197"/>
      <c r="AG901" s="201"/>
      <c r="AH901" s="201"/>
      <c r="AI901" s="201"/>
      <c r="AJ901" s="201"/>
      <c r="AK901" s="122"/>
      <c r="AL901" s="122"/>
    </row>
    <row r="902">
      <c r="A902" s="115"/>
      <c r="B902" s="150"/>
      <c r="C902" s="89"/>
      <c r="D902" s="55"/>
      <c r="E902" s="115"/>
      <c r="F902" s="150"/>
      <c r="G902" s="188"/>
      <c r="H902" s="189"/>
      <c r="I902" s="115"/>
      <c r="J902" s="150"/>
      <c r="K902" s="89"/>
      <c r="L902" s="55"/>
      <c r="M902" s="115"/>
      <c r="N902" s="190"/>
      <c r="O902" s="89"/>
      <c r="P902" s="55"/>
      <c r="Q902" s="191"/>
      <c r="R902" s="192"/>
      <c r="S902" s="121"/>
      <c r="T902" s="122"/>
      <c r="U902" s="191"/>
      <c r="V902" s="192"/>
      <c r="W902" s="121"/>
      <c r="X902" s="122"/>
      <c r="Y902" s="115"/>
      <c r="Z902" s="193"/>
      <c r="AA902" s="194"/>
      <c r="AB902" s="195"/>
      <c r="AC902" s="115"/>
      <c r="AD902" s="192"/>
      <c r="AE902" s="196"/>
      <c r="AF902" s="197"/>
      <c r="AG902" s="201"/>
      <c r="AH902" s="201"/>
      <c r="AI902" s="201"/>
      <c r="AJ902" s="201"/>
      <c r="AK902" s="122"/>
      <c r="AL902" s="122"/>
    </row>
    <row r="903">
      <c r="A903" s="115"/>
      <c r="B903" s="150"/>
      <c r="C903" s="89"/>
      <c r="D903" s="55"/>
      <c r="E903" s="115"/>
      <c r="F903" s="150"/>
      <c r="G903" s="188"/>
      <c r="H903" s="189"/>
      <c r="I903" s="115"/>
      <c r="J903" s="150"/>
      <c r="K903" s="89"/>
      <c r="L903" s="55"/>
      <c r="M903" s="115"/>
      <c r="N903" s="190"/>
      <c r="O903" s="89"/>
      <c r="P903" s="55"/>
      <c r="Q903" s="191"/>
      <c r="R903" s="192"/>
      <c r="S903" s="121"/>
      <c r="T903" s="122"/>
      <c r="U903" s="191"/>
      <c r="V903" s="192"/>
      <c r="W903" s="121"/>
      <c r="X903" s="122"/>
      <c r="Y903" s="115"/>
      <c r="Z903" s="193"/>
      <c r="AA903" s="194"/>
      <c r="AB903" s="195"/>
      <c r="AC903" s="115"/>
      <c r="AD903" s="192"/>
      <c r="AE903" s="196"/>
      <c r="AF903" s="197"/>
      <c r="AG903" s="201"/>
      <c r="AH903" s="201"/>
      <c r="AI903" s="201"/>
      <c r="AJ903" s="201"/>
      <c r="AK903" s="122"/>
      <c r="AL903" s="122"/>
    </row>
    <row r="904">
      <c r="A904" s="115"/>
      <c r="B904" s="150"/>
      <c r="C904" s="89"/>
      <c r="D904" s="55"/>
      <c r="E904" s="115"/>
      <c r="F904" s="150"/>
      <c r="G904" s="188"/>
      <c r="H904" s="189"/>
      <c r="I904" s="115"/>
      <c r="J904" s="150"/>
      <c r="K904" s="89"/>
      <c r="L904" s="55"/>
      <c r="M904" s="115"/>
      <c r="N904" s="190"/>
      <c r="O904" s="89"/>
      <c r="P904" s="55"/>
      <c r="Q904" s="191"/>
      <c r="R904" s="192"/>
      <c r="S904" s="121"/>
      <c r="T904" s="122"/>
      <c r="U904" s="191"/>
      <c r="V904" s="192"/>
      <c r="W904" s="121"/>
      <c r="X904" s="122"/>
      <c r="Y904" s="115"/>
      <c r="Z904" s="193"/>
      <c r="AA904" s="194"/>
      <c r="AB904" s="195"/>
      <c r="AC904" s="115"/>
      <c r="AD904" s="192"/>
      <c r="AE904" s="196"/>
      <c r="AF904" s="197"/>
      <c r="AG904" s="201"/>
      <c r="AH904" s="201"/>
      <c r="AI904" s="201"/>
      <c r="AJ904" s="201"/>
      <c r="AK904" s="122"/>
      <c r="AL904" s="122"/>
    </row>
    <row r="905">
      <c r="A905" s="115"/>
      <c r="B905" s="150"/>
      <c r="C905" s="89"/>
      <c r="D905" s="55"/>
      <c r="E905" s="115"/>
      <c r="F905" s="150"/>
      <c r="G905" s="188"/>
      <c r="H905" s="189"/>
      <c r="I905" s="115"/>
      <c r="J905" s="150"/>
      <c r="K905" s="89"/>
      <c r="L905" s="55"/>
      <c r="M905" s="115"/>
      <c r="N905" s="190"/>
      <c r="O905" s="89"/>
      <c r="P905" s="55"/>
      <c r="Q905" s="191"/>
      <c r="R905" s="192"/>
      <c r="S905" s="121"/>
      <c r="T905" s="122"/>
      <c r="U905" s="191"/>
      <c r="V905" s="192"/>
      <c r="W905" s="121"/>
      <c r="X905" s="122"/>
      <c r="Y905" s="115"/>
      <c r="Z905" s="193"/>
      <c r="AA905" s="194"/>
      <c r="AB905" s="195"/>
      <c r="AC905" s="115"/>
      <c r="AD905" s="192"/>
      <c r="AE905" s="196"/>
      <c r="AF905" s="197"/>
      <c r="AG905" s="201"/>
      <c r="AH905" s="201"/>
      <c r="AI905" s="201"/>
      <c r="AJ905" s="201"/>
      <c r="AK905" s="122"/>
      <c r="AL905" s="122"/>
    </row>
    <row r="906">
      <c r="A906" s="115"/>
      <c r="B906" s="150"/>
      <c r="C906" s="89"/>
      <c r="D906" s="55"/>
      <c r="E906" s="115"/>
      <c r="F906" s="150"/>
      <c r="G906" s="188"/>
      <c r="H906" s="189"/>
      <c r="I906" s="115"/>
      <c r="J906" s="150"/>
      <c r="K906" s="89"/>
      <c r="L906" s="55"/>
      <c r="M906" s="115"/>
      <c r="N906" s="190"/>
      <c r="O906" s="89"/>
      <c r="P906" s="55"/>
      <c r="Q906" s="191"/>
      <c r="R906" s="192"/>
      <c r="S906" s="121"/>
      <c r="T906" s="122"/>
      <c r="U906" s="191"/>
      <c r="V906" s="192"/>
      <c r="W906" s="121"/>
      <c r="X906" s="122"/>
      <c r="Y906" s="115"/>
      <c r="Z906" s="193"/>
      <c r="AA906" s="194"/>
      <c r="AB906" s="195"/>
      <c r="AC906" s="115"/>
      <c r="AD906" s="192"/>
      <c r="AE906" s="196"/>
      <c r="AF906" s="197"/>
      <c r="AG906" s="201"/>
      <c r="AH906" s="201"/>
      <c r="AI906" s="201"/>
      <c r="AJ906" s="201"/>
      <c r="AK906" s="122"/>
      <c r="AL906" s="122"/>
    </row>
    <row r="907">
      <c r="A907" s="115"/>
      <c r="B907" s="150"/>
      <c r="C907" s="89"/>
      <c r="D907" s="55"/>
      <c r="E907" s="115"/>
      <c r="F907" s="150"/>
      <c r="G907" s="188"/>
      <c r="H907" s="189"/>
      <c r="I907" s="115"/>
      <c r="J907" s="150"/>
      <c r="K907" s="89"/>
      <c r="L907" s="55"/>
      <c r="M907" s="115"/>
      <c r="N907" s="190"/>
      <c r="O907" s="89"/>
      <c r="P907" s="55"/>
      <c r="Q907" s="191"/>
      <c r="R907" s="192"/>
      <c r="S907" s="121"/>
      <c r="T907" s="122"/>
      <c r="U907" s="191"/>
      <c r="V907" s="192"/>
      <c r="W907" s="121"/>
      <c r="X907" s="122"/>
      <c r="Y907" s="115"/>
      <c r="Z907" s="193"/>
      <c r="AA907" s="194"/>
      <c r="AB907" s="195"/>
      <c r="AC907" s="115"/>
      <c r="AD907" s="192"/>
      <c r="AE907" s="196"/>
      <c r="AF907" s="197"/>
      <c r="AG907" s="201"/>
      <c r="AH907" s="201"/>
      <c r="AI907" s="201"/>
      <c r="AJ907" s="201"/>
      <c r="AK907" s="122"/>
      <c r="AL907" s="122"/>
    </row>
    <row r="908">
      <c r="A908" s="115"/>
      <c r="B908" s="150"/>
      <c r="C908" s="89"/>
      <c r="D908" s="55"/>
      <c r="E908" s="115"/>
      <c r="F908" s="150"/>
      <c r="G908" s="188"/>
      <c r="H908" s="189"/>
      <c r="I908" s="115"/>
      <c r="J908" s="150"/>
      <c r="K908" s="89"/>
      <c r="L908" s="55"/>
      <c r="M908" s="115"/>
      <c r="N908" s="190"/>
      <c r="O908" s="89"/>
      <c r="P908" s="55"/>
      <c r="Q908" s="191"/>
      <c r="R908" s="192"/>
      <c r="S908" s="121"/>
      <c r="T908" s="122"/>
      <c r="U908" s="191"/>
      <c r="V908" s="192"/>
      <c r="W908" s="121"/>
      <c r="X908" s="122"/>
      <c r="Y908" s="115"/>
      <c r="Z908" s="193"/>
      <c r="AA908" s="194"/>
      <c r="AB908" s="195"/>
      <c r="AC908" s="115"/>
      <c r="AD908" s="192"/>
      <c r="AE908" s="196"/>
      <c r="AF908" s="197"/>
      <c r="AG908" s="201"/>
      <c r="AH908" s="201"/>
      <c r="AI908" s="201"/>
      <c r="AJ908" s="201"/>
      <c r="AK908" s="122"/>
      <c r="AL908" s="122"/>
    </row>
    <row r="909">
      <c r="A909" s="115"/>
      <c r="B909" s="150"/>
      <c r="C909" s="89"/>
      <c r="D909" s="55"/>
      <c r="E909" s="115"/>
      <c r="F909" s="150"/>
      <c r="G909" s="188"/>
      <c r="H909" s="189"/>
      <c r="I909" s="115"/>
      <c r="J909" s="150"/>
      <c r="K909" s="89"/>
      <c r="L909" s="55"/>
      <c r="M909" s="115"/>
      <c r="N909" s="190"/>
      <c r="O909" s="89"/>
      <c r="P909" s="55"/>
      <c r="Q909" s="191"/>
      <c r="R909" s="192"/>
      <c r="S909" s="121"/>
      <c r="T909" s="122"/>
      <c r="U909" s="191"/>
      <c r="V909" s="192"/>
      <c r="W909" s="121"/>
      <c r="X909" s="122"/>
      <c r="Y909" s="115"/>
      <c r="Z909" s="193"/>
      <c r="AA909" s="194"/>
      <c r="AB909" s="195"/>
      <c r="AC909" s="115"/>
      <c r="AD909" s="192"/>
      <c r="AE909" s="196"/>
      <c r="AF909" s="197"/>
      <c r="AG909" s="201"/>
      <c r="AH909" s="201"/>
      <c r="AI909" s="201"/>
      <c r="AJ909" s="201"/>
      <c r="AK909" s="122"/>
      <c r="AL909" s="122"/>
    </row>
    <row r="910">
      <c r="A910" s="115"/>
      <c r="B910" s="150"/>
      <c r="C910" s="89"/>
      <c r="D910" s="55"/>
      <c r="E910" s="115"/>
      <c r="F910" s="150"/>
      <c r="G910" s="188"/>
      <c r="H910" s="189"/>
      <c r="I910" s="115"/>
      <c r="J910" s="150"/>
      <c r="K910" s="89"/>
      <c r="L910" s="55"/>
      <c r="M910" s="115"/>
      <c r="N910" s="190"/>
      <c r="O910" s="89"/>
      <c r="P910" s="55"/>
      <c r="Q910" s="191"/>
      <c r="R910" s="192"/>
      <c r="S910" s="121"/>
      <c r="T910" s="122"/>
      <c r="U910" s="191"/>
      <c r="V910" s="192"/>
      <c r="W910" s="121"/>
      <c r="X910" s="122"/>
      <c r="Y910" s="115"/>
      <c r="Z910" s="193"/>
      <c r="AA910" s="194"/>
      <c r="AB910" s="195"/>
      <c r="AC910" s="115"/>
      <c r="AD910" s="192"/>
      <c r="AE910" s="196"/>
      <c r="AF910" s="197"/>
      <c r="AG910" s="201"/>
      <c r="AH910" s="201"/>
      <c r="AI910" s="201"/>
      <c r="AJ910" s="201"/>
      <c r="AK910" s="122"/>
      <c r="AL910" s="122"/>
    </row>
    <row r="911">
      <c r="A911" s="115"/>
      <c r="B911" s="150"/>
      <c r="C911" s="89"/>
      <c r="D911" s="55"/>
      <c r="E911" s="115"/>
      <c r="F911" s="150"/>
      <c r="G911" s="188"/>
      <c r="H911" s="189"/>
      <c r="I911" s="115"/>
      <c r="J911" s="150"/>
      <c r="K911" s="89"/>
      <c r="L911" s="55"/>
      <c r="M911" s="115"/>
      <c r="N911" s="190"/>
      <c r="O911" s="89"/>
      <c r="P911" s="55"/>
      <c r="Q911" s="191"/>
      <c r="R911" s="192"/>
      <c r="S911" s="121"/>
      <c r="T911" s="122"/>
      <c r="U911" s="191"/>
      <c r="V911" s="192"/>
      <c r="W911" s="121"/>
      <c r="X911" s="122"/>
      <c r="Y911" s="115"/>
      <c r="Z911" s="193"/>
      <c r="AA911" s="194"/>
      <c r="AB911" s="195"/>
      <c r="AC911" s="115"/>
      <c r="AD911" s="192"/>
      <c r="AE911" s="196"/>
      <c r="AF911" s="197"/>
      <c r="AG911" s="201"/>
      <c r="AH911" s="201"/>
      <c r="AI911" s="201"/>
      <c r="AJ911" s="201"/>
      <c r="AK911" s="122"/>
      <c r="AL911" s="122"/>
    </row>
    <row r="912">
      <c r="A912" s="115"/>
      <c r="B912" s="150"/>
      <c r="C912" s="89"/>
      <c r="D912" s="55"/>
      <c r="E912" s="115"/>
      <c r="F912" s="150"/>
      <c r="G912" s="188"/>
      <c r="H912" s="189"/>
      <c r="I912" s="115"/>
      <c r="J912" s="150"/>
      <c r="K912" s="89"/>
      <c r="L912" s="55"/>
      <c r="M912" s="115"/>
      <c r="N912" s="190"/>
      <c r="O912" s="89"/>
      <c r="P912" s="55"/>
      <c r="Q912" s="191"/>
      <c r="R912" s="192"/>
      <c r="S912" s="121"/>
      <c r="T912" s="122"/>
      <c r="U912" s="191"/>
      <c r="V912" s="192"/>
      <c r="W912" s="121"/>
      <c r="X912" s="122"/>
      <c r="Y912" s="115"/>
      <c r="Z912" s="193"/>
      <c r="AA912" s="194"/>
      <c r="AB912" s="195"/>
      <c r="AC912" s="115"/>
      <c r="AD912" s="192"/>
      <c r="AE912" s="196"/>
      <c r="AF912" s="197"/>
      <c r="AG912" s="201"/>
      <c r="AH912" s="201"/>
      <c r="AI912" s="201"/>
      <c r="AJ912" s="201"/>
      <c r="AK912" s="122"/>
      <c r="AL912" s="122"/>
    </row>
    <row r="913">
      <c r="A913" s="115"/>
      <c r="B913" s="150"/>
      <c r="C913" s="89"/>
      <c r="D913" s="55"/>
      <c r="E913" s="115"/>
      <c r="F913" s="150"/>
      <c r="G913" s="188"/>
      <c r="H913" s="189"/>
      <c r="I913" s="115"/>
      <c r="J913" s="150"/>
      <c r="K913" s="89"/>
      <c r="L913" s="55"/>
      <c r="M913" s="115"/>
      <c r="N913" s="190"/>
      <c r="O913" s="89"/>
      <c r="P913" s="55"/>
      <c r="Q913" s="191"/>
      <c r="R913" s="192"/>
      <c r="S913" s="121"/>
      <c r="T913" s="122"/>
      <c r="U913" s="191"/>
      <c r="V913" s="192"/>
      <c r="W913" s="121"/>
      <c r="X913" s="122"/>
      <c r="Y913" s="115"/>
      <c r="Z913" s="193"/>
      <c r="AA913" s="194"/>
      <c r="AB913" s="195"/>
      <c r="AC913" s="115"/>
      <c r="AD913" s="192"/>
      <c r="AE913" s="196"/>
      <c r="AF913" s="197"/>
      <c r="AG913" s="201"/>
      <c r="AH913" s="201"/>
      <c r="AI913" s="201"/>
      <c r="AJ913" s="201"/>
      <c r="AK913" s="122"/>
      <c r="AL913" s="122"/>
    </row>
    <row r="914">
      <c r="A914" s="115"/>
      <c r="B914" s="150"/>
      <c r="C914" s="89"/>
      <c r="D914" s="55"/>
      <c r="E914" s="115"/>
      <c r="F914" s="150"/>
      <c r="G914" s="188"/>
      <c r="H914" s="189"/>
      <c r="I914" s="115"/>
      <c r="J914" s="150"/>
      <c r="K914" s="89"/>
      <c r="L914" s="55"/>
      <c r="M914" s="115"/>
      <c r="N914" s="190"/>
      <c r="O914" s="89"/>
      <c r="P914" s="55"/>
      <c r="Q914" s="191"/>
      <c r="R914" s="192"/>
      <c r="S914" s="121"/>
      <c r="T914" s="122"/>
      <c r="U914" s="191"/>
      <c r="V914" s="192"/>
      <c r="W914" s="121"/>
      <c r="X914" s="122"/>
      <c r="Y914" s="115"/>
      <c r="Z914" s="193"/>
      <c r="AA914" s="194"/>
      <c r="AB914" s="195"/>
      <c r="AC914" s="115"/>
      <c r="AD914" s="192"/>
      <c r="AE914" s="196"/>
      <c r="AF914" s="197"/>
      <c r="AG914" s="201"/>
      <c r="AH914" s="201"/>
      <c r="AI914" s="201"/>
      <c r="AJ914" s="201"/>
      <c r="AK914" s="122"/>
      <c r="AL914" s="122"/>
    </row>
    <row r="915">
      <c r="A915" s="115"/>
      <c r="B915" s="150"/>
      <c r="C915" s="89"/>
      <c r="D915" s="55"/>
      <c r="E915" s="115"/>
      <c r="F915" s="150"/>
      <c r="G915" s="188"/>
      <c r="H915" s="189"/>
      <c r="I915" s="115"/>
      <c r="J915" s="150"/>
      <c r="K915" s="89"/>
      <c r="L915" s="55"/>
      <c r="M915" s="115"/>
      <c r="N915" s="190"/>
      <c r="O915" s="89"/>
      <c r="P915" s="55"/>
      <c r="Q915" s="191"/>
      <c r="R915" s="192"/>
      <c r="S915" s="121"/>
      <c r="T915" s="122"/>
      <c r="U915" s="191"/>
      <c r="V915" s="192"/>
      <c r="W915" s="121"/>
      <c r="X915" s="122"/>
      <c r="Y915" s="115"/>
      <c r="Z915" s="193"/>
      <c r="AA915" s="194"/>
      <c r="AB915" s="195"/>
      <c r="AC915" s="115"/>
      <c r="AD915" s="192"/>
      <c r="AE915" s="196"/>
      <c r="AF915" s="197"/>
      <c r="AG915" s="201"/>
      <c r="AH915" s="201"/>
      <c r="AI915" s="201"/>
      <c r="AJ915" s="201"/>
      <c r="AK915" s="122"/>
      <c r="AL915" s="122"/>
    </row>
    <row r="916">
      <c r="A916" s="115"/>
      <c r="B916" s="150"/>
      <c r="C916" s="89"/>
      <c r="D916" s="55"/>
      <c r="E916" s="115"/>
      <c r="F916" s="150"/>
      <c r="G916" s="188"/>
      <c r="H916" s="189"/>
      <c r="I916" s="115"/>
      <c r="J916" s="150"/>
      <c r="K916" s="89"/>
      <c r="L916" s="55"/>
      <c r="M916" s="115"/>
      <c r="N916" s="190"/>
      <c r="O916" s="89"/>
      <c r="P916" s="55"/>
      <c r="Q916" s="191"/>
      <c r="R916" s="192"/>
      <c r="S916" s="121"/>
      <c r="T916" s="122"/>
      <c r="U916" s="191"/>
      <c r="V916" s="192"/>
      <c r="W916" s="121"/>
      <c r="X916" s="122"/>
      <c r="Y916" s="115"/>
      <c r="Z916" s="193"/>
      <c r="AA916" s="194"/>
      <c r="AB916" s="195"/>
      <c r="AC916" s="115"/>
      <c r="AD916" s="192"/>
      <c r="AE916" s="196"/>
      <c r="AF916" s="197"/>
      <c r="AG916" s="201"/>
      <c r="AH916" s="201"/>
      <c r="AI916" s="201"/>
      <c r="AJ916" s="201"/>
      <c r="AK916" s="122"/>
      <c r="AL916" s="122"/>
    </row>
    <row r="917">
      <c r="A917" s="115"/>
      <c r="B917" s="150"/>
      <c r="C917" s="89"/>
      <c r="D917" s="55"/>
      <c r="E917" s="115"/>
      <c r="F917" s="150"/>
      <c r="G917" s="188"/>
      <c r="H917" s="189"/>
      <c r="I917" s="115"/>
      <c r="J917" s="150"/>
      <c r="K917" s="89"/>
      <c r="L917" s="55"/>
      <c r="M917" s="115"/>
      <c r="N917" s="190"/>
      <c r="O917" s="89"/>
      <c r="P917" s="55"/>
      <c r="Q917" s="191"/>
      <c r="R917" s="192"/>
      <c r="S917" s="121"/>
      <c r="T917" s="122"/>
      <c r="U917" s="191"/>
      <c r="V917" s="192"/>
      <c r="W917" s="121"/>
      <c r="X917" s="122"/>
      <c r="Y917" s="115"/>
      <c r="Z917" s="193"/>
      <c r="AA917" s="194"/>
      <c r="AB917" s="195"/>
      <c r="AC917" s="115"/>
      <c r="AD917" s="192"/>
      <c r="AE917" s="196"/>
      <c r="AF917" s="197"/>
      <c r="AG917" s="201"/>
      <c r="AH917" s="201"/>
      <c r="AI917" s="201"/>
      <c r="AJ917" s="201"/>
      <c r="AK917" s="122"/>
      <c r="AL917" s="122"/>
    </row>
    <row r="918">
      <c r="A918" s="115"/>
      <c r="B918" s="150"/>
      <c r="C918" s="89"/>
      <c r="D918" s="55"/>
      <c r="E918" s="115"/>
      <c r="F918" s="150"/>
      <c r="G918" s="188"/>
      <c r="H918" s="189"/>
      <c r="I918" s="115"/>
      <c r="J918" s="150"/>
      <c r="K918" s="89"/>
      <c r="L918" s="55"/>
      <c r="M918" s="115"/>
      <c r="N918" s="190"/>
      <c r="O918" s="89"/>
      <c r="P918" s="55"/>
      <c r="Q918" s="191"/>
      <c r="R918" s="192"/>
      <c r="S918" s="121"/>
      <c r="T918" s="122"/>
      <c r="U918" s="191"/>
      <c r="V918" s="192"/>
      <c r="W918" s="121"/>
      <c r="X918" s="122"/>
      <c r="Y918" s="115"/>
      <c r="Z918" s="193"/>
      <c r="AA918" s="194"/>
      <c r="AB918" s="195"/>
      <c r="AC918" s="115"/>
      <c r="AD918" s="192"/>
      <c r="AE918" s="196"/>
      <c r="AF918" s="197"/>
      <c r="AG918" s="201"/>
      <c r="AH918" s="201"/>
      <c r="AI918" s="201"/>
      <c r="AJ918" s="201"/>
      <c r="AK918" s="122"/>
      <c r="AL918" s="122"/>
    </row>
    <row r="919">
      <c r="A919" s="115"/>
      <c r="B919" s="150"/>
      <c r="C919" s="89"/>
      <c r="D919" s="55"/>
      <c r="E919" s="115"/>
      <c r="F919" s="150"/>
      <c r="G919" s="188"/>
      <c r="H919" s="189"/>
      <c r="I919" s="115"/>
      <c r="J919" s="150"/>
      <c r="K919" s="89"/>
      <c r="L919" s="55"/>
      <c r="M919" s="115"/>
      <c r="N919" s="190"/>
      <c r="O919" s="89"/>
      <c r="P919" s="55"/>
      <c r="Q919" s="191"/>
      <c r="R919" s="192"/>
      <c r="S919" s="121"/>
      <c r="T919" s="122"/>
      <c r="U919" s="191"/>
      <c r="V919" s="192"/>
      <c r="W919" s="121"/>
      <c r="X919" s="122"/>
      <c r="Y919" s="115"/>
      <c r="Z919" s="193"/>
      <c r="AA919" s="194"/>
      <c r="AB919" s="195"/>
      <c r="AC919" s="115"/>
      <c r="AD919" s="192"/>
      <c r="AE919" s="196"/>
      <c r="AF919" s="197"/>
      <c r="AG919" s="201"/>
      <c r="AH919" s="201"/>
      <c r="AI919" s="201"/>
      <c r="AJ919" s="201"/>
      <c r="AK919" s="122"/>
      <c r="AL919" s="122"/>
    </row>
    <row r="920">
      <c r="A920" s="115"/>
      <c r="B920" s="150"/>
      <c r="C920" s="89"/>
      <c r="D920" s="55"/>
      <c r="E920" s="115"/>
      <c r="F920" s="150"/>
      <c r="G920" s="188"/>
      <c r="H920" s="189"/>
      <c r="I920" s="115"/>
      <c r="J920" s="150"/>
      <c r="K920" s="89"/>
      <c r="L920" s="55"/>
      <c r="M920" s="115"/>
      <c r="N920" s="190"/>
      <c r="O920" s="89"/>
      <c r="P920" s="55"/>
      <c r="Q920" s="191"/>
      <c r="R920" s="192"/>
      <c r="S920" s="121"/>
      <c r="T920" s="122"/>
      <c r="U920" s="191"/>
      <c r="V920" s="192"/>
      <c r="W920" s="121"/>
      <c r="X920" s="122"/>
      <c r="Y920" s="115"/>
      <c r="Z920" s="193"/>
      <c r="AA920" s="194"/>
      <c r="AB920" s="195"/>
      <c r="AC920" s="115"/>
      <c r="AD920" s="192"/>
      <c r="AE920" s="196"/>
      <c r="AF920" s="197"/>
      <c r="AG920" s="201"/>
      <c r="AH920" s="201"/>
      <c r="AI920" s="201"/>
      <c r="AJ920" s="201"/>
      <c r="AK920" s="122"/>
      <c r="AL920" s="122"/>
    </row>
    <row r="921">
      <c r="A921" s="115"/>
      <c r="B921" s="150"/>
      <c r="C921" s="89"/>
      <c r="D921" s="55"/>
      <c r="E921" s="115"/>
      <c r="F921" s="150"/>
      <c r="G921" s="188"/>
      <c r="H921" s="189"/>
      <c r="I921" s="115"/>
      <c r="J921" s="150"/>
      <c r="K921" s="89"/>
      <c r="L921" s="55"/>
      <c r="M921" s="115"/>
      <c r="N921" s="190"/>
      <c r="O921" s="89"/>
      <c r="P921" s="55"/>
      <c r="Q921" s="191"/>
      <c r="R921" s="192"/>
      <c r="S921" s="121"/>
      <c r="T921" s="122"/>
      <c r="U921" s="191"/>
      <c r="V921" s="192"/>
      <c r="W921" s="121"/>
      <c r="X921" s="122"/>
      <c r="Y921" s="115"/>
      <c r="Z921" s="193"/>
      <c r="AA921" s="194"/>
      <c r="AB921" s="195"/>
      <c r="AC921" s="115"/>
      <c r="AD921" s="192"/>
      <c r="AE921" s="196"/>
      <c r="AF921" s="197"/>
      <c r="AG921" s="201"/>
      <c r="AH921" s="201"/>
      <c r="AI921" s="201"/>
      <c r="AJ921" s="201"/>
      <c r="AK921" s="122"/>
      <c r="AL921" s="122"/>
    </row>
    <row r="922">
      <c r="A922" s="115"/>
      <c r="B922" s="150"/>
      <c r="C922" s="89"/>
      <c r="D922" s="55"/>
      <c r="E922" s="115"/>
      <c r="F922" s="150"/>
      <c r="G922" s="188"/>
      <c r="H922" s="189"/>
      <c r="I922" s="115"/>
      <c r="J922" s="150"/>
      <c r="K922" s="89"/>
      <c r="L922" s="55"/>
      <c r="M922" s="115"/>
      <c r="N922" s="190"/>
      <c r="O922" s="89"/>
      <c r="P922" s="55"/>
      <c r="Q922" s="191"/>
      <c r="R922" s="192"/>
      <c r="S922" s="121"/>
      <c r="T922" s="122"/>
      <c r="U922" s="191"/>
      <c r="V922" s="192"/>
      <c r="W922" s="121"/>
      <c r="X922" s="122"/>
      <c r="Y922" s="115"/>
      <c r="Z922" s="193"/>
      <c r="AA922" s="194"/>
      <c r="AB922" s="195"/>
      <c r="AC922" s="115"/>
      <c r="AD922" s="192"/>
      <c r="AE922" s="196"/>
      <c r="AF922" s="197"/>
      <c r="AG922" s="201"/>
      <c r="AH922" s="201"/>
      <c r="AI922" s="201"/>
      <c r="AJ922" s="201"/>
      <c r="AK922" s="122"/>
      <c r="AL922" s="122"/>
    </row>
    <row r="923">
      <c r="A923" s="115"/>
      <c r="B923" s="150"/>
      <c r="C923" s="89"/>
      <c r="D923" s="55"/>
      <c r="E923" s="115"/>
      <c r="F923" s="150"/>
      <c r="G923" s="188"/>
      <c r="H923" s="189"/>
      <c r="I923" s="115"/>
      <c r="J923" s="150"/>
      <c r="K923" s="89"/>
      <c r="L923" s="55"/>
      <c r="M923" s="115"/>
      <c r="N923" s="190"/>
      <c r="O923" s="89"/>
      <c r="P923" s="55"/>
      <c r="Q923" s="191"/>
      <c r="R923" s="192"/>
      <c r="S923" s="121"/>
      <c r="T923" s="122"/>
      <c r="U923" s="191"/>
      <c r="V923" s="192"/>
      <c r="W923" s="121"/>
      <c r="X923" s="122"/>
      <c r="Y923" s="115"/>
      <c r="Z923" s="193"/>
      <c r="AA923" s="194"/>
      <c r="AB923" s="195"/>
      <c r="AC923" s="115"/>
      <c r="AD923" s="192"/>
      <c r="AE923" s="196"/>
      <c r="AF923" s="197"/>
      <c r="AG923" s="201"/>
      <c r="AH923" s="201"/>
      <c r="AI923" s="201"/>
      <c r="AJ923" s="201"/>
      <c r="AK923" s="122"/>
      <c r="AL923" s="122"/>
    </row>
    <row r="924">
      <c r="A924" s="115"/>
      <c r="B924" s="150"/>
      <c r="C924" s="89"/>
      <c r="D924" s="55"/>
      <c r="E924" s="115"/>
      <c r="F924" s="150"/>
      <c r="G924" s="188"/>
      <c r="H924" s="189"/>
      <c r="I924" s="115"/>
      <c r="J924" s="150"/>
      <c r="K924" s="89"/>
      <c r="L924" s="55"/>
      <c r="M924" s="115"/>
      <c r="N924" s="190"/>
      <c r="O924" s="89"/>
      <c r="P924" s="55"/>
      <c r="Q924" s="191"/>
      <c r="R924" s="192"/>
      <c r="S924" s="121"/>
      <c r="T924" s="122"/>
      <c r="U924" s="191"/>
      <c r="V924" s="192"/>
      <c r="W924" s="121"/>
      <c r="X924" s="122"/>
      <c r="Y924" s="115"/>
      <c r="Z924" s="193"/>
      <c r="AA924" s="194"/>
      <c r="AB924" s="195"/>
      <c r="AC924" s="115"/>
      <c r="AD924" s="192"/>
      <c r="AE924" s="196"/>
      <c r="AF924" s="197"/>
      <c r="AG924" s="201"/>
      <c r="AH924" s="201"/>
      <c r="AI924" s="201"/>
      <c r="AJ924" s="201"/>
      <c r="AK924" s="122"/>
      <c r="AL924" s="122"/>
    </row>
    <row r="925">
      <c r="A925" s="115"/>
      <c r="B925" s="150"/>
      <c r="C925" s="89"/>
      <c r="D925" s="55"/>
      <c r="E925" s="115"/>
      <c r="F925" s="150"/>
      <c r="G925" s="188"/>
      <c r="H925" s="189"/>
      <c r="I925" s="115"/>
      <c r="J925" s="150"/>
      <c r="K925" s="89"/>
      <c r="L925" s="55"/>
      <c r="M925" s="115"/>
      <c r="N925" s="190"/>
      <c r="O925" s="89"/>
      <c r="P925" s="55"/>
      <c r="Q925" s="191"/>
      <c r="R925" s="192"/>
      <c r="S925" s="121"/>
      <c r="T925" s="122"/>
      <c r="U925" s="191"/>
      <c r="V925" s="192"/>
      <c r="W925" s="121"/>
      <c r="X925" s="122"/>
      <c r="Y925" s="115"/>
      <c r="Z925" s="193"/>
      <c r="AA925" s="194"/>
      <c r="AB925" s="195"/>
      <c r="AC925" s="115"/>
      <c r="AD925" s="192"/>
      <c r="AE925" s="196"/>
      <c r="AF925" s="197"/>
      <c r="AG925" s="201"/>
      <c r="AH925" s="201"/>
      <c r="AI925" s="201"/>
      <c r="AJ925" s="201"/>
      <c r="AK925" s="122"/>
      <c r="AL925" s="122"/>
    </row>
    <row r="926">
      <c r="A926" s="115"/>
      <c r="B926" s="150"/>
      <c r="C926" s="89"/>
      <c r="D926" s="55"/>
      <c r="E926" s="115"/>
      <c r="F926" s="150"/>
      <c r="G926" s="188"/>
      <c r="H926" s="189"/>
      <c r="I926" s="115"/>
      <c r="J926" s="150"/>
      <c r="K926" s="89"/>
      <c r="L926" s="55"/>
      <c r="M926" s="115"/>
      <c r="N926" s="190"/>
      <c r="O926" s="89"/>
      <c r="P926" s="55"/>
      <c r="Q926" s="191"/>
      <c r="R926" s="192"/>
      <c r="S926" s="121"/>
      <c r="T926" s="122"/>
      <c r="U926" s="191"/>
      <c r="V926" s="192"/>
      <c r="W926" s="121"/>
      <c r="X926" s="122"/>
      <c r="Y926" s="115"/>
      <c r="Z926" s="193"/>
      <c r="AA926" s="194"/>
      <c r="AB926" s="195"/>
      <c r="AC926" s="115"/>
      <c r="AD926" s="192"/>
      <c r="AE926" s="196"/>
      <c r="AF926" s="197"/>
      <c r="AG926" s="201"/>
      <c r="AH926" s="201"/>
      <c r="AI926" s="201"/>
      <c r="AJ926" s="201"/>
      <c r="AK926" s="122"/>
      <c r="AL926" s="122"/>
    </row>
    <row r="927">
      <c r="A927" s="115"/>
      <c r="B927" s="150"/>
      <c r="C927" s="89"/>
      <c r="D927" s="55"/>
      <c r="E927" s="115"/>
      <c r="F927" s="150"/>
      <c r="G927" s="188"/>
      <c r="H927" s="189"/>
      <c r="I927" s="115"/>
      <c r="J927" s="150"/>
      <c r="K927" s="89"/>
      <c r="L927" s="55"/>
      <c r="M927" s="115"/>
      <c r="N927" s="190"/>
      <c r="O927" s="89"/>
      <c r="P927" s="55"/>
      <c r="Q927" s="191"/>
      <c r="R927" s="192"/>
      <c r="S927" s="121"/>
      <c r="T927" s="122"/>
      <c r="U927" s="191"/>
      <c r="V927" s="192"/>
      <c r="W927" s="121"/>
      <c r="X927" s="122"/>
      <c r="Y927" s="115"/>
      <c r="Z927" s="193"/>
      <c r="AA927" s="194"/>
      <c r="AB927" s="195"/>
      <c r="AC927" s="115"/>
      <c r="AD927" s="192"/>
      <c r="AE927" s="196"/>
      <c r="AF927" s="197"/>
      <c r="AG927" s="201"/>
      <c r="AH927" s="201"/>
      <c r="AI927" s="201"/>
      <c r="AJ927" s="201"/>
      <c r="AK927" s="122"/>
      <c r="AL927" s="122"/>
    </row>
    <row r="928">
      <c r="A928" s="115"/>
      <c r="B928" s="150"/>
      <c r="C928" s="89"/>
      <c r="D928" s="55"/>
      <c r="E928" s="115"/>
      <c r="F928" s="150"/>
      <c r="G928" s="188"/>
      <c r="H928" s="189"/>
      <c r="I928" s="115"/>
      <c r="J928" s="150"/>
      <c r="K928" s="89"/>
      <c r="L928" s="55"/>
      <c r="M928" s="115"/>
      <c r="N928" s="190"/>
      <c r="O928" s="89"/>
      <c r="P928" s="55"/>
      <c r="Q928" s="191"/>
      <c r="R928" s="192"/>
      <c r="S928" s="121"/>
      <c r="T928" s="122"/>
      <c r="U928" s="191"/>
      <c r="V928" s="192"/>
      <c r="W928" s="121"/>
      <c r="X928" s="122"/>
      <c r="Y928" s="115"/>
      <c r="Z928" s="193"/>
      <c r="AA928" s="194"/>
      <c r="AB928" s="195"/>
      <c r="AC928" s="115"/>
      <c r="AD928" s="192"/>
      <c r="AE928" s="196"/>
      <c r="AF928" s="197"/>
      <c r="AG928" s="201"/>
      <c r="AH928" s="201"/>
      <c r="AI928" s="201"/>
      <c r="AJ928" s="201"/>
      <c r="AK928" s="122"/>
      <c r="AL928" s="122"/>
    </row>
    <row r="929">
      <c r="A929" s="115"/>
      <c r="B929" s="150"/>
      <c r="C929" s="89"/>
      <c r="D929" s="55"/>
      <c r="E929" s="115"/>
      <c r="F929" s="150"/>
      <c r="G929" s="188"/>
      <c r="H929" s="189"/>
      <c r="I929" s="115"/>
      <c r="J929" s="150"/>
      <c r="K929" s="89"/>
      <c r="L929" s="55"/>
      <c r="M929" s="115"/>
      <c r="N929" s="190"/>
      <c r="O929" s="89"/>
      <c r="P929" s="55"/>
      <c r="Q929" s="191"/>
      <c r="R929" s="192"/>
      <c r="S929" s="121"/>
      <c r="T929" s="122"/>
      <c r="U929" s="191"/>
      <c r="V929" s="192"/>
      <c r="W929" s="121"/>
      <c r="X929" s="122"/>
      <c r="Y929" s="115"/>
      <c r="Z929" s="193"/>
      <c r="AA929" s="194"/>
      <c r="AB929" s="195"/>
      <c r="AC929" s="115"/>
      <c r="AD929" s="192"/>
      <c r="AE929" s="196"/>
      <c r="AF929" s="197"/>
      <c r="AG929" s="201"/>
      <c r="AH929" s="201"/>
      <c r="AI929" s="201"/>
      <c r="AJ929" s="201"/>
      <c r="AK929" s="122"/>
      <c r="AL929" s="122"/>
    </row>
    <row r="930">
      <c r="A930" s="115"/>
      <c r="B930" s="150"/>
      <c r="C930" s="89"/>
      <c r="D930" s="55"/>
      <c r="E930" s="115"/>
      <c r="F930" s="150"/>
      <c r="G930" s="188"/>
      <c r="H930" s="189"/>
      <c r="I930" s="115"/>
      <c r="J930" s="150"/>
      <c r="K930" s="89"/>
      <c r="L930" s="55"/>
      <c r="M930" s="115"/>
      <c r="N930" s="190"/>
      <c r="O930" s="89"/>
      <c r="P930" s="55"/>
      <c r="Q930" s="191"/>
      <c r="R930" s="192"/>
      <c r="S930" s="121"/>
      <c r="T930" s="122"/>
      <c r="U930" s="191"/>
      <c r="V930" s="192"/>
      <c r="W930" s="121"/>
      <c r="X930" s="122"/>
      <c r="Y930" s="115"/>
      <c r="Z930" s="193"/>
      <c r="AA930" s="194"/>
      <c r="AB930" s="195"/>
      <c r="AC930" s="115"/>
      <c r="AD930" s="192"/>
      <c r="AE930" s="196"/>
      <c r="AF930" s="197"/>
      <c r="AG930" s="201"/>
      <c r="AH930" s="201"/>
      <c r="AI930" s="201"/>
      <c r="AJ930" s="201"/>
      <c r="AK930" s="122"/>
      <c r="AL930" s="122"/>
    </row>
    <row r="931">
      <c r="A931" s="115"/>
      <c r="B931" s="150"/>
      <c r="C931" s="89"/>
      <c r="D931" s="55"/>
      <c r="E931" s="115"/>
      <c r="F931" s="150"/>
      <c r="G931" s="188"/>
      <c r="H931" s="189"/>
      <c r="I931" s="115"/>
      <c r="J931" s="150"/>
      <c r="K931" s="89"/>
      <c r="L931" s="55"/>
      <c r="M931" s="115"/>
      <c r="N931" s="190"/>
      <c r="O931" s="89"/>
      <c r="P931" s="55"/>
      <c r="Q931" s="191"/>
      <c r="R931" s="192"/>
      <c r="S931" s="121"/>
      <c r="T931" s="122"/>
      <c r="U931" s="191"/>
      <c r="V931" s="192"/>
      <c r="W931" s="121"/>
      <c r="X931" s="122"/>
      <c r="Y931" s="115"/>
      <c r="Z931" s="193"/>
      <c r="AA931" s="194"/>
      <c r="AB931" s="195"/>
      <c r="AC931" s="115"/>
      <c r="AD931" s="192"/>
      <c r="AE931" s="196"/>
      <c r="AF931" s="197"/>
      <c r="AG931" s="201"/>
      <c r="AH931" s="201"/>
      <c r="AI931" s="201"/>
      <c r="AJ931" s="201"/>
      <c r="AK931" s="122"/>
      <c r="AL931" s="122"/>
    </row>
    <row r="932">
      <c r="A932" s="115"/>
      <c r="B932" s="150"/>
      <c r="C932" s="89"/>
      <c r="D932" s="55"/>
      <c r="E932" s="115"/>
      <c r="F932" s="150"/>
      <c r="G932" s="188"/>
      <c r="H932" s="189"/>
      <c r="I932" s="115"/>
      <c r="J932" s="150"/>
      <c r="K932" s="89"/>
      <c r="L932" s="55"/>
      <c r="M932" s="115"/>
      <c r="N932" s="190"/>
      <c r="O932" s="89"/>
      <c r="P932" s="55"/>
      <c r="Q932" s="191"/>
      <c r="R932" s="192"/>
      <c r="S932" s="121"/>
      <c r="T932" s="122"/>
      <c r="U932" s="191"/>
      <c r="V932" s="192"/>
      <c r="W932" s="121"/>
      <c r="X932" s="122"/>
      <c r="Y932" s="115"/>
      <c r="Z932" s="193"/>
      <c r="AA932" s="194"/>
      <c r="AB932" s="195"/>
      <c r="AC932" s="115"/>
      <c r="AD932" s="192"/>
      <c r="AE932" s="196"/>
      <c r="AF932" s="197"/>
      <c r="AG932" s="201"/>
      <c r="AH932" s="201"/>
      <c r="AI932" s="201"/>
      <c r="AJ932" s="201"/>
      <c r="AK932" s="122"/>
      <c r="AL932" s="122"/>
    </row>
    <row r="933">
      <c r="A933" s="115"/>
      <c r="B933" s="150"/>
      <c r="C933" s="89"/>
      <c r="D933" s="55"/>
      <c r="E933" s="115"/>
      <c r="F933" s="150"/>
      <c r="G933" s="188"/>
      <c r="H933" s="189"/>
      <c r="I933" s="115"/>
      <c r="J933" s="150"/>
      <c r="K933" s="89"/>
      <c r="L933" s="55"/>
      <c r="M933" s="115"/>
      <c r="N933" s="190"/>
      <c r="O933" s="89"/>
      <c r="P933" s="55"/>
      <c r="Q933" s="191"/>
      <c r="R933" s="192"/>
      <c r="S933" s="121"/>
      <c r="T933" s="122"/>
      <c r="U933" s="191"/>
      <c r="V933" s="192"/>
      <c r="W933" s="121"/>
      <c r="X933" s="122"/>
      <c r="Y933" s="115"/>
      <c r="Z933" s="193"/>
      <c r="AA933" s="194"/>
      <c r="AB933" s="195"/>
      <c r="AC933" s="115"/>
      <c r="AD933" s="192"/>
      <c r="AE933" s="196"/>
      <c r="AF933" s="197"/>
      <c r="AG933" s="201"/>
      <c r="AH933" s="201"/>
      <c r="AI933" s="201"/>
      <c r="AJ933" s="201"/>
      <c r="AK933" s="122"/>
      <c r="AL933" s="122"/>
    </row>
    <row r="934">
      <c r="A934" s="115"/>
      <c r="B934" s="150"/>
      <c r="C934" s="89"/>
      <c r="D934" s="55"/>
      <c r="E934" s="115"/>
      <c r="F934" s="150"/>
      <c r="G934" s="188"/>
      <c r="H934" s="189"/>
      <c r="I934" s="115"/>
      <c r="J934" s="150"/>
      <c r="K934" s="89"/>
      <c r="L934" s="55"/>
      <c r="M934" s="115"/>
      <c r="N934" s="190"/>
      <c r="O934" s="89"/>
      <c r="P934" s="55"/>
      <c r="Q934" s="191"/>
      <c r="R934" s="192"/>
      <c r="S934" s="121"/>
      <c r="T934" s="122"/>
      <c r="U934" s="191"/>
      <c r="V934" s="192"/>
      <c r="W934" s="121"/>
      <c r="X934" s="122"/>
      <c r="Y934" s="115"/>
      <c r="Z934" s="193"/>
      <c r="AA934" s="194"/>
      <c r="AB934" s="195"/>
      <c r="AC934" s="115"/>
      <c r="AD934" s="192"/>
      <c r="AE934" s="196"/>
      <c r="AF934" s="197"/>
      <c r="AG934" s="201"/>
      <c r="AH934" s="201"/>
      <c r="AI934" s="201"/>
      <c r="AJ934" s="201"/>
      <c r="AK934" s="122"/>
      <c r="AL934" s="122"/>
    </row>
    <row r="935">
      <c r="A935" s="115"/>
      <c r="B935" s="150"/>
      <c r="C935" s="89"/>
      <c r="D935" s="55"/>
      <c r="E935" s="115"/>
      <c r="F935" s="150"/>
      <c r="G935" s="188"/>
      <c r="H935" s="189"/>
      <c r="I935" s="115"/>
      <c r="J935" s="150"/>
      <c r="K935" s="89"/>
      <c r="L935" s="55"/>
      <c r="M935" s="115"/>
      <c r="N935" s="190"/>
      <c r="O935" s="89"/>
      <c r="P935" s="55"/>
      <c r="Q935" s="191"/>
      <c r="R935" s="192"/>
      <c r="S935" s="121"/>
      <c r="T935" s="122"/>
      <c r="U935" s="191"/>
      <c r="V935" s="192"/>
      <c r="W935" s="121"/>
      <c r="X935" s="122"/>
      <c r="Y935" s="115"/>
      <c r="Z935" s="193"/>
      <c r="AA935" s="194"/>
      <c r="AB935" s="195"/>
      <c r="AC935" s="115"/>
      <c r="AD935" s="192"/>
      <c r="AE935" s="196"/>
      <c r="AF935" s="197"/>
      <c r="AG935" s="201"/>
      <c r="AH935" s="201"/>
      <c r="AI935" s="201"/>
      <c r="AJ935" s="201"/>
      <c r="AK935" s="122"/>
      <c r="AL935" s="122"/>
    </row>
    <row r="936">
      <c r="A936" s="115"/>
      <c r="B936" s="150"/>
      <c r="C936" s="89"/>
      <c r="D936" s="55"/>
      <c r="E936" s="115"/>
      <c r="F936" s="150"/>
      <c r="G936" s="188"/>
      <c r="H936" s="189"/>
      <c r="I936" s="115"/>
      <c r="J936" s="150"/>
      <c r="K936" s="89"/>
      <c r="L936" s="55"/>
      <c r="M936" s="115"/>
      <c r="N936" s="190"/>
      <c r="O936" s="89"/>
      <c r="P936" s="55"/>
      <c r="Q936" s="191"/>
      <c r="R936" s="192"/>
      <c r="S936" s="121"/>
      <c r="T936" s="122"/>
      <c r="U936" s="191"/>
      <c r="V936" s="192"/>
      <c r="W936" s="121"/>
      <c r="X936" s="122"/>
      <c r="Y936" s="115"/>
      <c r="Z936" s="193"/>
      <c r="AA936" s="194"/>
      <c r="AB936" s="195"/>
      <c r="AC936" s="115"/>
      <c r="AD936" s="192"/>
      <c r="AE936" s="196"/>
      <c r="AF936" s="197"/>
      <c r="AG936" s="201"/>
      <c r="AH936" s="201"/>
      <c r="AI936" s="201"/>
      <c r="AJ936" s="201"/>
      <c r="AK936" s="122"/>
      <c r="AL936" s="122"/>
    </row>
    <row r="937">
      <c r="A937" s="115"/>
      <c r="B937" s="150"/>
      <c r="C937" s="89"/>
      <c r="D937" s="55"/>
      <c r="E937" s="115"/>
      <c r="F937" s="150"/>
      <c r="G937" s="188"/>
      <c r="H937" s="189"/>
      <c r="I937" s="115"/>
      <c r="J937" s="150"/>
      <c r="K937" s="89"/>
      <c r="L937" s="55"/>
      <c r="M937" s="115"/>
      <c r="N937" s="190"/>
      <c r="O937" s="89"/>
      <c r="P937" s="55"/>
      <c r="Q937" s="191"/>
      <c r="R937" s="192"/>
      <c r="S937" s="121"/>
      <c r="T937" s="122"/>
      <c r="U937" s="191"/>
      <c r="V937" s="192"/>
      <c r="W937" s="121"/>
      <c r="X937" s="122"/>
      <c r="Y937" s="115"/>
      <c r="Z937" s="193"/>
      <c r="AA937" s="194"/>
      <c r="AB937" s="195"/>
      <c r="AC937" s="115"/>
      <c r="AD937" s="192"/>
      <c r="AE937" s="196"/>
      <c r="AF937" s="197"/>
      <c r="AG937" s="201"/>
      <c r="AH937" s="201"/>
      <c r="AI937" s="201"/>
      <c r="AJ937" s="201"/>
      <c r="AK937" s="122"/>
      <c r="AL937" s="122"/>
    </row>
    <row r="938">
      <c r="A938" s="115"/>
      <c r="B938" s="150"/>
      <c r="C938" s="89"/>
      <c r="D938" s="55"/>
      <c r="E938" s="115"/>
      <c r="F938" s="150"/>
      <c r="G938" s="188"/>
      <c r="H938" s="189"/>
      <c r="I938" s="115"/>
      <c r="J938" s="150"/>
      <c r="K938" s="89"/>
      <c r="L938" s="55"/>
      <c r="M938" s="115"/>
      <c r="N938" s="190"/>
      <c r="O938" s="89"/>
      <c r="P938" s="55"/>
      <c r="Q938" s="191"/>
      <c r="R938" s="192"/>
      <c r="S938" s="121"/>
      <c r="T938" s="122"/>
      <c r="U938" s="191"/>
      <c r="V938" s="192"/>
      <c r="W938" s="121"/>
      <c r="X938" s="122"/>
      <c r="Y938" s="115"/>
      <c r="Z938" s="193"/>
      <c r="AA938" s="194"/>
      <c r="AB938" s="195"/>
      <c r="AC938" s="115"/>
      <c r="AD938" s="192"/>
      <c r="AE938" s="196"/>
      <c r="AF938" s="197"/>
      <c r="AG938" s="201"/>
      <c r="AH938" s="201"/>
      <c r="AI938" s="201"/>
      <c r="AJ938" s="201"/>
      <c r="AK938" s="122"/>
      <c r="AL938" s="122"/>
    </row>
    <row r="939">
      <c r="A939" s="115"/>
      <c r="B939" s="150"/>
      <c r="C939" s="89"/>
      <c r="D939" s="55"/>
      <c r="E939" s="115"/>
      <c r="F939" s="150"/>
      <c r="G939" s="188"/>
      <c r="H939" s="189"/>
      <c r="I939" s="115"/>
      <c r="J939" s="150"/>
      <c r="K939" s="89"/>
      <c r="L939" s="55"/>
      <c r="M939" s="115"/>
      <c r="N939" s="190"/>
      <c r="O939" s="89"/>
      <c r="P939" s="55"/>
      <c r="Q939" s="191"/>
      <c r="R939" s="192"/>
      <c r="S939" s="121"/>
      <c r="T939" s="122"/>
      <c r="U939" s="191"/>
      <c r="V939" s="192"/>
      <c r="W939" s="121"/>
      <c r="X939" s="122"/>
      <c r="Y939" s="115"/>
      <c r="Z939" s="193"/>
      <c r="AA939" s="194"/>
      <c r="AB939" s="195"/>
      <c r="AC939" s="115"/>
      <c r="AD939" s="192"/>
      <c r="AE939" s="196"/>
      <c r="AF939" s="197"/>
      <c r="AG939" s="201"/>
      <c r="AH939" s="201"/>
      <c r="AI939" s="201"/>
      <c r="AJ939" s="201"/>
      <c r="AK939" s="122"/>
      <c r="AL939" s="122"/>
    </row>
    <row r="940">
      <c r="A940" s="115"/>
      <c r="B940" s="150"/>
      <c r="C940" s="89"/>
      <c r="D940" s="55"/>
      <c r="E940" s="115"/>
      <c r="F940" s="150"/>
      <c r="G940" s="188"/>
      <c r="H940" s="189"/>
      <c r="I940" s="115"/>
      <c r="J940" s="150"/>
      <c r="K940" s="89"/>
      <c r="L940" s="55"/>
      <c r="M940" s="115"/>
      <c r="N940" s="190"/>
      <c r="O940" s="89"/>
      <c r="P940" s="55"/>
      <c r="Q940" s="191"/>
      <c r="R940" s="192"/>
      <c r="S940" s="121"/>
      <c r="T940" s="122"/>
      <c r="U940" s="191"/>
      <c r="V940" s="192"/>
      <c r="W940" s="121"/>
      <c r="X940" s="122"/>
      <c r="Y940" s="115"/>
      <c r="Z940" s="193"/>
      <c r="AA940" s="194"/>
      <c r="AB940" s="195"/>
      <c r="AC940" s="115"/>
      <c r="AD940" s="192"/>
      <c r="AE940" s="196"/>
      <c r="AF940" s="197"/>
      <c r="AG940" s="201"/>
      <c r="AH940" s="201"/>
      <c r="AI940" s="201"/>
      <c r="AJ940" s="201"/>
      <c r="AK940" s="122"/>
      <c r="AL940" s="122"/>
    </row>
    <row r="941">
      <c r="A941" s="115"/>
      <c r="B941" s="150"/>
      <c r="C941" s="89"/>
      <c r="D941" s="55"/>
      <c r="E941" s="115"/>
      <c r="F941" s="150"/>
      <c r="G941" s="188"/>
      <c r="H941" s="189"/>
      <c r="I941" s="115"/>
      <c r="J941" s="150"/>
      <c r="K941" s="89"/>
      <c r="L941" s="55"/>
      <c r="M941" s="115"/>
      <c r="N941" s="190"/>
      <c r="O941" s="89"/>
      <c r="P941" s="55"/>
      <c r="Q941" s="191"/>
      <c r="R941" s="192"/>
      <c r="S941" s="121"/>
      <c r="T941" s="122"/>
      <c r="U941" s="191"/>
      <c r="V941" s="192"/>
      <c r="W941" s="121"/>
      <c r="X941" s="122"/>
      <c r="Y941" s="115"/>
      <c r="Z941" s="193"/>
      <c r="AA941" s="194"/>
      <c r="AB941" s="195"/>
      <c r="AC941" s="115"/>
      <c r="AD941" s="192"/>
      <c r="AE941" s="196"/>
      <c r="AF941" s="197"/>
      <c r="AG941" s="201"/>
      <c r="AH941" s="201"/>
      <c r="AI941" s="201"/>
      <c r="AJ941" s="201"/>
      <c r="AK941" s="122"/>
      <c r="AL941" s="122"/>
    </row>
    <row r="942">
      <c r="A942" s="115"/>
      <c r="B942" s="150"/>
      <c r="C942" s="89"/>
      <c r="D942" s="55"/>
      <c r="E942" s="115"/>
      <c r="F942" s="150"/>
      <c r="G942" s="188"/>
      <c r="H942" s="189"/>
      <c r="I942" s="115"/>
      <c r="J942" s="150"/>
      <c r="K942" s="89"/>
      <c r="L942" s="55"/>
      <c r="M942" s="115"/>
      <c r="N942" s="190"/>
      <c r="O942" s="89"/>
      <c r="P942" s="55"/>
      <c r="Q942" s="191"/>
      <c r="R942" s="192"/>
      <c r="S942" s="121"/>
      <c r="T942" s="122"/>
      <c r="U942" s="191"/>
      <c r="V942" s="192"/>
      <c r="W942" s="121"/>
      <c r="X942" s="122"/>
      <c r="Y942" s="115"/>
      <c r="Z942" s="193"/>
      <c r="AA942" s="194"/>
      <c r="AB942" s="195"/>
      <c r="AC942" s="115"/>
      <c r="AD942" s="192"/>
      <c r="AE942" s="196"/>
      <c r="AF942" s="197"/>
      <c r="AG942" s="201"/>
      <c r="AH942" s="201"/>
      <c r="AI942" s="201"/>
      <c r="AJ942" s="201"/>
      <c r="AK942" s="122"/>
      <c r="AL942" s="122"/>
    </row>
    <row r="943">
      <c r="A943" s="115"/>
      <c r="B943" s="150"/>
      <c r="C943" s="89"/>
      <c r="D943" s="55"/>
      <c r="E943" s="115"/>
      <c r="F943" s="150"/>
      <c r="G943" s="188"/>
      <c r="H943" s="189"/>
      <c r="I943" s="115"/>
      <c r="J943" s="150"/>
      <c r="K943" s="89"/>
      <c r="L943" s="55"/>
      <c r="M943" s="115"/>
      <c r="N943" s="190"/>
      <c r="O943" s="89"/>
      <c r="P943" s="55"/>
      <c r="Q943" s="191"/>
      <c r="R943" s="192"/>
      <c r="S943" s="121"/>
      <c r="T943" s="122"/>
      <c r="U943" s="191"/>
      <c r="V943" s="192"/>
      <c r="W943" s="121"/>
      <c r="X943" s="122"/>
      <c r="Y943" s="115"/>
      <c r="Z943" s="193"/>
      <c r="AA943" s="194"/>
      <c r="AB943" s="195"/>
      <c r="AC943" s="115"/>
      <c r="AD943" s="192"/>
      <c r="AE943" s="196"/>
      <c r="AF943" s="197"/>
      <c r="AG943" s="201"/>
      <c r="AH943" s="201"/>
      <c r="AI943" s="201"/>
      <c r="AJ943" s="201"/>
      <c r="AK943" s="122"/>
      <c r="AL943" s="122"/>
    </row>
    <row r="944">
      <c r="A944" s="115"/>
      <c r="B944" s="150"/>
      <c r="C944" s="89"/>
      <c r="D944" s="55"/>
      <c r="E944" s="115"/>
      <c r="F944" s="150"/>
      <c r="G944" s="188"/>
      <c r="H944" s="189"/>
      <c r="I944" s="115"/>
      <c r="J944" s="150"/>
      <c r="K944" s="89"/>
      <c r="L944" s="55"/>
      <c r="M944" s="115"/>
      <c r="N944" s="190"/>
      <c r="O944" s="89"/>
      <c r="P944" s="55"/>
      <c r="Q944" s="191"/>
      <c r="R944" s="192"/>
      <c r="S944" s="121"/>
      <c r="T944" s="122"/>
      <c r="U944" s="191"/>
      <c r="V944" s="192"/>
      <c r="W944" s="121"/>
      <c r="X944" s="122"/>
      <c r="Y944" s="115"/>
      <c r="Z944" s="193"/>
      <c r="AA944" s="194"/>
      <c r="AB944" s="195"/>
      <c r="AC944" s="115"/>
      <c r="AD944" s="192"/>
      <c r="AE944" s="196"/>
      <c r="AF944" s="197"/>
      <c r="AG944" s="201"/>
      <c r="AH944" s="201"/>
      <c r="AI944" s="201"/>
      <c r="AJ944" s="201"/>
      <c r="AK944" s="122"/>
      <c r="AL944" s="122"/>
    </row>
    <row r="945">
      <c r="A945" s="115"/>
      <c r="B945" s="150"/>
      <c r="C945" s="89"/>
      <c r="D945" s="55"/>
      <c r="E945" s="115"/>
      <c r="F945" s="150"/>
      <c r="G945" s="188"/>
      <c r="H945" s="189"/>
      <c r="I945" s="115"/>
      <c r="J945" s="150"/>
      <c r="K945" s="89"/>
      <c r="L945" s="55"/>
      <c r="M945" s="115"/>
      <c r="N945" s="190"/>
      <c r="O945" s="89"/>
      <c r="P945" s="55"/>
      <c r="Q945" s="191"/>
      <c r="R945" s="192"/>
      <c r="S945" s="121"/>
      <c r="T945" s="122"/>
      <c r="U945" s="191"/>
      <c r="V945" s="192"/>
      <c r="W945" s="121"/>
      <c r="X945" s="122"/>
      <c r="Y945" s="115"/>
      <c r="Z945" s="193"/>
      <c r="AA945" s="194"/>
      <c r="AB945" s="195"/>
      <c r="AC945" s="115"/>
      <c r="AD945" s="192"/>
      <c r="AE945" s="196"/>
      <c r="AF945" s="197"/>
      <c r="AG945" s="201"/>
      <c r="AH945" s="201"/>
      <c r="AI945" s="201"/>
      <c r="AJ945" s="201"/>
      <c r="AK945" s="122"/>
      <c r="AL945" s="122"/>
    </row>
    <row r="946">
      <c r="A946" s="115"/>
      <c r="B946" s="150"/>
      <c r="C946" s="89"/>
      <c r="D946" s="55"/>
      <c r="E946" s="115"/>
      <c r="F946" s="150"/>
      <c r="G946" s="188"/>
      <c r="H946" s="189"/>
      <c r="I946" s="115"/>
      <c r="J946" s="150"/>
      <c r="K946" s="89"/>
      <c r="L946" s="55"/>
      <c r="M946" s="115"/>
      <c r="N946" s="190"/>
      <c r="O946" s="89"/>
      <c r="P946" s="55"/>
      <c r="Q946" s="191"/>
      <c r="R946" s="192"/>
      <c r="S946" s="121"/>
      <c r="T946" s="122"/>
      <c r="U946" s="191"/>
      <c r="V946" s="192"/>
      <c r="W946" s="121"/>
      <c r="X946" s="122"/>
      <c r="Y946" s="115"/>
      <c r="Z946" s="193"/>
      <c r="AA946" s="194"/>
      <c r="AB946" s="195"/>
      <c r="AC946" s="115"/>
      <c r="AD946" s="192"/>
      <c r="AE946" s="196"/>
      <c r="AF946" s="197"/>
      <c r="AG946" s="201"/>
      <c r="AH946" s="201"/>
      <c r="AI946" s="201"/>
      <c r="AJ946" s="201"/>
      <c r="AK946" s="122"/>
      <c r="AL946" s="122"/>
    </row>
    <row r="947">
      <c r="A947" s="115"/>
      <c r="B947" s="150"/>
      <c r="C947" s="89"/>
      <c r="D947" s="55"/>
      <c r="E947" s="115"/>
      <c r="F947" s="150"/>
      <c r="G947" s="188"/>
      <c r="H947" s="189"/>
      <c r="I947" s="115"/>
      <c r="J947" s="150"/>
      <c r="K947" s="89"/>
      <c r="L947" s="55"/>
      <c r="M947" s="115"/>
      <c r="N947" s="190"/>
      <c r="O947" s="89"/>
      <c r="P947" s="55"/>
      <c r="Q947" s="191"/>
      <c r="R947" s="192"/>
      <c r="S947" s="121"/>
      <c r="T947" s="122"/>
      <c r="U947" s="191"/>
      <c r="V947" s="192"/>
      <c r="W947" s="121"/>
      <c r="X947" s="122"/>
      <c r="Y947" s="115"/>
      <c r="Z947" s="193"/>
      <c r="AA947" s="194"/>
      <c r="AB947" s="195"/>
      <c r="AC947" s="115"/>
      <c r="AD947" s="192"/>
      <c r="AE947" s="196"/>
      <c r="AF947" s="197"/>
      <c r="AG947" s="201"/>
      <c r="AH947" s="201"/>
      <c r="AI947" s="201"/>
      <c r="AJ947" s="201"/>
      <c r="AK947" s="122"/>
      <c r="AL947" s="122"/>
    </row>
    <row r="948">
      <c r="A948" s="115"/>
      <c r="B948" s="150"/>
      <c r="C948" s="89"/>
      <c r="D948" s="55"/>
      <c r="E948" s="115"/>
      <c r="F948" s="150"/>
      <c r="G948" s="188"/>
      <c r="H948" s="189"/>
      <c r="I948" s="115"/>
      <c r="J948" s="150"/>
      <c r="K948" s="89"/>
      <c r="L948" s="55"/>
      <c r="M948" s="115"/>
      <c r="N948" s="190"/>
      <c r="O948" s="89"/>
      <c r="P948" s="55"/>
      <c r="Q948" s="191"/>
      <c r="R948" s="192"/>
      <c r="S948" s="121"/>
      <c r="T948" s="122"/>
      <c r="U948" s="191"/>
      <c r="V948" s="192"/>
      <c r="W948" s="121"/>
      <c r="X948" s="122"/>
      <c r="Y948" s="115"/>
      <c r="Z948" s="193"/>
      <c r="AA948" s="194"/>
      <c r="AB948" s="195"/>
      <c r="AC948" s="115"/>
      <c r="AD948" s="192"/>
      <c r="AE948" s="196"/>
      <c r="AF948" s="197"/>
      <c r="AG948" s="201"/>
      <c r="AH948" s="201"/>
      <c r="AI948" s="201"/>
      <c r="AJ948" s="201"/>
      <c r="AK948" s="122"/>
      <c r="AL948" s="122"/>
    </row>
    <row r="949">
      <c r="A949" s="115"/>
      <c r="B949" s="150"/>
      <c r="C949" s="89"/>
      <c r="D949" s="55"/>
      <c r="E949" s="115"/>
      <c r="F949" s="150"/>
      <c r="G949" s="188"/>
      <c r="H949" s="189"/>
      <c r="I949" s="115"/>
      <c r="J949" s="150"/>
      <c r="K949" s="89"/>
      <c r="L949" s="55"/>
      <c r="M949" s="115"/>
      <c r="N949" s="190"/>
      <c r="O949" s="89"/>
      <c r="P949" s="55"/>
      <c r="Q949" s="191"/>
      <c r="R949" s="192"/>
      <c r="S949" s="121"/>
      <c r="T949" s="122"/>
      <c r="U949" s="191"/>
      <c r="V949" s="192"/>
      <c r="W949" s="121"/>
      <c r="X949" s="122"/>
      <c r="Y949" s="115"/>
      <c r="Z949" s="193"/>
      <c r="AA949" s="194"/>
      <c r="AB949" s="195"/>
      <c r="AC949" s="115"/>
      <c r="AD949" s="192"/>
      <c r="AE949" s="196"/>
      <c r="AF949" s="197"/>
      <c r="AG949" s="201"/>
      <c r="AH949" s="201"/>
      <c r="AI949" s="201"/>
      <c r="AJ949" s="201"/>
      <c r="AK949" s="122"/>
      <c r="AL949" s="122"/>
    </row>
    <row r="950">
      <c r="A950" s="115"/>
      <c r="B950" s="150"/>
      <c r="C950" s="89"/>
      <c r="D950" s="55"/>
      <c r="E950" s="115"/>
      <c r="F950" s="150"/>
      <c r="G950" s="188"/>
      <c r="H950" s="189"/>
      <c r="I950" s="115"/>
      <c r="J950" s="150"/>
      <c r="K950" s="89"/>
      <c r="L950" s="55"/>
      <c r="M950" s="115"/>
      <c r="N950" s="190"/>
      <c r="O950" s="89"/>
      <c r="P950" s="55"/>
      <c r="Q950" s="191"/>
      <c r="R950" s="192"/>
      <c r="S950" s="121"/>
      <c r="T950" s="122"/>
      <c r="U950" s="191"/>
      <c r="V950" s="192"/>
      <c r="W950" s="121"/>
      <c r="X950" s="122"/>
      <c r="Y950" s="115"/>
      <c r="Z950" s="193"/>
      <c r="AA950" s="194"/>
      <c r="AB950" s="195"/>
      <c r="AC950" s="115"/>
      <c r="AD950" s="192"/>
      <c r="AE950" s="196"/>
      <c r="AF950" s="197"/>
      <c r="AG950" s="201"/>
      <c r="AH950" s="201"/>
      <c r="AI950" s="201"/>
      <c r="AJ950" s="201"/>
      <c r="AK950" s="122"/>
      <c r="AL950" s="122"/>
    </row>
    <row r="951">
      <c r="A951" s="115"/>
      <c r="B951" s="150"/>
      <c r="C951" s="89"/>
      <c r="D951" s="55"/>
      <c r="E951" s="115"/>
      <c r="F951" s="150"/>
      <c r="G951" s="188"/>
      <c r="H951" s="189"/>
      <c r="I951" s="115"/>
      <c r="J951" s="150"/>
      <c r="K951" s="89"/>
      <c r="L951" s="55"/>
      <c r="M951" s="115"/>
      <c r="N951" s="190"/>
      <c r="O951" s="89"/>
      <c r="P951" s="55"/>
      <c r="Q951" s="191"/>
      <c r="R951" s="192"/>
      <c r="S951" s="121"/>
      <c r="T951" s="122"/>
      <c r="U951" s="191"/>
      <c r="V951" s="192"/>
      <c r="W951" s="121"/>
      <c r="X951" s="122"/>
      <c r="Y951" s="115"/>
      <c r="Z951" s="193"/>
      <c r="AA951" s="194"/>
      <c r="AB951" s="195"/>
      <c r="AC951" s="115"/>
      <c r="AD951" s="192"/>
      <c r="AE951" s="196"/>
      <c r="AF951" s="197"/>
      <c r="AG951" s="201"/>
      <c r="AH951" s="201"/>
      <c r="AI951" s="201"/>
      <c r="AJ951" s="201"/>
      <c r="AK951" s="122"/>
      <c r="AL951" s="122"/>
    </row>
    <row r="952">
      <c r="A952" s="115"/>
      <c r="B952" s="150"/>
      <c r="C952" s="89"/>
      <c r="D952" s="55"/>
      <c r="E952" s="115"/>
      <c r="F952" s="150"/>
      <c r="G952" s="188"/>
      <c r="H952" s="189"/>
      <c r="I952" s="115"/>
      <c r="J952" s="150"/>
      <c r="K952" s="89"/>
      <c r="L952" s="55"/>
      <c r="M952" s="115"/>
      <c r="N952" s="190"/>
      <c r="O952" s="89"/>
      <c r="P952" s="55"/>
      <c r="Q952" s="191"/>
      <c r="R952" s="192"/>
      <c r="S952" s="121"/>
      <c r="T952" s="122"/>
      <c r="U952" s="191"/>
      <c r="V952" s="192"/>
      <c r="W952" s="121"/>
      <c r="X952" s="122"/>
      <c r="Y952" s="115"/>
      <c r="Z952" s="193"/>
      <c r="AA952" s="194"/>
      <c r="AB952" s="195"/>
      <c r="AC952" s="115"/>
      <c r="AD952" s="192"/>
      <c r="AE952" s="196"/>
      <c r="AF952" s="197"/>
      <c r="AG952" s="201"/>
      <c r="AH952" s="201"/>
      <c r="AI952" s="201"/>
      <c r="AJ952" s="201"/>
      <c r="AK952" s="122"/>
      <c r="AL952" s="122"/>
    </row>
    <row r="953">
      <c r="A953" s="115"/>
      <c r="B953" s="150"/>
      <c r="C953" s="89"/>
      <c r="D953" s="55"/>
      <c r="E953" s="115"/>
      <c r="F953" s="150"/>
      <c r="G953" s="188"/>
      <c r="H953" s="189"/>
      <c r="I953" s="115"/>
      <c r="J953" s="150"/>
      <c r="K953" s="89"/>
      <c r="L953" s="55"/>
      <c r="M953" s="115"/>
      <c r="N953" s="190"/>
      <c r="O953" s="89"/>
      <c r="P953" s="55"/>
      <c r="Q953" s="191"/>
      <c r="R953" s="192"/>
      <c r="S953" s="121"/>
      <c r="T953" s="122"/>
      <c r="U953" s="191"/>
      <c r="V953" s="192"/>
      <c r="W953" s="121"/>
      <c r="X953" s="122"/>
      <c r="Y953" s="115"/>
      <c r="Z953" s="193"/>
      <c r="AA953" s="194"/>
      <c r="AB953" s="195"/>
      <c r="AC953" s="115"/>
      <c r="AD953" s="192"/>
      <c r="AE953" s="196"/>
      <c r="AF953" s="197"/>
      <c r="AG953" s="201"/>
      <c r="AH953" s="201"/>
      <c r="AI953" s="201"/>
      <c r="AJ953" s="201"/>
      <c r="AK953" s="122"/>
      <c r="AL953" s="122"/>
    </row>
    <row r="954">
      <c r="A954" s="115"/>
      <c r="B954" s="150"/>
      <c r="C954" s="89"/>
      <c r="D954" s="55"/>
      <c r="E954" s="115"/>
      <c r="F954" s="150"/>
      <c r="G954" s="188"/>
      <c r="H954" s="189"/>
      <c r="I954" s="115"/>
      <c r="J954" s="150"/>
      <c r="K954" s="89"/>
      <c r="L954" s="55"/>
      <c r="M954" s="115"/>
      <c r="N954" s="190"/>
      <c r="O954" s="89"/>
      <c r="P954" s="55"/>
      <c r="Q954" s="191"/>
      <c r="R954" s="192"/>
      <c r="S954" s="121"/>
      <c r="T954" s="122"/>
      <c r="U954" s="191"/>
      <c r="V954" s="192"/>
      <c r="W954" s="121"/>
      <c r="X954" s="122"/>
      <c r="Y954" s="115"/>
      <c r="Z954" s="193"/>
      <c r="AA954" s="194"/>
      <c r="AB954" s="195"/>
      <c r="AC954" s="115"/>
      <c r="AD954" s="192"/>
      <c r="AE954" s="196"/>
      <c r="AF954" s="197"/>
      <c r="AG954" s="201"/>
      <c r="AH954" s="201"/>
      <c r="AI954" s="201"/>
      <c r="AJ954" s="201"/>
      <c r="AK954" s="122"/>
      <c r="AL954" s="122"/>
    </row>
    <row r="955">
      <c r="A955" s="115"/>
      <c r="B955" s="150"/>
      <c r="C955" s="89"/>
      <c r="D955" s="55"/>
      <c r="E955" s="115"/>
      <c r="F955" s="150"/>
      <c r="G955" s="188"/>
      <c r="H955" s="189"/>
      <c r="I955" s="115"/>
      <c r="J955" s="150"/>
      <c r="K955" s="89"/>
      <c r="L955" s="55"/>
      <c r="M955" s="115"/>
      <c r="N955" s="190"/>
      <c r="O955" s="89"/>
      <c r="P955" s="55"/>
      <c r="Q955" s="191"/>
      <c r="R955" s="192"/>
      <c r="S955" s="121"/>
      <c r="T955" s="122"/>
      <c r="U955" s="191"/>
      <c r="V955" s="192"/>
      <c r="W955" s="121"/>
      <c r="X955" s="122"/>
      <c r="Y955" s="115"/>
      <c r="Z955" s="193"/>
      <c r="AA955" s="194"/>
      <c r="AB955" s="195"/>
      <c r="AC955" s="115"/>
      <c r="AD955" s="192"/>
      <c r="AE955" s="196"/>
      <c r="AF955" s="197"/>
      <c r="AG955" s="201"/>
      <c r="AH955" s="201"/>
      <c r="AI955" s="201"/>
      <c r="AJ955" s="201"/>
      <c r="AK955" s="122"/>
      <c r="AL955" s="122"/>
    </row>
    <row r="956">
      <c r="A956" s="115"/>
      <c r="B956" s="150"/>
      <c r="C956" s="89"/>
      <c r="D956" s="55"/>
      <c r="E956" s="115"/>
      <c r="F956" s="150"/>
      <c r="G956" s="188"/>
      <c r="H956" s="189"/>
      <c r="I956" s="115"/>
      <c r="J956" s="150"/>
      <c r="K956" s="89"/>
      <c r="L956" s="55"/>
      <c r="M956" s="115"/>
      <c r="N956" s="190"/>
      <c r="O956" s="89"/>
      <c r="P956" s="55"/>
      <c r="Q956" s="191"/>
      <c r="R956" s="192"/>
      <c r="S956" s="121"/>
      <c r="T956" s="122"/>
      <c r="U956" s="191"/>
      <c r="V956" s="192"/>
      <c r="W956" s="121"/>
      <c r="X956" s="122"/>
      <c r="Y956" s="115"/>
      <c r="Z956" s="193"/>
      <c r="AA956" s="194"/>
      <c r="AB956" s="195"/>
      <c r="AC956" s="115"/>
      <c r="AD956" s="192"/>
      <c r="AE956" s="196"/>
      <c r="AF956" s="197"/>
      <c r="AG956" s="201"/>
      <c r="AH956" s="201"/>
      <c r="AI956" s="201"/>
      <c r="AJ956" s="201"/>
      <c r="AK956" s="122"/>
      <c r="AL956" s="122"/>
    </row>
    <row r="957">
      <c r="A957" s="115"/>
      <c r="B957" s="150"/>
      <c r="C957" s="89"/>
      <c r="D957" s="55"/>
      <c r="E957" s="115"/>
      <c r="F957" s="150"/>
      <c r="G957" s="188"/>
      <c r="H957" s="189"/>
      <c r="I957" s="115"/>
      <c r="J957" s="150"/>
      <c r="K957" s="89"/>
      <c r="L957" s="55"/>
      <c r="M957" s="115"/>
      <c r="N957" s="190"/>
      <c r="O957" s="89"/>
      <c r="P957" s="55"/>
      <c r="Q957" s="191"/>
      <c r="R957" s="192"/>
      <c r="S957" s="121"/>
      <c r="T957" s="122"/>
      <c r="U957" s="191"/>
      <c r="V957" s="192"/>
      <c r="W957" s="121"/>
      <c r="X957" s="122"/>
      <c r="Y957" s="115"/>
      <c r="Z957" s="193"/>
      <c r="AA957" s="194"/>
      <c r="AB957" s="195"/>
      <c r="AC957" s="115"/>
      <c r="AD957" s="192"/>
      <c r="AE957" s="196"/>
      <c r="AF957" s="197"/>
      <c r="AG957" s="201"/>
      <c r="AH957" s="201"/>
      <c r="AI957" s="201"/>
      <c r="AJ957" s="201"/>
      <c r="AK957" s="122"/>
      <c r="AL957" s="122"/>
    </row>
    <row r="958">
      <c r="A958" s="115"/>
      <c r="B958" s="150"/>
      <c r="C958" s="89"/>
      <c r="D958" s="55"/>
      <c r="E958" s="115"/>
      <c r="F958" s="150"/>
      <c r="G958" s="188"/>
      <c r="H958" s="189"/>
      <c r="I958" s="115"/>
      <c r="J958" s="150"/>
      <c r="K958" s="89"/>
      <c r="L958" s="55"/>
      <c r="M958" s="115"/>
      <c r="N958" s="190"/>
      <c r="O958" s="89"/>
      <c r="P958" s="55"/>
      <c r="Q958" s="191"/>
      <c r="R958" s="192"/>
      <c r="S958" s="121"/>
      <c r="T958" s="122"/>
      <c r="U958" s="191"/>
      <c r="V958" s="192"/>
      <c r="W958" s="121"/>
      <c r="X958" s="122"/>
      <c r="Y958" s="115"/>
      <c r="Z958" s="193"/>
      <c r="AA958" s="194"/>
      <c r="AB958" s="195"/>
      <c r="AC958" s="115"/>
      <c r="AD958" s="192"/>
      <c r="AE958" s="196"/>
      <c r="AF958" s="197"/>
      <c r="AG958" s="201"/>
      <c r="AH958" s="201"/>
      <c r="AI958" s="201"/>
      <c r="AJ958" s="201"/>
      <c r="AK958" s="122"/>
      <c r="AL958" s="122"/>
    </row>
    <row r="959">
      <c r="A959" s="115"/>
      <c r="B959" s="150"/>
      <c r="C959" s="89"/>
      <c r="D959" s="55"/>
      <c r="E959" s="115"/>
      <c r="F959" s="150"/>
      <c r="G959" s="188"/>
      <c r="H959" s="189"/>
      <c r="I959" s="115"/>
      <c r="J959" s="150"/>
      <c r="K959" s="89"/>
      <c r="L959" s="55"/>
      <c r="M959" s="115"/>
      <c r="N959" s="190"/>
      <c r="O959" s="89"/>
      <c r="P959" s="55"/>
      <c r="Q959" s="191"/>
      <c r="R959" s="192"/>
      <c r="S959" s="121"/>
      <c r="T959" s="122"/>
      <c r="U959" s="191"/>
      <c r="V959" s="192"/>
      <c r="W959" s="121"/>
      <c r="X959" s="122"/>
      <c r="Y959" s="115"/>
      <c r="Z959" s="193"/>
      <c r="AA959" s="194"/>
      <c r="AB959" s="195"/>
      <c r="AC959" s="115"/>
      <c r="AD959" s="192"/>
      <c r="AE959" s="196"/>
      <c r="AF959" s="197"/>
      <c r="AG959" s="201"/>
      <c r="AH959" s="201"/>
      <c r="AI959" s="201"/>
      <c r="AJ959" s="201"/>
      <c r="AK959" s="122"/>
      <c r="AL959" s="122"/>
    </row>
    <row r="960">
      <c r="A960" s="115"/>
      <c r="B960" s="150"/>
      <c r="C960" s="89"/>
      <c r="D960" s="55"/>
      <c r="E960" s="115"/>
      <c r="F960" s="150"/>
      <c r="G960" s="188"/>
      <c r="H960" s="189"/>
      <c r="I960" s="115"/>
      <c r="J960" s="150"/>
      <c r="K960" s="89"/>
      <c r="L960" s="55"/>
      <c r="M960" s="115"/>
      <c r="N960" s="190"/>
      <c r="O960" s="89"/>
      <c r="P960" s="55"/>
      <c r="Q960" s="191"/>
      <c r="R960" s="192"/>
      <c r="S960" s="121"/>
      <c r="T960" s="122"/>
      <c r="U960" s="191"/>
      <c r="V960" s="192"/>
      <c r="W960" s="121"/>
      <c r="X960" s="122"/>
      <c r="Y960" s="115"/>
      <c r="Z960" s="193"/>
      <c r="AA960" s="194"/>
      <c r="AB960" s="195"/>
      <c r="AC960" s="115"/>
      <c r="AD960" s="192"/>
      <c r="AE960" s="196"/>
      <c r="AF960" s="197"/>
      <c r="AG960" s="201"/>
      <c r="AH960" s="201"/>
      <c r="AI960" s="201"/>
      <c r="AJ960" s="201"/>
      <c r="AK960" s="122"/>
      <c r="AL960" s="122"/>
    </row>
    <row r="961">
      <c r="A961" s="115"/>
      <c r="B961" s="150"/>
      <c r="C961" s="89"/>
      <c r="D961" s="55"/>
      <c r="E961" s="115"/>
      <c r="F961" s="150"/>
      <c r="G961" s="188"/>
      <c r="H961" s="189"/>
      <c r="I961" s="115"/>
      <c r="J961" s="150"/>
      <c r="K961" s="89"/>
      <c r="L961" s="55"/>
      <c r="M961" s="115"/>
      <c r="N961" s="190"/>
      <c r="O961" s="89"/>
      <c r="P961" s="55"/>
      <c r="Q961" s="191"/>
      <c r="R961" s="192"/>
      <c r="S961" s="121"/>
      <c r="T961" s="122"/>
      <c r="U961" s="191"/>
      <c r="V961" s="192"/>
      <c r="W961" s="121"/>
      <c r="X961" s="122"/>
      <c r="Y961" s="115"/>
      <c r="Z961" s="193"/>
      <c r="AA961" s="194"/>
      <c r="AB961" s="195"/>
      <c r="AC961" s="115"/>
      <c r="AD961" s="192"/>
      <c r="AE961" s="196"/>
      <c r="AF961" s="197"/>
      <c r="AG961" s="201"/>
      <c r="AH961" s="201"/>
      <c r="AI961" s="201"/>
      <c r="AJ961" s="201"/>
      <c r="AK961" s="122"/>
      <c r="AL961" s="122"/>
    </row>
    <row r="962">
      <c r="A962" s="115"/>
      <c r="B962" s="150"/>
      <c r="C962" s="89"/>
      <c r="D962" s="55"/>
      <c r="E962" s="115"/>
      <c r="F962" s="150"/>
      <c r="G962" s="188"/>
      <c r="H962" s="189"/>
      <c r="I962" s="115"/>
      <c r="J962" s="150"/>
      <c r="K962" s="89"/>
      <c r="L962" s="55"/>
      <c r="M962" s="115"/>
      <c r="N962" s="190"/>
      <c r="O962" s="89"/>
      <c r="P962" s="55"/>
      <c r="Q962" s="191"/>
      <c r="R962" s="192"/>
      <c r="S962" s="121"/>
      <c r="T962" s="122"/>
      <c r="U962" s="191"/>
      <c r="V962" s="192"/>
      <c r="W962" s="121"/>
      <c r="X962" s="122"/>
      <c r="Y962" s="115"/>
      <c r="Z962" s="202"/>
      <c r="AA962" s="203"/>
      <c r="AB962" s="204"/>
      <c r="AC962" s="115"/>
      <c r="AD962" s="17"/>
      <c r="AE962" s="136"/>
      <c r="AF962" s="136"/>
      <c r="AG962" s="201"/>
      <c r="AH962" s="201"/>
      <c r="AI962" s="201"/>
      <c r="AJ962" s="201"/>
      <c r="AK962" s="46"/>
      <c r="AL962" s="46"/>
    </row>
    <row r="963">
      <c r="A963" s="115"/>
      <c r="B963" s="150"/>
      <c r="C963" s="89"/>
      <c r="D963" s="55"/>
      <c r="E963" s="115"/>
      <c r="F963" s="150"/>
      <c r="G963" s="188"/>
      <c r="H963" s="189"/>
      <c r="I963" s="115"/>
      <c r="J963" s="150"/>
      <c r="K963" s="89"/>
      <c r="L963" s="55"/>
      <c r="M963" s="115"/>
      <c r="N963" s="190"/>
      <c r="O963" s="89"/>
      <c r="P963" s="55"/>
      <c r="Q963" s="191"/>
      <c r="R963" s="192"/>
      <c r="S963" s="121"/>
      <c r="T963" s="122"/>
      <c r="U963" s="191"/>
      <c r="V963" s="192"/>
      <c r="W963" s="121"/>
      <c r="X963" s="122"/>
      <c r="Y963" s="115"/>
      <c r="Z963" s="202"/>
      <c r="AA963" s="203"/>
      <c r="AB963" s="204"/>
      <c r="AC963" s="115"/>
      <c r="AD963" s="17"/>
      <c r="AE963" s="136"/>
      <c r="AF963" s="136"/>
      <c r="AG963" s="201"/>
      <c r="AH963" s="201"/>
      <c r="AI963" s="201"/>
      <c r="AJ963" s="201"/>
      <c r="AK963" s="46"/>
      <c r="AL963" s="46"/>
    </row>
    <row r="964">
      <c r="A964" s="115"/>
      <c r="B964" s="150"/>
      <c r="C964" s="89"/>
      <c r="D964" s="55"/>
      <c r="E964" s="115"/>
      <c r="F964" s="150"/>
      <c r="G964" s="188"/>
      <c r="H964" s="189"/>
      <c r="I964" s="115"/>
      <c r="J964" s="150"/>
      <c r="K964" s="89"/>
      <c r="L964" s="55"/>
      <c r="M964" s="115"/>
      <c r="N964" s="190"/>
      <c r="O964" s="89"/>
      <c r="P964" s="55"/>
      <c r="Q964" s="191"/>
      <c r="R964" s="192"/>
      <c r="S964" s="121"/>
      <c r="T964" s="122"/>
      <c r="U964" s="191"/>
      <c r="V964" s="192"/>
      <c r="W964" s="121"/>
      <c r="X964" s="122"/>
      <c r="Y964" s="115"/>
      <c r="Z964" s="202"/>
      <c r="AA964" s="203"/>
      <c r="AB964" s="204"/>
      <c r="AC964" s="115"/>
      <c r="AD964" s="17"/>
      <c r="AE964" s="136"/>
      <c r="AF964" s="136"/>
      <c r="AG964" s="201"/>
      <c r="AH964" s="201"/>
      <c r="AI964" s="201"/>
      <c r="AJ964" s="201"/>
      <c r="AK964" s="46"/>
      <c r="AL964" s="46"/>
    </row>
    <row r="965">
      <c r="A965" s="115"/>
      <c r="B965" s="150"/>
      <c r="C965" s="89"/>
      <c r="D965" s="55"/>
      <c r="E965" s="115"/>
      <c r="F965" s="150"/>
      <c r="G965" s="188"/>
      <c r="H965" s="189"/>
      <c r="I965" s="115"/>
      <c r="J965" s="150"/>
      <c r="K965" s="89"/>
      <c r="L965" s="55"/>
      <c r="M965" s="115"/>
      <c r="N965" s="190"/>
      <c r="O965" s="89"/>
      <c r="P965" s="55"/>
      <c r="Q965" s="191"/>
      <c r="R965" s="192"/>
      <c r="S965" s="121"/>
      <c r="T965" s="122"/>
      <c r="U965" s="191"/>
      <c r="V965" s="192"/>
      <c r="W965" s="121"/>
      <c r="X965" s="122"/>
      <c r="Y965" s="115"/>
      <c r="Z965" s="202"/>
      <c r="AA965" s="203"/>
      <c r="AB965" s="204"/>
      <c r="AC965" s="115"/>
      <c r="AD965" s="17"/>
      <c r="AE965" s="136"/>
      <c r="AF965" s="136"/>
      <c r="AG965" s="201"/>
      <c r="AH965" s="201"/>
      <c r="AI965" s="201"/>
      <c r="AJ965" s="201"/>
      <c r="AK965" s="46"/>
      <c r="AL965" s="46"/>
    </row>
    <row r="966">
      <c r="A966" s="115"/>
      <c r="B966" s="150"/>
      <c r="C966" s="89"/>
      <c r="D966" s="55"/>
      <c r="E966" s="115"/>
      <c r="F966" s="150"/>
      <c r="G966" s="188"/>
      <c r="H966" s="189"/>
      <c r="I966" s="115"/>
      <c r="J966" s="150"/>
      <c r="K966" s="89"/>
      <c r="L966" s="55"/>
      <c r="M966" s="115"/>
      <c r="N966" s="190"/>
      <c r="O966" s="89"/>
      <c r="P966" s="55"/>
      <c r="Q966" s="191"/>
      <c r="R966" s="192"/>
      <c r="S966" s="121"/>
      <c r="T966" s="122"/>
      <c r="U966" s="191"/>
      <c r="V966" s="192"/>
      <c r="W966" s="121"/>
      <c r="X966" s="122"/>
      <c r="Y966" s="17"/>
      <c r="Z966" s="17"/>
      <c r="AA966" s="136"/>
      <c r="AB966" s="205"/>
      <c r="AC966" s="17"/>
      <c r="AD966" s="17"/>
      <c r="AE966" s="136"/>
      <c r="AF966" s="206"/>
      <c r="AG966" s="201"/>
      <c r="AH966" s="201"/>
      <c r="AI966" s="201"/>
      <c r="AJ966" s="201"/>
      <c r="AK966" s="17"/>
      <c r="AL966" s="17"/>
    </row>
    <row r="967">
      <c r="A967" s="115"/>
      <c r="B967" s="150"/>
      <c r="C967" s="89"/>
      <c r="D967" s="55"/>
      <c r="E967" s="115"/>
      <c r="F967" s="150"/>
      <c r="G967" s="188"/>
      <c r="H967" s="189"/>
      <c r="I967" s="115"/>
      <c r="J967" s="150"/>
      <c r="K967" s="89"/>
      <c r="L967" s="55"/>
      <c r="M967" s="115"/>
      <c r="N967" s="190"/>
      <c r="O967" s="89"/>
      <c r="P967" s="55"/>
      <c r="Q967" s="191"/>
      <c r="R967" s="192"/>
      <c r="S967" s="121"/>
      <c r="T967" s="122"/>
      <c r="U967" s="191"/>
      <c r="V967" s="192"/>
      <c r="W967" s="121"/>
      <c r="X967" s="122"/>
      <c r="Y967" s="17"/>
      <c r="Z967" s="17"/>
      <c r="AA967" s="136"/>
      <c r="AB967" s="205"/>
      <c r="AC967" s="17"/>
      <c r="AD967" s="17"/>
      <c r="AE967" s="136"/>
      <c r="AF967" s="206"/>
      <c r="AG967" s="201"/>
      <c r="AH967" s="201"/>
      <c r="AI967" s="201"/>
      <c r="AJ967" s="201"/>
      <c r="AK967" s="17"/>
      <c r="AL967" s="17"/>
    </row>
    <row r="968">
      <c r="A968" s="115"/>
      <c r="B968" s="150"/>
      <c r="C968" s="89"/>
      <c r="D968" s="55"/>
      <c r="E968" s="115"/>
      <c r="F968" s="150"/>
      <c r="G968" s="188"/>
      <c r="H968" s="189"/>
      <c r="I968" s="115"/>
      <c r="J968" s="150"/>
      <c r="K968" s="89"/>
      <c r="L968" s="55"/>
      <c r="M968" s="115"/>
      <c r="N968" s="190"/>
      <c r="O968" s="89"/>
      <c r="P968" s="55"/>
      <c r="Q968" s="191"/>
      <c r="R968" s="192"/>
      <c r="S968" s="121"/>
      <c r="T968" s="122"/>
      <c r="U968" s="191"/>
      <c r="V968" s="192"/>
      <c r="W968" s="121"/>
      <c r="X968" s="122"/>
      <c r="Y968" s="17"/>
      <c r="Z968" s="17"/>
      <c r="AA968" s="136"/>
      <c r="AB968" s="205"/>
      <c r="AC968" s="17"/>
      <c r="AD968" s="17"/>
      <c r="AE968" s="136"/>
      <c r="AF968" s="206"/>
      <c r="AG968" s="201"/>
      <c r="AH968" s="201"/>
      <c r="AI968" s="201"/>
      <c r="AJ968" s="201"/>
      <c r="AK968" s="17"/>
      <c r="AL968" s="17"/>
    </row>
    <row r="969">
      <c r="A969" s="115"/>
      <c r="B969" s="150"/>
      <c r="C969" s="89"/>
      <c r="D969" s="55"/>
      <c r="E969" s="115"/>
      <c r="F969" s="150"/>
      <c r="G969" s="188"/>
      <c r="H969" s="189"/>
      <c r="I969" s="115"/>
      <c r="J969" s="150"/>
      <c r="K969" s="89"/>
      <c r="L969" s="55"/>
      <c r="M969" s="115"/>
      <c r="N969" s="190"/>
      <c r="O969" s="89"/>
      <c r="P969" s="55"/>
      <c r="Q969" s="191"/>
      <c r="R969" s="192"/>
      <c r="S969" s="121"/>
      <c r="T969" s="122"/>
      <c r="U969" s="191"/>
      <c r="V969" s="192"/>
      <c r="W969" s="121"/>
      <c r="X969" s="122"/>
      <c r="Y969" s="17"/>
      <c r="Z969" s="17"/>
      <c r="AA969" s="136"/>
      <c r="AB969" s="205"/>
      <c r="AC969" s="17"/>
      <c r="AD969" s="17"/>
      <c r="AE969" s="136"/>
      <c r="AF969" s="206"/>
      <c r="AG969" s="201"/>
      <c r="AH969" s="201"/>
      <c r="AI969" s="201"/>
      <c r="AJ969" s="201"/>
      <c r="AK969" s="17"/>
      <c r="AL969" s="17"/>
    </row>
    <row r="970">
      <c r="A970" s="115"/>
      <c r="B970" s="150"/>
      <c r="C970" s="89"/>
      <c r="D970" s="55"/>
      <c r="E970" s="115"/>
      <c r="F970" s="150"/>
      <c r="G970" s="188"/>
      <c r="H970" s="189"/>
      <c r="I970" s="115"/>
      <c r="J970" s="150"/>
      <c r="K970" s="89"/>
      <c r="L970" s="55"/>
      <c r="M970" s="115"/>
      <c r="N970" s="190"/>
      <c r="O970" s="89"/>
      <c r="P970" s="55"/>
      <c r="Q970" s="191"/>
      <c r="R970" s="192"/>
      <c r="S970" s="121"/>
      <c r="T970" s="122"/>
      <c r="U970" s="191"/>
      <c r="V970" s="192"/>
      <c r="W970" s="121"/>
      <c r="X970" s="122"/>
      <c r="Y970" s="17"/>
      <c r="Z970" s="17"/>
      <c r="AA970" s="136"/>
      <c r="AB970" s="205"/>
      <c r="AC970" s="17"/>
      <c r="AD970" s="17"/>
      <c r="AE970" s="136"/>
      <c r="AF970" s="206"/>
      <c r="AG970" s="201"/>
      <c r="AH970" s="201"/>
      <c r="AI970" s="201"/>
      <c r="AJ970" s="201"/>
      <c r="AK970" s="17"/>
      <c r="AL970" s="17"/>
    </row>
    <row r="971">
      <c r="A971" s="115"/>
      <c r="B971" s="150"/>
      <c r="C971" s="89"/>
      <c r="D971" s="55"/>
      <c r="E971" s="115"/>
      <c r="F971" s="150"/>
      <c r="G971" s="188"/>
      <c r="H971" s="189"/>
      <c r="I971" s="115"/>
      <c r="J971" s="150"/>
      <c r="K971" s="89"/>
      <c r="L971" s="55"/>
      <c r="M971" s="115"/>
      <c r="N971" s="190"/>
      <c r="O971" s="89"/>
      <c r="P971" s="55"/>
      <c r="Q971" s="191"/>
      <c r="R971" s="192"/>
      <c r="S971" s="121"/>
      <c r="T971" s="122"/>
      <c r="U971" s="191"/>
      <c r="V971" s="192"/>
      <c r="W971" s="121"/>
      <c r="X971" s="122"/>
      <c r="Y971" s="17"/>
      <c r="Z971" s="17"/>
      <c r="AA971" s="136"/>
      <c r="AB971" s="205"/>
      <c r="AC971" s="17"/>
      <c r="AD971" s="17"/>
      <c r="AE971" s="136"/>
      <c r="AF971" s="206"/>
      <c r="AG971" s="201"/>
      <c r="AH971" s="201"/>
      <c r="AI971" s="201"/>
      <c r="AJ971" s="201"/>
      <c r="AK971" s="17"/>
      <c r="AL971" s="17"/>
    </row>
    <row r="972">
      <c r="A972" s="115"/>
      <c r="B972" s="150"/>
      <c r="C972" s="89"/>
      <c r="D972" s="55"/>
      <c r="E972" s="115"/>
      <c r="F972" s="150"/>
      <c r="G972" s="188"/>
      <c r="H972" s="189"/>
      <c r="I972" s="115"/>
      <c r="J972" s="150"/>
      <c r="K972" s="89"/>
      <c r="L972" s="55"/>
      <c r="M972" s="115"/>
      <c r="N972" s="190"/>
      <c r="O972" s="89"/>
      <c r="P972" s="55"/>
      <c r="Q972" s="191"/>
      <c r="R972" s="192"/>
      <c r="S972" s="121"/>
      <c r="T972" s="122"/>
      <c r="U972" s="191"/>
      <c r="V972" s="192"/>
      <c r="W972" s="121"/>
      <c r="X972" s="122"/>
      <c r="Y972" s="17"/>
      <c r="Z972" s="17"/>
      <c r="AA972" s="136"/>
      <c r="AB972" s="205"/>
      <c r="AC972" s="17"/>
      <c r="AD972" s="17"/>
      <c r="AE972" s="136"/>
      <c r="AF972" s="206"/>
      <c r="AG972" s="201"/>
      <c r="AH972" s="201"/>
      <c r="AI972" s="201"/>
      <c r="AJ972" s="201"/>
      <c r="AK972" s="17"/>
      <c r="AL972" s="17"/>
    </row>
    <row r="973">
      <c r="A973" s="115"/>
      <c r="B973" s="150"/>
      <c r="C973" s="89"/>
      <c r="D973" s="55"/>
      <c r="E973" s="115"/>
      <c r="F973" s="150"/>
      <c r="G973" s="188"/>
      <c r="H973" s="189"/>
      <c r="I973" s="115"/>
      <c r="J973" s="150"/>
      <c r="K973" s="89"/>
      <c r="L973" s="55"/>
      <c r="M973" s="115"/>
      <c r="N973" s="190"/>
      <c r="O973" s="89"/>
      <c r="P973" s="55"/>
      <c r="Q973" s="191"/>
      <c r="R973" s="192"/>
      <c r="S973" s="121"/>
      <c r="T973" s="122"/>
      <c r="U973" s="191"/>
      <c r="V973" s="192"/>
      <c r="W973" s="121"/>
      <c r="X973" s="122"/>
      <c r="Y973" s="17"/>
      <c r="Z973" s="17"/>
      <c r="AA973" s="136"/>
      <c r="AB973" s="205"/>
      <c r="AC973" s="17"/>
      <c r="AD973" s="17"/>
      <c r="AE973" s="136"/>
      <c r="AF973" s="206"/>
      <c r="AG973" s="201"/>
      <c r="AH973" s="201"/>
      <c r="AI973" s="201"/>
      <c r="AJ973" s="201"/>
      <c r="AK973" s="17"/>
      <c r="AL973" s="17"/>
    </row>
    <row r="974">
      <c r="A974" s="115"/>
      <c r="B974" s="150"/>
      <c r="C974" s="89"/>
      <c r="D974" s="55"/>
      <c r="E974" s="115"/>
      <c r="F974" s="150"/>
      <c r="G974" s="188"/>
      <c r="H974" s="189"/>
      <c r="I974" s="115"/>
      <c r="J974" s="150"/>
      <c r="K974" s="89"/>
      <c r="L974" s="55"/>
      <c r="M974" s="115"/>
      <c r="N974" s="190"/>
      <c r="O974" s="89"/>
      <c r="P974" s="55"/>
      <c r="Q974" s="191"/>
      <c r="R974" s="192"/>
      <c r="S974" s="121"/>
      <c r="T974" s="122"/>
      <c r="U974" s="191"/>
      <c r="V974" s="192"/>
      <c r="W974" s="121"/>
      <c r="X974" s="122"/>
      <c r="Y974" s="17"/>
      <c r="Z974" s="17"/>
      <c r="AA974" s="136"/>
      <c r="AB974" s="205"/>
      <c r="AC974" s="17"/>
      <c r="AD974" s="17"/>
      <c r="AE974" s="136"/>
      <c r="AF974" s="206"/>
      <c r="AG974" s="201"/>
      <c r="AH974" s="201"/>
      <c r="AI974" s="201"/>
      <c r="AJ974" s="201"/>
      <c r="AK974" s="17"/>
      <c r="AL974" s="17"/>
    </row>
    <row r="975">
      <c r="A975" s="115"/>
      <c r="B975" s="150"/>
      <c r="C975" s="89"/>
      <c r="D975" s="55"/>
      <c r="E975" s="115"/>
      <c r="F975" s="150"/>
      <c r="G975" s="188"/>
      <c r="H975" s="189"/>
      <c r="I975" s="115"/>
      <c r="J975" s="150"/>
      <c r="K975" s="89"/>
      <c r="L975" s="55"/>
      <c r="M975" s="115"/>
      <c r="N975" s="190"/>
      <c r="O975" s="89"/>
      <c r="P975" s="55"/>
      <c r="Q975" s="191"/>
      <c r="R975" s="192"/>
      <c r="S975" s="121"/>
      <c r="T975" s="122"/>
      <c r="U975" s="191"/>
      <c r="V975" s="192"/>
      <c r="W975" s="121"/>
      <c r="X975" s="122"/>
      <c r="Y975" s="17"/>
      <c r="Z975" s="17"/>
      <c r="AA975" s="136"/>
      <c r="AB975" s="205"/>
      <c r="AC975" s="17"/>
      <c r="AD975" s="17"/>
      <c r="AE975" s="136"/>
      <c r="AF975" s="206"/>
      <c r="AG975" s="201"/>
      <c r="AH975" s="201"/>
      <c r="AI975" s="201"/>
      <c r="AJ975" s="201"/>
      <c r="AK975" s="17"/>
      <c r="AL975" s="17"/>
    </row>
    <row r="976">
      <c r="A976" s="115"/>
      <c r="B976" s="150"/>
      <c r="C976" s="89"/>
      <c r="D976" s="55"/>
      <c r="E976" s="115"/>
      <c r="F976" s="150"/>
      <c r="G976" s="188"/>
      <c r="H976" s="189"/>
      <c r="I976" s="115"/>
      <c r="J976" s="150"/>
      <c r="K976" s="89"/>
      <c r="L976" s="55"/>
      <c r="M976" s="115"/>
      <c r="N976" s="190"/>
      <c r="O976" s="89"/>
      <c r="P976" s="55"/>
      <c r="Q976" s="191"/>
      <c r="R976" s="192"/>
      <c r="S976" s="121"/>
      <c r="T976" s="122"/>
      <c r="U976" s="191"/>
      <c r="V976" s="192"/>
      <c r="W976" s="121"/>
      <c r="X976" s="122"/>
      <c r="Y976" s="17"/>
      <c r="Z976" s="17"/>
      <c r="AA976" s="136"/>
      <c r="AB976" s="205"/>
      <c r="AC976" s="17"/>
      <c r="AD976" s="17"/>
      <c r="AE976" s="136"/>
      <c r="AF976" s="206"/>
      <c r="AG976" s="201"/>
      <c r="AH976" s="201"/>
      <c r="AI976" s="201"/>
      <c r="AJ976" s="201"/>
      <c r="AK976" s="17"/>
      <c r="AL976" s="17"/>
    </row>
    <row r="977">
      <c r="A977" s="115"/>
      <c r="B977" s="150"/>
      <c r="C977" s="89"/>
      <c r="D977" s="55"/>
      <c r="E977" s="115"/>
      <c r="F977" s="150"/>
      <c r="G977" s="188"/>
      <c r="H977" s="189"/>
      <c r="I977" s="115"/>
      <c r="J977" s="150"/>
      <c r="K977" s="89"/>
      <c r="L977" s="55"/>
      <c r="M977" s="115"/>
      <c r="N977" s="190"/>
      <c r="O977" s="89"/>
      <c r="P977" s="55"/>
      <c r="Q977" s="191"/>
      <c r="R977" s="192"/>
      <c r="S977" s="121"/>
      <c r="T977" s="122"/>
      <c r="U977" s="191"/>
      <c r="V977" s="192"/>
      <c r="W977" s="121"/>
      <c r="X977" s="122"/>
      <c r="Y977" s="17"/>
      <c r="Z977" s="17"/>
      <c r="AA977" s="136"/>
      <c r="AB977" s="205"/>
      <c r="AC977" s="17"/>
      <c r="AD977" s="17"/>
      <c r="AE977" s="136"/>
      <c r="AF977" s="206"/>
      <c r="AG977" s="201"/>
      <c r="AH977" s="201"/>
      <c r="AI977" s="201"/>
      <c r="AJ977" s="201"/>
      <c r="AK977" s="17"/>
      <c r="AL977" s="17"/>
    </row>
    <row r="978">
      <c r="A978" s="115"/>
      <c r="B978" s="150"/>
      <c r="C978" s="89"/>
      <c r="D978" s="55"/>
      <c r="E978" s="115"/>
      <c r="F978" s="150"/>
      <c r="G978" s="188"/>
      <c r="H978" s="189"/>
      <c r="I978" s="115"/>
      <c r="J978" s="150"/>
      <c r="K978" s="89"/>
      <c r="L978" s="55"/>
      <c r="M978" s="115"/>
      <c r="N978" s="190"/>
      <c r="O978" s="89"/>
      <c r="P978" s="55"/>
      <c r="Q978" s="191"/>
      <c r="R978" s="192"/>
      <c r="S978" s="121"/>
      <c r="T978" s="122"/>
      <c r="U978" s="191"/>
      <c r="V978" s="192"/>
      <c r="W978" s="121"/>
      <c r="X978" s="122"/>
      <c r="Y978" s="17"/>
      <c r="Z978" s="17"/>
      <c r="AA978" s="136"/>
      <c r="AB978" s="205"/>
      <c r="AC978" s="17"/>
      <c r="AD978" s="17"/>
      <c r="AE978" s="136"/>
      <c r="AF978" s="206"/>
      <c r="AG978" s="201"/>
      <c r="AH978" s="201"/>
      <c r="AI978" s="201"/>
      <c r="AJ978" s="201"/>
      <c r="AK978" s="17"/>
      <c r="AL978" s="17"/>
    </row>
    <row r="979">
      <c r="A979" s="115"/>
      <c r="B979" s="150"/>
      <c r="C979" s="89"/>
      <c r="D979" s="55"/>
      <c r="E979" s="115"/>
      <c r="F979" s="150"/>
      <c r="G979" s="188"/>
      <c r="H979" s="189"/>
      <c r="I979" s="115"/>
      <c r="J979" s="150"/>
      <c r="K979" s="89"/>
      <c r="L979" s="55"/>
      <c r="M979" s="115"/>
      <c r="N979" s="190"/>
      <c r="O979" s="89"/>
      <c r="P979" s="55"/>
      <c r="Q979" s="191"/>
      <c r="R979" s="192"/>
      <c r="S979" s="121"/>
      <c r="T979" s="122"/>
      <c r="U979" s="191"/>
      <c r="V979" s="192"/>
      <c r="W979" s="121"/>
      <c r="X979" s="122"/>
      <c r="Y979" s="17"/>
      <c r="Z979" s="17"/>
      <c r="AA979" s="136"/>
      <c r="AB979" s="205"/>
      <c r="AC979" s="17"/>
      <c r="AD979" s="17"/>
      <c r="AE979" s="136"/>
      <c r="AF979" s="206"/>
      <c r="AG979" s="201"/>
      <c r="AH979" s="201"/>
      <c r="AI979" s="201"/>
      <c r="AJ979" s="201"/>
      <c r="AK979" s="17"/>
      <c r="AL979" s="17"/>
    </row>
    <row r="980">
      <c r="A980" s="115"/>
      <c r="B980" s="150"/>
      <c r="C980" s="89"/>
      <c r="D980" s="55"/>
      <c r="E980" s="115"/>
      <c r="F980" s="150"/>
      <c r="G980" s="188"/>
      <c r="H980" s="189"/>
      <c r="I980" s="115"/>
      <c r="J980" s="150"/>
      <c r="K980" s="89"/>
      <c r="L980" s="55"/>
      <c r="M980" s="115"/>
      <c r="N980" s="190"/>
      <c r="O980" s="89"/>
      <c r="P980" s="55"/>
      <c r="Q980" s="191"/>
      <c r="R980" s="192"/>
      <c r="S980" s="121"/>
      <c r="T980" s="122"/>
      <c r="U980" s="191"/>
      <c r="V980" s="192"/>
      <c r="W980" s="121"/>
      <c r="X980" s="122"/>
      <c r="Y980" s="17"/>
      <c r="Z980" s="17"/>
      <c r="AA980" s="136"/>
      <c r="AB980" s="205"/>
      <c r="AC980" s="17"/>
      <c r="AD980" s="17"/>
      <c r="AE980" s="136"/>
      <c r="AF980" s="206"/>
      <c r="AG980" s="201"/>
      <c r="AH980" s="201"/>
      <c r="AI980" s="201"/>
      <c r="AJ980" s="201"/>
      <c r="AK980" s="17"/>
      <c r="AL980" s="17"/>
    </row>
    <row r="981">
      <c r="A981" s="115"/>
      <c r="B981" s="150"/>
      <c r="C981" s="89"/>
      <c r="D981" s="55"/>
      <c r="E981" s="115"/>
      <c r="F981" s="150"/>
      <c r="G981" s="188"/>
      <c r="H981" s="189"/>
      <c r="I981" s="115"/>
      <c r="J981" s="150"/>
      <c r="K981" s="89"/>
      <c r="L981" s="55"/>
      <c r="M981" s="115"/>
      <c r="N981" s="190"/>
      <c r="O981" s="89"/>
      <c r="P981" s="55"/>
      <c r="Q981" s="191"/>
      <c r="R981" s="192"/>
      <c r="S981" s="121"/>
      <c r="T981" s="122"/>
      <c r="U981" s="191"/>
      <c r="V981" s="192"/>
      <c r="W981" s="121"/>
      <c r="X981" s="122"/>
      <c r="Y981" s="17"/>
      <c r="Z981" s="17"/>
      <c r="AA981" s="136"/>
      <c r="AB981" s="205"/>
      <c r="AC981" s="17"/>
      <c r="AD981" s="17"/>
      <c r="AE981" s="136"/>
      <c r="AF981" s="206"/>
      <c r="AG981" s="201"/>
      <c r="AH981" s="201"/>
      <c r="AI981" s="201"/>
      <c r="AJ981" s="201"/>
      <c r="AK981" s="17"/>
      <c r="AL981" s="17"/>
    </row>
    <row r="982">
      <c r="A982" s="115"/>
      <c r="B982" s="150"/>
      <c r="C982" s="89"/>
      <c r="D982" s="55"/>
      <c r="E982" s="115"/>
      <c r="F982" s="150"/>
      <c r="G982" s="188"/>
      <c r="H982" s="189"/>
      <c r="I982" s="115"/>
      <c r="J982" s="150"/>
      <c r="K982" s="89"/>
      <c r="L982" s="55"/>
      <c r="M982" s="115"/>
      <c r="N982" s="190"/>
      <c r="O982" s="89"/>
      <c r="P982" s="55"/>
      <c r="Q982" s="191"/>
      <c r="R982" s="192"/>
      <c r="S982" s="121"/>
      <c r="T982" s="122"/>
      <c r="U982" s="191"/>
      <c r="V982" s="192"/>
      <c r="W982" s="121"/>
      <c r="X982" s="122"/>
      <c r="Y982" s="17"/>
      <c r="Z982" s="17"/>
      <c r="AA982" s="136"/>
      <c r="AB982" s="205"/>
      <c r="AC982" s="17"/>
      <c r="AD982" s="17"/>
      <c r="AE982" s="136"/>
      <c r="AF982" s="206"/>
      <c r="AG982" s="201"/>
      <c r="AH982" s="201"/>
      <c r="AI982" s="201"/>
      <c r="AJ982" s="201"/>
      <c r="AK982" s="17"/>
      <c r="AL982" s="17"/>
    </row>
    <row r="983">
      <c r="A983" s="115"/>
      <c r="B983" s="150"/>
      <c r="C983" s="89"/>
      <c r="D983" s="55"/>
      <c r="E983" s="115"/>
      <c r="F983" s="150"/>
      <c r="G983" s="188"/>
      <c r="H983" s="189"/>
      <c r="I983" s="115"/>
      <c r="J983" s="150"/>
      <c r="K983" s="89"/>
      <c r="L983" s="55"/>
      <c r="M983" s="115"/>
      <c r="N983" s="190"/>
      <c r="O983" s="89"/>
      <c r="P983" s="55"/>
      <c r="Q983" s="191"/>
      <c r="R983" s="192"/>
      <c r="S983" s="121"/>
      <c r="T983" s="122"/>
      <c r="U983" s="191"/>
      <c r="V983" s="192"/>
      <c r="W983" s="121"/>
      <c r="X983" s="122"/>
      <c r="Y983" s="17"/>
      <c r="Z983" s="17"/>
      <c r="AA983" s="136"/>
      <c r="AB983" s="205"/>
      <c r="AC983" s="17"/>
      <c r="AD983" s="17"/>
      <c r="AE983" s="136"/>
      <c r="AF983" s="206"/>
      <c r="AG983" s="201"/>
      <c r="AH983" s="201"/>
      <c r="AI983" s="201"/>
      <c r="AJ983" s="201"/>
      <c r="AK983" s="17"/>
      <c r="AL983" s="17"/>
    </row>
    <row r="984">
      <c r="A984" s="115"/>
      <c r="B984" s="150"/>
      <c r="C984" s="89"/>
      <c r="D984" s="55"/>
      <c r="E984" s="115"/>
      <c r="F984" s="150"/>
      <c r="G984" s="188"/>
      <c r="H984" s="189"/>
      <c r="I984" s="115"/>
      <c r="J984" s="150"/>
      <c r="K984" s="89"/>
      <c r="L984" s="55"/>
      <c r="M984" s="115"/>
      <c r="N984" s="190"/>
      <c r="O984" s="89"/>
      <c r="P984" s="55"/>
      <c r="Q984" s="191"/>
      <c r="R984" s="192"/>
      <c r="S984" s="121"/>
      <c r="T984" s="122"/>
      <c r="U984" s="191"/>
      <c r="V984" s="192"/>
      <c r="W984" s="121"/>
      <c r="X984" s="122"/>
      <c r="Y984" s="17"/>
      <c r="Z984" s="17"/>
      <c r="AA984" s="136"/>
      <c r="AB984" s="205"/>
      <c r="AC984" s="17"/>
      <c r="AD984" s="17"/>
      <c r="AE984" s="136"/>
      <c r="AF984" s="206"/>
      <c r="AG984" s="201"/>
      <c r="AH984" s="201"/>
      <c r="AI984" s="201"/>
      <c r="AJ984" s="201"/>
      <c r="AK984" s="17"/>
      <c r="AL984" s="17"/>
    </row>
    <row r="985">
      <c r="A985" s="115"/>
      <c r="B985" s="150"/>
      <c r="C985" s="89"/>
      <c r="D985" s="55"/>
      <c r="E985" s="115"/>
      <c r="F985" s="150"/>
      <c r="G985" s="188"/>
      <c r="H985" s="189"/>
      <c r="I985" s="115"/>
      <c r="J985" s="150"/>
      <c r="K985" s="89"/>
      <c r="L985" s="55"/>
      <c r="M985" s="115"/>
      <c r="N985" s="190"/>
      <c r="O985" s="89"/>
      <c r="P985" s="55"/>
      <c r="Q985" s="191"/>
      <c r="R985" s="192"/>
      <c r="S985" s="121"/>
      <c r="T985" s="122"/>
      <c r="U985" s="191"/>
      <c r="V985" s="192"/>
      <c r="W985" s="121"/>
      <c r="X985" s="122"/>
      <c r="Y985" s="17"/>
      <c r="Z985" s="17"/>
      <c r="AA985" s="136"/>
      <c r="AB985" s="205"/>
      <c r="AC985" s="17"/>
      <c r="AD985" s="17"/>
      <c r="AE985" s="136"/>
      <c r="AF985" s="206"/>
      <c r="AG985" s="201"/>
      <c r="AH985" s="201"/>
      <c r="AI985" s="201"/>
      <c r="AJ985" s="201"/>
      <c r="AK985" s="17"/>
      <c r="AL985" s="17"/>
    </row>
    <row r="986">
      <c r="A986" s="115"/>
      <c r="B986" s="150"/>
      <c r="C986" s="89"/>
      <c r="D986" s="55"/>
      <c r="E986" s="115"/>
      <c r="F986" s="150"/>
      <c r="G986" s="188"/>
      <c r="H986" s="189"/>
      <c r="I986" s="115"/>
      <c r="J986" s="150"/>
      <c r="K986" s="89"/>
      <c r="L986" s="55"/>
      <c r="M986" s="115"/>
      <c r="N986" s="190"/>
      <c r="O986" s="89"/>
      <c r="P986" s="55"/>
      <c r="Q986" s="191"/>
      <c r="R986" s="192"/>
      <c r="S986" s="121"/>
      <c r="T986" s="122"/>
      <c r="U986" s="191"/>
      <c r="V986" s="192"/>
      <c r="W986" s="121"/>
      <c r="X986" s="122"/>
      <c r="Y986" s="17"/>
      <c r="Z986" s="17"/>
      <c r="AA986" s="136"/>
      <c r="AB986" s="205"/>
      <c r="AC986" s="17"/>
      <c r="AD986" s="17"/>
      <c r="AE986" s="136"/>
      <c r="AF986" s="206"/>
      <c r="AG986" s="201"/>
      <c r="AH986" s="201"/>
      <c r="AI986" s="201"/>
      <c r="AJ986" s="201"/>
      <c r="AK986" s="17"/>
      <c r="AL986" s="17"/>
    </row>
    <row r="987">
      <c r="A987" s="115"/>
      <c r="B987" s="150"/>
      <c r="C987" s="89"/>
      <c r="D987" s="55"/>
      <c r="E987" s="115"/>
      <c r="F987" s="150"/>
      <c r="G987" s="188"/>
      <c r="H987" s="189"/>
      <c r="I987" s="115"/>
      <c r="J987" s="150"/>
      <c r="K987" s="89"/>
      <c r="L987" s="55"/>
      <c r="M987" s="115"/>
      <c r="N987" s="190"/>
      <c r="O987" s="89"/>
      <c r="P987" s="55"/>
      <c r="Q987" s="191"/>
      <c r="R987" s="192"/>
      <c r="S987" s="121"/>
      <c r="T987" s="122"/>
      <c r="U987" s="191"/>
      <c r="V987" s="192"/>
      <c r="W987" s="121"/>
      <c r="X987" s="122"/>
      <c r="Y987" s="17"/>
      <c r="Z987" s="17"/>
      <c r="AA987" s="136"/>
      <c r="AB987" s="205"/>
      <c r="AC987" s="17"/>
      <c r="AD987" s="17"/>
      <c r="AE987" s="136"/>
      <c r="AF987" s="206"/>
      <c r="AG987" s="201"/>
      <c r="AH987" s="201"/>
      <c r="AI987" s="201"/>
      <c r="AJ987" s="201"/>
      <c r="AK987" s="17"/>
      <c r="AL987" s="17"/>
    </row>
    <row r="988">
      <c r="A988" s="115"/>
      <c r="B988" s="150"/>
      <c r="C988" s="89"/>
      <c r="D988" s="55"/>
      <c r="E988" s="115"/>
      <c r="F988" s="150"/>
      <c r="G988" s="188"/>
      <c r="H988" s="189"/>
      <c r="I988" s="115"/>
      <c r="J988" s="150"/>
      <c r="K988" s="89"/>
      <c r="L988" s="55"/>
      <c r="M988" s="115"/>
      <c r="N988" s="190"/>
      <c r="O988" s="89"/>
      <c r="P988" s="55"/>
      <c r="Q988" s="191"/>
      <c r="R988" s="192"/>
      <c r="S988" s="121"/>
      <c r="T988" s="122"/>
      <c r="U988" s="191"/>
      <c r="V988" s="192"/>
      <c r="W988" s="121"/>
      <c r="X988" s="122"/>
      <c r="Y988" s="17"/>
      <c r="Z988" s="17"/>
      <c r="AA988" s="136"/>
      <c r="AB988" s="205"/>
      <c r="AC988" s="17"/>
      <c r="AD988" s="17"/>
      <c r="AE988" s="136"/>
      <c r="AF988" s="206"/>
      <c r="AG988" s="201"/>
      <c r="AH988" s="201"/>
      <c r="AI988" s="201"/>
      <c r="AJ988" s="201"/>
      <c r="AK988" s="17"/>
      <c r="AL988" s="17"/>
    </row>
    <row r="989">
      <c r="A989" s="115"/>
      <c r="B989" s="150"/>
      <c r="C989" s="89"/>
      <c r="D989" s="55"/>
      <c r="E989" s="115"/>
      <c r="F989" s="150"/>
      <c r="G989" s="188"/>
      <c r="H989" s="189"/>
      <c r="I989" s="115"/>
      <c r="J989" s="150"/>
      <c r="K989" s="89"/>
      <c r="L989" s="55"/>
      <c r="M989" s="115"/>
      <c r="N989" s="190"/>
      <c r="O989" s="89"/>
      <c r="P989" s="55"/>
      <c r="Q989" s="191"/>
      <c r="R989" s="192"/>
      <c r="S989" s="121"/>
      <c r="T989" s="122"/>
      <c r="U989" s="191"/>
      <c r="V989" s="192"/>
      <c r="W989" s="121"/>
      <c r="X989" s="122"/>
      <c r="Y989" s="17"/>
      <c r="Z989" s="17"/>
      <c r="AA989" s="136"/>
      <c r="AB989" s="205"/>
      <c r="AC989" s="17"/>
      <c r="AD989" s="17"/>
      <c r="AE989" s="136"/>
      <c r="AF989" s="206"/>
      <c r="AG989" s="201"/>
      <c r="AH989" s="201"/>
      <c r="AI989" s="201"/>
      <c r="AJ989" s="201"/>
      <c r="AK989" s="17"/>
      <c r="AL989" s="17"/>
    </row>
    <row r="990">
      <c r="A990" s="115"/>
      <c r="B990" s="150"/>
      <c r="C990" s="89"/>
      <c r="D990" s="55"/>
      <c r="E990" s="115"/>
      <c r="F990" s="150"/>
      <c r="G990" s="188"/>
      <c r="H990" s="189"/>
      <c r="I990" s="115"/>
      <c r="J990" s="150"/>
      <c r="K990" s="89"/>
      <c r="L990" s="55"/>
      <c r="M990" s="115"/>
      <c r="N990" s="190"/>
      <c r="O990" s="89"/>
      <c r="P990" s="55"/>
      <c r="Q990" s="191"/>
      <c r="R990" s="192"/>
      <c r="S990" s="121"/>
      <c r="T990" s="122"/>
      <c r="U990" s="191"/>
      <c r="V990" s="192"/>
      <c r="W990" s="121"/>
      <c r="X990" s="122"/>
      <c r="Y990" s="17"/>
      <c r="Z990" s="17"/>
      <c r="AA990" s="136"/>
      <c r="AB990" s="205"/>
      <c r="AC990" s="17"/>
      <c r="AD990" s="17"/>
      <c r="AE990" s="136"/>
      <c r="AF990" s="206"/>
      <c r="AG990" s="201"/>
      <c r="AH990" s="201"/>
      <c r="AI990" s="201"/>
      <c r="AJ990" s="201"/>
      <c r="AK990" s="17"/>
      <c r="AL990" s="17"/>
    </row>
    <row r="991">
      <c r="A991" s="115"/>
      <c r="B991" s="150"/>
      <c r="C991" s="89"/>
      <c r="D991" s="55"/>
      <c r="E991" s="115"/>
      <c r="F991" s="150"/>
      <c r="G991" s="188"/>
      <c r="H991" s="189"/>
      <c r="I991" s="115"/>
      <c r="J991" s="150"/>
      <c r="K991" s="89"/>
      <c r="L991" s="55"/>
      <c r="M991" s="115"/>
      <c r="N991" s="190"/>
      <c r="O991" s="89"/>
      <c r="P991" s="55"/>
      <c r="Q991" s="191"/>
      <c r="R991" s="192"/>
      <c r="S991" s="121"/>
      <c r="T991" s="122"/>
      <c r="U991" s="191"/>
      <c r="V991" s="192"/>
      <c r="W991" s="121"/>
      <c r="X991" s="122"/>
      <c r="Y991" s="17"/>
      <c r="Z991" s="17"/>
      <c r="AA991" s="136"/>
      <c r="AB991" s="205"/>
      <c r="AC991" s="17"/>
      <c r="AD991" s="17"/>
      <c r="AE991" s="136"/>
      <c r="AF991" s="206"/>
      <c r="AG991" s="201"/>
      <c r="AH991" s="201"/>
      <c r="AI991" s="201"/>
      <c r="AJ991" s="201"/>
      <c r="AK991" s="17"/>
      <c r="AL991" s="17"/>
    </row>
    <row r="992">
      <c r="A992" s="115"/>
      <c r="B992" s="150"/>
      <c r="C992" s="89"/>
      <c r="D992" s="55"/>
      <c r="E992" s="115"/>
      <c r="F992" s="150"/>
      <c r="G992" s="188"/>
      <c r="H992" s="189"/>
      <c r="I992" s="115"/>
      <c r="J992" s="150"/>
      <c r="K992" s="89"/>
      <c r="L992" s="55"/>
      <c r="M992" s="115"/>
      <c r="N992" s="190"/>
      <c r="O992" s="89"/>
      <c r="P992" s="55"/>
      <c r="Q992" s="191"/>
      <c r="R992" s="192"/>
      <c r="S992" s="121"/>
      <c r="T992" s="122"/>
      <c r="U992" s="191"/>
      <c r="V992" s="192"/>
      <c r="W992" s="121"/>
      <c r="X992" s="122"/>
      <c r="Y992" s="17"/>
      <c r="Z992" s="17"/>
      <c r="AA992" s="136"/>
      <c r="AB992" s="205"/>
      <c r="AC992" s="17"/>
      <c r="AD992" s="17"/>
      <c r="AE992" s="136"/>
      <c r="AF992" s="206"/>
      <c r="AG992" s="201"/>
      <c r="AH992" s="201"/>
      <c r="AI992" s="201"/>
      <c r="AJ992" s="201"/>
      <c r="AK992" s="17"/>
      <c r="AL992" s="17"/>
    </row>
    <row r="993">
      <c r="A993" s="115"/>
      <c r="B993" s="150"/>
      <c r="C993" s="89"/>
      <c r="D993" s="55"/>
      <c r="E993" s="115"/>
      <c r="F993" s="150"/>
      <c r="G993" s="188"/>
      <c r="H993" s="189"/>
      <c r="I993" s="115"/>
      <c r="J993" s="150"/>
      <c r="K993" s="89"/>
      <c r="L993" s="55"/>
      <c r="M993" s="115"/>
      <c r="N993" s="190"/>
      <c r="O993" s="89"/>
      <c r="P993" s="55"/>
      <c r="Q993" s="191"/>
      <c r="R993" s="192"/>
      <c r="S993" s="121"/>
      <c r="T993" s="122"/>
      <c r="U993" s="191"/>
      <c r="V993" s="192"/>
      <c r="W993" s="121"/>
      <c r="X993" s="122"/>
      <c r="Y993" s="17"/>
      <c r="Z993" s="17"/>
      <c r="AA993" s="136"/>
      <c r="AB993" s="205"/>
      <c r="AC993" s="17"/>
      <c r="AD993" s="17"/>
      <c r="AE993" s="136"/>
      <c r="AF993" s="206"/>
      <c r="AG993" s="201"/>
      <c r="AH993" s="201"/>
      <c r="AI993" s="201"/>
      <c r="AJ993" s="201"/>
      <c r="AK993" s="17"/>
      <c r="AL993" s="17"/>
    </row>
    <row r="994">
      <c r="A994" s="115"/>
      <c r="B994" s="150"/>
      <c r="C994" s="89"/>
      <c r="D994" s="55"/>
      <c r="E994" s="115"/>
      <c r="F994" s="150"/>
      <c r="G994" s="188"/>
      <c r="H994" s="189"/>
      <c r="I994" s="115"/>
      <c r="J994" s="150"/>
      <c r="K994" s="89"/>
      <c r="L994" s="55"/>
      <c r="M994" s="115"/>
      <c r="N994" s="190"/>
      <c r="O994" s="89"/>
      <c r="P994" s="55"/>
      <c r="Q994" s="191"/>
      <c r="R994" s="192"/>
      <c r="S994" s="121"/>
      <c r="T994" s="122"/>
      <c r="U994" s="191"/>
      <c r="V994" s="192"/>
      <c r="W994" s="121"/>
      <c r="X994" s="122"/>
      <c r="Y994" s="17"/>
      <c r="Z994" s="17"/>
      <c r="AA994" s="136"/>
      <c r="AB994" s="205"/>
      <c r="AC994" s="17"/>
      <c r="AD994" s="17"/>
      <c r="AE994" s="136"/>
      <c r="AF994" s="206"/>
      <c r="AG994" s="201"/>
      <c r="AH994" s="201"/>
      <c r="AI994" s="201"/>
      <c r="AJ994" s="201"/>
      <c r="AK994" s="17"/>
      <c r="AL994" s="17"/>
    </row>
    <row r="995">
      <c r="A995" s="115"/>
      <c r="B995" s="150"/>
      <c r="C995" s="89"/>
      <c r="D995" s="55"/>
      <c r="E995" s="115"/>
      <c r="F995" s="150"/>
      <c r="G995" s="188"/>
      <c r="H995" s="189"/>
      <c r="I995" s="115"/>
      <c r="J995" s="150"/>
      <c r="K995" s="89"/>
      <c r="L995" s="55"/>
      <c r="M995" s="115"/>
      <c r="N995" s="190"/>
      <c r="O995" s="89"/>
      <c r="P995" s="55"/>
      <c r="Q995" s="191"/>
      <c r="R995" s="192"/>
      <c r="S995" s="121"/>
      <c r="T995" s="122"/>
      <c r="U995" s="191"/>
      <c r="V995" s="192"/>
      <c r="W995" s="121"/>
      <c r="X995" s="122"/>
      <c r="Y995" s="17"/>
      <c r="Z995" s="17"/>
      <c r="AA995" s="136"/>
      <c r="AB995" s="205"/>
      <c r="AC995" s="17"/>
      <c r="AD995" s="17"/>
      <c r="AE995" s="136"/>
      <c r="AF995" s="206"/>
      <c r="AG995" s="201"/>
      <c r="AH995" s="201"/>
      <c r="AI995" s="201"/>
      <c r="AJ995" s="201"/>
      <c r="AK995" s="17"/>
      <c r="AL995" s="17"/>
    </row>
    <row r="996">
      <c r="A996" s="115"/>
      <c r="B996" s="150"/>
      <c r="C996" s="89"/>
      <c r="D996" s="55"/>
      <c r="E996" s="115"/>
      <c r="F996" s="150"/>
      <c r="G996" s="188"/>
      <c r="H996" s="189"/>
      <c r="I996" s="115"/>
      <c r="J996" s="150"/>
      <c r="K996" s="89"/>
      <c r="L996" s="55"/>
      <c r="M996" s="115"/>
      <c r="N996" s="190"/>
      <c r="O996" s="89"/>
      <c r="P996" s="55"/>
      <c r="Q996" s="191"/>
      <c r="R996" s="192"/>
      <c r="S996" s="121"/>
      <c r="T996" s="122"/>
      <c r="U996" s="191"/>
      <c r="V996" s="192"/>
      <c r="W996" s="121"/>
      <c r="X996" s="122"/>
      <c r="Y996" s="17"/>
      <c r="Z996" s="17"/>
      <c r="AA996" s="136"/>
      <c r="AB996" s="205"/>
      <c r="AC996" s="17"/>
      <c r="AD996" s="17"/>
      <c r="AE996" s="136"/>
      <c r="AF996" s="206"/>
      <c r="AG996" s="201"/>
      <c r="AH996" s="201"/>
      <c r="AI996" s="201"/>
      <c r="AJ996" s="201"/>
      <c r="AK996" s="17"/>
      <c r="AL996" s="17"/>
    </row>
    <row r="997">
      <c r="A997" s="115"/>
      <c r="B997" s="150"/>
      <c r="C997" s="89"/>
      <c r="D997" s="55"/>
      <c r="E997" s="115"/>
      <c r="F997" s="150"/>
      <c r="G997" s="188"/>
      <c r="H997" s="189"/>
      <c r="I997" s="115"/>
      <c r="J997" s="150"/>
      <c r="K997" s="89"/>
      <c r="L997" s="55"/>
      <c r="M997" s="115"/>
      <c r="N997" s="190"/>
      <c r="O997" s="89"/>
      <c r="P997" s="55"/>
      <c r="Q997" s="191"/>
      <c r="R997" s="192"/>
      <c r="S997" s="121"/>
      <c r="T997" s="122"/>
      <c r="U997" s="191"/>
      <c r="V997" s="192"/>
      <c r="W997" s="121"/>
      <c r="X997" s="122"/>
      <c r="Y997" s="17"/>
      <c r="Z997" s="17"/>
      <c r="AA997" s="136"/>
      <c r="AB997" s="205"/>
      <c r="AC997" s="17"/>
      <c r="AD997" s="17"/>
      <c r="AE997" s="136"/>
      <c r="AF997" s="206"/>
      <c r="AG997" s="201"/>
      <c r="AH997" s="201"/>
      <c r="AI997" s="201"/>
      <c r="AJ997" s="201"/>
      <c r="AK997" s="17"/>
      <c r="AL997" s="17"/>
    </row>
    <row r="998">
      <c r="A998" s="115"/>
      <c r="B998" s="150"/>
      <c r="C998" s="89"/>
      <c r="D998" s="55"/>
      <c r="E998" s="115"/>
      <c r="F998" s="150"/>
      <c r="G998" s="188"/>
      <c r="H998" s="189"/>
      <c r="I998" s="115"/>
      <c r="J998" s="150"/>
      <c r="K998" s="89"/>
      <c r="L998" s="55"/>
      <c r="M998" s="115"/>
      <c r="N998" s="190"/>
      <c r="O998" s="89"/>
      <c r="P998" s="55"/>
      <c r="Q998" s="191"/>
      <c r="R998" s="192"/>
      <c r="S998" s="121"/>
      <c r="T998" s="122"/>
      <c r="U998" s="191"/>
      <c r="V998" s="192"/>
      <c r="W998" s="121"/>
      <c r="X998" s="122"/>
      <c r="Y998" s="17"/>
      <c r="Z998" s="17"/>
      <c r="AA998" s="136"/>
      <c r="AB998" s="205"/>
      <c r="AC998" s="17"/>
      <c r="AD998" s="17"/>
      <c r="AE998" s="136"/>
      <c r="AF998" s="206"/>
      <c r="AG998" s="201"/>
      <c r="AH998" s="201"/>
      <c r="AI998" s="201"/>
      <c r="AJ998" s="201"/>
      <c r="AK998" s="17"/>
      <c r="AL998" s="17"/>
    </row>
    <row r="999">
      <c r="A999" s="115"/>
      <c r="B999" s="150"/>
      <c r="C999" s="89"/>
      <c r="D999" s="55"/>
      <c r="E999" s="115"/>
      <c r="F999" s="150"/>
      <c r="G999" s="188"/>
      <c r="H999" s="189"/>
      <c r="I999" s="115"/>
      <c r="J999" s="150"/>
      <c r="K999" s="89"/>
      <c r="L999" s="55"/>
      <c r="M999" s="115"/>
      <c r="N999" s="190"/>
      <c r="O999" s="89"/>
      <c r="P999" s="55"/>
      <c r="Q999" s="17"/>
      <c r="R999" s="17"/>
      <c r="S999" s="46"/>
      <c r="T999" s="46"/>
      <c r="U999" s="17"/>
      <c r="V999" s="17"/>
      <c r="W999" s="46"/>
      <c r="X999" s="46"/>
      <c r="Y999" s="17"/>
      <c r="Z999" s="17"/>
      <c r="AA999" s="136"/>
      <c r="AB999" s="205"/>
      <c r="AC999" s="17"/>
      <c r="AD999" s="17"/>
      <c r="AE999" s="136"/>
      <c r="AF999" s="206"/>
      <c r="AG999" s="201"/>
      <c r="AH999" s="201"/>
      <c r="AI999" s="201"/>
      <c r="AJ999" s="201"/>
      <c r="AK999" s="17"/>
      <c r="AL999" s="17"/>
    </row>
    <row r="1000">
      <c r="A1000" s="115"/>
      <c r="B1000" s="150"/>
      <c r="C1000" s="89"/>
      <c r="D1000" s="55"/>
      <c r="E1000" s="115"/>
      <c r="F1000" s="150"/>
      <c r="G1000" s="188"/>
      <c r="H1000" s="189"/>
      <c r="I1000" s="115"/>
      <c r="J1000" s="150"/>
      <c r="K1000" s="89"/>
      <c r="L1000" s="55"/>
      <c r="M1000" s="115"/>
      <c r="N1000" s="190"/>
      <c r="O1000" s="89"/>
      <c r="P1000" s="55"/>
      <c r="Q1000" s="17"/>
      <c r="R1000" s="17"/>
      <c r="S1000" s="46"/>
      <c r="T1000" s="46"/>
      <c r="U1000" s="17"/>
      <c r="V1000" s="17"/>
      <c r="W1000" s="46"/>
      <c r="X1000" s="46"/>
      <c r="Y1000" s="17"/>
      <c r="Z1000" s="17"/>
      <c r="AA1000" s="136"/>
      <c r="AB1000" s="205"/>
      <c r="AC1000" s="17"/>
      <c r="AD1000" s="17"/>
      <c r="AE1000" s="136"/>
      <c r="AF1000" s="206"/>
      <c r="AG1000" s="201"/>
      <c r="AH1000" s="201"/>
      <c r="AI1000" s="201"/>
      <c r="AJ1000" s="201"/>
      <c r="AK1000" s="17"/>
      <c r="AL1000" s="17"/>
    </row>
    <row r="1001">
      <c r="A1001" s="115"/>
      <c r="B1001" s="150"/>
      <c r="C1001" s="89"/>
      <c r="D1001" s="55"/>
      <c r="E1001" s="115"/>
      <c r="F1001" s="150"/>
      <c r="G1001" s="188"/>
      <c r="H1001" s="189"/>
      <c r="I1001" s="115"/>
      <c r="J1001" s="150"/>
      <c r="K1001" s="89"/>
      <c r="L1001" s="55"/>
      <c r="M1001" s="115"/>
      <c r="N1001" s="190"/>
      <c r="O1001" s="89"/>
      <c r="P1001" s="55"/>
      <c r="Q1001" s="17"/>
      <c r="R1001" s="17"/>
      <c r="S1001" s="46"/>
      <c r="T1001" s="46"/>
      <c r="U1001" s="17"/>
      <c r="V1001" s="17"/>
      <c r="W1001" s="46"/>
      <c r="X1001" s="46"/>
      <c r="Y1001" s="17"/>
      <c r="Z1001" s="17"/>
      <c r="AA1001" s="136"/>
      <c r="AB1001" s="205"/>
      <c r="AC1001" s="17"/>
      <c r="AD1001" s="17"/>
      <c r="AE1001" s="136"/>
      <c r="AF1001" s="206"/>
      <c r="AG1001" s="201"/>
      <c r="AH1001" s="201"/>
      <c r="AI1001" s="201"/>
      <c r="AJ1001" s="201"/>
      <c r="AK1001" s="17"/>
      <c r="AL1001" s="17"/>
    </row>
    <row r="1002">
      <c r="A1002" s="115"/>
      <c r="B1002" s="150"/>
      <c r="C1002" s="89"/>
      <c r="D1002" s="55"/>
      <c r="E1002" s="115"/>
      <c r="F1002" s="150"/>
      <c r="G1002" s="188"/>
      <c r="H1002" s="189"/>
      <c r="I1002" s="115"/>
      <c r="J1002" s="150"/>
      <c r="K1002" s="89"/>
      <c r="L1002" s="55"/>
      <c r="M1002" s="115"/>
      <c r="N1002" s="190"/>
      <c r="O1002" s="89"/>
      <c r="P1002" s="55"/>
      <c r="Q1002" s="17"/>
      <c r="R1002" s="17"/>
      <c r="S1002" s="46"/>
      <c r="T1002" s="46"/>
      <c r="U1002" s="17"/>
      <c r="V1002" s="17"/>
      <c r="W1002" s="46"/>
      <c r="X1002" s="46"/>
      <c r="Y1002" s="17"/>
      <c r="Z1002" s="17"/>
      <c r="AA1002" s="136"/>
      <c r="AB1002" s="205"/>
      <c r="AC1002" s="17"/>
      <c r="AD1002" s="17"/>
      <c r="AE1002" s="136"/>
      <c r="AF1002" s="206"/>
      <c r="AG1002" s="115"/>
      <c r="AH1002" s="150"/>
      <c r="AI1002" s="89"/>
      <c r="AJ1002" s="55"/>
      <c r="AK1002" s="17"/>
      <c r="AL1002" s="17"/>
    </row>
  </sheetData>
  <mergeCells count="18">
    <mergeCell ref="AC1:AF2"/>
    <mergeCell ref="AG1:AJ2"/>
    <mergeCell ref="A1:D2"/>
    <mergeCell ref="E1:H2"/>
    <mergeCell ref="I1:L2"/>
    <mergeCell ref="M1:P2"/>
    <mergeCell ref="Q1:T2"/>
    <mergeCell ref="U1:X2"/>
    <mergeCell ref="Y1:AB2"/>
    <mergeCell ref="AC3:AF3"/>
    <mergeCell ref="AG3:AJ3"/>
    <mergeCell ref="A3:D3"/>
    <mergeCell ref="E3:H3"/>
    <mergeCell ref="I3:L3"/>
    <mergeCell ref="M3:P3"/>
    <mergeCell ref="Q3:T3"/>
    <mergeCell ref="U3:X3"/>
    <mergeCell ref="Y3:AB3"/>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6.63"/>
    <col customWidth="1" min="3" max="3" width="52.13"/>
    <col customWidth="1" min="4" max="9" width="46.63"/>
  </cols>
  <sheetData>
    <row r="1" ht="67.5" customHeight="1">
      <c r="A1" s="207" t="s">
        <v>213</v>
      </c>
      <c r="B1" s="208"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C1" s="209" t="s">
        <v>214</v>
      </c>
      <c r="D1" s="20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E1" s="210"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F1" s="211"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G1" s="210"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H1" s="211"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I1" s="187" t="s">
        <v>216</v>
      </c>
      <c r="J1" s="212"/>
      <c r="K1" s="212"/>
      <c r="L1" s="212"/>
      <c r="M1" s="212"/>
      <c r="N1" s="212"/>
      <c r="O1" s="212"/>
      <c r="P1" s="212"/>
      <c r="Q1" s="212"/>
      <c r="R1" s="212"/>
      <c r="S1" s="212"/>
      <c r="T1" s="212"/>
      <c r="U1" s="212"/>
      <c r="V1" s="212"/>
      <c r="W1" s="212"/>
    </row>
    <row r="2" ht="67.5" customHeight="1">
      <c r="J2" s="212"/>
      <c r="K2" s="212"/>
      <c r="L2" s="212"/>
      <c r="M2" s="212"/>
      <c r="N2" s="212"/>
      <c r="O2" s="212"/>
      <c r="P2" s="212"/>
      <c r="Q2" s="212"/>
      <c r="R2" s="212"/>
      <c r="S2" s="212"/>
      <c r="T2" s="212"/>
      <c r="U2" s="212"/>
      <c r="V2" s="212"/>
      <c r="W2" s="212"/>
    </row>
    <row r="3">
      <c r="A3" s="52" t="s">
        <v>3212</v>
      </c>
      <c r="B3" s="213" t="str">
        <f>IFERROR(__xludf.DUMMYFUNCTION("GOOGLETRANSLATE(A3,""zh-tw"",""ja"")"),"異なるバージョン間でゲームを保存するには、保存ファイルを www-&gt;save から新しいバージョンの同じ場所に移動するだけです。")</f>
        <v>異なるバージョン間でゲームを保存するには、保存ファイルを www-&gt;save から新しいバージョンの同じ場所に移動するだけです。</v>
      </c>
      <c r="C3" s="52" t="s">
        <v>3213</v>
      </c>
      <c r="D3" s="213" t="s">
        <v>3214</v>
      </c>
      <c r="E3" s="55" t="str">
        <f>IFERROR(__xludf.DUMMYFUNCTION("GOOGLETRANSLATE(A3,""zh-tw"",""es-MX"")"),"Para guardar tu partida en diferentes versiones, simplemente mueve el archivo de guardado desde www-&gt;save a la misma ubicación en la nueva versión.")</f>
        <v>Para guardar tu partida en diferentes versiones, simplemente mueve el archivo de guardado desde www-&gt;save a la misma ubicación en la nueva versión.</v>
      </c>
      <c r="F3" s="214" t="str">
        <f>IFERROR(__xludf.DUMMYFUNCTION("GOOGLETRANSLATE(A3,""zh-tw"",""KO"")"),"여러 버전으로 게임을 저장하려면 저장 파일을 www-&gt;save에서 새 버전의 동일한 위치로 옮기기만 하면 됩니다.")</f>
        <v>여러 버전으로 게임을 저장하려면 저장 파일을 www-&gt;save에서 새 버전의 동일한 위치로 옮기기만 하면 됩니다.</v>
      </c>
      <c r="G3" s="55" t="str">
        <f>IFERROR(__xludf.DUMMYFUNCTION("GOOGLETRANSLATE(A3,""zh-tw"",""ru"")"),"Чтобы сохранить игру в разных версиях, просто переместите файл сохранения из www-&gt;save в то же место в новой версии.")</f>
        <v>Чтобы сохранить игру в разных версиях, просто переместите файл сохранения из www-&gt;save в то же место в новой версии.</v>
      </c>
      <c r="H3" s="213" t="s">
        <v>3215</v>
      </c>
      <c r="I3" s="184" t="s">
        <v>3216</v>
      </c>
      <c r="J3" s="46"/>
      <c r="K3" s="46"/>
      <c r="L3" s="46"/>
      <c r="M3" s="46"/>
      <c r="N3" s="46"/>
      <c r="O3" s="46"/>
      <c r="P3" s="46"/>
      <c r="Q3" s="46"/>
      <c r="R3" s="46"/>
      <c r="S3" s="46"/>
      <c r="T3" s="46"/>
      <c r="U3" s="46"/>
      <c r="V3" s="46"/>
      <c r="W3" s="46"/>
    </row>
    <row r="4">
      <c r="A4" s="52" t="s">
        <v>3217</v>
      </c>
      <c r="B4" s="213" t="str">
        <f>IFERROR(__xludf.DUMMYFUNCTION("GOOGLETRANSLATE(A4,""zh-tw"",""ja"")"),"ALTはアニメーションのパフォーマンスを加速します")</f>
        <v>ALTはアニメーションのパフォーマンスを加速します</v>
      </c>
      <c r="C4" s="52" t="s">
        <v>3218</v>
      </c>
      <c r="D4" s="213" t="str">
        <f>IFERROR(__xludf.DUMMYFUNCTION("GOOGLETRANSLATE(A4,""zh-tw"",""zh"")"),"ALT可加速动画演绎")</f>
        <v>ALT可加速动画演绎</v>
      </c>
      <c r="E4" s="55" t="str">
        <f>IFERROR(__xludf.DUMMYFUNCTION("GOOGLETRANSLATE(A4,""zh-tw"",""es-MX"")"),"ALT puede acelerar el rendimiento de la animación")</f>
        <v>ALT puede acelerar el rendimiento de la animación</v>
      </c>
      <c r="F4" s="214" t="str">
        <f>IFERROR(__xludf.DUMMYFUNCTION("GOOGLETRANSLATE(A4,""zh-tw"",""KO"")"),"ALT는 애니메이션 성능을 가속화할 수 있습니다.")</f>
        <v>ALT는 애니메이션 성능을 가속화할 수 있습니다.</v>
      </c>
      <c r="G4" s="55" t="str">
        <f>IFERROR(__xludf.DUMMYFUNCTION("GOOGLETRANSLATE(A4,""zh-tw"",""ru"")"),"ALT может ускорить производительность анимации")</f>
        <v>ALT может ускорить производительность анимации</v>
      </c>
      <c r="H4" s="215" t="s">
        <v>3219</v>
      </c>
      <c r="I4" s="184" t="s">
        <v>3220</v>
      </c>
      <c r="J4" s="46"/>
      <c r="K4" s="46"/>
      <c r="L4" s="46"/>
      <c r="M4" s="46"/>
      <c r="N4" s="46"/>
      <c r="O4" s="46"/>
      <c r="P4" s="46"/>
      <c r="Q4" s="46"/>
      <c r="R4" s="46"/>
      <c r="S4" s="46"/>
      <c r="T4" s="46"/>
      <c r="U4" s="46"/>
      <c r="V4" s="46"/>
      <c r="W4" s="46"/>
    </row>
    <row r="5">
      <c r="A5" s="52" t="s">
        <v>3221</v>
      </c>
      <c r="B5" s="213" t="str">
        <f>IFERROR(__xludf.DUMMYFUNCTION("GOOGLETRANSLATE(A5,""zh-tw"",""ja"")"),"CTRL キーを押すと会話が速くなります。")</f>
        <v>CTRL キーを押すと会話が速くなります。</v>
      </c>
      <c r="C5" s="52" t="s">
        <v>3222</v>
      </c>
      <c r="D5" s="213" t="str">
        <f>IFERROR(__xludf.DUMMYFUNCTION("GOOGLETRANSLATE(A5,""zh-tw"",""zh"")"),"CTRL可加速对话")</f>
        <v>CTRL可加速对话</v>
      </c>
      <c r="E5" s="55" t="str">
        <f>IFERROR(__xludf.DUMMYFUNCTION("GOOGLETRANSLATE(A5,""zh-tw"",""es-MX"")"),"CTRL puede acelerar las conversaciones.")</f>
        <v>CTRL puede acelerar las conversaciones.</v>
      </c>
      <c r="F5" s="214" t="str">
        <f>IFERROR(__xludf.DUMMYFUNCTION("GOOGLETRANSLATE(A5,""zh-tw"",""KO"")"),"CTRL을 사용하면 대화 속도를 높일 수 있습니다.")</f>
        <v>CTRL을 사용하면 대화 속도를 높일 수 있습니다.</v>
      </c>
      <c r="G5" s="55" t="str">
        <f>IFERROR(__xludf.DUMMYFUNCTION("GOOGLETRANSLATE(A5,""zh-tw"",""ru"")"),"CTRL может ускорить разговор.")</f>
        <v>CTRL может ускорить разговор.</v>
      </c>
      <c r="H5" s="213" t="s">
        <v>3223</v>
      </c>
      <c r="I5" s="184" t="s">
        <v>3224</v>
      </c>
      <c r="J5" s="46"/>
      <c r="K5" s="46"/>
      <c r="L5" s="46"/>
      <c r="M5" s="46"/>
      <c r="N5" s="46"/>
      <c r="O5" s="46"/>
      <c r="P5" s="46"/>
      <c r="Q5" s="46"/>
      <c r="R5" s="46"/>
      <c r="S5" s="46"/>
      <c r="T5" s="46"/>
      <c r="U5" s="46"/>
      <c r="V5" s="46"/>
      <c r="W5" s="46"/>
    </row>
    <row r="6">
      <c r="A6" s="52" t="s">
        <v>3225</v>
      </c>
      <c r="B6" s="213" t="str">
        <f>IFERROR(__xludf.DUMMYFUNCTION("GOOGLETRANSLATE(A6,""zh-tw"",""ja"")"),"Z キーを押すと、会話が進みます。")</f>
        <v>Z キーを押すと、会話が進みます。</v>
      </c>
      <c r="C6" s="52" t="s">
        <v>3226</v>
      </c>
      <c r="D6" s="213" t="str">
        <f>IFERROR(__xludf.DUMMYFUNCTION("GOOGLETRANSLATE(A6,""zh-tw"",""zh"")"),"Z键可以推进对话")</f>
        <v>Z键可以推进对话</v>
      </c>
      <c r="E6" s="55" t="str">
        <f>IFERROR(__xludf.DUMMYFUNCTION("GOOGLETRANSLATE(A6,""zh-tw"",""es-MX"")"),"La tecla Z hace avanzar el diálogo.")</f>
        <v>La tecla Z hace avanzar el diálogo.</v>
      </c>
      <c r="F6" s="214" t="str">
        <f>IFERROR(__xludf.DUMMYFUNCTION("GOOGLETRANSLATE(A6,""zh-tw"",""KO"")"),"Z 키는 대화를 진행합니다.")</f>
        <v>Z 키는 대화를 진행합니다.</v>
      </c>
      <c r="G6" s="55" t="str">
        <f>IFERROR(__xludf.DUMMYFUNCTION("GOOGLETRANSLATE(A6,""zh-tw"",""ru"")"),"Клавиша Z перемещает диалог вперед.")</f>
        <v>Клавиша Z перемещает диалог вперед.</v>
      </c>
      <c r="H6" s="213" t="s">
        <v>3227</v>
      </c>
      <c r="I6" s="184" t="s">
        <v>3228</v>
      </c>
      <c r="J6" s="46"/>
      <c r="K6" s="46"/>
      <c r="L6" s="46"/>
      <c r="M6" s="46"/>
      <c r="N6" s="46"/>
      <c r="O6" s="46"/>
      <c r="P6" s="46"/>
      <c r="Q6" s="46"/>
      <c r="R6" s="46"/>
      <c r="S6" s="46"/>
      <c r="T6" s="46"/>
      <c r="U6" s="46"/>
      <c r="V6" s="46"/>
      <c r="W6" s="46"/>
    </row>
    <row r="7">
      <c r="A7" s="52" t="s">
        <v>3229</v>
      </c>
      <c r="B7" s="213" t="str">
        <f>IFERROR(__xludf.DUMMYFUNCTION("GOOGLETRANSLATE(A7,""zh-tw"",""ja"")"),"カメラを入手したら、F7 ですぐにスクリーンショットを撮ることができます。")</f>
        <v>カメラを入手したら、F7 ですぐにスクリーンショットを撮ることができます。</v>
      </c>
      <c r="C7" s="52" t="s">
        <v>3230</v>
      </c>
      <c r="D7" s="213" t="str">
        <f>IFERROR(__xludf.DUMMYFUNCTION("GOOGLETRANSLATE(A7,""zh-tw"",""zh"")"),"在取得相机后，F7可快速截图")</f>
        <v>在取得相机后，F7可快速截图</v>
      </c>
      <c r="E7" s="55" t="str">
        <f>IFERROR(__xludf.DUMMYFUNCTION("GOOGLETRANSLATE(A7,""zh-tw"",""es-MX"")"),"Tras obtener la cámara, el F7 puede tomar rápidamente una captura de pantalla.")</f>
        <v>Tras obtener la cámara, el F7 puede tomar rápidamente una captura de pantalla.</v>
      </c>
      <c r="F7" s="214" t="str">
        <f>IFERROR(__xludf.DUMMYFUNCTION("GOOGLETRANSLATE(A7,""zh-tw"",""KO"")"),"F7은 카메라를 얻은 후 빠르게 스크린샷을 찍을 수 있습니다.")</f>
        <v>F7은 카메라를 얻은 후 빠르게 스크린샷을 찍을 수 있습니다.</v>
      </c>
      <c r="G7" s="55" t="str">
        <f>IFERROR(__xludf.DUMMYFUNCTION("GOOGLETRANSLATE(A7,""zh-tw"",""ru"")"),"После получения доступа к камере F7 может быстро сделать снимок экрана.")</f>
        <v>После получения доступа к камере F7 может быстро сделать снимок экрана.</v>
      </c>
      <c r="H7" s="213" t="s">
        <v>3231</v>
      </c>
      <c r="I7" s="184" t="s">
        <v>3232</v>
      </c>
      <c r="J7" s="46"/>
      <c r="K7" s="46"/>
      <c r="L7" s="46"/>
      <c r="M7" s="46"/>
      <c r="N7" s="46"/>
      <c r="O7" s="46"/>
      <c r="P7" s="46"/>
      <c r="Q7" s="46"/>
      <c r="R7" s="46"/>
      <c r="S7" s="46"/>
      <c r="T7" s="46"/>
      <c r="U7" s="46"/>
      <c r="V7" s="46"/>
      <c r="W7" s="46"/>
    </row>
    <row r="8">
      <c r="A8" s="52" t="s">
        <v>3233</v>
      </c>
      <c r="B8" s="213" t="str">
        <f>IFERROR(__xludf.DUMMYFUNCTION("GOOGLETRANSLATE(A8,""zh-tw"",""ja"")"),"F12 キーを押してコンソールを表示します。")</f>
        <v>F12 キーを押してコンソールを表示します。</v>
      </c>
      <c r="C8" s="52" t="s">
        <v>3234</v>
      </c>
      <c r="D8" s="213" t="str">
        <f>IFERROR(__xludf.DUMMYFUNCTION("GOOGLETRANSLATE(A8,""zh-tw"",""zh"")"),"F12可显示控制台")</f>
        <v>F12可显示控制台</v>
      </c>
      <c r="E8" s="55" t="str">
        <f>IFERROR(__xludf.DUMMYFUNCTION("GOOGLETRANSLATE(A8,""zh-tw"",""es-MX"")"),"Pulse F12 para mostrar la consola.")</f>
        <v>Pulse F12 para mostrar la consola.</v>
      </c>
      <c r="F8" s="214" t="str">
        <f>IFERROR(__xludf.DUMMYFUNCTION("GOOGLETRANSLATE(A8,""zh-tw"",""KO"")"),"콘솔을 표시하려면 F12를 누르세요.")</f>
        <v>콘솔을 표시하려면 F12를 누르세요.</v>
      </c>
      <c r="G8" s="55" t="str">
        <f>IFERROR(__xludf.DUMMYFUNCTION("GOOGLETRANSLATE(A8,""zh-tw"",""ru"")"),"Нажмите F12, чтобы отобразить консоль.")</f>
        <v>Нажмите F12, чтобы отобразить консоль.</v>
      </c>
      <c r="H8" s="213" t="s">
        <v>3235</v>
      </c>
      <c r="I8" s="184" t="s">
        <v>3236</v>
      </c>
      <c r="J8" s="46"/>
      <c r="K8" s="46"/>
      <c r="L8" s="46"/>
      <c r="M8" s="46"/>
      <c r="N8" s="46"/>
      <c r="O8" s="46"/>
      <c r="P8" s="46"/>
      <c r="Q8" s="46"/>
      <c r="R8" s="46"/>
      <c r="S8" s="46"/>
      <c r="T8" s="46"/>
      <c r="U8" s="46"/>
      <c r="V8" s="46"/>
      <c r="W8" s="46"/>
    </row>
    <row r="9">
      <c r="A9" s="52" t="s">
        <v>3237</v>
      </c>
      <c r="B9" s="213" t="str">
        <f>IFERROR(__xludf.DUMMYFUNCTION("GOOGLETRANSLATE(A9,""zh-tw"",""ja"")"),"赤い進捗バーは愛情レベルを表します。満タンになるとハート（❤️）が与えられ、最大7個まで与えられます。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夜間レイドシナリオでは、青いバーが低いほど、シスターはより深く眠っており、目覚める可能性が低"&amp;"いことを示します。
2. 青いキャンディーを使用した後、一緒にゲームをプレイし、青いバーが完全に空になると、シスターは集中できておらず、ゲームに負けていることを示します。")</f>
        <v>赤い進捗バーは愛情レベルを表します。満タンになるとハート（❤️）が与えられ、最大7個まで与えられます。
パーセンテージは雰囲気値、つまりリビドーを表します。100%を超えるとハートが💜に変換されます。「いいえ」を選択するとハートが1つ追加されます。Hイベント実装後の将来のバージョンでは、💜は消耗品として使用される予定です。
青い進捗バーは、特定のシナリオにおけるシスターの覚醒レベルを表します。例：
1. 夜間レイドシナリオでは、青いバーが低いほど、シスターはより深く眠っており、目覚める可能性が低いことを示します。
2. 青いキャンディーを使用した後、一緒にゲームをプレイし、青いバーが完全に空になると、シスターは集中できておらず、ゲームに負けていることを示します。</v>
      </c>
      <c r="C9" s="52" t="s">
        <v>3238</v>
      </c>
      <c r="D9" s="213" t="str">
        <f>IFERROR(__xludf.DUMMYFUNCTION("GOOGLETRANSLATE(A9,""zh-tw"",""zh"")"),"红色的进度条是好感度，累积满后会将一颗❤️，爱心最高7颗。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f>
        <v>红色的进度条是好感度，累积满后会将一颗❤️，爱心最高7颗。
％是气氛值，也就是性欲值，当超过100％时，会将一颗❤️ 转化为💜，"不会"额外多给一个❤️， 在未来版本实装H事件后，💜是会作为消耗品使用的。
蓝色进度条是特定场景下妹妹的警戒值，例如：
1.在夜袭场景中，蓝条越低，反而表示妹妹睡得越沉，不容易醒来。
2.在使用蓝色糖果后，一起玩游戏的情境中，蓝条被清空代表妹妹无法集中精神，导致她的游戏落败。</v>
      </c>
      <c r="E9" s="55" t="str">
        <f>IFERROR(__xludf.DUMMYFUNCTION("GOOGLETRANSLATE(A9,""zh-tw"",""es-MX"")"),"La barra de progreso roja representa el nivel de afecto. Se otorga un corazón (❤️) cuando está llena, con un máximo de 7 corazones.
El porcentaje representa el valor de la atmósfera, también conocido como libido. Cuando supera el 100%, un corazón se conv"&amp;"ierte en un 💜. ""No"" otorga un corazón extra. En futuras versiones, tras la implementación de los eventos H, los 💜 se usarán como consumibles.
La barra de progreso azul representa el nivel de alerta de la hermana en escenarios específicos. Por ejemplo"&amp;":
1. En un escenario de incursión nocturna, una barra azul baja indica que la hermana está durmiendo profundamente y es menos probable que despierte.
2. Tras usar caramelos azules en una partida conjunta, una barra azul completamente vacía indica que la"&amp;" hermana no puede concentrarse, lo que provoca que pierda la partida.")</f>
        <v>La barra de progreso roja representa el nivel de afecto. Se otorga un corazón (❤️) cuando está llena, con un máximo de 7 corazones.
El porcentaje representa el valor de la atmósfera, también conocido como libido. Cuando supera el 100%, un corazón se convierte en un 💜. "No" otorga un corazón extra. En futuras versiones, tras la implementación de los eventos H, los 💜 se usarán como consumibles.
La barra de progreso azul representa el nivel de alerta de la hermana en escenarios específicos. Por ejemplo:
1. En un escenario de incursión nocturna, una barra azul baja indica que la hermana está durmiendo profundamente y es menos probable que despierte.
2. Tras usar caramelos azules en una partida conjunta, una barra azul completamente vacía indica que la hermana no puede concentrarse, lo que provoca que pierda la partida.</v>
      </c>
      <c r="F9" s="214" t="str">
        <f>IFERROR(__xludf.DUMMYFUNCTION("GOOGLETRANSLATE(A9,""zh-tw"",""KO"")"),"빨간색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막"&amp;"대가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f>
        <v>빨간색 진행률 막대는 애정 수준을 나타냅니다. 하트(❤️)는 가득 차면 지급되며, 최대 7개까지 획득할 수 있습니다.
퍼센트는 분위기 수치, 즉 리비도를 나타냅니다. 100%를 초과하면 하트는 💜로 변환됩니다. "아니요"를 선택하면 하트가 추가로 지급됩니다. 향후 버전에서는 H-이벤트 구현 후 💜가 소모품으로 사용될 예정입니다.
파란색 진행률 막대는 특정 상황에서 자매의 각성 수준을 나타냅니다. 예:
1. 야간 레이드 시나리오에서 파란색 막대가 낮을수록 자매가 더 깊이 잠들어 깨어날 가능성이 낮음을 나타냅니다.
2. 파란색 사탕을 사용한 후, 함께 게임을 했을 때 파란색 막대가 완전히 비어 있으면 자매가 집중하지 못해 게임에서 패배했음을 나타냅니다.</v>
      </c>
      <c r="G9" s="55" t="str">
        <f>IFERROR(__xludf.DUMMYFUNCTION("GOOGLETRANSLATE(A9,""zh-tw"",""ru"")"),"Красная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💜."&amp;"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н"&amp;"очного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"&amp;"проигрышу.")</f>
        <v>Красная полоса прогресса отображает уровень привязанности. За её полное заполнение выдаётся сердечко (❤️), максимум 7 сердечек.
Процентное значение отображает уровень атмосферы, также известный как либидо. При превышении 100% сердечко преобразуется в 💜. «Нет» даёт дополнительное сердечко. В будущих версиях, после внедрения H-событий, 💜 будет использоваться в качестве расходного материала.
Синяя полоса прогресса отображает уровень бдительности сестры в определённых ситуациях. Например:
1. В сценарии ночного рейда более низкая синяя полоса означает, что сестра спит крепче и с меньшей вероятностью проснётся.
2. После использования синих конфет в совместной игре полностью пустая синяя полоса означает, что сестра не может сосредоточиться, что приводит к проигрышу.</v>
      </c>
      <c r="H9" s="213" t="s">
        <v>3239</v>
      </c>
      <c r="I9" s="184" t="s">
        <v>3240</v>
      </c>
      <c r="J9" s="46"/>
      <c r="K9" s="46"/>
      <c r="L9" s="46"/>
      <c r="M9" s="46"/>
      <c r="N9" s="46"/>
      <c r="O9" s="46"/>
      <c r="P9" s="46"/>
      <c r="Q9" s="46"/>
      <c r="R9" s="46"/>
      <c r="S9" s="46"/>
      <c r="T9" s="46"/>
      <c r="U9" s="46"/>
      <c r="V9" s="46"/>
      <c r="W9" s="46"/>
    </row>
    <row r="10">
      <c r="A10" s="52" t="s">
        <v>3241</v>
      </c>
      <c r="B10" s="213" t="str">
        <f>IFERROR(__xludf.DUMMYFUNCTION("GOOGLETRANSLATE(A10,""zh-tw"",""ja"")"),"7つ星アフィニティのステータスは、100、200、300、400、500、600、700です。バージョン0.6では、4つ星でゲーム体験が完全に完結するため、7つ星に到達する必要はありません。")</f>
        <v>7つ星アフィニティのステータスは、100、200、300、400、500、600、700です。バージョン0.6では、4つ星でゲーム体験が完全に完結するため、7つ星に到達する必要はありません。</v>
      </c>
      <c r="C10" s="52" t="s">
        <v>3242</v>
      </c>
      <c r="D10" s="213" t="str">
        <f>IFERROR(__xludf.DUMMYFUNCTION("GOOGLETRANSLATE(A10,""zh-tw"",""zh"")"),"好感度7颗的数值是：100-200-300-400-500-600-700
0.6版本只要4星就可以完整体验完游戏，不用到达7颗")</f>
        <v>好感度7颗的数值是：100-200-300-400-500-600-700
0.6版本只要4星就可以完整体验完游戏，不用到达7颗</v>
      </c>
      <c r="E10" s="55" t="str">
        <f>IFERROR(__xludf.DUMMYFUNCTION("GOOGLETRANSLATE(A10,""zh-tw"",""es-MX"")"),"Las estadísticas para 7 estrellas de afinidad son: 100-200-300-400-500-600-700. En la versión 0.6, una experiencia de juego completa se logra con solo 4 estrellas; alcanzar las 7 estrellas es innecesario.")</f>
        <v>Las estadísticas para 7 estrellas de afinidad son: 100-200-300-400-500-600-700. En la versión 0.6, una experiencia de juego completa se logra con solo 4 estrellas; alcanzar las 7 estrellas es innecesario.</v>
      </c>
      <c r="F10" s="214" t="str">
        <f>IFERROR(__xludf.DUMMYFUNCTION("GOOGLETRANSLATE(A10,""zh-tw"",""KO"")"),"7개의 친밀도 별에 대한 능력치는 다음과 같습니다: 100-200-300-400-500-600-700. 0.6 버전에서는 4개의 별만으로도 전체 게임을 완료할 수 있으므로 7개의 별을 달성할 필요가 없습니다.")</f>
        <v>7개의 친밀도 별에 대한 능력치는 다음과 같습니다: 100-200-300-400-500-600-700. 0.6 버전에서는 4개의 별만으로도 전체 게임을 완료할 수 있으므로 7개의 별을 달성할 필요가 없습니다.</v>
      </c>
      <c r="G10" s="55" t="str">
        <f>IFERROR(__xludf.DUMMYFUNCTION("GOOGLETRANSLATE(A10,""zh-tw"",""ru"")"),"Характеристики для 7 звёзд сродства: 100-200-300-400-500-600-700. В версии 0.6 для полноценной игры достаточно всего 4 звёзд; достижение 7 звёзд необязательно.")</f>
        <v>Характеристики для 7 звёзд сродства: 100-200-300-400-500-600-700. В версии 0.6 для полноценной игры достаточно всего 4 звёзд; достижение 7 звёзд необязательно.</v>
      </c>
      <c r="H10" s="213" t="s">
        <v>3243</v>
      </c>
      <c r="I10" s="184" t="s">
        <v>3244</v>
      </c>
      <c r="J10" s="46"/>
      <c r="K10" s="46"/>
      <c r="L10" s="46"/>
      <c r="M10" s="46"/>
      <c r="N10" s="46"/>
      <c r="O10" s="46"/>
      <c r="P10" s="46"/>
      <c r="Q10" s="46"/>
      <c r="R10" s="46"/>
      <c r="S10" s="46"/>
      <c r="T10" s="46"/>
      <c r="U10" s="46"/>
      <c r="V10" s="46"/>
      <c r="W10" s="46"/>
    </row>
    <row r="11">
      <c r="A11" s="52" t="s">
        <v>3245</v>
      </c>
      <c r="B11" s="213" t="s">
        <v>3246</v>
      </c>
      <c r="C11" s="52" t="s">
        <v>3247</v>
      </c>
      <c r="D11" s="213" t="str">
        <f>IFERROR(__xludf.DUMMYFUNCTION("GOOGLETRANSLATE(A11,""zh-tw"",""zh"")"),"目前版本想要快速满红心和紫心的作法就是和妹妹玩游戏以及夜袭")</f>
        <v>目前版本想要快速满红心和紫心的作法就是和妹妹玩游戏以及夜袭</v>
      </c>
      <c r="E11" s="55" t="str">
        <f>IFERROR(__xludf.DUMMYFUNCTION("GOOGLETRANSLATE(A11,""zh-tw"",""es-MX"")"),"El método actual para conseguir rápidamente el máximo de corazones rojos y morados consiste en jugar con tu hermana y hacer incursiones nocturnas.")</f>
        <v>El método actual para conseguir rápidamente el máximo de corazones rojos y morados consiste en jugar con tu hermana y hacer incursiones nocturnas.</v>
      </c>
      <c r="F11" s="214" t="str">
        <f>IFERROR(__xludf.DUMMYFUNCTION("GOOGLETRANSLATE(A11,""zh-tw"",""KO"")"),"빨간색과 보라색 하트를 빠르게 최대치로 모으는 현재 방법은 여동생과 게임을 하고 야간 공격을 하는 것입니다.")</f>
        <v>빨간색과 보라색 하트를 빠르게 최대치로 모으는 현재 방법은 여동생과 게임을 하고 야간 공격을 하는 것입니다.</v>
      </c>
      <c r="G11" s="55" t="str">
        <f>IFERROR(__xludf.DUMMYFUNCTION("GOOGLETRANSLATE(A11,""zh-tw"",""ru"")"),"Текущий способ быстро получить максимум красных и фиолетовых сердец — играть в игры с сестрой и совершать ночные рейды.")</f>
        <v>Текущий способ быстро получить максимум красных и фиолетовых сердец — играть в игры с сестрой и совершать ночные рейды.</v>
      </c>
      <c r="H11" s="213" t="s">
        <v>3248</v>
      </c>
      <c r="I11" s="184" t="s">
        <v>3249</v>
      </c>
      <c r="J11" s="46"/>
      <c r="K11" s="46"/>
      <c r="L11" s="46"/>
      <c r="M11" s="46"/>
      <c r="N11" s="46"/>
      <c r="O11" s="46"/>
      <c r="P11" s="46"/>
      <c r="Q11" s="46"/>
      <c r="R11" s="46"/>
      <c r="S11" s="46"/>
      <c r="T11" s="46"/>
      <c r="U11" s="46"/>
      <c r="V11" s="46"/>
      <c r="W11" s="46"/>
    </row>
    <row r="12">
      <c r="A12" s="52" t="s">
        <v>3250</v>
      </c>
      <c r="B12" s="213" t="s">
        <v>3251</v>
      </c>
      <c r="C12" s="52" t="s">
        <v>3252</v>
      </c>
      <c r="D12" s="213" t="str">
        <f>IFERROR(__xludf.DUMMYFUNCTION("GOOGLETRANSLATE(A12,""zh-tw"",""zh"")"),"想和妹妹共浴吗? 请先到达2爱心")</f>
        <v>想和妹妹共浴吗? 请先到达2爱心</v>
      </c>
      <c r="E12" s="55" t="str">
        <f>IFERROR(__xludf.DUMMYFUNCTION("GOOGLETRANSLATE(A12,""zh-tw"",""es-MX"")"),"¿Quieres bañarte con tu hermana? Primero debes alcanzar 2 corazones.")</f>
        <v>¿Quieres bañarte con tu hermana? Primero debes alcanzar 2 corazones.</v>
      </c>
      <c r="F12" s="214" t="str">
        <f>IFERROR(__xludf.DUMMYFUNCTION("GOOGLETRANSLATE(A12,""zh-tw"",""KO"")"),"언니랑 같이 목욕하고 싶으세요? 먼저 하트 2개를 달성하세요.")</f>
        <v>언니랑 같이 목욕하고 싶으세요? 먼저 하트 2개를 달성하세요.</v>
      </c>
      <c r="G12" s="55" t="str">
        <f>IFERROR(__xludf.DUMMYFUNCTION("GOOGLETRANSLATE(A12,""zh-tw"",""ru"")"),"Хотите искупаться с сестрой? Сначала наберите 2 сердечка.")</f>
        <v>Хотите искупаться с сестрой? Сначала наберите 2 сердечка.</v>
      </c>
      <c r="H12" s="213" t="s">
        <v>3253</v>
      </c>
      <c r="I12" s="184" t="s">
        <v>3254</v>
      </c>
      <c r="J12" s="46"/>
      <c r="K12" s="46"/>
      <c r="L12" s="46"/>
      <c r="M12" s="46"/>
      <c r="N12" s="46"/>
      <c r="O12" s="46"/>
      <c r="P12" s="46"/>
      <c r="Q12" s="46"/>
      <c r="R12" s="46"/>
      <c r="S12" s="46"/>
      <c r="T12" s="46"/>
      <c r="U12" s="46"/>
      <c r="V12" s="46"/>
      <c r="W12" s="46"/>
    </row>
    <row r="13">
      <c r="A13" s="52" t="s">
        <v>3255</v>
      </c>
      <c r="B13" s="213" t="s">
        <v>3256</v>
      </c>
      <c r="C13" s="52" t="s">
        <v>3257</v>
      </c>
      <c r="D13" s="213" t="str">
        <f>IFERROR(__xludf.DUMMYFUNCTION("GOOGLETRANSLATE(A13,""zh-tw"",""zh"")"),"假如很不幸地遇到遇到卡点，可以发呆到下午5点自动回家")</f>
        <v>假如很不幸地遇到遇到卡点，可以发呆到下午5点自动回家</v>
      </c>
      <c r="E13" s="55" t="str">
        <f>IFERROR(__xludf.DUMMYFUNCTION("GOOGLETRANSLATE(A13,""zh-tw"",""es-MX"")"),"Si por desgracia te encuentras con un control, simplemente puedes esperar hasta las 5 PM y regresarás automáticamente a casa.")</f>
        <v>Si por desgracia te encuentras con un control, simplemente puedes esperar hasta las 5 PM y regresarás automáticamente a casa.</v>
      </c>
      <c r="F13" s="214" t="str">
        <f>IFERROR(__xludf.DUMMYFUNCTION("GOOGLETRANSLATE(A13,""zh-tw"",""KO"")"),"불행히도 검문소에 도착하면 오후 5시까지 기다리면 자동으로 집으로 돌아갈 수 있습니다.")</f>
        <v>불행히도 검문소에 도착하면 오후 5시까지 기다리면 자동으로 집으로 돌아갈 수 있습니다.</v>
      </c>
      <c r="G13" s="55" t="str">
        <f>IFERROR(__xludf.DUMMYFUNCTION("GOOGLETRANSLATE(A13,""zh-tw"",""ru"")"),"Если вы, к сожалению, встретите контрольно-пропускной пункт, вы можете просто подождать до 17:00 и автоматически вернуться домой.")</f>
        <v>Если вы, к сожалению, встретите контрольно-пропускной пункт, вы можете просто подождать до 17:00 и автоматически вернуться домой.</v>
      </c>
      <c r="H13" s="213" t="s">
        <v>3258</v>
      </c>
      <c r="I13" s="184" t="s">
        <v>3259</v>
      </c>
      <c r="J13" s="46"/>
      <c r="K13" s="46"/>
      <c r="L13" s="46"/>
      <c r="M13" s="46"/>
      <c r="N13" s="46"/>
      <c r="O13" s="46"/>
      <c r="P13" s="46"/>
      <c r="Q13" s="46"/>
      <c r="R13" s="46"/>
      <c r="S13" s="46"/>
      <c r="T13" s="46"/>
      <c r="U13" s="46"/>
      <c r="V13" s="46"/>
      <c r="W13" s="46"/>
    </row>
    <row r="14">
      <c r="A14" s="52" t="s">
        <v>3260</v>
      </c>
      <c r="B14" s="213" t="str">
        <f>IFERROR(__xludf.DUMMYFUNCTION("GOOGLETRANSLATE(A14,""zh-tw"",""ja"")"),"夜襲は兄の性欲が一定値を超えた時のみ発動します。")</f>
        <v>夜襲は兄の性欲が一定値を超えた時のみ発動します。</v>
      </c>
      <c r="C14" s="52" t="s">
        <v>3261</v>
      </c>
      <c r="D14" s="213" t="str">
        <f>IFERROR(__xludf.DUMMYFUNCTION("GOOGLETRANSLATE(A14,""zh-tw"",""zh"")"),"当哥哥性欲值高于一定数值才会触发夜袭")</f>
        <v>当哥哥性欲值高于一定数值才会触发夜袭</v>
      </c>
      <c r="E14" s="55" t="str">
        <f>IFERROR(__xludf.DUMMYFUNCTION("GOOGLETRANSLATE(A14,""zh-tw"",""es-MX"")"),"La incursión nocturna solo se activará cuando la libido del hermano mayor supere cierto valor.")</f>
        <v>La incursión nocturna solo se activará cuando la libido del hermano mayor supere cierto valor.</v>
      </c>
      <c r="F14" s="214" t="str">
        <f>IFERROR(__xludf.DUMMYFUNCTION("GOOGLETRANSLATE(A14,""zh-tw"",""KO"")"),"나이트 레이드는 형의 리비도가 일정 수치를 넘을 때만 발동됩니다.")</f>
        <v>나이트 레이드는 형의 리비도가 일정 수치를 넘을 때만 발동됩니다.</v>
      </c>
      <c r="G14" s="55" t="str">
        <f>IFERROR(__xludf.DUMMYFUNCTION("GOOGLETRANSLATE(A14,""zh-tw"",""ru"")"),"Ночной рейд произойдет только тогда, когда либидо старшего брата превысит определенное значение.")</f>
        <v>Ночной рейд произойдет только тогда, когда либидо старшего брата превысит определенное значение.</v>
      </c>
      <c r="H14" s="213" t="s">
        <v>3262</v>
      </c>
      <c r="I14" s="184" t="s">
        <v>3263</v>
      </c>
      <c r="J14" s="46"/>
      <c r="K14" s="46"/>
      <c r="L14" s="46"/>
      <c r="M14" s="46"/>
      <c r="N14" s="46"/>
      <c r="O14" s="46"/>
      <c r="P14" s="46"/>
      <c r="Q14" s="46"/>
      <c r="R14" s="46"/>
      <c r="S14" s="46"/>
      <c r="T14" s="46"/>
      <c r="U14" s="46"/>
      <c r="V14" s="46"/>
      <c r="W14" s="46"/>
    </row>
    <row r="15">
      <c r="A15" s="52" t="s">
        <v>3264</v>
      </c>
      <c r="B15" s="213" t="str">
        <f>IFERROR(__xludf.DUMMYFUNCTION("GOOGLETRANSLATE(A15,""zh-tw"",""ja"")"),"ガシャポンマシンを壊してしまっても心配ありません。タロットカードを使えばいつでも再召喚できます。")</f>
        <v>ガシャポンマシンを壊してしまっても心配ありません。タロットカードを使えばいつでも再召喚できます。</v>
      </c>
      <c r="C15" s="52" t="s">
        <v>3265</v>
      </c>
      <c r="D15" s="213" t="str">
        <f>IFERROR(__xludf.DUMMYFUNCTION("GOOGLETRANSLATE(A15,""zh-tw"",""zh"")"),"若打爆了扭蛋机别担心，使用塔罗牌能随时再召唤")</f>
        <v>若打爆了扭蛋机别担心，使用塔罗牌能随时再召唤</v>
      </c>
      <c r="E15" s="55" t="str">
        <f>IFERROR(__xludf.DUMMYFUNCTION("GOOGLETRANSLATE(A15,""zh-tw"",""es-MX"")"),"No te preocupes si rompes la máquina gashapon; puedes volver a invocarla en cualquier momento usando cartas del tarot.")</f>
        <v>No te preocupes si rompes la máquina gashapon; puedes volver a invocarla en cualquier momento usando cartas del tarot.</v>
      </c>
      <c r="F15" s="214" t="str">
        <f>IFERROR(__xludf.DUMMYFUNCTION("GOOGLETRANSLATE(A15,""zh-tw"",""KO"")"),"가샤폰 기계가 망가져도 걱정하지 마세요. 타로 카드를 사용하면 언제든지 다시 소환할 수 있습니다.")</f>
        <v>가샤폰 기계가 망가져도 걱정하지 마세요. 타로 카드를 사용하면 언제든지 다시 소환할 수 있습니다.</v>
      </c>
      <c r="G15" s="55" t="str">
        <f>IFERROR(__xludf.DUMMYFUNCTION("GOOGLETRANSLATE(A15,""zh-tw"",""ru"")"),"Не волнуйтесь, если вы сломаете машину гашапона: вы сможете вызвать ее снова в любое время с помощью карт Таро.")</f>
        <v>Не волнуйтесь, если вы сломаете машину гашапона: вы сможете вызвать ее снова в любое время с помощью карт Таро.</v>
      </c>
      <c r="H15" s="213" t="s">
        <v>3266</v>
      </c>
      <c r="I15" s="162" t="s">
        <v>3267</v>
      </c>
      <c r="J15" s="46"/>
      <c r="K15" s="46"/>
      <c r="L15" s="46"/>
      <c r="M15" s="46"/>
      <c r="N15" s="46"/>
      <c r="O15" s="46"/>
      <c r="P15" s="46"/>
      <c r="Q15" s="46"/>
      <c r="R15" s="46"/>
      <c r="S15" s="46"/>
      <c r="T15" s="46"/>
      <c r="U15" s="46"/>
      <c r="V15" s="46"/>
      <c r="W15" s="46"/>
    </row>
    <row r="16">
      <c r="A16" s="52" t="s">
        <v>3268</v>
      </c>
      <c r="B16" s="213" t="str">
        <f>IFERROR(__xludf.DUMMYFUNCTION("GOOGLETRANSLATE(A16,""zh-tw"",""ja"")"),"ガシャポンマシンの後ろから近づくと飛び出します。")</f>
        <v>ガシャポンマシンの後ろから近づくと飛び出します。</v>
      </c>
      <c r="C16" s="52" t="s">
        <v>3269</v>
      </c>
      <c r="D16" s="213" t="str">
        <f>IFERROR(__xludf.DUMMYFUNCTION("GOOGLETRANSLATE(A16,""zh-tw"",""zh"")"),"从后方接近扭蛋机，扭蛋机会跳起")</f>
        <v>从后方接近扭蛋机，扭蛋机会跳起</v>
      </c>
      <c r="E16" s="55" t="str">
        <f>IFERROR(__xludf.DUMMYFUNCTION("GOOGLETRANSLATE(A16,""zh-tw"",""es-MX"")"),"Acércate a la máquina de gashapon por detrás y aparecerá.")</f>
        <v>Acércate a la máquina de gashapon por detrás y aparecerá.</v>
      </c>
      <c r="F16" s="214" t="str">
        <f>IFERROR(__xludf.DUMMYFUNCTION("GOOGLETRANSLATE(A16,""zh-tw"",""KO"")"),"가샤폰 기계 뒤에서 다가가면 기계가 튀어나옵니다.")</f>
        <v>가샤폰 기계 뒤에서 다가가면 기계가 튀어나옵니다.</v>
      </c>
      <c r="G16" s="55" t="str">
        <f>IFERROR(__xludf.DUMMYFUNCTION("GOOGLETRANSLATE(A16,""zh-tw"",""ru"")"),"Подойдите к автомату по производству гасяпонов сзади, и он появится.")</f>
        <v>Подойдите к автомату по производству гасяпонов сзади, и он появится.</v>
      </c>
      <c r="H16" s="213" t="s">
        <v>3270</v>
      </c>
      <c r="I16" s="184" t="s">
        <v>3271</v>
      </c>
      <c r="J16" s="46"/>
      <c r="K16" s="46"/>
      <c r="L16" s="46"/>
      <c r="M16" s="46"/>
      <c r="N16" s="46"/>
      <c r="O16" s="46"/>
      <c r="P16" s="46"/>
      <c r="Q16" s="46"/>
      <c r="R16" s="46"/>
      <c r="S16" s="46"/>
      <c r="T16" s="46"/>
      <c r="U16" s="46"/>
      <c r="V16" s="46"/>
      <c r="W16" s="46"/>
    </row>
    <row r="17">
      <c r="A17" s="52" t="s">
        <v>3272</v>
      </c>
      <c r="B17" s="213" t="s">
        <v>3273</v>
      </c>
      <c r="C17" s="52" t="s">
        <v>3274</v>
      </c>
      <c r="D17" s="213" t="str">
        <f>IFERROR(__xludf.DUMMYFUNCTION("GOOGLETRANSLATE(A17,""zh-tw"",""zh"")"),"扭蛋奖品可以使用远距离武器攻击，快速开启")</f>
        <v>扭蛋奖品可以使用远距离武器攻击，快速开启</v>
      </c>
      <c r="E17" s="55" t="str">
        <f>IFERROR(__xludf.DUMMYFUNCTION("GOOGLETRANSLATE(A17,""zh-tw"",""es-MX"")"),"Los premios Gacha se pueden usar para atacar con armas a distancia y se pueden abrir rápidamente.")</f>
        <v>Los premios Gacha se pueden usar para atacar con armas a distancia y se pueden abrir rápidamente.</v>
      </c>
      <c r="F17" s="214" t="str">
        <f>IFERROR(__xludf.DUMMYFUNCTION("GOOGLETRANSLATE(A17,""zh-tw"",""KO"")"),"가챠 상품은 원거리 무기로 공격하는 데 사용할 수 있으며 빠르게 열 수 있습니다.")</f>
        <v>가챠 상품은 원거리 무기로 공격하는 데 사용할 수 있으며 빠르게 열 수 있습니다.</v>
      </c>
      <c r="G17" s="55" t="str">
        <f>IFERROR(__xludf.DUMMYFUNCTION("GOOGLETRANSLATE(A17,""zh-tw"",""ru"")"),"Призы Гачи можно использовать для атаки оружием дальнего боя и открывать их можно быстро.")</f>
        <v>Призы Гачи можно использовать для атаки оружием дальнего боя и открывать их можно быстро.</v>
      </c>
      <c r="H17" s="213" t="s">
        <v>3275</v>
      </c>
      <c r="I17" s="184" t="s">
        <v>3276</v>
      </c>
      <c r="J17" s="46"/>
      <c r="K17" s="46"/>
      <c r="L17" s="46"/>
      <c r="M17" s="46"/>
      <c r="N17" s="46"/>
      <c r="O17" s="46"/>
      <c r="P17" s="46"/>
      <c r="Q17" s="46"/>
      <c r="R17" s="46"/>
      <c r="S17" s="46"/>
      <c r="T17" s="46"/>
      <c r="U17" s="46"/>
      <c r="V17" s="46"/>
      <c r="W17" s="46"/>
    </row>
    <row r="18">
      <c r="A18" s="52" t="s">
        <v>3277</v>
      </c>
      <c r="B18" s="213" t="s">
        <v>3278</v>
      </c>
      <c r="C18" s="52" t="s">
        <v>3279</v>
      </c>
      <c r="D18" s="213" t="str">
        <f>IFERROR(__xludf.DUMMYFUNCTION("GOOGLETRANSLATE(A18,""zh-tw"",""zh"")"),"扭蛋机的金蛋只有2%概率出现")</f>
        <v>扭蛋机的金蛋只有2%概率出现</v>
      </c>
      <c r="E18" s="55" t="str">
        <f>IFERROR(__xludf.DUMMYFUNCTION("GOOGLETRANSLATE(A18,""zh-tw"",""es-MX"")"),"El huevo dorado de la máquina gashapon tiene solo un 2% de probabilidades de aparecer.")</f>
        <v>El huevo dorado de la máquina gashapon tiene solo un 2% de probabilidades de aparecer.</v>
      </c>
      <c r="F18" s="214" t="str">
        <f>IFERROR(__xludf.DUMMYFUNCTION("GOOGLETRANSLATE(A18,""zh-tw"",""KO"")"),"가샤폰 기계에서 황금알이 나올 확률은 2%에 불과합니다.")</f>
        <v>가샤폰 기계에서 황금알이 나올 확률은 2%에 불과합니다.</v>
      </c>
      <c r="G18" s="55" t="str">
        <f>IFERROR(__xludf.DUMMYFUNCTION("GOOGLETRANSLATE(A18,""zh-tw"",""ru"")"),"Вероятность появления золотого яйца в автомате по производству гасяпонов составляет всего 2%.")</f>
        <v>Вероятность появления золотого яйца в автомате по производству гасяпонов составляет всего 2%.</v>
      </c>
      <c r="H18" s="213" t="s">
        <v>3280</v>
      </c>
      <c r="I18" s="184" t="s">
        <v>3281</v>
      </c>
      <c r="J18" s="46"/>
      <c r="K18" s="46"/>
      <c r="L18" s="46"/>
      <c r="M18" s="46"/>
      <c r="N18" s="46"/>
      <c r="O18" s="46"/>
      <c r="P18" s="46"/>
      <c r="Q18" s="46"/>
      <c r="R18" s="46"/>
      <c r="S18" s="46"/>
      <c r="T18" s="46"/>
      <c r="U18" s="46"/>
      <c r="V18" s="46"/>
      <c r="W18" s="46"/>
    </row>
    <row r="19">
      <c r="A19" s="52" t="s">
        <v>3282</v>
      </c>
      <c r="B19" s="213" t="s">
        <v>3283</v>
      </c>
      <c r="C19" s="52" t="s">
        <v>3284</v>
      </c>
      <c r="D19" s="213" t="str">
        <f>IFERROR(__xludf.DUMMYFUNCTION("GOOGLETRANSLATE(A19,""zh-tw"",""zh"")"),"扭蛋机的爱好与妹妹差不多")</f>
        <v>扭蛋机的爱好与妹妹差不多</v>
      </c>
      <c r="E19" s="55" t="str">
        <f>IFERROR(__xludf.DUMMYFUNCTION("GOOGLETRANSLATE(A19,""zh-tw"",""es-MX"")"),"Mi afición por las máquinas gashapon es similar a la de mi hermana.")</f>
        <v>Mi afición por las máquinas gashapon es similar a la de mi hermana.</v>
      </c>
      <c r="F19" s="214" t="str">
        <f>IFERROR(__xludf.DUMMYFUNCTION("GOOGLETRANSLATE(A19,""zh-tw"",""KO"")"),"저는 언니와 마찬가지로 가샤폰 머신을 좋아합니다.")</f>
        <v>저는 언니와 마찬가지로 가샤폰 머신을 좋아합니다.</v>
      </c>
      <c r="G19" s="55" t="str">
        <f>IFERROR(__xludf.DUMMYFUNCTION("GOOGLETRANSLATE(A19,""zh-tw"",""ru"")"),"Моя любовь к машинам для приготовления гасяпонов схожа с любовью моей сестры.")</f>
        <v>Моя любовь к машинам для приготовления гасяпонов схожа с любовью моей сестры.</v>
      </c>
      <c r="H19" s="213" t="s">
        <v>3285</v>
      </c>
      <c r="I19" s="184" t="s">
        <v>3286</v>
      </c>
      <c r="J19" s="46"/>
      <c r="K19" s="46"/>
      <c r="L19" s="46"/>
      <c r="M19" s="46"/>
      <c r="N19" s="46"/>
      <c r="O19" s="46"/>
      <c r="P19" s="46"/>
      <c r="Q19" s="46"/>
      <c r="R19" s="46"/>
      <c r="S19" s="46"/>
      <c r="T19" s="46"/>
      <c r="U19" s="46"/>
      <c r="V19" s="46"/>
      <c r="W19" s="46"/>
    </row>
    <row r="20">
      <c r="A20" s="52" t="s">
        <v>3287</v>
      </c>
      <c r="B20" s="213" t="s">
        <v>3288</v>
      </c>
      <c r="C20" s="52" t="s">
        <v>3289</v>
      </c>
      <c r="D20" s="213" t="str">
        <f>IFERROR(__xludf.DUMMYFUNCTION("GOOGLETRANSLATE(A20,""zh-tw"",""zh"")"),"在投钱进入扭蛋机前，最好先保证机器完好无损，因为机器血量会影响扭蛋数量")</f>
        <v>在投钱进入扭蛋机前，最好先保证机器完好无损，因为机器血量会影响扭蛋数量</v>
      </c>
      <c r="E20" s="55" t="str">
        <f>IFERROR(__xludf.DUMMYFUNCTION("GOOGLETRANSLATE(A20,""zh-tw"",""es-MX"")"),"Antes de insertar dinero en la máquina de gashapon, es mejor asegurarse de que la máquina esté en buen estado de funcionamiento, ya que el estado restante de la máquina afectará la cantidad de cápsulas de gashapon que puede obtener.")</f>
        <v>Antes de insertar dinero en la máquina de gashapon, es mejor asegurarse de que la máquina esté en buen estado de funcionamiento, ya que el estado restante de la máquina afectará la cantidad de cápsulas de gashapon que puede obtener.</v>
      </c>
      <c r="F20" s="214" t="str">
        <f>IFERROR(__xludf.DUMMYFUNCTION("GOOGLETRANSLATE(A20,""zh-tw"",""KO"")"),"가샤폰 머신에 돈을 넣기 전에 머신이 제대로 작동하는지 확인하는 것이 가장 좋습니다. 머신의 남은 체력은 얻을 수 있는 가샤폰 캡슐의 수에 영향을 미치기 때문입니다.")</f>
        <v>가샤폰 머신에 돈을 넣기 전에 머신이 제대로 작동하는지 확인하는 것이 가장 좋습니다. 머신의 남은 체력은 얻을 수 있는 가샤폰 캡슐의 수에 영향을 미치기 때문입니다.</v>
      </c>
      <c r="G20" s="55" t="str">
        <f>IFERROR(__xludf.DUMMYFUNCTION("GOOGLETRANSLATE(A20,""zh-tw"",""ru"")"),"Прежде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f>
        <v>Прежде чем вставлять деньги в автомат по выдаче гашапона, лучше всего убедиться, что автомат находится в хорошем рабочем состоянии, так как от его остаточного состояния будет зависеть количество капсул гашапона, которые вы сможете получить.</v>
      </c>
      <c r="H20" s="213" t="s">
        <v>3290</v>
      </c>
      <c r="I20" s="184" t="s">
        <v>3291</v>
      </c>
      <c r="J20" s="46"/>
      <c r="K20" s="46"/>
      <c r="L20" s="46"/>
      <c r="M20" s="46"/>
      <c r="N20" s="46"/>
      <c r="O20" s="46"/>
      <c r="P20" s="46"/>
      <c r="Q20" s="46"/>
      <c r="R20" s="46"/>
      <c r="S20" s="46"/>
      <c r="T20" s="46"/>
      <c r="U20" s="46"/>
      <c r="V20" s="46"/>
      <c r="W20" s="46"/>
    </row>
    <row r="21">
      <c r="A21" s="52" t="s">
        <v>3292</v>
      </c>
      <c r="B21" s="213" t="s">
        <v>3293</v>
      </c>
      <c r="C21" s="52" t="s">
        <v>3294</v>
      </c>
      <c r="D21" s="213" t="str">
        <f>IFERROR(__xludf.DUMMYFUNCTION("GOOGLETRANSLATE(A21,""zh-tw"",""zh"")"),"召唤门若位置不好，可以破坏并重新召唤")</f>
        <v>召唤门若位置不好，可以破坏并重新召唤</v>
      </c>
      <c r="E21" s="55" t="str">
        <f>IFERROR(__xludf.DUMMYFUNCTION("GOOGLETRANSLATE(A21,""zh-tw"",""es-MX"")"),"Si el portal de invocación está mal ubicado, puede ser destruido y vuelto a invocar.")</f>
        <v>Si el portal de invocación está mal ubicado, puede ser destruido y vuelto a invocar.</v>
      </c>
      <c r="F21" s="214" t="str">
        <f>IFERROR(__xludf.DUMMYFUNCTION("GOOGLETRANSLATE(A21,""zh-tw"",""KO"")"),"소환 포털의 위치가 좋지 않으면 파괴되었다가 다시 소환될 수 있습니다.")</f>
        <v>소환 포털의 위치가 좋지 않으면 파괴되었다가 다시 소환될 수 있습니다.</v>
      </c>
      <c r="G21" s="55" t="str">
        <f>IFERROR(__xludf.DUMMYFUNCTION("GOOGLETRANSLATE(A21,""zh-tw"",""ru"")"),"Если призывающий портал расположен неудачно, его можно разрушить и призвать заново.")</f>
        <v>Если призывающий портал расположен неудачно, его можно разрушить и призвать заново.</v>
      </c>
      <c r="H21" s="213" t="s">
        <v>3295</v>
      </c>
      <c r="I21" s="184" t="s">
        <v>3296</v>
      </c>
      <c r="J21" s="46"/>
      <c r="K21" s="46"/>
      <c r="L21" s="46"/>
      <c r="M21" s="46"/>
      <c r="N21" s="46"/>
      <c r="O21" s="46"/>
      <c r="P21" s="46"/>
      <c r="Q21" s="46"/>
      <c r="R21" s="46"/>
      <c r="S21" s="46"/>
      <c r="T21" s="46"/>
      <c r="U21" s="46"/>
      <c r="V21" s="46"/>
      <c r="W21" s="46"/>
    </row>
    <row r="22">
      <c r="A22" s="52" t="s">
        <v>3297</v>
      </c>
      <c r="B22" s="213" t="s">
        <v>3298</v>
      </c>
      <c r="C22" s="52" t="s">
        <v>3299</v>
      </c>
      <c r="D22" s="213" t="str">
        <f>IFERROR(__xludf.DUMMYFUNCTION("GOOGLETRANSLATE(A22,""zh-tw"",""zh"")"),"在洗面所的偷窥，会因为开门的多寡而影响被妹妹发现的机率")</f>
        <v>在洗面所的偷窥，会因为开门的多寡而影响被妹妹发现的机率</v>
      </c>
      <c r="E22" s="55" t="str">
        <f>IFERROR(__xludf.DUMMYFUNCTION("GOOGLETRANSLATE(A22,""zh-tw"",""es-MX"")"),"Las probabilidades de ser descubierta por la hermana menor mientras espías en una casa de baños dependen de la frecuencia con la que se abra la puerta.")</f>
        <v>Las probabilidades de ser descubierta por la hermana menor mientras espías en una casa de baños dependen de la frecuencia con la que se abra la puerta.</v>
      </c>
      <c r="F22" s="214" t="str">
        <f>IFERROR(__xludf.DUMMYFUNCTION("GOOGLETRANSLATE(A22,""zh-tw"",""KO"")"),"여동생이 목욕탕에서 몰래 엿보는 것을 발견할 확률은 문을 얼마나 자주 여는지에 따라 달라집니다.")</f>
        <v>여동생이 목욕탕에서 몰래 엿보는 것을 발견할 확률은 문을 얼마나 자주 여는지에 따라 달라집니다.</v>
      </c>
      <c r="G22" s="55" t="str">
        <f>IFERROR(__xludf.DUMMYFUNCTION("GOOGLETRANSLATE(A22,""zh-tw"",""ru"")"),"Вероятность того, что младшая сестра обнаружит вас, подглядывая в баню, зависит от того, как часто открывается дверь.")</f>
        <v>Вероятность того, что младшая сестра обнаружит вас, подглядывая в баню, зависит от того, как часто открывается дверь.</v>
      </c>
      <c r="H22" s="213" t="s">
        <v>3300</v>
      </c>
      <c r="I22" s="162" t="s">
        <v>3301</v>
      </c>
      <c r="J22" s="46"/>
      <c r="K22" s="46"/>
      <c r="L22" s="46"/>
      <c r="M22" s="46"/>
      <c r="N22" s="46"/>
      <c r="O22" s="46"/>
      <c r="P22" s="46"/>
      <c r="Q22" s="46"/>
      <c r="R22" s="46"/>
      <c r="S22" s="46"/>
      <c r="T22" s="46"/>
      <c r="U22" s="46"/>
      <c r="V22" s="46"/>
      <c r="W22" s="46"/>
    </row>
    <row r="23">
      <c r="A23" s="52" t="s">
        <v>3302</v>
      </c>
      <c r="B23" s="213" t="str">
        <f>IFERROR(__xludf.DUMMYFUNCTION("GOOGLETRANSLATE(A23,""zh-tw"",""ja"")"),"メカが消えるとマップ名が変わります。")</f>
        <v>メカが消えるとマップ名が変わります。</v>
      </c>
      <c r="C23" s="52" t="s">
        <v>3303</v>
      </c>
      <c r="D23" s="213" t="str">
        <f>IFERROR(__xludf.DUMMYFUNCTION("GOOGLETRANSLATE(A23,""zh-tw"",""zh"")"),"机甲消失后，该地图名称会改变")</f>
        <v>机甲消失后，该地图名称会改变</v>
      </c>
      <c r="E23" s="55" t="str">
        <f>IFERROR(__xludf.DUMMYFUNCTION("GOOGLETRANSLATE(A23,""zh-tw"",""es-MX"")"),"El nombre del mapa cambiará después de que el mecha desaparezca.")</f>
        <v>El nombre del mapa cambiará después de que el mecha desaparezca.</v>
      </c>
      <c r="F23" s="214" t="str">
        <f>IFERROR(__xludf.DUMMYFUNCTION("GOOGLETRANSLATE(A23,""zh-tw"",""KO"")"),"메카가 사라지면 맵 이름이 변경됩니다.")</f>
        <v>메카가 사라지면 맵 이름이 변경됩니다.</v>
      </c>
      <c r="G23" s="55" t="str">
        <f>IFERROR(__xludf.DUMMYFUNCTION("GOOGLETRANSLATE(A23,""zh-tw"",""ru"")"),"Название карты изменится после исчезновения меха.")</f>
        <v>Название карты изменится после исчезновения меха.</v>
      </c>
      <c r="H23" s="213" t="s">
        <v>3304</v>
      </c>
      <c r="I23" s="162" t="s">
        <v>3305</v>
      </c>
      <c r="J23" s="46"/>
      <c r="K23" s="46"/>
      <c r="L23" s="46"/>
      <c r="M23" s="46"/>
      <c r="N23" s="46"/>
      <c r="O23" s="46"/>
      <c r="P23" s="46"/>
      <c r="Q23" s="46"/>
      <c r="R23" s="46"/>
      <c r="S23" s="46"/>
      <c r="T23" s="46"/>
      <c r="U23" s="46"/>
      <c r="V23" s="46"/>
      <c r="W23" s="46"/>
    </row>
    <row r="24">
      <c r="A24" s="52" t="s">
        <v>3306</v>
      </c>
      <c r="B24" s="213" t="s">
        <v>3307</v>
      </c>
      <c r="C24" s="52" t="s">
        <v>3308</v>
      </c>
      <c r="D24" s="213" t="str">
        <f>IFERROR(__xludf.DUMMYFUNCTION("GOOGLETRANSLATE(A24,""zh-tw"",""zh"")"),"读取其他版本的存档时，会有特殊字段显示")</f>
        <v>读取其他版本的存档时，会有特殊字段显示</v>
      </c>
      <c r="E24" s="55" t="str">
        <f>IFERROR(__xludf.DUMMYFUNCTION("GOOGLETRANSLATE(A24,""zh-tw"",""es-MX"")"),"Al leer archivos de otras versiones, se mostrarán campos especiales.")</f>
        <v>Al leer archivos de otras versiones, se mostrarán campos especiales.</v>
      </c>
      <c r="F24" s="214" t="str">
        <f>IFERROR(__xludf.DUMMYFUNCTION("GOOGLETRANSLATE(A24,""zh-tw"",""KO"")"),"다른 버전의 보관 파일을 읽을 때 특수 필드가 표시됩니다.")</f>
        <v>다른 버전의 보관 파일을 읽을 때 특수 필드가 표시됩니다.</v>
      </c>
      <c r="G24" s="55" t="str">
        <f>IFERROR(__xludf.DUMMYFUNCTION("GOOGLETRANSLATE(A24,""zh-tw"",""ru"")"),"При чтении архивов других версий будут отображаться специальные поля.")</f>
        <v>При чтении архивов других версий будут отображаться специальные поля.</v>
      </c>
      <c r="H24" s="213" t="s">
        <v>3309</v>
      </c>
      <c r="I24" s="162" t="s">
        <v>3310</v>
      </c>
      <c r="J24" s="46"/>
      <c r="K24" s="46"/>
      <c r="L24" s="46"/>
      <c r="M24" s="46"/>
      <c r="N24" s="46"/>
      <c r="O24" s="46"/>
      <c r="P24" s="46"/>
      <c r="Q24" s="46"/>
      <c r="R24" s="46"/>
      <c r="S24" s="46"/>
      <c r="T24" s="46"/>
      <c r="U24" s="46"/>
      <c r="V24" s="46"/>
      <c r="W24" s="46"/>
    </row>
    <row r="25">
      <c r="A25" s="52" t="s">
        <v>3311</v>
      </c>
      <c r="B25" s="213" t="s">
        <v>3312</v>
      </c>
      <c r="C25" s="52" t="s">
        <v>3313</v>
      </c>
      <c r="D25" s="213" t="str">
        <f>IFERROR(__xludf.DUMMYFUNCTION("GOOGLETRANSLATE(A25,""zh-tw"",""zh"")"),"矿车行进中，可使用远距离武器攻击方向舵")</f>
        <v>矿车行进中，可使用远距离武器攻击方向舵</v>
      </c>
      <c r="E25" s="55" t="str">
        <f>IFERROR(__xludf.DUMMYFUNCTION("GOOGLETRANSLATE(A25,""zh-tw"",""es-MX"")"),"Mientras la vagoneta está en movimiento, el timón puede ser atacado con armas de largo alcance.")</f>
        <v>Mientras la vagoneta está en movimiento, el timón puede ser atacado con armas de largo alcance.</v>
      </c>
      <c r="F25" s="214" t="str">
        <f>IFERROR(__xludf.DUMMYFUNCTION("GOOGLETRANSLATE(A25,""zh-tw"",""KO"")"),"미니카트가 움직이는 동안 방향타는 장거리 무기로 공격받을 수 있습니다.")</f>
        <v>미니카트가 움직이는 동안 방향타는 장거리 무기로 공격받을 수 있습니다.</v>
      </c>
      <c r="G25" s="55" t="str">
        <f>IFERROR(__xludf.DUMMYFUNCTION("GOOGLETRANSLATE(A25,""zh-tw"",""ru"")"),"Во время движения вагонетки руль можно атаковать с помощью дальнобойного оружия.")</f>
        <v>Во время движения вагонетки руль можно атаковать с помощью дальнобойного оружия.</v>
      </c>
      <c r="H25" s="213" t="s">
        <v>3314</v>
      </c>
      <c r="I25" s="184" t="s">
        <v>3315</v>
      </c>
      <c r="J25" s="46"/>
      <c r="K25" s="46"/>
      <c r="L25" s="46"/>
      <c r="M25" s="46"/>
      <c r="N25" s="46"/>
      <c r="O25" s="46"/>
      <c r="P25" s="46"/>
      <c r="Q25" s="46"/>
      <c r="R25" s="46"/>
      <c r="S25" s="46"/>
      <c r="T25" s="46"/>
      <c r="U25" s="46"/>
      <c r="V25" s="46"/>
      <c r="W25" s="46"/>
    </row>
    <row r="26">
      <c r="A26" s="52" t="s">
        <v>3316</v>
      </c>
      <c r="B26" s="213" t="s">
        <v>3317</v>
      </c>
      <c r="C26" s="52" t="s">
        <v>3318</v>
      </c>
      <c r="D26" s="213" t="str">
        <f>IFERROR(__xludf.DUMMYFUNCTION("GOOGLETRANSLATE(A26,""zh-tw"",""zh"")"),"电击类武器碰到水...你懂的~ 包含下雨天")</f>
        <v>电击类武器碰到水...你懂的~ 包含下雨天</v>
      </c>
      <c r="E26" s="55" t="str">
        <f>IFERROR(__xludf.DUMMYFUNCTION("GOOGLETRANSLATE(A26,""zh-tw"",""es-MX"")"),"Las armas de electrochoque que entran en contacto con el agua... ya sabes lo que eso significa~ incluso en días lluviosos.")</f>
        <v>Las armas de electrochoque que entran en contacto con el agua... ya sabes lo que eso significa~ incluso en días lluviosos.</v>
      </c>
      <c r="F26" s="214" t="str">
        <f>IFERROR(__xludf.DUMMYFUNCTION("GOOGLETRANSLATE(A26,""zh-tw"",""KO"")"),"전기 충격 무기가 물에 닿으면... 무슨 뜻인지 아시죠~ 비오는 날도 포함해서요.")</f>
        <v>전기 충격 무기가 물에 닿으면... 무슨 뜻인지 아시죠~ 비오는 날도 포함해서요.</v>
      </c>
      <c r="G26" s="55" t="str">
        <f>IFERROR(__xludf.DUMMYFUNCTION("GOOGLETRANSLATE(A26,""zh-tw"",""ru"")"),"Электрошоковое оружие контактирует с водой...вы знаете, что это значит~включая дождливые дни.")</f>
        <v>Электрошоковое оружие контактирует с водой...вы знаете, что это значит~включая дождливые дни.</v>
      </c>
      <c r="H26" s="213" t="s">
        <v>3319</v>
      </c>
      <c r="I26" s="184" t="s">
        <v>3320</v>
      </c>
      <c r="J26" s="46"/>
      <c r="K26" s="46"/>
      <c r="L26" s="46"/>
      <c r="M26" s="46"/>
      <c r="N26" s="46"/>
      <c r="O26" s="46"/>
      <c r="P26" s="46"/>
      <c r="Q26" s="46"/>
      <c r="R26" s="46"/>
      <c r="S26" s="46"/>
      <c r="T26" s="46"/>
      <c r="U26" s="46"/>
      <c r="V26" s="46"/>
      <c r="W26" s="46"/>
    </row>
    <row r="27">
      <c r="A27" s="52" t="s">
        <v>3321</v>
      </c>
      <c r="B27" s="213" t="s">
        <v>3322</v>
      </c>
      <c r="C27" s="52" t="s">
        <v>3323</v>
      </c>
      <c r="D27" s="213" t="str">
        <f>IFERROR(__xludf.DUMMYFUNCTION("GOOGLETRANSLATE(A27,""zh-tw"",""zh"")"),"炸弹除了无视防御炸岩石、炸水面，还可以炸自己")</f>
        <v>炸弹除了无视防御炸岩石、炸水面，还可以炸自己</v>
      </c>
      <c r="E27" s="55" t="str">
        <f>IFERROR(__xludf.DUMMYFUNCTION("GOOGLETRANSLATE(A27,""zh-tw"",""es-MX"")"),"Además de ignorar las defensas y volar rocas y agua, las bombas también pueden explotar por sí solas.")</f>
        <v>Además de ignorar las defensas y volar rocas y agua, las bombas también pueden explotar por sí solas.</v>
      </c>
      <c r="F27" s="214" t="str">
        <f>IFERROR(__xludf.DUMMYFUNCTION("GOOGLETRANSLATE(A27,""zh-tw"",""KO"")"),"방어 시설을 무시하고 바위와 물을 폭파하는 것 외에도 폭탄은 스스로 폭발할 수도 있습니다.")</f>
        <v>방어 시설을 무시하고 바위와 물을 폭파하는 것 외에도 폭탄은 스스로 폭발할 수도 있습니다.</v>
      </c>
      <c r="G27" s="55" t="str">
        <f>IFERROR(__xludf.DUMMYFUNCTION("GOOGLETRANSLATE(A27,""zh-tw"",""ru"")"),"Помимо игнорирования обороны и взрыва камней и воды, бомбы также могут взрывать сами себя.")</f>
        <v>Помимо игнорирования обороны и взрыва камней и воды, бомбы также могут взрывать сами себя.</v>
      </c>
      <c r="H27" s="213" t="s">
        <v>3324</v>
      </c>
      <c r="I27" s="184" t="s">
        <v>3325</v>
      </c>
      <c r="J27" s="46"/>
      <c r="K27" s="46"/>
      <c r="L27" s="46"/>
      <c r="M27" s="46"/>
      <c r="N27" s="46"/>
      <c r="O27" s="46"/>
      <c r="P27" s="46"/>
      <c r="Q27" s="46"/>
      <c r="R27" s="46"/>
      <c r="S27" s="46"/>
      <c r="T27" s="46"/>
      <c r="U27" s="46"/>
      <c r="V27" s="46"/>
      <c r="W27" s="46"/>
    </row>
    <row r="28">
      <c r="A28" s="52" t="s">
        <v>3326</v>
      </c>
      <c r="B28" s="213" t="str">
        <f>IFERROR(__xludf.DUMMYFUNCTION("GOOGLETRANSLATE(A28,""zh-tw"",""ja"")"),"ナイトはいい匂いがするらしいので、今後に期待してもいいかもしれません。")</f>
        <v>ナイトはいい匂いがするらしいので、今後に期待してもいいかもしれません。</v>
      </c>
      <c r="C28" s="52" t="s">
        <v>3327</v>
      </c>
      <c r="D28" s="213" t="s">
        <v>3328</v>
      </c>
      <c r="E28" s="55" t="str">
        <f>IFERROR(__xludf.DUMMYFUNCTION("GOOGLETRANSLATE(A28,""zh-tw"",""es-MX"")"),"He oído... que el Caballero huele muy bien, quizá podamos mirar al futuro con optimismo.")</f>
        <v>He oído... que el Caballero huele muy bien, quizá podamos mirar al futuro con optimismo.</v>
      </c>
      <c r="F28" s="214" t="str">
        <f>IFERROR(__xludf.DUMMYFUNCTION("GOOGLETRANSLATE(A28,""zh-tw"",""KO"")"),"들었어요... 기사의 냄새가 정말 좋다는군요. 앞으로의 미래를 기대할 수 있을 것 같아요.")</f>
        <v>들었어요... 기사의 냄새가 정말 좋다는군요. 앞으로의 미래를 기대할 수 있을 것 같아요.</v>
      </c>
      <c r="G28" s="55" t="str">
        <f>IFERROR(__xludf.DUMMYFUNCTION("GOOGLETRANSLATE(A28,""zh-tw"",""ru"")"),"Я слышал... Рыцарь пахнет очень хорошо, может быть, мы можем с нетерпением ждать будущего.")</f>
        <v>Я слышал... Рыцарь пахнет очень хорошо, может быть, мы можем с нетерпением ждать будущего.</v>
      </c>
      <c r="H28" s="213" t="s">
        <v>3329</v>
      </c>
      <c r="I28" s="184" t="s">
        <v>3330</v>
      </c>
      <c r="J28" s="46"/>
      <c r="K28" s="46"/>
      <c r="L28" s="46"/>
      <c r="M28" s="46"/>
      <c r="N28" s="46"/>
      <c r="O28" s="46"/>
      <c r="P28" s="46"/>
      <c r="Q28" s="46"/>
      <c r="R28" s="46"/>
      <c r="S28" s="46"/>
      <c r="T28" s="46"/>
      <c r="U28" s="46"/>
      <c r="V28" s="46"/>
      <c r="W28" s="46"/>
    </row>
    <row r="29">
      <c r="A29" s="216" t="s">
        <v>3331</v>
      </c>
      <c r="B29" s="213" t="s">
        <v>3332</v>
      </c>
      <c r="C29" s="52" t="s">
        <v>3333</v>
      </c>
      <c r="D29" s="213" t="s">
        <v>3334</v>
      </c>
      <c r="E29" s="55" t="str">
        <f>IFERROR(__xludf.DUMMYFUNCTION("GOOGLETRANSLATE(A29,""zh-tw"",""es-MX"")"),"¿Cuál es la talla de sujetador de mi hermana? He oído que es G~H.")</f>
        <v>¿Cuál es la talla de sujetador de mi hermana? He oído que es G~H.</v>
      </c>
      <c r="F29" s="214" t="str">
        <f>IFERROR(__xludf.DUMMYFUNCTION("GOOGLETRANSLATE(A29,""zh-tw"",""KO"")"),"제 여동생 브라 사이즈가 몇이야? G~H라고 들었어요.")</f>
        <v>제 여동생 브라 사이즈가 몇이야? G~H라고 들었어요.</v>
      </c>
      <c r="G29" s="55" t="str">
        <f>IFERROR(__xludf.DUMMYFUNCTION("GOOGLETRANSLATE(A29,""zh-tw"",""ru"")"),"Какой размер бюстгальтера у моей сестры? Я слышал, что G~H.")</f>
        <v>Какой размер бюстгальтера у моей сестры? Я слышал, что G~H.</v>
      </c>
      <c r="H29" s="213" t="s">
        <v>3335</v>
      </c>
      <c r="I29" s="184" t="s">
        <v>3336</v>
      </c>
      <c r="J29" s="46"/>
      <c r="K29" s="46"/>
      <c r="L29" s="46"/>
      <c r="M29" s="46"/>
      <c r="N29" s="46"/>
      <c r="O29" s="46"/>
      <c r="P29" s="46"/>
      <c r="Q29" s="46"/>
      <c r="R29" s="46"/>
      <c r="S29" s="46"/>
      <c r="T29" s="46"/>
      <c r="U29" s="46"/>
      <c r="V29" s="46"/>
      <c r="W29" s="46"/>
    </row>
    <row r="30">
      <c r="A30" s="52" t="s">
        <v>3337</v>
      </c>
      <c r="B30" s="213" t="s">
        <v>3338</v>
      </c>
      <c r="C30" s="52" t="s">
        <v>3339</v>
      </c>
      <c r="D30" s="213" t="str">
        <f>IFERROR(__xludf.DUMMYFUNCTION("GOOGLETRANSLATE(A30,""zh-tw"",""zh"")"),"当成为贤者的哥哥在胡思乱想时...")</f>
        <v>当成为贤者的哥哥在胡思乱想时...</v>
      </c>
      <c r="E30" s="55" t="str">
        <f>IFERROR(__xludf.DUMMYFUNCTION("GOOGLETRANSLATE(A30,""zh-tw"",""es-MX"")"),"Mientras el hermano mayor, ya un sabio, estaba absorto en sus pensamientos...")</f>
        <v>Mientras el hermano mayor, ya un sabio, estaba absorto en sus pensamientos...</v>
      </c>
      <c r="F30" s="214" t="str">
        <f>IFERROR(__xludf.DUMMYFUNCTION("GOOGLETRANSLATE(A30,""zh-tw"",""KO"")"),"형은 현자가 되어 생각에 잠겨 있었는데...")</f>
        <v>형은 현자가 되어 생각에 잠겨 있었는데...</v>
      </c>
      <c r="G30" s="55" t="str">
        <f>IFERROR(__xludf.DUMMYFUNCTION("GOOGLETRANSLATE(A30,""zh-tw"",""ru"")"),"Пока старший брат, теперь уже мудрец, погрузился в раздумья...")</f>
        <v>Пока старший брат, теперь уже мудрец, погрузился в раздумья...</v>
      </c>
      <c r="H30" s="213" t="s">
        <v>3340</v>
      </c>
      <c r="I30" s="184" t="s">
        <v>3341</v>
      </c>
      <c r="J30" s="46"/>
      <c r="K30" s="46"/>
      <c r="L30" s="46"/>
      <c r="M30" s="46"/>
      <c r="N30" s="46"/>
      <c r="O30" s="46"/>
      <c r="P30" s="46"/>
      <c r="Q30" s="46"/>
      <c r="R30" s="46"/>
      <c r="S30" s="46"/>
      <c r="T30" s="46"/>
      <c r="U30" s="46"/>
      <c r="V30" s="46"/>
      <c r="W30" s="46"/>
    </row>
    <row r="31">
      <c r="A31" s="52" t="s">
        <v>3342</v>
      </c>
      <c r="B31" s="213" t="s">
        <v>3343</v>
      </c>
      <c r="C31" s="55" t="str">
        <f>IFERROR(__xludf.DUMMYFUNCTION("GOOGLETRANSLATE(A31,""zh-tw"",""en"")"),"When equipped with ""Girl's Smile"", the side effects of the Sage state will be ignored.")</f>
        <v>When equipped with "Girl's Smile", the side effects of the Sage state will be ignored.</v>
      </c>
      <c r="D31" s="213" t="str">
        <f>IFERROR(__xludf.DUMMYFUNCTION("GOOGLETRANSLATE(A31,""zh-tw"",""zh"")"),"当装备""少女的笑容""时，会无视贤者状态副作用")</f>
        <v>当装备"少女的笑容"时，会无视贤者状态副作用</v>
      </c>
      <c r="E31" s="55" t="str">
        <f>IFERROR(__xludf.DUMMYFUNCTION("GOOGLETRANSLATE(A31,""zh-tw"",""es-MX"")"),"Cuando esté equipada con ""Sonrisa de Niña"", los efectos secundarios del estado Sabio se ignorarán.")</f>
        <v>Cuando esté equipada con "Sonrisa de Niña", los efectos secundarios del estado Sabio se ignorarán.</v>
      </c>
      <c r="F31" s="214" t="str">
        <f>IFERROR(__xludf.DUMMYFUNCTION("GOOGLETRANSLATE(A31,""zh-tw"",""KO"")"),"""소녀의 미소""를 장착하면, 선인 상태의 부작용이 무시됩니다.")</f>
        <v>"소녀의 미소"를 장착하면, 선인 상태의 부작용이 무시됩니다.</v>
      </c>
      <c r="G31" s="55" t="str">
        <f>IFERROR(__xludf.DUMMYFUNCTION("GOOGLETRANSLATE(A31,""zh-tw"",""ru"")"),"При использовании «Улыбки девушки» побочные эффекты состояния Мудреца будут игнорироваться.")</f>
        <v>При использовании «Улыбки девушки» побочные эффекты состояния Мудреца будут игнорироваться.</v>
      </c>
      <c r="H31" s="213" t="s">
        <v>3344</v>
      </c>
      <c r="I31" s="184" t="s">
        <v>3345</v>
      </c>
      <c r="J31" s="46"/>
      <c r="K31" s="46"/>
      <c r="L31" s="46"/>
      <c r="M31" s="46"/>
      <c r="N31" s="46"/>
      <c r="O31" s="46"/>
      <c r="P31" s="46"/>
      <c r="Q31" s="46"/>
      <c r="R31" s="46"/>
      <c r="S31" s="46"/>
      <c r="T31" s="46"/>
      <c r="U31" s="46"/>
      <c r="V31" s="46"/>
      <c r="W31" s="46"/>
    </row>
    <row r="32">
      <c r="A32" s="52" t="s">
        <v>3346</v>
      </c>
      <c r="B32" s="213" t="str">
        <f>IFERROR(__xludf.DUMMYFUNCTION("GOOGLETRANSLATE(A32,""zh-tw"",""ja"")"),"トイレにいる、言葉では言い表せない生き物は、言語バージョンによって名前が異なります。")</f>
        <v>トイレにいる、言葉では言い表せない生き物は、言語バージョンによって名前が異なります。</v>
      </c>
      <c r="C32" s="52" t="s">
        <v>3347</v>
      </c>
      <c r="D32" s="213" t="str">
        <f>IFERROR(__xludf.DUMMYFUNCTION("GOOGLETRANSLATE(A32,""zh-tw"",""zh"")"),"在厕所的不可名状生物，在各语系版本中有不同的称呼")</f>
        <v>在厕所的不可名状生物，在各语系版本中有不同的称呼</v>
      </c>
      <c r="E32" s="55" t="str">
        <f>IFERROR(__xludf.DUMMYFUNCTION("GOOGLETRANSLATE(A32,""zh-tw"",""es-MX"")"),"La indescriptible criatura del inodoro tiene diferentes nombres en diferentes versiones lingüísticas.")</f>
        <v>La indescriptible criatura del inodoro tiene diferentes nombres en diferentes versiones lingüísticas.</v>
      </c>
      <c r="F32" s="214" t="str">
        <f>IFERROR(__xludf.DUMMYFUNCTION("GOOGLETRANSLATE(A32,""zh-tw"",""KO"")"),"변기에 있는 형언할 수 없는 생물은 언어마다 이름이 다릅니다.")</f>
        <v>변기에 있는 형언할 수 없는 생물은 언어마다 이름이 다릅니다.</v>
      </c>
      <c r="G32" s="55" t="str">
        <f>IFERROR(__xludf.DUMMYFUNCTION("GOOGLETRANSLATE(A32,""zh-tw"",""ru"")"),"Неописуемое существо в туалете имеет разные названия в разных языковых версиях.")</f>
        <v>Неописуемое существо в туалете имеет разные названия в разных языковых версиях.</v>
      </c>
      <c r="H32" s="213" t="s">
        <v>3348</v>
      </c>
      <c r="I32" s="184" t="s">
        <v>3349</v>
      </c>
      <c r="J32" s="46"/>
      <c r="K32" s="46"/>
      <c r="L32" s="46"/>
      <c r="M32" s="46"/>
      <c r="N32" s="46"/>
      <c r="O32" s="46"/>
      <c r="P32" s="46"/>
      <c r="Q32" s="46"/>
      <c r="R32" s="46"/>
      <c r="S32" s="46"/>
      <c r="T32" s="46"/>
      <c r="U32" s="46"/>
      <c r="V32" s="46"/>
      <c r="W32" s="46"/>
    </row>
    <row r="33">
      <c r="A33" s="52" t="s">
        <v>3350</v>
      </c>
      <c r="B33" s="213" t="str">
        <f>IFERROR(__xludf.DUMMYFUNCTION("GOOGLETRANSLATE(A33,""zh-tw"",""ja"")"),"トイレにいたあのなんとも言えない生き物は、実は私の兄が奈落の底から連れ戻した物だった。")</f>
        <v>トイレにいたあのなんとも言えない生き物は、実は私の兄が奈落の底から連れ戻した物だった。</v>
      </c>
      <c r="C33" s="52" t="s">
        <v>3351</v>
      </c>
      <c r="D33" s="213" t="str">
        <f>IFERROR(__xludf.DUMMYFUNCTION("GOOGLETRANSLATE(A33,""zh-tw"",""zh"")"),"在厕所的不可名状生物，其实是哥哥从深渊带回来的")</f>
        <v>在厕所的不可名状生物，其实是哥哥从深渊带回来的</v>
      </c>
      <c r="E33" s="55" t="str">
        <f>IFERROR(__xludf.DUMMYFUNCTION("GOOGLETRANSLATE(A33,""zh-tw"",""es-MX"")"),"La indescriptible criatura que había en el inodoro fue traída de vuelta del abismo por mi hermano.")</f>
        <v>La indescriptible criatura que había en el inodoro fue traída de vuelta del abismo por mi hermano.</v>
      </c>
      <c r="F33" s="214" t="str">
        <f>IFERROR(__xludf.DUMMYFUNCTION("GOOGLETRANSLATE(A33,""zh-tw"",""KO"")"),"변기에 있던 형언할 수 없는 생물은 사실 내 동생이 심연에서 가져온 것입니다.")</f>
        <v>변기에 있던 형언할 수 없는 생물은 사실 내 동생이 심연에서 가져온 것입니다.</v>
      </c>
      <c r="G33" s="55" t="str">
        <f>IFERROR(__xludf.DUMMYFUNCTION("GOOGLETRANSLATE(A33,""zh-tw"",""ru"")"),"Неописуемое существо в туалете на самом деле было вытащено из бездны моим братом.")</f>
        <v>Неописуемое существо в туалете на самом деле было вытащено из бездны моим братом.</v>
      </c>
      <c r="H33" s="213" t="s">
        <v>3352</v>
      </c>
      <c r="I33" s="184" t="s">
        <v>3353</v>
      </c>
      <c r="J33" s="46"/>
      <c r="K33" s="46"/>
      <c r="L33" s="46"/>
      <c r="M33" s="46"/>
      <c r="N33" s="46"/>
      <c r="O33" s="46"/>
      <c r="P33" s="46"/>
      <c r="Q33" s="46"/>
      <c r="R33" s="46"/>
      <c r="S33" s="46"/>
      <c r="T33" s="46"/>
      <c r="U33" s="46"/>
      <c r="V33" s="46"/>
      <c r="W33" s="46"/>
    </row>
    <row r="34">
      <c r="A34" s="52" t="s">
        <v>3354</v>
      </c>
      <c r="B34" s="213" t="s">
        <v>3355</v>
      </c>
      <c r="C34" s="52" t="s">
        <v>3356</v>
      </c>
      <c r="D34" s="213" t="str">
        <f>IFERROR(__xludf.DUMMYFUNCTION("GOOGLETRANSLATE(A34,""zh-tw"",""zh"")"),"在雨天修理饮料贩卖机的人是谁呢?目前仍是个谜")</f>
        <v>在雨天修理饮料贩卖机的人是谁呢?目前仍是个谜</v>
      </c>
      <c r="E34" s="55" t="str">
        <f>IFERROR(__xludf.DUMMYFUNCTION("GOOGLETRANSLATE(A34,""zh-tw"",""es-MX"")"),"¿Quién reparó la máquina expendedora bajo la lluvia? Eso sigue siendo un misterio.")</f>
        <v>¿Quién reparó la máquina expendedora bajo la lluvia? Eso sigue siendo un misterio.</v>
      </c>
      <c r="F34" s="214" t="str">
        <f>IFERROR(__xludf.DUMMYFUNCTION("GOOGLETRANSLATE(A34,""zh-tw"",""KO"")"),"비 오는 날 자판기를 누가 수리했을까? 아직도 미스터리로 남아 있다.")</f>
        <v>비 오는 날 자판기를 누가 수리했을까? 아직도 미스터리로 남아 있다.</v>
      </c>
      <c r="G34" s="55" t="str">
        <f>IFERROR(__xludf.DUMMYFUNCTION("GOOGLETRANSLATE(A34,""zh-tw"",""ru"")"),"Кто чинил торговый автомат под дождём? Это остаётся загадкой.")</f>
        <v>Кто чинил торговый автомат под дождём? Это остаётся загадкой.</v>
      </c>
      <c r="H34" s="213" t="s">
        <v>3357</v>
      </c>
      <c r="I34" s="184" t="s">
        <v>3358</v>
      </c>
      <c r="J34" s="46"/>
      <c r="K34" s="46"/>
      <c r="L34" s="46"/>
      <c r="M34" s="46"/>
      <c r="N34" s="46"/>
      <c r="O34" s="46"/>
      <c r="P34" s="46"/>
      <c r="Q34" s="46"/>
      <c r="R34" s="46"/>
      <c r="S34" s="46"/>
      <c r="T34" s="46"/>
      <c r="U34" s="46"/>
      <c r="V34" s="46"/>
      <c r="W34" s="46"/>
    </row>
    <row r="35">
      <c r="A35" s="52" t="s">
        <v>3359</v>
      </c>
      <c r="B35" s="213" t="s">
        <v>3360</v>
      </c>
      <c r="C35" s="52" t="s">
        <v>3361</v>
      </c>
      <c r="D35" s="213" t="str">
        <f>IFERROR(__xludf.DUMMYFUNCTION("GOOGLETRANSLATE(A35,""zh-tw"",""zh"")"),"早上可透过窗外状况，得知外出时的天气")</f>
        <v>早上可透过窗外状况，得知外出时的天气</v>
      </c>
      <c r="E35" s="55" t="str">
        <f>IFERROR(__xludf.DUMMYFUNCTION("GOOGLETRANSLATE(A35,""zh-tw"",""es-MX"")"),"Por la mañana, puedes consultar el tiempo fuera de la ventana para saber qué tiempo hará cuando salgas.")</f>
        <v>Por la mañana, puedes consultar el tiempo fuera de la ventana para saber qué tiempo hará cuando salgas.</v>
      </c>
      <c r="F35" s="214" t="str">
        <f>IFERROR(__xludf.DUMMYFUNCTION("GOOGLETRANSLATE(A35,""zh-tw"",""KO"")"),"아침에 창밖 날씨를 확인하면 외출할 때 날씨가 어떨지 알 수 있습니다.")</f>
        <v>아침에 창밖 날씨를 확인하면 외출할 때 날씨가 어떨지 알 수 있습니다.</v>
      </c>
      <c r="G35" s="55" t="str">
        <f>IFERROR(__xludf.DUMMYFUNCTION("GOOGLETRANSLATE(A35,""zh-tw"",""ru"")"),"Утром вы можете посмотреть на погоду за окном, чтобы знать, какая будет погода, когда вы выйдете на улицу.")</f>
        <v>Утром вы можете посмотреть на погоду за окном, чтобы знать, какая будет погода, когда вы выйдете на улицу.</v>
      </c>
      <c r="H35" s="213" t="s">
        <v>3362</v>
      </c>
      <c r="I35" s="184" t="s">
        <v>3363</v>
      </c>
      <c r="J35" s="46"/>
      <c r="K35" s="46"/>
      <c r="L35" s="46"/>
      <c r="M35" s="46"/>
      <c r="N35" s="46"/>
      <c r="O35" s="46"/>
      <c r="P35" s="46"/>
      <c r="Q35" s="46"/>
      <c r="R35" s="46"/>
      <c r="S35" s="46"/>
      <c r="T35" s="46"/>
      <c r="U35" s="46"/>
      <c r="V35" s="46"/>
      <c r="W35" s="46"/>
    </row>
    <row r="36">
      <c r="A36" s="52" t="s">
        <v>3364</v>
      </c>
      <c r="B36" s="213" t="str">
        <f>IFERROR(__xludf.DUMMYFUNCTION("GOOGLETRANSLATE(A36,""zh-tw"",""ja"")"),"生き物が可愛ければ可愛いほど、攻撃力も高くなります。")</f>
        <v>生き物が可愛ければ可愛いほど、攻撃力も高くなります。</v>
      </c>
      <c r="C36" s="52" t="s">
        <v>3365</v>
      </c>
      <c r="D36" s="213" t="s">
        <v>3366</v>
      </c>
      <c r="E36" s="55" t="str">
        <f>IFERROR(__xludf.DUMMYFUNCTION("GOOGLETRANSLATE(A36,""zh-tw"",""es-MX"")"),"Cuanto más adorable sea la criatura, mayor suele ser su poder de ataque.")</f>
        <v>Cuanto más adorable sea la criatura, mayor suele ser su poder de ataque.</v>
      </c>
      <c r="F36" s="214" t="str">
        <f>IFERROR(__xludf.DUMMYFUNCTION("GOOGLETRANSLATE(A36,""zh-tw"",""KO"")"),"생물이 귀여울수록 공격력이 일반적으로 더 높습니다.")</f>
        <v>생물이 귀여울수록 공격력이 일반적으로 더 높습니다.</v>
      </c>
      <c r="G36" s="55" t="str">
        <f>IFERROR(__xludf.DUMMYFUNCTION("GOOGLETRANSLATE(A36,""zh-tw"",""ru"")"),"Чем симпатичнее существо, тем обычно выше его сила атаки.")</f>
        <v>Чем симпатичнее существо, тем обычно выше его сила атаки.</v>
      </c>
      <c r="H36" s="213" t="s">
        <v>3367</v>
      </c>
      <c r="I36" s="184" t="s">
        <v>3368</v>
      </c>
      <c r="J36" s="46"/>
      <c r="K36" s="46"/>
      <c r="L36" s="46"/>
      <c r="M36" s="46"/>
      <c r="N36" s="46"/>
      <c r="O36" s="46"/>
      <c r="P36" s="46"/>
      <c r="Q36" s="46"/>
      <c r="R36" s="46"/>
      <c r="S36" s="46"/>
      <c r="T36" s="46"/>
      <c r="U36" s="46"/>
      <c r="V36" s="46"/>
      <c r="W36" s="46"/>
    </row>
    <row r="37">
      <c r="A37" s="52" t="s">
        <v>3369</v>
      </c>
      <c r="B37" s="213" t="str">
        <f>IFERROR(__xludf.DUMMYFUNCTION("GOOGLETRANSLATE(A37,""zh-tw"",""ja"")"),"&lt;42&gt;、トイレでの考えは、ダグラス・アダムスの小説『銀河ヒッチハイク・ガイド』に出てくる「人生、宇宙、そして万物に対する究極の答え」という問いに対する答えです。")</f>
        <v>&lt;42&gt;、トイレでの考えは、ダグラス・アダムスの小説『銀河ヒッチハイク・ガイド』に出てくる「人生、宇宙、そして万物に対する究極の答え」という問いに対する答えです。</v>
      </c>
      <c r="C37" s="52" t="s">
        <v>3370</v>
      </c>
      <c r="D37" s="213" t="str">
        <f>IFERROR(__xludf.DUMMYFUNCTION("GOOGLETRANSLATE(A37,""zh-tw"",""zh"")"),"厕所沉思中的&lt;42&gt;
出自道格拉斯·亚当斯所作的小说《银河系漫游指南》中「生命、宇宙以及任何事物的终极答案」的答案")</f>
        <v>厕所沉思中的&lt;42&gt;
出自道格拉斯·亚当斯所作的小说《银河系漫游指南》中「生命、宇宙以及任何事物的终极答案」的答案</v>
      </c>
      <c r="E37" s="55" t="str">
        <f>IFERROR(__xludf.DUMMYFUNCTION("GOOGLETRANSLATE(A37,""zh-tw"",""es-MX"")"),"&lt;42&gt;, un pensamiento en el baño, es la respuesta a la pregunta ""la respuesta definitiva a la vida, el universo y todo lo demás"" de la novela de Douglas Adams *La guía del autoestopista galáctico*.")</f>
        <v>&lt;42&gt;, un pensamiento en el baño, es la respuesta a la pregunta "la respuesta definitiva a la vida, el universo y todo lo demás" de la novela de Douglas Adams *La guía del autoestopista galáctico*.</v>
      </c>
      <c r="F37" s="214" t="str">
        <f>IFERROR(__xludf.DUMMYFUNCTION("GOOGLETRANSLATE(A37,""zh-tw"",""KO"")"),"&lt;42&gt;는 변기 속 생각으로, 더글러스 애덤스의 소설 *은하수를 여행하는 히치하이커를 위한 안내서*에 나오는 ""삶과 우주, 그리고 모든 것에 대한 궁극적인 답""이라는 질문에 대한 답입니다.")</f>
        <v>&lt;42&gt;는 변기 속 생각으로, 더글러스 애덤스의 소설 *은하수를 여행하는 히치하이커를 위한 안내서*에 나오는 "삶과 우주, 그리고 모든 것에 대한 궁극적인 답"이라는 질문에 대한 답입니다.</v>
      </c>
      <c r="G37" s="55" t="str">
        <f>IFERROR(__xludf.DUMMYFUNCTION("GOOGLETRANSLATE(A37,""zh-tw"",""ru"")"),"&lt;42&gt;, мысль в туалете, — это ответ на вопрос «окончательный ответ на жизнь, вселенную и всё такое» из романа Дугласа Адамса «Автостопом по Галактике».")</f>
        <v>&lt;42&gt;, мысль в туалете, — это ответ на вопрос «окончательный ответ на жизнь, вселенную и всё такое» из романа Дугласа Адамса «Автостопом по Галактике».</v>
      </c>
      <c r="H37" s="213" t="s">
        <v>3371</v>
      </c>
      <c r="I37" s="162" t="s">
        <v>3372</v>
      </c>
      <c r="J37" s="46"/>
      <c r="K37" s="46"/>
      <c r="L37" s="46"/>
      <c r="M37" s="46"/>
      <c r="N37" s="46"/>
      <c r="O37" s="46"/>
      <c r="P37" s="46"/>
      <c r="Q37" s="46"/>
      <c r="R37" s="46"/>
      <c r="S37" s="46"/>
      <c r="T37" s="46"/>
      <c r="U37" s="46"/>
      <c r="V37" s="46"/>
      <c r="W37" s="46"/>
    </row>
    <row r="38">
      <c r="A38" s="52" t="s">
        <v>3373</v>
      </c>
      <c r="B38" s="213" t="str">
        <f>IFERROR(__xludf.DUMMYFUNCTION("GOOGLETRANSLATE(A38,""zh-tw"",""ja"")"),"モンスタースライム 1 個は、スライムスライム 2 個とほぼ同等です。")</f>
        <v>モンスタースライム 1 個は、スライムスライム 2 個とほぼ同等です。</v>
      </c>
      <c r="C38" s="52" t="s">
        <v>3374</v>
      </c>
      <c r="D38" s="213" t="str">
        <f>IFERROR(__xludf.DUMMYFUNCTION("GOOGLETRANSLATE(A38,""zh-tw"",""zh"")"),"一个水怪黏液大约等于两个史莱姆黏液")</f>
        <v>一个水怪黏液大约等于两个史莱姆黏液</v>
      </c>
      <c r="E38" s="55" t="str">
        <f>IFERROR(__xludf.DUMMYFUNCTION("GOOGLETRANSLATE(A38,""zh-tw"",""es-MX"")"),"Un slime monstruoso equivale aproximadamente a dos slimes slime.")</f>
        <v>Un slime monstruoso equivale aproximadamente a dos slimes slime.</v>
      </c>
      <c r="F38" s="214" t="str">
        <f>IFERROR(__xludf.DUMMYFUNCTION("GOOGLETRANSLATE(A38,""zh-tw"",""KO"")"),"몬스터 슬라임 한 마리는 슬라임 슬라임 두 마리와 거의 같습니다.")</f>
        <v>몬스터 슬라임 한 마리는 슬라임 슬라임 두 마리와 거의 같습니다.</v>
      </c>
      <c r="G38" s="55" t="str">
        <f>IFERROR(__xludf.DUMMYFUNCTION("GOOGLETRANSLATE(A38,""zh-tw"",""ru"")"),"Один монстр-слайм примерно эквивалентен двум слаймам-слаймам.")</f>
        <v>Один монстр-слайм примерно эквивалентен двум слаймам-слаймам.</v>
      </c>
      <c r="H38" s="213" t="s">
        <v>3375</v>
      </c>
      <c r="I38" s="184" t="s">
        <v>3376</v>
      </c>
      <c r="J38" s="46"/>
      <c r="K38" s="46"/>
      <c r="L38" s="46"/>
      <c r="M38" s="46"/>
      <c r="N38" s="46"/>
      <c r="O38" s="46"/>
      <c r="P38" s="46"/>
      <c r="Q38" s="46"/>
      <c r="R38" s="46"/>
      <c r="S38" s="46"/>
      <c r="T38" s="46"/>
      <c r="U38" s="46"/>
      <c r="V38" s="46"/>
      <c r="W38" s="46"/>
    </row>
    <row r="39">
      <c r="A39" s="52" t="s">
        <v>3377</v>
      </c>
      <c r="B39" s="213" t="s">
        <v>3378</v>
      </c>
      <c r="C39" s="52" t="s">
        <v>3379</v>
      </c>
      <c r="D39" s="213" t="str">
        <f>IFERROR(__xludf.DUMMYFUNCTION("GOOGLETRANSLATE(A39,""zh-tw"",""zh"")"),"深渊BOSS每七天会重生，而且每次重生会更强，也可以使用""世界""塔罗牌")</f>
        <v>深渊BOSS每七天会重生，而且每次重生会更强，也可以使用"世界"塔罗牌</v>
      </c>
      <c r="E39" s="55" t="str">
        <f>IFERROR(__xludf.DUMMYFUNCTION("GOOGLETRANSLATE(A39,""zh-tw"",""es-MX"")"),"El jefe del Abismo reaparece cada siete días, y cada vez que lo hace es más fuerte. También se puede usar la carta del Tarot ""El Mundo"".")</f>
        <v>El jefe del Abismo reaparece cada siete días, y cada vez que lo hace es más fuerte. También se puede usar la carta del Tarot "El Mundo".</v>
      </c>
      <c r="F39" s="214" t="str">
        <f>IFERROR(__xludf.DUMMYFUNCTION("GOOGLETRANSLATE(A39,""zh-tw"",""KO"")"),"심연 보스는 7일마다 부활하며, 부활할 때마다 더욱 강력해집니다. ""세계"" 타로 카드도 사용할 수 있습니다.")</f>
        <v>심연 보스는 7일마다 부활하며, 부활할 때마다 더욱 강력해집니다. "세계" 타로 카드도 사용할 수 있습니다.</v>
      </c>
      <c r="G39" s="55" t="str">
        <f>IFERROR(__xludf.DUMMYFUNCTION("GOOGLETRANSLATE(A39,""zh-tw"",""ru"")"),"Босс Бездны возрождается каждые семь дней, и каждый раз он становится сильнее. Также можно использовать карту Таро «Мир».")</f>
        <v>Босс Бездны возрождается каждые семь дней, и каждый раз он становится сильнее. Также можно использовать карту Таро «Мир».</v>
      </c>
      <c r="H39" s="213" t="s">
        <v>3380</v>
      </c>
      <c r="I39" s="184" t="s">
        <v>3381</v>
      </c>
      <c r="J39" s="46"/>
      <c r="K39" s="46"/>
      <c r="L39" s="46"/>
      <c r="M39" s="46"/>
      <c r="N39" s="46"/>
      <c r="O39" s="46"/>
      <c r="P39" s="46"/>
      <c r="Q39" s="46"/>
      <c r="R39" s="46"/>
      <c r="S39" s="46"/>
      <c r="T39" s="46"/>
      <c r="U39" s="46"/>
      <c r="V39" s="46"/>
      <c r="W39" s="46"/>
    </row>
    <row r="40">
      <c r="A40" s="52" t="s">
        <v>3382</v>
      </c>
      <c r="B40" s="213" t="s">
        <v>3383</v>
      </c>
      <c r="C40" s="52" t="s">
        <v>3384</v>
      </c>
      <c r="D40" s="213" t="s">
        <v>3385</v>
      </c>
      <c r="E40" s="55" t="str">
        <f>IFERROR(__xludf.DUMMYFUNCTION("GOOGLETRANSLATE(A40,""zh-tw"",""es-MX"")"),"¿Es demasiado difícil derrotar al Jefe del Abismo? Podrías intentar quedarte al borde de un precipicio como un despreciable forastero.")</f>
        <v>¿Es demasiado difícil derrotar al Jefe del Abismo? Podrías intentar quedarte al borde de un precipicio como un despreciable forastero.</v>
      </c>
      <c r="F40" s="214" t="str">
        <f>IFERROR(__xludf.DUMMYFUNCTION("GOOGLETRANSLATE(A40,""zh-tw"",""KO"")"),"심연 보스를 물리치기가 너무 어렵나요? 비열한 아웃사이더로 절벽 끝에 서 보세요.")</f>
        <v>심연 보스를 물리치기가 너무 어렵나요? 비열한 아웃사이더로 절벽 끝에 서 보세요.</v>
      </c>
      <c r="G40" s="55" t="str">
        <f>IFERROR(__xludf.DUMMYFUNCTION("GOOGLETRANSLATE(A40,""zh-tw"",""ru"")"),"Босса Бездны так сложно победить? Попробуйте встать на край обрыва, притворившись презренным чужаком.")</f>
        <v>Босса Бездны так сложно победить? Попробуйте встать на край обрыва, притворившись презренным чужаком.</v>
      </c>
      <c r="H40" s="213" t="s">
        <v>3386</v>
      </c>
      <c r="I40" s="184" t="s">
        <v>3387</v>
      </c>
      <c r="J40" s="46"/>
      <c r="K40" s="46"/>
      <c r="L40" s="46"/>
      <c r="M40" s="46"/>
      <c r="N40" s="46"/>
      <c r="O40" s="46"/>
      <c r="P40" s="46"/>
      <c r="Q40" s="46"/>
      <c r="R40" s="46"/>
      <c r="S40" s="46"/>
      <c r="T40" s="46"/>
      <c r="U40" s="46"/>
      <c r="V40" s="46"/>
      <c r="W40" s="46"/>
    </row>
    <row r="41">
      <c r="A41" s="52" t="s">
        <v>3388</v>
      </c>
      <c r="B41" s="213" t="s">
        <v>3389</v>
      </c>
      <c r="C41" s="52" t="s">
        <v>3390</v>
      </c>
      <c r="D41" s="213" t="str">
        <f>IFERROR(__xludf.DUMMYFUNCTION("GOOGLETRANSLATE(A41,""zh-tw"",""zh"")"),"增加攻速的效果(例如:猫爪手套)，也会使魔法效果增强")</f>
        <v>增加攻速的效果(例如:猫爪手套)，也会使魔法效果增强</v>
      </c>
      <c r="E41" s="55" t="str">
        <f>IFERROR(__xludf.DUMMYFUNCTION("GOOGLETRANSLATE(A41,""zh-tw"",""es-MX"")"),"Los efectos que aumentan la velocidad de ataque (por ejemplo, los Guantes de Pata de Gato) también potenciarán los efectos mágicos.")</f>
        <v>Los efectos que aumentan la velocidad de ataque (por ejemplo, los Guantes de Pata de Gato) también potenciarán los efectos mágicos.</v>
      </c>
      <c r="F41" s="214" t="str">
        <f>IFERROR(__xludf.DUMMYFUNCTION("GOOGLETRANSLATE(A41,""zh-tw"",""KO"")"),"공격 속도를 증가시키는 효과(예: 고양이 발 장갑)는 마법 효과도 향상시킵니다.")</f>
        <v>공격 속도를 증가시키는 효과(예: 고양이 발 장갑)는 마법 효과도 향상시킵니다.</v>
      </c>
      <c r="G41" s="55" t="str">
        <f>IFERROR(__xludf.DUMMYFUNCTION("GOOGLETRANSLATE(A41,""zh-tw"",""ru"")"),"Эффекты, увеличивающие скорость атаки (например, перчатки «Кошачья лапка»), также усилят магические эффекты.")</f>
        <v>Эффекты, увеличивающие скорость атаки (например, перчатки «Кошачья лапка»), также усилят магические эффекты.</v>
      </c>
      <c r="H41" s="214" t="str">
        <f>IFERROR(__xludf.DUMMYFUNCTION("GOOGLETRANSLATE(A41,""zh-tw"",""de"")"),"Effekte, die die Angriffsgeschwindigkeit erhöhen (z. B. Katzenpfotenhandschuhe), verstärken auch magische Effekte.")</f>
        <v>Effekte, die die Angriffsgeschwindigkeit erhöhen (z. B. Katzenpfotenhandschuhe), verstärken auch magische Effekte.</v>
      </c>
      <c r="I41" s="184" t="s">
        <v>3391</v>
      </c>
      <c r="J41" s="46"/>
      <c r="K41" s="46"/>
      <c r="L41" s="46"/>
      <c r="M41" s="46"/>
      <c r="N41" s="46"/>
      <c r="O41" s="46"/>
      <c r="P41" s="46"/>
      <c r="Q41" s="46"/>
      <c r="R41" s="46"/>
      <c r="S41" s="46"/>
      <c r="T41" s="46"/>
      <c r="U41" s="46"/>
      <c r="V41" s="46"/>
      <c r="W41" s="46"/>
    </row>
    <row r="42">
      <c r="A42" s="52" t="s">
        <v>3392</v>
      </c>
      <c r="B42" s="213" t="str">
        <f>IFERROR(__xludf.DUMMYFUNCTION("GOOGLETRANSLATE(A42,""zh-tw"",""ja"")"),"命中率を高めるアイテム（例：Fallen Mage's Gloves）は、呪文に追加の効果も与えます。複数のアイテムを装備すると、この効果がさらに高まります。")</f>
        <v>命中率を高めるアイテム（例：Fallen Mage's Gloves）は、呪文に追加の効果も与えます。複数のアイテムを装備すると、この効果がさらに高まります。</v>
      </c>
      <c r="C42" s="52" t="s">
        <v>3393</v>
      </c>
      <c r="D42" s="213" t="str">
        <f>IFERROR(__xludf.DUMMYFUNCTION("GOOGLETRANSLATE(A42,""zh-tw"",""zh"")"),"加强命中的效果(例如:堕落法师的手套)，以后也会使魔法获得效果，多穿几件还会增加更多")</f>
        <v>加强命中的效果(例如:堕落法师的手套)，以后也会使魔法获得效果，多穿几件还会增加更多</v>
      </c>
      <c r="E42" s="55" t="str">
        <f>IFERROR(__xludf.DUMMYFUNCTION("GOOGLETRANSLATE(A42,""zh-tw"",""es-MX"")"),"Mejorar la precisión (por ejemplo, con los Guantes del Mago Caído) también otorgará efectos adicionales a los hechizos; usar varias piezas aumentará aún más este efecto.")</f>
        <v>Mejorar la precisión (por ejemplo, con los Guantes del Mago Caído) también otorgará efectos adicionales a los hechizos; usar varias piezas aumentará aún más este efecto.</v>
      </c>
      <c r="F42" s="214" t="str">
        <f>IFERROR(__xludf.DUMMYFUNCTION("GOOGLETRANSLATE(A42,""zh-tw"",""KO"")"),"명중률을 높이면(예: 타락한 마법사의 장갑) 주문에 추가 효과가 부여됩니다. 여러 개의 장비를 착용하면 이 효과가 더욱 증가합니다.")</f>
        <v>명중률을 높이면(예: 타락한 마법사의 장갑) 주문에 추가 효과가 부여됩니다. 여러 개의 장비를 착용하면 이 효과가 더욱 증가합니다.</v>
      </c>
      <c r="G42" s="55" t="str">
        <f>IFERROR(__xludf.DUMMYFUNCTION("GOOGLETRANSLATE(A42,""zh-tw"",""ru"")"),"Повышение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f>
        <v>Повышение точности (например, Перчатки падшего мага) также придаст заклинаниям дополнительные эффекты; ношение нескольких предметов еще больше усилит этот эффект.</v>
      </c>
      <c r="H42" s="214" t="str">
        <f>IFERROR(__xludf.DUMMYFUNCTION("GOOGLETRANSLATE(A42,""zh-tw"",""de"")"),"Eine Erhöhung der Trefferquote (z. B. durch die Handschuhe des gefallenen Magiers) verleiht Zaubern auch zusätzliche Effekte; das Tragen mehrerer Ausrüstungsteile verstärkt diesen Effekt noch weiter.")</f>
        <v>Eine Erhöhung der Trefferquote (z. B. durch die Handschuhe des gefallenen Magiers) verleiht Zaubern auch zusätzliche Effekte; das Tragen mehrerer Ausrüstungsteile verstärkt diesen Effekt noch weiter.</v>
      </c>
      <c r="I42" s="184" t="s">
        <v>3394</v>
      </c>
      <c r="J42" s="46"/>
      <c r="K42" s="46"/>
      <c r="L42" s="46"/>
      <c r="M42" s="46"/>
      <c r="N42" s="46"/>
      <c r="O42" s="46"/>
      <c r="P42" s="46"/>
      <c r="Q42" s="46"/>
      <c r="R42" s="46"/>
      <c r="S42" s="46"/>
      <c r="T42" s="46"/>
      <c r="U42" s="46"/>
      <c r="V42" s="46"/>
      <c r="W42" s="46"/>
    </row>
    <row r="43">
      <c r="A43" s="52" t="s">
        <v>3395</v>
      </c>
      <c r="B43" s="213" t="s">
        <v>3396</v>
      </c>
      <c r="C43" s="52" t="s">
        <v>3397</v>
      </c>
      <c r="D43" s="213" t="str">
        <f>IFERROR(__xludf.DUMMYFUNCTION("GOOGLETRANSLATE(A43,""zh-tw"",""zh"")"),"遗迹BOSS房间，底下悬崖有个秘密地点，想办法过去吧!
提示:移动型道具 / 加速型道具+技能")</f>
        <v>遗迹BOSS房间，底下悬崖有个秘密地点，想办法过去吧!
提示:移动型道具 / 加速型道具+技能</v>
      </c>
      <c r="E43" s="55" t="str">
        <f>IFERROR(__xludf.DUMMYFUNCTION("GOOGLETRANSLATE(A43,""zh-tw"",""es-MX"")"),"En la sala del jefe de las Ruinas, hay una ubicación secreta en el acantilado de abajo. ¡Descubre cómo llegar! Pista: Objetos de movimiento/velocidad + Habilidades")</f>
        <v>En la sala del jefe de las Ruinas, hay una ubicación secreta en el acantilado de abajo. ¡Descubre cómo llegar! Pista: Objetos de movimiento/velocidad + Habilidades</v>
      </c>
      <c r="F43" s="214" t="str">
        <f>IFERROR(__xludf.DUMMYFUNCTION("GOOGLETRANSLATE(A43,""zh-tw"",""KO"")"),"유적 보스 방 아래 절벽에 비밀 장소가 있습니다. 그곳으로 가는 방법을 찾아보세요! 힌트: 이동 아이템 / 속도 증가 아이템 + 스킬")</f>
        <v>유적 보스 방 아래 절벽에 비밀 장소가 있습니다. 그곳으로 가는 방법을 찾아보세요! 힌트: 이동 아이템 / 속도 증가 아이템 + 스킬</v>
      </c>
      <c r="G43" s="55" t="str">
        <f>IFERROR(__xludf.DUMMYFUNCTION("GOOGLETRANSLATE(A43,""zh-tw"",""ru"")"),"В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f>
        <v>В комнате с Боссом Руин есть секретное место на скале внизу. Найдите, как туда попасть! Подсказка: предметы для передвижения / предметы для ускорения + навыки.</v>
      </c>
      <c r="H43" s="214" t="str">
        <f>IFERROR(__xludf.DUMMYFUNCTION("GOOGLETRANSLATE(A43,""zh-tw"",""de"")"),"Im Bossraum der Ruinen befindet sich ein geheimer Ort an der Klippe darunter. Finde heraus, wie du dorthin gelangst! Tipp: Bewegungsgegenstände/Gegenstände zur Beschleunigung + Fähigkeiten")</f>
        <v>Im Bossraum der Ruinen befindet sich ein geheimer Ort an der Klippe darunter. Finde heraus, wie du dorthin gelangst! Tipp: Bewegungsgegenstände/Gegenstände zur Beschleunigung + Fähigkeiten</v>
      </c>
      <c r="I43" s="184" t="s">
        <v>3398</v>
      </c>
      <c r="J43" s="46"/>
      <c r="K43" s="46"/>
      <c r="L43" s="46"/>
      <c r="M43" s="46"/>
      <c r="N43" s="46"/>
      <c r="O43" s="46"/>
      <c r="P43" s="46"/>
      <c r="Q43" s="46"/>
      <c r="R43" s="46"/>
      <c r="S43" s="46"/>
      <c r="T43" s="46"/>
      <c r="U43" s="46"/>
      <c r="V43" s="46"/>
      <c r="W43" s="46"/>
    </row>
    <row r="44">
      <c r="A44" s="52" t="s">
        <v>3399</v>
      </c>
      <c r="B44" s="213" t="s">
        <v>3400</v>
      </c>
      <c r="C44" s="52" t="s">
        <v>3401</v>
      </c>
      <c r="D44" s="213" t="str">
        <f>IFERROR(__xludf.DUMMYFUNCTION("GOOGLETRANSLATE(A44,""zh-tw"",""zh"")"),"利用道具，不只能和怪物，也能使NPC交换位置")</f>
        <v>利用道具，不只能和怪物，也能使NPC交换位置</v>
      </c>
      <c r="E44" s="55" t="str">
        <f>IFERROR(__xludf.DUMMYFUNCTION("GOOGLETRANSLATE(A44,""zh-tw"",""es-MX"")"),"Mediante objetos, no solo puedes intercambiar posiciones con monstruos, sino también con PNJ.")</f>
        <v>Mediante objetos, no solo puedes intercambiar posiciones con monstruos, sino también con PNJ.</v>
      </c>
      <c r="F44" s="214" t="str">
        <f>IFERROR(__xludf.DUMMYFUNCTION("GOOGLETRANSLATE(A44,""zh-tw"",""KO"")"),"아이템을 사용하면 몬스터와 위치를 바꿀 수 있을 뿐만 아니라 NPC와도 위치를 바꿀 수 있습니다.")</f>
        <v>아이템을 사용하면 몬스터와 위치를 바꿀 수 있을 뿐만 아니라 NPC와도 위치를 바꿀 수 있습니다.</v>
      </c>
      <c r="G44" s="55" t="str">
        <f>IFERROR(__xludf.DUMMYFUNCTION("GOOGLETRANSLATE(A44,""zh-tw"",""ru"")"),"Используя предметы, вы можете меняться местами не только с монстрами, но и с NPC.")</f>
        <v>Используя предметы, вы можете меняться местами не только с монстрами, но и с NPC.</v>
      </c>
      <c r="H44" s="214" t="str">
        <f>IFERROR(__xludf.DUMMYFUNCTION("GOOGLETRANSLATE(A44,""zh-tw"",""de"")"),"Mithilfe von Gegenständen kann man nicht nur mit Monstern, sondern auch mit NPCs die Position tauschen.")</f>
        <v>Mithilfe von Gegenständen kann man nicht nur mit Monstern, sondern auch mit NPCs die Position tauschen.</v>
      </c>
      <c r="I44" s="184" t="s">
        <v>3402</v>
      </c>
      <c r="J44" s="46"/>
      <c r="K44" s="46"/>
      <c r="L44" s="46"/>
      <c r="M44" s="46"/>
      <c r="N44" s="46"/>
      <c r="O44" s="46"/>
      <c r="P44" s="46"/>
      <c r="Q44" s="46"/>
      <c r="R44" s="46"/>
      <c r="S44" s="46"/>
      <c r="T44" s="46"/>
      <c r="U44" s="46"/>
      <c r="V44" s="46"/>
      <c r="W44" s="46"/>
    </row>
    <row r="45">
      <c r="A45" s="52" t="s">
        <v>3403</v>
      </c>
      <c r="B45" s="213" t="s">
        <v>3404</v>
      </c>
      <c r="C45" s="52" t="s">
        <v>3405</v>
      </c>
      <c r="D45" s="213" t="str">
        <f>IFERROR(__xludf.DUMMYFUNCTION("GOOGLETRANSLATE(A45,""zh-tw"",""zh"")"),"怪物也有嗅觉，而有些怪物也会惧怕臭味而逃离")</f>
        <v>怪物也有嗅觉，而有些怪物也会惧怕臭味而逃离</v>
      </c>
      <c r="E45" s="55" t="str">
        <f>IFERROR(__xludf.DUMMYFUNCTION("GOOGLETRANSLATE(A45,""zh-tw"",""es-MX"")"),"Los monstruos también tienen sentido del olfato, y algunos huyen de los malos olores.")</f>
        <v>Los monstruos también tienen sentido del olfato, y algunos huyen de los malos olores.</v>
      </c>
      <c r="F45" s="214" t="str">
        <f>IFERROR(__xludf.DUMMYFUNCTION("GOOGLETRANSLATE(A45,""zh-tw"",""KO"")"),"괴물은 또한 후각을 가지고 있으며, 어떤 괴물은 악취를 맡으면 도망칩니다.")</f>
        <v>괴물은 또한 후각을 가지고 있으며, 어떤 괴물은 악취를 맡으면 도망칩니다.</v>
      </c>
      <c r="G45" s="55" t="str">
        <f>IFERROR(__xludf.DUMMYFUNCTION("GOOGLETRANSLATE(A45,""zh-tw"",""ru"")"),"У монстров также есть обоняние, и некоторые монстры убегают от неприятного запаха.")</f>
        <v>У монстров также есть обоняние, и некоторые монстры убегают от неприятного запаха.</v>
      </c>
      <c r="H45" s="214" t="str">
        <f>IFERROR(__xludf.DUMMYFUNCTION("GOOGLETRANSLATE(A45,""zh-tw"",""de"")"),"Auch Monster besitzen einen Geruchssinn, und manche Monster fliehen vor einem üblen Geruch.")</f>
        <v>Auch Monster besitzen einen Geruchssinn, und manche Monster fliehen vor einem üblen Geruch.</v>
      </c>
      <c r="I45" s="184" t="s">
        <v>3406</v>
      </c>
      <c r="J45" s="46"/>
      <c r="K45" s="46"/>
      <c r="L45" s="46"/>
      <c r="M45" s="46"/>
      <c r="N45" s="46"/>
      <c r="O45" s="46"/>
      <c r="P45" s="46"/>
      <c r="Q45" s="46"/>
      <c r="R45" s="46"/>
      <c r="S45" s="46"/>
      <c r="T45" s="46"/>
      <c r="U45" s="46"/>
      <c r="V45" s="46"/>
      <c r="W45" s="46"/>
    </row>
    <row r="46">
      <c r="A46" s="52" t="s">
        <v>3407</v>
      </c>
      <c r="B46" s="213" t="s">
        <v>3408</v>
      </c>
      <c r="C46" s="52" t="s">
        <v>3409</v>
      </c>
      <c r="D46" s="213" t="str">
        <f>IFERROR(__xludf.DUMMYFUNCTION("GOOGLETRANSLATE(A46,""zh-tw"",""zh"")"),"独自洗澡时，妹妹有一定机率闯入，哥哥的血量越低越容易触发。 (0.55版本暂时锁定)")</f>
        <v>独自洗澡时，妹妹有一定机率闯入，哥哥的血量越低越容易触发。 (0.55版本暂时锁定)</v>
      </c>
      <c r="E46" s="55" t="str">
        <f>IFERROR(__xludf.DUMMYFUNCTION("GOOGLETRANSLATE(A46,""zh-tw"",""es-MX"")"),"Existe la posibilidad de que la hermana menor irrumpa mientras el hermano mayor se está bañando solo; cuanto menor sea su salud, mayor será la probabilidad de que esto ocurra. (Bloqueado temporalmente en la versión 0.55)")</f>
        <v>Existe la posibilidad de que la hermana menor irrumpa mientras el hermano mayor se está bañando solo; cuanto menor sea su salud, mayor será la probabilidad de que esto ocurra. (Bloqueado temporalmente en la versión 0.55)</v>
      </c>
      <c r="F46" s="214" t="str">
        <f>IFERROR(__xludf.DUMMYFUNCTION("GOOGLETRANSLATE(A46,""zh-tw"",""KO"")"),"오빠가 혼자 목욕을 하는 동안 여동생이 불쑥 끼어들 가능성이 있습니다. 오빠의 체력이 낮을수록 이 현상이 발생할 확률이 높아집니다. (0.55 버전에서 일시적으로 차단됨)")</f>
        <v>오빠가 혼자 목욕을 하는 동안 여동생이 불쑥 끼어들 가능성이 있습니다. 오빠의 체력이 낮을수록 이 현상이 발생할 확률이 높아집니다. (0.55 버전에서 일시적으로 차단됨)</v>
      </c>
      <c r="G46" s="55" t="str">
        <f>IFERROR(__xludf.DUMMYFUNCTION("GOOGLETRANSLATE(A46,""zh-tw"",""ru"")"),"Есть вероятность, что младшая сестра ворвётся, когда старший брат принимает ванну в одиночестве; чем ниже его здоровье, тем выше вероятность срабатывания этой ошибки. (Временно заблокировано в версии 0.55)")</f>
        <v>Есть вероятность, что младшая сестра ворвётся, когда старший брат принимает ванну в одиночестве; чем ниже его здоровье, тем выше вероятность срабатывания этой ошибки. (Временно заблокировано в версии 0.55)</v>
      </c>
      <c r="H46" s="214" t="str">
        <f>IFERROR(__xludf.DUMMYFUNCTION("GOOGLETRANSLATE(A46,""zh-tw"",""de"")"),"Es besteht die Möglichkeit, dass die jüngere Schwester hereinplatzt, während der ältere Bruder allein badet; je niedriger sein Gesundheitszustand ist, desto wahrscheinlicher tritt dieses Ereignis ein. (Vorübergehend in Version 0.55 gesperrt)")</f>
        <v>Es besteht die Möglichkeit, dass die jüngere Schwester hereinplatzt, während der ältere Bruder allein badet; je niedriger sein Gesundheitszustand ist, desto wahrscheinlicher tritt dieses Ereignis ein. (Vorübergehend in Version 0.55 gesperrt)</v>
      </c>
      <c r="I46" s="184" t="s">
        <v>3410</v>
      </c>
      <c r="J46" s="46"/>
      <c r="K46" s="46"/>
      <c r="L46" s="46"/>
      <c r="M46" s="46"/>
      <c r="N46" s="46"/>
      <c r="O46" s="46"/>
      <c r="P46" s="46"/>
      <c r="Q46" s="46"/>
      <c r="R46" s="46"/>
      <c r="S46" s="46"/>
      <c r="T46" s="46"/>
      <c r="U46" s="46"/>
      <c r="V46" s="46"/>
      <c r="W46" s="46"/>
    </row>
    <row r="47">
      <c r="A47" s="52" t="s">
        <v>3411</v>
      </c>
      <c r="B47" s="213" t="s">
        <v>3412</v>
      </c>
      <c r="C47" s="52" t="s">
        <v>3413</v>
      </c>
      <c r="D47" s="213" t="str">
        <f>IFERROR(__xludf.DUMMYFUNCTION("GOOGLETRANSLATE(A47,""zh-tw"",""zh"")"),"当妹妹玩游戏时，可以对妹妹恶作剧。
若要触发特殊的开腿选项，需要先完成DCL的任务")</f>
        <v>当妹妹玩游戏时，可以对妹妹恶作剧。
若要触发特殊的开腿选项，需要先完成DCL的任务</v>
      </c>
      <c r="E47" s="55" t="str">
        <f>IFERROR(__xludf.DUMMYFUNCTION("GOOGLETRANSLATE(A47,""zh-tw"",""es-MX"")"),"Puedes gastarle bromas a tu hermana pequeña mientras juega.
Para activar la opción especial de abrir las piernas, primero debes completar la misión DCL.")</f>
        <v>Puedes gastarle bromas a tu hermana pequeña mientras juega.
Para activar la opción especial de abrir las piernas, primero debes completar la misión DCL.</v>
      </c>
      <c r="F47" s="214" t="str">
        <f>IFERROR(__xludf.DUMMYFUNCTION("GOOGLETRANSLATE(A47,""zh-tw"",""KO"")"),"여동생이 게임을 하는 동안 장난을 칠 수 있습니다.
특수 다리 벌리기 옵션을 발동하려면 먼저 DCL 미션을 완료해야 합니다.")</f>
        <v>여동생이 게임을 하는 동안 장난을 칠 수 있습니다.
특수 다리 벌리기 옵션을 발동하려면 먼저 DCL 미션을 완료해야 합니다.</v>
      </c>
      <c r="G47" s="55" t="str">
        <f>IFERROR(__xludf.DUMMYFUNCTION("GOOGLETRANSLATE(A47,""zh-tw"",""ru"")"),"Вы можете подшутить над своей младшей сестрой, пока она играет в игры.
Чтобы активировать специальную опцию «Раздвигая ноги», сначала нужно выполнить миссию DCL.")</f>
        <v>Вы можете подшутить над своей младшей сестрой, пока она играет в игры.
Чтобы активировать специальную опцию «Раздвигая ноги», сначала нужно выполнить миссию DCL.</v>
      </c>
      <c r="H47" s="214" t="str">
        <f>IFERROR(__xludf.DUMMYFUNCTION("GOOGLETRANSLATE(A47,""zh-tw"",""de"")"),"Du kannst deiner jüngeren Schwester Streiche spielen, während sie spielt.
Um die Option zum Spreizen der Beine freizuschalten, musst du zuerst die DCL-Mission abschließen.")</f>
        <v>Du kannst deiner jüngeren Schwester Streiche spielen, während sie spielt.
Um die Option zum Spreizen der Beine freizuschalten, musst du zuerst die DCL-Mission abschließen.</v>
      </c>
      <c r="I47" s="184" t="s">
        <v>3414</v>
      </c>
      <c r="J47" s="46"/>
      <c r="K47" s="46"/>
      <c r="L47" s="46"/>
      <c r="M47" s="46"/>
      <c r="N47" s="46"/>
      <c r="O47" s="46"/>
      <c r="P47" s="46"/>
      <c r="Q47" s="46"/>
      <c r="R47" s="46"/>
      <c r="S47" s="46"/>
      <c r="T47" s="46"/>
      <c r="U47" s="46"/>
      <c r="V47" s="46"/>
      <c r="W47" s="46"/>
    </row>
    <row r="48">
      <c r="A48" s="52" t="s">
        <v>3415</v>
      </c>
      <c r="B48" s="213" t="s">
        <v>3416</v>
      </c>
      <c r="C48" s="52" t="s">
        <v>3417</v>
      </c>
      <c r="D48" s="213" t="str">
        <f>IFERROR(__xludf.DUMMYFUNCTION("GOOGLETRANSLATE(A48,""zh-tw"",""zh"")"),"妹妹治愈后，除了早上起得来，睡眠时间也会变晚")</f>
        <v>妹妹治愈后，除了早上起得来，睡眠时间也会变晚</v>
      </c>
      <c r="E48" s="55" t="str">
        <f>IFERROR(__xludf.DUMMYFUNCTION("GOOGLETRANSLATE(A48,""zh-tw"",""es-MX"")"),"Después de que mi hermana se recuperó, pudo despertarse por la mañana y su hora de acostarse también se retrasó.")</f>
        <v>Después de que mi hermana se recuperó, pudo despertarse por la mañana y su hora de acostarse también se retrasó.</v>
      </c>
      <c r="F48" s="214" t="str">
        <f>IFERROR(__xludf.DUMMYFUNCTION("GOOGLETRANSLATE(A48,""zh-tw"",""KO"")"),"언니가 회복한 후, 아침에 일어날 수 있게 되었고, 잠자리에 드는 시간도 늦어졌습니다.")</f>
        <v>언니가 회복한 후, 아침에 일어날 수 있게 되었고, 잠자리에 드는 시간도 늦어졌습니다.</v>
      </c>
      <c r="G48" s="55" t="str">
        <f>IFERROR(__xludf.DUMMYFUNCTION("GOOGLETRANSLATE(A48,""zh-tw"",""ru"")"),"После того, как моя сестра выздоровела, она смогла просыпаться по утрам и ложиться спать стала позже.")</f>
        <v>После того, как моя сестра выздоровела, она смогла просыпаться по утрам и ложиться спать стала позже.</v>
      </c>
      <c r="H48" s="214" t="str">
        <f>IFERROR(__xludf.DUMMYFUNCTION("GOOGLETRANSLATE(A48,""zh-tw"",""de"")"),"Nach der Genesung meiner Schwester konnte sie morgens wieder aufwachen und auch ihre Schlafenszeit verschob sich nach hinten.")</f>
        <v>Nach der Genesung meiner Schwester konnte sie morgens wieder aufwachen und auch ihre Schlafenszeit verschob sich nach hinten.</v>
      </c>
      <c r="I48" s="184" t="s">
        <v>3418</v>
      </c>
      <c r="J48" s="46"/>
      <c r="K48" s="46"/>
      <c r="L48" s="46"/>
      <c r="M48" s="46"/>
      <c r="N48" s="46"/>
      <c r="O48" s="46"/>
      <c r="P48" s="46"/>
      <c r="Q48" s="46"/>
      <c r="R48" s="46"/>
      <c r="S48" s="46"/>
      <c r="T48" s="46"/>
      <c r="U48" s="46"/>
      <c r="V48" s="46"/>
      <c r="W48" s="46"/>
    </row>
    <row r="49">
      <c r="A49" s="52" t="s">
        <v>3419</v>
      </c>
      <c r="B49" s="213" t="s">
        <v>3420</v>
      </c>
      <c r="C49" s="52" t="s">
        <v>3421</v>
      </c>
      <c r="D49" s="213" t="str">
        <f>IFERROR(__xludf.DUMMYFUNCTION("GOOGLETRANSLATE(A49,""zh-tw"",""zh"")"),"幸运值可以用来影响扭蛋、物品掉落(实装)
和妹妹相关的机率事件也会受到幸运值的影响(未实装)")</f>
        <v>幸运值可以用来影响扭蛋、物品掉落(实装)
和妹妹相关的机率事件也会受到幸运值的影响(未实装)</v>
      </c>
      <c r="E49" s="55" t="str">
        <f>IFERROR(__xludf.DUMMYFUNCTION("GOOGLETRANSLATE(A49,""zh-tw"",""es-MX"")"),"Las estadísticas de suerte pueden influir en las tiradas de gacha y la obtención de objetos (implementado). Las estadísticas de suerte también afectan a los eventos aleatorios relacionados con la hermana (aún no implementado).")</f>
        <v>Las estadísticas de suerte pueden influir en las tiradas de gacha y la obtención de objetos (implementado). Las estadísticas de suerte también afectan a los eventos aleatorios relacionados con la hermana (aún no implementado).</v>
      </c>
      <c r="F49" s="214" t="str">
        <f>IFERROR(__xludf.DUMMYFUNCTION("GOOGLETRANSLATE(A49,""zh-tw"",""KO"")"),"행운 능력치는 가챠 뽑기 및 아이템 드랍에 영향을 줄 수 있습니다(구현됨). 행운 능력치는 자매와 관련된 확률 기반 이벤트에도 영향을 미칩니다(아직 구현되지 않음).")</f>
        <v>행운 능력치는 가챠 뽑기 및 아이템 드랍에 영향을 줄 수 있습니다(구현됨). 행운 능력치는 자매와 관련된 확률 기반 이벤트에도 영향을 미칩니다(아직 구현되지 않음).</v>
      </c>
      <c r="G49" s="55" t="str">
        <f>IFERROR(__xludf.DUMMYFUNCTION("GOOGLETRANSLATE(A49,""zh-tw"",""ru"")"),"Статистика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f>
        <v>Статистика удачи может влиять на вытягивание гачи и выпадение предметов (реализовано). Статистика удачи также влияет на случайные события, связанные с сестрой (пока не реализовано).</v>
      </c>
      <c r="H49" s="214" t="str">
        <f>IFERROR(__xludf.DUMMYFUNCTION("GOOGLETRANSLATE(A49,""zh-tw"",""de"")"),"Glückswerte können genutzt werden, um Gacha-Ziehungen und Gegenstands-Drops zu beeinflussen (implementiert). Glückswerte wirken sich auch auf zufallsbasierte Ereignisse im Zusammenhang mit der Schwester aus (noch nicht implementiert).")</f>
        <v>Glückswerte können genutzt werden, um Gacha-Ziehungen und Gegenstands-Drops zu beeinflussen (implementiert). Glückswerte wirken sich auch auf zufallsbasierte Ereignisse im Zusammenhang mit der Schwester aus (noch nicht implementiert).</v>
      </c>
      <c r="I49" s="184" t="s">
        <v>3422</v>
      </c>
      <c r="J49" s="46"/>
      <c r="K49" s="46"/>
      <c r="L49" s="46"/>
      <c r="M49" s="46"/>
      <c r="N49" s="46"/>
      <c r="O49" s="46"/>
      <c r="P49" s="46"/>
      <c r="Q49" s="46"/>
      <c r="R49" s="46"/>
      <c r="S49" s="46"/>
      <c r="T49" s="46"/>
      <c r="U49" s="46"/>
      <c r="V49" s="46"/>
      <c r="W49" s="46"/>
    </row>
    <row r="50">
      <c r="A50" s="52" t="s">
        <v>3423</v>
      </c>
      <c r="B50" s="213" t="s">
        <v>3424</v>
      </c>
      <c r="C50" s="52" t="s">
        <v>3425</v>
      </c>
      <c r="D50" s="213" t="str">
        <f>IFERROR(__xludf.DUMMYFUNCTION("GOOGLETRANSLATE(A50,""zh-tw"",""zh"")"),"商店老板娘叫做aki，另外妹妹的声优也是aki")</f>
        <v>商店老板娘叫做aki，另外妹妹的声优也是aki</v>
      </c>
      <c r="E50" s="55" t="str">
        <f>IFERROR(__xludf.DUMMYFUNCTION("GOOGLETRANSLATE(A50,""zh-tw"",""es-MX"")"),"La dueña de la tienda se llama Aki, y la actriz de doblaje de la hermana menor también se llama Aki.")</f>
        <v>La dueña de la tienda se llama Aki, y la actriz de doblaje de la hermana menor también se llama Aki.</v>
      </c>
      <c r="F50" s="214" t="str">
        <f>IFERROR(__xludf.DUMMYFUNCTION("GOOGLETRANSLATE(A50,""zh-tw"",""KO"")"),"가게 주인의 이름은 아키이고, 여동생의 성우도 아키입니다.")</f>
        <v>가게 주인의 이름은 아키이고, 여동생의 성우도 아키입니다.</v>
      </c>
      <c r="G50" s="55" t="str">
        <f>IFERROR(__xludf.DUMMYFUNCTION("GOOGLETRANSLATE(A50,""zh-tw"",""ru"")"),"Владелицу магазина зовут Аки, и актрису, озвучивающую младшую сестру, тоже зовут Аки.")</f>
        <v>Владелицу магазина зовут Аки, и актрису, озвучивающую младшую сестру, тоже зовут Аки.</v>
      </c>
      <c r="H50" s="214" t="str">
        <f>IFERROR(__xludf.DUMMYFUNCTION("GOOGLETRANSLATE(A50,""zh-tw"",""de"")"),"Der Name der Ladenbesitzerin ist Aki, und die Synchronsprecherin der jüngeren Schwester heißt ebenfalls Aki.")</f>
        <v>Der Name der Ladenbesitzerin ist Aki, und die Synchronsprecherin der jüngeren Schwester heißt ebenfalls Aki.</v>
      </c>
      <c r="I50" s="184" t="s">
        <v>3426</v>
      </c>
      <c r="J50" s="46"/>
      <c r="K50" s="46"/>
      <c r="L50" s="46"/>
      <c r="M50" s="46"/>
      <c r="N50" s="46"/>
      <c r="O50" s="46"/>
      <c r="P50" s="46"/>
      <c r="Q50" s="46"/>
      <c r="R50" s="46"/>
      <c r="S50" s="46"/>
      <c r="T50" s="46"/>
      <c r="U50" s="46"/>
      <c r="V50" s="46"/>
      <c r="W50" s="46"/>
    </row>
    <row r="51">
      <c r="A51" s="52" t="s">
        <v>3427</v>
      </c>
      <c r="B51" s="213" t="s">
        <v>3428</v>
      </c>
      <c r="C51" s="55" t="s">
        <v>3429</v>
      </c>
      <c r="D51" s="213" t="str">
        <f>IFERROR(__xludf.DUMMYFUNCTION("GOOGLETRANSLATE(A51,""zh-tw"",""zh"")"),"Ehwaz符文会在扔出去后和触碰到的敌人交换位置")</f>
        <v>Ehwaz符文会在扔出去后和触碰到的敌人交换位置</v>
      </c>
      <c r="E51" s="55" t="str">
        <f>IFERROR(__xludf.DUMMYFUNCTION("GOOGLETRANSLATE(A51,""zh-tw"",""es-MX"")"),"La runa Ehwaz intercambiará posiciones con cualquier enemigo que toque después de ser lanzada.")</f>
        <v>La runa Ehwaz intercambiará posiciones con cualquier enemigo que toque después de ser lanzada.</v>
      </c>
      <c r="F51" s="214" t="str">
        <f>IFERROR(__xludf.DUMMYFUNCTION("GOOGLETRANSLATE(A51,""zh-tw"",""KO"")"),"에바즈 룬은 던져진 후 닿는 모든 적과 위치를 바꿉니다.")</f>
        <v>에바즈 룬은 던져진 후 닿는 모든 적과 위치를 바꿉니다.</v>
      </c>
      <c r="G51" s="55" t="str">
        <f>IFERROR(__xludf.DUMMYFUNCTION("GOOGLETRANSLATE(A51,""zh-tw"",""ru"")"),"Руна Эваз поменяется местами с любым врагом, которого коснется после броска.")</f>
        <v>Руна Эваз поменяется местами с любым врагом, которого коснется после броска.</v>
      </c>
      <c r="H51" s="214" t="str">
        <f>IFERROR(__xludf.DUMMYFUNCTION("GOOGLETRANSLATE(A51,""zh-tw"",""de"")"),"Die Ehwaz-Rune tauscht nach dem Werfen mit jedem Gegner, den sie berührt, die Position.")</f>
        <v>Die Ehwaz-Rune tauscht nach dem Werfen mit jedem Gegner, den sie berührt, die Position.</v>
      </c>
      <c r="I51" s="184" t="s">
        <v>3430</v>
      </c>
      <c r="J51" s="46"/>
      <c r="K51" s="46"/>
      <c r="L51" s="46"/>
      <c r="M51" s="46"/>
      <c r="N51" s="46"/>
      <c r="O51" s="46"/>
      <c r="P51" s="46"/>
      <c r="Q51" s="46"/>
      <c r="R51" s="46"/>
      <c r="S51" s="46"/>
      <c r="T51" s="46"/>
      <c r="U51" s="46"/>
      <c r="V51" s="46"/>
      <c r="W51" s="46"/>
    </row>
    <row r="52">
      <c r="A52" s="52" t="s">
        <v>3431</v>
      </c>
      <c r="B52" s="213" t="s">
        <v>3432</v>
      </c>
      <c r="C52" s="52" t="s">
        <v>3433</v>
      </c>
      <c r="D52" s="213" t="s">
        <v>3434</v>
      </c>
      <c r="E52" s="55" t="str">
        <f>IFERROR(__xludf.DUMMYFUNCTION("GOOGLETRANSLATE(A52,""zh-tw"",""es-MX"")"),"Las runas Raido se lanzan y dejan un marcador al impactar. Al hacer clic en este marcador, te teletransportarás instantáneamente a esa ubicación.")</f>
        <v>Las runas Raido se lanzan y dejan un marcador al impactar. Al hacer clic en este marcador, te teletransportarás instantáneamente a esa ubicación.</v>
      </c>
      <c r="F52" s="214" t="str">
        <f>IFERROR(__xludf.DUMMYFUNCTION("GOOGLETRANSLATE(A52,""zh-tw"",""KO"")"),"라이도 룬은 던져지며 착지 시 마커를 남깁니다. 이 마커를 클릭하면 해당 위치로 즉시 순간이동합니다.")</f>
        <v>라이도 룬은 던져지며 착지 시 마커를 남깁니다. 이 마커를 클릭하면 해당 위치로 즉시 순간이동합니다.</v>
      </c>
      <c r="G52" s="55" t="str">
        <f>IFERROR(__xludf.DUMMYFUNCTION("GOOGLETRANSLATE(A52,""zh-tw"",""ru"")"),"Руны Райдо бросаются и оставляют после приземления метку. Щелкнув по этой метке, вы мгновенно телепортируетесь в это место.")</f>
        <v>Руны Райдо бросаются и оставляют после приземления метку. Щелкнув по этой метке, вы мгновенно телепортируетесь в это место.</v>
      </c>
      <c r="H52" s="214" t="str">
        <f>IFERROR(__xludf.DUMMYFUNCTION("GOOGLETRANSLATE(A52,""zh-tw"",""de"")"),"Raido-Runen werden geworfen und hinterlassen beim Aufprall eine Markierung. Ein Klick auf diese Markierung teleportiert dich sofort zu diesem Ort.")</f>
        <v>Raido-Runen werden geworfen und hinterlassen beim Aufprall eine Markierung. Ein Klick auf diese Markierung teleportiert dich sofort zu diesem Ort.</v>
      </c>
      <c r="I52" s="184" t="s">
        <v>3435</v>
      </c>
      <c r="J52" s="46"/>
      <c r="K52" s="46"/>
      <c r="L52" s="46"/>
      <c r="M52" s="46"/>
      <c r="N52" s="46"/>
      <c r="O52" s="46"/>
      <c r="P52" s="46"/>
      <c r="Q52" s="46"/>
      <c r="R52" s="46"/>
      <c r="S52" s="46"/>
      <c r="T52" s="46"/>
      <c r="U52" s="46"/>
      <c r="V52" s="46"/>
      <c r="W52" s="46"/>
    </row>
    <row r="53">
      <c r="A53" s="52" t="s">
        <v>3436</v>
      </c>
      <c r="B53" s="213" t="str">
        <f>IFERROR(__xludf.DUMMYFUNCTION("GOOGLETRANSLATE(A53,""zh-tw"",""ja"")"),"ジェラ ルーンを投げると、触れた敵やアイテムを変形させ、本質的にコピーを作成できます (まだ実装されていません)。")</f>
        <v>ジェラ ルーンを投げると、触れた敵やアイテムを変形させ、本質的にコピーを作成できます (まだ実装されていません)。</v>
      </c>
      <c r="C53" s="52" t="s">
        <v>3437</v>
      </c>
      <c r="D53" s="213" t="str">
        <f>IFERROR(__xludf.DUMMYFUNCTION("GOOGLETRANSLATE(A53,""zh-tw"",""zh"")"),"Jera符文，丢出去可以变换接触到的敌人或掉落物，也就是复制的作用(未实装)")</f>
        <v>Jera符文，丢出去可以变换接触到的敌人或掉落物，也就是复制的作用(未实装)</v>
      </c>
      <c r="E53" s="55" t="str">
        <f>IFERROR(__xludf.DUMMYFUNCTION("GOOGLETRANSLATE(A53,""zh-tw"",""es-MX"")"),"La runa Jera, al ser lanzada, puede transformar cualquier enemigo u objeto que toque, creando esencialmente una copia (aún no implementado).")</f>
        <v>La runa Jera, al ser lanzada, puede transformar cualquier enemigo u objeto que toque, creando esencialmente una copia (aún no implementado).</v>
      </c>
      <c r="F53" s="214" t="str">
        <f>IFERROR(__xludf.DUMMYFUNCTION("GOOGLETRANSLATE(A53,""zh-tw"",""KO"")"),"제라 룬을 던지면 닿는 모든 적이나 아이템을 변형시켜 사실상 복사본을 생성합니다(아직 구현되지 않음).")</f>
        <v>제라 룬을 던지면 닿는 모든 적이나 아이템을 변형시켜 사실상 복사본을 생성합니다(아직 구현되지 않음).</v>
      </c>
      <c r="G53" s="55" t="str">
        <f>IFERROR(__xludf.DUMMYFUNCTION("GOOGLETRANSLATE(A53,""zh-tw"",""ru"")"),"Руна Йера, если ее бросить, может преобразовать любого врага или предмет, к которому она прикоснется, по сути создавая копию (пока не реализовано).")</f>
        <v>Руна Йера, если ее бросить, может преобразовать любого врага или предмет, к которому она прикоснется, по сути создавая копию (пока не реализовано).</v>
      </c>
      <c r="H53" s="214" t="str">
        <f>IFERROR(__xludf.DUMMYFUNCTION("GOOGLETRANSLATE(A53,""zh-tw"",""de"")"),"Die Jera-Rune kann, wenn sie geworfen wird, jeden Feind oder Gegenstand, den sie berührt, verwandeln und dabei im Wesentlichen eine Kopie erzeugen (noch nicht implementiert).")</f>
        <v>Die Jera-Rune kann, wenn sie geworfen wird, jeden Feind oder Gegenstand, den sie berührt, verwandeln und dabei im Wesentlichen eine Kopie erzeugen (noch nicht implementiert).</v>
      </c>
      <c r="I53" s="184" t="s">
        <v>3438</v>
      </c>
      <c r="J53" s="46"/>
      <c r="K53" s="46"/>
      <c r="L53" s="46"/>
      <c r="M53" s="46"/>
      <c r="N53" s="46"/>
      <c r="O53" s="46"/>
      <c r="P53" s="46"/>
      <c r="Q53" s="46"/>
      <c r="R53" s="46"/>
      <c r="S53" s="46"/>
      <c r="T53" s="46"/>
      <c r="U53" s="46"/>
      <c r="V53" s="46"/>
      <c r="W53" s="46"/>
    </row>
    <row r="54">
      <c r="A54" s="52" t="s">
        <v>3439</v>
      </c>
      <c r="B54" s="213" t="str">
        <f>IFERROR(__xludf.DUMMYFUNCTION("GOOGLETRANSLATE(A54,""zh-tw"",""ja"")"),"パース ルーンは、投げられると範囲効果を生み出し、そのエリア内の敵やドロップされたアイテムをランダムに置き換えます (まだ実装されていません)。")</f>
        <v>パース ルーンは、投げられると範囲効果を生み出し、そのエリア内の敵やドロップされたアイテムをランダムに置き換えます (まだ実装されていません)。</v>
      </c>
      <c r="C54" s="52" t="s">
        <v>3440</v>
      </c>
      <c r="D54" s="213" t="str">
        <f>IFERROR(__xludf.DUMMYFUNCTION("GOOGLETRANSLATE(A54,""zh-tw"",""zh"")"),"Perth符文，丢出去会造成范围影响，范围内的敌人或掉落物会被随机替换(未实装)")</f>
        <v>Perth符文，丢出去会造成范围影响，范围内的敌人或掉落物会被随机替换(未实装)</v>
      </c>
      <c r="E54" s="55" t="str">
        <f>IFERROR(__xludf.DUMMYFUNCTION("GOOGLETRANSLATE(A54,""zh-tw"",""es-MX"")"),"La runa de Perth, al ser lanzada, crea un efecto de área, reemplazando aleatoriamente a los enemigos o los objetos caídos dentro de esa área (aún no implementado).")</f>
        <v>La runa de Perth, al ser lanzada, crea un efecto de área, reemplazando aleatoriamente a los enemigos o los objetos caídos dentro de esa área (aún no implementado).</v>
      </c>
      <c r="F54" s="214" t="str">
        <f>IFERROR(__xludf.DUMMYFUNCTION("GOOGLETRANSLATE(A54,""zh-tw"",""KO"")"),"퍼스 룬을 던지면 영역 효과가 발생하여 해당 영역 내에 있는 적이나 떨어진 아이템을 무작위로 교체합니다(아직 구현되지 않음).")</f>
        <v>퍼스 룬을 던지면 영역 효과가 발생하여 해당 영역 내에 있는 적이나 떨어진 아이템을 무작위로 교체합니다(아직 구현되지 않음).</v>
      </c>
      <c r="G54" s="55" t="str">
        <f>IFERROR(__xludf.DUMMYFUNCTION("GOOGLETRANSLATE(A54,""zh-tw"",""ru"")"),"При броске руна Перта создает эффект области действия, случайным образом заменяя врагов или выпавшие предметы в этой области (пока не реализовано).")</f>
        <v>При броске руна Перта создает эффект области действия, случайным образом заменяя врагов или выпавшие предметы в этой области (пока не реализовано).</v>
      </c>
      <c r="H54" s="214" t="str">
        <f>IFERROR(__xludf.DUMMYFUNCTION("GOOGLETRANSLATE(A54,""zh-tw"",""de"")"),"Die Perth-Rune erzeugt beim Werfen einen Flächeneffekt, bei dem zufällig Feinde oder fallengelassene Gegenstände innerhalb dieses Bereichs ersetzt werden (noch nicht implementiert).")</f>
        <v>Die Perth-Rune erzeugt beim Werfen einen Flächeneffekt, bei dem zufällig Feinde oder fallengelassene Gegenstände innerhalb dieses Bereichs ersetzt werden (noch nicht implementiert).</v>
      </c>
      <c r="I54" s="184" t="s">
        <v>3441</v>
      </c>
      <c r="J54" s="46"/>
      <c r="K54" s="46"/>
      <c r="L54" s="46"/>
      <c r="M54" s="46"/>
      <c r="N54" s="46"/>
      <c r="O54" s="46"/>
      <c r="P54" s="46"/>
      <c r="Q54" s="46"/>
      <c r="R54" s="46"/>
      <c r="S54" s="46"/>
      <c r="T54" s="46"/>
      <c r="U54" s="46"/>
      <c r="V54" s="46"/>
      <c r="W54" s="46"/>
    </row>
    <row r="55">
      <c r="A55" s="52" t="s">
        <v>3442</v>
      </c>
      <c r="B55" s="213" t="s">
        <v>3443</v>
      </c>
      <c r="C55" s="52" t="s">
        <v>3444</v>
      </c>
      <c r="D55" s="213" t="str">
        <f>IFERROR(__xludf.DUMMYFUNCTION("GOOGLETRANSLATE(A55,""zh-tw"",""zh"")"),"甜筒大剑的效果是喂食怪物，每次攻击有一定机率累积数值，当到达一定数量时怪物会吃太饱而死亡。 (BOSS未测试)")</f>
        <v>甜筒大剑的效果是喂食怪物，每次攻击有一定机率累积数值，当到达一定数量时怪物会吃太饱而死亡。 (BOSS未测试)</v>
      </c>
      <c r="E55" s="55" t="str">
        <f>IFERROR(__xludf.DUMMYFUNCTION("GOOGLETRANSLATE(A55,""zh-tw"",""es-MX"")"),"La Gran Espada de Cono de Helado alimenta a los monstruos; cada ataque tiene una probabilidad de acumular cierta cantidad de comida. Cuando se alcanza cierta cantidad, el monstruo se saciará y morirá. (No probado contra jefes)")</f>
        <v>La Gran Espada de Cono de Helado alimenta a los monstruos; cada ataque tiene una probabilidad de acumular cierta cantidad de comida. Cuando se alcanza cierta cantidad, el monstruo se saciará y morirá. (No probado contra jefes)</v>
      </c>
      <c r="F55" s="214" t="str">
        <f>IFERROR(__xludf.DUMMYFUNCTION("GOOGLETRANSLATE(A55,""zh-tw"",""KO"")"),"아이스크림 콘 대검은 몬스터에게 먹이를 제공합니다. 각 공격 시 일정량의 식량이 축적될 확률이 있습니다. 일정량에 도달하면 몬스터는 너무 배불러 죽습니다. (보스에게는 테스트하지 않았습니다)")</f>
        <v>아이스크림 콘 대검은 몬스터에게 먹이를 제공합니다. 각 공격 시 일정량의 식량이 축적될 확률이 있습니다. 일정량에 도달하면 몬스터는 너무 배불러 죽습니다. (보스에게는 테스트하지 않았습니다)</v>
      </c>
      <c r="G55" s="55" t="str">
        <f>IFERROR(__xludf.DUMMYFUNCTION("GOOGLETRANSLATE(A55,""zh-tw"",""ru"")"),"Большой меч «Мороженое» кормит монстров; каждая атака может накопить определённое количество еды. При достижении определённого количества еды монстр пересыщается и погибает. (Не тестировалось на боссах)")</f>
        <v>Большой меч «Мороженое» кормит монстров; каждая атака может накопить определённое количество еды. При достижении определённого количества еды монстр пересыщается и погибает. (Не тестировалось на боссах)</v>
      </c>
      <c r="H55" s="214" t="str">
        <f>IFERROR(__xludf.DUMMYFUNCTION("GOOGLETRANSLATE(A55,""zh-tw"",""de"")"),"Das Eiswaffel-Großschwert nährt Monster; jeder Angriff hat die Chance, eine bestimmte Menge Nahrung anzusammeln. Sobald eine bestimmte Menge erreicht ist, ist das Monster überfressen und stirbt. (Nicht an Bossen getestet)")</f>
        <v>Das Eiswaffel-Großschwert nährt Monster; jeder Angriff hat die Chance, eine bestimmte Menge Nahrung anzusammeln. Sobald eine bestimmte Menge erreicht ist, ist das Monster überfressen und stirbt. (Nicht an Bossen getestet)</v>
      </c>
      <c r="I55" s="184" t="s">
        <v>3445</v>
      </c>
      <c r="J55" s="46"/>
      <c r="K55" s="46"/>
      <c r="L55" s="46"/>
      <c r="M55" s="46"/>
      <c r="N55" s="46"/>
      <c r="O55" s="46"/>
      <c r="P55" s="46"/>
      <c r="Q55" s="46"/>
      <c r="R55" s="46"/>
      <c r="S55" s="46"/>
      <c r="T55" s="46"/>
      <c r="U55" s="46"/>
      <c r="V55" s="46"/>
      <c r="W55" s="46"/>
    </row>
    <row r="56">
      <c r="A56" s="52" t="s">
        <v>3446</v>
      </c>
      <c r="B56" s="213" t="str">
        <f>IFERROR(__xludf.DUMMYFUNCTION("GOOGLETRANSLATE(A56,""zh-tw"",""ja"")"),"ガシャポンが騎士の足元に落ちた場合は、騎士が拾ってくれます。")</f>
        <v>ガシャポンが騎士の足元に落ちた場合は、騎士が拾ってくれます。</v>
      </c>
      <c r="C56" s="52" t="s">
        <v>3447</v>
      </c>
      <c r="D56" s="213" t="str">
        <f>IFERROR(__xludf.DUMMYFUNCTION("GOOGLETRANSLATE(A56,""zh-tw"",""zh"")"),"如果扭蛋掉到骑士的脚边，他会帮你捡起")</f>
        <v>如果扭蛋掉到骑士的脚边，他会帮你捡起</v>
      </c>
      <c r="E56" s="55" t="str">
        <f>IFERROR(__xludf.DUMMYFUNCTION("GOOGLETRANSLATE(A56,""zh-tw"",""es-MX"")"),"Si el gashapon cae cerca de los pies del caballero, él lo recogerá por ti.")</f>
        <v>Si el gashapon cae cerca de los pies del caballero, él lo recogerá por ti.</v>
      </c>
      <c r="F56" s="214" t="str">
        <f>IFERROR(__xludf.DUMMYFUNCTION("GOOGLETRANSLATE(A56,""zh-tw"",""KO"")"),"가샤폰이 기사의 발 근처에 떨어지면 기사가 당신을 위해 그것을 주워줄 것입니다.")</f>
        <v>가샤폰이 기사의 발 근처에 떨어지면 기사가 당신을 위해 그것을 주워줄 것입니다.</v>
      </c>
      <c r="G56" s="55" t="str">
        <f>IFERROR(__xludf.DUMMYFUNCTION("GOOGLETRANSLATE(A56,""zh-tw"",""ru"")"),"Если гасяпон упадет возле ног рыцаря, он поднимет его для вас.")</f>
        <v>Если гасяпон упадет возле ног рыцаря, он поднимет его для вас.</v>
      </c>
      <c r="H56" s="214" t="str">
        <f>IFERROR(__xludf.DUMMYFUNCTION("GOOGLETRANSLATE(A56,""zh-tw"",""de"")"),"Wenn der Gashapon in die Nähe der Füße des Ritters fällt, wird er ihn für dich aufheben.")</f>
        <v>Wenn der Gashapon in die Nähe der Füße des Ritters fällt, wird er ihn für dich aufheben.</v>
      </c>
      <c r="I56" s="184" t="s">
        <v>3448</v>
      </c>
      <c r="J56" s="46"/>
      <c r="K56" s="46"/>
      <c r="L56" s="46"/>
      <c r="M56" s="46"/>
      <c r="N56" s="46"/>
      <c r="O56" s="46"/>
      <c r="P56" s="46"/>
      <c r="Q56" s="46"/>
      <c r="R56" s="46"/>
      <c r="S56" s="46"/>
      <c r="T56" s="46"/>
      <c r="U56" s="46"/>
      <c r="V56" s="46"/>
      <c r="W56" s="46"/>
    </row>
    <row r="57">
      <c r="A57" s="52" t="s">
        <v>3449</v>
      </c>
      <c r="B57" s="213" t="s">
        <v>3450</v>
      </c>
      <c r="C57" s="52" t="s">
        <v>3451</v>
      </c>
      <c r="D57" s="213" t="s">
        <v>3452</v>
      </c>
      <c r="E57" s="55" t="str">
        <f>IFERROR(__xludf.DUMMYFUNCTION("GOOGLETRANSLATE(A57,""zh-tw"",""es-MX"")"),"La durabilidad máxima predeterminada para todas las armas es 114514, derivada de &lt;El sueño de una noche de verano&gt;.")</f>
        <v>La durabilidad máxima predeterminada para todas las armas es 114514, derivada de &lt;El sueño de una noche de verano&gt;.</v>
      </c>
      <c r="F57" s="214" t="str">
        <f>IFERROR(__xludf.DUMMYFUNCTION("GOOGLETRANSLATE(A57,""zh-tw"",""KO"")"),"모든 무기의 기본 최대 내구도는 &lt;한여름 밤의 꿈&gt;에서 따온 114514입니다.")</f>
        <v>모든 무기의 기본 최대 내구도는 &lt;한여름 밤의 꿈&gt;에서 따온 114514입니다.</v>
      </c>
      <c r="G57" s="55" t="str">
        <f>IFERROR(__xludf.DUMMYFUNCTION("GOOGLETRANSLATE(A57,""zh-tw"",""ru"")"),"Максимальная прочность по умолчанию для всего оружия составляет 114514, что взято из &lt;Сна в летнюю ночь&gt;.")</f>
        <v>Максимальная прочность по умолчанию для всего оружия составляет 114514, что взято из &lt;Сна в летнюю ночь&gt;.</v>
      </c>
      <c r="H57" s="214" t="str">
        <f>IFERROR(__xludf.DUMMYFUNCTION("GOOGLETRANSLATE(A57,""zh-tw"",""de"")"),"Die standardmäßige maximale Haltbarkeit aller Waffen beträgt 114514 und ist dem Roman „Ein Sommernachtstraum“ entlehnt.")</f>
        <v>Die standardmäßige maximale Haltbarkeit aller Waffen beträgt 114514 und ist dem Roman „Ein Sommernachtstraum“ entlehnt.</v>
      </c>
      <c r="I57" s="184" t="s">
        <v>3453</v>
      </c>
      <c r="J57" s="46"/>
      <c r="K57" s="46"/>
      <c r="L57" s="46"/>
      <c r="M57" s="46"/>
      <c r="N57" s="46"/>
      <c r="O57" s="46"/>
      <c r="P57" s="46"/>
      <c r="Q57" s="46"/>
      <c r="R57" s="46"/>
      <c r="S57" s="46"/>
      <c r="T57" s="46"/>
      <c r="U57" s="46"/>
      <c r="V57" s="46"/>
      <c r="W57" s="46"/>
    </row>
    <row r="58">
      <c r="A58" s="52" t="s">
        <v>3454</v>
      </c>
      <c r="B58" s="213" t="s">
        <v>3455</v>
      </c>
      <c r="C58" s="52" t="s">
        <v>3456</v>
      </c>
      <c r="D58" s="213" t="str">
        <f>IFERROR(__xludf.DUMMYFUNCTION("GOOGLETRANSLATE(A58,""zh-tw"",""zh"")"),"猫娘商店车会有以下的商品：
1.固定物品 2.猫娘们收集到的食材 3.随机的常规道具，品质随机分布。")</f>
        <v>猫娘商店车会有以下的商品：
1.固定物品 2.猫娘们收集到的食材 3.随机的常规道具，品质随机分布。</v>
      </c>
      <c r="E58" s="55" t="str">
        <f>IFERROR(__xludf.DUMMYFUNCTION("GOOGLETRANSLATE(A58,""zh-tw"",""es-MX"")"),"El carrito de la tienda de las chicas gato tendrá los siguientes artículos:
1. Artículos fijos
2. Ingredientes recolectados por las chicas gato
3. Artículos regulares aleatorios, con distribución de calidad aleatoria.")</f>
        <v>El carrito de la tienda de las chicas gato tendrá los siguientes artículos:
1. Artículos fijos
2. Ingredientes recolectados por las chicas gato
3. Artículos regulares aleatorios, con distribución de calidad aleatoria.</v>
      </c>
      <c r="F58" s="214" t="str">
        <f>IFERROR(__xludf.DUMMYFUNCTION("GOOGLETRANSLATE(A58,""zh-tw"",""KO"")"),"캣걸 상점 카트에는 다음과 같은 아이템이 들어 있습니다.
1. 고정 아이템
2. 캣걸들이 모은 재료
3. 무작위 일반 아이템(품질 분포는 무작위)")</f>
        <v>캣걸 상점 카트에는 다음과 같은 아이템이 들어 있습니다.
1. 고정 아이템
2. 캣걸들이 모은 재료
3. 무작위 일반 아이템(품질 분포는 무작위)</v>
      </c>
      <c r="G58" s="55" t="str">
        <f>IFERROR(__xludf.DUMMYFUNCTION("GOOGLETRANSLATE(A58,""zh-tw"",""ru"")"),"В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f>
        <v>В корзине магазина кошкодевочек будут следующие предметы:
1. Фиксированные предметы
2. Ингредиенты, собранные кошкодевочками
3. Случайные обычные предметы со случайным распределением качества.</v>
      </c>
      <c r="H58" s="214" t="str">
        <f>IFERROR(__xludf.DUMMYFUNCTION("GOOGLETRANSLATE(A58,""zh-tw"",""de"")"),"Der Einkaufswagen der Katzenmädchen enthält folgende Artikel:
1. Feste Artikel
2. Von den Katzenmädchen gesammelte Zutaten
3. Zufällige Standardartikel mit zufälliger Qualitätsverteilung.")</f>
        <v>Der Einkaufswagen der Katzenmädchen enthält folgende Artikel:
1. Feste Artikel
2. Von den Katzenmädchen gesammelte Zutaten
3. Zufällige Standardartikel mit zufälliger Qualitätsverteilung.</v>
      </c>
      <c r="I58" s="184" t="s">
        <v>3457</v>
      </c>
      <c r="J58" s="46"/>
      <c r="K58" s="46"/>
      <c r="L58" s="46"/>
      <c r="M58" s="46"/>
      <c r="N58" s="46"/>
      <c r="O58" s="46"/>
      <c r="P58" s="46"/>
      <c r="Q58" s="46"/>
      <c r="R58" s="46"/>
      <c r="S58" s="46"/>
      <c r="T58" s="46"/>
      <c r="U58" s="46"/>
      <c r="V58" s="46"/>
      <c r="W58" s="46"/>
    </row>
    <row r="59">
      <c r="A59" s="52" t="s">
        <v>3458</v>
      </c>
      <c r="B59" s="213" t="s">
        <v>3459</v>
      </c>
      <c r="C59" s="52" t="s">
        <v>3460</v>
      </c>
      <c r="D59" s="213" t="s">
        <v>3461</v>
      </c>
      <c r="E59" s="55" t="str">
        <f>IFERROR(__xludf.DUMMYFUNCTION("GOOGLETRANSLATE(A59,""zh-tw"",""es-MX"")"),"La chica gato Asaba posee la velocidad de ataque de seis patas de gato y puede lanzar armas aleatorias, lo que la hace extremadamente poderosa.
Además, su agresividad se mantiene durante todo un día, la resurrección no la elimina y puede perseguir enemig"&amp;"os por todo el mapa.
(Algunos efectos aún no están implementados).")</f>
        <v>La chica gato Asaba posee la velocidad de ataque de seis patas de gato y puede lanzar armas aleatorias, lo que la hace extremadamente poderosa.
Además, su agresividad se mantiene durante todo un día, la resurrección no la elimina y puede perseguir enemigos por todo el mapa.
(Algunos efectos aún no están implementados).</v>
      </c>
      <c r="F59" s="214" t="str">
        <f>IFERROR(__xludf.DUMMYFUNCTION("GOOGLETRANSLATE(A59,""zh-tw"",""KO"")"),"고양이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f>
        <v>고양이 소녀 아사바는 여섯 발의 고양이 발톱에 해당하는 공격 속도를 가지고 있으며, 무작위 무기를 던질 수 있어 매우 강력합니다.
게다가, 아사바의 공격은 하루 종일 지속되고, 부활해도 공격이 사라지지 않으며, 맵을 가로질러 적을 추격할 수 있습니다.
(일부 효과는 아직 구현되지 않았습니다.)</v>
      </c>
      <c r="G59" s="55" t="str">
        <f>IFERROR(__xludf.DUMMYFUNCTION("GOOGLETRANSLATE(A59,""zh-tw"",""ru"")"),"Кошкодевочка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вр"&amp;"агов по всей карте.
(Некоторые эффекты пока не реализованы.)")</f>
        <v>Кошкодевочка Асаба обладает скоростью атаки шести кошачьих лап и может метать случайное оружие, что делает её невероятно могущественной.
Кроме того, её агрессия сохраняется в течение всего дня, воскрешение не снимает агрессию, и она может преследовать врагов по всей карте.
(Некоторые эффекты пока не реализованы.)</v>
      </c>
      <c r="H59" s="214" t="str">
        <f>IFERROR(__xludf.DUMMYFUNCTION("GOOGLETRANSLATE(A59,""zh-tw"",""de"")"),"Das Katzenmädchen Asaba besitzt die Angriffsgeschwindigkeit von sechs Katzenpfoten und kann zufällige Waffen werfen, was sie extrem mächtig macht.
Außerdem bleibt ihre Aggro einen ganzen Tag lang bestehen, eine Wiederbelebung entfernt die Aggro nicht, un"&amp;"d sie kann Gegner über die gesamte Karte verfolgen.
(Einige Effekte sind noch nicht implementiert.)")</f>
        <v>Das Katzenmädchen Asaba besitzt die Angriffsgeschwindigkeit von sechs Katzenpfoten und kann zufällige Waffen werfen, was sie extrem mächtig macht.
Außerdem bleibt ihre Aggro einen ganzen Tag lang bestehen, eine Wiederbelebung entfernt die Aggro nicht, und sie kann Gegner über die gesamte Karte verfolgen.
(Einige Effekte sind noch nicht implementiert.)</v>
      </c>
      <c r="I59" s="184" t="s">
        <v>3462</v>
      </c>
      <c r="J59" s="46"/>
      <c r="K59" s="46"/>
      <c r="L59" s="46"/>
      <c r="M59" s="46"/>
      <c r="N59" s="46"/>
      <c r="O59" s="46"/>
      <c r="P59" s="46"/>
      <c r="Q59" s="46"/>
      <c r="R59" s="46"/>
      <c r="S59" s="46"/>
      <c r="T59" s="46"/>
      <c r="U59" s="46"/>
      <c r="V59" s="46"/>
      <c r="W59" s="46"/>
    </row>
    <row r="60">
      <c r="A60" s="52" t="s">
        <v>3463</v>
      </c>
      <c r="B60" s="213" t="s">
        <v>3464</v>
      </c>
      <c r="C60" s="52" t="s">
        <v>3465</v>
      </c>
      <c r="D60" s="213" t="str">
        <f>IFERROR(__xludf.DUMMYFUNCTION("GOOGLETRANSLATE(A60,""zh-tw"",""zh"")"),"可以对猫娘商店车使用时间暂停器，是个优秀的攻击方式
(P.S.对AKI商店无效)")</f>
        <v>可以对猫娘商店车使用时间暂停器，是个优秀的攻击方式
(P.S.对AKI商店无效)</v>
      </c>
      <c r="E60" s="55" t="str">
        <f>IFERROR(__xludf.DUMMYFUNCTION("GOOGLETRANSLATE(A60,""zh-tw"",""es-MX"")"),"El dispositivo para detener el tiempo puede usarse en el carrito de la tienda de la chica gato, lo que lo convierte en un excelente método de ataque.
(P. D.: Ineficaz contra la tienda AKI)")</f>
        <v>El dispositivo para detener el tiempo puede usarse en el carrito de la tienda de la chica gato, lo que lo convierte en un excelente método de ataque.
(P. D.: Ineficaz contra la tienda AKI)</v>
      </c>
      <c r="F60" s="214" t="str">
        <f>IFERROR(__xludf.DUMMYFUNCTION("GOOGLETRANSLATE(A60,""zh-tw"",""KO"")"),"시간 정지 장치는 캣걸 상점 카트에 사용할 수 있어 훌륭한 공격 수단이 됩니다.
(추신: AKI 상점에는 효과 없음)")</f>
        <v>시간 정지 장치는 캣걸 상점 카트에 사용할 수 있어 훌륭한 공격 수단이 됩니다.
(추신: AKI 상점에는 효과 없음)</v>
      </c>
      <c r="G60" s="55" t="str">
        <f>IFERROR(__xludf.DUMMYFUNCTION("GOOGLETRANSLATE(A60,""zh-tw"",""ru"")"),"Остановка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f>
        <v>Остановка времени может быть использована против тележки в магазине Кошкодевочек, что делает её отличным методом атаки.
(P.S. Неэффективно против магазина AKI.)</v>
      </c>
      <c r="H60" s="214" t="str">
        <f>IFERROR(__xludf.DUMMYFUNCTION("GOOGLETRANSLATE(A60,""zh-tw"",""de"")"),"Die Zeitstoppvorrichtung kann am Einkaufswagen des Katzenmädchens angebracht werden und ist somit eine hervorragende Angriffsmethode.
(P.S.: Wirksam gegen den AKI-Laden.)")</f>
        <v>Die Zeitstoppvorrichtung kann am Einkaufswagen des Katzenmädchens angebracht werden und ist somit eine hervorragende Angriffsmethode.
(P.S.: Wirksam gegen den AKI-Laden.)</v>
      </c>
      <c r="I60" s="184" t="s">
        <v>3466</v>
      </c>
      <c r="J60" s="46"/>
      <c r="K60" s="46"/>
      <c r="L60" s="46"/>
      <c r="M60" s="46"/>
      <c r="N60" s="46"/>
      <c r="O60" s="46"/>
      <c r="P60" s="46"/>
      <c r="Q60" s="46"/>
      <c r="R60" s="46"/>
      <c r="S60" s="46"/>
      <c r="T60" s="46"/>
      <c r="U60" s="46"/>
      <c r="V60" s="46"/>
      <c r="W60" s="46"/>
    </row>
    <row r="61">
      <c r="A61" s="52" t="s">
        <v>3467</v>
      </c>
      <c r="B61" s="213" t="s">
        <v>3468</v>
      </c>
      <c r="C61" s="52" t="s">
        <v>3469</v>
      </c>
      <c r="D61" s="213" t="s">
        <v>3470</v>
      </c>
      <c r="E61" s="55" t="str">
        <f>IFERROR(__xludf.DUMMYFUNCTION("GOOGLETRANSLATE(A61,""zh-tw"",""es-MX"")"),"Ya sea un carrito de tienda en movimiento o el daño de la chica gato Asaba, ambos pueden dañar a los monstruos.
Ni siquiera el Jefe del Abismo puede resistir a la chica gato Asaba, aunque también tendrás que sacrificar tu propia vida.")</f>
        <v>Ya sea un carrito de tienda en movimiento o el daño de la chica gato Asaba, ambos pueden dañar a los monstruos.
Ni siquiera el Jefe del Abismo puede resistir a la chica gato Asaba, aunque también tendrás que sacrificar tu propia vida.</v>
      </c>
      <c r="F61" s="214" t="str">
        <f>IFERROR(__xludf.DUMMYFUNCTION("GOOGLETRANSLATE(A61,""zh-tw"",""KO"")"),"움직이는 쇼핑 카트든, 고양이 소녀 아사바의 공격이든, 둘 다 몬스터에게 피해를 입힐 수 있습니다.
심연의 보스조차 고양이 소녀 아사바를 견뎌낼 수 없지만, 당신은 자신의 목숨을 희생해야 합니다.")</f>
        <v>움직이는 쇼핑 카트든, 고양이 소녀 아사바의 공격이든, 둘 다 몬스터에게 피해를 입힐 수 있습니다.
심연의 보스조차 고양이 소녀 아사바를 견뎌낼 수 없지만, 당신은 자신의 목숨을 희생해야 합니다.</v>
      </c>
      <c r="G61" s="55" t="str">
        <f>IFERROR(__xludf.DUMMYFUNCTION("GOOGLETRANSLATE(A61,""zh-tw"",""ru"")"),"Будь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f>
        <v>Будь то движущаяся тележка из магазина или урон от девушки-кошки Асабы, оба могут нанести урон монстрам.
Даже Босс Бездны не сможет противостоять девушке-кошке Асабе, хотя вам тоже придётся пожертвовать своей жизнью.</v>
      </c>
      <c r="H61" s="214" t="str">
        <f>IFERROR(__xludf.DUMMYFUNCTION("GOOGLETRANSLATE(A61,""zh-tw"",""de"")"),"Ob ein fahrender Einkaufswagen oder der Angriff der Katzenfrau Asaba – beides kann Monstern Schaden zufügen.
Selbst der Abgrundboss kann der Katzenfrau Asaba nicht widerstehen, doch dafür musst du auch dein Leben opfern.")</f>
        <v>Ob ein fahrender Einkaufswagen oder der Angriff der Katzenfrau Asaba – beides kann Monstern Schaden zufügen.
Selbst der Abgrundboss kann der Katzenfrau Asaba nicht widerstehen, doch dafür musst du auch dein Leben opfern.</v>
      </c>
      <c r="I61" s="184" t="s">
        <v>3471</v>
      </c>
      <c r="J61" s="46"/>
      <c r="K61" s="46"/>
      <c r="L61" s="46"/>
      <c r="M61" s="46"/>
      <c r="N61" s="46"/>
      <c r="O61" s="46"/>
      <c r="P61" s="46"/>
      <c r="Q61" s="46"/>
      <c r="R61" s="46"/>
      <c r="S61" s="46"/>
      <c r="T61" s="46"/>
      <c r="U61" s="46"/>
      <c r="V61" s="46"/>
      <c r="W61" s="46"/>
    </row>
    <row r="62">
      <c r="A62" s="52" t="s">
        <v>3472</v>
      </c>
      <c r="B62" s="213" t="s">
        <v>3473</v>
      </c>
      <c r="C62" s="52" t="s">
        <v>3474</v>
      </c>
      <c r="D62" s="213" t="str">
        <f>IFERROR(__xludf.DUMMYFUNCTION("GOOGLETRANSLATE(A62,""zh-tw"",""zh"")"),"机率100%不代表必定触发，因为还有敌人的抗性。有些装备还会依据溢出的机率来增强效果。")</f>
        <v>机率100%不代表必定触发，因为还有敌人的抗性。有些装备还会依据溢出的机率来增强效果。</v>
      </c>
      <c r="E62" s="55" t="str">
        <f>IFERROR(__xludf.DUMMYFUNCTION("GOOGLETRANSLATE(A62,""zh-tw"",""es-MX"")"),"Una probabilidad del 100% no garantiza que se active, ya que la resistencia del enemigo también influye. Algunos equipos incluso potencian sus efectos en función de cualquier exceso de probabilidad.")</f>
        <v>Una probabilidad del 100% no garantiza que se active, ya que la resistencia del enemigo también influye. Algunos equipos incluso potencian sus efectos en función de cualquier exceso de probabilidad.</v>
      </c>
      <c r="F62" s="214" t="str">
        <f>IFERROR(__xludf.DUMMYFUNCTION("GOOGLETRANSLATE(A62,""zh-tw"",""KO"")"),"100% 확률이 발동을 보장하는 것은 아니며, 적의 저항력도 영향을 미칩니다. 일부 장비는 초과 확률에 따라 효과를 강화하기도 합니다.")</f>
        <v>100% 확률이 발동을 보장하는 것은 아니며, 적의 저항력도 영향을 미칩니다. 일부 장비는 초과 확률에 따라 효과를 강화하기도 합니다.</v>
      </c>
      <c r="G62" s="55" t="str">
        <f>IFERROR(__xludf.DUMMYFUNCTION("GOOGLETRANSLATE(A62,""zh-tw"",""ru"")"),"100%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f>
        <v>100% вероятность не гарантирует срабатывания, поскольку сопротивление противника также играет свою роль. Некоторое снаряжение даже усиливает эффект в зависимости от избыточной вероятности.</v>
      </c>
      <c r="H62" s="214" t="str">
        <f>IFERROR(__xludf.DUMMYFUNCTION("GOOGLETRANSLATE(A62,""zh-tw"",""de"")"),"Eine 100%ige Wahrscheinlichkeit garantiert keine Auslösung, da auch der Widerstand des Gegners eine Rolle spielt. Manche Ausrüstung verstärkt ihre Wirkung sogar basierend auf einer überschüssigen Wahrscheinlichkeit.")</f>
        <v>Eine 100%ige Wahrscheinlichkeit garantiert keine Auslösung, da auch der Widerstand des Gegners eine Rolle spielt. Manche Ausrüstung verstärkt ihre Wirkung sogar basierend auf einer überschüssigen Wahrscheinlichkeit.</v>
      </c>
      <c r="I62" s="184" t="s">
        <v>3475</v>
      </c>
      <c r="J62" s="46"/>
      <c r="K62" s="46"/>
      <c r="L62" s="46"/>
      <c r="M62" s="46"/>
      <c r="N62" s="46"/>
      <c r="O62" s="46"/>
      <c r="P62" s="46"/>
      <c r="Q62" s="46"/>
      <c r="R62" s="46"/>
      <c r="S62" s="46"/>
      <c r="T62" s="46"/>
      <c r="U62" s="46"/>
      <c r="V62" s="46"/>
      <c r="W62" s="46"/>
    </row>
    <row r="63">
      <c r="A63" s="52" t="s">
        <v>3476</v>
      </c>
      <c r="B63" s="213" t="s">
        <v>3477</v>
      </c>
      <c r="C63" s="52" t="s">
        <v>3478</v>
      </c>
      <c r="D63" s="213" t="str">
        <f>IFERROR(__xludf.DUMMYFUNCTION("GOOGLETRANSLATE(A63,""zh-tw"",""zh"")"),"不同天气时，妹妹会涂不同颜色的指甲油。")</f>
        <v>不同天气时，妹妹会涂不同颜色的指甲油。</v>
      </c>
      <c r="E63" s="55" t="str">
        <f>IFERROR(__xludf.DUMMYFUNCTION("GOOGLETRANSLATE(A63,""zh-tw"",""es-MX"")"),"Mi hermana se pinta las uñas de diferentes colores según el clima.")</f>
        <v>Mi hermana se pinta las uñas de diferentes colores según el clima.</v>
      </c>
      <c r="F63" s="214" t="str">
        <f>IFERROR(__xludf.DUMMYFUNCTION("GOOGLETRANSLATE(A63,""zh-tw"",""KO"")"),"제 여동생은 날씨에 따라 손톱을 다른 색으로 칠해요.")</f>
        <v>제 여동생은 날씨에 따라 손톱을 다른 색으로 칠해요.</v>
      </c>
      <c r="G63" s="55" t="str">
        <f>IFERROR(__xludf.DUMMYFUNCTION("GOOGLETRANSLATE(A63,""zh-tw"",""ru"")"),"Моя сестра красит ногти в разные цвета в зависимости от погоды.")</f>
        <v>Моя сестра красит ногти в разные цвета в зависимости от погоды.</v>
      </c>
      <c r="H63" s="214" t="str">
        <f>IFERROR(__xludf.DUMMYFUNCTION("GOOGLETRANSLATE(A63,""zh-tw"",""de"")"),"Meine Schwester lackiert ihre Nägel je nach Wetterlage in verschiedenen Farben.")</f>
        <v>Meine Schwester lackiert ihre Nägel je nach Wetterlage in verschiedenen Farben.</v>
      </c>
      <c r="I63" s="184" t="s">
        <v>3479</v>
      </c>
      <c r="J63" s="46"/>
      <c r="K63" s="46"/>
      <c r="L63" s="46"/>
      <c r="M63" s="46"/>
      <c r="N63" s="46"/>
      <c r="O63" s="46"/>
      <c r="P63" s="46"/>
      <c r="Q63" s="46"/>
      <c r="R63" s="46"/>
      <c r="S63" s="46"/>
      <c r="T63" s="46"/>
      <c r="U63" s="46"/>
      <c r="V63" s="46"/>
      <c r="W63" s="46"/>
    </row>
    <row r="64">
      <c r="A64" s="52" t="s">
        <v>3480</v>
      </c>
      <c r="B64" s="213" t="s">
        <v>3481</v>
      </c>
      <c r="C64" s="52" t="s">
        <v>3482</v>
      </c>
      <c r="D64" s="213" t="str">
        <f>IFERROR(__xludf.DUMMYFUNCTION("GOOGLETRANSLATE(A64,""zh-tw"",""zh"")"),"星之门地图，丢弃在星之门中的物品不会遗失，可以当作临时仓库。
但数量过多可能会卡住，不建议丢太多。
上限数量约200~600左右(未完全实装)")</f>
        <v>星之门地图，丢弃在星之门中的物品不会遗失，可以当作临时仓库。
但数量过多可能会卡住，不建议丢太多。
上限数量约200~600左右(未完全实装)</v>
      </c>
      <c r="E64" s="55" t="str">
        <f>IFERROR(__xludf.DUMMYFUNCTION("GOOGLETRANSLATE(A64,""zh-tw"",""es-MX"")"),"En el mapa de la Puerta Estelar, los objetos que se depositen en ella no se perderán y podrán usarse como almacenamiento temporal.
Sin embargo, depositar demasiados objetos puede provocar ralentizaciones, por lo que no se recomienda hacerlo.
El número m"&amp;"áximo de objetos que se pueden depositar es de aproximadamente 200 a 600 (esta función no está totalmente implementada).")</f>
        <v>En el mapa de la Puerta Estelar, los objetos que se depositen en ella no se perderán y podrán usarse como almacenamiento temporal.
Sin embargo, depositar demasiados objetos puede provocar ralentizaciones, por lo que no se recomienda hacerlo.
El número máximo de objetos que se pueden depositar es de aproximadamente 200 a 600 (esta función no está totalmente implementada).</v>
      </c>
      <c r="F64" s="214" t="str">
        <f>IFERROR(__xludf.DUMMYFUNCTION("GOOGLETRANSLATE(A64,""zh-tw"",""KO"")"),"스타게이트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f>
        <v>스타게이트 맵에서 스타게이트에 드롭된 아이템은 사라지지 않으며 임시 보관소로 사용할 수 있습니다.
하지만 아이템을 너무 많이 드롭하면 지연이 발생할 수 있으므로 너무 많이 드롭하지 않는 것이 좋습니다.
드랍 가능한 최대 아이템 수는 약 200~600개입니다(완전히 구현되지는 않았습니다).</v>
      </c>
      <c r="G64" s="55" t="str">
        <f>IFERROR(__xludf.DUMMYFUNCTION("GOOGLETRANSLATE(A64,""zh-tw"",""ru"")"),"На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сл"&amp;"ишком много.
Максимальное количество выбрасываемых предметов составляет примерно 200–600 (реализовано не полностью).")</f>
        <v>На карте «Звёздные врата» предметы, выброшенные в Звёздные врата, не будут потеряны и могут использоваться как временное хранилище.
Однако выпадение слишком большого количества предметов может привести к задержкам, поэтому не рекомендуется выбрасывать слишком много.
Максимальное количество выбрасываемых предметов составляет примерно 200–600 (реализовано не полностью).</v>
      </c>
      <c r="H64" s="214" t="str">
        <f>IFERROR(__xludf.DUMMYFUNCTION("GOOGLETRANSLATE(A64,""zh-tw"",""de"")"),"Auf der Sternentor-Karte gehen Gegenstände, die in Sternentore geworfen werden, nicht verloren und können als temporärer Lagerplatz genutzt werden.
Das Werfen zu vieler Gegenstände kann jedoch zu Verzögerungen führen. Daher wird davon abgeraten, zu viele"&amp;" Gegenstände in Sternentore zu werfen.
Die maximale Anzahl an Gegenständen, die in Sternentore geworfen werden können, liegt bei etwa 200–600 (noch nicht vollständig implementiert).")</f>
        <v>Auf der Sternentor-Karte gehen Gegenstände, die in Sternentore geworfen werden, nicht verloren und können als temporärer Lagerplatz genutzt werden.
Das Werfen zu vieler Gegenstände kann jedoch zu Verzögerungen führen. Daher wird davon abgeraten, zu viele Gegenstände in Sternentore zu werfen.
Die maximale Anzahl an Gegenständen, die in Sternentore geworfen werden können, liegt bei etwa 200–600 (noch nicht vollständig implementiert).</v>
      </c>
      <c r="I64" s="184" t="s">
        <v>3483</v>
      </c>
      <c r="J64" s="46"/>
      <c r="K64" s="46"/>
      <c r="L64" s="46"/>
      <c r="M64" s="46"/>
      <c r="N64" s="46"/>
      <c r="O64" s="46"/>
      <c r="P64" s="46"/>
      <c r="Q64" s="46"/>
      <c r="R64" s="46"/>
      <c r="S64" s="46"/>
      <c r="T64" s="46"/>
      <c r="U64" s="46"/>
      <c r="V64" s="46"/>
      <c r="W64" s="46"/>
    </row>
    <row r="65">
      <c r="A65" s="52" t="s">
        <v>3484</v>
      </c>
      <c r="B65" s="213" t="s">
        <v>3485</v>
      </c>
      <c r="C65" s="52" t="s">
        <v>3486</v>
      </c>
      <c r="D65" s="213" t="str">
        <f>IFERROR(__xludf.DUMMYFUNCTION("GOOGLETRANSLATE(A65,""zh-tw"",""zh"")"),"心情数值(0~100)是隐藏的，可以从妹妹平时的态度感受出来")</f>
        <v>心情数值(0~100)是隐藏的，可以从妹妹平时的态度感受出来</v>
      </c>
      <c r="E65" s="55" t="str">
        <f>IFERROR(__xludf.DUMMYFUNCTION("GOOGLETRANSLATE(A65,""zh-tw"",""es-MX"")"),"La puntuación del estado de ánimo (0~100) está oculta, pero se puede percibir a partir de la actitud habitual de la hermana menor.")</f>
        <v>La puntuación del estado de ánimo (0~100) está oculta, pero se puede percibir a partir de la actitud habitual de la hermana menor.</v>
      </c>
      <c r="F65" s="214" t="str">
        <f>IFERROR(__xludf.DUMMYFUNCTION("GOOGLETRANSLATE(A65,""zh-tw"",""KO"")"),"기분 점수(0~100)는 숨겨져 있지만, 여동생의 평소 태도에서 느낄 수 있다.")</f>
        <v>기분 점수(0~100)는 숨겨져 있지만, 여동생의 평소 태도에서 느낄 수 있다.</v>
      </c>
      <c r="G65" s="55" t="str">
        <f>IFERROR(__xludf.DUMMYFUNCTION("GOOGLETRANSLATE(A65,""zh-tw"",""ru"")"),"Оценка настроения (0~100) скрыта, но ее можно определить по обычному поведению младшей сестры.")</f>
        <v>Оценка настроения (0~100) скрыта, но ее можно определить по обычному поведению младшей сестры.</v>
      </c>
      <c r="H65" s="214" t="str">
        <f>IFERROR(__xludf.DUMMYFUNCTION("GOOGLETRANSLATE(A65,""zh-tw"",""de"")"),"Die Stimmungsbewertung (0~100) ist nicht sichtbar, lässt sich aber an der üblichen Haltung der jüngeren Schwester ablesen.")</f>
        <v>Die Stimmungsbewertung (0~100) ist nicht sichtbar, lässt sich aber an der üblichen Haltung der jüngeren Schwester ablesen.</v>
      </c>
      <c r="I65" s="184" t="s">
        <v>3487</v>
      </c>
      <c r="J65" s="46"/>
      <c r="K65" s="46"/>
      <c r="L65" s="46"/>
      <c r="M65" s="46"/>
      <c r="N65" s="46"/>
      <c r="O65" s="46"/>
      <c r="P65" s="46"/>
      <c r="Q65" s="46"/>
      <c r="R65" s="46"/>
      <c r="S65" s="46"/>
      <c r="T65" s="46"/>
      <c r="U65" s="46"/>
      <c r="V65" s="46"/>
      <c r="W65" s="46"/>
    </row>
    <row r="66">
      <c r="A66" s="52" t="s">
        <v>3488</v>
      </c>
      <c r="B66" s="213" t="s">
        <v>3489</v>
      </c>
      <c r="C66" s="52" t="s">
        <v>3490</v>
      </c>
      <c r="D66" s="213" t="str">
        <f>IFERROR(__xludf.DUMMYFUNCTION("GOOGLETRANSLATE(A66,""zh-tw"",""zh"")"),"0.75版本后，使用新存档的玩家，能从一块墓碑上听到很细微的，发出奇怪的咕噜声")</f>
        <v>0.75版本后，使用新存档的玩家，能从一块墓碑上听到很细微的，发出奇怪的咕噜声</v>
      </c>
      <c r="E66" s="55" t="str">
        <f>IFERROR(__xludf.DUMMYFUNCTION("GOOGLETRANSLATE(A66,""zh-tw"",""es-MX"")"),"Después de la versión 0.75, los jugadores que utilicen nuevos archivos de guardado pueden escuchar un sonido de gorgoteo extraño y muy tenue proveniente de una lápida.")</f>
        <v>Después de la versión 0.75, los jugadores que utilicen nuevos archivos de guardado pueden escuchar un sonido de gorgoteo extraño y muy tenue proveniente de una lápida.</v>
      </c>
      <c r="F66" s="214" t="str">
        <f>IFERROR(__xludf.DUMMYFUNCTION("GOOGLETRANSLATE(A66,""zh-tw"",""KO"")"),"0.75 버전 이후, 새로운 저장 파일을 사용하는 플레이어는 묘비에서 매우 희미하고 이상한 삐걱거리는 소리를 들을 수 있습니다.")</f>
        <v>0.75 버전 이후, 새로운 저장 파일을 사용하는 플레이어는 묘비에서 매우 희미하고 이상한 삐걱거리는 소리를 들을 수 있습니다.</v>
      </c>
      <c r="G66" s="55" t="str">
        <f>IFERROR(__xludf.DUMMYFUNCTION("GOOGLETRANSLATE(A66,""zh-tw"",""ru"")"),"После версии 0.75 игроки, использующие новые файлы сохранения, могут слышать очень слабый, странный булькающий звук, исходящий от надгробия.")</f>
        <v>После версии 0.75 игроки, использующие новые файлы сохранения, могут слышать очень слабый, странный булькающий звук, исходящий от надгробия.</v>
      </c>
      <c r="H66" s="214" t="str">
        <f>IFERROR(__xludf.DUMMYFUNCTION("GOOGLETRANSLATE(A66,""zh-tw"",""de"")"),"Ab Version 0.75 können Spieler, die neue Speicherstände verwenden, ein sehr leises, seltsames Glucksen aus einem Grabstein hören.")</f>
        <v>Ab Version 0.75 können Spieler, die neue Speicherstände verwenden, ein sehr leises, seltsames Glucksen aus einem Grabstein hören.</v>
      </c>
      <c r="I66" s="184" t="s">
        <v>3491</v>
      </c>
      <c r="J66" s="46"/>
      <c r="K66" s="46"/>
      <c r="L66" s="46"/>
      <c r="M66" s="46"/>
      <c r="N66" s="46"/>
      <c r="O66" s="46"/>
      <c r="P66" s="46"/>
      <c r="Q66" s="46"/>
      <c r="R66" s="46"/>
      <c r="S66" s="46"/>
      <c r="T66" s="46"/>
      <c r="U66" s="46"/>
      <c r="V66" s="46"/>
      <c r="W66" s="46"/>
    </row>
    <row r="67">
      <c r="A67" s="52" t="s">
        <v>3492</v>
      </c>
      <c r="B67" s="213" t="s">
        <v>3493</v>
      </c>
      <c r="C67" s="52" t="s">
        <v>3494</v>
      </c>
      <c r="D67" s="213" t="str">
        <f>IFERROR(__xludf.DUMMYFUNCTION("GOOGLETRANSLATE(A67,""zh-tw"",""zh"")"),"妹妹免疫毒素，因此有毒的食物不会使她中毒，但哥哥无法免疫。")</f>
        <v>妹妹免疫毒素，因此有毒的食物不会使她中毒，但哥哥无法免疫。</v>
      </c>
      <c r="E67" s="55" t="str">
        <f>IFERROR(__xludf.DUMMYFUNCTION("GOOGLETRANSLATE(A67,""zh-tw"",""es-MX"")"),"La hermana menor es inmune a las toxinas, por lo que los alimentos venenosos no la envenenarán, pero el hermano mayor no es inmune.")</f>
        <v>La hermana menor es inmune a las toxinas, por lo que los alimentos venenosos no la envenenarán, pero el hermano mayor no es inmune.</v>
      </c>
      <c r="F67" s="214" t="str">
        <f>IFERROR(__xludf.DUMMYFUNCTION("GOOGLETRANSLATE(A67,""zh-tw"",""KO"")"),"여동생은 독소에 면역이 있어서 독이 있는 음식을 먹어도 중독되지 않지만, 오빠는 면역이 없습니다.")</f>
        <v>여동생은 독소에 면역이 있어서 독이 있는 음식을 먹어도 중독되지 않지만, 오빠는 면역이 없습니다.</v>
      </c>
      <c r="G67" s="55" t="str">
        <f>IFERROR(__xludf.DUMMYFUNCTION("GOOGLETRANSLATE(A67,""zh-tw"",""ru"")"),"Младшая сестра невосприимчива к токсинам, поэтому ядовитая пища не отравит ее, но старший брат не застрахован.")</f>
        <v>Младшая сестра невосприимчива к токсинам, поэтому ядовитая пища не отравит ее, но старший брат не застрахован.</v>
      </c>
      <c r="H67" s="214" t="str">
        <f>IFERROR(__xludf.DUMMYFUNCTION("GOOGLETRANSLATE(A67,""zh-tw"",""de"")"),"Die jüngere Schwester ist immun gegen Giftstoffe, daher kann sie sich durch giftige Lebensmittel nicht vergiften, der ältere Bruder hingegen nicht.")</f>
        <v>Die jüngere Schwester ist immun gegen Giftstoffe, daher kann sie sich durch giftige Lebensmittel nicht vergiften, der ältere Bruder hingegen nicht.</v>
      </c>
      <c r="I67" s="162" t="s">
        <v>3495</v>
      </c>
      <c r="J67" s="46"/>
      <c r="K67" s="46"/>
      <c r="L67" s="46"/>
      <c r="M67" s="46"/>
      <c r="N67" s="46"/>
      <c r="O67" s="46"/>
      <c r="P67" s="46"/>
      <c r="Q67" s="46"/>
      <c r="R67" s="46"/>
      <c r="S67" s="46"/>
      <c r="T67" s="46"/>
      <c r="U67" s="46"/>
      <c r="V67" s="46"/>
      <c r="W67" s="46"/>
    </row>
    <row r="68">
      <c r="A68" s="52" t="s">
        <v>3496</v>
      </c>
      <c r="B68" s="213" t="str">
        <f>IFERROR(__xludf.DUMMYFUNCTION("GOOGLETRANSLATE(A68,""zh-tw"",""ja"")"),"Shift キーを押すと、歩行姿勢と走行姿勢を切り替えることができます。")</f>
        <v>Shift キーを押すと、歩行姿勢と走行姿勢を切り替えることができます。</v>
      </c>
      <c r="C68" s="52" t="s">
        <v>3497</v>
      </c>
      <c r="D68" s="213" t="str">
        <f>IFERROR(__xludf.DUMMYFUNCTION("GOOGLETRANSLATE(A68,""zh-tw"",""zh"")"),"shift键可以切换走路/奔跑姿态")</f>
        <v>shift键可以切换走路/奔跑姿态</v>
      </c>
      <c r="E68" s="55" t="str">
        <f>IFERROR(__xludf.DUMMYFUNCTION("GOOGLETRANSLATE(A68,""zh-tw"",""es-MX"")"),"La tecla Shift permite alternar entre las posturas de caminar y correr.")</f>
        <v>La tecla Shift permite alternar entre las posturas de caminar y correr.</v>
      </c>
      <c r="F68" s="214" t="str">
        <f>IFERROR(__xludf.DUMMYFUNCTION("GOOGLETRANSLATE(A68,""zh-tw"",""KO"")"),"Shift 키를 사용하면 걷기 자세와 달리기 자세를 전환할 수 있습니다.")</f>
        <v>Shift 키를 사용하면 걷기 자세와 달리기 자세를 전환할 수 있습니다.</v>
      </c>
      <c r="G68" s="55" t="str">
        <f>IFERROR(__xludf.DUMMYFUNCTION("GOOGLETRANSLATE(A68,""zh-tw"",""ru"")"),"Клавиша Shift позволяет переключаться между положениями ходьбы и бега.")</f>
        <v>Клавиша Shift позволяет переключаться между положениями ходьбы и бега.</v>
      </c>
      <c r="H68" s="214" t="str">
        <f>IFERROR(__xludf.DUMMYFUNCTION("GOOGLETRANSLATE(A68,""zh-tw"",""de"")"),"Mit der Shift-Taste kann zwischen Geh- und Laufhaltung umgeschaltet werden.")</f>
        <v>Mit der Shift-Taste kann zwischen Geh- und Laufhaltung umgeschaltet werden.</v>
      </c>
      <c r="I68" s="184" t="s">
        <v>3498</v>
      </c>
      <c r="J68" s="46"/>
      <c r="K68" s="46"/>
      <c r="L68" s="46"/>
      <c r="M68" s="46"/>
      <c r="N68" s="46"/>
      <c r="O68" s="46"/>
      <c r="P68" s="46"/>
      <c r="Q68" s="46"/>
      <c r="R68" s="46"/>
      <c r="S68" s="46"/>
      <c r="T68" s="46"/>
      <c r="U68" s="46"/>
      <c r="V68" s="46"/>
      <c r="W68" s="46"/>
    </row>
    <row r="69">
      <c r="A69" s="52" t="s">
        <v>3499</v>
      </c>
      <c r="B69" s="213" t="s">
        <v>3500</v>
      </c>
      <c r="C69" s="52" t="s">
        <v>3501</v>
      </c>
      <c r="D69" s="213" t="str">
        <f>IFERROR(__xludf.DUMMYFUNCTION("GOOGLETRANSLATE(A69,""zh-tw"",""zh"")"),"部分武器会因为习得忍者相关技能后而产生变化，例如匕首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f>
        <v>部分武器会因为习得忍者相关技能后而产生变化，例如匕首
近距离无敌人时，会自动切换为远距离的投掷，并且"标记"该敌人。
"旋风斩"被替换为"强袭"，对拥有"标记"的敌人能够瞬间移动到其身后并强化背刺伤害伤害。
"闪步太刀"技能被强制切换为短时间的隐身，隐身期间的第一次攻击会追加背刺判定
****匕首类型武器暂时未实装</v>
      </c>
      <c r="E69" s="55" t="str">
        <f>IFERROR(__xludf.DUMMYFUNCTION("GOOGLETRANSLATE(A69,""zh-tw"",""es-MX"")"),"Algunas armas cambiarán tras aprender habilidades ninja, como las dagas.
Cuando no haya enemigos a corta distancia, cambiará automáticamente a un ataque arrojadizo de largo alcance y marcará al enemigo.
«Corte Torbellino» se ha reemplazado por «Asalto»,"&amp;" que permite al usuario teletransportarse instantáneamente detrás de un enemigo marcado y aumentar el daño de los ataques por la espalda.
La habilidad «Paso Relámpago Katana» se convierte en un breve periodo de sigilo; el primer ataque durante el sigilo "&amp;"tendrá un efecto adicional de ataque por la espalda.
*Las armas tipo daga aún no están implementadas.*")</f>
        <v>Algunas armas cambiarán tras aprender habilidades ninja, como las dagas.
Cuando no haya enemigos a corta distancia, cambiará automáticamente a un ataque arrojadizo de largo alcance y marcará al enemigo.
«Corte Torbellino» se ha reemplazado por «Asalto», que permite al usuario teletransportarse instantáneamente detrás de un enemigo marcado y aumentar el daño de los ataques por la espalda.
La habilidad «Paso Relámpago Katana» se convierte en un breve periodo de sigilo; el primer ataque durante el sigilo tendrá un efecto adicional de ataque por la espalda.
*Las armas tipo daga aún no están implementadas.*</v>
      </c>
      <c r="F69" s="214" t="str">
        <f>IFERROR(__xludf.DUMMYFUNCTION("GOOGLETRANSLATE(A69,""zh-tw"",""KO"")"),"단검과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"&amp;"아직 구현되지 않았습니다.")</f>
        <v>단검과 같은 일부 무기는 닌자 관련 기술을 습득하면 변경됩니다.
근거리에 적이 없으면 자동으로 장거리 던지기 공격으로 전환되어 적에게 "표시"를 남깁니다.
"회오리 베기"는 "돌격"으로 대체되어, 표시된 적의 뒤로 즉시 순간이동하고 등짝 공격 피해를 강화할 수 있습니다.
"플래시 스텝 카타나" 스킬은 짧은 시간 동안 은신 상태로 강제 전환되며, 은신 중 첫 번째 공격에는 추가 등짝 공격 효과가 적용됩니다.
****단검 계열 무기는 아직 구현되지 않았습니다.</v>
      </c>
      <c r="G69" s="55" t="str">
        <f>IFERROR(__xludf.DUMMYFUNCTION("GOOGLETRANSLATE(A69,""zh-tw"",""ru"")"),"Некоторые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"&amp;"позволяет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эфф"&amp;"ект удара в спину.
****Оружие типа кинжала пока не реализовано.")</f>
        <v>Некоторые виды оружия, например, кинжалы, изменятся после изучения навыков ниндзя.
При отсутствии врагов на близкой дистанции автоматически переключится на дальний метательный удар и «пометит» противника.
«Вихревой удар» был заменён на «Штурм», который позволяет мгновенно телепортироваться за помеченного врага и увеличить урон от удара в спину.
Навык «Молниеносный шаг катаны» принудительно переключается на кратковременный режим скрытности; первая атака в режиме скрытности будет иметь дополнительный эффект удара в спину.
****Оружие типа кинжала пока не реализовано.</v>
      </c>
      <c r="H69" s="214" t="str">
        <f>IFERROR(__xludf.DUMMYFUNCTION("GOOGLETRANSLATE(A69,""zh-tw"",""de"")"),"Einige Waffen verändern sich nach dem Erlernen von Ninja-Fertigkeiten, wie z. B. Dolche.
Wenn sich keine Gegner in der Nähe befinden, wird automatisch auf einen Fernkampfangriff umgeschaltet und der Gegner markiert.
„Wirbelwindhieb“ wurde durch „Angriff"&amp;"“ ersetzt. Mit dieser Fähigkeit kann sich der Benutzer sofort hinter einen markierten Gegner teleportieren und den Schaden von Hinterhalten erhöhen.
Die Fertigkeit „Blitzschritt Katana“ wurde in einen kurzen Schleichmodus umgewandelt; der erste Angriff w"&amp;"ährend des Schleichmodus verursacht einen zusätzlichen Hinterhaltsschaden.
****Dolche sind noch nicht implementiert.")</f>
        <v>Einige Waffen verändern sich nach dem Erlernen von Ninja-Fertigkeiten, wie z. B. Dolche.
Wenn sich keine Gegner in der Nähe befinden, wird automatisch auf einen Fernkampfangriff umgeschaltet und der Gegner markiert.
„Wirbelwindhieb“ wurde durch „Angriff“ ersetzt. Mit dieser Fähigkeit kann sich der Benutzer sofort hinter einen markierten Gegner teleportieren und den Schaden von Hinterhalten erhöhen.
Die Fertigkeit „Blitzschritt Katana“ wurde in einen kurzen Schleichmodus umgewandelt; der erste Angriff während des Schleichmodus verursacht einen zusätzlichen Hinterhaltsschaden.
****Dolche sind noch nicht implementiert.</v>
      </c>
      <c r="I69" s="184" t="s">
        <v>3502</v>
      </c>
      <c r="J69" s="46"/>
      <c r="K69" s="46"/>
      <c r="L69" s="46"/>
      <c r="M69" s="46"/>
      <c r="N69" s="46"/>
      <c r="O69" s="46"/>
      <c r="P69" s="46"/>
      <c r="Q69" s="46"/>
      <c r="R69" s="46"/>
      <c r="S69" s="46"/>
      <c r="T69" s="46"/>
      <c r="U69" s="46"/>
      <c r="V69" s="46"/>
      <c r="W69" s="46"/>
    </row>
    <row r="70">
      <c r="A70" s="52" t="s">
        <v>3503</v>
      </c>
      <c r="B70" s="213" t="s">
        <v>3504</v>
      </c>
      <c r="C70" s="52" t="s">
        <v>3505</v>
      </c>
      <c r="D70" s="213" t="str">
        <f>IFERROR(__xludf.DUMMYFUNCTION("GOOGLETRANSLATE(A70,""zh-tw"",""zh"")"),"「做坏事」会累积罪恶值，例如：对妹妹性骚扰、背刺敌人、破坏公物、使用炸弹到河里
(罪恶值目前未实装)")</f>
        <v>「做坏事」会累积罪恶值，例如：对妹妹性骚扰、背刺敌人、破坏公物、使用炸弹到河里
(罪恶值目前未实装)</v>
      </c>
      <c r="E70" s="55" t="str">
        <f>IFERROR(__xludf.DUMMYFUNCTION("GOOGLETRANSLATE(A70,""zh-tw"",""es-MX"")"),"Hacer cosas malas acumulará puntos de pecado, como por ejemplo: acosar sexualmente a tu hermana, traicionar a un enemigo, vandalizar propiedad pública y lanzar una bomba a un río.
(El sistema de puntos de pecado aún no está implementado).")</f>
        <v>Hacer cosas malas acumulará puntos de pecado, como por ejemplo: acosar sexualmente a tu hermana, traicionar a un enemigo, vandalizar propiedad pública y lanzar una bomba a un río.
(El sistema de puntos de pecado aún no está implementado).</v>
      </c>
      <c r="F70" s="214" t="str">
        <f>IFERROR(__xludf.DUMMYFUNCTION("GOOGLETRANSLATE(A70,""zh-tw"",""KO"")"),"나쁜 짓을 하면 죄점이 쌓입니다. 예를 들어 여동생을 성희롱하거나, 적을 배신하거나, 공공 시설을 파손하거나, 강에 폭탄을 던지는 등의 행위가 있습니다.
(죄점은 아직 적용되지 않았습니다)")</f>
        <v>나쁜 짓을 하면 죄점이 쌓입니다. 예를 들어 여동생을 성희롱하거나, 적을 배신하거나, 공공 시설을 파손하거나, 강에 폭탄을 던지는 등의 행위가 있습니다.
(죄점은 아직 적용되지 않았습니다)</v>
      </c>
      <c r="G70" s="55" t="str">
        <f>IFERROR(__xludf.DUMMYFUNCTION("GOOGLETRANSLATE(A70,""zh-tw"",""ru"")"),"Совершение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f>
        <v>Совершение плохих поступков, например: сексуальное домогательство к сестре, нанесение удара врагу в спину, порча общественной собственности и бросание бомбы в реку, будет накапливать очки греха.
(Очки греха пока не введены)</v>
      </c>
      <c r="H70" s="214" t="str">
        <f>IFERROR(__xludf.DUMMYFUNCTION("GOOGLETRANSLATE(A70,""zh-tw"",""de"")"),"Schlechte Taten führen zu Sündenpunkten, zum Beispiel: die eigene Schwester sexuell belästigen, einen Feind hintergehen, öffentliches Eigentum beschädigen oder eine Bombe in einen Fluss werfen.
(Sündenpunkte sind noch nicht implementiert.)")</f>
        <v>Schlechte Taten führen zu Sündenpunkten, zum Beispiel: die eigene Schwester sexuell belästigen, einen Feind hintergehen, öffentliches Eigentum beschädigen oder eine Bombe in einen Fluss werfen.
(Sündenpunkte sind noch nicht implementiert.)</v>
      </c>
      <c r="I70" s="184" t="s">
        <v>3506</v>
      </c>
      <c r="J70" s="46"/>
      <c r="K70" s="46"/>
      <c r="L70" s="46"/>
      <c r="M70" s="46"/>
      <c r="N70" s="46"/>
      <c r="O70" s="46"/>
      <c r="P70" s="46"/>
      <c r="Q70" s="46"/>
      <c r="R70" s="46"/>
      <c r="S70" s="46"/>
      <c r="T70" s="46"/>
      <c r="U70" s="46"/>
      <c r="V70" s="46"/>
      <c r="W70" s="46"/>
    </row>
    <row r="71">
      <c r="A71" s="52" t="s">
        <v>3507</v>
      </c>
      <c r="B71" s="213" t="s">
        <v>3508</v>
      </c>
      <c r="C71" s="52" t="s">
        <v>3509</v>
      </c>
      <c r="D71" s="213" t="str">
        <f>IFERROR(__xludf.DUMMYFUNCTION("GOOGLETRANSLATE(A71,""zh-tw"",""zh"")"),"背后刺杀的各阶段熟练度需求:
5.27.60.120.256.530.960.1587.2452.3600")</f>
        <v>背后刺杀的各阶段熟练度需求:
5.27.60.120.256.530.960.1587.2452.3600</v>
      </c>
      <c r="E71" s="55" t="str">
        <f>IFERROR(__xludf.DUMMYFUNCTION("GOOGLETRANSLATE(A71,""zh-tw"",""es-MX"")"),"Requisitos de habilidad para cada etapa del asesinato por la espalda: 5.27.60.120.256.530.960.1587.2452.3600")</f>
        <v>Requisitos de habilidad para cada etapa del asesinato por la espalda: 5.27.60.120.256.530.960.1587.2452.3600</v>
      </c>
      <c r="F71" s="214" t="str">
        <f>IFERROR(__xludf.DUMMYFUNCTION("GOOGLETRANSLATE(A71,""zh-tw"",""KO"")"),"각 단계의 암살에 대한 숙련도 요구 사항: 5.27.60.120.256.530.960.1587.2452.3600")</f>
        <v>각 단계의 암살에 대한 숙련도 요구 사항: 5.27.60.120.256.530.960.1587.2452.3600</v>
      </c>
      <c r="G71" s="55" t="str">
        <f>IFERROR(__xludf.DUMMYFUNCTION("GOOGLETRANSLATE(A71,""zh-tw"",""ru"")"),"Требования к навыкам для каждого этапа убийства сзади: 5.27.60.120.256.530.960.1587.2452.3600")</f>
        <v>Требования к навыкам для каждого этапа убийства сзади: 5.27.60.120.256.530.960.1587.2452.3600</v>
      </c>
      <c r="H71" s="214" t="str">
        <f>IFERROR(__xludf.DUMMYFUNCTION("GOOGLETRANSLATE(A71,""zh-tw"",""de"")"),"Fertigkeitsanforderungen für jede Phase eines Attentats von hinten: 5.27.60.120.256.530.960.1587.2452.3600")</f>
        <v>Fertigkeitsanforderungen für jede Phase eines Attentats von hinten: 5.27.60.120.256.530.960.1587.2452.3600</v>
      </c>
      <c r="I71" s="184" t="s">
        <v>3510</v>
      </c>
      <c r="J71" s="46"/>
      <c r="K71" s="46"/>
      <c r="L71" s="46"/>
      <c r="M71" s="46"/>
      <c r="N71" s="46"/>
      <c r="O71" s="46"/>
      <c r="P71" s="46"/>
      <c r="Q71" s="46"/>
      <c r="R71" s="46"/>
      <c r="S71" s="46"/>
      <c r="T71" s="46"/>
      <c r="U71" s="46"/>
      <c r="V71" s="46"/>
      <c r="W71" s="46"/>
    </row>
    <row r="72">
      <c r="A72" s="52" t="s">
        <v>3511</v>
      </c>
      <c r="B72" s="213" t="s">
        <v>3512</v>
      </c>
      <c r="C72" s="52" t="s">
        <v>3513</v>
      </c>
      <c r="D72" s="213" t="str">
        <f>IFERROR(__xludf.DUMMYFUNCTION("GOOGLETRANSLATE(A72,""zh-tw"",""zh"")"),"背后刺杀，也可以对场景物件(例如树木、罐子)生效，可以轻松的提升熟练度。
(有些物件的方位要注意，例如：花朵、蘑菇)")</f>
        <v>背后刺杀，也可以对场景物件(例如树木、罐子)生效，可以轻松的提升熟练度。
(有些物件的方位要注意，例如：花朵、蘑菇)</v>
      </c>
      <c r="E72" s="55" t="str">
        <f>IFERROR(__xludf.DUMMYFUNCTION("GOOGLETRANSLATE(A72,""zh-tw"",""es-MX"")"),"Los ataques por la espalda también pueden realizarse contra objetos del entorno (como árboles y jarrones), lo que aumenta fácilmente la habilidad.
(Ten en cuenta la ubicación de algunos objetos, como flores y setas).")</f>
        <v>Los ataques por la espalda también pueden realizarse contra objetos del entorno (como árboles y jarrones), lo que aumenta fácilmente la habilidad.
(Ten en cuenta la ubicación de algunos objetos, como flores y setas).</v>
      </c>
      <c r="F72" s="214" t="str">
        <f>IFERROR(__xludf.DUMMYFUNCTION("GOOGLETRANSLATE(A72,""zh-tw"",""KO"")"),"배후 공격은 주변 환경의 물체(예: 나무, 병)에도 사용할 수 있으며, 이를 통해 숙련도를 쉽게 높일 수 있습니다.
(꽃이나 버섯과 같은 일부 물체의 위치를 ​​확인하세요.)")</f>
        <v>배후 공격은 주변 환경의 물체(예: 나무, 병)에도 사용할 수 있으며, 이를 통해 숙련도를 쉽게 높일 수 있습니다.
(꽃이나 버섯과 같은 일부 물체의 위치를 ​​확인하세요.)</v>
      </c>
      <c r="G72" s="55" t="str">
        <f>IFERROR(__xludf.DUMMYFUNCTION("GOOGLETRANSLATE(A72,""zh-tw"",""ru"")"),"Удары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f>
        <v>Удары в спину также можно наносить по объектам окружающей среды (например, деревьям и банкам), что легко повышает мастерство.
(Обратите внимание на расположение некоторых объектов, например, цветов и грибов.)</v>
      </c>
      <c r="H72" s="214" t="str">
        <f>IFERROR(__xludf.DUMMYFUNCTION("GOOGLETRANSLATE(A72,""zh-tw"",""de"")"),"Hinterhältige Angriffe lassen sich auch an Objekten in der Umgebung (wie Bäumen und Krügen) ausführen, wodurch sich die Fertigkeit leicht steigern lässt.
(Beachte die Position einiger Objekte, wie z. B. Blumen und Pilze.)")</f>
        <v>Hinterhältige Angriffe lassen sich auch an Objekten in der Umgebung (wie Bäumen und Krügen) ausführen, wodurch sich die Fertigkeit leicht steigern lässt.
(Beachte die Position einiger Objekte, wie z. B. Blumen und Pilze.)</v>
      </c>
      <c r="I72" s="184" t="s">
        <v>3514</v>
      </c>
      <c r="J72" s="46"/>
      <c r="K72" s="46"/>
      <c r="L72" s="46"/>
      <c r="M72" s="46"/>
      <c r="N72" s="46"/>
      <c r="O72" s="46"/>
      <c r="P72" s="46"/>
      <c r="Q72" s="46"/>
      <c r="R72" s="46"/>
      <c r="S72" s="46"/>
      <c r="T72" s="46"/>
      <c r="U72" s="46"/>
      <c r="V72" s="46"/>
      <c r="W72" s="46"/>
    </row>
    <row r="73">
      <c r="A73" s="52" t="s">
        <v>3515</v>
      </c>
      <c r="B73" s="213" t="s">
        <v>3516</v>
      </c>
      <c r="C73" s="52" t="s">
        <v>3517</v>
      </c>
      <c r="D73" s="213" t="str">
        <f>IFERROR(__xludf.DUMMYFUNCTION("GOOGLETRANSLATE(A73,""zh-tw"",""zh"")"),"技能""气息消除""
在敌人背后潜行和在洗面所跳舞都可以累积熟练度，熟练度看不到，请直接查看技能等级")</f>
        <v>技能"气息消除"
在敌人背后潜行和在洗面所跳舞都可以累积熟练度，熟练度看不到，请直接查看技能等级</v>
      </c>
      <c r="E73" s="55" t="str">
        <f>IFERROR(__xludf.DUMMYFUNCTION("GOOGLETRANSLATE(A73,""zh-tw"",""es-MX"")"),"La habilidad «Eliminar Aura» se puede dominar acercándose sigilosamente a los enemigos o bailando en el baño. El nivel de maestría no se muestra; consulta el nivel de la habilidad directamente.")</f>
        <v>La habilidad «Eliminar Aura» se puede dominar acercándose sigilosamente a los enemigos o bailando en el baño. El nivel de maestría no se muestra; consulta el nivel de la habilidad directamente.</v>
      </c>
      <c r="F73" s="214" t="str">
        <f>IFERROR(__xludf.DUMMYFUNCTION("GOOGLETRANSLATE(A73,""zh-tw"",""KO"")"),"""오라 제거"" 스킬은 적의 뒤로 숨어들거나 화장실에서 춤을 추면 습득할 수 있습니다. 숙련도는 표시되지 않으니, 스킬 레벨을 직접 확인해 주세요.")</f>
        <v>"오라 제거" 스킬은 적의 뒤로 숨어들거나 화장실에서 춤을 추면 습득할 수 있습니다. 숙련도는 표시되지 않으니, 스킬 레벨을 직접 확인해 주세요.</v>
      </c>
      <c r="G73" s="55" t="str">
        <f>IFERROR(__xludf.DUMMYFUNCTION("GOOGLETRANSLATE(A73,""zh-tw"",""ru"")"),"Навык «Устраняющая аура» можно освоить, подкрадываясь к врагам или танцуя в туалете. Уровень мастерства не отображается; проверяйте уровень навыка напрямую.")</f>
        <v>Навык «Устраняющая аура» можно освоить, подкрадываясь к врагам или танцуя в туалете. Уровень мастерства не отображается; проверяйте уровень навыка напрямую.</v>
      </c>
      <c r="H73" s="213" t="s">
        <v>3518</v>
      </c>
      <c r="I73" s="184" t="s">
        <v>3519</v>
      </c>
      <c r="J73" s="46"/>
      <c r="K73" s="46"/>
      <c r="L73" s="46"/>
      <c r="M73" s="46"/>
      <c r="N73" s="46"/>
      <c r="O73" s="46"/>
      <c r="P73" s="46"/>
      <c r="Q73" s="46"/>
      <c r="R73" s="46"/>
      <c r="S73" s="46"/>
      <c r="T73" s="46"/>
      <c r="U73" s="46"/>
      <c r="V73" s="46"/>
      <c r="W73" s="46"/>
    </row>
    <row r="74">
      <c r="A74" s="52" t="s">
        <v>3520</v>
      </c>
      <c r="B74" s="213" t="s">
        <v>3521</v>
      </c>
      <c r="C74" s="52" t="s">
        <v>3522</v>
      </c>
      <c r="D74" s="213" t="str">
        <f>IFERROR(__xludf.DUMMYFUNCTION("GOOGLETRANSLATE(A74,""zh-tw"",""zh"")"),"精英野怪：当一种怪物被击杀的数量达到某个程度后，就可能诞生被强化的野怪，拥有更强大的属性。
目前只有初步实装，后续会再加强各方面的特效以及宝物掉落。")</f>
        <v>精英野怪：当一种怪物被击杀的数量达到某个程度后，就可能诞生被强化的野怪，拥有更强大的属性。
目前只有初步实装，后续会再加强各方面的特效以及宝物掉落。</v>
      </c>
      <c r="E74" s="55" t="str">
        <f>IFERROR(__xludf.DUMMYFUNCTION("GOOGLETRANSLATE(A74,""zh-tw"",""es-MX"")"),"Monstruos de élite: Al derrotar a cierto número de monstruos, pueden aparecer monstruos mejorados con atributos superiores.
Actualmente, esta función está en su fase inicial; se realizarán mejoras en diversos efectos y objetos obtenidos.")</f>
        <v>Monstruos de élite: Al derrotar a cierto número de monstruos, pueden aparecer monstruos mejorados con atributos superiores.
Actualmente, esta función está en su fase inicial; se realizarán mejoras en diversos efectos y objetos obtenidos.</v>
      </c>
      <c r="F74" s="214" t="str">
        <f>IFERROR(__xludf.DUMMYFUNCTION("GOOGLETRANSLATE(A74,""zh-tw"",""KO"")"),"엘리트 몬스터: 일정 수의 몬스터를 처치하면 더 강력한 속성을 가진 강화 몬스터가 생성될 수 있습니다.
현재는 초기 구현 단계이며, 다양한 효과와 아이템 획득 방식이 향후 더욱 강화될 예정입니다.")</f>
        <v>엘리트 몬스터: 일정 수의 몬스터를 처치하면 더 강력한 속성을 가진 강화 몬스터가 생성될 수 있습니다.
현재는 초기 구현 단계이며, 다양한 효과와 아이템 획득 방식이 향후 더욱 강화될 예정입니다.</v>
      </c>
      <c r="G74" s="55" t="str">
        <f>IFERROR(__xludf.DUMMYFUNCTION("GOOGLETRANSLATE(A74,""zh-tw"",""ru"")"),"Элитные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выпадени"&amp;"е предметов.")</f>
        <v>Элитные монстры: после убийства определённого количества монстров могут появиться улучшенные монстры с более высокими характеристиками.
В настоящее время это только начальная реализация; в дальнейшем будут внесены улучшения в различные эффекты и выпадение предметов.</v>
      </c>
      <c r="H74" s="213" t="s">
        <v>3523</v>
      </c>
      <c r="I74" s="184" t="s">
        <v>3524</v>
      </c>
      <c r="J74" s="46"/>
      <c r="K74" s="46"/>
      <c r="L74" s="46"/>
      <c r="M74" s="46"/>
      <c r="N74" s="46"/>
      <c r="O74" s="46"/>
      <c r="P74" s="46"/>
      <c r="Q74" s="46"/>
      <c r="R74" s="46"/>
      <c r="S74" s="46"/>
      <c r="T74" s="46"/>
      <c r="U74" s="46"/>
      <c r="V74" s="46"/>
      <c r="W74" s="46"/>
    </row>
    <row r="75">
      <c r="A75" s="52" t="s">
        <v>3525</v>
      </c>
      <c r="B75" s="213" t="s">
        <v>3526</v>
      </c>
      <c r="C75" s="52" t="s">
        <v>3527</v>
      </c>
      <c r="D75" s="213" t="str">
        <f>IFERROR(__xludf.DUMMYFUNCTION("GOOGLETRANSLATE(A75,""zh-tw"",""zh"")"),"同上，饮料贩卖机也有可能出现菁英饮料贩卖机")</f>
        <v>同上，饮料贩卖机也有可能出现菁英饮料贩卖机</v>
      </c>
      <c r="E75" s="55" t="str">
        <f>IFERROR(__xludf.DUMMYFUNCTION("GOOGLETRANSLATE(A75,""zh-tw"",""es-MX"")"),"Del mismo modo, también podrían aparecer máquinas expendedoras de bebidas de alta gama.")</f>
        <v>Del mismo modo, también podrían aparecer máquinas expendedoras de bebidas de alta gama.</v>
      </c>
      <c r="F75" s="214" t="str">
        <f>IFERROR(__xludf.DUMMYFUNCTION("GOOGLETRANSLATE(A75,""zh-tw"",""KO"")"),"마찬가지로, 엘리트 음료 자동판매기도 등장할 가능성이 있습니다.")</f>
        <v>마찬가지로, 엘리트 음료 자동판매기도 등장할 가능성이 있습니다.</v>
      </c>
      <c r="G75" s="55" t="str">
        <f>IFERROR(__xludf.DUMMYFUNCTION("GOOGLETRANSLATE(A75,""zh-tw"",""ru"")"),"Аналогично могут появиться и автоматы по продаже элитных напитков.")</f>
        <v>Аналогично могут появиться и автоматы по продаже элитных напитков.</v>
      </c>
      <c r="H75" s="213" t="s">
        <v>3528</v>
      </c>
      <c r="I75" s="184" t="s">
        <v>3529</v>
      </c>
      <c r="J75" s="46"/>
      <c r="K75" s="46"/>
      <c r="L75" s="46"/>
      <c r="M75" s="46"/>
      <c r="N75" s="46"/>
      <c r="O75" s="46"/>
      <c r="P75" s="46"/>
      <c r="Q75" s="46"/>
      <c r="R75" s="46"/>
      <c r="S75" s="46"/>
      <c r="T75" s="46"/>
      <c r="U75" s="46"/>
      <c r="V75" s="46"/>
      <c r="W75" s="46"/>
    </row>
    <row r="76">
      <c r="A76" s="52" t="s">
        <v>3530</v>
      </c>
      <c r="B76" s="213" t="s">
        <v>3531</v>
      </c>
      <c r="C76" s="52" t="s">
        <v>3532</v>
      </c>
      <c r="D76" s="213" t="str">
        <f>IFERROR(__xludf.DUMMYFUNCTION("GOOGLETRANSLATE(A76,""zh-tw"",""zh"")"),"史莱姆猫咪其实不是喜欢哥哥，而是喜欢他身上沾到的妹妹香味。")</f>
        <v>史莱姆猫咪其实不是喜欢哥哥，而是喜欢他身上沾到的妹妹香味。</v>
      </c>
      <c r="E76" s="55" t="str">
        <f>IFERROR(__xludf.DUMMYFUNCTION("GOOGLETRANSLATE(A76,""zh-tw"",""es-MX"")"),"Al gato baboso en realidad no le gusta su hermano; simplemente le gusta el olor de su hermana que se le adhiere.")</f>
        <v>Al gato baboso en realidad no le gusta su hermano; simplemente le gusta el olor de su hermana que se le adhiere.</v>
      </c>
      <c r="F76" s="214" t="str">
        <f>IFERROR(__xludf.DUMMYFUNCTION("GOOGLETRANSLATE(A76,""zh-tw"",""KO"")"),"슬라임 고양이는 사실 형제를 좋아하지 않습니다. 다만 자신에게 달라붙는 자매의 냄새를 좋아할 뿐입니다.")</f>
        <v>슬라임 고양이는 사실 형제를 좋아하지 않습니다. 다만 자신에게 달라붙는 자매의 냄새를 좋아할 뿐입니다.</v>
      </c>
      <c r="G76" s="55" t="str">
        <f>IFERROR(__xludf.DUMMYFUNCTION("GOOGLETRANSLATE(A76,""zh-tw"",""ru"")"),"На самом деле слизнекот не любит своего брата; ему просто нравится запах сестры, исходящий от него.")</f>
        <v>На самом деле слизнекот не любит своего брата; ему просто нравится запах сестры, исходящий от него.</v>
      </c>
      <c r="H76" s="213" t="s">
        <v>3533</v>
      </c>
      <c r="I76" s="184" t="s">
        <v>3534</v>
      </c>
      <c r="J76" s="46"/>
      <c r="K76" s="46"/>
      <c r="L76" s="46"/>
      <c r="M76" s="46"/>
      <c r="N76" s="46"/>
      <c r="O76" s="46"/>
      <c r="P76" s="46"/>
      <c r="Q76" s="46"/>
      <c r="R76" s="46"/>
      <c r="S76" s="46"/>
      <c r="T76" s="46"/>
      <c r="U76" s="46"/>
      <c r="V76" s="46"/>
      <c r="W76" s="46"/>
    </row>
    <row r="77">
      <c r="A77" s="52" t="s">
        <v>3535</v>
      </c>
      <c r="B77" s="213" t="str">
        <f>IFERROR(__xludf.DUMMYFUNCTION("GOOGLETRANSLATE(A77,""zh-tw"",""ja"")"),"開いた「スターゲート」は物体や弾丸を吸収できるが、防げるダメージには限界がある（アサバの攻撃を受けると約2秒後に爆発する）。")</f>
        <v>開いた「スターゲート」は物体や弾丸を吸収できるが、防げるダメージには限界がある（アサバの攻撃を受けると約2秒後に爆発する）。</v>
      </c>
      <c r="C77" s="52" t="s">
        <v>3536</v>
      </c>
      <c r="D77" s="213" t="str">
        <f>IFERROR(__xludf.DUMMYFUNCTION("GOOGLETRANSLATE(A77,""zh-tw"",""zh"")"),"打开的""星之门""可以吸收物体和子弹，阻挡的伤害有上限(被浅羽攻击大约2秒就爆了)")</f>
        <v>打开的"星之门"可以吸收物体和子弹，阻挡的伤害有上限(被浅羽攻击大约2秒就爆了)</v>
      </c>
      <c r="E77" s="55" t="str">
        <f>IFERROR(__xludf.DUMMYFUNCTION("GOOGLETRANSLATE(A77,""zh-tw"",""es-MX"")"),"La ""Puerta Estelar"" abierta puede absorber objetos y balas, pero existe un límite en el daño que puede bloquear (explota después de unos 2 segundos si es atacada por Asaba).")</f>
        <v>La "Puerta Estelar" abierta puede absorber objetos y balas, pero existe un límite en el daño que puede bloquear (explota después de unos 2 segundos si es atacada por Asaba).</v>
      </c>
      <c r="F77" s="214" t="str">
        <f>IFERROR(__xludf.DUMMYFUNCTION("GOOGLETRANSLATE(A77,""zh-tw"",""KO"")"),"열린 ""스타게이트""는 물체와 총알을 흡수할 수 있지만, 막을 수 있는 피해에는 한계가 있습니다(아사바에게 공격받으면 약 2초 후에 폭발합니다).")</f>
        <v>열린 "스타게이트"는 물체와 총알을 흡수할 수 있지만, 막을 수 있는 피해에는 한계가 있습니다(아사바에게 공격받으면 약 2초 후에 폭발합니다).</v>
      </c>
      <c r="G77" s="55" t="str">
        <f>IFERROR(__xludf.DUMMYFUNCTION("GOOGLETRANSLATE(A77,""zh-tw"",""ru"")"),"Открытые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f>
        <v>Открытые «Звездные врата» могут поглощать предметы и пули, но существует предел урона, который они могут блокировать (они взрываются примерно через 2 секунды, если их атакует Асаба).</v>
      </c>
      <c r="H77" s="213" t="s">
        <v>3537</v>
      </c>
      <c r="I77" s="184" t="s">
        <v>3538</v>
      </c>
      <c r="J77" s="46"/>
      <c r="K77" s="46"/>
      <c r="L77" s="46"/>
      <c r="M77" s="46"/>
      <c r="N77" s="46"/>
      <c r="O77" s="46"/>
      <c r="P77" s="46"/>
      <c r="Q77" s="46"/>
      <c r="R77" s="46"/>
      <c r="S77" s="46"/>
      <c r="T77" s="46"/>
      <c r="U77" s="46"/>
      <c r="V77" s="46"/>
      <c r="W77" s="46"/>
    </row>
    <row r="78">
      <c r="A78" s="52" t="s">
        <v>3539</v>
      </c>
      <c r="B78" s="213" t="str">
        <f>IFERROR(__xludf.DUMMYFUNCTION("GOOGLETRANSLATE(A78,""zh-tw"",""ja"")"),"密着行為（入浴後、服装、気分、デザートなど、様々な場面でパフォーマンスが展開されます）。アホ毛、頭、胸、性器、耳、鎖骨、乳首、お腹など、様々な部位を対象。特にアホ毛、胸、乳首は引きずり行為の対象です。")</f>
        <v>密着行為（入浴後、服装、気分、デザートなど、様々な場面でパフォーマンスが展開されます）。アホ毛、頭、胸、性器、耳、鎖骨、乳首、お腹など、様々な部位を対象。特にアホ毛、胸、乳首は引きずり行為の対象です。</v>
      </c>
      <c r="C78" s="52" t="s">
        <v>3540</v>
      </c>
      <c r="D78" s="213" t="str">
        <f>IFERROR(__xludf.DUMMYFUNCTION("GOOGLETRANSLATE(A78,""zh-tw"",""zh"")"),"亲密接触(洗澡后、各服装、各心情、各甜品状态，皆有可能有不同演出)
身体部位有以下内容：呆毛、头部、胸部、私处、耳朵、锁骨、乳头、肚皮
拖拽时特殊项目：呆毛、胸部、乳头")</f>
        <v>亲密接触(洗澡后、各服装、各心情、各甜品状态，皆有可能有不同演出)
身体部位有以下内容：呆毛、头部、胸部、私处、耳朵、锁骨、乳头、肚皮
拖拽时特殊项目：呆毛、胸部、乳头</v>
      </c>
      <c r="E78" s="55" t="str">
        <f>IFERROR(__xludf.DUMMYFUNCTION("GOOGLETRANSLATE(A78,""zh-tw"",""es-MX"")"),"El contacto íntimo (las prácticas pueden variar tras el baño, con diferentes atuendos, estados de ánimo y mientras se disfrutan postres). Las partes del cuerpo incluyen: el remolino, la cabeza, el pecho, los genitales, las orejas, la clavícula, los pezone"&amp;"s y el vientre. Elementos especiales para arrastrar: el remolino, el pecho y los pezones.")</f>
        <v>El contacto íntimo (las prácticas pueden variar tras el baño, con diferentes atuendos, estados de ánimo y mientras se disfrutan postres). Las partes del cuerpo incluyen: el remolino, la cabeza, el pecho, los genitales, las orejas, la clavícula, los pezones y el vientre. Elementos especiales para arrastrar: el remolino, el pecho y los pezones.</v>
      </c>
      <c r="F78" s="214" t="str">
        <f>IFERROR(__xludf.DUMMYFUNCTION("GOOGLETRANSLATE(A78,""zh-tw"",""KO"")"),"친밀한 접촉 (목욕 후, 옷차림, 기분에 따라, 디저트를 즐기는 동안 다양한 퍼포먼스가 가능합니다). 신체 부위는 아호게(머리, 가슴, 생식기, 귀, 쇄골, 젖꼭지, 배입니다. 끌기용 특수 도구는 아호게, 가슴, 젖꼭지입니다.")</f>
        <v>친밀한 접촉 (목욕 후, 옷차림, 기분에 따라, 디저트를 즐기는 동안 다양한 퍼포먼스가 가능합니다). 신체 부위는 아호게(머리, 가슴, 생식기, 귀, 쇄골, 젖꼭지, 배입니다. 끌기용 특수 도구는 아호게, 가슴, 젖꼭지입니다.</v>
      </c>
      <c r="G78" s="55" t="str">
        <f>IFERROR(__xludf.DUMMYFUNCTION("GOOGLETRANSLATE(A78,""zh-tw"",""ru"")"),"Интимный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(вихрь), голову, грудь, гениталии, уши, ключицы, соски и живот. Специальные предметы для перет"&amp;"аскивания: ахоге, грудь и соски.")</f>
        <v>Интимный контакт (различные проявления могут происходить после купания, в разных нарядах, настроении и во время дегустации десертов). Части тела включают: ахоге (вихрь), голову, грудь, гениталии, уши, ключицы, соски и живот. Специальные предметы для перетаскивания: ахоге, грудь и соски.</v>
      </c>
      <c r="H78" s="213" t="s">
        <v>3541</v>
      </c>
      <c r="I78" s="184" t="s">
        <v>3542</v>
      </c>
      <c r="J78" s="46"/>
      <c r="K78" s="46"/>
      <c r="L78" s="46"/>
      <c r="M78" s="46"/>
      <c r="N78" s="46"/>
      <c r="O78" s="46"/>
      <c r="P78" s="46"/>
      <c r="Q78" s="46"/>
      <c r="R78" s="46"/>
      <c r="S78" s="46"/>
      <c r="T78" s="46"/>
      <c r="U78" s="46"/>
      <c r="V78" s="46"/>
      <c r="W78" s="46"/>
    </row>
    <row r="79">
      <c r="A79" s="52" t="s">
        <v>3543</v>
      </c>
      <c r="B79" s="213" t="str">
        <f>IFERROR(__xludf.DUMMYFUNCTION("GOOGLETRANSLATE(A79,""zh-tw"",""ja"")"),"素手で背後からの攻撃をすると、隠しスキル「千年死」が発動し、対象の敵を空中に吹き飛ばします。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f>
        <v>素手で背後からの攻撃をすると、隠しスキル「千年死」が発動し、対象の敵を空中に吹き飛ばします。
※ダメージは背後からの攻撃スキルの影響を受けますが、剣術修練スキルの影響は受けません。
※ノックバック耐性を持つモンスターには使用できず、敵ユニットにのみ使用できます。
※今後、敵によって異なるエロアクションを付与するバリエーションを実装する可能性があります。</v>
      </c>
      <c r="C79" s="52" t="s">
        <v>3544</v>
      </c>
      <c r="D79" s="213" t="str">
        <f>IFERROR(__xludf.DUMMYFUNCTION("GOOGLETRANSLATE(A79,""zh-tw"",""zh"")"),"空手且背刺的情况下，可以使用隐藏的千年杀技能，可以击飞目标敌人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f>
        <v>空手且背刺的情况下，可以使用隐藏的千年杀技能，可以击飞目标敌人
※伤害的数值受到背刺技能影响、不受剑术修行技能影响
※无法对免疫击飞的怪物使用、只能对敌人单位使用
※未来可能会实装对不同敌人有不同色情动作的延伸</v>
      </c>
      <c r="E79" s="55" t="str">
        <f>IFERROR(__xludf.DUMMYFUNCTION("GOOGLETRANSLATE(A79,""zh-tw"",""es-MX"")"),"Al atacar por la espalda estando desarmado, se puede usar la habilidad oculta «Mil Años de Muerte», que lanza al enemigo por los aires.
※El daño se ve afectado por la habilidad de ataque por la espalda, pero no por las habilidades de entrenamiento con es"&amp;"pada.
※No se puede usar contra monstruos inmunes al retroceso; solo se puede usar contra unidades enemigas.
※En futuras implementaciones, podría incluirse una variedad con diferentes acciones eróticas contra distintos enemigos.")</f>
        <v>Al atacar por la espalda estando desarmado, se puede usar la habilidad oculta «Mil Años de Muerte», que lanza al enemigo por los aires.
※El daño se ve afectado por la habilidad de ataque por la espalda, pero no por las habilidades de entrenamiento con espada.
※No se puede usar contra monstruos inmunes al retroceso; solo se puede usar contra unidades enemigas.
※En futuras implementaciones, podría incluirse una variedad con diferentes acciones eróticas contra distintos enemigos.</v>
      </c>
      <c r="F79" s="214" t="str">
        <f>IFERROR(__xludf.DUMMYFUNCTION("GOOGLETRANSLATE(A79,""zh-tw"",""KO"")"),"비무장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선보일 수 있습니다.")</f>
        <v>비무장 상태에서 등 뒤에서 찌르기 공격을 할 경우, 숨겨진 "천년의 죽음" 스킬을 사용할 수 있으며, 이 스킬은 대상 적을 공중으로 띄울 수 있습니다.
※피해량은 등 뒤 찌르기 스킬의 영향을 받지만, 검술 수련 스킬의 영향을 받지 않습니다.
※넉백 면역 몬스터에게는 사용할 수 없으며, 적 유닛에게만 사용할 수 있습니다.
※향후 구현 시 적에 따라 다른 에로틱한 액션을 선보일 수 있습니다.</v>
      </c>
      <c r="G79" s="55" t="str">
        <f>IFERROR(__xludf.DUMMYFUNCTION("GOOGLETRANSLATE(A79,""zh-tw"",""ru"")"),"Безоружный,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 в спину», но не навыки фехтования.
※ Нельзя использовать против монстров, невосприимчивых к "&amp;"отбрасыванию;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f>
        <v>Безоружный, наносящий удар в спину, может использовать скрытый навык «Тысяча лет смерти», который подбрасывает противника в воздух.
※ На урон влияет навык «Удар в спину», но не навыки фехтования.
※ Нельзя использовать против монстров, невосприимчивых к отбрасыванию; можно использовать только против вражеских отрядов.
※ В будущем возможны варианты с различными эротическими действиями против разных врагов.</v>
      </c>
      <c r="H79" s="214" t="str">
        <f>IFERROR(__xludf.DUMMYFUNCTION("GOOGLETRANSLATE(A79,""zh-tw"",""de"")"),"Im unbewaffneten Zustand und beim Hinterhalt kann die verborgene Fähigkeit „Tausend Jahre des Todes“ eingesetzt werden, die den anvisierten Gegner in die Luft schleudert.
※Der Schaden wird durch den Hinterhalt beeinflusst, jedoch nicht durch Schwertkampf"&amp;"-Trainingsfähigkeiten.
※Kann nicht gegen Monster eingesetzt werden, die immun gegen Zurückstoßen sind; nur gegen feindliche Einheiten.
※Zukünftige Implementierungen könnten Variationen mit unterschiedlichen erotischen Aktionen gegen verschiedene Gegner "&amp;"beinhalten.")</f>
        <v>Im unbewaffneten Zustand und beim Hinterhalt kann die verborgene Fähigkeit „Tausend Jahre des Todes“ eingesetzt werden, die den anvisierten Gegner in die Luft schleudert.
※Der Schaden wird durch den Hinterhalt beeinflusst, jedoch nicht durch Schwertkampf-Trainingsfähigkeiten.
※Kann nicht gegen Monster eingesetzt werden, die immun gegen Zurückstoßen sind; nur gegen feindliche Einheiten.
※Zukünftige Implementierungen könnten Variationen mit unterschiedlichen erotischen Aktionen gegen verschiedene Gegner beinhalten.</v>
      </c>
      <c r="I79" s="184" t="s">
        <v>3545</v>
      </c>
      <c r="J79" s="46"/>
      <c r="K79" s="46"/>
      <c r="L79" s="46"/>
      <c r="M79" s="46"/>
      <c r="N79" s="46"/>
      <c r="O79" s="46"/>
      <c r="P79" s="46"/>
      <c r="Q79" s="46"/>
      <c r="R79" s="46"/>
      <c r="S79" s="46"/>
      <c r="T79" s="46"/>
      <c r="U79" s="46"/>
      <c r="V79" s="46"/>
      <c r="W79" s="46"/>
    </row>
    <row r="80">
      <c r="A80" s="55" t="s">
        <v>3546</v>
      </c>
      <c r="B80" s="214" t="s">
        <v>3547</v>
      </c>
      <c r="C80" s="55" t="s">
        <v>3548</v>
      </c>
      <c r="D80" s="213" t="str">
        <f>IFERROR(__xludf.DUMMYFUNCTION("GOOGLETRANSLATE(A80,""zh-tw"",""zh"")"),"牛奶是最好的解辣饮品，能大幅缩短解除辣哭了的持续时间")</f>
        <v>牛奶是最好的解辣饮品，能大幅缩短解除辣哭了的持续时间</v>
      </c>
      <c r="E80" s="101" t="s">
        <v>3549</v>
      </c>
      <c r="F80" s="214" t="str">
        <f>IFERROR(__xludf.DUMMYFUNCTION("GOOGLETRANSLATE(A80,""zh-tw"",""KO"")"),"우유는 매운맛을 완화하는 데 가장 좋은 음료이며, 타는 듯한 감각의 지속 시간을 상당히 단축시킬 수 있습니다.")</f>
        <v>우유는 매운맛을 완화하는 데 가장 좋은 음료이며, 타는 듯한 감각의 지속 시간을 상당히 단축시킬 수 있습니다.</v>
      </c>
      <c r="G80" s="55" t="str">
        <f>IFERROR(__xludf.DUMMYFUNCTION("GOOGLETRANSLATE(A80,""zh-tw"",""ru"")"),"Лучшим напитком для снятия остроты является молоко, оно может значительно сократить продолжительность ощущения жжения.")</f>
        <v>Лучшим напитком для снятия остроты является молоко, оно может значительно сократить продолжительность ощущения жжения.</v>
      </c>
      <c r="H80" s="214" t="s">
        <v>3550</v>
      </c>
      <c r="I80" s="184" t="s">
        <v>3551</v>
      </c>
      <c r="J80" s="46"/>
      <c r="K80" s="46"/>
      <c r="L80" s="46"/>
      <c r="M80" s="46"/>
      <c r="N80" s="46"/>
      <c r="O80" s="46"/>
      <c r="P80" s="46"/>
      <c r="Q80" s="46"/>
      <c r="R80" s="46"/>
      <c r="S80" s="46"/>
      <c r="T80" s="46"/>
      <c r="U80" s="46"/>
      <c r="V80" s="46"/>
      <c r="W80" s="46"/>
    </row>
    <row r="81">
      <c r="A81" s="55" t="s">
        <v>3552</v>
      </c>
      <c r="B81" s="214" t="s">
        <v>3553</v>
      </c>
      <c r="C81" s="55" t="s">
        <v>3554</v>
      </c>
      <c r="D81" s="213" t="str">
        <f>IFERROR(__xludf.DUMMYFUNCTION("GOOGLETRANSLATE(A81,""zh-tw"",""zh"")"),"客厅的电视，目前无实际用途，未来预计会依照不同的天数，每天做出不同的画面(例如：新闻、动画、食谱、黑暗料理、彩蛋等)")</f>
        <v>客厅的电视，目前无实际用途，未来预计会依照不同的天数，每天做出不同的画面(例如：新闻、动画、食谱、黑暗料理、彩蛋等)</v>
      </c>
      <c r="E81" s="101" t="s">
        <v>3555</v>
      </c>
      <c r="F81" s="214" t="str">
        <f>IFERROR(__xludf.DUMMYFUNCTION("GOOGLETRANSLATE(A81,""zh-tw"",""KO"")"),"거실의 TV는 현재 사용하지 않지만, 앞으로 며칠이 지나는지에 따라 매일 다른 콘텐츠(예: 뉴스, 애니메이션, 요리법, 기이한 요리, 부활절 달걀 등)를 표시할 계획입니다.")</f>
        <v>거실의 TV는 현재 사용하지 않지만, 앞으로 며칠이 지나는지에 따라 매일 다른 콘텐츠(예: 뉴스, 애니메이션, 요리법, 기이한 요리, 부활절 달걀 등)를 표시할 계획입니다.</v>
      </c>
      <c r="G81" s="55" t="str">
        <f>IFERROR(__xludf.DUMMYFUNCTION("GOOGLETRANSLATE(A81,""zh-tw"",""ru"")"),"Телевизор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 в будущем.")</f>
        <v>Телевизор в гостиной в настоящее время не используется, но планируется, что он будет показывать разный контент каждый день (например, новости, анимацию, рецепты, необычные блюда, пасхальные яйца и т. д.) в зависимости от количества дней в будущем.</v>
      </c>
      <c r="H81" s="214" t="s">
        <v>3556</v>
      </c>
      <c r="I81" s="217" t="s">
        <v>3557</v>
      </c>
      <c r="J81" s="46"/>
      <c r="K81" s="46"/>
      <c r="L81" s="46"/>
      <c r="M81" s="46"/>
      <c r="N81" s="46"/>
      <c r="O81" s="46"/>
      <c r="P81" s="46"/>
      <c r="Q81" s="46"/>
      <c r="R81" s="46"/>
      <c r="S81" s="46"/>
      <c r="T81" s="46"/>
      <c r="U81" s="46"/>
      <c r="V81" s="46"/>
      <c r="W81" s="46"/>
    </row>
    <row r="82">
      <c r="A82" s="55" t="s">
        <v>3558</v>
      </c>
      <c r="B82" s="214" t="s">
        <v>3559</v>
      </c>
      <c r="C82" s="55" t="s">
        <v>3560</v>
      </c>
      <c r="D82" s="213" t="str">
        <f>IFERROR(__xludf.DUMMYFUNCTION("GOOGLETRANSLATE(A82,""zh-tw"",""zh"")"),"ASABA通常会出现在路边的草莓丛中")</f>
        <v>ASABA通常会出现在路边的草莓丛中</v>
      </c>
      <c r="E82" s="101" t="s">
        <v>3561</v>
      </c>
      <c r="F82" s="214" t="str">
        <f>IFERROR(__xludf.DUMMYFUNCTION("GOOGLETRANSLATE(A82,""zh-tw"",""KO"")"),"ASABA는 일반적으로 길가의 딸기 덤불에서 발견됩니다.")</f>
        <v>ASABA는 일반적으로 길가의 딸기 덤불에서 발견됩니다.</v>
      </c>
      <c r="G82" s="55" t="str">
        <f>IFERROR(__xludf.DUMMYFUNCTION("GOOGLETRANSLATE(A82,""zh-tw"",""ru"")"),"ASABA обычно можно найти в кустах клубники вдоль дорог.")</f>
        <v>ASABA обычно можно найти в кустах клубники вдоль дорог.</v>
      </c>
      <c r="H82" s="214" t="s">
        <v>3562</v>
      </c>
      <c r="I82" s="184" t="s">
        <v>3563</v>
      </c>
      <c r="J82" s="46"/>
      <c r="K82" s="46"/>
      <c r="L82" s="46"/>
      <c r="M82" s="46"/>
      <c r="N82" s="46"/>
      <c r="O82" s="46"/>
      <c r="P82" s="46"/>
      <c r="Q82" s="46"/>
      <c r="R82" s="46"/>
      <c r="S82" s="46"/>
      <c r="T82" s="46"/>
      <c r="U82" s="46"/>
      <c r="V82" s="46"/>
      <c r="W82" s="46"/>
    </row>
    <row r="83">
      <c r="A83" s="55" t="s">
        <v>3564</v>
      </c>
      <c r="B83" s="214" t="s">
        <v>3565</v>
      </c>
      <c r="C83" s="55" t="s">
        <v>3566</v>
      </c>
      <c r="D83" s="213" t="str">
        <f>IFERROR(__xludf.DUMMYFUNCTION("GOOGLETRANSLATE(A83,""zh-tw"",""zh"")"),"""草莓""食材，目前无实际用途，等待未来更新")</f>
        <v>"草莓"食材，目前无实际用途，等待未来更新</v>
      </c>
      <c r="E83" s="101" t="s">
        <v>3567</v>
      </c>
      <c r="F83" s="214" t="str">
        <f>IFERROR(__xludf.DUMMYFUNCTION("GOOGLETRANSLATE(A83,""zh-tw"",""KO"")"),"현재 ""딸기""라는 성분은 실질적으로 사용되지 않습니다. 자세한 내용은 추후 업데이트될 예정입니다.")</f>
        <v>현재 "딸기"라는 성분은 실질적으로 사용되지 않습니다. 자세한 내용은 추후 업데이트될 예정입니다.</v>
      </c>
      <c r="G83" s="55" t="str">
        <f>IFERROR(__xludf.DUMMYFUNCTION("GOOGLETRANSLATE(A83,""zh-tw"",""ru"")"),"Ингредиент «клубника» в настоящее время не имеет практического применения; подробности будут обновлены в будущем.")</f>
        <v>Ингредиент «клубника» в настоящее время не имеет практического применения; подробности будут обновлены в будущем.</v>
      </c>
      <c r="H83" s="214" t="s">
        <v>3568</v>
      </c>
      <c r="I83" s="217" t="s">
        <v>3569</v>
      </c>
      <c r="J83" s="46"/>
      <c r="K83" s="46"/>
      <c r="L83" s="46"/>
      <c r="M83" s="46"/>
      <c r="N83" s="46"/>
      <c r="O83" s="46"/>
      <c r="P83" s="46"/>
      <c r="Q83" s="46"/>
      <c r="R83" s="46"/>
      <c r="S83" s="46"/>
      <c r="T83" s="46"/>
      <c r="U83" s="46"/>
      <c r="V83" s="46"/>
      <c r="W83" s="46"/>
    </row>
    <row r="84">
      <c r="A84" s="55" t="s">
        <v>3570</v>
      </c>
      <c r="B84" s="214" t="s">
        <v>3571</v>
      </c>
      <c r="C84" s="55" t="s">
        <v>3572</v>
      </c>
      <c r="D84" s="213" t="str">
        <f>IFERROR(__xludf.DUMMYFUNCTION("GOOGLETRANSLATE(A84,""zh-tw"",""zh"")"),"关于稻草人，目前版本开发出来的击杀方式只有死神塔罗牌、破颜拳套+猫爪手套的应用")</f>
        <v>关于稻草人，目前版本开发出来的击杀方式只有死神塔罗牌、破颜拳套+猫爪手套的应用</v>
      </c>
      <c r="E84" s="101" t="s">
        <v>3573</v>
      </c>
      <c r="F84" s="214" t="str">
        <f>IFERROR(__xludf.DUMMYFUNCTION("GOOGLETRANSLATE(A84,""zh-tw"",""KO"")"),"허수아비에 관해서는 현재 버전에서 이를 물리칠 수 있는 유일한 방법은 죽음 타로 카드와 페이스 브레이킹 글러브, 캣 클로 글러브를 조합하여 사용하는 것입니다.")</f>
        <v>허수아비에 관해서는 현재 버전에서 이를 물리칠 수 있는 유일한 방법은 죽음 타로 카드와 페이스 브레이킹 글러브, 캣 클로 글러브를 조합하여 사용하는 것입니다.</v>
      </c>
      <c r="G84" s="55" t="str">
        <f>IFERROR(__xludf.DUMMYFUNCTION("GOOGLETRANSLATE(A84,""zh-tw"",""ru"")"),"Что касается Пугала, то в текущей версии его можно победить только с помощью карт Таро Смерти и комбинации Перчаток, ломающих лицо, и Перчаток с кошачьими когтями.")</f>
        <v>Что касается Пугала, то в текущей версии его можно победить только с помощью карт Таро Смерти и комбинации Перчаток, ломающих лицо, и Перчаток с кошачьими когтями.</v>
      </c>
      <c r="H84" s="214" t="s">
        <v>3574</v>
      </c>
      <c r="I84" s="162" t="s">
        <v>3575</v>
      </c>
      <c r="J84" s="46"/>
      <c r="K84" s="46"/>
      <c r="L84" s="46"/>
      <c r="M84" s="46"/>
      <c r="N84" s="46"/>
      <c r="O84" s="46"/>
      <c r="P84" s="46"/>
      <c r="Q84" s="46"/>
      <c r="R84" s="46"/>
      <c r="S84" s="46"/>
      <c r="T84" s="46"/>
      <c r="U84" s="46"/>
      <c r="V84" s="46"/>
      <c r="W84" s="46"/>
    </row>
    <row r="85">
      <c r="A85" s="52" t="s">
        <v>3576</v>
      </c>
      <c r="B85" s="213" t="s">
        <v>3577</v>
      </c>
      <c r="C85" s="52" t="s">
        <v>3578</v>
      </c>
      <c r="D85" s="213" t="str">
        <f>IFERROR(__xludf.DUMMYFUNCTION("GOOGLETRANSLATE(A85,""zh-tw"",""zh"")"),"使用『6a1n60ld』密技，可以立即获得""10万金币""、""Ruika的万宝槌""(增加掉落率)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使用『1f0g0ty0u』，可以重新替妹妹取名，此操作不算使用"&amp;"作弊代码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f>
        <v>使用『6a1n60ld』密技，可以立即获得"10万金币"、"Ruika的万宝槌"(增加掉落率)
使用『healmeplz』密技，可以立即获得"Mio的急救箱"(每秒血量回复)
使用『unshatter』密技，可以立即获得"白湮的金手指"(武器无消耗)
使用『60dpat』密技，可以立即获得"爱神荡漾"道具(摸一次头可以增加一颗红心)
使用『muestacz』密技，可以立即获得"绝对领域"道具(武器/防具持有数量+99)
使用『1f0g0ty0u』，可以重新替妹妹取名，此操作不算使用作弊代码
使用『aut0update』，手机版本可以重新触发版本更新，此操作不算使用作弊代码
请注意：一旦使用作弊代码，会获得"杂鱼"的称号，此效果无法移除且永久存在，拥有此称号将在后续版本更新中，出现其他的影响。
例如开场的妹妹嘲讽语音、来自NPC的嘲讽等等，建议使用不同的存档。
于外出的RPG模式时，无须输入框，请直接"手动输入"，不可复制贴上。</v>
      </c>
      <c r="E85" s="101" t="s">
        <v>3579</v>
      </c>
      <c r="F85" s="214" t="str">
        <f>IFERROR(__xludf.DUMMYFUNCTION("GOOGLETRANSLATE(A85,""zh-tw"",""KO"")"),"치트 코드 '6a1n60ld'를 사용하면 ""100,000골드""와 ""루이카의 마법 망치""(드랍률 증가)를 즉시 획득합니다.
치트 코드 'healmeplz'를 사용하면 ""미오의 구급상자""(초당 체력 재생)를 즉시 획득합니다.
치트 코드 'unshatter'를 사용하면 ""화이트 애니힐레이션의 황금 손가락""(무기 비용 없음)을 즉시 획득합니다.
치트 코드 '60dpat'를 사용하면 ""사랑의 물결"" 아이템을 즉시 획득합니다(머리를 쓰다듬을 때마"&amp;"다 하트가 추가됩니다).
치트 코드 'muestacz'를 사용하면 ""절대 영토"" 아이템을 즉시 획득합니다(무기/방어구 인벤토리 수 +99).
'1f0g0ty0u'를 사용하면 여동생의 이름을 변경할 수 있습니다. 이 작업은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"&amp;"영구적으로 생성되며 삭제할 수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f>
        <v>치트 코드 '6a1n60ld'를 사용하면 "100,000골드"와 "루이카의 마법 망치"(드랍률 증가)를 즉시 획득합니다.
치트 코드 'healmeplz'를 사용하면 "미오의 구급상자"(초당 체력 재생)를 즉시 획득합니다.
치트 코드 'unshatter'를 사용하면 "화이트 애니힐레이션의 황금 손가락"(무기 비용 없음)을 즉시 획득합니다.
치트 코드 '60dpat'를 사용하면 "사랑의 물결" 아이템을 즉시 획득합니다(머리를 쓰다듬을 때마다 하트가 추가됩니다).
치트 코드 'muestacz'를 사용하면 "절대 영토" 아이템을 즉시 획득합니다(무기/방어구 인벤토리 수 +99).
'1f0g0ty0u'를 사용하면 여동생의 이름을 변경할 수 있습니다. 이 작업은 치트 코드 사용으로 간주되지 않습니다.
'aut0update'를 사용하면 모바일 기기에서 버전 업데이트가 다시 실행됩니다. 이 작업은 치트 코드 사용으로 간주되지 않습니다.
참고: 치트 코드를 사용하면 "미니언"이라는 칭호가 영구적으로 생성되며 삭제할 수 없습니다. 이 칭호는 향후 업데이트에서 다른 결과를 초래할 수 있습니다. 예를 들어, 초반에 등장하는 자매의 비꼬는 대사나 NPC의 도발 등 다른 문제가 발생할 수 있으므로, 다른 저장 파일을 사용하는 것이 좋습니다.
RPG 모드에서는 입력란이 없으므로 직접 "수동으로 입력"하고 복사하여 붙여넣지 마십시오.</v>
      </c>
      <c r="G85" s="55" t="str">
        <f>IFERROR(__xludf.DUMMYFUNCTION("GOOGLETRANSLATE(A85,""zh-tw"",""ru"")"),"Использование чит-кода «6a1n60ld» мгновенно даёт «100 000 золота» и «Волшебный молот Руики» (увеличен шанс выпадения предметов).
Использование чит-кода «healmeplz» мгновенно даёт «Аптечку первой помощи Мио» (восстановление здоровья в секунду).
Использован"&amp;"ие чит-кода «unshatter» мгновенно даёт «Золотой палец Белого Истребления» (оружие бесплатно).
Использование чит-кода «60dpat» мгновенно даёт предмет «Пульс любви» (каждое похлопывание по голове добавляет одно сердце).
Использование чит-кода «muestacz» мгн"&amp;"овенно даёт предмет «Абсолютная территория» (количество оружия/брони в инвентаре +99).
Использование чит-кода «1f0g0ty0u» позволяет переименовать сестру; это действие не считается использованием чит-кодов.
Использование чит-кода «aut0update» повторно запу"&amp;"скает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получению титула «Миньон», который останется постоянным и не может быть отменён. Наличие этого тит"&amp;"ула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 вводите данные вручну"&amp;"ю, не копируя и не вставляя.")</f>
        <v>Использование чит-кода «6a1n60ld» мгновенно даёт «100 000 золота» и «Волшебный молот Руики» (увеличен шанс выпадения предметов).
Использование чит-кода «healmeplz» мгновенно даёт «Аптечку первой помощи Мио» (восстановление здоровья в секунду).
Использование чит-кода «unshatter» мгновенно даёт «Золотой палец Белого Истребления» (оружие бесплатно).
Использование чит-кода «60dpat» мгновенно даёт предмет «Пульс любви» (каждое похлопывание по голове добавляет одно сердце).
Использование чит-кода «muestacz» мгновенно даёт предмет «Абсолютная территория» (количество оружия/брони в инвентаре +99).
Использование чит-кода «1f0g0ty0u» позволяет переименовать сестру; это действие не считается использованием чит-кодов.
Использование чит-кода «aut0update» повторно запускает обновление версии на мобильных устройствах. Это действие не считается использованием чит-кодов.
Обратите внимание: использование чит-кодов приведёт к получению титула «Миньон», который останется постоянным и не может быть отменён. Наличие этого титула будет иметь другие последствия в будущих обновлениях. Например, саркастическая реплика сестры в начале, насмешки от NPC и т. д. Рекомендуется использовать другие файлы сохранения.
В режиме RPG на открытом воздухе нет поля ввода; вводите данные вручную, не копируя и не вставляя.</v>
      </c>
      <c r="H85" s="213" t="s">
        <v>3580</v>
      </c>
      <c r="I85" s="162" t="s">
        <v>3581</v>
      </c>
      <c r="J85" s="46"/>
      <c r="K85" s="46"/>
      <c r="L85" s="46"/>
      <c r="M85" s="46"/>
      <c r="N85" s="46"/>
      <c r="O85" s="46"/>
      <c r="P85" s="46"/>
      <c r="Q85" s="46"/>
      <c r="R85" s="46"/>
      <c r="S85" s="46"/>
      <c r="T85" s="46"/>
      <c r="U85" s="46"/>
      <c r="V85" s="46"/>
      <c r="W85" s="46"/>
    </row>
    <row r="86" ht="53.25" customHeight="1">
      <c r="A86" s="55" t="s">
        <v>3582</v>
      </c>
      <c r="B86" s="213" t="str">
        <f>IFERROR(__xludf.DUMMYFUNCTION("GOOGLETRANSLATE(A86,""zh-tw"",""ja"")"),"Android版では、RPGモードでアバター枠を長押しするとチートコード入力ボックスが表示されます。")</f>
        <v>Android版では、RPGモードでアバター枠を長押しするとチートコード入力ボックスが表示されます。</v>
      </c>
      <c r="C86" s="55" t="s">
        <v>3583</v>
      </c>
      <c r="D86" s="213" t="str">
        <f>IFERROR(__xludf.DUMMYFUNCTION("GOOGLETRANSLATE(A86,""zh-tw"",""zh"")"),"安卓版在RPG模式下，透过长按头像框，可以显示作弊码的输入框")</f>
        <v>安卓版在RPG模式下，透过长按头像框，可以显示作弊码的输入框</v>
      </c>
      <c r="E86" s="55" t="str">
        <f>IFERROR(__xludf.DUMMYFUNCTION("GOOGLETRANSLATE(A86,""zh-tw"",""es-MX"")"),"En la versión para Android, en el modo RPG, al mantener pulsado el marco del avatar aparecerá un cuadro para introducir un código de trucos.")</f>
        <v>En la versión para Android, en el modo RPG, al mantener pulsado el marco del avatar aparecerá un cuadro para introducir un código de trucos.</v>
      </c>
      <c r="F86" s="214" t="str">
        <f>IFERROR(__xludf.DUMMYFUNCTION("GOOGLETRANSLATE(A86,""zh-tw"",""KO"")"),"안드로이드 버전의 RPG 모드에서 아바타 프레임을 길게 누르면 치트 코드 입력 상자가 표시됩니다.")</f>
        <v>안드로이드 버전의 RPG 모드에서 아바타 프레임을 길게 누르면 치트 코드 입력 상자가 표시됩니다.</v>
      </c>
      <c r="G86" s="55" t="str">
        <f>IFERROR(__xludf.DUMMYFUNCTION("GOOGLETRANSLATE(A86,""zh-tw"",""ru"")"),"В версии для Android в режиме RPG при длительном нажатии на рамку аватара откроется поле ввода чит-кода.")</f>
        <v>В версии для Android в режиме RPG при длительном нажатии на рамку аватара откроется поле ввода чит-кода.</v>
      </c>
      <c r="H86" s="214" t="s">
        <v>3584</v>
      </c>
      <c r="I86" s="184" t="s">
        <v>3585</v>
      </c>
      <c r="J86" s="46"/>
      <c r="K86" s="46"/>
      <c r="L86" s="46"/>
      <c r="M86" s="46"/>
      <c r="N86" s="46"/>
      <c r="O86" s="46"/>
      <c r="P86" s="46"/>
      <c r="Q86" s="46"/>
      <c r="R86" s="46"/>
      <c r="S86" s="46"/>
      <c r="T86" s="46"/>
      <c r="U86" s="46"/>
      <c r="V86" s="46"/>
      <c r="W86" s="46"/>
    </row>
    <row r="87">
      <c r="A87" s="52" t="s">
        <v>3586</v>
      </c>
      <c r="B87" s="213" t="str">
        <f>IFERROR(__xludf.DUMMYFUNCTION("GOOGLETRANSLATE(A87,""zh-tw"",""ja"")"),"命名に関する追加情報：妹にちなんだ名前を選択した場合、ゲームタイトルおよびロゴの「彼女」が「妹」に変更されます。")</f>
        <v>命名に関する追加情報：妹にちなんだ名前を選択した場合、ゲームタイトルおよびロゴの「彼女」が「妹」に変更されます。</v>
      </c>
      <c r="C87" s="52" t="s">
        <v>3587</v>
      </c>
      <c r="D87" s="213" t="str">
        <f>IFERROR(__xludf.DUMMYFUNCTION("GOOGLETRANSLATE(A87,""zh-tw"",""zh"")"),"取名补充：
取妹妹相关的名子时，游戏标题和游戏LOGO中的""彼女""将会变更为""妹""")</f>
        <v>取名补充：
取妹妹相关的名子时，游戏标题和游戏LOGO中的"彼女"将会变更为"妹"</v>
      </c>
      <c r="E87" s="55" t="str">
        <f>IFERROR(__xludf.DUMMYFUNCTION("GOOGLETRANSLATE(A87,""zh-tw"",""es-MX"")"),"Información adicional para la elección de nombres: Al elegir un nombre relacionado con tu hermana menor, ""彼女"" (Kanojo) en el título y el logotipo del juego se cambiará a ""妹"" (Imouto).")</f>
        <v>Información adicional para la elección de nombres: Al elegir un nombre relacionado con tu hermana menor, "彼女" (Kanojo) en el título y el logotipo del juego se cambiará a "妹" (Imouto).</v>
      </c>
      <c r="F87" s="214" t="str">
        <f>IFERROR(__xludf.DUMMYFUNCTION("GOOGLETRANSLATE(A87,""zh-tw"",""KO"")"),"이름 짓기에 대한 추가 정보: 여동생과 관련된 이름을 선택할 경우, 게임 타이틀과 로고에 나오는 ""彼女""(카노조)는 ""妹""(이모우토)로 변경됩니다.")</f>
        <v>이름 짓기에 대한 추가 정보: 여동생과 관련된 이름을 선택할 경우, 게임 타이틀과 로고에 나오는 "彼女"(카노조)는 "妹"(이모우토)로 변경됩니다.</v>
      </c>
      <c r="G87" s="55" t="str">
        <f>IFERROR(__xludf.DUMMYFUNCTION("GOOGLETRANSLATE(A87,""zh-tw"",""ru"")"),"Дополнительная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f>
        <v>Дополнительная информация по выбору имени: при выборе имени, связанного с вашей младшей сестрой, «彼女» (Канодзё) в названии игры и логотипе будет изменено на «妹» (Имоуто).</v>
      </c>
      <c r="H87" s="213" t="s">
        <v>3588</v>
      </c>
      <c r="I87" s="184" t="s">
        <v>3589</v>
      </c>
      <c r="J87" s="46"/>
      <c r="K87" s="46"/>
      <c r="L87" s="46"/>
      <c r="M87" s="46"/>
      <c r="N87" s="46"/>
      <c r="O87" s="46"/>
      <c r="P87" s="46"/>
      <c r="Q87" s="46"/>
      <c r="R87" s="46"/>
      <c r="S87" s="46"/>
      <c r="T87" s="46"/>
      <c r="U87" s="46"/>
      <c r="V87" s="46"/>
      <c r="W87" s="46"/>
    </row>
    <row r="88">
      <c r="A88" s="55" t="s">
        <v>3590</v>
      </c>
      <c r="B88" s="213" t="str">
        <f>IFERROR(__xludf.DUMMYFUNCTION("GOOGLETRANSLATE(A88,""zh-tw"",""ja"")"),"Android版ではRPGモード時にアバター枠をクリックすることでFPSが表示され、PC版ではF2キーを押すことで表示されます。")</f>
        <v>Android版ではRPGモード時にアバター枠をクリックすることでFPSが表示され、PC版ではF2キーを押すことで表示されます。</v>
      </c>
      <c r="C88" s="55" t="s">
        <v>3591</v>
      </c>
      <c r="D88" s="213" t="str">
        <f>IFERROR(__xludf.DUMMYFUNCTION("GOOGLETRANSLATE(A88,""zh-tw"",""zh"")"),"安卓版在RPG模式下，透过点击头像框，可以显示FPS；PC版本是F2按键。")</f>
        <v>安卓版在RPG模式下，透过点击头像框，可以显示FPS；PC版本是F2按键。</v>
      </c>
      <c r="E88" s="55" t="str">
        <f>IFERROR(__xludf.DUMMYFUNCTION("GOOGLETRANSLATE(A88,""zh-tw"",""es-MX"")"),"En la versión para Android, los FPS se muestran haciendo clic en el marco del avatar en el modo RPG; en la versión para PC, se muestran pulsando la tecla F2.")</f>
        <v>En la versión para Android, los FPS se muestran haciendo clic en el marco del avatar en el modo RPG; en la versión para PC, se muestran pulsando la tecla F2.</v>
      </c>
      <c r="F88" s="214" t="str">
        <f>IFERROR(__xludf.DUMMYFUNCTION("GOOGLETRANSLATE(A88,""zh-tw"",""KO"")"),"안드로이드 버전에서는 RPG 모드에서 아바타 프레임을 클릭하면 FPS가 표시되고, PC 버전에서는 F2 키를 누르면 FPS가 표시됩니다.")</f>
        <v>안드로이드 버전에서는 RPG 모드에서 아바타 프레임을 클릭하면 FPS가 표시되고, PC 버전에서는 F2 키를 누르면 FPS가 표시됩니다.</v>
      </c>
      <c r="G88" s="55" t="str">
        <f>IFERROR(__xludf.DUMMYFUNCTION("GOOGLETRANSLATE(A88,""zh-tw"",""ru"")"),"В версии для Android FPS отображается при нажатии на рамку аватара в режиме RPG; в версии для ПК — при нажатии клавиши F2.")</f>
        <v>В версии для Android FPS отображается при нажатии на рамку аватара в режиме RPG; в версии для ПК — при нажатии клавиши F2.</v>
      </c>
      <c r="H88" s="214" t="s">
        <v>3592</v>
      </c>
      <c r="I88" s="184" t="s">
        <v>3593</v>
      </c>
      <c r="J88" s="46"/>
      <c r="K88" s="46"/>
      <c r="L88" s="46"/>
      <c r="M88" s="46"/>
      <c r="N88" s="46"/>
      <c r="O88" s="46"/>
      <c r="P88" s="46"/>
      <c r="Q88" s="46"/>
      <c r="R88" s="46"/>
      <c r="S88" s="46"/>
      <c r="T88" s="46"/>
      <c r="U88" s="46"/>
      <c r="V88" s="46"/>
      <c r="W88" s="46"/>
    </row>
    <row r="89">
      <c r="A89" s="55" t="s">
        <v>3594</v>
      </c>
      <c r="B89" s="214" t="s">
        <v>3595</v>
      </c>
      <c r="C89" s="55" t="s">
        <v>3596</v>
      </c>
      <c r="D89" s="213" t="str">
        <f>IFERROR(__xludf.DUMMYFUNCTION("GOOGLETRANSLATE(A89,""zh-tw"",""zh"")"),"关于贿络系统
当你的红心、紫心数量不足以达到事件要求时，可以贿络妹妹，使用约定草莓牛奶、金币、什么都行券，来无视条件
妹妹发情等特殊状态会做独立判定")</f>
        <v>关于贿络系统
当你的红心、紫心数量不足以达到事件要求时，可以贿络妹妹，使用约定草莓牛奶、金币、什么都行券，来无视条件
妹妹发情等特殊状态会做独立判定</v>
      </c>
      <c r="E89" s="101" t="s">
        <v>3597</v>
      </c>
      <c r="F89" s="214" t="str">
        <f>IFERROR(__xludf.DUMMYFUNCTION("GOOGLETRANSLATE(A89,""zh-tw"",""KO"")"),"뇌물 시스템에 관하여: 이벤트 조건을 충족할 만큼 빨간 하트와 보라색 하트가 충분하지 않을 경우, 딸기 우유, 동전, 또는 쿠폰 등을 사용하여 해당 조건을 무시하고 해당 소녀에게 뇌물을 줄 수 있습니다. 발정기와 같은 특수 상황은 별도로 판단됩니다.")</f>
        <v>뇌물 시스템에 관하여: 이벤트 조건을 충족할 만큼 빨간 하트와 보라색 하트가 충분하지 않을 경우, 딸기 우유, 동전, 또는 쿠폰 등을 사용하여 해당 조건을 무시하고 해당 소녀에게 뇌물을 줄 수 있습니다. 발정기와 같은 특수 상황은 별도로 판단됩니다.</v>
      </c>
      <c r="G89" s="55" t="str">
        <f>IFERROR(__xludf.DUMMYFUNCTION("GOOGLETRANSLATE(A89,""zh-tw"",""ru"")"),"Что касается системы подкупа: если у вас недостаточно красных и фиолетовых сердец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 Осо"&amp;"бые условия, например, течка, будут оцениваться отдельно.")</f>
        <v>Что касается системы подкупа: если у вас недостаточно красных и фиолетовых сердец для выполнения условий мероприятия, вы можете подкупить девушку, используя такие предметы, как клубничное молоко, монеты или любые купоны, чтобы проигнорировать условия. Особые условия, например, течка, будут оцениваться отдельно.</v>
      </c>
      <c r="H89" s="214" t="s">
        <v>3598</v>
      </c>
      <c r="I89" s="184" t="s">
        <v>3599</v>
      </c>
      <c r="J89" s="46"/>
      <c r="K89" s="46"/>
      <c r="L89" s="46"/>
      <c r="M89" s="46"/>
      <c r="N89" s="46"/>
      <c r="O89" s="46"/>
      <c r="P89" s="46"/>
      <c r="Q89" s="46"/>
      <c r="R89" s="46"/>
      <c r="S89" s="46"/>
      <c r="T89" s="46"/>
      <c r="U89" s="46"/>
      <c r="V89" s="46"/>
      <c r="W89" s="46"/>
    </row>
    <row r="90">
      <c r="A90" s="52" t="s">
        <v>3600</v>
      </c>
      <c r="B90" s="213" t="str">
        <f>IFERROR(__xludf.DUMMYFUNCTION("GOOGLETRANSLATE(A90,""zh-tw"",""ja"")"),"「冒険の道：石碑」マップでは、石碑に今までに倒された回数が表示されます。")</f>
        <v>「冒険の道：石碑」マップでは、石碑に今までに倒された回数が表示されます。</v>
      </c>
      <c r="C90" s="52" t="s">
        <v>3601</v>
      </c>
      <c r="D90" s="213" t="str">
        <f>IFERROR(__xludf.DUMMYFUNCTION("GOOGLETRANSLATE(A90,""zh-tw"",""zh"")"),"在""冒险者小道:纪念碑""地图中，石碑可以查看到战败的次数了")</f>
        <v>在"冒险者小道:纪念碑"地图中，石碑可以查看到战败的次数了</v>
      </c>
      <c r="E90" s="55" t="str">
        <f>IFERROR(__xludf.DUMMYFUNCTION("GOOGLETRANSLATE(A90,""zh-tw"",""es-MX"")"),"En el mapa ""Sendero del Aventurero: Monumento"", el monumento de piedra muestra el número de veces que has sido derrotado.")</f>
        <v>En el mapa "Sendero del Aventurero: Monumento", el monumento de piedra muestra el número de veces que has sido derrotado.</v>
      </c>
      <c r="F90" s="214" t="str">
        <f>IFERROR(__xludf.DUMMYFUNCTION("GOOGLETRANSLATE(A90,""zh-tw"",""KO"")"),"""모험가의 길: 기념물"" 지도에서 돌 기념물은 당신이 패배한 횟수를 표시합니다.")</f>
        <v>"모험가의 길: 기념물" 지도에서 돌 기념물은 당신이 패배한 횟수를 표시합니다.</v>
      </c>
      <c r="G90" s="55" t="str">
        <f>IFERROR(__xludf.DUMMYFUNCTION("GOOGLETRANSLATE(A90,""zh-tw"",""ru"")"),"На карте «Тропа искателя приключений: Монумент» каменный монумент отображает количество ваших поражений.")</f>
        <v>На карте «Тропа искателя приключений: Монумент» каменный монумент отображает количество ваших поражений.</v>
      </c>
      <c r="H90" s="218" t="s">
        <v>3602</v>
      </c>
      <c r="I90" s="184" t="s">
        <v>3603</v>
      </c>
      <c r="J90" s="46"/>
      <c r="K90" s="46"/>
      <c r="L90" s="46"/>
      <c r="M90" s="46"/>
      <c r="N90" s="46"/>
      <c r="O90" s="46"/>
      <c r="P90" s="46"/>
      <c r="Q90" s="46"/>
      <c r="R90" s="46"/>
      <c r="S90" s="46"/>
      <c r="T90" s="46"/>
      <c r="U90" s="46"/>
      <c r="V90" s="46"/>
      <c r="W90" s="46"/>
    </row>
    <row r="91">
      <c r="A91" s="55" t="s">
        <v>3604</v>
      </c>
      <c r="B91" s="214" t="s">
        <v>3605</v>
      </c>
      <c r="C91" s="55" t="s">
        <v>3606</v>
      </c>
      <c r="D91" s="213" t="str">
        <f>IFERROR(__xludf.DUMMYFUNCTION("GOOGLETRANSLATE(A91,""zh-tw"",""zh"")"),"传说，在某个地区的下方藏着天上之石碎片，而导致胡萝卜巨大化；而在这里就有个想要保护胡萝卜的BOSS")</f>
        <v>传说，在某个地区的下方藏着天上之石碎片，而导致胡萝卜巨大化；而在这里就有个想要保护胡萝卜的BOSS</v>
      </c>
      <c r="E91" s="55" t="str">
        <f>IFERROR(__xludf.DUMMYFUNCTION("GOOGLETRANSLATE(A91,""zh-tw"",""es-MX"")"),"Cuenta la leyenda que un fragmento de una piedra celestial yace oculto bajo cierta región, provocando que la zanahoria crezca hasta alcanzar un tamaño descomunal; y allí vive un jefe que desea protegerla.")</f>
        <v>Cuenta la leyenda que un fragmento de una piedra celestial yace oculto bajo cierta región, provocando que la zanahoria crezca hasta alcanzar un tamaño descomunal; y allí vive un jefe que desea protegerla.</v>
      </c>
      <c r="F91" s="214" t="str">
        <f>IFERROR(__xludf.DUMMYFUNCTION("GOOGLETRANSLATE(A91,""zh-tw"",""KO"")"),"전설에 따르면, 어떤 지역 아래에 천상의 돌 조각이 숨겨져 있어서 당근이 엄청나게 커졌다고 합니다. 그리고 여기에는 당근을 보호하려는 보스가 살고 있다고 합니다.")</f>
        <v>전설에 따르면, 어떤 지역 아래에 천상의 돌 조각이 숨겨져 있어서 당근이 엄청나게 커졌다고 합니다. 그리고 여기에는 당근을 보호하려는 보스가 살고 있다고 합니다.</v>
      </c>
      <c r="G91" s="55" t="str">
        <f>IFERROR(__xludf.DUMMYFUNCTION("GOOGLETRANSLATE(A91,""zh-tw"",""ru"")"),"Легенда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f>
        <v>Легенда гласит, что под определенным регионом спрятан осколок небесного камня, из-за которого морковь вырастает до таких огромных размеров; и здесь живет босс, который хочет защитить морковь.</v>
      </c>
      <c r="H91" s="214" t="s">
        <v>3607</v>
      </c>
      <c r="I91" s="184" t="s">
        <v>3608</v>
      </c>
      <c r="J91" s="46"/>
      <c r="K91" s="46"/>
      <c r="L91" s="46"/>
      <c r="M91" s="46"/>
      <c r="N91" s="46"/>
      <c r="O91" s="46"/>
      <c r="P91" s="46"/>
      <c r="Q91" s="46"/>
      <c r="R91" s="46"/>
      <c r="S91" s="46"/>
      <c r="T91" s="46"/>
      <c r="U91" s="46"/>
      <c r="V91" s="46"/>
      <c r="W91" s="46"/>
    </row>
    <row r="92">
      <c r="A92" s="55" t="s">
        <v>3609</v>
      </c>
      <c r="B92" s="214" t="s">
        <v>3610</v>
      </c>
      <c r="C92" s="55" t="s">
        <v>3611</v>
      </c>
      <c r="D92" s="213" t="str">
        <f>IFERROR(__xludf.DUMMYFUNCTION("GOOGLETRANSLATE(A92,""zh-tw"",""zh"")"),"卢恩符文Kenaz，只要是能攻击的对象，都可以发生效果(地图物件、怪物、BOSS、兔子洞...等)")</f>
        <v>卢恩符文Kenaz，只要是能攻击的对象，都可以发生效果(地图物件、怪物、BOSS、兔子洞...等)</v>
      </c>
      <c r="E92" s="55" t="str">
        <f>IFERROR(__xludf.DUMMYFUNCTION("GOOGLETRANSLATE(A92,""zh-tw"",""es-MX"")"),"La runa Kenaz puede afectar a cualquier objetivo que pueda ser atacado (objetos del mapa, monstruos, jefes, madrigueras de conejos, etc.).")</f>
        <v>La runa Kenaz puede afectar a cualquier objetivo que pueda ser atacado (objetos del mapa, monstruos, jefes, madrigueras de conejos, etc.).</v>
      </c>
      <c r="F92" s="214" t="str">
        <f>IFERROR(__xludf.DUMMYFUNCTION("GOOGLETRANSLATE(A92,""zh-tw"",""KO"")"),"케나즈 룬은 공격받을 수 있는 모든 대상(지도 객체, 몬스터, 보스, 토끼굴 등)에 영향을 미칠 수 있습니다.")</f>
        <v>케나즈 룬은 공격받을 수 있는 모든 대상(지도 객체, 몬스터, 보스, 토끼굴 등)에 영향을 미칠 수 있습니다.</v>
      </c>
      <c r="G92" s="55" t="str">
        <f>IFERROR(__xludf.DUMMYFUNCTION("GOOGLETRANSLATE(A92,""zh-tw"",""ru"")"),"Руна Кеназ может воздействовать на любую цель, которую можно атаковать (объекты карты, монстры, боссы, кроличьи норы и т. д.).")</f>
        <v>Руна Кеназ может воздействовать на любую цель, которую можно атаковать (объекты карты, монстры, боссы, кроличьи норы и т. д.).</v>
      </c>
      <c r="H92" s="214" t="s">
        <v>3612</v>
      </c>
      <c r="I92" s="184" t="s">
        <v>3613</v>
      </c>
      <c r="J92" s="46"/>
      <c r="K92" s="46"/>
      <c r="L92" s="46"/>
      <c r="M92" s="46"/>
      <c r="N92" s="46"/>
      <c r="O92" s="46"/>
      <c r="P92" s="46"/>
      <c r="Q92" s="46"/>
      <c r="R92" s="46"/>
      <c r="S92" s="46"/>
      <c r="T92" s="46"/>
      <c r="U92" s="46"/>
      <c r="V92" s="46"/>
      <c r="W92" s="46"/>
    </row>
    <row r="93">
      <c r="A93" s="52" t="s">
        <v>3614</v>
      </c>
      <c r="B93" s="213" t="s">
        <v>3615</v>
      </c>
      <c r="C93" s="52" t="s">
        <v>3616</v>
      </c>
      <c r="D93" s="213" t="str">
        <f>IFERROR(__xludf.DUMMYFUNCTION("GOOGLETRANSLATE(A93,""zh-tw"",""zh"")"),"不论是哥哥或妹妹，当食材全吃光后...将会触发在仓库中发现泡面的隐藏剧情")</f>
        <v>不论是哥哥或妹妹，当食材全吃光后...将会触发在仓库中发现泡面的隐藏剧情</v>
      </c>
      <c r="E93" s="55" t="str">
        <f>IFERROR(__xludf.DUMMYFUNCTION("GOOGLETRANSLATE(A93,""zh-tw"",""es-MX"")"),"Ya sea el hermano mayor o la hermana menor, una vez que se hayan consumido todos los ingredientes... se activará un evento oculto en el que se encontrarán fideos instantáneos en el almacén.")</f>
        <v>Ya sea el hermano mayor o la hermana menor, una vez que se hayan consumido todos los ingredientes... se activará un evento oculto en el que se encontrarán fideos instantáneos en el almacén.</v>
      </c>
      <c r="F93" s="214" t="str">
        <f>IFERROR(__xludf.DUMMYFUNCTION("GOOGLETRANSLATE(A93,""zh-tw"",""KO"")"),"오빠든 여동생이든, 모든 재료를 먹으면... 창고에서 인스턴트 라면을 발견하는 숨겨진 이벤트가 발생합니다.")</f>
        <v>오빠든 여동생이든, 모든 재료를 먹으면... 창고에서 인스턴트 라면을 발견하는 숨겨진 이벤트가 발생합니다.</v>
      </c>
      <c r="G93" s="55" t="str">
        <f>IFERROR(__xludf.DUMMYFUNCTION("GOOGLETRANSLATE(A93,""zh-tw"",""ru"")"),"Независимо от того, старший ли это брат или младшая сестра, как только все ингредиенты будут съедены... произойдет скрытое событие, и на складе будет обнаружена лапша быстрого приготовления.")</f>
        <v>Независимо от того, старший ли это брат или младшая сестра, как только все ингредиенты будут съедены... произойдет скрытое событие, и на складе будет обнаружена лапша быстрого приготовления.</v>
      </c>
      <c r="H93" s="214" t="str">
        <f>IFERROR(__xludf.DUMMYFUNCTION("GOOGLETRANSLATE(A93,""zh-tw"",""de"")"),"Egal ob älterer Bruder oder jüngere Schwester, sobald alle Zutaten aufgegessen sind, wird ein verstecktes Ereignis ausgelöst, bei dem im Lagerhaus Instantnudeln gefunden werden.")</f>
        <v>Egal ob älterer Bruder oder jüngere Schwester, sobald alle Zutaten aufgegessen sind, wird ein verstecktes Ereignis ausgelöst, bei dem im Lagerhaus Instantnudeln gefunden werden.</v>
      </c>
      <c r="I93" s="184" t="s">
        <v>3617</v>
      </c>
      <c r="J93" s="46"/>
      <c r="K93" s="46"/>
      <c r="L93" s="46"/>
      <c r="M93" s="46"/>
      <c r="N93" s="46"/>
      <c r="O93" s="46"/>
      <c r="P93" s="46"/>
      <c r="Q93" s="46"/>
      <c r="R93" s="46"/>
      <c r="S93" s="46"/>
      <c r="T93" s="46"/>
      <c r="U93" s="46"/>
      <c r="V93" s="46"/>
      <c r="W93" s="46"/>
    </row>
    <row r="94">
      <c r="A94" s="55" t="s">
        <v>3618</v>
      </c>
      <c r="B94" s="214" t="s">
        <v>3619</v>
      </c>
      <c r="C94" s="55" t="s">
        <v>3620</v>
      </c>
      <c r="D94" s="213" t="str">
        <f>IFERROR(__xludf.DUMMYFUNCTION("GOOGLETRANSLATE(A94,""zh-tw"",""zh"")"),"矿车移动期间，可以提前跳车(部分效果演绎也会因此发生变化)")</f>
        <v>矿车移动期间，可以提前跳车(部分效果演绎也会因此发生变化)</v>
      </c>
      <c r="E94" s="55" t="str">
        <f>IFERROR(__xludf.DUMMYFUNCTION("GOOGLETRANSLATE(A94,""zh-tw"",""es-MX"")"),"Puedes saltar de la vagoneta antes de que empiece a moverse (esto cambiará algunos de los efectos visuales).")</f>
        <v>Puedes saltar de la vagoneta antes de que empiece a moverse (esto cambiará algunos de los efectos visuales).</v>
      </c>
      <c r="F94" s="214" t="str">
        <f>IFERROR(__xludf.DUMMYFUNCTION("GOOGLETRANSLATE(A94,""zh-tw"",""KO"")"),"미니카트가 움직이기 전에 뛰어내릴 수 있습니다(이렇게 하면 일부 시각적 효과가 변경됩니다).")</f>
        <v>미니카트가 움직이기 전에 뛰어내릴 수 있습니다(이렇게 하면 일부 시각적 효과가 변경됩니다).</v>
      </c>
      <c r="G94" s="55" t="str">
        <f>IFERROR(__xludf.DUMMYFUNCTION("GOOGLETRANSLATE(A94,""zh-tw"",""ru"")"),"Вы можете спрыгнуть с вагонетки до того, как она начнет движение (это изменит некоторые визуальные эффекты).")</f>
        <v>Вы можете спрыгнуть с вагонетки до того, как она начнет движение (это изменит некоторые визуальные эффекты).</v>
      </c>
      <c r="H94" s="214" t="s">
        <v>3621</v>
      </c>
      <c r="I94" s="184" t="s">
        <v>3622</v>
      </c>
      <c r="J94" s="46"/>
      <c r="K94" s="46"/>
      <c r="L94" s="46"/>
      <c r="M94" s="46"/>
      <c r="N94" s="46"/>
      <c r="O94" s="46"/>
      <c r="P94" s="46"/>
      <c r="Q94" s="46"/>
      <c r="R94" s="46"/>
      <c r="S94" s="46"/>
      <c r="T94" s="46"/>
      <c r="U94" s="46"/>
      <c r="V94" s="46"/>
      <c r="W94" s="46"/>
    </row>
    <row r="95">
      <c r="A95" s="52" t="s">
        <v>3623</v>
      </c>
      <c r="B95" s="213" t="s">
        <v>3624</v>
      </c>
      <c r="C95" s="52" t="s">
        <v>3625</v>
      </c>
      <c r="D95" s="213" t="str">
        <f>IFERROR(__xludf.DUMMYFUNCTION("GOOGLETRANSLATE(A95,""zh-tw"",""zh"")"),"关于水面的气泡，气泡位置于水域场景随机产生，使用炸弹时，会比平常更容易出现食材。
另外，有可能炸出生物（未实装）")</f>
        <v>关于水面的气泡，气泡位置于水域场景随机产生，使用炸弹时，会比平常更容易出现食材。
另外，有可能炸出生物（未实装）</v>
      </c>
      <c r="E95" s="55" t="str">
        <f>IFERROR(__xludf.DUMMYFUNCTION("GOOGLETRANSLATE(A95,""zh-tw"",""es-MX"")"),"En cuanto a las burbujas en la superficie del agua, su ubicación se genera aleatoriamente en la zona acuática. Usar bombas facilitará la aparición de alimentos.
Además, es posible generar criaturas (función aún no implementada).")</f>
        <v>En cuanto a las burbujas en la superficie del agua, su ubicación se genera aleatoriamente en la zona acuática. Usar bombas facilitará la aparición de alimentos.
Además, es posible generar criaturas (función aún no implementada).</v>
      </c>
      <c r="F95" s="214" t="str">
        <f>IFERROR(__xludf.DUMMYFUNCTION("GOOGLETRANSLATE(A95,""zh-tw"",""KO"")"),"수면의 거품은 물 속에서 무작위로 생성됩니다. 폭탄을 사용하면 평소보다 식량 아이템을 더 쉽게 생성할 수 있습니다.
또한, 아직 구현되지 않은 생물을 생성할 수도 있습니다.")</f>
        <v>수면의 거품은 물 속에서 무작위로 생성됩니다. 폭탄을 사용하면 평소보다 식량 아이템을 더 쉽게 생성할 수 있습니다.
또한, 아직 구현되지 않은 생물을 생성할 수도 있습니다.</v>
      </c>
      <c r="G95" s="55" t="str">
        <f>IFERROR(__xludf.DUMMYFUNCTION("GOOGLETRANSLATE(A95,""zh-tw"",""ru"")"),"Что касается пузырьков на поверхности воды, их местоположение в акватории генерируется случайным образом. Использование бомб облегчит появление еды, чем обычно.
Кроме того, можно создавать существ (пока не реализовано).")</f>
        <v>Что касается пузырьков на поверхности воды, их местоположение в акватории генерируется случайным образом. Использование бомб облегчит появление еды, чем обычно.
Кроме того, можно создавать существ (пока не реализовано).</v>
      </c>
      <c r="H95" s="213" t="s">
        <v>3626</v>
      </c>
      <c r="I95" s="184" t="s">
        <v>3627</v>
      </c>
      <c r="J95" s="46"/>
      <c r="K95" s="46"/>
      <c r="L95" s="46"/>
      <c r="M95" s="46"/>
      <c r="N95" s="46"/>
      <c r="O95" s="46"/>
      <c r="P95" s="46"/>
      <c r="Q95" s="46"/>
      <c r="R95" s="46"/>
      <c r="S95" s="46"/>
      <c r="T95" s="46"/>
      <c r="U95" s="46"/>
      <c r="V95" s="46"/>
      <c r="W95" s="46"/>
    </row>
    <row r="96">
      <c r="A96" s="55" t="s">
        <v>3628</v>
      </c>
      <c r="B96" s="213" t="s">
        <v>3629</v>
      </c>
      <c r="C96" s="55" t="s">
        <v>3630</v>
      </c>
      <c r="D96" s="213" t="str">
        <f>IFERROR(__xludf.DUMMYFUNCTION("GOOGLETRANSLATE(A96,""zh-tw"",""zh"")"),"箱庭的白兔-在兔子洞全部破坏后，会被迫弹到地面")</f>
        <v>箱庭的白兔-在兔子洞全部破坏后，会被迫弹到地面</v>
      </c>
      <c r="E96" s="55" t="str">
        <f>IFERROR(__xludf.DUMMYFUNCTION("GOOGLETRANSLATE(A96,""zh-tw"",""es-MX"")"),"El Conejo Blanco del Jardín Pequeño - Después de que la madriguera del conejo sea completamente destruida, se verá obligado a rebotar contra el suelo.")</f>
        <v>El Conejo Blanco del Jardín Pequeño - Después de que la madriguera del conejo sea completamente destruida, se verá obligado a rebotar contra el suelo.</v>
      </c>
      <c r="F96" s="214" t="str">
        <f>IFERROR(__xludf.DUMMYFUNCTION("GOOGLETRANSLATE(A96,""zh-tw"",""KO"")"),"작은 정원의 흰 토끼 - 토끼 굴이 완전히 파괴되면 땅으로 튀어 오르게 됩니다.")</f>
        <v>작은 정원의 흰 토끼 - 토끼 굴이 완전히 파괴되면 땅으로 튀어 오르게 됩니다.</v>
      </c>
      <c r="G96" s="55" t="str">
        <f>IFERROR(__xludf.DUMMYFUNCTION("GOOGLETRANSLATE(A96,""zh-tw"",""ru"")"),"Белый кролик маленького сада - После того, как кроличья нора будет полностью разрушена, она будет вынуждена упасть на землю.")</f>
        <v>Белый кролик маленького сада - После того, как кроличья нора будет полностью разрушена, она будет вынуждена упасть на землю.</v>
      </c>
      <c r="H96" s="214" t="s">
        <v>3631</v>
      </c>
      <c r="I96" s="184" t="s">
        <v>3632</v>
      </c>
      <c r="J96" s="46"/>
      <c r="K96" s="46"/>
      <c r="L96" s="46"/>
      <c r="M96" s="46"/>
      <c r="N96" s="46"/>
      <c r="O96" s="46"/>
      <c r="P96" s="46"/>
      <c r="Q96" s="46"/>
      <c r="R96" s="46"/>
      <c r="S96" s="46"/>
      <c r="T96" s="46"/>
      <c r="U96" s="46"/>
      <c r="V96" s="46"/>
      <c r="W96" s="46"/>
    </row>
    <row r="97">
      <c r="A97" s="55" t="s">
        <v>3633</v>
      </c>
      <c r="B97" s="214" t="s">
        <v>3634</v>
      </c>
      <c r="C97" s="55" t="s">
        <v>3635</v>
      </c>
      <c r="D97" s="213" t="str">
        <f>IFERROR(__xludf.DUMMYFUNCTION("GOOGLETRANSLATE(A97,""zh-tw"",""zh"")"),"箱庭的白兔-会强制玩家无法逃离(星之门也会被吞噬)，但是塔罗牌不受影响。")</f>
        <v>箱庭的白兔-会强制玩家无法逃离(星之门也会被吞噬)，但是塔罗牌不受影响。</v>
      </c>
      <c r="E97" s="55" t="str">
        <f>IFERROR(__xludf.DUMMYFUNCTION("GOOGLETRANSLATE(A97,""zh-tw"",""es-MX"")"),"El Conejo Blanco del Jardín Pequeño impedirá que el jugador escape (la Puerta Estelar también será engullida), pero las cartas del Tarot no se verán afectadas.")</f>
        <v>El Conejo Blanco del Jardín Pequeño impedirá que el jugador escape (la Puerta Estelar también será engullida), pero las cartas del Tarot no se verán afectadas.</v>
      </c>
      <c r="F97" s="214" t="str">
        <f>IFERROR(__xludf.DUMMYFUNCTION("GOOGLETRANSLATE(A97,""zh-tw"",""KO"")"),"작은 정원에 있는 흰 토끼는 플레이어가 탈출하는 것을 막습니다(스타 게이트도 삼켜집니다). 하지만 타로 카드에는 영향을 미치지 않습니다.")</f>
        <v>작은 정원에 있는 흰 토끼는 플레이어가 탈출하는 것을 막습니다(스타 게이트도 삼켜집니다). 하지만 타로 카드에는 영향을 미치지 않습니다.</v>
      </c>
      <c r="G97" s="55" t="str">
        <f>IFERROR(__xludf.DUMMYFUNCTION("GOOGLETRANSLATE(A97,""zh-tw"",""ru"")"),"Белый Кролик в Малом Саду не даст игроку сбежать (Звездные Врата также будут поглощены), но карты Таро не будут затронуты.")</f>
        <v>Белый Кролик в Малом Саду не даст игроку сбежать (Звездные Врата также будут поглощены), но карты Таро не будут затронуты.</v>
      </c>
      <c r="H97" s="214" t="s">
        <v>3636</v>
      </c>
      <c r="I97" s="184" t="s">
        <v>3637</v>
      </c>
      <c r="J97" s="46"/>
      <c r="K97" s="46"/>
      <c r="L97" s="46"/>
      <c r="M97" s="46"/>
      <c r="N97" s="46"/>
      <c r="O97" s="46"/>
      <c r="P97" s="46"/>
      <c r="Q97" s="46"/>
      <c r="R97" s="46"/>
      <c r="S97" s="46"/>
      <c r="T97" s="46"/>
      <c r="U97" s="46"/>
      <c r="V97" s="46"/>
      <c r="W97" s="46"/>
    </row>
    <row r="98">
      <c r="A98" s="55" t="s">
        <v>3638</v>
      </c>
      <c r="B98" s="214" t="s">
        <v>3639</v>
      </c>
      <c r="C98" s="55" t="s">
        <v>3640</v>
      </c>
      <c r="D98" s="213" t="str">
        <f>IFERROR(__xludf.DUMMYFUNCTION("GOOGLETRANSLATE(A98,""zh-tw"",""zh"")"),"箱庭的白兔-如果玩家战斗落败，身上的胡萝卜会被没收")</f>
        <v>箱庭的白兔-如果玩家战斗落败，身上的胡萝卜会被没收</v>
      </c>
      <c r="E98" s="55" t="str">
        <f>IFERROR(__xludf.DUMMYFUNCTION("GOOGLETRANSLATE(A98,""zh-tw"",""es-MX"")"),"El Conejo Blanco en el Jardín en Miniatura - Si el jugador pierde la batalla, se le confiscarán las zanahorias que lleve consigo.")</f>
        <v>El Conejo Blanco en el Jardín en Miniatura - Si el jugador pierde la batalla, se le confiscarán las zanahorias que lleve consigo.</v>
      </c>
      <c r="F98" s="214" t="str">
        <f>IFERROR(__xludf.DUMMYFUNCTION("GOOGLETRANSLATE(A98,""zh-tw"",""KO"")"),"미니어처 정원의 흰 토끼 - 플레이어가 전투에서 패배하면 해당 플레이어가 소지하고 있던 당근은 몰수됩니다.")</f>
        <v>미니어처 정원의 흰 토끼 - 플레이어가 전투에서 패배하면 해당 플레이어가 소지하고 있던 당근은 몰수됩니다.</v>
      </c>
      <c r="G98" s="55" t="str">
        <f>IFERROR(__xludf.DUMMYFUNCTION("GOOGLETRANSLATE(A98,""zh-tw"",""ru"")"),"Белый кролик в миниатюрном саду. Если игрок проиграет битву, вся морковь, находящаяся у него, будет конфискована.")</f>
        <v>Белый кролик в миниатюрном саду. Если игрок проиграет битву, вся морковь, находящаяся у него, будет конфискована.</v>
      </c>
      <c r="H98" s="214" t="s">
        <v>3641</v>
      </c>
      <c r="I98" s="184" t="s">
        <v>3642</v>
      </c>
      <c r="J98" s="46"/>
      <c r="K98" s="46"/>
      <c r="L98" s="46"/>
      <c r="M98" s="46"/>
      <c r="N98" s="46"/>
      <c r="O98" s="46"/>
      <c r="P98" s="46"/>
      <c r="Q98" s="46"/>
      <c r="R98" s="46"/>
      <c r="S98" s="46"/>
      <c r="T98" s="46"/>
      <c r="U98" s="46"/>
      <c r="V98" s="46"/>
      <c r="W98" s="46"/>
    </row>
    <row r="99">
      <c r="A99" s="52" t="s">
        <v>3643</v>
      </c>
      <c r="B99" s="214" t="s">
        <v>3644</v>
      </c>
      <c r="C99" s="55" t="s">
        <v>3645</v>
      </c>
      <c r="D99" s="213" t="str">
        <f>IFERROR(__xludf.DUMMYFUNCTION("GOOGLETRANSLATE(A99,""zh-tw"",""zh"")"),"胡萝卜大剑-放在篝火上烤可以召唤女仆兔为你打开传送去其他篝火存取点的兔子洞(未实装)")</f>
        <v>胡萝卜大剑-放在篝火上烤可以召唤女仆兔为你打开传送去其他篝火存取点的兔子洞(未实装)</v>
      </c>
      <c r="E99" s="55" t="str">
        <f>IFERROR(__xludf.DUMMYFUNCTION("GOOGLETRANSLATE(A99,""zh-tw"",""es-MX"")"),"Gran Espada de Zanahoria: Asarla sobre una fogata invocará a una conejita sirvienta que abrirá una madriguera que te teletransportará a otros puntos de guardado de fogatas (aún no implementado).")</f>
        <v>Gran Espada de Zanahoria: Asarla sobre una fogata invocará a una conejita sirvienta que abrirá una madriguera que te teletransportará a otros puntos de guardado de fogatas (aún no implementado).</v>
      </c>
      <c r="F99" s="214" t="str">
        <f>IFERROR(__xludf.DUMMYFUNCTION("GOOGLETRANSLATE(A99,""zh-tw"",""KO"")"),"당근 대검 - 모닥불 위에 구워 먹으면 하녀 토끼가 소환되어 토끼굴을 열고 모닥불의 다른 저장 지점으로 순간이동합니다(아직 구현되지 않음).")</f>
        <v>당근 대검 - 모닥불 위에 구워 먹으면 하녀 토끼가 소환되어 토끼굴을 열고 모닥불의 다른 저장 지점으로 순간이동합니다(아직 구현되지 않음).</v>
      </c>
      <c r="G99" s="55" t="str">
        <f>IFERROR(__xludf.DUMMYFUNCTION("GOOGLETRANSLATE(A99,""zh-tw"",""ru"")"),"Морковный двуручный меч — если его поджарить на костре, то можно призвать кролика-горничную, который откроет кроличью нору, телепортирующую вас к другим точкам сохранения у костра (пока не реализовано).")</f>
        <v>Морковный двуручный меч — если его поджарить на костре, то можно призвать кролика-горничную, который откроет кроличью нору, телепортирующую вас к другим точкам сохранения у костра (пока не реализовано).</v>
      </c>
      <c r="H99" s="214" t="s">
        <v>3646</v>
      </c>
      <c r="I99" s="184" t="s">
        <v>3647</v>
      </c>
      <c r="J99" s="46"/>
      <c r="K99" s="46"/>
      <c r="L99" s="46"/>
      <c r="M99" s="46"/>
      <c r="N99" s="46"/>
      <c r="O99" s="46"/>
      <c r="P99" s="46"/>
      <c r="Q99" s="46"/>
      <c r="R99" s="46"/>
      <c r="S99" s="46"/>
      <c r="T99" s="46"/>
      <c r="U99" s="46"/>
      <c r="V99" s="46"/>
      <c r="W99" s="46"/>
    </row>
    <row r="100">
      <c r="A100" s="52" t="s">
        <v>3648</v>
      </c>
      <c r="B100" s="214" t="s">
        <v>3649</v>
      </c>
      <c r="C100" s="55" t="s">
        <v>3650</v>
      </c>
      <c r="D100" s="213" t="str">
        <f>IFERROR(__xludf.DUMMYFUNCTION("GOOGLETRANSLATE(A100,""zh-tw"",""zh"")"),"ASABA的草莓/胡萝卜，目前对于妹妹与哥哥的饮食方面无特殊影响效果")</f>
        <v>ASABA的草莓/胡萝卜，目前对于妹妹与哥哥的饮食方面无特殊影响效果</v>
      </c>
      <c r="E100" s="55" t="str">
        <f>IFERROR(__xludf.DUMMYFUNCTION("GOOGLETRANSLATE(A100,""zh-tw"",""es-MX"")"),"Las fresas y zanahorias de ASABA todavía no han tenido ningún efecto especial en la dieta de la hermana menor y el hermano mayor.")</f>
        <v>Las fresas y zanahorias de ASABA todavía no han tenido ningún efecto especial en la dieta de la hermana menor y el hermano mayor.</v>
      </c>
      <c r="F100" s="214" t="str">
        <f>IFERROR(__xludf.DUMMYFUNCTION("GOOGLETRANSLATE(A100,""zh-tw"",""KO"")"),"아사바의 딸기/당근은 아직 여동생과 오빠의 식단에 특별한 효과를 보이지 않았습니다.")</f>
        <v>아사바의 딸기/당근은 아직 여동생과 오빠의 식단에 특별한 효과를 보이지 않았습니다.</v>
      </c>
      <c r="G100" s="55" t="str">
        <f>IFERROR(__xludf.DUMMYFUNCTION("GOOGLETRANSLATE(A100,""zh-tw"",""ru"")"),"Клубника/морковь ASABA пока не оказала особого влияния на рацион младшей сестры и старшего брата.")</f>
        <v>Клубника/морковь ASABA пока не оказала особого влияния на рацион младшей сестры и старшего брата.</v>
      </c>
      <c r="H100" s="214" t="s">
        <v>3651</v>
      </c>
      <c r="I100" s="184" t="s">
        <v>3652</v>
      </c>
      <c r="J100" s="46"/>
      <c r="K100" s="46"/>
      <c r="L100" s="46"/>
      <c r="M100" s="46"/>
      <c r="N100" s="46"/>
      <c r="O100" s="46"/>
      <c r="P100" s="46"/>
      <c r="Q100" s="46"/>
      <c r="R100" s="46"/>
      <c r="S100" s="46"/>
      <c r="T100" s="46"/>
      <c r="U100" s="46"/>
      <c r="V100" s="46"/>
      <c r="W100" s="46"/>
    </row>
    <row r="101">
      <c r="A101" s="52" t="s">
        <v>3653</v>
      </c>
      <c r="B101" s="214" t="s">
        <v>3654</v>
      </c>
      <c r="C101" s="55" t="s">
        <v>3655</v>
      </c>
      <c r="D101" s="213" t="str">
        <f>IFERROR(__xludf.DUMMYFUNCTION("GOOGLETRANSLATE(A101,""zh-tw"",""zh"")"),"""ASABA的草莓""比普通草莓更好吃，如果拿这个食材喂ASABA，会激怒它，并触发BOSS战斗")</f>
        <v>"ASABA的草莓"比普通草莓更好吃，如果拿这个食材喂ASABA，会激怒它，并触发BOSS战斗</v>
      </c>
      <c r="E101" s="55" t="str">
        <f>IFERROR(__xludf.DUMMYFUNCTION("GOOGLETRANSLATE(A101,""zh-tw"",""es-MX"")"),"Las fresas de ASABA tienen mejor sabor que las fresas normales. Si le das este ingrediente a ASABA, se enfurecerá y se desencadenará una batalla contra un jefe.")</f>
        <v>Las fresas de ASABA tienen mejor sabor que las fresas normales. Si le das este ingrediente a ASABA, se enfurecerá y se desencadenará una batalla contra un jefe.</v>
      </c>
      <c r="F101" s="214" t="str">
        <f>IFERROR(__xludf.DUMMYFUNCTION("GOOGLETRANSLATE(A101,""zh-tw"",""KO"")"),"""아사바의 딸기""는 일반 딸기보다 맛이 좋습니다. 이 재료를 아사바에게 먹이면 아사바가 격노하여 보스전이 발동됩니다.")</f>
        <v>"아사바의 딸기"는 일반 딸기보다 맛이 좋습니다. 이 재료를 아사바에게 먹이면 아사바가 격노하여 보스전이 발동됩니다.</v>
      </c>
      <c r="G101" s="55" t="str">
        <f>IFERROR(__xludf.DUMMYFUNCTION("GOOGLETRANSLATE(A101,""zh-tw"",""ru"")"),"«Клубника ASABA» вкуснее обычной клубники. Если кормить ASABA этим ингредиентом, она разозлится и спровоцирует битву с боссом.")</f>
        <v>«Клубника ASABA» вкуснее обычной клубники. Если кормить ASABA этим ингредиентом, она разозлится и спровоцирует битву с боссом.</v>
      </c>
      <c r="H101" s="214" t="s">
        <v>3656</v>
      </c>
      <c r="I101" s="184" t="s">
        <v>3657</v>
      </c>
      <c r="J101" s="46"/>
      <c r="K101" s="46"/>
      <c r="L101" s="46"/>
      <c r="M101" s="46"/>
      <c r="N101" s="46"/>
      <c r="O101" s="46"/>
      <c r="P101" s="46"/>
      <c r="Q101" s="46"/>
      <c r="R101" s="46"/>
      <c r="S101" s="46"/>
      <c r="T101" s="46"/>
      <c r="U101" s="46"/>
      <c r="V101" s="46"/>
      <c r="W101" s="46"/>
    </row>
    <row r="102">
      <c r="A102" s="52" t="s">
        <v>3658</v>
      </c>
      <c r="B102" s="213" t="s">
        <v>3659</v>
      </c>
      <c r="C102" s="52" t="s">
        <v>3660</v>
      </c>
      <c r="D102" s="213" t="str">
        <f>IFERROR(__xludf.DUMMYFUNCTION("GOOGLETRANSLATE(A102,""zh-tw"",""zh"")"),"关于""狂暴ASABA""
左右横跳状态会闪避所有的攻击
旋转状态会反弹绝大部分飞行弹幕
会找机会冲刺释放瞬狱杀秒杀玩家
被ASABA啃咬时，ASABA会趁机吃掉你的食材储备并恢复体力，如果吃到有毒食材，则会中毒")</f>
        <v>关于"狂暴ASABA"
左右横跳状态会闪避所有的攻击
旋转状态会反弹绝大部分飞行弹幕
会找机会冲刺释放瞬狱杀秒杀玩家
被ASABA啃咬时，ASABA会趁机吃掉你的食材储备并恢复体力，如果吃到有毒食材，则会中毒</v>
      </c>
      <c r="E102" s="55" t="str">
        <f>IFERROR(__xludf.DUMMYFUNCTION("GOOGLETRANSLATE(A102,""zh-tw"",""es-MX"")"),"Respecto a ""ASABA Desenfrenada"": Al saltar de izquierda a derecha, esquivará todos los ataques. Al girar, desviará la mayoría de los proyectiles. Buscará la oportunidad de embestir y desatar un ataque devastador que matará al jugador al instante. Si ASA"&amp;"BA te muerde, consumirá tus reservas de comida para recuperar salud; si come comida venenosa, se envenenará.")</f>
        <v>Respecto a "ASABA Desenfrenada": Al saltar de izquierda a derecha, esquivará todos los ataques. Al girar, desviará la mayoría de los proyectiles. Buscará la oportunidad de embestir y desatar un ataque devastador que matará al jugador al instante. Si ASABA te muerde, consumirá tus reservas de comida para recuperar salud; si come comida venenosa, se envenenará.</v>
      </c>
      <c r="F102" s="214" t="str">
        <f>IFERROR(__xludf.DUMMYFUNCTION("GOOGLETRANSLATE(A102,""zh-tw"",""KO"")"),"""난동하는 아사바""에 대해: 좌우로 점프하는 동안 모든 공격을 회피합니다. 회전하는 동안에는 대부분의 투사체를 튕겨냅니다. 돌진할 기회를 노리고 파괴적인 공격을 퍼부어 플레이어를 즉사시킵니다. 아사바에게 물리면 아사바는 플레이어의 식량을 소모하여 체력을 회복합니다. 독이 있는 음식을 먹으면 중독됩니다.")</f>
        <v>"난동하는 아사바"에 대해: 좌우로 점프하는 동안 모든 공격을 회피합니다. 회전하는 동안에는 대부분의 투사체를 튕겨냅니다. 돌진할 기회를 노리고 파괴적인 공격을 퍼부어 플레이어를 즉사시킵니다. 아사바에게 물리면 아사바는 플레이어의 식량을 소모하여 체력을 회복합니다. 독이 있는 음식을 먹으면 중독됩니다.</v>
      </c>
      <c r="G102" s="55" t="str">
        <f>IFERROR(__xludf.DUMMYFUNCTION("GOOGLETRANSLATE(A102,""zh-tw"",""ru"")"),"О «Буйном Асабе»: прыгая влево и вправо, он уклоняется от всех атак. Вращаясь, он парирует большинство снарядов. Он ищет возможность сделать рывок и провести сокрушительную атаку, мгновенно убивая игрока. Укус Асабы поглотит ваши запасы еды, чтобы восстан"&amp;"овить здоровье; если он съест ядовитую пищу, он будет отравлен.")</f>
        <v>О «Буйном Асабе»: прыгая влево и вправо, он уклоняется от всех атак. Вращаясь, он парирует большинство снарядов. Он ищет возможность сделать рывок и провести сокрушительную атаку, мгновенно убивая игрока. Укус Асабы поглотит ваши запасы еды, чтобы восстановить здоровье; если он съест ядовитую пищу, он будет отравлен.</v>
      </c>
      <c r="H102" s="213" t="s">
        <v>3661</v>
      </c>
      <c r="I102" s="162" t="s">
        <v>3662</v>
      </c>
      <c r="J102" s="46"/>
      <c r="K102" s="46"/>
      <c r="L102" s="46"/>
      <c r="M102" s="46"/>
      <c r="N102" s="46"/>
      <c r="O102" s="46"/>
      <c r="P102" s="46"/>
      <c r="Q102" s="46"/>
      <c r="R102" s="46"/>
      <c r="S102" s="46"/>
      <c r="T102" s="46"/>
      <c r="U102" s="46"/>
      <c r="V102" s="46"/>
      <c r="W102" s="46"/>
    </row>
    <row r="103">
      <c r="A103" s="52" t="s">
        <v>3663</v>
      </c>
      <c r="B103" s="213" t="s">
        <v>3664</v>
      </c>
      <c r="C103" s="52" t="s">
        <v>3665</v>
      </c>
      <c r="D103" s="213" t="str">
        <f>IFERROR(__xludf.DUMMYFUNCTION("GOOGLETRANSLATE(A103,""zh-tw"",""zh"")"),"关于""铁砧""的说明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8.锻造中，主角死亡时会回收；转移地图需"&amp;"再次回到地图；复活时不会立即回收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f>
        <v>关于"铁砧"的说明
1.闪步会被替换，使用闪步会视为拿出铁砧开始打铁，同时主武器会自动卸除改为"锻造锤"
2."锻造锤"无限耐久，但转移地图、收起铁砧时都会回收该武器
3.对铁砧进行攻击会视为打铁，每次敲打会提升武器的温度，武器温度越高，每次敲击获得耐久度奖励的机率和数值都会提升
4.当铁砧附近有敌人时，会获得额外奖励
5.武器过热时会冒烟，此时打铁无任何收益，只能等待自然冷却
6.锻造的耐久不会超过武器原本的初始耐久上限
7.只有在陆地上才能使用锻造
8.锻造中，主角死亡时会回收；转移地图需再次回到地图；复活时不会立即回收
9.目前无多个铁觇的设计
10.武器敲高温后，此时收回并且马上再次锻造，可以无视红色温度的冷却时间
11.锻造锤可以配合猫爪、武器放大等等的武器加成，来提升锻造效果
12.角色攻击力越高，锻造的效果越高
13.无武器的空手状态，无法召唤出铁觇
14.未来，可以进行打磨来提升武器效果、或者放上其他非武器的东西，敬请期待</v>
      </c>
      <c r="E103" s="55" t="str">
        <f>IFERROR(__xludf.DUMMYFUNCTION("GOOGLETRANSLATE(A103,""zh-tw"",""es-MX"")"),"Explicación del ""Yunque"":
1. El Teletransporte se reemplazará. Usar Teletransporte se considerará como sacar el yunque y comenzar a forjar, y el arma principal se desequipará automáticamente y se reemplazará por el ""Martillo de Forja"".
2. El ""Marti"&amp;"llo de Forja"" tiene durabilidad infinita, pero se reciclará al cambiar de mapa o guardar el yunque.
3. Atacar el yunque se considera forjar. Cada golpe aumenta la temperatura del arma. Cuanto mayor sea la temperatura del arma, mayor será la probabilidad"&amp;" y el valor de la bonificación de durabilidad obtenida por golpe.
4. Cuando haya enemigos cerca del yunque, se otorgará una bonificación adicional.
5. Cuando el arma se sobrecaliente, humeará. Forjar en este momento no dará ningún beneficio; solo puedes"&amp;" esperar a que se enfríe naturalmente.
6. La durabilidad obtenida al forjar no superará la durabilidad inicial original del arma. Limitado a:
7. Forjar solo se puede usar en tierra.
8. Durante la forja, el arma se recuperará al morir el protagonista; a"&amp;"l cambiar de mapa, es necesario regresar al mapa original; no se recuperará inmediatamente al resucitar.
9. Actualmente, no hay un diseño para múltiples Gólems de Hierro.
10. Cuando un arma alcanza una temperatura alta, recuperarla y reforjarla inmediat"&amp;"amente ignora el tiempo de reutilización de la temperatura roja.
11. El martillo de forja se puede usar junto con bonificaciones de armas como Garra de Gato y Amplificación de Arma para potenciar el efecto de la forja.
12. Cuanto mayor sea el poder de a"&amp;"taque del personaje, mayor será el efecto de la forja.
13. El Gólem de Hierro no se puede invocar cuando el personaje está desarmado.
14. En el futuro, será posible pulir las armas para mejorar sus efectos o añadir otros objetos que no sean armas. ¡Mant"&amp;"énganse al tanto!")</f>
        <v>Explicación del "Yunque":
1. El Teletransporte se reemplazará. Usar Teletransporte se considerará como sacar el yunque y comenzar a forjar, y el arma principal se desequipará automáticamente y se reemplazará por el "Martillo de Forja".
2. El "Martillo de Forja" tiene durabilidad infinita, pero se reciclará al cambiar de mapa o guardar el yunque.
3. Atacar el yunque se considera forjar. Cada golpe aumenta la temperatura del arma. Cuanto mayor sea la temperatura del arma, mayor será la probabilidad y el valor de la bonificación de durabilidad obtenida por golpe.
4. Cuando haya enemigos cerca del yunque, se otorgará una bonificación adicional.
5. Cuando el arma se sobrecaliente, humeará. Forjar en este momento no dará ningún beneficio; solo puedes esperar a que se enfríe naturalmente.
6. La durabilidad obtenida al forjar no superará la durabilidad inicial original del arma. Limitado a:
7. Forjar solo se puede usar en tierra.
8. Durante la forja, el arma se recuperará al morir el protagonista; al cambiar de mapa, es necesario regresar al mapa original; no se recuperará inmediatamente al resucitar.
9. Actualmente, no hay un diseño para múltiples Gólems de Hierro.
10. Cuando un arma alcanza una temperatura alta, recuperarla y reforjarla inmediatamente ignora el tiempo de reutilización de la temperatura roja.
11. El martillo de forja se puede usar junto con bonificaciones de armas como Garra de Gato y Amplificación de Arma para potenciar el efecto de la forja.
12. Cuanto mayor sea el poder de ataque del personaje, mayor será el efecto de la forja.
13. El Gólem de Hierro no se puede invocar cuando el personaje está desarmado.
14. En el futuro, será posible pulir las armas para mejorar sus efectos o añadir otros objetos que no sean armas. ¡Manténganse al tanto!</v>
      </c>
      <c r="F103" s="214" t="str">
        <f>IFERROR(__xludf.DUMMYFUNCTION("GOOGLETRANSLATE(A103,""zh-tw"",""KO"")"),"""앤빌""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무기의 온도가 높을수록 타격당 획득하는 내구도 보너스의 확률과 값이 커집니다.
4. 앤"&amp;"빌 근처에 적이 있는 경우 추가 보너스가 부여됩니다.
5. 무기가 과열되면 연기가 발생합니다. 이때 단조해도 아무런 효과가 없으며, 자연적으로 식을 때까지 기다려야 합니다.
6. 단조로 획득하는 내구도는 무기의 초기 내구도를 초과하지 않습니다. 제한 사항:
7. 단조는 지상에서만 사용할 수 있습니다.
8. 단조 중, 주인공 사망 시 무기를 회수합니다. 다른 맵으로 이동한 후에는 원래 맵으로 돌아가야 하며, 부활 시 즉시 회수되지 않습니다.
9."&amp;" 현재 여러 개의 아이언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커집니다.
13. 캐릭터가 비무장 상태일 때는 아이언 골렘을 소환할 수 없습니다.
14. 향후 무기를 연마하여 효과를 "&amp;"향상시키거나 무기가 아닌 다른 아이템을 추가할 수 있게 될 예정입니다. 기대해 주세요!")</f>
        <v>"앤빌" 설명:
1. 블링크가 교체됩니다. 블링크를 사용하면 앤빌을 꺼내 단조를 시작하는 것으로 간주되며, 주 무기는 자동으로 장착 해제되고 "단조 망치"로 교체됩니다.
2. "단조 망치"는 내구도가 무한하지만, 다른 맵으로 이동하거나 앤빌을 치우면 재사용됩니다.
3. 앤빌을 공격하는 것은 단조로 간주됩니다. 타격할 때마다 무기의 온도가 상승합니다. 무기의 온도가 높을수록 타격당 획득하는 내구도 보너스의 확률과 값이 커집니다.
4. 앤빌 근처에 적이 있는 경우 추가 보너스가 부여됩니다.
5. 무기가 과열되면 연기가 발생합니다. 이때 단조해도 아무런 효과가 없으며, 자연적으로 식을 때까지 기다려야 합니다.
6. 단조로 획득하는 내구도는 무기의 초기 내구도를 초과하지 않습니다. 제한 사항:
7. 단조는 지상에서만 사용할 수 있습니다.
8. 단조 중, 주인공 사망 시 무기를 회수합니다. 다른 맵으로 이동한 후에는 원래 맵으로 돌아가야 하며, 부활 시 즉시 회수되지 않습니다.
9. 현재 여러 개의 아이언 골렘을 생성할 수 있는 기능은 없습니다.
10. 무기가 고온에 도달한 후, 회수 후 즉시 재단조하면 적색 온도의 재사용 대기시간이 무시됩니다.
11. 단조 망치는 고양이 발톱, 무기 증폭과 같은 무기 보너스와 함께 사용하여 단조 효과를 강화할 수 있습니다.
12. 캐릭터의 공격력이 높을수록 단조 효과가 커집니다.
13. 캐릭터가 비무장 상태일 때는 아이언 골렘을 소환할 수 없습니다.
14. 향후 무기를 연마하여 효과를 향상시키거나 무기가 아닌 다른 아이템을 추가할 수 있게 될 예정입니다. 기대해 주세요!</v>
      </c>
      <c r="G103" s="55" t="str">
        <f>IFERROR(__xludf.DUMMYFUNCTION("GOOGLETRANSLATE(A103,""zh-tw"",""ru"")"),"Пояснение к «Наковальне»:
1. «Миг» будет заменён. Использование «Миг»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 но бу"&amp;"дет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"&amp;"4.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полученная при"&amp;" ковке, не превысит исходную прочность оружия. Ограничения:
7. Ковку можно использовать только на суше.
8. Во время ковки оружие будет извлечено после смерти главного героя; после перехода на другую карту необходимо вернуться на исходную карту; при воск"&amp;"решении оно не будет извлечено немедленно.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восстановления после"&amp;" достижения красной температуры.
11. Кузнечный молот можно использовать вместе с бонусами оружия, такими как «Кошачий коготь» и «Усиление оружия», для усиления эффекта ковки.
12. Чем выше сила атаки персонажа, тем сильнее эффект ковки.
13. Железного Го"&amp;"лема нельзя призвать, если персонаж безоружен.
14. В будущем появится возможность полировать оружие, чтобы улучшить его эффекты или добавить другие предметы, не являющиеся оружием. Следите за новостями!")</f>
        <v>Пояснение к «Наковальне»:
1. «Миг» будет заменён. Использование «Миг» будет считаться снятием наковальни и началом ковки, а основное оружие будет автоматически снято и заменено «Кузнечным молотом».
2. «Кузнечный молот» имеет бесконечную прочность, но будет переработан при переходе на другую карту или убирании наковальни.
3. Атака наковальни считается ковкой. Каждый удар повышает температуру оружия. Чем выше температура оружия, тем больше вероятность и значение бонуса к прочности, получаемого за удар.
4. Если рядом с наковальней находятся враги, будет дан дополнительный бонус.
5. При перегреве оружие будет дымиться. Ковка в этот момент не даст никаких преимуществ; можно только ждать, пока оно остынет естественным образом.
6. Прочность, полученная при ковке, не превысит исходную прочность оружия. Ограничения:
7. Ковку можно использовать только на суше.
8. Во время ковки оружие будет извлечено после смерти главного героя; после перехода на другую карту необходимо вернуться на исходную карту; при воскрешении оно не будет извлечено немедленно.
9. В настоящее время не предусмотрено создание нескольких Железных Големов.
10. После того, как оружие достигнет высокой температуры, его извлечение и немедленная перековка игнорируют время восстановления после достижения красной температуры.
11. Кузнечный молот можно использовать вместе с бонусами оружия, такими как «Кошачий коготь» и «Усиление оружия», для усиления эффекта ковки.
12. Чем выше сила атаки персонажа, тем сильнее эффект ковки.
13. Железного Голема нельзя призвать, если персонаж безоружен.
14. В будущем появится возможность полировать оружие, чтобы улучшить его эффекты или добавить другие предметы, не являющиеся оружием. Следите за новостями!</v>
      </c>
      <c r="H103" s="214" t="str">
        <f>IFERROR(__xludf.DUMMYFUNCTION("GOOGLETRANSLATE(A103,""zh-tw"",""de"")"),"Erklärung des „Ambosses“:
1. Die Fähigkeit „Blinken“ wird ersetzt. Die Verwendung von „Blinken“ gilt als Entnahme des Ambosses und Beginn des Schmiedeprozesses. Die Primärwaffe wird automatisch abgelegt und durch den „Schmiedehammer“ ersetzt.
2. Der „Sc"&amp;"hmiedehammer“ ist unbegrenzt haltbar, wird aber beim Wechsel auf eine andere Karte oder beim Weglegen des Ambosses wiederverwendet.
3. Das Angreifen des Ambosses gilt als Schmieden. Jeder Schlag erhöht die Temperatur der Waffe. Je höher die Temperatur de"&amp;"r Waffe, desto größer die Wahrscheinlichkeit und der Wert des Haltbarkeitsbonus pro Schlag.
4. Befinden sich Gegner in der Nähe des Ambosses, wird ein zusätzlicher Bonus gewährt.
5. Wenn die Waffe überhitzt ist, raucht sie. Schmieden bringt in diesem Zu"&amp;"stand keine Vorteile; man muss warten, bis sie sich auf natürliche Weise abgekühlt hat.
6. Die durch Schmieden gewonnene Haltbarkeit überschreitet nicht die ursprüngliche Haltbarkeit der Waffe. Einschränkungen:
7. Schmieden ist nur an Land möglich.
8. "&amp;"Beim Schmieden wird die Waffe nach dem Tod des Protagonisten geborgen. Nach dem Wechsel auf eine andere Karte muss die ursprüngliche Karte erneut betreten werden; nach der Wiederbelebung wird die Waffe nicht sofort geborgen.
9. Derzeit ist die Möglichkei"&amp;"t mehrerer Eisengolems nicht vorgesehen.
10. Sobald eine Waffe eine hohe Temperatur erreicht hat, wird die Abklingzeit der roten Temperatur ignoriert, wenn sie geborgen und sofort erneut geschmiedet wird.
11. Der Schmiedehammer kann in Kombination mit W"&amp;"affenboni wie Katzenklaue und Waffenverstärkung verwendet werden, um den Schmiedeeffekt zu erhöhen.
12. Je höher die Angriffskraft des Charakters, desto höher der Schmiedeeffekt.
13. Der Eisengolem kann nicht beschworen werden, wenn der Charakter unbewa"&amp;"ffnet ist.
14. Zukünftig wird es möglich sein, Waffen zu polieren, um ihre Effekte zu verbessern oder andere Gegenstände hinzuzufügen. Seid gespannt!")</f>
        <v>Erklärung des „Ambosses“:
1. Die Fähigkeit „Blinken“ wird ersetzt. Die Verwendung von „Blinken“ gilt als Entnahme des Ambosses und Beginn des Schmiedeprozesses. Die Primärwaffe wird automatisch abgelegt und durch den „Schmiedehammer“ ersetzt.
2. Der „Schmiedehammer“ ist unbegrenzt haltbar, wird aber beim Wechsel auf eine andere Karte oder beim Weglegen des Ambosses wiederverwendet.
3. Das Angreifen des Ambosses gilt als Schmieden. Jeder Schlag erhöht die Temperatur der Waffe. Je höher die Temperatur der Waffe, desto größer die Wahrscheinlichkeit und der Wert des Haltbarkeitsbonus pro Schlag.
4. Befinden sich Gegner in der Nähe des Ambosses, wird ein zusätzlicher Bonus gewährt.
5. Wenn die Waffe überhitzt ist, raucht sie. Schmieden bringt in diesem Zustand keine Vorteile; man muss warten, bis sie sich auf natürliche Weise abgekühlt hat.
6. Die durch Schmieden gewonnene Haltbarkeit überschreitet nicht die ursprüngliche Haltbarkeit der Waffe. Einschränkungen:
7. Schmieden ist nur an Land möglich.
8. Beim Schmieden wird die Waffe nach dem Tod des Protagonisten geborgen. Nach dem Wechsel auf eine andere Karte muss die ursprüngliche Karte erneut betreten werden; nach der Wiederbelebung wird die Waffe nicht sofort geborgen.
9. Derzeit ist die Möglichkeit mehrerer Eisengolems nicht vorgesehen.
10. Sobald eine Waffe eine hohe Temperatur erreicht hat, wird die Abklingzeit der roten Temperatur ignoriert, wenn sie geborgen und sofort erneut geschmiedet wird.
11. Der Schmiedehammer kann in Kombination mit Waffenboni wie Katzenklaue und Waffenverstärkung verwendet werden, um den Schmiedeeffekt zu erhöhen.
12. Je höher die Angriffskraft des Charakters, desto höher der Schmiedeeffekt.
13. Der Eisengolem kann nicht beschworen werden, wenn der Charakter unbewaffnet ist.
14. Zukünftig wird es möglich sein, Waffen zu polieren, um ihre Effekte zu verbessern oder andere Gegenstände hinzuzufügen. Seid gespannt!</v>
      </c>
      <c r="I103" s="162" t="s">
        <v>3666</v>
      </c>
      <c r="J103" s="46"/>
      <c r="K103" s="46"/>
      <c r="L103" s="46"/>
      <c r="M103" s="46"/>
      <c r="N103" s="46"/>
      <c r="O103" s="46"/>
      <c r="P103" s="46"/>
      <c r="Q103" s="46"/>
      <c r="R103" s="46"/>
      <c r="S103" s="46"/>
      <c r="T103" s="46"/>
      <c r="U103" s="46"/>
      <c r="V103" s="46"/>
      <c r="W103" s="46"/>
    </row>
    <row r="104">
      <c r="A104" s="52" t="s">
        <v>3667</v>
      </c>
      <c r="B104" s="213" t="str">
        <f>IFERROR(__xludf.DUMMYFUNCTION("GOOGLETRANSLATE(A104,""zh-tw"",""ja"")"),"この奇妙な鳥の羽、杖の浮遊力、そしてその他の特徴は、この鳥が浮遊し、特別な場所に到達する能力に貢献しています。しかし、羽は水や氷に触れることはできません。")</f>
        <v>この奇妙な鳥の羽、杖の浮遊力、そしてその他の特徴は、この鳥が浮遊し、特別な場所に到達する能力に貢献しています。しかし、羽は水や氷に触れることはできません。</v>
      </c>
      <c r="C104" s="52" t="s">
        <v>3668</v>
      </c>
      <c r="D104" s="213" t="str">
        <f>IFERROR(__xludf.DUMMYFUNCTION("GOOGLETRANSLATE(A104,""zh-tw"",""zh"")"),"怪鸟的羽毛、法杖的悬空等等，都属于漂浮状态，可以抵达特殊地区
羽毛不能接触水面或冰面")</f>
        <v>怪鸟的羽毛、法杖的悬空等等，都属于漂浮状态，可以抵达特殊地区
羽毛不能接触水面或冰面</v>
      </c>
      <c r="E104" s="55" t="str">
        <f>IFERROR(__xludf.DUMMYFUNCTION("GOOGLETRANSLATE(A104,""zh-tw"",""es-MX"")"),"Las extrañas plumas del pájaro, la levitación del bastón y otras características contribuyen a su capacidad para flotar y alcanzar zonas especiales. Sin embargo, las plumas no pueden tocar el agua ni el hielo.")</f>
        <v>Las extrañas plumas del pájaro, la levitación del bastón y otras características contribuyen a su capacidad para flotar y alcanzar zonas especiales. Sin embargo, las plumas no pueden tocar el agua ni el hielo.</v>
      </c>
      <c r="F104" s="214" t="str">
        <f>IFERROR(__xludf.DUMMYFUNCTION("GOOGLETRANSLATE(A104,""zh-tw"",""KO"")"),"이 기이한 새의 깃털, 지팡이의 부양력, 그리고 다른 특징들은 모두 이 새가 떠다니며 특정 지역에 도달할 수 있는 능력에 기여합니다. 하지만 깃털은 물이나 얼음에는 닿을 수 없습니다.")</f>
        <v>이 기이한 새의 깃털, 지팡이의 부양력, 그리고 다른 특징들은 모두 이 새가 떠다니며 특정 지역에 도달할 수 있는 능력에 기여합니다. 하지만 깃털은 물이나 얼음에는 닿을 수 없습니다.</v>
      </c>
      <c r="G104" s="55" t="str">
        <f>IFERROR(__xludf.DUMMYFUNCTION("GOOGLETRANSLATE(A104,""zh-tw"",""ru"")"),"Перья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f>
        <v>Перья странной птицы, способность посоха левитировать и другие особенности — всё это позволяет ему парить и достигать особых мест. Однако перья не могут касаться воды или льда.</v>
      </c>
      <c r="H104" s="214" t="str">
        <f>IFERROR(__xludf.DUMMYFUNCTION("GOOGLETRANSLATE(A104,""zh-tw"",""de"")"),"Die Federn des seltsamen Vogels, die Levitation des Stabs und andere Merkmale tragen alle dazu bei, dass er schweben und besondere Bereiche erreichen kann. Die Federn dürfen jedoch weder Wasser noch Eis berühren.")</f>
        <v>Die Federn des seltsamen Vogels, die Levitation des Stabs und andere Merkmale tragen alle dazu bei, dass er schweben und besondere Bereiche erreichen kann. Die Federn dürfen jedoch weder Wasser noch Eis berühren.</v>
      </c>
      <c r="I104" s="184" t="s">
        <v>3669</v>
      </c>
      <c r="J104" s="46"/>
      <c r="K104" s="46"/>
      <c r="L104" s="46"/>
      <c r="M104" s="46"/>
      <c r="N104" s="46"/>
      <c r="O104" s="46"/>
      <c r="P104" s="46"/>
      <c r="Q104" s="46"/>
      <c r="R104" s="46"/>
      <c r="S104" s="46"/>
      <c r="T104" s="46"/>
      <c r="U104" s="46"/>
      <c r="V104" s="46"/>
      <c r="W104" s="46"/>
    </row>
    <row r="105">
      <c r="A105" s="52" t="s">
        <v>3670</v>
      </c>
      <c r="B105" s="213" t="s">
        <v>3671</v>
      </c>
      <c r="C105" s="52" t="s">
        <v>3672</v>
      </c>
      <c r="D105" s="213" t="str">
        <f>IFERROR(__xludf.DUMMYFUNCTION("GOOGLETRANSLATE(A105,""zh-tw"",""zh"")"),"兔子洞只能使用爆炸属性的伤害进行攻击，其他攻击或者从者攻击，皆无效果。")</f>
        <v>兔子洞只能使用爆炸属性的伤害进行攻击，其他攻击或者从者攻击，皆无效果。</v>
      </c>
      <c r="E105" s="55" t="str">
        <f>IFERROR(__xludf.DUMMYFUNCTION("GOOGLETRANSLATE(A105,""zh-tw"",""es-MX"")"),"Rabbit Hole solo puede ser atacado con daño explosivo; otros ataques o ataques de Servants no tienen efecto.")</f>
        <v>Rabbit Hole solo puede ser atacado con daño explosivo; otros ataques o ataques de Servants no tienen efecto.</v>
      </c>
      <c r="F105" s="214" t="str">
        <f>IFERROR(__xludf.DUMMYFUNCTION("GOOGLETRANSLATE(A105,""zh-tw"",""KO"")"),"토끼굴은 폭발적인 데미지로만 공격할 수 있습니다. 다른 공격이나 하인의 공격은 효과가 없습니다.")</f>
        <v>토끼굴은 폭발적인 데미지로만 공격할 수 있습니다. 다른 공격이나 하인의 공격은 효과가 없습니다.</v>
      </c>
      <c r="G105" s="55" t="str">
        <f>IFERROR(__xludf.DUMMYFUNCTION("GOOGLETRANSLATE(A105,""zh-tw"",""ru"")"),"Кроличью нору можно атаковать только взрывным уроном; другие атаки или атаки Слуг не имеют никакого эффекта.")</f>
        <v>Кроличью нору можно атаковать только взрывным уроном; другие атаки или атаки Слуг не имеют никакого эффекта.</v>
      </c>
      <c r="H105" s="213" t="s">
        <v>3673</v>
      </c>
      <c r="I105" s="184" t="s">
        <v>3674</v>
      </c>
      <c r="J105" s="46"/>
      <c r="K105" s="46"/>
      <c r="L105" s="46"/>
      <c r="M105" s="46"/>
      <c r="N105" s="46"/>
      <c r="O105" s="46"/>
      <c r="P105" s="46"/>
      <c r="Q105" s="46"/>
      <c r="R105" s="46"/>
      <c r="S105" s="46"/>
      <c r="T105" s="46"/>
      <c r="U105" s="46"/>
      <c r="V105" s="46"/>
      <c r="W105" s="46"/>
    </row>
    <row r="106">
      <c r="A106" s="52" t="s">
        <v>3675</v>
      </c>
      <c r="B106" s="213" t="s">
        <v>3676</v>
      </c>
      <c r="C106" s="52" t="s">
        <v>3677</v>
      </c>
      <c r="D106" s="213" t="str">
        <f>IFERROR(__xludf.DUMMYFUNCTION("GOOGLETRANSLATE(A106,""zh-tw"",""zh"")"),"可以同时进行多重BOSS战斗，例如河之主与狂暴ASABA，或者浅羽与红兽等等。
超过更多的BOSS部分尚未优化，不建议尝试")</f>
        <v>可以同时进行多重BOSS战斗，例如河之主与狂暴ASABA，或者浅羽与红兽等等。
超过更多的BOSS部分尚未优化，不建议尝试</v>
      </c>
      <c r="E106" s="55" t="str">
        <f>IFERROR(__xludf.DUMMYFUNCTION("GOOGLETRANSLATE(A106,""zh-tw"",""es-MX"")"),"Se pueden librar varias batallas contra jefes simultáneamente, como contra el Señor del Río y Asaba enloquecido, o contra Asaba y la Bestia Roja, etc.
Otras batallas contra jefes aún no están optimizadas y no se recomienda intentarlas.")</f>
        <v>Se pueden librar varias batallas contra jefes simultáneamente, como contra el Señor del Río y Asaba enloquecido, o contra Asaba y la Bestia Roja, etc.
Otras batallas contra jefes aún no están optimizadas y no se recomienda intentarlas.</v>
      </c>
      <c r="F106" s="214" t="str">
        <f>IFERROR(__xludf.DUMMYFUNCTION("GOOGLETRANSLATE(A106,""zh-tw"",""KO"")"),"강의 군주와 광전사 아사바, 아사바와 붉은 짐승 등 여러 보스 전투를 동시에 진행할 수 있습니다.
더 많은 보스 전투는 아직 최적화되지 않았으므로 시도하지 않는 것이 좋습니다.")</f>
        <v>강의 군주와 광전사 아사바, 아사바와 붉은 짐승 등 여러 보스 전투를 동시에 진행할 수 있습니다.
더 많은 보스 전투는 아직 최적화되지 않았으므로 시도하지 않는 것이 좋습니다.</v>
      </c>
      <c r="G106" s="55" t="str">
        <f>IFERROR(__xludf.DUMMYFUNCTION("GOOGLETRANSLATE(A106,""zh-tw"",""ru"")"),"Можно сражаться с несколькими боссами одновременно, например, с Речным Лордом и берсерком Асабой или Асабой и Красным Зверем и т. д.
Больше битв с боссами пока не оптимизированы и не рекомендуются к прохождению.")</f>
        <v>Можно сражаться с несколькими боссами одновременно, например, с Речным Лордом и берсерком Асабой или Асабой и Красным Зверем и т. д.
Больше битв с боссами пока не оптимизированы и не рекомендуются к прохождению.</v>
      </c>
      <c r="H106" s="213" t="s">
        <v>3678</v>
      </c>
      <c r="I106" s="184" t="s">
        <v>3679</v>
      </c>
      <c r="J106" s="46"/>
      <c r="K106" s="46"/>
      <c r="L106" s="46"/>
      <c r="M106" s="46"/>
      <c r="N106" s="46"/>
      <c r="O106" s="46"/>
      <c r="P106" s="46"/>
      <c r="Q106" s="46"/>
      <c r="R106" s="46"/>
      <c r="S106" s="46"/>
      <c r="T106" s="46"/>
      <c r="U106" s="46"/>
      <c r="V106" s="46"/>
      <c r="W106" s="46"/>
    </row>
    <row r="107">
      <c r="A107" s="52" t="s">
        <v>3680</v>
      </c>
      <c r="B107" s="213" t="s">
        <v>3681</v>
      </c>
      <c r="C107" s="52" t="s">
        <v>3682</v>
      </c>
      <c r="D107" s="213" t="str">
        <f>IFERROR(__xludf.DUMMYFUNCTION("GOOGLETRANSLATE(A107,""zh-tw"",""zh"")"),"初号核心可以使用二号机至七号机进行消耗，每一种皆可提升初号核心一个等级，最高可以升级至LV7
(于技能栏位进行强化)
二号机：侦查附近的敌人和遗物数量 (可于商店车购买)
三号机：-
四号机：-
五号机：-
六号机：-
七号机：-")</f>
        <v>初号核心可以使用二号机至七号机进行消耗，每一种皆可提升初号核心一个等级，最高可以升级至LV7
(于技能栏位进行强化)
二号机：侦查附近的敌人和遗物数量 (可于商店车购买)
三号机：-
四号机：-
五号机：-
六号机：-
七号机：-</v>
      </c>
      <c r="E107" s="55" t="str">
        <f>IFERROR(__xludf.DUMMYFUNCTION("GOOGLETRANSLATE(A107,""zh-tw"",""es-MX"")"),"El Núcleo Evangelion se puede consumir usando las Unidades 2 a 7. Cada unidad puede mejorar el Núcleo Evangelion en un nivel, hasta un máximo de LV7.
(La mejora se realiza en la ranura de habilidad)
Unidad 2: Detecta enemigos cercanos y la cantidad de re"&amp;"liquias (Disponible en la tienda)
Unidad 3: -
Unidad 4: -
Unidad 5: -
Unidad 6: -
Unidad 7: -")</f>
        <v>El Núcleo Evangelion se puede consumir usando las Unidades 2 a 7. Cada unidad puede mejorar el Núcleo Evangelion en un nivel, hasta un máximo de LV7.
(La mejora se realiza en la ranura de habilidad)
Unidad 2: Detecta enemigos cercanos y la cantidad de reliquias (Disponible en la tienda)
Unidad 3: -
Unidad 4: -
Unidad 5: -
Unidad 6: -
Unidad 7: -</v>
      </c>
      <c r="F107" s="214" t="str">
        <f>IFERROR(__xludf.DUMMYFUNCTION("GOOGLETRANSLATE(A107,""zh-tw"",""KO"")"),"에반게리온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f>
        <v>에반게리온 코어는 유닛 2부터 유닛 7까지 소모할 수 있습니다. 각 유닛은 에반게리온 코어를 한 단계씩 업그레이드하여 최대 LV7까지 강화할 수 있습니다.
(강화는 스킬 슬롯에서 가능합니다.)
유닛 2: 주변 적과 유물 수를 정찰합니다. (상점 카트에서 구매 가능)
유닛 3: -
유닛 4: -
유닛 5: -
유닛 6: -
유닛 7: -</v>
      </c>
      <c r="G107" s="55" t="str">
        <f>IFERROR(__xludf.DUMMYFUNCTION("GOOGLETRANSLATE(A107,""zh-tw"",""ru"")"),"Ядро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(приобретают"&amp;"ся в корзине магазина)
Юнит 3: -
Юнит 4: -
Юнит 5: -
Юнит 6: -
Юнит 7: -")</f>
        <v>Ядро Евангелиона можно использовать с помощью юнитов 2–7. Каждый юнит может улучшить Ядро Евангелиона на один уровень, вплоть до 7-го уровня.
(Улучшение можно выполнить в ячейке навыка)
Юнит 2: Разведка ближайших врагов и количества реликвий (приобретаются в корзине магазина)
Юнит 3: -
Юнит 4: -
Юнит 5: -
Юнит 6: -
Юнит 7: -</v>
      </c>
      <c r="H107" s="213" t="s">
        <v>3683</v>
      </c>
      <c r="I107" s="184" t="s">
        <v>3684</v>
      </c>
      <c r="J107" s="46"/>
      <c r="K107" s="46"/>
      <c r="L107" s="46"/>
      <c r="M107" s="46"/>
      <c r="N107" s="46"/>
      <c r="O107" s="46"/>
      <c r="P107" s="46"/>
      <c r="Q107" s="46"/>
      <c r="R107" s="46"/>
      <c r="S107" s="46"/>
      <c r="T107" s="46"/>
      <c r="U107" s="46"/>
      <c r="V107" s="46"/>
      <c r="W107" s="46"/>
    </row>
    <row r="108">
      <c r="A108" s="52" t="s">
        <v>3685</v>
      </c>
      <c r="B108" s="213" t="s">
        <v>3686</v>
      </c>
      <c r="C108" s="52" t="s">
        <v>3687</v>
      </c>
      <c r="D108" s="213" t="str">
        <f>IFERROR(__xludf.DUMMYFUNCTION("GOOGLETRANSLATE(A108,""zh-tw"",""zh"")"),"关于水面炸鱼的详细说明(所有的项目，下雨皆会重置)：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气泡，提"&amp;"示你这里有东西，炸弹或水法杖的攻击都可以触发它并生成掉落物，会以更高的概率生成水中的敌人或装备，小概率才是鱼类掉落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水域太小时，不会出现某些种类(例如BOSS)；"&amp;"陆地站立点太小，则BOSS会立即逃跑
----------------------
简单来说：
下雨天+幸运值+多个扭蛋机落水叠加范围+大型河水+桥面附近陆地足够地区，是最佳的特殊钓鱼理想条件")</f>
        <v>关于水面炸鱼的详细说明(所有的项目，下雨皆会重置)：
炸弹丢进水中，炸出任何物体的只有5%，下雨天气会提升30~50%随机值
1.
河域掉落物数量有限制，河域越大数量越多，最高上限为50
2.
当扭蛋机或敌人掉进河里时，在坠落点形成小范围"诱饵"效果，会触发提升50%掉落率(坏掉的扭蛋机不会增加机率)；并且增加该河域的掉落物数量；并且增加邪恶值。
3.
哥哥的幸运值会加成机率，最高额外加成75%
4.
河里的鱼影，直接碰触鱼影或攻击鱼影都会产生鱼类掉落物，不会有鱼以外的掉落
5.
气泡，提示你这里有东西，炸弹或水法杖的攻击都可以触发它并生成掉落物，会以更高的概率生成水中的敌人或装备，小概率才是鱼类掉落
6.
直接攻击河面，有诱饵加成时才有较高机率出现掉落，物品池较为均衡
7.
往河里丢活物都会成为养分来增加新的掉落，包含放生的萨卡班甲鱼
8.
电视预报的加成仅仅改变掉落池，不一定会影响掉落率和次数
9.
以上诱饵加成皆可叠加，诱饵重叠范围也可叠加，若将触发率提升至100%以上，会额外出现新的​​掉落判定，例如河之主或特殊物品
10.
水域太小时，不会出现某些种类(例如BOSS)；陆地站立点太小，则BOSS会立即逃跑
----------------------
简单来说：
下雨天+幸运值+多个扭蛋机落水叠加范围+大型河水+桥面附近陆地足够地区，是最佳的特殊钓鱼理想条件</v>
      </c>
      <c r="E108" s="55" t="str">
        <f>IFERROR(__xludf.DUMMYFUNCTION("GOOGLETRANSLATE(A108,""zh-tw"",""es-MX"")"),"Explicación detallada de la pesca acuática (Todos los objetos se reinician con la lluvia):
Al lanzar una bomba al agua, solo se obtiene un 5 % de los objetos. La lluvia aumenta esta probabilidad entre un 30 % y un 50 %.
1. Existe un límite en la cantida"&amp;"d de objetos que pueden aparecer en un río. Cuanto más grande sea el río, más objetos pueden aparecer, con un límite máximo de 50.
2. Cuando una máquina de gashapon o un enemigo cae al río, se crea un pequeño efecto de ""cebo"" en el punto de impacto, lo"&amp;" que aumenta la probabilidad de aparición de objetos en un 50 % (las máquinas de gashapon rotas no aumentan la probabilidad de aparición); también aumenta la cantidad de objetos que pueden aparecer en esa zona del río y su nivel de maldad.
3. La estadíst"&amp;"ica de suerte del hermano mayor aumenta la probabilidad de aparición de objetos hasta un máximo de un 75 % adicional.
4. Sombras de peces en el río: tocar o atacar directamente la sombra de un pez genera peces; no se obtendrán otros objetos además de pec"&amp;"es.
5. Burbujas: Indican la presencia de algo. Atacarlas con bombas o bastones de agua las activará y generará objetos. Tienen mayor probabilidad de generar enemigos o equipo en el agua, y menor probabilidad de generar peces.
6. Atacar directamente la s"&amp;"uperficie del río tiene mayor probabilidad de generar objetos solo cuando hay cebo disponible. La variedad de objetos está relativamente equilibrada.
7. Arrojar criaturas vivas al río las convertirá en nutrientes, aumentando la cantidad de objetos que se"&amp;" obtienen, incluyendo tortugas Sakaban liberadas.
8. Pronósticos de TV... Cambiar la variedad de objetos no necesariamente afecta la frecuencia de aparición ni el número de intentos.
9. Todas las bonificaciones de cebo mencionadas son acumulables, y el "&amp;"área de superposición de los cebos también se acumula. Si la probabilidad de activación supera el 100%, aparecerán nuevas condiciones para obtener objetos, como el Señor del Río u objetos especiales.
10. Si el área acuática es demasiado pequeña, ciertos "&amp;"tipos de monstruos (como jefes) no aparecerán. Si la zona de pesca es demasiado pequeña, el jefe huirá inmediatamente.
En resumen: Días lluviosos + mucha suerte + varias máquinas de gashapon con gran cantidad de gotas de agua + río grande + suficiente te"&amp;"rreno cerca del puente son las condiciones ideales para la pesca especial.")</f>
        <v>Explicación detallada de la pesca acuática (Todos los objetos se reinician con la lluvia):
Al lanzar una bomba al agua, solo se obtiene un 5 % de los objetos. La lluvia aumenta esta probabilidad entre un 30 % y un 50 %.
1. Existe un límite en la cantidad de objetos que pueden aparecer en un río. Cuanto más grande sea el río, más objetos pueden aparecer, con un límite máximo de 50.
2. Cuando una máquina de gashapon o un enemigo cae al río, se crea un pequeño efecto de "cebo" en el punto de impacto, lo que aumenta la probabilidad de aparición de objetos en un 50 % (las máquinas de gashapon rotas no aumentan la probabilidad de aparición); también aumenta la cantidad de objetos que pueden aparecer en esa zona del río y su nivel de maldad.
3. La estadística de suerte del hermano mayor aumenta la probabilidad de aparición de objetos hasta un máximo de un 75 % adicional.
4. Sombras de peces en el río: tocar o atacar directamente la sombra de un pez genera peces; no se obtendrán otros objetos además de peces.
5. Burbujas: Indican la presencia de algo. Atacarlas con bombas o bastones de agua las activará y generará objetos. Tienen mayor probabilidad de generar enemigos o equipo en el agua, y menor probabilidad de generar peces.
6. Atacar directamente la superficie del río tiene mayor probabilidad de generar objetos solo cuando hay cebo disponible. La variedad de objetos está relativamente equilibrada.
7. Arrojar criaturas vivas al río las convertirá en nutrientes, aumentando la cantidad de objetos que se obtienen, incluyendo tortugas Sakaban liberadas.
8. Pronósticos de TV... Cambiar la variedad de objetos no necesariamente afecta la frecuencia de aparición ni el número de intentos.
9. Todas las bonificaciones de cebo mencionadas son acumulables, y el área de superposición de los cebos también se acumula. Si la probabilidad de activación supera el 100%, aparecerán nuevas condiciones para obtener objetos, como el Señor del Río u objetos especiales.
10. Si el área acuática es demasiado pequeña, ciertos tipos de monstruos (como jefes) no aparecerán. Si la zona de pesca es demasiado pequeña, el jefe huirá inmediatamente.
En resumen: Días lluviosos + mucha suerte + varias máquinas de gashapon con gran cantidad de gotas de agua + río grande + suficiente terreno cerca del puente son las condiciones ideales para la pesca especial.</v>
      </c>
      <c r="F108" s="214" t="str">
        <f>IFERROR(__xludf.DUMMYFUNCTION("GOOGLETRANSLATE(A108,""zh-tw"",""KO"")"),"물낚시 상세 설명 (비 오면 모든 아이템이 초기화됩니다):
폭탄을 물에 던지면 아이템의 5%만 드랍됩니다. 비가 오면 아이템 드랍률이 30~50% 증가합니다.
1. 강에는 아이템 드랍 개수에 제한이 있습니다. 강이 클수록 드랍 가능한 아이템의 개수가 늘어나며, 최대 50개입니다.
2. 가샤폰이나 적이 강에 빠지면 충돌 지점에 작은 ""미끼"" 효과가 발생하여 드랍률이 50% 증가합니다(고장 난 가샤폰은 드랍률을 증가시키지 않습니다). 또한 해당 강"&amp;" 지역에서 드랍되는 아이템의 개수와 악의 수치가 증가합니다.
3. 형의 행운 능력치는 드랍률을 최대 75%까지 증가시킵니다.
4. 강에 있는 물고기 그림자: 물고기 그림자에 직접 닿거나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 표면을"&amp;"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군주나 특별"&amp;"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f>
        <v>물낚시 상세 설명 (비 오면 모든 아이템이 초기화됩니다):
폭탄을 물에 던지면 아이템의 5%만 드랍됩니다. 비가 오면 아이템 드랍률이 30~50% 증가합니다.
1. 강에는 아이템 드랍 개수에 제한이 있습니다. 강이 클수록 드랍 가능한 아이템의 개수가 늘어나며, 최대 50개입니다.
2. 가샤폰이나 적이 강에 빠지면 충돌 지점에 작은 "미끼" 효과가 발생하여 드랍률이 50% 증가합니다(고장 난 가샤폰은 드랍률을 증가시키지 않습니다). 또한 해당 강 지역에서 드랍되는 아이템의 개수와 악의 수치가 증가합니다.
3. 형의 행운 능력치는 드랍률을 최대 75%까지 증가시킵니다.
4. 강에 있는 물고기 그림자: 물고기 그림자에 직접 닿거나 공격하면 물고기가 드랍됩니다. 물고기 외에는 드랍되지 않습니다.
5. 거품: 무언가의 존재를 나타냅니다. 폭탄이나 물 지팡이로 공격하면 거품이 발동하여 드롭을 생성합니다. 물속에 적이나 장비가 생성될 확률이 높고, 물고기가 드롭될 확률은 낮습니다.
6. 강 표면을 직접 공격하면 미끼가 있을 때만 드롭이 생성될 확률이 높습니다. 아이템 풀은 비교적 균형 잡혀 있습니다.
7. 살아있는 생물을 강에 던지면 영양분이 되어 사카반 거북이를 포함한 새로운 드롭이 증가합니다.
8. TV 예보... 드롭 풀을 변경한다고 해서 드롭률이나 시도 횟수에 반드시 영향을 미치는 것은 아닙니다.
9. 위의 모든 미끼 보너스는 중첩 가능하며, 미끼의 중복 범위도 중첩됩니다. 트리거 확률이 100% 이상으로 증가하면 강의 군주나 특별 아이템과 같은 새로운 드롭 조건이 나타납니다.
10. 수역이 너무 작으면 특정 유형의 몬스터(예: 보스)가 나타나지 않습니다. 땅이 서 있는 면적이 너무 작으면 보스가 즉시 도망갑니다.
---------------------- 간단히 말해서: 비오는 날 + 높은 행운 + 여러 가샤폰 머신의 물방울 스택 범위 + 큰 강 + 다리 근처의 충분한 육지 면적은 특수 낚시에 이상적인 조건입니다.</v>
      </c>
      <c r="G108" s="55" t="str">
        <f>IFERROR(__xludf.DUMMYFUNCTION("GOOGLETRANSLATE(A108,""zh-tw"",""ru"")"),"Подробное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Ч"&amp;"ем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"&amp;"вероятность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ат"&amp;"ака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гене"&amp;"рируют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существ"&amp;" в реку становится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в"&amp;"ышеперечисленные бонусы за наживку суммируются, и диапазон перекрытия наживок также суммируется. Если частота срабатывания превышает 100%, появляются новые условия выпадения, такие как Властелин реки или особые предметы.
10. Если водоём слишком мал, неко"&amp;"торые 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идеаль"&amp;"ные условия для специальной рыбалки.")</f>
        <v>Подробное объяснение водной рыбалки (все предметы сбрасываются во время дождя):
При броске бомбы в воду выпадет только 5% предметов. Дождливая погода увеличивает этот случай на 30–50%.
1. Количество предметов, которые могут выпасть в реке, ограничено. Чем больше река, тем больше предметов может выпасть, максимум — 50.
2. Когда гасяпон-машина или враг падает в реку, в точке падения создаётся небольшой эффект «приманки», увеличивающий вероятность выпадения на 50% (сломанные гасяпон-машины не увеличивают вероятность выпадения); это также увеличивает количество предметов, которые могут выпасть в этой области реки; и увеличивает значение зла.
3. Удача старшего брата увеличит вероятность выпадения, максимум до 75%.
4. Тени рыб в реке: прямое касание или атака тени рыбы приведёт к выпадению рыбы; Никаких других выпадений, кроме рыбы, не будет.
5. Пузырьки: Они указывают на присутствие чего-либо. Атака по ним бомбами или водяными посохами активирует их и генерирует выпадения. Они с большей вероятностью генерируют врагов или снаряжение в воде, с меньшей вероятностью выпадения рыбы.
6. Прямая атака на поверхность реки с большей вероятностью генерирует выпадения только при наличии наживки. Набор предметов относительно сбалансирован.
7. Бросание живых существ в реку становится питательной средой, увеличивая количество новых выпадений, включая выпущенных черепах Сакабан.
8. Телевизионные прогнозы... Простое изменение набора выпадений не обязательно влияет на частоту выпадения или количество попыток.
9. Все вышеперечисленные бонусы за наживку суммируются, и диапазон перекрытия наживок также суммируется. Если частота срабатывания превышает 100%, появляются новые условия выпадения, такие как Властелин реки или особые предметы.
10. Если водоём слишком мал, некоторые типы монстров (например, боссы) не появятся; если же площадь суши слишком мала, босс сразу же убежит.
---------------------- Вкратце: Дождливые дни + высокая удача + несколько гашапонов + большая река + достаточная площадь суши возле моста — идеальные условия для специальной рыбалки.</v>
      </c>
      <c r="H108" s="213" t="s">
        <v>3688</v>
      </c>
      <c r="I108" s="162" t="s">
        <v>3689</v>
      </c>
      <c r="J108" s="46"/>
      <c r="K108" s="46"/>
      <c r="L108" s="46"/>
      <c r="M108" s="46"/>
      <c r="N108" s="46"/>
      <c r="O108" s="46"/>
      <c r="P108" s="46"/>
      <c r="Q108" s="46"/>
      <c r="R108" s="46"/>
      <c r="S108" s="46"/>
      <c r="T108" s="46"/>
      <c r="U108" s="46"/>
      <c r="V108" s="46"/>
      <c r="W108" s="46"/>
    </row>
    <row r="109">
      <c r="A109" s="52" t="s">
        <v>3690</v>
      </c>
      <c r="B109" s="213" t="s">
        <v>3691</v>
      </c>
      <c r="C109" s="52" t="s">
        <v>3692</v>
      </c>
      <c r="D109" s="213" t="str">
        <f>IFERROR(__xludf.DUMMYFUNCTION("GOOGLETRANSLATE(A109,""zh-tw"",""zh"")"),"萨卡班甲鱼王血量低于90%时，有机率睡眠回复血量，受到攻击会醒来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f>
        <v>萨卡班甲鱼王血量低于90%时，有机率睡眠回复血量，受到攻击会醒来
被击败时，如果半径8格范围内有水域，它就会脱战跳进水里逃跑，这个过程它的皇冠（王权征令）有概率掉落，如果是在"睡眠情况下"且"受控制状态"(麻痹、冻结、晕眩)的同时被击败，王权征令的掉落率会增加
如果它附近没有水域，它就会因为力竭且无法逃跑而原地退化成普通的萨卡班甲鱼同时变成从者掉落物(◉▽◉(粉色))，这个过程仍有概率掉落王权征令。</v>
      </c>
      <c r="E109" s="55" t="str">
        <f>IFERROR(__xludf.DUMMYFUNCTION("GOOGLETRANSLATE(A109,""zh-tw"",""es-MX"")"),"Cuando los PV del Rey Tortuga Sakaban bajan del 90%, tiene una probabilidad de caer en un sueño profundo y recuperar PV. Despertará al ser atacado.
Al ser derrotado, si hay agua en un radio de 8 casillas, se desenganchará y saltará al agua para escapar. "&amp;"Durante este proceso, existe la posibilidad de que su corona (Decreto Real) se suelte. Si es derrotado mientras está ""dormido"" y ""bajo control"" (paralizado, congelado o aturdido), la probabilidad de que suelte el Decreto Real aumenta.
Si no hay agua "&amp;"cerca, se convertirá en una Tortuga Sakaban normal debido al agotamiento y la imposibilidad de escapar, convirtiéndose en un objeto de Servant (◉▽◉ (rosa)). Durante este proceso, aún existe la posibilidad de que suelte el Decreto Real.")</f>
        <v>Cuando los PV del Rey Tortuga Sakaban bajan del 90%, tiene una probabilidad de caer en un sueño profundo y recuperar PV. Despertará al ser atacado.
Al ser derrotado, si hay agua en un radio de 8 casillas, se desenganchará y saltará al agua para escapar. Durante este proceso, existe la posibilidad de que su corona (Decreto Real) se suelte. Si es derrotado mientras está "dormido" y "bajo control" (paralizado, congelado o aturdido), la probabilidad de que suelte el Decreto Real aumenta.
Si no hay agua cerca, se convertirá en una Tortuga Sakaban normal debido al agotamiento y la imposibilidad de escapar, convirtiéndose en un objeto de Servant (◉▽◉ (rosa)). Durante este proceso, aún existe la posibilidad de que suelte el Decreto Real.</v>
      </c>
      <c r="F109" s="214" t="str">
        <f>IFERROR(__xludf.DUMMYFUNCTION("GOOGLETRANSLATE(A109,""zh-tw"",""KO"")"),"사카반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"&amp;"드롭(◉▽◉(분홍색))이 됩니다. 이 과정에서도 왕의 칙령을 드롭할 확률이 있습니다.")</f>
        <v>사카반 거북이 왕의 체력이 90% 미만으로 떨어지면 일정 확률로 잠에 빠져 체력을 회복합니다. 공격을 받으면 깨어납니다.
패배 시, 8타일 반경 내에 물이 있으면 전투를 해제하고 물속으로 뛰어들어 도주합니다. 이 과정에서 왕관(왕의 칙령)을 드롭할 확률이 있습니다. "수면" 및 "제어 중"(마비, 동결, 기절) 상태에서 패배하면 왕의 칙령 드롭 확률이 증가합니다.
근처에 물이 없으면 탈진 및 도주 불능으로 일반 사카반 거북이로 변하여 서번트 드롭(◉▽◉(분홍색))이 됩니다. 이 과정에서도 왕의 칙령을 드롭할 확률이 있습니다.</v>
      </c>
      <c r="G109" s="55" t="str">
        <f>IFERROR(__xludf.DUMMYFUNCTION("GOOGLETRANSLATE(A109,""zh-tw"",""ru"")"),"Когда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Во время этого процесс"&amp;"а у него есть шанс выпасть корона (Королевский указ). Если Король будет побеждён во время сна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Ко"&amp;"роль Черепах Сакабан превратится в обычную Черепаху Сакабан, став предметом Слуги (◉▽◉(розовый)). Во время этого процесса всё ещё есть шанс выпадения Королевского указа.")</f>
        <v>Когда здоровье Короля Черепах Сакабан падает ниже 90%, у него есть шанс заснуть и восстановить здоровье. Он проснётся при атаке.
После поражения, если в радиусе 8 клеток есть вода, Король отцепится и прыгнет в воду, чтобы спастись. Во время этого процесса у него есть шанс выпасть корона (Королевский указ). Если Король будет побеждён во время сна и под контролем (парализован, заморожен, оглушен), шанс выпадения Королевского указа увеличится.
Если рядом нет воды, из-за истощения и невозможности сбежать Король Черепах Сакабан превратится в обычную Черепаху Сакабан, став предметом Слуги (◉▽◉(розовый)). Во время этого процесса всё ещё есть шанс выпадения Королевского указа.</v>
      </c>
      <c r="H109" s="213" t="s">
        <v>3693</v>
      </c>
      <c r="I109" s="184" t="s">
        <v>3694</v>
      </c>
      <c r="J109" s="46"/>
      <c r="K109" s="46"/>
      <c r="L109" s="46"/>
      <c r="M109" s="46"/>
      <c r="N109" s="46"/>
      <c r="O109" s="46"/>
      <c r="P109" s="46"/>
      <c r="Q109" s="46"/>
      <c r="R109" s="46"/>
      <c r="S109" s="46"/>
      <c r="T109" s="46"/>
      <c r="U109" s="46"/>
      <c r="V109" s="46"/>
      <c r="W109" s="46"/>
    </row>
    <row r="110">
      <c r="A110" s="52" t="s">
        <v>3695</v>
      </c>
      <c r="B110" s="213" t="s">
        <v>3696</v>
      </c>
      <c r="C110" s="52" t="s">
        <v>3697</v>
      </c>
      <c r="D110" s="213" t="str">
        <f>IFERROR(__xludf.DUMMYFUNCTION("GOOGLETRANSLATE(A110,""zh-tw"",""zh"")"),"毒雾遇上火属性攻击时，可以产生粉尘爆炸")</f>
        <v>毒雾遇上火属性攻击时，可以产生粉尘爆炸</v>
      </c>
      <c r="E110" s="55" t="str">
        <f>IFERROR(__xludf.DUMMYFUNCTION("GOOGLETRANSLATE(A110,""zh-tw"",""es-MX"")"),"Cuando la niebla venenosa se encuentra con un ataque de atributo fuego, puede producir una explosión de polvo.")</f>
        <v>Cuando la niebla venenosa se encuentra con un ataque de atributo fuego, puede producir una explosión de polvo.</v>
      </c>
      <c r="F110" s="214" t="str">
        <f>IFERROR(__xludf.DUMMYFUNCTION("GOOGLETRANSLATE(A110,""zh-tw"",""KO"")"),"독성 안개가 화염 속성의 공격을 받으면 먼지 폭발을 일으킬 수 있습니다.")</f>
        <v>독성 안개가 화염 속성의 공격을 받으면 먼지 폭발을 일으킬 수 있습니다.</v>
      </c>
      <c r="G110" s="55" t="str">
        <f>IFERROR(__xludf.DUMMYFUNCTION("GOOGLETRANSLATE(A110,""zh-tw"",""ru"")"),"Когда ядовитый туман сталкивается с атакой стихии огня, он может вызвать взрыв пыли.")</f>
        <v>Когда ядовитый туман сталкивается с атакой стихии огня, он может вызвать взрыв пыли.</v>
      </c>
      <c r="H110" s="213" t="s">
        <v>3698</v>
      </c>
      <c r="I110" s="184" t="s">
        <v>3699</v>
      </c>
      <c r="J110" s="46"/>
      <c r="K110" s="46"/>
      <c r="L110" s="46"/>
      <c r="M110" s="46"/>
      <c r="N110" s="46"/>
      <c r="O110" s="46"/>
      <c r="P110" s="46"/>
      <c r="Q110" s="46"/>
      <c r="R110" s="46"/>
      <c r="S110" s="46"/>
      <c r="T110" s="46"/>
      <c r="U110" s="46"/>
      <c r="V110" s="46"/>
      <c r="W110" s="46"/>
    </row>
    <row r="111">
      <c r="A111" s="52" t="s">
        <v>3700</v>
      </c>
      <c r="B111" s="213" t="s">
        <v>3701</v>
      </c>
      <c r="C111" s="52" t="s">
        <v>3702</v>
      </c>
      <c r="D111" s="213" t="str">
        <f>IFERROR(__xludf.DUMMYFUNCTION("GOOGLETRANSLATE(A111,""zh-tw"",""zh"")"),"一些贪吃属性的怪物，容易受到美食武器的诱惑，例如：ASABA、兽人等等。更容易被强制击杀。")</f>
        <v>一些贪吃属性的怪物，容易受到美食武器的诱惑，例如：ASABA、兽人等等。更容易被强制击杀。</v>
      </c>
      <c r="E111" s="55" t="str">
        <f>IFERROR(__xludf.DUMMYFUNCTION("GOOGLETRANSLATE(A111,""zh-tw"",""es-MX"")"),"Algunos monstruos glotones, como Asaba y los Orcos, se dejan tentar fácilmente por armas con temática de comida. Es más probable que sean asesinados a la fuerza.")</f>
        <v>Algunos monstruos glotones, como Asaba y los Orcos, se dejan tentar fácilmente por armas con temática de comida. Es más probable que sean asesinados a la fuerza.</v>
      </c>
      <c r="F111" s="214" t="str">
        <f>IFERROR(__xludf.DUMMYFUNCTION("GOOGLETRANSLATE(A111,""zh-tw"",""KO"")"),"일부 탐식성 몬스터는 아사바나 오크처럼 음식을 소재로 한 무기에 쉽게 유혹당합니다. 강제로 죽일 가능성이 더 높습니다.")</f>
        <v>일부 탐식성 몬스터는 아사바나 오크처럼 음식을 소재로 한 무기에 쉽게 유혹당합니다. 강제로 죽일 가능성이 더 높습니다.</v>
      </c>
      <c r="G111" s="55" t="str">
        <f>IFERROR(__xludf.DUMMYFUNCTION("GOOGLETRANSLATE(A111,""zh-tw"",""ru"")"),"Некоторые прожорливые монстры, например, Асаба и Орки, легко соблазняются оружием, похожим на еду. Их чаще убивают силой.")</f>
        <v>Некоторые прожорливые монстры, например, Асаба и Орки, легко соблазняются оружием, похожим на еду. Их чаще убивают силой.</v>
      </c>
      <c r="H111" s="213" t="s">
        <v>3703</v>
      </c>
      <c r="I111" s="184" t="s">
        <v>3704</v>
      </c>
      <c r="J111" s="46"/>
      <c r="K111" s="46"/>
      <c r="L111" s="46"/>
      <c r="M111" s="46"/>
      <c r="N111" s="46"/>
      <c r="O111" s="46"/>
      <c r="P111" s="46"/>
      <c r="Q111" s="46"/>
      <c r="R111" s="46"/>
      <c r="S111" s="46"/>
      <c r="T111" s="46"/>
      <c r="U111" s="46"/>
      <c r="V111" s="46"/>
      <c r="W111" s="46"/>
    </row>
    <row r="112">
      <c r="A112" s="52" t="s">
        <v>3705</v>
      </c>
      <c r="B112" s="213" t="s">
        <v>3706</v>
      </c>
      <c r="C112" s="52" t="s">
        <v>3707</v>
      </c>
      <c r="D112" s="213" t="str">
        <f>IFERROR(__xludf.DUMMYFUNCTION("GOOGLETRANSLATE(A112,""zh-tw"",""zh"")"),"下雨的天气提供30~50%钓鱼机率的加成，但仅限画面有雨水显示的时候(例如室内/地城等就无加成)；阴天提供15~25%的加成，但是可以全地图生效。")</f>
        <v>下雨的天气提供30~50%钓鱼机率的加成，但仅限画面有雨水显示的时候(例如室内/地城等就无加成)；阴天提供15~25%的加成，但是可以全地图生效。</v>
      </c>
      <c r="E112" s="55" t="str">
        <f>IFERROR(__xludf.DUMMYFUNCTION("GOOGLETRANSLATE(A112,""zh-tw"",""es-MX"")"),"El clima lluvioso proporciona una bonificación del 30-50% a las posibilidades de pesca, pero solo cuando la lluvia es visible en la pantalla (no hay bonificación en interiores/mazmorras); el clima nublado proporciona una bonificación del 15-25%, pero se a"&amp;"plica a todo el mapa.")</f>
        <v>El clima lluvioso proporciona una bonificación del 30-50% a las posibilidades de pesca, pero solo cuando la lluvia es visible en la pantalla (no hay bonificación en interiores/mazmorras); el clima nublado proporciona una bonificación del 15-25%, pero se aplica a todo el mapa.</v>
      </c>
      <c r="F112" s="214" t="str">
        <f>IFERROR(__xludf.DUMMYFUNCTION("GOOGLETRANSLATE(A112,""zh-tw"",""KO"")"),"비가 오는 날씨는 낚시 확률에 30~50%의 보너스를 주지만, 화면에 비가 보일 때만 적용됩니다(실내/던전에서는 보너스가 없습니다). 흐린 날씨는 15~25%의 보너스를 주지만, 전체 맵에 적용됩니다.")</f>
        <v>비가 오는 날씨는 낚시 확률에 30~50%의 보너스를 주지만, 화면에 비가 보일 때만 적용됩니다(실내/던전에서는 보너스가 없습니다). 흐린 날씨는 15~25%의 보너스를 주지만, 전체 맵에 적용됩니다.</v>
      </c>
      <c r="G112" s="55" t="str">
        <f>IFERROR(__xludf.DUMMYFUNCTION("GOOGLETRANSLATE(A112,""zh-tw"",""ru"")"),"Дождливая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f>
        <v>Дождливая погода дает бонус 30–50% к шансам на рыбалку, но только когда на экране виден дождь (в помещениях/подземельях бонуса нет); облачная погода дает бонус 15–25%, но он распространяется на всю карту.</v>
      </c>
      <c r="H112" s="213" t="s">
        <v>3708</v>
      </c>
      <c r="I112" s="184" t="s">
        <v>3709</v>
      </c>
      <c r="J112" s="46"/>
      <c r="K112" s="46"/>
      <c r="L112" s="46"/>
      <c r="M112" s="46"/>
      <c r="N112" s="46"/>
      <c r="O112" s="46"/>
      <c r="P112" s="46"/>
      <c r="Q112" s="46"/>
      <c r="R112" s="46"/>
      <c r="S112" s="46"/>
      <c r="T112" s="46"/>
      <c r="U112" s="46"/>
      <c r="V112" s="46"/>
      <c r="W112" s="46"/>
    </row>
    <row r="113">
      <c r="A113" s="52" t="s">
        <v>3710</v>
      </c>
      <c r="B113" s="214"/>
      <c r="C113" s="55"/>
      <c r="D113" s="213" t="str">
        <f>IFERROR(__xludf.DUMMYFUNCTION("GOOGLETRANSLATE(A113,""zh-tw"",""zh"")"),"地图上每株草莓树有10%机率刷新出ASABA
哥哥持有的草莓越多，刷新ASABA的概率越高，每一颗草莓可以增加0.5%，最多能生效100颗草莓(增加50%机率)。")</f>
        <v>地图上每株草莓树有10%机率刷新出ASABA
哥哥持有的草莓越多，刷新ASABA的概率越高，每一颗草莓可以增加0.5%，最多能生效100颗草莓(增加50%机率)。</v>
      </c>
      <c r="E113" s="55" t="str">
        <f>IFERROR(__xludf.DUMMYFUNCTION("GOOGLETRANSLATE(A113,""zh-tw"",""es-MX"")"),"Cada madroño del mapa tiene un 10% de probabilidad de generar ASABA. Cuantas más fresas tenga el hermano mayor, mayor será la probabilidad de que aparezca ASABA. Cada fresa aumenta la probabilidad en un 0,5%, y se pueden usar un máximo de 100 fresas (lo q"&amp;"ue aumenta la probabilidad en un 50%).")</f>
        <v>Cada madroño del mapa tiene un 10% de probabilidad de generar ASABA. Cuantas más fresas tenga el hermano mayor, mayor será la probabilidad de que aparezca ASABA. Cada fresa aumenta la probabilidad en un 0,5%, y se pueden usar un máximo de 100 fresas (lo que aumenta la probabilidad en un 50%).</v>
      </c>
      <c r="F113" s="214" t="str">
        <f>IFERROR(__xludf.DUMMYFUNCTION("GOOGLETRANSLATE(A113,""zh-tw"",""KO"")"),"지도에 있는 딸기나무 한 그루에서 ASABA가 생성될 확률은 10%입니다. 형이 딸기를 더 많이 가지고 있을수록 ASABA가 생성될 확률이 높아집니다. 딸기 한 그루당 확률은 0.5%씩 증가하며, 최대 100개까지 사용할 수 있습니다(확률 50% 증가).")</f>
        <v>지도에 있는 딸기나무 한 그루에서 ASABA가 생성될 확률은 10%입니다. 형이 딸기를 더 많이 가지고 있을수록 ASABA가 생성될 확률이 높아집니다. 딸기 한 그루당 확률은 0.5%씩 증가하며, 최대 100개까지 사용할 수 있습니다(확률 50% 증가).</v>
      </c>
      <c r="G113" s="55" t="str">
        <f>IFERROR(__xludf.DUMMYFUNCTION("GOOGLETRANSLATE(A113,""zh-tw"",""ru"")"),"Каждое клубничное дерево на карте имеет 10% вероятность появления ASABA. Чем больше клубники у старшего дерева, тем выше вероятность появления ASABA. Каждая клубника увеличивает вероятность на 0,5%, и можно использовать максимум 100 клубник (что увеличива"&amp;"ет вероятность на 50%).")</f>
        <v>Каждое клубничное дерево на карте имеет 10% вероятность появления ASABA. Чем больше клубники у старшего дерева, тем выше вероятность появления ASABA. Каждая клубника увеличивает вероятность на 0,5%, и можно использовать максимум 100 клубник (что увеличивает вероятность на 50%).</v>
      </c>
      <c r="H113" s="213"/>
      <c r="I113" s="101" t="s">
        <v>3711</v>
      </c>
      <c r="J113" s="46"/>
      <c r="K113" s="46"/>
      <c r="L113" s="46"/>
      <c r="M113" s="46"/>
      <c r="N113" s="46"/>
      <c r="O113" s="46"/>
      <c r="P113" s="46"/>
      <c r="Q113" s="46"/>
      <c r="R113" s="46"/>
      <c r="S113" s="46"/>
      <c r="T113" s="46"/>
      <c r="U113" s="46"/>
      <c r="V113" s="46"/>
      <c r="W113" s="46"/>
    </row>
    <row r="114">
      <c r="A114" s="55"/>
      <c r="B114" s="214"/>
      <c r="C114" s="55"/>
      <c r="D114" s="214"/>
      <c r="E114" s="122"/>
      <c r="F114" s="219"/>
      <c r="G114" s="122"/>
      <c r="H114" s="214"/>
      <c r="I114" s="220"/>
      <c r="J114" s="46"/>
      <c r="K114" s="46"/>
      <c r="L114" s="46"/>
      <c r="M114" s="46"/>
      <c r="N114" s="46"/>
      <c r="O114" s="46"/>
      <c r="P114" s="46"/>
      <c r="Q114" s="46"/>
      <c r="R114" s="46"/>
      <c r="S114" s="46"/>
      <c r="T114" s="46"/>
      <c r="U114" s="46"/>
      <c r="V114" s="46"/>
      <c r="W114" s="46"/>
    </row>
    <row r="115">
      <c r="A115" s="55"/>
      <c r="B115" s="214"/>
      <c r="C115" s="55"/>
      <c r="D115" s="214"/>
      <c r="E115" s="122"/>
      <c r="F115" s="219"/>
      <c r="G115" s="122"/>
      <c r="H115" s="214"/>
      <c r="I115" s="220"/>
      <c r="J115" s="46"/>
      <c r="K115" s="46"/>
      <c r="L115" s="46"/>
      <c r="M115" s="46"/>
      <c r="N115" s="46"/>
      <c r="O115" s="46"/>
      <c r="P115" s="46"/>
      <c r="Q115" s="46"/>
      <c r="R115" s="46"/>
      <c r="S115" s="46"/>
      <c r="T115" s="46"/>
      <c r="U115" s="46"/>
      <c r="V115" s="46"/>
      <c r="W115" s="46"/>
    </row>
    <row r="116">
      <c r="A116" s="55"/>
      <c r="B116" s="214"/>
      <c r="C116" s="55"/>
      <c r="D116" s="214"/>
      <c r="E116" s="122"/>
      <c r="F116" s="219"/>
      <c r="G116" s="122"/>
      <c r="H116" s="214"/>
      <c r="I116" s="220"/>
      <c r="J116" s="46"/>
      <c r="K116" s="46"/>
      <c r="L116" s="46"/>
      <c r="M116" s="46"/>
      <c r="N116" s="46"/>
      <c r="O116" s="46"/>
      <c r="P116" s="46"/>
      <c r="Q116" s="46"/>
      <c r="R116" s="46"/>
      <c r="S116" s="46"/>
      <c r="T116" s="46"/>
      <c r="U116" s="46"/>
      <c r="V116" s="46"/>
      <c r="W116" s="46"/>
    </row>
    <row r="117">
      <c r="A117" s="55"/>
      <c r="B117" s="214"/>
      <c r="C117" s="55"/>
      <c r="D117" s="214"/>
      <c r="E117" s="122"/>
      <c r="F117" s="219"/>
      <c r="G117" s="122"/>
      <c r="H117" s="214"/>
      <c r="I117" s="220"/>
      <c r="J117" s="46"/>
      <c r="K117" s="46"/>
      <c r="L117" s="46"/>
      <c r="M117" s="46"/>
      <c r="N117" s="46"/>
      <c r="O117" s="46"/>
      <c r="P117" s="46"/>
      <c r="Q117" s="46"/>
      <c r="R117" s="46"/>
      <c r="S117" s="46"/>
      <c r="T117" s="46"/>
      <c r="U117" s="46"/>
      <c r="V117" s="46"/>
      <c r="W117" s="46"/>
    </row>
    <row r="118">
      <c r="A118" s="55"/>
      <c r="B118" s="214"/>
      <c r="C118" s="55"/>
      <c r="D118" s="214"/>
      <c r="E118" s="122"/>
      <c r="F118" s="219"/>
      <c r="G118" s="122"/>
      <c r="H118" s="214"/>
      <c r="I118" s="220"/>
      <c r="J118" s="46"/>
      <c r="K118" s="46"/>
      <c r="L118" s="46"/>
      <c r="M118" s="46"/>
      <c r="N118" s="46"/>
      <c r="O118" s="46"/>
      <c r="P118" s="46"/>
      <c r="Q118" s="46"/>
      <c r="R118" s="46"/>
      <c r="S118" s="46"/>
      <c r="T118" s="46"/>
      <c r="U118" s="46"/>
      <c r="V118" s="46"/>
      <c r="W118" s="46"/>
    </row>
    <row r="119">
      <c r="A119" s="55"/>
      <c r="B119" s="214"/>
      <c r="C119" s="55"/>
      <c r="D119" s="214"/>
      <c r="E119" s="122"/>
      <c r="F119" s="219"/>
      <c r="G119" s="122"/>
      <c r="H119" s="214"/>
      <c r="I119" s="220"/>
      <c r="J119" s="46"/>
      <c r="K119" s="46"/>
      <c r="L119" s="46"/>
      <c r="M119" s="46"/>
      <c r="N119" s="46"/>
      <c r="O119" s="46"/>
      <c r="P119" s="46"/>
      <c r="Q119" s="46"/>
      <c r="R119" s="46"/>
      <c r="S119" s="46"/>
      <c r="T119" s="46"/>
      <c r="U119" s="46"/>
      <c r="V119" s="46"/>
      <c r="W119" s="46"/>
    </row>
    <row r="120">
      <c r="A120" s="55"/>
      <c r="B120" s="214"/>
      <c r="C120" s="55"/>
      <c r="D120" s="214"/>
      <c r="E120" s="122"/>
      <c r="F120" s="219"/>
      <c r="G120" s="122"/>
      <c r="H120" s="214"/>
      <c r="I120" s="220"/>
      <c r="J120" s="46"/>
      <c r="K120" s="46"/>
      <c r="L120" s="46"/>
      <c r="M120" s="46"/>
      <c r="N120" s="46"/>
      <c r="O120" s="46"/>
      <c r="P120" s="46"/>
      <c r="Q120" s="46"/>
      <c r="R120" s="46"/>
      <c r="S120" s="46"/>
      <c r="T120" s="46"/>
      <c r="U120" s="46"/>
      <c r="V120" s="46"/>
      <c r="W120" s="46"/>
    </row>
    <row r="121">
      <c r="A121" s="55"/>
      <c r="B121" s="214"/>
      <c r="C121" s="55"/>
      <c r="D121" s="214"/>
      <c r="E121" s="122"/>
      <c r="F121" s="219"/>
      <c r="G121" s="122"/>
      <c r="H121" s="214"/>
      <c r="I121" s="220"/>
      <c r="J121" s="46"/>
      <c r="K121" s="46"/>
      <c r="L121" s="46"/>
      <c r="M121" s="46"/>
      <c r="N121" s="46"/>
      <c r="O121" s="46"/>
      <c r="P121" s="46"/>
      <c r="Q121" s="46"/>
      <c r="R121" s="46"/>
      <c r="S121" s="46"/>
      <c r="T121" s="46"/>
      <c r="U121" s="46"/>
      <c r="V121" s="46"/>
      <c r="W121" s="46"/>
    </row>
    <row r="122">
      <c r="A122" s="55"/>
      <c r="B122" s="214"/>
      <c r="C122" s="55"/>
      <c r="D122" s="214"/>
      <c r="E122" s="122"/>
      <c r="F122" s="219"/>
      <c r="G122" s="122"/>
      <c r="H122" s="214"/>
      <c r="I122" s="220"/>
      <c r="J122" s="46"/>
      <c r="K122" s="46"/>
      <c r="L122" s="46"/>
      <c r="M122" s="46"/>
      <c r="N122" s="46"/>
      <c r="O122" s="46"/>
      <c r="P122" s="46"/>
      <c r="Q122" s="46"/>
      <c r="R122" s="46"/>
      <c r="S122" s="46"/>
      <c r="T122" s="46"/>
      <c r="U122" s="46"/>
      <c r="V122" s="46"/>
      <c r="W122" s="46"/>
    </row>
    <row r="123">
      <c r="A123" s="55"/>
      <c r="B123" s="214"/>
      <c r="C123" s="55"/>
      <c r="D123" s="214"/>
      <c r="E123" s="122"/>
      <c r="F123" s="219"/>
      <c r="G123" s="122"/>
      <c r="H123" s="214"/>
      <c r="I123" s="220"/>
      <c r="J123" s="46"/>
      <c r="K123" s="46"/>
      <c r="L123" s="46"/>
      <c r="M123" s="46"/>
      <c r="N123" s="46"/>
      <c r="O123" s="46"/>
      <c r="P123" s="46"/>
      <c r="Q123" s="46"/>
      <c r="R123" s="46"/>
      <c r="S123" s="46"/>
      <c r="T123" s="46"/>
      <c r="U123" s="46"/>
      <c r="V123" s="46"/>
      <c r="W123" s="46"/>
    </row>
    <row r="124">
      <c r="A124" s="55"/>
      <c r="B124" s="214"/>
      <c r="C124" s="55"/>
      <c r="D124" s="214"/>
      <c r="E124" s="122"/>
      <c r="F124" s="219"/>
      <c r="G124" s="122"/>
      <c r="H124" s="214"/>
      <c r="I124" s="220"/>
      <c r="J124" s="46"/>
      <c r="K124" s="46"/>
      <c r="L124" s="46"/>
      <c r="M124" s="46"/>
      <c r="N124" s="46"/>
      <c r="O124" s="46"/>
      <c r="P124" s="46"/>
      <c r="Q124" s="46"/>
      <c r="R124" s="46"/>
      <c r="S124" s="46"/>
      <c r="T124" s="46"/>
      <c r="U124" s="46"/>
      <c r="V124" s="46"/>
      <c r="W124" s="46"/>
    </row>
    <row r="125">
      <c r="A125" s="55"/>
      <c r="B125" s="214"/>
      <c r="C125" s="55"/>
      <c r="D125" s="214"/>
      <c r="E125" s="122"/>
      <c r="F125" s="219"/>
      <c r="G125" s="122"/>
      <c r="H125" s="214"/>
      <c r="I125" s="220"/>
      <c r="J125" s="46"/>
      <c r="K125" s="46"/>
      <c r="L125" s="46"/>
      <c r="M125" s="46"/>
      <c r="N125" s="46"/>
      <c r="O125" s="46"/>
      <c r="P125" s="46"/>
      <c r="Q125" s="46"/>
      <c r="R125" s="46"/>
      <c r="S125" s="46"/>
      <c r="T125" s="46"/>
      <c r="U125" s="46"/>
      <c r="V125" s="46"/>
      <c r="W125" s="46"/>
    </row>
    <row r="126">
      <c r="A126" s="55"/>
      <c r="B126" s="214"/>
      <c r="C126" s="55"/>
      <c r="D126" s="214"/>
      <c r="E126" s="122"/>
      <c r="F126" s="219"/>
      <c r="G126" s="122"/>
      <c r="H126" s="214"/>
      <c r="I126" s="220"/>
      <c r="J126" s="46"/>
      <c r="K126" s="46"/>
      <c r="L126" s="46"/>
      <c r="M126" s="46"/>
      <c r="N126" s="46"/>
      <c r="O126" s="46"/>
      <c r="P126" s="46"/>
      <c r="Q126" s="46"/>
      <c r="R126" s="46"/>
      <c r="S126" s="46"/>
      <c r="T126" s="46"/>
      <c r="U126" s="46"/>
      <c r="V126" s="46"/>
      <c r="W126" s="46"/>
    </row>
    <row r="127">
      <c r="A127" s="55"/>
      <c r="B127" s="214"/>
      <c r="C127" s="55"/>
      <c r="D127" s="214"/>
      <c r="E127" s="122"/>
      <c r="F127" s="219"/>
      <c r="G127" s="122"/>
      <c r="H127" s="214"/>
      <c r="I127" s="220"/>
      <c r="J127" s="46"/>
      <c r="K127" s="46"/>
      <c r="L127" s="46"/>
      <c r="M127" s="46"/>
      <c r="N127" s="46"/>
      <c r="O127" s="46"/>
      <c r="P127" s="46"/>
      <c r="Q127" s="46"/>
      <c r="R127" s="46"/>
      <c r="S127" s="46"/>
      <c r="T127" s="46"/>
      <c r="U127" s="46"/>
      <c r="V127" s="46"/>
      <c r="W127" s="46"/>
    </row>
    <row r="128">
      <c r="A128" s="55"/>
      <c r="B128" s="214"/>
      <c r="C128" s="55"/>
      <c r="D128" s="214"/>
      <c r="E128" s="122"/>
      <c r="F128" s="219"/>
      <c r="G128" s="122"/>
      <c r="H128" s="214"/>
      <c r="I128" s="220"/>
      <c r="J128" s="46"/>
      <c r="K128" s="46"/>
      <c r="L128" s="46"/>
      <c r="M128" s="46"/>
      <c r="N128" s="46"/>
      <c r="O128" s="46"/>
      <c r="P128" s="46"/>
      <c r="Q128" s="46"/>
      <c r="R128" s="46"/>
      <c r="S128" s="46"/>
      <c r="T128" s="46"/>
      <c r="U128" s="46"/>
      <c r="V128" s="46"/>
      <c r="W128" s="46"/>
    </row>
    <row r="129">
      <c r="A129" s="55"/>
      <c r="B129" s="214"/>
      <c r="C129" s="55"/>
      <c r="D129" s="214"/>
      <c r="E129" s="122"/>
      <c r="F129" s="219"/>
      <c r="G129" s="122"/>
      <c r="H129" s="214"/>
      <c r="I129" s="220"/>
      <c r="J129" s="46"/>
      <c r="K129" s="46"/>
      <c r="L129" s="46"/>
      <c r="M129" s="46"/>
      <c r="N129" s="46"/>
      <c r="O129" s="46"/>
      <c r="P129" s="46"/>
      <c r="Q129" s="46"/>
      <c r="R129" s="46"/>
      <c r="S129" s="46"/>
      <c r="T129" s="46"/>
      <c r="U129" s="46"/>
      <c r="V129" s="46"/>
      <c r="W129" s="46"/>
    </row>
    <row r="130">
      <c r="A130" s="55"/>
      <c r="B130" s="214"/>
      <c r="C130" s="55"/>
      <c r="D130" s="214"/>
      <c r="E130" s="122"/>
      <c r="F130" s="219"/>
      <c r="G130" s="122"/>
      <c r="H130" s="214"/>
      <c r="I130" s="220"/>
      <c r="J130" s="46"/>
      <c r="K130" s="46"/>
      <c r="L130" s="46"/>
      <c r="M130" s="46"/>
      <c r="N130" s="46"/>
      <c r="O130" s="46"/>
      <c r="P130" s="46"/>
      <c r="Q130" s="46"/>
      <c r="R130" s="46"/>
      <c r="S130" s="46"/>
      <c r="T130" s="46"/>
      <c r="U130" s="46"/>
      <c r="V130" s="46"/>
      <c r="W130" s="46"/>
    </row>
    <row r="131">
      <c r="A131" s="55"/>
      <c r="B131" s="214"/>
      <c r="C131" s="55"/>
      <c r="D131" s="214"/>
      <c r="E131" s="122"/>
      <c r="F131" s="219"/>
      <c r="G131" s="122"/>
      <c r="H131" s="214"/>
      <c r="I131" s="220"/>
      <c r="J131" s="46"/>
      <c r="K131" s="46"/>
      <c r="L131" s="46"/>
      <c r="M131" s="46"/>
      <c r="N131" s="46"/>
      <c r="O131" s="46"/>
      <c r="P131" s="46"/>
      <c r="Q131" s="46"/>
      <c r="R131" s="46"/>
      <c r="S131" s="46"/>
      <c r="T131" s="46"/>
      <c r="U131" s="46"/>
      <c r="V131" s="46"/>
      <c r="W131" s="46"/>
    </row>
    <row r="132">
      <c r="A132" s="55"/>
      <c r="B132" s="214"/>
      <c r="C132" s="55"/>
      <c r="D132" s="214"/>
      <c r="E132" s="122"/>
      <c r="F132" s="219"/>
      <c r="G132" s="122"/>
      <c r="H132" s="214"/>
      <c r="I132" s="220"/>
      <c r="J132" s="46"/>
      <c r="K132" s="46"/>
      <c r="L132" s="46"/>
      <c r="M132" s="46"/>
      <c r="N132" s="46"/>
      <c r="O132" s="46"/>
      <c r="P132" s="46"/>
      <c r="Q132" s="46"/>
      <c r="R132" s="46"/>
      <c r="S132" s="46"/>
      <c r="T132" s="46"/>
      <c r="U132" s="46"/>
      <c r="V132" s="46"/>
      <c r="W132" s="46"/>
    </row>
    <row r="133">
      <c r="A133" s="55"/>
      <c r="B133" s="214"/>
      <c r="C133" s="55"/>
      <c r="D133" s="214"/>
      <c r="E133" s="122"/>
      <c r="F133" s="219"/>
      <c r="G133" s="122"/>
      <c r="H133" s="214"/>
      <c r="I133" s="220"/>
      <c r="J133" s="46"/>
      <c r="K133" s="46"/>
      <c r="L133" s="46"/>
      <c r="M133" s="46"/>
      <c r="N133" s="46"/>
      <c r="O133" s="46"/>
      <c r="P133" s="46"/>
      <c r="Q133" s="46"/>
      <c r="R133" s="46"/>
      <c r="S133" s="46"/>
      <c r="T133" s="46"/>
      <c r="U133" s="46"/>
      <c r="V133" s="46"/>
      <c r="W133" s="46"/>
    </row>
    <row r="134">
      <c r="A134" s="55"/>
      <c r="B134" s="214"/>
      <c r="C134" s="55"/>
      <c r="D134" s="214"/>
      <c r="E134" s="122"/>
      <c r="F134" s="219"/>
      <c r="G134" s="122"/>
      <c r="H134" s="214"/>
      <c r="I134" s="220"/>
      <c r="J134" s="46"/>
      <c r="K134" s="46"/>
      <c r="L134" s="46"/>
      <c r="M134" s="46"/>
      <c r="N134" s="46"/>
      <c r="O134" s="46"/>
      <c r="P134" s="46"/>
      <c r="Q134" s="46"/>
      <c r="R134" s="46"/>
      <c r="S134" s="46"/>
      <c r="T134" s="46"/>
      <c r="U134" s="46"/>
      <c r="V134" s="46"/>
      <c r="W134" s="46"/>
    </row>
    <row r="135">
      <c r="A135" s="55"/>
      <c r="B135" s="214"/>
      <c r="C135" s="55"/>
      <c r="D135" s="214"/>
      <c r="E135" s="122"/>
      <c r="F135" s="219"/>
      <c r="G135" s="122"/>
      <c r="H135" s="214"/>
      <c r="I135" s="220"/>
      <c r="J135" s="46"/>
      <c r="K135" s="46"/>
      <c r="L135" s="46"/>
      <c r="M135" s="46"/>
      <c r="N135" s="46"/>
      <c r="O135" s="46"/>
      <c r="P135" s="46"/>
      <c r="Q135" s="46"/>
      <c r="R135" s="46"/>
      <c r="S135" s="46"/>
      <c r="T135" s="46"/>
      <c r="U135" s="46"/>
      <c r="V135" s="46"/>
      <c r="W135" s="46"/>
    </row>
    <row r="136">
      <c r="A136" s="55"/>
      <c r="B136" s="214"/>
      <c r="C136" s="55"/>
      <c r="D136" s="214"/>
      <c r="E136" s="122"/>
      <c r="F136" s="219"/>
      <c r="G136" s="122"/>
      <c r="H136" s="214"/>
      <c r="I136" s="220"/>
      <c r="J136" s="46"/>
      <c r="K136" s="46"/>
      <c r="L136" s="46"/>
      <c r="M136" s="46"/>
      <c r="N136" s="46"/>
      <c r="O136" s="46"/>
      <c r="P136" s="46"/>
      <c r="Q136" s="46"/>
      <c r="R136" s="46"/>
      <c r="S136" s="46"/>
      <c r="T136" s="46"/>
      <c r="U136" s="46"/>
      <c r="V136" s="46"/>
      <c r="W136" s="46"/>
    </row>
    <row r="137">
      <c r="A137" s="55"/>
      <c r="B137" s="214"/>
      <c r="C137" s="55"/>
      <c r="D137" s="214"/>
      <c r="E137" s="122"/>
      <c r="F137" s="219"/>
      <c r="G137" s="122"/>
      <c r="H137" s="214"/>
      <c r="I137" s="220"/>
      <c r="J137" s="46"/>
      <c r="K137" s="46"/>
      <c r="L137" s="46"/>
      <c r="M137" s="46"/>
      <c r="N137" s="46"/>
      <c r="O137" s="46"/>
      <c r="P137" s="46"/>
      <c r="Q137" s="46"/>
      <c r="R137" s="46"/>
      <c r="S137" s="46"/>
      <c r="T137" s="46"/>
      <c r="U137" s="46"/>
      <c r="V137" s="46"/>
      <c r="W137" s="46"/>
    </row>
    <row r="138">
      <c r="A138" s="55"/>
      <c r="B138" s="214"/>
      <c r="C138" s="55"/>
      <c r="D138" s="214"/>
      <c r="E138" s="122"/>
      <c r="F138" s="219"/>
      <c r="G138" s="122"/>
      <c r="H138" s="214"/>
      <c r="I138" s="220"/>
      <c r="J138" s="46"/>
      <c r="K138" s="46"/>
      <c r="L138" s="46"/>
      <c r="M138" s="46"/>
      <c r="N138" s="46"/>
      <c r="O138" s="46"/>
      <c r="P138" s="46"/>
      <c r="Q138" s="46"/>
      <c r="R138" s="46"/>
      <c r="S138" s="46"/>
      <c r="T138" s="46"/>
      <c r="U138" s="46"/>
      <c r="V138" s="46"/>
      <c r="W138" s="46"/>
    </row>
    <row r="139">
      <c r="A139" s="55"/>
      <c r="B139" s="214"/>
      <c r="C139" s="55"/>
      <c r="D139" s="214"/>
      <c r="E139" s="122"/>
      <c r="F139" s="219"/>
      <c r="G139" s="122"/>
      <c r="H139" s="214"/>
      <c r="I139" s="220"/>
      <c r="J139" s="46"/>
      <c r="K139" s="46"/>
      <c r="L139" s="46"/>
      <c r="M139" s="46"/>
      <c r="N139" s="46"/>
      <c r="O139" s="46"/>
      <c r="P139" s="46"/>
      <c r="Q139" s="46"/>
      <c r="R139" s="46"/>
      <c r="S139" s="46"/>
      <c r="T139" s="46"/>
      <c r="U139" s="46"/>
      <c r="V139" s="46"/>
      <c r="W139" s="46"/>
    </row>
    <row r="140">
      <c r="A140" s="55"/>
      <c r="B140" s="214"/>
      <c r="C140" s="55"/>
      <c r="D140" s="214"/>
      <c r="E140" s="122"/>
      <c r="F140" s="219"/>
      <c r="G140" s="122"/>
      <c r="H140" s="214"/>
      <c r="I140" s="220"/>
      <c r="J140" s="46"/>
      <c r="K140" s="46"/>
      <c r="L140" s="46"/>
      <c r="M140" s="46"/>
      <c r="N140" s="46"/>
      <c r="O140" s="46"/>
      <c r="P140" s="46"/>
      <c r="Q140" s="46"/>
      <c r="R140" s="46"/>
      <c r="S140" s="46"/>
      <c r="T140" s="46"/>
      <c r="U140" s="46"/>
      <c r="V140" s="46"/>
      <c r="W140" s="46"/>
    </row>
    <row r="141">
      <c r="A141" s="55"/>
      <c r="B141" s="214"/>
      <c r="C141" s="55"/>
      <c r="D141" s="214"/>
      <c r="E141" s="122"/>
      <c r="F141" s="219"/>
      <c r="G141" s="122"/>
      <c r="H141" s="214"/>
      <c r="I141" s="220"/>
      <c r="J141" s="46"/>
      <c r="K141" s="46"/>
      <c r="L141" s="46"/>
      <c r="M141" s="46"/>
      <c r="N141" s="46"/>
      <c r="O141" s="46"/>
      <c r="P141" s="46"/>
      <c r="Q141" s="46"/>
      <c r="R141" s="46"/>
      <c r="S141" s="46"/>
      <c r="T141" s="46"/>
      <c r="U141" s="46"/>
      <c r="V141" s="46"/>
      <c r="W141" s="46"/>
    </row>
    <row r="142">
      <c r="A142" s="55"/>
      <c r="B142" s="214"/>
      <c r="C142" s="55"/>
      <c r="D142" s="214"/>
      <c r="E142" s="122"/>
      <c r="F142" s="219"/>
      <c r="G142" s="122"/>
      <c r="H142" s="214"/>
      <c r="I142" s="220"/>
      <c r="J142" s="46"/>
      <c r="K142" s="46"/>
      <c r="L142" s="46"/>
      <c r="M142" s="46"/>
      <c r="N142" s="46"/>
      <c r="O142" s="46"/>
      <c r="P142" s="46"/>
      <c r="Q142" s="46"/>
      <c r="R142" s="46"/>
      <c r="S142" s="46"/>
      <c r="T142" s="46"/>
      <c r="U142" s="46"/>
      <c r="V142" s="46"/>
      <c r="W142" s="46"/>
    </row>
    <row r="143">
      <c r="A143" s="55"/>
      <c r="B143" s="214"/>
      <c r="C143" s="55"/>
      <c r="D143" s="214"/>
      <c r="E143" s="122"/>
      <c r="F143" s="219"/>
      <c r="G143" s="122"/>
      <c r="H143" s="214"/>
      <c r="I143" s="220"/>
      <c r="J143" s="46"/>
      <c r="K143" s="46"/>
      <c r="L143" s="46"/>
      <c r="M143" s="46"/>
      <c r="N143" s="46"/>
      <c r="O143" s="46"/>
      <c r="P143" s="46"/>
      <c r="Q143" s="46"/>
      <c r="R143" s="46"/>
      <c r="S143" s="46"/>
      <c r="T143" s="46"/>
      <c r="U143" s="46"/>
      <c r="V143" s="46"/>
      <c r="W143" s="46"/>
    </row>
    <row r="144">
      <c r="A144" s="55"/>
      <c r="B144" s="214"/>
      <c r="C144" s="55"/>
      <c r="D144" s="214"/>
      <c r="E144" s="122"/>
      <c r="F144" s="219"/>
      <c r="G144" s="122"/>
      <c r="H144" s="214"/>
      <c r="I144" s="220"/>
      <c r="J144" s="46"/>
      <c r="K144" s="46"/>
      <c r="L144" s="46"/>
      <c r="M144" s="46"/>
      <c r="N144" s="46"/>
      <c r="O144" s="46"/>
      <c r="P144" s="46"/>
      <c r="Q144" s="46"/>
      <c r="R144" s="46"/>
      <c r="S144" s="46"/>
      <c r="T144" s="46"/>
      <c r="U144" s="46"/>
      <c r="V144" s="46"/>
      <c r="W144" s="46"/>
    </row>
    <row r="145">
      <c r="A145" s="55"/>
      <c r="B145" s="214"/>
      <c r="C145" s="55"/>
      <c r="D145" s="214"/>
      <c r="E145" s="122"/>
      <c r="F145" s="219"/>
      <c r="G145" s="122"/>
      <c r="H145" s="214"/>
      <c r="I145" s="220"/>
      <c r="J145" s="46"/>
      <c r="K145" s="46"/>
      <c r="L145" s="46"/>
      <c r="M145" s="46"/>
      <c r="N145" s="46"/>
      <c r="O145" s="46"/>
      <c r="P145" s="46"/>
      <c r="Q145" s="46"/>
      <c r="R145" s="46"/>
      <c r="S145" s="46"/>
      <c r="T145" s="46"/>
      <c r="U145" s="46"/>
      <c r="V145" s="46"/>
      <c r="W145" s="46"/>
    </row>
    <row r="146">
      <c r="A146" s="55"/>
      <c r="B146" s="214"/>
      <c r="C146" s="55"/>
      <c r="D146" s="214"/>
      <c r="E146" s="122"/>
      <c r="F146" s="219"/>
      <c r="G146" s="122"/>
      <c r="H146" s="214"/>
      <c r="I146" s="220"/>
      <c r="J146" s="46"/>
      <c r="K146" s="46"/>
      <c r="L146" s="46"/>
      <c r="M146" s="46"/>
      <c r="N146" s="46"/>
      <c r="O146" s="46"/>
      <c r="P146" s="46"/>
      <c r="Q146" s="46"/>
      <c r="R146" s="46"/>
      <c r="S146" s="46"/>
      <c r="T146" s="46"/>
      <c r="U146" s="46"/>
      <c r="V146" s="46"/>
      <c r="W146" s="46"/>
    </row>
    <row r="147">
      <c r="A147" s="55"/>
      <c r="B147" s="214"/>
      <c r="C147" s="55"/>
      <c r="D147" s="214"/>
      <c r="E147" s="122"/>
      <c r="F147" s="219"/>
      <c r="G147" s="122"/>
      <c r="H147" s="214"/>
      <c r="I147" s="220"/>
      <c r="J147" s="46"/>
      <c r="K147" s="46"/>
      <c r="L147" s="46"/>
      <c r="M147" s="46"/>
      <c r="N147" s="46"/>
      <c r="O147" s="46"/>
      <c r="P147" s="46"/>
      <c r="Q147" s="46"/>
      <c r="R147" s="46"/>
      <c r="S147" s="46"/>
      <c r="T147" s="46"/>
      <c r="U147" s="46"/>
      <c r="V147" s="46"/>
      <c r="W147" s="46"/>
    </row>
    <row r="148">
      <c r="A148" s="55"/>
      <c r="B148" s="214"/>
      <c r="C148" s="55"/>
      <c r="D148" s="214"/>
      <c r="E148" s="122"/>
      <c r="F148" s="219"/>
      <c r="G148" s="122"/>
      <c r="H148" s="214"/>
      <c r="I148" s="220"/>
      <c r="J148" s="46"/>
      <c r="K148" s="46"/>
      <c r="L148" s="46"/>
      <c r="M148" s="46"/>
      <c r="N148" s="46"/>
      <c r="O148" s="46"/>
      <c r="P148" s="46"/>
      <c r="Q148" s="46"/>
      <c r="R148" s="46"/>
      <c r="S148" s="46"/>
      <c r="T148" s="46"/>
      <c r="U148" s="46"/>
      <c r="V148" s="46"/>
      <c r="W148" s="46"/>
    </row>
    <row r="149">
      <c r="A149" s="55"/>
      <c r="B149" s="214"/>
      <c r="C149" s="55"/>
      <c r="D149" s="214"/>
      <c r="E149" s="122"/>
      <c r="F149" s="219"/>
      <c r="G149" s="122"/>
      <c r="H149" s="214"/>
      <c r="I149" s="220"/>
      <c r="J149" s="46"/>
      <c r="K149" s="46"/>
      <c r="L149" s="46"/>
      <c r="M149" s="46"/>
      <c r="N149" s="46"/>
      <c r="O149" s="46"/>
      <c r="P149" s="46"/>
      <c r="Q149" s="46"/>
      <c r="R149" s="46"/>
      <c r="S149" s="46"/>
      <c r="T149" s="46"/>
      <c r="U149" s="46"/>
      <c r="V149" s="46"/>
      <c r="W149" s="46"/>
    </row>
    <row r="150">
      <c r="A150" s="55"/>
      <c r="B150" s="214"/>
      <c r="C150" s="55"/>
      <c r="D150" s="214"/>
      <c r="E150" s="122"/>
      <c r="F150" s="219"/>
      <c r="G150" s="122"/>
      <c r="H150" s="214"/>
      <c r="I150" s="220"/>
      <c r="J150" s="46"/>
      <c r="K150" s="46"/>
      <c r="L150" s="46"/>
      <c r="M150" s="46"/>
      <c r="N150" s="46"/>
      <c r="O150" s="46"/>
      <c r="P150" s="46"/>
      <c r="Q150" s="46"/>
      <c r="R150" s="46"/>
      <c r="S150" s="46"/>
      <c r="T150" s="46"/>
      <c r="U150" s="46"/>
      <c r="V150" s="46"/>
      <c r="W150" s="46"/>
    </row>
    <row r="151">
      <c r="A151" s="55"/>
      <c r="B151" s="214"/>
      <c r="C151" s="55"/>
      <c r="D151" s="214"/>
      <c r="E151" s="122"/>
      <c r="F151" s="219"/>
      <c r="G151" s="122"/>
      <c r="H151" s="214"/>
      <c r="I151" s="220"/>
      <c r="J151" s="46"/>
      <c r="K151" s="46"/>
      <c r="L151" s="46"/>
      <c r="M151" s="46"/>
      <c r="N151" s="46"/>
      <c r="O151" s="46"/>
      <c r="P151" s="46"/>
      <c r="Q151" s="46"/>
      <c r="R151" s="46"/>
      <c r="S151" s="46"/>
      <c r="T151" s="46"/>
      <c r="U151" s="46"/>
      <c r="V151" s="46"/>
      <c r="W151" s="46"/>
    </row>
    <row r="152">
      <c r="A152" s="55"/>
      <c r="B152" s="214"/>
      <c r="C152" s="55"/>
      <c r="D152" s="214"/>
      <c r="E152" s="122"/>
      <c r="F152" s="219"/>
      <c r="G152" s="122"/>
      <c r="H152" s="214"/>
      <c r="I152" s="220"/>
      <c r="J152" s="46"/>
      <c r="K152" s="46"/>
      <c r="L152" s="46"/>
      <c r="M152" s="46"/>
      <c r="N152" s="46"/>
      <c r="O152" s="46"/>
      <c r="P152" s="46"/>
      <c r="Q152" s="46"/>
      <c r="R152" s="46"/>
      <c r="S152" s="46"/>
      <c r="T152" s="46"/>
      <c r="U152" s="46"/>
      <c r="V152" s="46"/>
      <c r="W152" s="46"/>
    </row>
    <row r="153">
      <c r="A153" s="55"/>
      <c r="B153" s="214"/>
      <c r="C153" s="55"/>
      <c r="D153" s="214"/>
      <c r="E153" s="122"/>
      <c r="F153" s="219"/>
      <c r="G153" s="122"/>
      <c r="H153" s="214"/>
      <c r="I153" s="220"/>
      <c r="J153" s="46"/>
      <c r="K153" s="46"/>
      <c r="L153" s="46"/>
      <c r="M153" s="46"/>
      <c r="N153" s="46"/>
      <c r="O153" s="46"/>
      <c r="P153" s="46"/>
      <c r="Q153" s="46"/>
      <c r="R153" s="46"/>
      <c r="S153" s="46"/>
      <c r="T153" s="46"/>
      <c r="U153" s="46"/>
      <c r="V153" s="46"/>
      <c r="W153" s="46"/>
    </row>
    <row r="154">
      <c r="A154" s="55"/>
      <c r="B154" s="214"/>
      <c r="C154" s="55"/>
      <c r="D154" s="214"/>
      <c r="E154" s="122"/>
      <c r="F154" s="219"/>
      <c r="G154" s="122"/>
      <c r="H154" s="214"/>
      <c r="I154" s="220"/>
      <c r="J154" s="46"/>
      <c r="K154" s="46"/>
      <c r="L154" s="46"/>
      <c r="M154" s="46"/>
      <c r="N154" s="46"/>
      <c r="O154" s="46"/>
      <c r="P154" s="46"/>
      <c r="Q154" s="46"/>
      <c r="R154" s="46"/>
      <c r="S154" s="46"/>
      <c r="T154" s="46"/>
      <c r="U154" s="46"/>
      <c r="V154" s="46"/>
      <c r="W154" s="46"/>
    </row>
    <row r="155">
      <c r="A155" s="55"/>
      <c r="B155" s="214"/>
      <c r="C155" s="55"/>
      <c r="D155" s="214"/>
      <c r="E155" s="122"/>
      <c r="F155" s="219"/>
      <c r="G155" s="122"/>
      <c r="H155" s="214"/>
      <c r="I155" s="220"/>
      <c r="J155" s="46"/>
      <c r="K155" s="46"/>
      <c r="L155" s="46"/>
      <c r="M155" s="46"/>
      <c r="N155" s="46"/>
      <c r="O155" s="46"/>
      <c r="P155" s="46"/>
      <c r="Q155" s="46"/>
      <c r="R155" s="46"/>
      <c r="S155" s="46"/>
      <c r="T155" s="46"/>
      <c r="U155" s="46"/>
      <c r="V155" s="46"/>
      <c r="W155" s="46"/>
    </row>
    <row r="156">
      <c r="A156" s="55"/>
      <c r="B156" s="214"/>
      <c r="C156" s="55"/>
      <c r="D156" s="214"/>
      <c r="E156" s="122"/>
      <c r="F156" s="219"/>
      <c r="G156" s="122"/>
      <c r="H156" s="214"/>
      <c r="I156" s="220"/>
      <c r="J156" s="46"/>
      <c r="K156" s="46"/>
      <c r="L156" s="46"/>
      <c r="M156" s="46"/>
      <c r="N156" s="46"/>
      <c r="O156" s="46"/>
      <c r="P156" s="46"/>
      <c r="Q156" s="46"/>
      <c r="R156" s="46"/>
      <c r="S156" s="46"/>
      <c r="T156" s="46"/>
      <c r="U156" s="46"/>
      <c r="V156" s="46"/>
      <c r="W156" s="46"/>
    </row>
    <row r="157">
      <c r="A157" s="55"/>
      <c r="B157" s="214"/>
      <c r="C157" s="55"/>
      <c r="D157" s="214"/>
      <c r="E157" s="122"/>
      <c r="F157" s="219"/>
      <c r="G157" s="122"/>
      <c r="H157" s="214"/>
      <c r="I157" s="220"/>
      <c r="J157" s="46"/>
      <c r="K157" s="46"/>
      <c r="L157" s="46"/>
      <c r="M157" s="46"/>
      <c r="N157" s="46"/>
      <c r="O157" s="46"/>
      <c r="P157" s="46"/>
      <c r="Q157" s="46"/>
      <c r="R157" s="46"/>
      <c r="S157" s="46"/>
      <c r="T157" s="46"/>
      <c r="U157" s="46"/>
      <c r="V157" s="46"/>
      <c r="W157" s="46"/>
    </row>
    <row r="158">
      <c r="A158" s="55"/>
      <c r="B158" s="214"/>
      <c r="C158" s="55"/>
      <c r="D158" s="214"/>
      <c r="E158" s="122"/>
      <c r="F158" s="219"/>
      <c r="G158" s="122"/>
      <c r="H158" s="214"/>
      <c r="I158" s="220"/>
      <c r="J158" s="46"/>
      <c r="K158" s="46"/>
      <c r="L158" s="46"/>
      <c r="M158" s="46"/>
      <c r="N158" s="46"/>
      <c r="O158" s="46"/>
      <c r="P158" s="46"/>
      <c r="Q158" s="46"/>
      <c r="R158" s="46"/>
      <c r="S158" s="46"/>
      <c r="T158" s="46"/>
      <c r="U158" s="46"/>
      <c r="V158" s="46"/>
      <c r="W158" s="46"/>
    </row>
    <row r="159">
      <c r="A159" s="55"/>
      <c r="B159" s="214"/>
      <c r="C159" s="55"/>
      <c r="D159" s="214"/>
      <c r="E159" s="122"/>
      <c r="F159" s="219"/>
      <c r="G159" s="122"/>
      <c r="H159" s="214"/>
      <c r="I159" s="220"/>
      <c r="J159" s="46"/>
      <c r="K159" s="46"/>
      <c r="L159" s="46"/>
      <c r="M159" s="46"/>
      <c r="N159" s="46"/>
      <c r="O159" s="46"/>
      <c r="P159" s="46"/>
      <c r="Q159" s="46"/>
      <c r="R159" s="46"/>
      <c r="S159" s="46"/>
      <c r="T159" s="46"/>
      <c r="U159" s="46"/>
      <c r="V159" s="46"/>
      <c r="W159" s="46"/>
    </row>
    <row r="160">
      <c r="A160" s="55"/>
      <c r="B160" s="214"/>
      <c r="C160" s="55"/>
      <c r="D160" s="214"/>
      <c r="E160" s="122"/>
      <c r="F160" s="219"/>
      <c r="G160" s="122"/>
      <c r="H160" s="214"/>
      <c r="I160" s="220"/>
      <c r="J160" s="46"/>
      <c r="K160" s="46"/>
      <c r="L160" s="46"/>
      <c r="M160" s="46"/>
      <c r="N160" s="46"/>
      <c r="O160" s="46"/>
      <c r="P160" s="46"/>
      <c r="Q160" s="46"/>
      <c r="R160" s="46"/>
      <c r="S160" s="46"/>
      <c r="T160" s="46"/>
      <c r="U160" s="46"/>
      <c r="V160" s="46"/>
      <c r="W160" s="46"/>
    </row>
    <row r="161">
      <c r="A161" s="55"/>
      <c r="B161" s="214"/>
      <c r="C161" s="55"/>
      <c r="D161" s="214"/>
      <c r="E161" s="122"/>
      <c r="F161" s="219"/>
      <c r="G161" s="122"/>
      <c r="H161" s="214"/>
      <c r="I161" s="220"/>
      <c r="J161" s="46"/>
      <c r="K161" s="46"/>
      <c r="L161" s="46"/>
      <c r="M161" s="46"/>
      <c r="N161" s="46"/>
      <c r="O161" s="46"/>
      <c r="P161" s="46"/>
      <c r="Q161" s="46"/>
      <c r="R161" s="46"/>
      <c r="S161" s="46"/>
      <c r="T161" s="46"/>
      <c r="U161" s="46"/>
      <c r="V161" s="46"/>
      <c r="W161" s="46"/>
    </row>
    <row r="162">
      <c r="A162" s="55"/>
      <c r="B162" s="214"/>
      <c r="C162" s="55"/>
      <c r="D162" s="214"/>
      <c r="E162" s="122"/>
      <c r="F162" s="219"/>
      <c r="G162" s="122"/>
      <c r="H162" s="214"/>
      <c r="I162" s="220"/>
      <c r="J162" s="46"/>
      <c r="K162" s="46"/>
      <c r="L162" s="46"/>
      <c r="M162" s="46"/>
      <c r="N162" s="46"/>
      <c r="O162" s="46"/>
      <c r="P162" s="46"/>
      <c r="Q162" s="46"/>
      <c r="R162" s="46"/>
      <c r="S162" s="46"/>
      <c r="T162" s="46"/>
      <c r="U162" s="46"/>
      <c r="V162" s="46"/>
      <c r="W162" s="46"/>
    </row>
    <row r="163">
      <c r="A163" s="55"/>
      <c r="B163" s="214"/>
      <c r="C163" s="55"/>
      <c r="D163" s="214"/>
      <c r="E163" s="122"/>
      <c r="F163" s="219"/>
      <c r="G163" s="122"/>
      <c r="H163" s="214"/>
      <c r="I163" s="220"/>
      <c r="J163" s="46"/>
      <c r="K163" s="46"/>
      <c r="L163" s="46"/>
      <c r="M163" s="46"/>
      <c r="N163" s="46"/>
      <c r="O163" s="46"/>
      <c r="P163" s="46"/>
      <c r="Q163" s="46"/>
      <c r="R163" s="46"/>
      <c r="S163" s="46"/>
      <c r="T163" s="46"/>
      <c r="U163" s="46"/>
      <c r="V163" s="46"/>
      <c r="W163" s="46"/>
    </row>
    <row r="164">
      <c r="A164" s="55"/>
      <c r="B164" s="214"/>
      <c r="C164" s="55"/>
      <c r="D164" s="214"/>
      <c r="E164" s="122"/>
      <c r="F164" s="219"/>
      <c r="G164" s="122"/>
      <c r="H164" s="214"/>
      <c r="I164" s="220"/>
      <c r="J164" s="46"/>
      <c r="K164" s="46"/>
      <c r="L164" s="46"/>
      <c r="M164" s="46"/>
      <c r="N164" s="46"/>
      <c r="O164" s="46"/>
      <c r="P164" s="46"/>
      <c r="Q164" s="46"/>
      <c r="R164" s="46"/>
      <c r="S164" s="46"/>
      <c r="T164" s="46"/>
      <c r="U164" s="46"/>
      <c r="V164" s="46"/>
      <c r="W164" s="46"/>
    </row>
    <row r="165">
      <c r="A165" s="55"/>
      <c r="B165" s="214"/>
      <c r="C165" s="55"/>
      <c r="D165" s="214"/>
      <c r="E165" s="122"/>
      <c r="F165" s="219"/>
      <c r="G165" s="122"/>
      <c r="H165" s="214"/>
      <c r="I165" s="220"/>
      <c r="J165" s="46"/>
      <c r="K165" s="46"/>
      <c r="L165" s="46"/>
      <c r="M165" s="46"/>
      <c r="N165" s="46"/>
      <c r="O165" s="46"/>
      <c r="P165" s="46"/>
      <c r="Q165" s="46"/>
      <c r="R165" s="46"/>
      <c r="S165" s="46"/>
      <c r="T165" s="46"/>
      <c r="U165" s="46"/>
      <c r="V165" s="46"/>
      <c r="W165" s="46"/>
    </row>
    <row r="166">
      <c r="A166" s="55"/>
      <c r="B166" s="214"/>
      <c r="C166" s="55"/>
      <c r="D166" s="214"/>
      <c r="E166" s="122"/>
      <c r="F166" s="219"/>
      <c r="G166" s="122"/>
      <c r="H166" s="214"/>
      <c r="I166" s="220"/>
      <c r="J166" s="46"/>
      <c r="K166" s="46"/>
      <c r="L166" s="46"/>
      <c r="M166" s="46"/>
      <c r="N166" s="46"/>
      <c r="O166" s="46"/>
      <c r="P166" s="46"/>
      <c r="Q166" s="46"/>
      <c r="R166" s="46"/>
      <c r="S166" s="46"/>
      <c r="T166" s="46"/>
      <c r="U166" s="46"/>
      <c r="V166" s="46"/>
      <c r="W166" s="46"/>
    </row>
    <row r="167">
      <c r="A167" s="55"/>
      <c r="B167" s="214"/>
      <c r="C167" s="55"/>
      <c r="D167" s="214"/>
      <c r="E167" s="122"/>
      <c r="F167" s="219"/>
      <c r="G167" s="122"/>
      <c r="H167" s="214"/>
      <c r="I167" s="220"/>
      <c r="J167" s="46"/>
      <c r="K167" s="46"/>
      <c r="L167" s="46"/>
      <c r="M167" s="46"/>
      <c r="N167" s="46"/>
      <c r="O167" s="46"/>
      <c r="P167" s="46"/>
      <c r="Q167" s="46"/>
      <c r="R167" s="46"/>
      <c r="S167" s="46"/>
      <c r="T167" s="46"/>
      <c r="U167" s="46"/>
      <c r="V167" s="46"/>
      <c r="W167" s="46"/>
    </row>
    <row r="168">
      <c r="A168" s="55"/>
      <c r="B168" s="214"/>
      <c r="C168" s="55"/>
      <c r="D168" s="214"/>
      <c r="E168" s="122"/>
      <c r="F168" s="219"/>
      <c r="G168" s="122"/>
      <c r="H168" s="214"/>
      <c r="I168" s="220"/>
      <c r="J168" s="46"/>
      <c r="K168" s="46"/>
      <c r="L168" s="46"/>
      <c r="M168" s="46"/>
      <c r="N168" s="46"/>
      <c r="O168" s="46"/>
      <c r="P168" s="46"/>
      <c r="Q168" s="46"/>
      <c r="R168" s="46"/>
      <c r="S168" s="46"/>
      <c r="T168" s="46"/>
      <c r="U168" s="46"/>
      <c r="V168" s="46"/>
      <c r="W168" s="46"/>
    </row>
    <row r="169">
      <c r="A169" s="55"/>
      <c r="B169" s="214"/>
      <c r="C169" s="55"/>
      <c r="D169" s="214"/>
      <c r="E169" s="122"/>
      <c r="F169" s="219"/>
      <c r="G169" s="122"/>
      <c r="H169" s="214"/>
      <c r="I169" s="220"/>
      <c r="J169" s="46"/>
      <c r="K169" s="46"/>
      <c r="L169" s="46"/>
      <c r="M169" s="46"/>
      <c r="N169" s="46"/>
      <c r="O169" s="46"/>
      <c r="P169" s="46"/>
      <c r="Q169" s="46"/>
      <c r="R169" s="46"/>
      <c r="S169" s="46"/>
      <c r="T169" s="46"/>
      <c r="U169" s="46"/>
      <c r="V169" s="46"/>
      <c r="W169" s="46"/>
    </row>
    <row r="170">
      <c r="A170" s="55"/>
      <c r="B170" s="214"/>
      <c r="C170" s="55"/>
      <c r="D170" s="214"/>
      <c r="E170" s="122"/>
      <c r="F170" s="219"/>
      <c r="G170" s="122"/>
      <c r="H170" s="214"/>
      <c r="I170" s="220"/>
      <c r="J170" s="46"/>
      <c r="K170" s="46"/>
      <c r="L170" s="46"/>
      <c r="M170" s="46"/>
      <c r="N170" s="46"/>
      <c r="O170" s="46"/>
      <c r="P170" s="46"/>
      <c r="Q170" s="46"/>
      <c r="R170" s="46"/>
      <c r="S170" s="46"/>
      <c r="T170" s="46"/>
      <c r="U170" s="46"/>
      <c r="V170" s="46"/>
      <c r="W170" s="46"/>
    </row>
    <row r="171">
      <c r="A171" s="55"/>
      <c r="B171" s="214"/>
      <c r="C171" s="55"/>
      <c r="D171" s="214"/>
      <c r="E171" s="122"/>
      <c r="F171" s="219"/>
      <c r="G171" s="122"/>
      <c r="H171" s="214"/>
      <c r="I171" s="220"/>
      <c r="J171" s="46"/>
      <c r="K171" s="46"/>
      <c r="L171" s="46"/>
      <c r="M171" s="46"/>
      <c r="N171" s="46"/>
      <c r="O171" s="46"/>
      <c r="P171" s="46"/>
      <c r="Q171" s="46"/>
      <c r="R171" s="46"/>
      <c r="S171" s="46"/>
      <c r="T171" s="46"/>
      <c r="U171" s="46"/>
      <c r="V171" s="46"/>
      <c r="W171" s="46"/>
    </row>
    <row r="172">
      <c r="A172" s="55"/>
      <c r="B172" s="214"/>
      <c r="C172" s="55"/>
      <c r="D172" s="214"/>
      <c r="E172" s="122"/>
      <c r="F172" s="219"/>
      <c r="G172" s="122"/>
      <c r="H172" s="214"/>
      <c r="I172" s="220"/>
      <c r="J172" s="46"/>
      <c r="K172" s="46"/>
      <c r="L172" s="46"/>
      <c r="M172" s="46"/>
      <c r="N172" s="46"/>
      <c r="O172" s="46"/>
      <c r="P172" s="46"/>
      <c r="Q172" s="46"/>
      <c r="R172" s="46"/>
      <c r="S172" s="46"/>
      <c r="T172" s="46"/>
      <c r="U172" s="46"/>
      <c r="V172" s="46"/>
      <c r="W172" s="46"/>
    </row>
    <row r="173">
      <c r="A173" s="55"/>
      <c r="B173" s="214"/>
      <c r="C173" s="55"/>
      <c r="D173" s="214"/>
      <c r="E173" s="122"/>
      <c r="F173" s="219"/>
      <c r="G173" s="122"/>
      <c r="H173" s="214"/>
      <c r="I173" s="220"/>
      <c r="J173" s="46"/>
      <c r="K173" s="46"/>
      <c r="L173" s="46"/>
      <c r="M173" s="46"/>
      <c r="N173" s="46"/>
      <c r="O173" s="46"/>
      <c r="P173" s="46"/>
      <c r="Q173" s="46"/>
      <c r="R173" s="46"/>
      <c r="S173" s="46"/>
      <c r="T173" s="46"/>
      <c r="U173" s="46"/>
      <c r="V173" s="46"/>
      <c r="W173" s="46"/>
    </row>
    <row r="174">
      <c r="A174" s="55"/>
      <c r="B174" s="214"/>
      <c r="C174" s="55"/>
      <c r="D174" s="214"/>
      <c r="E174" s="122"/>
      <c r="F174" s="219"/>
      <c r="G174" s="122"/>
      <c r="H174" s="214"/>
      <c r="I174" s="220"/>
      <c r="J174" s="46"/>
      <c r="K174" s="46"/>
      <c r="L174" s="46"/>
      <c r="M174" s="46"/>
      <c r="N174" s="46"/>
      <c r="O174" s="46"/>
      <c r="P174" s="46"/>
      <c r="Q174" s="46"/>
      <c r="R174" s="46"/>
      <c r="S174" s="46"/>
      <c r="T174" s="46"/>
      <c r="U174" s="46"/>
      <c r="V174" s="46"/>
      <c r="W174" s="46"/>
    </row>
    <row r="175">
      <c r="A175" s="55"/>
      <c r="B175" s="214"/>
      <c r="C175" s="55"/>
      <c r="D175" s="214"/>
      <c r="E175" s="122"/>
      <c r="F175" s="219"/>
      <c r="G175" s="122"/>
      <c r="H175" s="214"/>
      <c r="I175" s="220"/>
      <c r="J175" s="46"/>
      <c r="K175" s="46"/>
      <c r="L175" s="46"/>
      <c r="M175" s="46"/>
      <c r="N175" s="46"/>
      <c r="O175" s="46"/>
      <c r="P175" s="46"/>
      <c r="Q175" s="46"/>
      <c r="R175" s="46"/>
      <c r="S175" s="46"/>
      <c r="T175" s="46"/>
      <c r="U175" s="46"/>
      <c r="V175" s="46"/>
      <c r="W175" s="46"/>
    </row>
    <row r="176">
      <c r="A176" s="55"/>
      <c r="B176" s="214"/>
      <c r="C176" s="55"/>
      <c r="D176" s="214"/>
      <c r="E176" s="122"/>
      <c r="F176" s="219"/>
      <c r="G176" s="122"/>
      <c r="H176" s="214"/>
      <c r="I176" s="220"/>
      <c r="J176" s="46"/>
      <c r="K176" s="46"/>
      <c r="L176" s="46"/>
      <c r="M176" s="46"/>
      <c r="N176" s="46"/>
      <c r="O176" s="46"/>
      <c r="P176" s="46"/>
      <c r="Q176" s="46"/>
      <c r="R176" s="46"/>
      <c r="S176" s="46"/>
      <c r="T176" s="46"/>
      <c r="U176" s="46"/>
      <c r="V176" s="46"/>
      <c r="W176" s="46"/>
    </row>
    <row r="177">
      <c r="A177" s="55"/>
      <c r="B177" s="214"/>
      <c r="C177" s="55"/>
      <c r="D177" s="214"/>
      <c r="E177" s="122"/>
      <c r="F177" s="219"/>
      <c r="G177" s="122"/>
      <c r="H177" s="214"/>
      <c r="I177" s="220"/>
      <c r="J177" s="46"/>
      <c r="K177" s="46"/>
      <c r="L177" s="46"/>
      <c r="M177" s="46"/>
      <c r="N177" s="46"/>
      <c r="O177" s="46"/>
      <c r="P177" s="46"/>
      <c r="Q177" s="46"/>
      <c r="R177" s="46"/>
      <c r="S177" s="46"/>
      <c r="T177" s="46"/>
      <c r="U177" s="46"/>
      <c r="V177" s="46"/>
      <c r="W177" s="46"/>
    </row>
    <row r="178">
      <c r="A178" s="55"/>
      <c r="B178" s="214"/>
      <c r="C178" s="55"/>
      <c r="D178" s="214"/>
      <c r="E178" s="122"/>
      <c r="F178" s="219"/>
      <c r="G178" s="122"/>
      <c r="H178" s="214"/>
      <c r="I178" s="220"/>
      <c r="J178" s="46"/>
      <c r="K178" s="46"/>
      <c r="L178" s="46"/>
      <c r="M178" s="46"/>
      <c r="N178" s="46"/>
      <c r="O178" s="46"/>
      <c r="P178" s="46"/>
      <c r="Q178" s="46"/>
      <c r="R178" s="46"/>
      <c r="S178" s="46"/>
      <c r="T178" s="46"/>
      <c r="U178" s="46"/>
      <c r="V178" s="46"/>
      <c r="W178" s="46"/>
    </row>
    <row r="179">
      <c r="A179" s="55"/>
      <c r="B179" s="214"/>
      <c r="C179" s="55"/>
      <c r="D179" s="214"/>
      <c r="E179" s="122"/>
      <c r="F179" s="219"/>
      <c r="G179" s="122"/>
      <c r="H179" s="214"/>
      <c r="I179" s="220"/>
      <c r="J179" s="46"/>
      <c r="K179" s="46"/>
      <c r="L179" s="46"/>
      <c r="M179" s="46"/>
      <c r="N179" s="46"/>
      <c r="O179" s="46"/>
      <c r="P179" s="46"/>
      <c r="Q179" s="46"/>
      <c r="R179" s="46"/>
      <c r="S179" s="46"/>
      <c r="T179" s="46"/>
      <c r="U179" s="46"/>
      <c r="V179" s="46"/>
      <c r="W179" s="46"/>
    </row>
    <row r="180">
      <c r="A180" s="55"/>
      <c r="B180" s="214"/>
      <c r="C180" s="55"/>
      <c r="D180" s="214"/>
      <c r="E180" s="122"/>
      <c r="F180" s="219"/>
      <c r="G180" s="122"/>
      <c r="H180" s="214"/>
      <c r="I180" s="220"/>
      <c r="J180" s="46"/>
      <c r="K180" s="46"/>
      <c r="L180" s="46"/>
      <c r="M180" s="46"/>
      <c r="N180" s="46"/>
      <c r="O180" s="46"/>
      <c r="P180" s="46"/>
      <c r="Q180" s="46"/>
      <c r="R180" s="46"/>
      <c r="S180" s="46"/>
      <c r="T180" s="46"/>
      <c r="U180" s="46"/>
      <c r="V180" s="46"/>
      <c r="W180" s="46"/>
    </row>
    <row r="181">
      <c r="A181" s="55"/>
      <c r="B181" s="214"/>
      <c r="C181" s="55"/>
      <c r="D181" s="214"/>
      <c r="E181" s="122"/>
      <c r="F181" s="219"/>
      <c r="G181" s="122"/>
      <c r="H181" s="214"/>
      <c r="I181" s="220"/>
      <c r="J181" s="46"/>
      <c r="K181" s="46"/>
      <c r="L181" s="46"/>
      <c r="M181" s="46"/>
      <c r="N181" s="46"/>
      <c r="O181" s="46"/>
      <c r="P181" s="46"/>
      <c r="Q181" s="46"/>
      <c r="R181" s="46"/>
      <c r="S181" s="46"/>
      <c r="T181" s="46"/>
      <c r="U181" s="46"/>
      <c r="V181" s="46"/>
      <c r="W181" s="46"/>
    </row>
    <row r="182">
      <c r="A182" s="55"/>
      <c r="B182" s="214"/>
      <c r="C182" s="55"/>
      <c r="D182" s="214"/>
      <c r="E182" s="122"/>
      <c r="F182" s="219"/>
      <c r="G182" s="122"/>
      <c r="H182" s="214"/>
      <c r="I182" s="220"/>
      <c r="J182" s="46"/>
      <c r="K182" s="46"/>
      <c r="L182" s="46"/>
      <c r="M182" s="46"/>
      <c r="N182" s="46"/>
      <c r="O182" s="46"/>
      <c r="P182" s="46"/>
      <c r="Q182" s="46"/>
      <c r="R182" s="46"/>
      <c r="S182" s="46"/>
      <c r="T182" s="46"/>
      <c r="U182" s="46"/>
      <c r="V182" s="46"/>
      <c r="W182" s="46"/>
    </row>
    <row r="183">
      <c r="A183" s="55"/>
      <c r="B183" s="214"/>
      <c r="C183" s="55"/>
      <c r="D183" s="214"/>
      <c r="E183" s="122"/>
      <c r="F183" s="219"/>
      <c r="G183" s="122"/>
      <c r="H183" s="214"/>
      <c r="I183" s="220"/>
      <c r="J183" s="46"/>
      <c r="K183" s="46"/>
      <c r="L183" s="46"/>
      <c r="M183" s="46"/>
      <c r="N183" s="46"/>
      <c r="O183" s="46"/>
      <c r="P183" s="46"/>
      <c r="Q183" s="46"/>
      <c r="R183" s="46"/>
      <c r="S183" s="46"/>
      <c r="T183" s="46"/>
      <c r="U183" s="46"/>
      <c r="V183" s="46"/>
      <c r="W183" s="46"/>
    </row>
    <row r="184">
      <c r="A184" s="55"/>
      <c r="B184" s="214"/>
      <c r="C184" s="55"/>
      <c r="D184" s="214"/>
      <c r="E184" s="122"/>
      <c r="F184" s="219"/>
      <c r="G184" s="122"/>
      <c r="H184" s="214"/>
      <c r="I184" s="220"/>
      <c r="J184" s="46"/>
      <c r="K184" s="46"/>
      <c r="L184" s="46"/>
      <c r="M184" s="46"/>
      <c r="N184" s="46"/>
      <c r="O184" s="46"/>
      <c r="P184" s="46"/>
      <c r="Q184" s="46"/>
      <c r="R184" s="46"/>
      <c r="S184" s="46"/>
      <c r="T184" s="46"/>
      <c r="U184" s="46"/>
      <c r="V184" s="46"/>
      <c r="W184" s="46"/>
    </row>
    <row r="185">
      <c r="A185" s="55"/>
      <c r="B185" s="214"/>
      <c r="C185" s="55"/>
      <c r="D185" s="214"/>
      <c r="E185" s="122"/>
      <c r="F185" s="219"/>
      <c r="G185" s="122"/>
      <c r="H185" s="214"/>
      <c r="I185" s="220"/>
      <c r="J185" s="46"/>
      <c r="K185" s="46"/>
      <c r="L185" s="46"/>
      <c r="M185" s="46"/>
      <c r="N185" s="46"/>
      <c r="O185" s="46"/>
      <c r="P185" s="46"/>
      <c r="Q185" s="46"/>
      <c r="R185" s="46"/>
      <c r="S185" s="46"/>
      <c r="T185" s="46"/>
      <c r="U185" s="46"/>
      <c r="V185" s="46"/>
      <c r="W185" s="46"/>
    </row>
    <row r="186">
      <c r="A186" s="55"/>
      <c r="B186" s="214"/>
      <c r="C186" s="55"/>
      <c r="D186" s="214"/>
      <c r="E186" s="122"/>
      <c r="F186" s="219"/>
      <c r="G186" s="122"/>
      <c r="H186" s="214"/>
      <c r="I186" s="220"/>
      <c r="J186" s="46"/>
      <c r="K186" s="46"/>
      <c r="L186" s="46"/>
      <c r="M186" s="46"/>
      <c r="N186" s="46"/>
      <c r="O186" s="46"/>
      <c r="P186" s="46"/>
      <c r="Q186" s="46"/>
      <c r="R186" s="46"/>
      <c r="S186" s="46"/>
      <c r="T186" s="46"/>
      <c r="U186" s="46"/>
      <c r="V186" s="46"/>
      <c r="W186" s="46"/>
    </row>
    <row r="187">
      <c r="A187" s="55"/>
      <c r="B187" s="214"/>
      <c r="C187" s="55"/>
      <c r="D187" s="214"/>
      <c r="E187" s="122"/>
      <c r="F187" s="219"/>
      <c r="G187" s="122"/>
      <c r="H187" s="214"/>
      <c r="I187" s="220"/>
      <c r="J187" s="46"/>
      <c r="K187" s="46"/>
      <c r="L187" s="46"/>
      <c r="M187" s="46"/>
      <c r="N187" s="46"/>
      <c r="O187" s="46"/>
      <c r="P187" s="46"/>
      <c r="Q187" s="46"/>
      <c r="R187" s="46"/>
      <c r="S187" s="46"/>
      <c r="T187" s="46"/>
      <c r="U187" s="46"/>
      <c r="V187" s="46"/>
      <c r="W187" s="46"/>
    </row>
    <row r="188">
      <c r="A188" s="55"/>
      <c r="B188" s="214"/>
      <c r="C188" s="55"/>
      <c r="D188" s="214"/>
      <c r="E188" s="122"/>
      <c r="F188" s="219"/>
      <c r="G188" s="122"/>
      <c r="H188" s="214"/>
      <c r="I188" s="220"/>
      <c r="J188" s="46"/>
      <c r="K188" s="46"/>
      <c r="L188" s="46"/>
      <c r="M188" s="46"/>
      <c r="N188" s="46"/>
      <c r="O188" s="46"/>
      <c r="P188" s="46"/>
      <c r="Q188" s="46"/>
      <c r="R188" s="46"/>
      <c r="S188" s="46"/>
      <c r="T188" s="46"/>
      <c r="U188" s="46"/>
      <c r="V188" s="46"/>
      <c r="W188" s="46"/>
    </row>
    <row r="189">
      <c r="A189" s="55"/>
      <c r="B189" s="214"/>
      <c r="C189" s="55"/>
      <c r="D189" s="214"/>
      <c r="E189" s="122"/>
      <c r="F189" s="219"/>
      <c r="G189" s="122"/>
      <c r="H189" s="214"/>
      <c r="I189" s="220"/>
      <c r="J189" s="46"/>
      <c r="K189" s="46"/>
      <c r="L189" s="46"/>
      <c r="M189" s="46"/>
      <c r="N189" s="46"/>
      <c r="O189" s="46"/>
      <c r="P189" s="46"/>
      <c r="Q189" s="46"/>
      <c r="R189" s="46"/>
      <c r="S189" s="46"/>
      <c r="T189" s="46"/>
      <c r="U189" s="46"/>
      <c r="V189" s="46"/>
      <c r="W189" s="46"/>
    </row>
    <row r="190">
      <c r="A190" s="55"/>
      <c r="B190" s="214"/>
      <c r="C190" s="55"/>
      <c r="D190" s="214"/>
      <c r="E190" s="122"/>
      <c r="F190" s="219"/>
      <c r="G190" s="122"/>
      <c r="H190" s="214"/>
      <c r="I190" s="220"/>
      <c r="J190" s="46"/>
      <c r="K190" s="46"/>
      <c r="L190" s="46"/>
      <c r="M190" s="46"/>
      <c r="N190" s="46"/>
      <c r="O190" s="46"/>
      <c r="P190" s="46"/>
      <c r="Q190" s="46"/>
      <c r="R190" s="46"/>
      <c r="S190" s="46"/>
      <c r="T190" s="46"/>
      <c r="U190" s="46"/>
      <c r="V190" s="46"/>
      <c r="W190" s="46"/>
    </row>
    <row r="191">
      <c r="A191" s="55"/>
      <c r="B191" s="214"/>
      <c r="C191" s="55"/>
      <c r="D191" s="214"/>
      <c r="E191" s="122"/>
      <c r="F191" s="219"/>
      <c r="G191" s="122"/>
      <c r="H191" s="214"/>
      <c r="I191" s="220"/>
      <c r="J191" s="46"/>
      <c r="K191" s="46"/>
      <c r="L191" s="46"/>
      <c r="M191" s="46"/>
      <c r="N191" s="46"/>
      <c r="O191" s="46"/>
      <c r="P191" s="46"/>
      <c r="Q191" s="46"/>
      <c r="R191" s="46"/>
      <c r="S191" s="46"/>
      <c r="T191" s="46"/>
      <c r="U191" s="46"/>
      <c r="V191" s="46"/>
      <c r="W191" s="46"/>
    </row>
    <row r="192">
      <c r="A192" s="55"/>
      <c r="B192" s="214"/>
      <c r="C192" s="55"/>
      <c r="D192" s="214"/>
      <c r="E192" s="122"/>
      <c r="F192" s="219"/>
      <c r="G192" s="122"/>
      <c r="H192" s="214"/>
      <c r="I192" s="220"/>
      <c r="J192" s="46"/>
      <c r="K192" s="46"/>
      <c r="L192" s="46"/>
      <c r="M192" s="46"/>
      <c r="N192" s="46"/>
      <c r="O192" s="46"/>
      <c r="P192" s="46"/>
      <c r="Q192" s="46"/>
      <c r="R192" s="46"/>
      <c r="S192" s="46"/>
      <c r="T192" s="46"/>
      <c r="U192" s="46"/>
      <c r="V192" s="46"/>
      <c r="W192" s="46"/>
    </row>
    <row r="193">
      <c r="A193" s="55"/>
      <c r="B193" s="214"/>
      <c r="C193" s="55"/>
      <c r="D193" s="214"/>
      <c r="E193" s="122"/>
      <c r="F193" s="219"/>
      <c r="G193" s="122"/>
      <c r="H193" s="214"/>
      <c r="I193" s="220"/>
      <c r="J193" s="46"/>
      <c r="K193" s="46"/>
      <c r="L193" s="46"/>
      <c r="M193" s="46"/>
      <c r="N193" s="46"/>
      <c r="O193" s="46"/>
      <c r="P193" s="46"/>
      <c r="Q193" s="46"/>
      <c r="R193" s="46"/>
      <c r="S193" s="46"/>
      <c r="T193" s="46"/>
      <c r="U193" s="46"/>
      <c r="V193" s="46"/>
      <c r="W193" s="46"/>
    </row>
    <row r="194">
      <c r="A194" s="55"/>
      <c r="B194" s="214"/>
      <c r="C194" s="55"/>
      <c r="D194" s="214"/>
      <c r="E194" s="122"/>
      <c r="F194" s="219"/>
      <c r="G194" s="122"/>
      <c r="H194" s="214"/>
      <c r="I194" s="220"/>
      <c r="J194" s="46"/>
      <c r="K194" s="46"/>
      <c r="L194" s="46"/>
      <c r="M194" s="46"/>
      <c r="N194" s="46"/>
      <c r="O194" s="46"/>
      <c r="P194" s="46"/>
      <c r="Q194" s="46"/>
      <c r="R194" s="46"/>
      <c r="S194" s="46"/>
      <c r="T194" s="46"/>
      <c r="U194" s="46"/>
      <c r="V194" s="46"/>
      <c r="W194" s="46"/>
    </row>
    <row r="195">
      <c r="A195" s="55"/>
      <c r="B195" s="214"/>
      <c r="C195" s="55"/>
      <c r="D195" s="214"/>
      <c r="E195" s="122"/>
      <c r="F195" s="219"/>
      <c r="G195" s="122"/>
      <c r="H195" s="214"/>
      <c r="I195" s="220"/>
      <c r="J195" s="46"/>
      <c r="K195" s="46"/>
      <c r="L195" s="46"/>
      <c r="M195" s="46"/>
      <c r="N195" s="46"/>
      <c r="O195" s="46"/>
      <c r="P195" s="46"/>
      <c r="Q195" s="46"/>
      <c r="R195" s="46"/>
      <c r="S195" s="46"/>
      <c r="T195" s="46"/>
      <c r="U195" s="46"/>
      <c r="V195" s="46"/>
      <c r="W195" s="46"/>
    </row>
    <row r="196">
      <c r="A196" s="55"/>
      <c r="B196" s="214"/>
      <c r="C196" s="55"/>
      <c r="D196" s="214"/>
      <c r="E196" s="122"/>
      <c r="F196" s="219"/>
      <c r="G196" s="122"/>
      <c r="H196" s="214"/>
      <c r="I196" s="220"/>
      <c r="J196" s="46"/>
      <c r="K196" s="46"/>
      <c r="L196" s="46"/>
      <c r="M196" s="46"/>
      <c r="N196" s="46"/>
      <c r="O196" s="46"/>
      <c r="P196" s="46"/>
      <c r="Q196" s="46"/>
      <c r="R196" s="46"/>
      <c r="S196" s="46"/>
      <c r="T196" s="46"/>
      <c r="U196" s="46"/>
      <c r="V196" s="46"/>
      <c r="W196" s="46"/>
    </row>
    <row r="197">
      <c r="A197" s="55"/>
      <c r="B197" s="214"/>
      <c r="C197" s="55"/>
      <c r="D197" s="214"/>
      <c r="E197" s="122"/>
      <c r="F197" s="219"/>
      <c r="G197" s="122"/>
      <c r="H197" s="214"/>
      <c r="I197" s="220"/>
      <c r="J197" s="46"/>
      <c r="K197" s="46"/>
      <c r="L197" s="46"/>
      <c r="M197" s="46"/>
      <c r="N197" s="46"/>
      <c r="O197" s="46"/>
      <c r="P197" s="46"/>
      <c r="Q197" s="46"/>
      <c r="R197" s="46"/>
      <c r="S197" s="46"/>
      <c r="T197" s="46"/>
      <c r="U197" s="46"/>
      <c r="V197" s="46"/>
      <c r="W197" s="46"/>
    </row>
    <row r="198">
      <c r="A198" s="55"/>
      <c r="B198" s="214"/>
      <c r="C198" s="55"/>
      <c r="D198" s="214"/>
      <c r="E198" s="122"/>
      <c r="F198" s="219"/>
      <c r="G198" s="122"/>
      <c r="H198" s="214"/>
      <c r="I198" s="220"/>
      <c r="J198" s="46"/>
      <c r="K198" s="46"/>
      <c r="L198" s="46"/>
      <c r="M198" s="46"/>
      <c r="N198" s="46"/>
      <c r="O198" s="46"/>
      <c r="P198" s="46"/>
      <c r="Q198" s="46"/>
      <c r="R198" s="46"/>
      <c r="S198" s="46"/>
      <c r="T198" s="46"/>
      <c r="U198" s="46"/>
      <c r="V198" s="46"/>
      <c r="W198" s="46"/>
    </row>
    <row r="199">
      <c r="A199" s="55"/>
      <c r="B199" s="214"/>
      <c r="C199" s="55"/>
      <c r="D199" s="214"/>
      <c r="E199" s="122"/>
      <c r="F199" s="219"/>
      <c r="G199" s="122"/>
      <c r="H199" s="214"/>
      <c r="I199" s="220"/>
      <c r="J199" s="46"/>
      <c r="K199" s="46"/>
      <c r="L199" s="46"/>
      <c r="M199" s="46"/>
      <c r="N199" s="46"/>
      <c r="O199" s="46"/>
      <c r="P199" s="46"/>
      <c r="Q199" s="46"/>
      <c r="R199" s="46"/>
      <c r="S199" s="46"/>
      <c r="T199" s="46"/>
      <c r="U199" s="46"/>
      <c r="V199" s="46"/>
      <c r="W199" s="46"/>
    </row>
    <row r="200">
      <c r="A200" s="55"/>
      <c r="B200" s="214"/>
      <c r="C200" s="55"/>
      <c r="D200" s="214"/>
      <c r="E200" s="122"/>
      <c r="F200" s="219"/>
      <c r="G200" s="122"/>
      <c r="H200" s="214"/>
      <c r="I200" s="220"/>
      <c r="J200" s="46"/>
      <c r="K200" s="46"/>
      <c r="L200" s="46"/>
      <c r="M200" s="46"/>
      <c r="N200" s="46"/>
      <c r="O200" s="46"/>
      <c r="P200" s="46"/>
      <c r="Q200" s="46"/>
      <c r="R200" s="46"/>
      <c r="S200" s="46"/>
      <c r="T200" s="46"/>
      <c r="U200" s="46"/>
      <c r="V200" s="46"/>
      <c r="W200" s="46"/>
    </row>
    <row r="201">
      <c r="A201" s="55"/>
      <c r="B201" s="214"/>
      <c r="C201" s="55"/>
      <c r="D201" s="214"/>
      <c r="E201" s="122"/>
      <c r="F201" s="219"/>
      <c r="G201" s="122"/>
      <c r="H201" s="214"/>
      <c r="I201" s="220"/>
      <c r="J201" s="46"/>
      <c r="K201" s="46"/>
      <c r="L201" s="46"/>
      <c r="M201" s="46"/>
      <c r="N201" s="46"/>
      <c r="O201" s="46"/>
      <c r="P201" s="46"/>
      <c r="Q201" s="46"/>
      <c r="R201" s="46"/>
      <c r="S201" s="46"/>
      <c r="T201" s="46"/>
      <c r="U201" s="46"/>
      <c r="V201" s="46"/>
      <c r="W201" s="46"/>
    </row>
    <row r="202">
      <c r="A202" s="55"/>
      <c r="B202" s="214"/>
      <c r="C202" s="55"/>
      <c r="D202" s="214"/>
      <c r="E202" s="122"/>
      <c r="F202" s="219"/>
      <c r="G202" s="122"/>
      <c r="H202" s="214"/>
      <c r="I202" s="220"/>
      <c r="J202" s="46"/>
      <c r="K202" s="46"/>
      <c r="L202" s="46"/>
      <c r="M202" s="46"/>
      <c r="N202" s="46"/>
      <c r="O202" s="46"/>
      <c r="P202" s="46"/>
      <c r="Q202" s="46"/>
      <c r="R202" s="46"/>
      <c r="S202" s="46"/>
      <c r="T202" s="46"/>
      <c r="U202" s="46"/>
      <c r="V202" s="46"/>
      <c r="W202" s="46"/>
    </row>
    <row r="203">
      <c r="A203" s="55"/>
      <c r="B203" s="214"/>
      <c r="C203" s="55"/>
      <c r="D203" s="214"/>
      <c r="E203" s="122"/>
      <c r="F203" s="219"/>
      <c r="G203" s="122"/>
      <c r="H203" s="214"/>
      <c r="I203" s="220"/>
      <c r="J203" s="46"/>
      <c r="K203" s="46"/>
      <c r="L203" s="46"/>
      <c r="M203" s="46"/>
      <c r="N203" s="46"/>
      <c r="O203" s="46"/>
      <c r="P203" s="46"/>
      <c r="Q203" s="46"/>
      <c r="R203" s="46"/>
      <c r="S203" s="46"/>
      <c r="T203" s="46"/>
      <c r="U203" s="46"/>
      <c r="V203" s="46"/>
      <c r="W203" s="46"/>
    </row>
    <row r="204">
      <c r="A204" s="55"/>
      <c r="B204" s="214"/>
      <c r="C204" s="55"/>
      <c r="D204" s="214"/>
      <c r="E204" s="122"/>
      <c r="F204" s="219"/>
      <c r="G204" s="122"/>
      <c r="H204" s="214"/>
      <c r="I204" s="220"/>
      <c r="J204" s="46"/>
      <c r="K204" s="46"/>
      <c r="L204" s="46"/>
      <c r="M204" s="46"/>
      <c r="N204" s="46"/>
      <c r="O204" s="46"/>
      <c r="P204" s="46"/>
      <c r="Q204" s="46"/>
      <c r="R204" s="46"/>
      <c r="S204" s="46"/>
      <c r="T204" s="46"/>
      <c r="U204" s="46"/>
      <c r="V204" s="46"/>
      <c r="W204" s="46"/>
    </row>
    <row r="205">
      <c r="A205" s="55"/>
      <c r="B205" s="214"/>
      <c r="C205" s="55"/>
      <c r="D205" s="214"/>
      <c r="E205" s="122"/>
      <c r="F205" s="219"/>
      <c r="G205" s="122"/>
      <c r="H205" s="214"/>
      <c r="I205" s="220"/>
      <c r="J205" s="46"/>
      <c r="K205" s="46"/>
      <c r="L205" s="46"/>
      <c r="M205" s="46"/>
      <c r="N205" s="46"/>
      <c r="O205" s="46"/>
      <c r="P205" s="46"/>
      <c r="Q205" s="46"/>
      <c r="R205" s="46"/>
      <c r="S205" s="46"/>
      <c r="T205" s="46"/>
      <c r="U205" s="46"/>
      <c r="V205" s="46"/>
      <c r="W205" s="46"/>
    </row>
    <row r="206">
      <c r="A206" s="55"/>
      <c r="B206" s="214"/>
      <c r="C206" s="55"/>
      <c r="D206" s="214"/>
      <c r="E206" s="122"/>
      <c r="F206" s="219"/>
      <c r="G206" s="122"/>
      <c r="H206" s="214"/>
      <c r="I206" s="220"/>
      <c r="J206" s="46"/>
      <c r="K206" s="46"/>
      <c r="L206" s="46"/>
      <c r="M206" s="46"/>
      <c r="N206" s="46"/>
      <c r="O206" s="46"/>
      <c r="P206" s="46"/>
      <c r="Q206" s="46"/>
      <c r="R206" s="46"/>
      <c r="S206" s="46"/>
      <c r="T206" s="46"/>
      <c r="U206" s="46"/>
      <c r="V206" s="46"/>
      <c r="W206" s="46"/>
    </row>
    <row r="207">
      <c r="A207" s="55"/>
      <c r="B207" s="214"/>
      <c r="C207" s="55"/>
      <c r="D207" s="214"/>
      <c r="E207" s="122"/>
      <c r="F207" s="219"/>
      <c r="G207" s="122"/>
      <c r="H207" s="214"/>
      <c r="I207" s="220"/>
      <c r="J207" s="46"/>
      <c r="K207" s="46"/>
      <c r="L207" s="46"/>
      <c r="M207" s="46"/>
      <c r="N207" s="46"/>
      <c r="O207" s="46"/>
      <c r="P207" s="46"/>
      <c r="Q207" s="46"/>
      <c r="R207" s="46"/>
      <c r="S207" s="46"/>
      <c r="T207" s="46"/>
      <c r="U207" s="46"/>
      <c r="V207" s="46"/>
      <c r="W207" s="46"/>
    </row>
    <row r="208">
      <c r="A208" s="55"/>
      <c r="B208" s="214"/>
      <c r="C208" s="55"/>
      <c r="D208" s="214"/>
      <c r="E208" s="122"/>
      <c r="F208" s="219"/>
      <c r="G208" s="122"/>
      <c r="H208" s="214"/>
      <c r="I208" s="220"/>
      <c r="J208" s="46"/>
      <c r="K208" s="46"/>
      <c r="L208" s="46"/>
      <c r="M208" s="46"/>
      <c r="N208" s="46"/>
      <c r="O208" s="46"/>
      <c r="P208" s="46"/>
      <c r="Q208" s="46"/>
      <c r="R208" s="46"/>
      <c r="S208" s="46"/>
      <c r="T208" s="46"/>
      <c r="U208" s="46"/>
      <c r="V208" s="46"/>
      <c r="W208" s="46"/>
    </row>
    <row r="209">
      <c r="A209" s="55"/>
      <c r="B209" s="214"/>
      <c r="C209" s="55"/>
      <c r="D209" s="214"/>
      <c r="E209" s="122"/>
      <c r="F209" s="219"/>
      <c r="G209" s="122"/>
      <c r="H209" s="214"/>
      <c r="I209" s="220"/>
      <c r="J209" s="46"/>
      <c r="K209" s="46"/>
      <c r="L209" s="46"/>
      <c r="M209" s="46"/>
      <c r="N209" s="46"/>
      <c r="O209" s="46"/>
      <c r="P209" s="46"/>
      <c r="Q209" s="46"/>
      <c r="R209" s="46"/>
      <c r="S209" s="46"/>
      <c r="T209" s="46"/>
      <c r="U209" s="46"/>
      <c r="V209" s="46"/>
      <c r="W209" s="46"/>
    </row>
    <row r="210">
      <c r="A210" s="55"/>
      <c r="B210" s="214"/>
      <c r="C210" s="55"/>
      <c r="D210" s="214"/>
      <c r="E210" s="122"/>
      <c r="F210" s="219"/>
      <c r="G210" s="122"/>
      <c r="H210" s="214"/>
      <c r="I210" s="220"/>
      <c r="J210" s="46"/>
      <c r="K210" s="46"/>
      <c r="L210" s="46"/>
      <c r="M210" s="46"/>
      <c r="N210" s="46"/>
      <c r="O210" s="46"/>
      <c r="P210" s="46"/>
      <c r="Q210" s="46"/>
      <c r="R210" s="46"/>
      <c r="S210" s="46"/>
      <c r="T210" s="46"/>
      <c r="U210" s="46"/>
      <c r="V210" s="46"/>
      <c r="W210" s="46"/>
    </row>
    <row r="211">
      <c r="A211" s="55"/>
      <c r="B211" s="214"/>
      <c r="C211" s="55"/>
      <c r="D211" s="214"/>
      <c r="E211" s="122"/>
      <c r="F211" s="219"/>
      <c r="G211" s="122"/>
      <c r="H211" s="214"/>
      <c r="I211" s="220"/>
      <c r="J211" s="46"/>
      <c r="K211" s="46"/>
      <c r="L211" s="46"/>
      <c r="M211" s="46"/>
      <c r="N211" s="46"/>
      <c r="O211" s="46"/>
      <c r="P211" s="46"/>
      <c r="Q211" s="46"/>
      <c r="R211" s="46"/>
      <c r="S211" s="46"/>
      <c r="T211" s="46"/>
      <c r="U211" s="46"/>
      <c r="V211" s="46"/>
      <c r="W211" s="46"/>
    </row>
    <row r="212">
      <c r="A212" s="55"/>
      <c r="B212" s="214"/>
      <c r="C212" s="55"/>
      <c r="D212" s="214"/>
      <c r="E212" s="122"/>
      <c r="F212" s="219"/>
      <c r="G212" s="122"/>
      <c r="H212" s="214"/>
      <c r="I212" s="220"/>
      <c r="J212" s="46"/>
      <c r="K212" s="46"/>
      <c r="L212" s="46"/>
      <c r="M212" s="46"/>
      <c r="N212" s="46"/>
      <c r="O212" s="46"/>
      <c r="P212" s="46"/>
      <c r="Q212" s="46"/>
      <c r="R212" s="46"/>
      <c r="S212" s="46"/>
      <c r="T212" s="46"/>
      <c r="U212" s="46"/>
      <c r="V212" s="46"/>
      <c r="W212" s="46"/>
    </row>
    <row r="213">
      <c r="A213" s="55"/>
      <c r="B213" s="214"/>
      <c r="C213" s="55"/>
      <c r="D213" s="214"/>
      <c r="E213" s="122"/>
      <c r="F213" s="219"/>
      <c r="G213" s="122"/>
      <c r="H213" s="214"/>
      <c r="I213" s="220"/>
      <c r="J213" s="46"/>
      <c r="K213" s="46"/>
      <c r="L213" s="46"/>
      <c r="M213" s="46"/>
      <c r="N213" s="46"/>
      <c r="O213" s="46"/>
      <c r="P213" s="46"/>
      <c r="Q213" s="46"/>
      <c r="R213" s="46"/>
      <c r="S213" s="46"/>
      <c r="T213" s="46"/>
      <c r="U213" s="46"/>
      <c r="V213" s="46"/>
      <c r="W213" s="46"/>
    </row>
    <row r="214">
      <c r="A214" s="55"/>
      <c r="B214" s="214"/>
      <c r="C214" s="55"/>
      <c r="D214" s="214"/>
      <c r="E214" s="122"/>
      <c r="F214" s="219"/>
      <c r="G214" s="122"/>
      <c r="H214" s="214"/>
      <c r="I214" s="220"/>
      <c r="J214" s="46"/>
      <c r="K214" s="46"/>
      <c r="L214" s="46"/>
      <c r="M214" s="46"/>
      <c r="N214" s="46"/>
      <c r="O214" s="46"/>
      <c r="P214" s="46"/>
      <c r="Q214" s="46"/>
      <c r="R214" s="46"/>
      <c r="S214" s="46"/>
      <c r="T214" s="46"/>
      <c r="U214" s="46"/>
      <c r="V214" s="46"/>
      <c r="W214" s="46"/>
    </row>
    <row r="215">
      <c r="A215" s="55"/>
      <c r="B215" s="214"/>
      <c r="C215" s="55"/>
      <c r="D215" s="214"/>
      <c r="E215" s="122"/>
      <c r="F215" s="219"/>
      <c r="G215" s="122"/>
      <c r="H215" s="214"/>
      <c r="I215" s="220"/>
      <c r="J215" s="46"/>
      <c r="K215" s="46"/>
      <c r="L215" s="46"/>
      <c r="M215" s="46"/>
      <c r="N215" s="46"/>
      <c r="O215" s="46"/>
      <c r="P215" s="46"/>
      <c r="Q215" s="46"/>
      <c r="R215" s="46"/>
      <c r="S215" s="46"/>
      <c r="T215" s="46"/>
      <c r="U215" s="46"/>
      <c r="V215" s="46"/>
      <c r="W215" s="46"/>
    </row>
    <row r="216">
      <c r="A216" s="55"/>
      <c r="B216" s="214"/>
      <c r="C216" s="55"/>
      <c r="D216" s="214"/>
      <c r="E216" s="122"/>
      <c r="F216" s="219"/>
      <c r="G216" s="122"/>
      <c r="H216" s="214"/>
      <c r="I216" s="220"/>
      <c r="J216" s="46"/>
      <c r="K216" s="46"/>
      <c r="L216" s="46"/>
      <c r="M216" s="46"/>
      <c r="N216" s="46"/>
      <c r="O216" s="46"/>
      <c r="P216" s="46"/>
      <c r="Q216" s="46"/>
      <c r="R216" s="46"/>
      <c r="S216" s="46"/>
      <c r="T216" s="46"/>
      <c r="U216" s="46"/>
      <c r="V216" s="46"/>
      <c r="W216" s="46"/>
    </row>
    <row r="217">
      <c r="A217" s="55"/>
      <c r="B217" s="214"/>
      <c r="C217" s="55"/>
      <c r="D217" s="214"/>
      <c r="E217" s="122"/>
      <c r="F217" s="219"/>
      <c r="G217" s="122"/>
      <c r="H217" s="214"/>
      <c r="I217" s="220"/>
      <c r="J217" s="46"/>
      <c r="K217" s="46"/>
      <c r="L217" s="46"/>
      <c r="M217" s="46"/>
      <c r="N217" s="46"/>
      <c r="O217" s="46"/>
      <c r="P217" s="46"/>
      <c r="Q217" s="46"/>
      <c r="R217" s="46"/>
      <c r="S217" s="46"/>
      <c r="T217" s="46"/>
      <c r="U217" s="46"/>
      <c r="V217" s="46"/>
      <c r="W217" s="46"/>
    </row>
    <row r="218">
      <c r="A218" s="55"/>
      <c r="B218" s="214"/>
      <c r="C218" s="55"/>
      <c r="D218" s="214"/>
      <c r="E218" s="122"/>
      <c r="F218" s="219"/>
      <c r="G218" s="122"/>
      <c r="H218" s="214"/>
      <c r="I218" s="220"/>
      <c r="J218" s="46"/>
      <c r="K218" s="46"/>
      <c r="L218" s="46"/>
      <c r="M218" s="46"/>
      <c r="N218" s="46"/>
      <c r="O218" s="46"/>
      <c r="P218" s="46"/>
      <c r="Q218" s="46"/>
      <c r="R218" s="46"/>
      <c r="S218" s="46"/>
      <c r="T218" s="46"/>
      <c r="U218" s="46"/>
      <c r="V218" s="46"/>
      <c r="W218" s="46"/>
    </row>
    <row r="219">
      <c r="A219" s="55"/>
      <c r="B219" s="214"/>
      <c r="C219" s="55"/>
      <c r="D219" s="214"/>
      <c r="E219" s="122"/>
      <c r="F219" s="219"/>
      <c r="G219" s="122"/>
      <c r="H219" s="214"/>
      <c r="I219" s="220"/>
      <c r="J219" s="46"/>
      <c r="K219" s="46"/>
      <c r="L219" s="46"/>
      <c r="M219" s="46"/>
      <c r="N219" s="46"/>
      <c r="O219" s="46"/>
      <c r="P219" s="46"/>
      <c r="Q219" s="46"/>
      <c r="R219" s="46"/>
      <c r="S219" s="46"/>
      <c r="T219" s="46"/>
      <c r="U219" s="46"/>
      <c r="V219" s="46"/>
      <c r="W219" s="46"/>
    </row>
    <row r="220">
      <c r="A220" s="55"/>
      <c r="B220" s="214"/>
      <c r="C220" s="55"/>
      <c r="D220" s="214"/>
      <c r="E220" s="122"/>
      <c r="F220" s="219"/>
      <c r="G220" s="122"/>
      <c r="H220" s="214"/>
      <c r="I220" s="220"/>
      <c r="J220" s="46"/>
      <c r="K220" s="46"/>
      <c r="L220" s="46"/>
      <c r="M220" s="46"/>
      <c r="N220" s="46"/>
      <c r="O220" s="46"/>
      <c r="P220" s="46"/>
      <c r="Q220" s="46"/>
      <c r="R220" s="46"/>
      <c r="S220" s="46"/>
      <c r="T220" s="46"/>
      <c r="U220" s="46"/>
      <c r="V220" s="46"/>
      <c r="W220" s="46"/>
    </row>
    <row r="221">
      <c r="A221" s="55"/>
      <c r="B221" s="214"/>
      <c r="C221" s="55"/>
      <c r="D221" s="214"/>
      <c r="E221" s="122"/>
      <c r="F221" s="219"/>
      <c r="G221" s="122"/>
      <c r="H221" s="214"/>
      <c r="I221" s="220"/>
      <c r="J221" s="46"/>
      <c r="K221" s="46"/>
      <c r="L221" s="46"/>
      <c r="M221" s="46"/>
      <c r="N221" s="46"/>
      <c r="O221" s="46"/>
      <c r="P221" s="46"/>
      <c r="Q221" s="46"/>
      <c r="R221" s="46"/>
      <c r="S221" s="46"/>
      <c r="T221" s="46"/>
      <c r="U221" s="46"/>
      <c r="V221" s="46"/>
      <c r="W221" s="46"/>
    </row>
    <row r="222">
      <c r="A222" s="55"/>
      <c r="B222" s="214"/>
      <c r="C222" s="55"/>
      <c r="D222" s="214"/>
      <c r="E222" s="122"/>
      <c r="F222" s="219"/>
      <c r="G222" s="122"/>
      <c r="H222" s="214"/>
      <c r="I222" s="220"/>
      <c r="J222" s="46"/>
      <c r="K222" s="46"/>
      <c r="L222" s="46"/>
      <c r="M222" s="46"/>
      <c r="N222" s="46"/>
      <c r="O222" s="46"/>
      <c r="P222" s="46"/>
      <c r="Q222" s="46"/>
      <c r="R222" s="46"/>
      <c r="S222" s="46"/>
      <c r="T222" s="46"/>
      <c r="U222" s="46"/>
      <c r="V222" s="46"/>
      <c r="W222" s="46"/>
    </row>
    <row r="223">
      <c r="A223" s="55"/>
      <c r="B223" s="214"/>
      <c r="C223" s="55"/>
      <c r="D223" s="214"/>
      <c r="E223" s="122"/>
      <c r="F223" s="219"/>
      <c r="G223" s="122"/>
      <c r="H223" s="214"/>
      <c r="I223" s="220"/>
      <c r="J223" s="46"/>
      <c r="K223" s="46"/>
      <c r="L223" s="46"/>
      <c r="M223" s="46"/>
      <c r="N223" s="46"/>
      <c r="O223" s="46"/>
      <c r="P223" s="46"/>
      <c r="Q223" s="46"/>
      <c r="R223" s="46"/>
      <c r="S223" s="46"/>
      <c r="T223" s="46"/>
      <c r="U223" s="46"/>
      <c r="V223" s="46"/>
      <c r="W223" s="46"/>
    </row>
    <row r="224">
      <c r="A224" s="55"/>
      <c r="B224" s="214"/>
      <c r="C224" s="55"/>
      <c r="D224" s="214"/>
      <c r="E224" s="122"/>
      <c r="F224" s="219"/>
      <c r="G224" s="122"/>
      <c r="H224" s="214"/>
      <c r="I224" s="220"/>
      <c r="J224" s="46"/>
      <c r="K224" s="46"/>
      <c r="L224" s="46"/>
      <c r="M224" s="46"/>
      <c r="N224" s="46"/>
      <c r="O224" s="46"/>
      <c r="P224" s="46"/>
      <c r="Q224" s="46"/>
      <c r="R224" s="46"/>
      <c r="S224" s="46"/>
      <c r="T224" s="46"/>
      <c r="U224" s="46"/>
      <c r="V224" s="46"/>
      <c r="W224" s="46"/>
    </row>
    <row r="225">
      <c r="A225" s="55"/>
      <c r="B225" s="214"/>
      <c r="C225" s="55"/>
      <c r="D225" s="214"/>
      <c r="E225" s="122"/>
      <c r="F225" s="219"/>
      <c r="G225" s="122"/>
      <c r="H225" s="214"/>
      <c r="I225" s="220"/>
      <c r="J225" s="46"/>
      <c r="K225" s="46"/>
      <c r="L225" s="46"/>
      <c r="M225" s="46"/>
      <c r="N225" s="46"/>
      <c r="O225" s="46"/>
      <c r="P225" s="46"/>
      <c r="Q225" s="46"/>
      <c r="R225" s="46"/>
      <c r="S225" s="46"/>
      <c r="T225" s="46"/>
      <c r="U225" s="46"/>
      <c r="V225" s="46"/>
      <c r="W225" s="46"/>
    </row>
    <row r="226">
      <c r="A226" s="55"/>
      <c r="B226" s="214"/>
      <c r="C226" s="55"/>
      <c r="D226" s="214"/>
      <c r="E226" s="122"/>
      <c r="F226" s="219"/>
      <c r="G226" s="122"/>
      <c r="H226" s="214"/>
      <c r="I226" s="220"/>
      <c r="J226" s="46"/>
      <c r="K226" s="46"/>
      <c r="L226" s="46"/>
      <c r="M226" s="46"/>
      <c r="N226" s="46"/>
      <c r="O226" s="46"/>
      <c r="P226" s="46"/>
      <c r="Q226" s="46"/>
      <c r="R226" s="46"/>
      <c r="S226" s="46"/>
      <c r="T226" s="46"/>
      <c r="U226" s="46"/>
      <c r="V226" s="46"/>
      <c r="W226" s="46"/>
    </row>
    <row r="227">
      <c r="A227" s="55"/>
      <c r="B227" s="214"/>
      <c r="C227" s="55"/>
      <c r="D227" s="214"/>
      <c r="E227" s="122"/>
      <c r="F227" s="219"/>
      <c r="G227" s="122"/>
      <c r="H227" s="214"/>
      <c r="I227" s="220"/>
      <c r="J227" s="46"/>
      <c r="K227" s="46"/>
      <c r="L227" s="46"/>
      <c r="M227" s="46"/>
      <c r="N227" s="46"/>
      <c r="O227" s="46"/>
      <c r="P227" s="46"/>
      <c r="Q227" s="46"/>
      <c r="R227" s="46"/>
      <c r="S227" s="46"/>
      <c r="T227" s="46"/>
      <c r="U227" s="46"/>
      <c r="V227" s="46"/>
      <c r="W227" s="46"/>
    </row>
    <row r="228">
      <c r="A228" s="55"/>
      <c r="B228" s="214"/>
      <c r="C228" s="55"/>
      <c r="D228" s="214"/>
      <c r="E228" s="122"/>
      <c r="F228" s="219"/>
      <c r="G228" s="122"/>
      <c r="H228" s="214"/>
      <c r="I228" s="220"/>
      <c r="J228" s="46"/>
      <c r="K228" s="46"/>
      <c r="L228" s="46"/>
      <c r="M228" s="46"/>
      <c r="N228" s="46"/>
      <c r="O228" s="46"/>
      <c r="P228" s="46"/>
      <c r="Q228" s="46"/>
      <c r="R228" s="46"/>
      <c r="S228" s="46"/>
      <c r="T228" s="46"/>
      <c r="U228" s="46"/>
      <c r="V228" s="46"/>
      <c r="W228" s="46"/>
    </row>
    <row r="229">
      <c r="A229" s="55"/>
      <c r="B229" s="214"/>
      <c r="C229" s="55"/>
      <c r="D229" s="214"/>
      <c r="E229" s="122"/>
      <c r="F229" s="219"/>
      <c r="G229" s="122"/>
      <c r="H229" s="214"/>
      <c r="I229" s="220"/>
      <c r="J229" s="46"/>
      <c r="K229" s="46"/>
      <c r="L229" s="46"/>
      <c r="M229" s="46"/>
      <c r="N229" s="46"/>
      <c r="O229" s="46"/>
      <c r="P229" s="46"/>
      <c r="Q229" s="46"/>
      <c r="R229" s="46"/>
      <c r="S229" s="46"/>
      <c r="T229" s="46"/>
      <c r="U229" s="46"/>
      <c r="V229" s="46"/>
      <c r="W229" s="46"/>
    </row>
    <row r="230">
      <c r="A230" s="55"/>
      <c r="B230" s="214"/>
      <c r="C230" s="55"/>
      <c r="D230" s="214"/>
      <c r="E230" s="122"/>
      <c r="F230" s="219"/>
      <c r="G230" s="122"/>
      <c r="H230" s="214"/>
      <c r="I230" s="220"/>
      <c r="J230" s="46"/>
      <c r="K230" s="46"/>
      <c r="L230" s="46"/>
      <c r="M230" s="46"/>
      <c r="N230" s="46"/>
      <c r="O230" s="46"/>
      <c r="P230" s="46"/>
      <c r="Q230" s="46"/>
      <c r="R230" s="46"/>
      <c r="S230" s="46"/>
      <c r="T230" s="46"/>
      <c r="U230" s="46"/>
      <c r="V230" s="46"/>
      <c r="W230" s="46"/>
    </row>
    <row r="231">
      <c r="A231" s="55"/>
      <c r="B231" s="214"/>
      <c r="C231" s="55"/>
      <c r="D231" s="214"/>
      <c r="E231" s="122"/>
      <c r="F231" s="219"/>
      <c r="G231" s="122"/>
      <c r="H231" s="214"/>
      <c r="I231" s="220"/>
      <c r="J231" s="46"/>
      <c r="K231" s="46"/>
      <c r="L231" s="46"/>
      <c r="M231" s="46"/>
      <c r="N231" s="46"/>
      <c r="O231" s="46"/>
      <c r="P231" s="46"/>
      <c r="Q231" s="46"/>
      <c r="R231" s="46"/>
      <c r="S231" s="46"/>
      <c r="T231" s="46"/>
      <c r="U231" s="46"/>
      <c r="V231" s="46"/>
      <c r="W231" s="46"/>
    </row>
    <row r="232">
      <c r="A232" s="55"/>
      <c r="B232" s="214"/>
      <c r="C232" s="55"/>
      <c r="D232" s="214"/>
      <c r="E232" s="122"/>
      <c r="F232" s="219"/>
      <c r="G232" s="122"/>
      <c r="H232" s="214"/>
      <c r="I232" s="220"/>
      <c r="J232" s="46"/>
      <c r="K232" s="46"/>
      <c r="L232" s="46"/>
      <c r="M232" s="46"/>
      <c r="N232" s="46"/>
      <c r="O232" s="46"/>
      <c r="P232" s="46"/>
      <c r="Q232" s="46"/>
      <c r="R232" s="46"/>
      <c r="S232" s="46"/>
      <c r="T232" s="46"/>
      <c r="U232" s="46"/>
      <c r="V232" s="46"/>
      <c r="W232" s="46"/>
    </row>
    <row r="233">
      <c r="A233" s="55"/>
      <c r="B233" s="214"/>
      <c r="C233" s="55"/>
      <c r="D233" s="214"/>
      <c r="E233" s="122"/>
      <c r="F233" s="219"/>
      <c r="G233" s="122"/>
      <c r="H233" s="214"/>
      <c r="I233" s="220"/>
      <c r="J233" s="46"/>
      <c r="K233" s="46"/>
      <c r="L233" s="46"/>
      <c r="M233" s="46"/>
      <c r="N233" s="46"/>
      <c r="O233" s="46"/>
      <c r="P233" s="46"/>
      <c r="Q233" s="46"/>
      <c r="R233" s="46"/>
      <c r="S233" s="46"/>
      <c r="T233" s="46"/>
      <c r="U233" s="46"/>
      <c r="V233" s="46"/>
      <c r="W233" s="46"/>
    </row>
    <row r="234">
      <c r="A234" s="55"/>
      <c r="B234" s="214"/>
      <c r="C234" s="55"/>
      <c r="D234" s="214"/>
      <c r="E234" s="122"/>
      <c r="F234" s="219"/>
      <c r="G234" s="122"/>
      <c r="H234" s="214"/>
      <c r="I234" s="220"/>
      <c r="J234" s="46"/>
      <c r="K234" s="46"/>
      <c r="L234" s="46"/>
      <c r="M234" s="46"/>
      <c r="N234" s="46"/>
      <c r="O234" s="46"/>
      <c r="P234" s="46"/>
      <c r="Q234" s="46"/>
      <c r="R234" s="46"/>
      <c r="S234" s="46"/>
      <c r="T234" s="46"/>
      <c r="U234" s="46"/>
      <c r="V234" s="46"/>
      <c r="W234" s="46"/>
    </row>
    <row r="235">
      <c r="A235" s="55"/>
      <c r="B235" s="214"/>
      <c r="C235" s="55"/>
      <c r="D235" s="214"/>
      <c r="E235" s="122"/>
      <c r="F235" s="219"/>
      <c r="G235" s="122"/>
      <c r="H235" s="214"/>
      <c r="I235" s="220"/>
      <c r="J235" s="46"/>
      <c r="K235" s="46"/>
      <c r="L235" s="46"/>
      <c r="M235" s="46"/>
      <c r="N235" s="46"/>
      <c r="O235" s="46"/>
      <c r="P235" s="46"/>
      <c r="Q235" s="46"/>
      <c r="R235" s="46"/>
      <c r="S235" s="46"/>
      <c r="T235" s="46"/>
      <c r="U235" s="46"/>
      <c r="V235" s="46"/>
      <c r="W235" s="46"/>
    </row>
    <row r="236">
      <c r="A236" s="55"/>
      <c r="B236" s="214"/>
      <c r="C236" s="55"/>
      <c r="D236" s="214"/>
      <c r="E236" s="122"/>
      <c r="F236" s="219"/>
      <c r="G236" s="122"/>
      <c r="H236" s="214"/>
      <c r="I236" s="220"/>
      <c r="J236" s="46"/>
      <c r="K236" s="46"/>
      <c r="L236" s="46"/>
      <c r="M236" s="46"/>
      <c r="N236" s="46"/>
      <c r="O236" s="46"/>
      <c r="P236" s="46"/>
      <c r="Q236" s="46"/>
      <c r="R236" s="46"/>
      <c r="S236" s="46"/>
      <c r="T236" s="46"/>
      <c r="U236" s="46"/>
      <c r="V236" s="46"/>
      <c r="W236" s="46"/>
    </row>
    <row r="237">
      <c r="A237" s="55"/>
      <c r="B237" s="214"/>
      <c r="C237" s="55"/>
      <c r="D237" s="214"/>
      <c r="E237" s="122"/>
      <c r="F237" s="219"/>
      <c r="G237" s="122"/>
      <c r="H237" s="214"/>
      <c r="I237" s="220"/>
      <c r="J237" s="46"/>
      <c r="K237" s="46"/>
      <c r="L237" s="46"/>
      <c r="M237" s="46"/>
      <c r="N237" s="46"/>
      <c r="O237" s="46"/>
      <c r="P237" s="46"/>
      <c r="Q237" s="46"/>
      <c r="R237" s="46"/>
      <c r="S237" s="46"/>
      <c r="T237" s="46"/>
      <c r="U237" s="46"/>
      <c r="V237" s="46"/>
      <c r="W237" s="46"/>
    </row>
    <row r="238">
      <c r="A238" s="55"/>
      <c r="B238" s="214"/>
      <c r="C238" s="55"/>
      <c r="D238" s="214"/>
      <c r="E238" s="122"/>
      <c r="F238" s="219"/>
      <c r="G238" s="122"/>
      <c r="H238" s="214"/>
      <c r="I238" s="220"/>
      <c r="J238" s="46"/>
      <c r="K238" s="46"/>
      <c r="L238" s="46"/>
      <c r="M238" s="46"/>
      <c r="N238" s="46"/>
      <c r="O238" s="46"/>
      <c r="P238" s="46"/>
      <c r="Q238" s="46"/>
      <c r="R238" s="46"/>
      <c r="S238" s="46"/>
      <c r="T238" s="46"/>
      <c r="U238" s="46"/>
      <c r="V238" s="46"/>
      <c r="W238" s="46"/>
    </row>
    <row r="239">
      <c r="A239" s="55"/>
      <c r="B239" s="214"/>
      <c r="C239" s="55"/>
      <c r="D239" s="214"/>
      <c r="E239" s="122"/>
      <c r="F239" s="219"/>
      <c r="G239" s="122"/>
      <c r="H239" s="214"/>
      <c r="I239" s="220"/>
      <c r="J239" s="46"/>
      <c r="K239" s="46"/>
      <c r="L239" s="46"/>
      <c r="M239" s="46"/>
      <c r="N239" s="46"/>
      <c r="O239" s="46"/>
      <c r="P239" s="46"/>
      <c r="Q239" s="46"/>
      <c r="R239" s="46"/>
      <c r="S239" s="46"/>
      <c r="T239" s="46"/>
      <c r="U239" s="46"/>
      <c r="V239" s="46"/>
      <c r="W239" s="46"/>
    </row>
    <row r="240">
      <c r="A240" s="55"/>
      <c r="B240" s="214"/>
      <c r="C240" s="55"/>
      <c r="D240" s="214"/>
      <c r="E240" s="122"/>
      <c r="F240" s="219"/>
      <c r="G240" s="122"/>
      <c r="H240" s="214"/>
      <c r="I240" s="220"/>
      <c r="J240" s="46"/>
      <c r="K240" s="46"/>
      <c r="L240" s="46"/>
      <c r="M240" s="46"/>
      <c r="N240" s="46"/>
      <c r="O240" s="46"/>
      <c r="P240" s="46"/>
      <c r="Q240" s="46"/>
      <c r="R240" s="46"/>
      <c r="S240" s="46"/>
      <c r="T240" s="46"/>
      <c r="U240" s="46"/>
      <c r="V240" s="46"/>
      <c r="W240" s="46"/>
    </row>
    <row r="241">
      <c r="A241" s="55"/>
      <c r="B241" s="214"/>
      <c r="C241" s="55"/>
      <c r="D241" s="214"/>
      <c r="E241" s="122"/>
      <c r="F241" s="219"/>
      <c r="G241" s="122"/>
      <c r="H241" s="214"/>
      <c r="I241" s="220"/>
      <c r="J241" s="46"/>
      <c r="K241" s="46"/>
      <c r="L241" s="46"/>
      <c r="M241" s="46"/>
      <c r="N241" s="46"/>
      <c r="O241" s="46"/>
      <c r="P241" s="46"/>
      <c r="Q241" s="46"/>
      <c r="R241" s="46"/>
      <c r="S241" s="46"/>
      <c r="T241" s="46"/>
      <c r="U241" s="46"/>
      <c r="V241" s="46"/>
      <c r="W241" s="46"/>
    </row>
    <row r="242">
      <c r="A242" s="55"/>
      <c r="B242" s="214"/>
      <c r="C242" s="55"/>
      <c r="D242" s="214"/>
      <c r="E242" s="122"/>
      <c r="F242" s="219"/>
      <c r="G242" s="122"/>
      <c r="H242" s="214"/>
      <c r="I242" s="220"/>
      <c r="J242" s="46"/>
      <c r="K242" s="46"/>
      <c r="L242" s="46"/>
      <c r="M242" s="46"/>
      <c r="N242" s="46"/>
      <c r="O242" s="46"/>
      <c r="P242" s="46"/>
      <c r="Q242" s="46"/>
      <c r="R242" s="46"/>
      <c r="S242" s="46"/>
      <c r="T242" s="46"/>
      <c r="U242" s="46"/>
      <c r="V242" s="46"/>
      <c r="W242" s="46"/>
    </row>
    <row r="243">
      <c r="A243" s="55"/>
      <c r="B243" s="214"/>
      <c r="C243" s="55"/>
      <c r="D243" s="214"/>
      <c r="E243" s="122"/>
      <c r="F243" s="219"/>
      <c r="G243" s="122"/>
      <c r="H243" s="214"/>
      <c r="I243" s="220"/>
      <c r="J243" s="46"/>
      <c r="K243" s="46"/>
      <c r="L243" s="46"/>
      <c r="M243" s="46"/>
      <c r="N243" s="46"/>
      <c r="O243" s="46"/>
      <c r="P243" s="46"/>
      <c r="Q243" s="46"/>
      <c r="R243" s="46"/>
      <c r="S243" s="46"/>
      <c r="T243" s="46"/>
      <c r="U243" s="46"/>
      <c r="V243" s="46"/>
      <c r="W243" s="46"/>
    </row>
    <row r="244">
      <c r="A244" s="55"/>
      <c r="B244" s="214"/>
      <c r="C244" s="55"/>
      <c r="D244" s="214"/>
      <c r="E244" s="122"/>
      <c r="F244" s="219"/>
      <c r="G244" s="122"/>
      <c r="H244" s="214"/>
      <c r="I244" s="220"/>
      <c r="J244" s="46"/>
      <c r="K244" s="46"/>
      <c r="L244" s="46"/>
      <c r="M244" s="46"/>
      <c r="N244" s="46"/>
      <c r="O244" s="46"/>
      <c r="P244" s="46"/>
      <c r="Q244" s="46"/>
      <c r="R244" s="46"/>
      <c r="S244" s="46"/>
      <c r="T244" s="46"/>
      <c r="U244" s="46"/>
      <c r="V244" s="46"/>
      <c r="W244" s="46"/>
    </row>
    <row r="245">
      <c r="A245" s="55"/>
      <c r="B245" s="214"/>
      <c r="C245" s="55"/>
      <c r="D245" s="214"/>
      <c r="E245" s="122"/>
      <c r="F245" s="219"/>
      <c r="G245" s="122"/>
      <c r="H245" s="214"/>
      <c r="I245" s="220"/>
      <c r="J245" s="46"/>
      <c r="K245" s="46"/>
      <c r="L245" s="46"/>
      <c r="M245" s="46"/>
      <c r="N245" s="46"/>
      <c r="O245" s="46"/>
      <c r="P245" s="46"/>
      <c r="Q245" s="46"/>
      <c r="R245" s="46"/>
      <c r="S245" s="46"/>
      <c r="T245" s="46"/>
      <c r="U245" s="46"/>
      <c r="V245" s="46"/>
      <c r="W245" s="46"/>
    </row>
    <row r="246">
      <c r="A246" s="55"/>
      <c r="B246" s="214"/>
      <c r="C246" s="55"/>
      <c r="D246" s="214"/>
      <c r="E246" s="122"/>
      <c r="F246" s="219"/>
      <c r="G246" s="122"/>
      <c r="H246" s="214"/>
      <c r="I246" s="220"/>
      <c r="J246" s="46"/>
      <c r="K246" s="46"/>
      <c r="L246" s="46"/>
      <c r="M246" s="46"/>
      <c r="N246" s="46"/>
      <c r="O246" s="46"/>
      <c r="P246" s="46"/>
      <c r="Q246" s="46"/>
      <c r="R246" s="46"/>
      <c r="S246" s="46"/>
      <c r="T246" s="46"/>
      <c r="U246" s="46"/>
      <c r="V246" s="46"/>
      <c r="W246" s="46"/>
    </row>
    <row r="247">
      <c r="A247" s="55"/>
      <c r="B247" s="214"/>
      <c r="C247" s="55"/>
      <c r="D247" s="214"/>
      <c r="E247" s="122"/>
      <c r="F247" s="219"/>
      <c r="G247" s="122"/>
      <c r="H247" s="214"/>
      <c r="I247" s="220"/>
      <c r="J247" s="46"/>
      <c r="K247" s="46"/>
      <c r="L247" s="46"/>
      <c r="M247" s="46"/>
      <c r="N247" s="46"/>
      <c r="O247" s="46"/>
      <c r="P247" s="46"/>
      <c r="Q247" s="46"/>
      <c r="R247" s="46"/>
      <c r="S247" s="46"/>
      <c r="T247" s="46"/>
      <c r="U247" s="46"/>
      <c r="V247" s="46"/>
      <c r="W247" s="46"/>
    </row>
    <row r="248">
      <c r="A248" s="55"/>
      <c r="B248" s="214"/>
      <c r="C248" s="55"/>
      <c r="D248" s="214"/>
      <c r="E248" s="122"/>
      <c r="F248" s="219"/>
      <c r="G248" s="122"/>
      <c r="H248" s="214"/>
      <c r="I248" s="220"/>
      <c r="J248" s="46"/>
      <c r="K248" s="46"/>
      <c r="L248" s="46"/>
      <c r="M248" s="46"/>
      <c r="N248" s="46"/>
      <c r="O248" s="46"/>
      <c r="P248" s="46"/>
      <c r="Q248" s="46"/>
      <c r="R248" s="46"/>
      <c r="S248" s="46"/>
      <c r="T248" s="46"/>
      <c r="U248" s="46"/>
      <c r="V248" s="46"/>
      <c r="W248" s="46"/>
    </row>
    <row r="249">
      <c r="A249" s="55"/>
      <c r="B249" s="214"/>
      <c r="C249" s="55"/>
      <c r="D249" s="214"/>
      <c r="E249" s="122"/>
      <c r="F249" s="219"/>
      <c r="G249" s="122"/>
      <c r="H249" s="214"/>
      <c r="I249" s="220"/>
      <c r="J249" s="46"/>
      <c r="K249" s="46"/>
      <c r="L249" s="46"/>
      <c r="M249" s="46"/>
      <c r="N249" s="46"/>
      <c r="O249" s="46"/>
      <c r="P249" s="46"/>
      <c r="Q249" s="46"/>
      <c r="R249" s="46"/>
      <c r="S249" s="46"/>
      <c r="T249" s="46"/>
      <c r="U249" s="46"/>
      <c r="V249" s="46"/>
      <c r="W249" s="46"/>
    </row>
    <row r="250">
      <c r="A250" s="55"/>
      <c r="B250" s="214"/>
      <c r="C250" s="55"/>
      <c r="D250" s="214"/>
      <c r="E250" s="122"/>
      <c r="F250" s="219"/>
      <c r="G250" s="122"/>
      <c r="H250" s="214"/>
      <c r="I250" s="220"/>
      <c r="J250" s="46"/>
      <c r="K250" s="46"/>
      <c r="L250" s="46"/>
      <c r="M250" s="46"/>
      <c r="N250" s="46"/>
      <c r="O250" s="46"/>
      <c r="P250" s="46"/>
      <c r="Q250" s="46"/>
      <c r="R250" s="46"/>
      <c r="S250" s="46"/>
      <c r="T250" s="46"/>
      <c r="U250" s="46"/>
      <c r="V250" s="46"/>
      <c r="W250" s="46"/>
    </row>
    <row r="251">
      <c r="A251" s="55"/>
      <c r="B251" s="214"/>
      <c r="C251" s="55"/>
      <c r="D251" s="214"/>
      <c r="E251" s="122"/>
      <c r="F251" s="219"/>
      <c r="G251" s="122"/>
      <c r="H251" s="214"/>
      <c r="I251" s="220"/>
      <c r="J251" s="46"/>
      <c r="K251" s="46"/>
      <c r="L251" s="46"/>
      <c r="M251" s="46"/>
      <c r="N251" s="46"/>
      <c r="O251" s="46"/>
      <c r="P251" s="46"/>
      <c r="Q251" s="46"/>
      <c r="R251" s="46"/>
      <c r="S251" s="46"/>
      <c r="T251" s="46"/>
      <c r="U251" s="46"/>
      <c r="V251" s="46"/>
      <c r="W251" s="46"/>
    </row>
    <row r="252">
      <c r="A252" s="55"/>
      <c r="B252" s="214"/>
      <c r="C252" s="55"/>
      <c r="D252" s="214"/>
      <c r="E252" s="122"/>
      <c r="F252" s="219"/>
      <c r="G252" s="122"/>
      <c r="H252" s="214"/>
      <c r="I252" s="220"/>
      <c r="J252" s="46"/>
      <c r="K252" s="46"/>
      <c r="L252" s="46"/>
      <c r="M252" s="46"/>
      <c r="N252" s="46"/>
      <c r="O252" s="46"/>
      <c r="P252" s="46"/>
      <c r="Q252" s="46"/>
      <c r="R252" s="46"/>
      <c r="S252" s="46"/>
      <c r="T252" s="46"/>
      <c r="U252" s="46"/>
      <c r="V252" s="46"/>
      <c r="W252" s="46"/>
    </row>
    <row r="253">
      <c r="A253" s="55"/>
      <c r="B253" s="214"/>
      <c r="C253" s="55"/>
      <c r="D253" s="214"/>
      <c r="E253" s="122"/>
      <c r="F253" s="219"/>
      <c r="G253" s="122"/>
      <c r="H253" s="214"/>
      <c r="I253" s="220"/>
      <c r="J253" s="46"/>
      <c r="K253" s="46"/>
      <c r="L253" s="46"/>
      <c r="M253" s="46"/>
      <c r="N253" s="46"/>
      <c r="O253" s="46"/>
      <c r="P253" s="46"/>
      <c r="Q253" s="46"/>
      <c r="R253" s="46"/>
      <c r="S253" s="46"/>
      <c r="T253" s="46"/>
      <c r="U253" s="46"/>
      <c r="V253" s="46"/>
      <c r="W253" s="46"/>
    </row>
    <row r="254">
      <c r="A254" s="55"/>
      <c r="B254" s="214"/>
      <c r="C254" s="55"/>
      <c r="D254" s="214"/>
      <c r="E254" s="122"/>
      <c r="F254" s="219"/>
      <c r="G254" s="122"/>
      <c r="H254" s="214"/>
      <c r="I254" s="220"/>
      <c r="J254" s="46"/>
      <c r="K254" s="46"/>
      <c r="L254" s="46"/>
      <c r="M254" s="46"/>
      <c r="N254" s="46"/>
      <c r="O254" s="46"/>
      <c r="P254" s="46"/>
      <c r="Q254" s="46"/>
      <c r="R254" s="46"/>
      <c r="S254" s="46"/>
      <c r="T254" s="46"/>
      <c r="U254" s="46"/>
      <c r="V254" s="46"/>
      <c r="W254" s="46"/>
    </row>
    <row r="255">
      <c r="A255" s="55"/>
      <c r="B255" s="214"/>
      <c r="C255" s="55"/>
      <c r="D255" s="214"/>
      <c r="E255" s="122"/>
      <c r="F255" s="219"/>
      <c r="G255" s="122"/>
      <c r="H255" s="214"/>
      <c r="I255" s="220"/>
      <c r="J255" s="46"/>
      <c r="K255" s="46"/>
      <c r="L255" s="46"/>
      <c r="M255" s="46"/>
      <c r="N255" s="46"/>
      <c r="O255" s="46"/>
      <c r="P255" s="46"/>
      <c r="Q255" s="46"/>
      <c r="R255" s="46"/>
      <c r="S255" s="46"/>
      <c r="T255" s="46"/>
      <c r="U255" s="46"/>
      <c r="V255" s="46"/>
      <c r="W255" s="46"/>
    </row>
    <row r="256">
      <c r="A256" s="55"/>
      <c r="B256" s="214"/>
      <c r="C256" s="55"/>
      <c r="D256" s="214"/>
      <c r="E256" s="122"/>
      <c r="F256" s="219"/>
      <c r="G256" s="122"/>
      <c r="H256" s="214"/>
      <c r="I256" s="220"/>
      <c r="J256" s="46"/>
      <c r="K256" s="46"/>
      <c r="L256" s="46"/>
      <c r="M256" s="46"/>
      <c r="N256" s="46"/>
      <c r="O256" s="46"/>
      <c r="P256" s="46"/>
      <c r="Q256" s="46"/>
      <c r="R256" s="46"/>
      <c r="S256" s="46"/>
      <c r="T256" s="46"/>
      <c r="U256" s="46"/>
      <c r="V256" s="46"/>
      <c r="W256" s="46"/>
    </row>
    <row r="257">
      <c r="A257" s="55"/>
      <c r="B257" s="214"/>
      <c r="C257" s="55"/>
      <c r="D257" s="214"/>
      <c r="E257" s="122"/>
      <c r="F257" s="219"/>
      <c r="G257" s="122"/>
      <c r="H257" s="214"/>
      <c r="I257" s="220"/>
      <c r="J257" s="46"/>
      <c r="K257" s="46"/>
      <c r="L257" s="46"/>
      <c r="M257" s="46"/>
      <c r="N257" s="46"/>
      <c r="O257" s="46"/>
      <c r="P257" s="46"/>
      <c r="Q257" s="46"/>
      <c r="R257" s="46"/>
      <c r="S257" s="46"/>
      <c r="T257" s="46"/>
      <c r="U257" s="46"/>
      <c r="V257" s="46"/>
      <c r="W257" s="46"/>
    </row>
    <row r="258">
      <c r="A258" s="55"/>
      <c r="B258" s="214"/>
      <c r="C258" s="55"/>
      <c r="D258" s="214"/>
      <c r="E258" s="122"/>
      <c r="F258" s="219"/>
      <c r="G258" s="122"/>
      <c r="H258" s="214"/>
      <c r="I258" s="220"/>
      <c r="J258" s="46"/>
      <c r="K258" s="46"/>
      <c r="L258" s="46"/>
      <c r="M258" s="46"/>
      <c r="N258" s="46"/>
      <c r="O258" s="46"/>
      <c r="P258" s="46"/>
      <c r="Q258" s="46"/>
      <c r="R258" s="46"/>
      <c r="S258" s="46"/>
      <c r="T258" s="46"/>
      <c r="U258" s="46"/>
      <c r="V258" s="46"/>
      <c r="W258" s="46"/>
    </row>
    <row r="259">
      <c r="A259" s="55"/>
      <c r="B259" s="214"/>
      <c r="C259" s="55"/>
      <c r="D259" s="214"/>
      <c r="E259" s="122"/>
      <c r="F259" s="219"/>
      <c r="G259" s="122"/>
      <c r="H259" s="214"/>
      <c r="I259" s="220"/>
      <c r="J259" s="46"/>
      <c r="K259" s="46"/>
      <c r="L259" s="46"/>
      <c r="M259" s="46"/>
      <c r="N259" s="46"/>
      <c r="O259" s="46"/>
      <c r="P259" s="46"/>
      <c r="Q259" s="46"/>
      <c r="R259" s="46"/>
      <c r="S259" s="46"/>
      <c r="T259" s="46"/>
      <c r="U259" s="46"/>
      <c r="V259" s="46"/>
      <c r="W259" s="46"/>
    </row>
    <row r="260">
      <c r="A260" s="55"/>
      <c r="B260" s="214"/>
      <c r="C260" s="55"/>
      <c r="D260" s="214"/>
      <c r="E260" s="122"/>
      <c r="F260" s="219"/>
      <c r="G260" s="122"/>
      <c r="H260" s="214"/>
      <c r="I260" s="220"/>
      <c r="J260" s="46"/>
      <c r="K260" s="46"/>
      <c r="L260" s="46"/>
      <c r="M260" s="46"/>
      <c r="N260" s="46"/>
      <c r="O260" s="46"/>
      <c r="P260" s="46"/>
      <c r="Q260" s="46"/>
      <c r="R260" s="46"/>
      <c r="S260" s="46"/>
      <c r="T260" s="46"/>
      <c r="U260" s="46"/>
      <c r="V260" s="46"/>
      <c r="W260" s="46"/>
    </row>
    <row r="261">
      <c r="A261" s="55"/>
      <c r="B261" s="214"/>
      <c r="C261" s="55"/>
      <c r="D261" s="214"/>
      <c r="E261" s="122"/>
      <c r="F261" s="219"/>
      <c r="G261" s="122"/>
      <c r="H261" s="214"/>
      <c r="I261" s="220"/>
      <c r="J261" s="46"/>
      <c r="K261" s="46"/>
      <c r="L261" s="46"/>
      <c r="M261" s="46"/>
      <c r="N261" s="46"/>
      <c r="O261" s="46"/>
      <c r="P261" s="46"/>
      <c r="Q261" s="46"/>
      <c r="R261" s="46"/>
      <c r="S261" s="46"/>
      <c r="T261" s="46"/>
      <c r="U261" s="46"/>
      <c r="V261" s="46"/>
      <c r="W261" s="46"/>
    </row>
    <row r="262">
      <c r="A262" s="55"/>
      <c r="B262" s="214"/>
      <c r="C262" s="55"/>
      <c r="D262" s="214"/>
      <c r="E262" s="122"/>
      <c r="F262" s="219"/>
      <c r="G262" s="122"/>
      <c r="H262" s="214"/>
      <c r="I262" s="220"/>
      <c r="J262" s="46"/>
      <c r="K262" s="46"/>
      <c r="L262" s="46"/>
      <c r="M262" s="46"/>
      <c r="N262" s="46"/>
      <c r="O262" s="46"/>
      <c r="P262" s="46"/>
      <c r="Q262" s="46"/>
      <c r="R262" s="46"/>
      <c r="S262" s="46"/>
      <c r="T262" s="46"/>
      <c r="U262" s="46"/>
      <c r="V262" s="46"/>
      <c r="W262" s="46"/>
    </row>
    <row r="263">
      <c r="A263" s="55"/>
      <c r="B263" s="214"/>
      <c r="C263" s="55"/>
      <c r="D263" s="214"/>
      <c r="E263" s="122"/>
      <c r="F263" s="219"/>
      <c r="G263" s="122"/>
      <c r="H263" s="214"/>
      <c r="I263" s="220"/>
      <c r="J263" s="46"/>
      <c r="K263" s="46"/>
      <c r="L263" s="46"/>
      <c r="M263" s="46"/>
      <c r="N263" s="46"/>
      <c r="O263" s="46"/>
      <c r="P263" s="46"/>
      <c r="Q263" s="46"/>
      <c r="R263" s="46"/>
      <c r="S263" s="46"/>
      <c r="T263" s="46"/>
      <c r="U263" s="46"/>
      <c r="V263" s="46"/>
      <c r="W263" s="46"/>
    </row>
    <row r="264">
      <c r="A264" s="55"/>
      <c r="B264" s="214"/>
      <c r="C264" s="55"/>
      <c r="D264" s="214"/>
      <c r="E264" s="122"/>
      <c r="F264" s="219"/>
      <c r="G264" s="122"/>
      <c r="H264" s="214"/>
      <c r="I264" s="220"/>
      <c r="J264" s="46"/>
      <c r="K264" s="46"/>
      <c r="L264" s="46"/>
      <c r="M264" s="46"/>
      <c r="N264" s="46"/>
      <c r="O264" s="46"/>
      <c r="P264" s="46"/>
      <c r="Q264" s="46"/>
      <c r="R264" s="46"/>
      <c r="S264" s="46"/>
      <c r="T264" s="46"/>
      <c r="U264" s="46"/>
      <c r="V264" s="46"/>
      <c r="W264" s="46"/>
    </row>
    <row r="265">
      <c r="A265" s="55"/>
      <c r="B265" s="214"/>
      <c r="C265" s="55"/>
      <c r="D265" s="214"/>
      <c r="E265" s="122"/>
      <c r="F265" s="219"/>
      <c r="G265" s="122"/>
      <c r="H265" s="214"/>
      <c r="I265" s="220"/>
      <c r="J265" s="46"/>
      <c r="K265" s="46"/>
      <c r="L265" s="46"/>
      <c r="M265" s="46"/>
      <c r="N265" s="46"/>
      <c r="O265" s="46"/>
      <c r="P265" s="46"/>
      <c r="Q265" s="46"/>
      <c r="R265" s="46"/>
      <c r="S265" s="46"/>
      <c r="T265" s="46"/>
      <c r="U265" s="46"/>
      <c r="V265" s="46"/>
      <c r="W265" s="46"/>
    </row>
    <row r="266">
      <c r="A266" s="55"/>
      <c r="B266" s="214"/>
      <c r="C266" s="55"/>
      <c r="D266" s="214"/>
      <c r="E266" s="122"/>
      <c r="F266" s="219"/>
      <c r="G266" s="122"/>
      <c r="H266" s="214"/>
      <c r="I266" s="220"/>
      <c r="J266" s="46"/>
      <c r="K266" s="46"/>
      <c r="L266" s="46"/>
      <c r="M266" s="46"/>
      <c r="N266" s="46"/>
      <c r="O266" s="46"/>
      <c r="P266" s="46"/>
      <c r="Q266" s="46"/>
      <c r="R266" s="46"/>
      <c r="S266" s="46"/>
      <c r="T266" s="46"/>
      <c r="U266" s="46"/>
      <c r="V266" s="46"/>
      <c r="W266" s="46"/>
    </row>
    <row r="267">
      <c r="A267" s="55"/>
      <c r="B267" s="214"/>
      <c r="C267" s="55"/>
      <c r="D267" s="214"/>
      <c r="E267" s="122"/>
      <c r="F267" s="219"/>
      <c r="G267" s="122"/>
      <c r="H267" s="214"/>
      <c r="I267" s="220"/>
      <c r="J267" s="46"/>
      <c r="K267" s="46"/>
      <c r="L267" s="46"/>
      <c r="M267" s="46"/>
      <c r="N267" s="46"/>
      <c r="O267" s="46"/>
      <c r="P267" s="46"/>
      <c r="Q267" s="46"/>
      <c r="R267" s="46"/>
      <c r="S267" s="46"/>
      <c r="T267" s="46"/>
      <c r="U267" s="46"/>
      <c r="V267" s="46"/>
      <c r="W267" s="46"/>
    </row>
    <row r="268">
      <c r="A268" s="55"/>
      <c r="B268" s="214"/>
      <c r="C268" s="55"/>
      <c r="D268" s="214"/>
      <c r="E268" s="122"/>
      <c r="F268" s="219"/>
      <c r="G268" s="122"/>
      <c r="H268" s="214"/>
      <c r="I268" s="220"/>
      <c r="J268" s="46"/>
      <c r="K268" s="46"/>
      <c r="L268" s="46"/>
      <c r="M268" s="46"/>
      <c r="N268" s="46"/>
      <c r="O268" s="46"/>
      <c r="P268" s="46"/>
      <c r="Q268" s="46"/>
      <c r="R268" s="46"/>
      <c r="S268" s="46"/>
      <c r="T268" s="46"/>
      <c r="U268" s="46"/>
      <c r="V268" s="46"/>
      <c r="W268" s="46"/>
    </row>
    <row r="269">
      <c r="A269" s="55"/>
      <c r="B269" s="214"/>
      <c r="C269" s="55"/>
      <c r="D269" s="214"/>
      <c r="E269" s="122"/>
      <c r="F269" s="219"/>
      <c r="G269" s="122"/>
      <c r="H269" s="214"/>
      <c r="I269" s="220"/>
      <c r="J269" s="46"/>
      <c r="K269" s="46"/>
      <c r="L269" s="46"/>
      <c r="M269" s="46"/>
      <c r="N269" s="46"/>
      <c r="O269" s="46"/>
      <c r="P269" s="46"/>
      <c r="Q269" s="46"/>
      <c r="R269" s="46"/>
      <c r="S269" s="46"/>
      <c r="T269" s="46"/>
      <c r="U269" s="46"/>
      <c r="V269" s="46"/>
      <c r="W269" s="46"/>
    </row>
    <row r="270">
      <c r="A270" s="55"/>
      <c r="B270" s="214"/>
      <c r="C270" s="55"/>
      <c r="D270" s="214"/>
      <c r="E270" s="122"/>
      <c r="F270" s="219"/>
      <c r="G270" s="122"/>
      <c r="H270" s="214"/>
      <c r="I270" s="220"/>
      <c r="J270" s="46"/>
      <c r="K270" s="46"/>
      <c r="L270" s="46"/>
      <c r="M270" s="46"/>
      <c r="N270" s="46"/>
      <c r="O270" s="46"/>
      <c r="P270" s="46"/>
      <c r="Q270" s="46"/>
      <c r="R270" s="46"/>
      <c r="S270" s="46"/>
      <c r="T270" s="46"/>
      <c r="U270" s="46"/>
      <c r="V270" s="46"/>
      <c r="W270" s="46"/>
    </row>
    <row r="271">
      <c r="A271" s="55"/>
      <c r="B271" s="214"/>
      <c r="C271" s="55"/>
      <c r="D271" s="214"/>
      <c r="E271" s="122"/>
      <c r="F271" s="219"/>
      <c r="G271" s="122"/>
      <c r="H271" s="214"/>
      <c r="I271" s="220"/>
      <c r="J271" s="46"/>
      <c r="K271" s="46"/>
      <c r="L271" s="46"/>
      <c r="M271" s="46"/>
      <c r="N271" s="46"/>
      <c r="O271" s="46"/>
      <c r="P271" s="46"/>
      <c r="Q271" s="46"/>
      <c r="R271" s="46"/>
      <c r="S271" s="46"/>
      <c r="T271" s="46"/>
      <c r="U271" s="46"/>
      <c r="V271" s="46"/>
      <c r="W271" s="46"/>
    </row>
    <row r="272">
      <c r="A272" s="55"/>
      <c r="B272" s="214"/>
      <c r="C272" s="55"/>
      <c r="D272" s="214"/>
      <c r="E272" s="122"/>
      <c r="F272" s="219"/>
      <c r="G272" s="122"/>
      <c r="H272" s="214"/>
      <c r="I272" s="220"/>
      <c r="J272" s="46"/>
      <c r="K272" s="46"/>
      <c r="L272" s="46"/>
      <c r="M272" s="46"/>
      <c r="N272" s="46"/>
      <c r="O272" s="46"/>
      <c r="P272" s="46"/>
      <c r="Q272" s="46"/>
      <c r="R272" s="46"/>
      <c r="S272" s="46"/>
      <c r="T272" s="46"/>
      <c r="U272" s="46"/>
      <c r="V272" s="46"/>
      <c r="W272" s="46"/>
    </row>
    <row r="273">
      <c r="A273" s="55"/>
      <c r="B273" s="214"/>
      <c r="C273" s="55"/>
      <c r="D273" s="214"/>
      <c r="E273" s="122"/>
      <c r="F273" s="219"/>
      <c r="G273" s="122"/>
      <c r="H273" s="214"/>
      <c r="I273" s="220"/>
      <c r="J273" s="46"/>
      <c r="K273" s="46"/>
      <c r="L273" s="46"/>
      <c r="M273" s="46"/>
      <c r="N273" s="46"/>
      <c r="O273" s="46"/>
      <c r="P273" s="46"/>
      <c r="Q273" s="46"/>
      <c r="R273" s="46"/>
      <c r="S273" s="46"/>
      <c r="T273" s="46"/>
      <c r="U273" s="46"/>
      <c r="V273" s="46"/>
      <c r="W273" s="46"/>
    </row>
    <row r="274">
      <c r="A274" s="55"/>
      <c r="B274" s="214"/>
      <c r="C274" s="55"/>
      <c r="D274" s="214"/>
      <c r="E274" s="122"/>
      <c r="F274" s="219"/>
      <c r="G274" s="122"/>
      <c r="H274" s="214"/>
      <c r="I274" s="220"/>
      <c r="J274" s="46"/>
      <c r="K274" s="46"/>
      <c r="L274" s="46"/>
      <c r="M274" s="46"/>
      <c r="N274" s="46"/>
      <c r="O274" s="46"/>
      <c r="P274" s="46"/>
      <c r="Q274" s="46"/>
      <c r="R274" s="46"/>
      <c r="S274" s="46"/>
      <c r="T274" s="46"/>
      <c r="U274" s="46"/>
      <c r="V274" s="46"/>
      <c r="W274" s="46"/>
    </row>
    <row r="275">
      <c r="A275" s="55"/>
      <c r="B275" s="214"/>
      <c r="C275" s="55"/>
      <c r="D275" s="214"/>
      <c r="E275" s="122"/>
      <c r="F275" s="219"/>
      <c r="G275" s="122"/>
      <c r="H275" s="214"/>
      <c r="I275" s="220"/>
      <c r="J275" s="46"/>
      <c r="K275" s="46"/>
      <c r="L275" s="46"/>
      <c r="M275" s="46"/>
      <c r="N275" s="46"/>
      <c r="O275" s="46"/>
      <c r="P275" s="46"/>
      <c r="Q275" s="46"/>
      <c r="R275" s="46"/>
      <c r="S275" s="46"/>
      <c r="T275" s="46"/>
      <c r="U275" s="46"/>
      <c r="V275" s="46"/>
      <c r="W275" s="46"/>
    </row>
    <row r="276">
      <c r="A276" s="55"/>
      <c r="B276" s="214"/>
      <c r="C276" s="55"/>
      <c r="D276" s="214"/>
      <c r="E276" s="122"/>
      <c r="F276" s="219"/>
      <c r="G276" s="122"/>
      <c r="H276" s="214"/>
      <c r="I276" s="220"/>
      <c r="J276" s="46"/>
      <c r="K276" s="46"/>
      <c r="L276" s="46"/>
      <c r="M276" s="46"/>
      <c r="N276" s="46"/>
      <c r="O276" s="46"/>
      <c r="P276" s="46"/>
      <c r="Q276" s="46"/>
      <c r="R276" s="46"/>
      <c r="S276" s="46"/>
      <c r="T276" s="46"/>
      <c r="U276" s="46"/>
      <c r="V276" s="46"/>
      <c r="W276" s="46"/>
    </row>
    <row r="277">
      <c r="A277" s="55"/>
      <c r="B277" s="214"/>
      <c r="C277" s="55"/>
      <c r="D277" s="214"/>
      <c r="E277" s="122"/>
      <c r="F277" s="219"/>
      <c r="G277" s="122"/>
      <c r="H277" s="214"/>
      <c r="I277" s="220"/>
      <c r="J277" s="46"/>
      <c r="K277" s="46"/>
      <c r="L277" s="46"/>
      <c r="M277" s="46"/>
      <c r="N277" s="46"/>
      <c r="O277" s="46"/>
      <c r="P277" s="46"/>
      <c r="Q277" s="46"/>
      <c r="R277" s="46"/>
      <c r="S277" s="46"/>
      <c r="T277" s="46"/>
      <c r="U277" s="46"/>
      <c r="V277" s="46"/>
      <c r="W277" s="46"/>
    </row>
    <row r="278">
      <c r="A278" s="55"/>
      <c r="B278" s="214"/>
      <c r="C278" s="55"/>
      <c r="D278" s="214"/>
      <c r="E278" s="122"/>
      <c r="F278" s="219"/>
      <c r="G278" s="122"/>
      <c r="H278" s="214"/>
      <c r="I278" s="220"/>
      <c r="J278" s="46"/>
      <c r="K278" s="46"/>
      <c r="L278" s="46"/>
      <c r="M278" s="46"/>
      <c r="N278" s="46"/>
      <c r="O278" s="46"/>
      <c r="P278" s="46"/>
      <c r="Q278" s="46"/>
      <c r="R278" s="46"/>
      <c r="S278" s="46"/>
      <c r="T278" s="46"/>
      <c r="U278" s="46"/>
      <c r="V278" s="46"/>
      <c r="W278" s="46"/>
    </row>
    <row r="279">
      <c r="A279" s="55"/>
      <c r="B279" s="214"/>
      <c r="C279" s="55"/>
      <c r="D279" s="214"/>
      <c r="E279" s="122"/>
      <c r="F279" s="219"/>
      <c r="G279" s="122"/>
      <c r="H279" s="214"/>
      <c r="I279" s="220"/>
      <c r="J279" s="46"/>
      <c r="K279" s="46"/>
      <c r="L279" s="46"/>
      <c r="M279" s="46"/>
      <c r="N279" s="46"/>
      <c r="O279" s="46"/>
      <c r="P279" s="46"/>
      <c r="Q279" s="46"/>
      <c r="R279" s="46"/>
      <c r="S279" s="46"/>
      <c r="T279" s="46"/>
      <c r="U279" s="46"/>
      <c r="V279" s="46"/>
      <c r="W279" s="46"/>
    </row>
    <row r="280">
      <c r="A280" s="55"/>
      <c r="B280" s="214"/>
      <c r="C280" s="55"/>
      <c r="D280" s="214"/>
      <c r="E280" s="122"/>
      <c r="F280" s="219"/>
      <c r="G280" s="122"/>
      <c r="H280" s="214"/>
      <c r="I280" s="220"/>
      <c r="J280" s="46"/>
      <c r="K280" s="46"/>
      <c r="L280" s="46"/>
      <c r="M280" s="46"/>
      <c r="N280" s="46"/>
      <c r="O280" s="46"/>
      <c r="P280" s="46"/>
      <c r="Q280" s="46"/>
      <c r="R280" s="46"/>
      <c r="S280" s="46"/>
      <c r="T280" s="46"/>
      <c r="U280" s="46"/>
      <c r="V280" s="46"/>
      <c r="W280" s="46"/>
    </row>
    <row r="281">
      <c r="A281" s="55"/>
      <c r="B281" s="214"/>
      <c r="C281" s="55"/>
      <c r="D281" s="214"/>
      <c r="E281" s="122"/>
      <c r="F281" s="219"/>
      <c r="G281" s="122"/>
      <c r="H281" s="214"/>
      <c r="I281" s="220"/>
      <c r="J281" s="46"/>
      <c r="K281" s="46"/>
      <c r="L281" s="46"/>
      <c r="M281" s="46"/>
      <c r="N281" s="46"/>
      <c r="O281" s="46"/>
      <c r="P281" s="46"/>
      <c r="Q281" s="46"/>
      <c r="R281" s="46"/>
      <c r="S281" s="46"/>
      <c r="T281" s="46"/>
      <c r="U281" s="46"/>
      <c r="V281" s="46"/>
      <c r="W281" s="46"/>
    </row>
    <row r="282">
      <c r="A282" s="55"/>
      <c r="B282" s="214"/>
      <c r="C282" s="55"/>
      <c r="D282" s="214"/>
      <c r="E282" s="122"/>
      <c r="F282" s="219"/>
      <c r="G282" s="122"/>
      <c r="H282" s="214"/>
      <c r="I282" s="220"/>
      <c r="J282" s="46"/>
      <c r="K282" s="46"/>
      <c r="L282" s="46"/>
      <c r="M282" s="46"/>
      <c r="N282" s="46"/>
      <c r="O282" s="46"/>
      <c r="P282" s="46"/>
      <c r="Q282" s="46"/>
      <c r="R282" s="46"/>
      <c r="S282" s="46"/>
      <c r="T282" s="46"/>
      <c r="U282" s="46"/>
      <c r="V282" s="46"/>
      <c r="W282" s="46"/>
    </row>
    <row r="283">
      <c r="A283" s="55"/>
      <c r="B283" s="214"/>
      <c r="C283" s="55"/>
      <c r="D283" s="214"/>
      <c r="E283" s="122"/>
      <c r="F283" s="219"/>
      <c r="G283" s="122"/>
      <c r="H283" s="214"/>
      <c r="I283" s="220"/>
      <c r="J283" s="46"/>
      <c r="K283" s="46"/>
      <c r="L283" s="46"/>
      <c r="M283" s="46"/>
      <c r="N283" s="46"/>
      <c r="O283" s="46"/>
      <c r="P283" s="46"/>
      <c r="Q283" s="46"/>
      <c r="R283" s="46"/>
      <c r="S283" s="46"/>
      <c r="T283" s="46"/>
      <c r="U283" s="46"/>
      <c r="V283" s="46"/>
      <c r="W283" s="46"/>
    </row>
    <row r="284">
      <c r="A284" s="55"/>
      <c r="B284" s="214"/>
      <c r="C284" s="55"/>
      <c r="D284" s="214"/>
      <c r="E284" s="122"/>
      <c r="F284" s="219"/>
      <c r="G284" s="122"/>
      <c r="H284" s="214"/>
      <c r="I284" s="220"/>
      <c r="J284" s="46"/>
      <c r="K284" s="46"/>
      <c r="L284" s="46"/>
      <c r="M284" s="46"/>
      <c r="N284" s="46"/>
      <c r="O284" s="46"/>
      <c r="P284" s="46"/>
      <c r="Q284" s="46"/>
      <c r="R284" s="46"/>
      <c r="S284" s="46"/>
      <c r="T284" s="46"/>
      <c r="U284" s="46"/>
      <c r="V284" s="46"/>
      <c r="W284" s="46"/>
    </row>
    <row r="285">
      <c r="A285" s="55"/>
      <c r="B285" s="214"/>
      <c r="C285" s="55"/>
      <c r="D285" s="214"/>
      <c r="E285" s="122"/>
      <c r="F285" s="219"/>
      <c r="G285" s="122"/>
      <c r="H285" s="214"/>
      <c r="I285" s="220"/>
      <c r="J285" s="46"/>
      <c r="K285" s="46"/>
      <c r="L285" s="46"/>
      <c r="M285" s="46"/>
      <c r="N285" s="46"/>
      <c r="O285" s="46"/>
      <c r="P285" s="46"/>
      <c r="Q285" s="46"/>
      <c r="R285" s="46"/>
      <c r="S285" s="46"/>
      <c r="T285" s="46"/>
      <c r="U285" s="46"/>
      <c r="V285" s="46"/>
      <c r="W285" s="46"/>
    </row>
    <row r="286">
      <c r="A286" s="55"/>
      <c r="B286" s="214"/>
      <c r="C286" s="55"/>
      <c r="D286" s="214"/>
      <c r="E286" s="122"/>
      <c r="F286" s="219"/>
      <c r="G286" s="122"/>
      <c r="H286" s="214"/>
      <c r="I286" s="220"/>
      <c r="J286" s="46"/>
      <c r="K286" s="46"/>
      <c r="L286" s="46"/>
      <c r="M286" s="46"/>
      <c r="N286" s="46"/>
      <c r="O286" s="46"/>
      <c r="P286" s="46"/>
      <c r="Q286" s="46"/>
      <c r="R286" s="46"/>
      <c r="S286" s="46"/>
      <c r="T286" s="46"/>
      <c r="U286" s="46"/>
      <c r="V286" s="46"/>
      <c r="W286" s="46"/>
    </row>
    <row r="287">
      <c r="A287" s="55"/>
      <c r="B287" s="214"/>
      <c r="C287" s="55"/>
      <c r="D287" s="214"/>
      <c r="E287" s="122"/>
      <c r="F287" s="219"/>
      <c r="G287" s="122"/>
      <c r="H287" s="214"/>
      <c r="I287" s="220"/>
      <c r="J287" s="46"/>
      <c r="K287" s="46"/>
      <c r="L287" s="46"/>
      <c r="M287" s="46"/>
      <c r="N287" s="46"/>
      <c r="O287" s="46"/>
      <c r="P287" s="46"/>
      <c r="Q287" s="46"/>
      <c r="R287" s="46"/>
      <c r="S287" s="46"/>
      <c r="T287" s="46"/>
      <c r="U287" s="46"/>
      <c r="V287" s="46"/>
      <c r="W287" s="46"/>
    </row>
    <row r="288">
      <c r="A288" s="55"/>
      <c r="B288" s="214"/>
      <c r="C288" s="55"/>
      <c r="D288" s="214"/>
      <c r="E288" s="122"/>
      <c r="F288" s="219"/>
      <c r="G288" s="122"/>
      <c r="H288" s="214"/>
      <c r="I288" s="220"/>
      <c r="J288" s="46"/>
      <c r="K288" s="46"/>
      <c r="L288" s="46"/>
      <c r="M288" s="46"/>
      <c r="N288" s="46"/>
      <c r="O288" s="46"/>
      <c r="P288" s="46"/>
      <c r="Q288" s="46"/>
      <c r="R288" s="46"/>
      <c r="S288" s="46"/>
      <c r="T288" s="46"/>
      <c r="U288" s="46"/>
      <c r="V288" s="46"/>
      <c r="W288" s="46"/>
    </row>
    <row r="289">
      <c r="A289" s="55"/>
      <c r="B289" s="214"/>
      <c r="C289" s="55"/>
      <c r="D289" s="214"/>
      <c r="E289" s="122"/>
      <c r="F289" s="219"/>
      <c r="G289" s="122"/>
      <c r="H289" s="214"/>
      <c r="I289" s="220"/>
      <c r="J289" s="46"/>
      <c r="K289" s="46"/>
      <c r="L289" s="46"/>
      <c r="M289" s="46"/>
      <c r="N289" s="46"/>
      <c r="O289" s="46"/>
      <c r="P289" s="46"/>
      <c r="Q289" s="46"/>
      <c r="R289" s="46"/>
      <c r="S289" s="46"/>
      <c r="T289" s="46"/>
      <c r="U289" s="46"/>
      <c r="V289" s="46"/>
      <c r="W289" s="46"/>
    </row>
    <row r="290">
      <c r="A290" s="55"/>
      <c r="B290" s="214"/>
      <c r="C290" s="55"/>
      <c r="D290" s="214"/>
      <c r="E290" s="122"/>
      <c r="F290" s="219"/>
      <c r="G290" s="122"/>
      <c r="H290" s="214"/>
      <c r="I290" s="220"/>
      <c r="J290" s="46"/>
      <c r="K290" s="46"/>
      <c r="L290" s="46"/>
      <c r="M290" s="46"/>
      <c r="N290" s="46"/>
      <c r="O290" s="46"/>
      <c r="P290" s="46"/>
      <c r="Q290" s="46"/>
      <c r="R290" s="46"/>
      <c r="S290" s="46"/>
      <c r="T290" s="46"/>
      <c r="U290" s="46"/>
      <c r="V290" s="46"/>
      <c r="W290" s="46"/>
    </row>
    <row r="291">
      <c r="A291" s="55"/>
      <c r="B291" s="214"/>
      <c r="C291" s="55"/>
      <c r="D291" s="214"/>
      <c r="E291" s="122"/>
      <c r="F291" s="219"/>
      <c r="G291" s="122"/>
      <c r="H291" s="214"/>
      <c r="I291" s="220"/>
      <c r="J291" s="46"/>
      <c r="K291" s="46"/>
      <c r="L291" s="46"/>
      <c r="M291" s="46"/>
      <c r="N291" s="46"/>
      <c r="O291" s="46"/>
      <c r="P291" s="46"/>
      <c r="Q291" s="46"/>
      <c r="R291" s="46"/>
      <c r="S291" s="46"/>
      <c r="T291" s="46"/>
      <c r="U291" s="46"/>
      <c r="V291" s="46"/>
      <c r="W291" s="46"/>
    </row>
    <row r="292">
      <c r="A292" s="55"/>
      <c r="B292" s="214"/>
      <c r="C292" s="55"/>
      <c r="D292" s="214"/>
      <c r="E292" s="122"/>
      <c r="F292" s="219"/>
      <c r="G292" s="122"/>
      <c r="H292" s="214"/>
      <c r="I292" s="220"/>
      <c r="J292" s="46"/>
      <c r="K292" s="46"/>
      <c r="L292" s="46"/>
      <c r="M292" s="46"/>
      <c r="N292" s="46"/>
      <c r="O292" s="46"/>
      <c r="P292" s="46"/>
      <c r="Q292" s="46"/>
      <c r="R292" s="46"/>
      <c r="S292" s="46"/>
      <c r="T292" s="46"/>
      <c r="U292" s="46"/>
      <c r="V292" s="46"/>
      <c r="W292" s="46"/>
    </row>
    <row r="293">
      <c r="A293" s="55"/>
      <c r="B293" s="214"/>
      <c r="C293" s="55"/>
      <c r="D293" s="214"/>
      <c r="E293" s="122"/>
      <c r="F293" s="219"/>
      <c r="G293" s="122"/>
      <c r="H293" s="214"/>
      <c r="I293" s="220"/>
      <c r="J293" s="46"/>
      <c r="K293" s="46"/>
      <c r="L293" s="46"/>
      <c r="M293" s="46"/>
      <c r="N293" s="46"/>
      <c r="O293" s="46"/>
      <c r="P293" s="46"/>
      <c r="Q293" s="46"/>
      <c r="R293" s="46"/>
      <c r="S293" s="46"/>
      <c r="T293" s="46"/>
      <c r="U293" s="46"/>
      <c r="V293" s="46"/>
      <c r="W293" s="46"/>
    </row>
    <row r="294">
      <c r="A294" s="55"/>
      <c r="B294" s="214"/>
      <c r="C294" s="55"/>
      <c r="D294" s="214"/>
      <c r="E294" s="122"/>
      <c r="F294" s="219"/>
      <c r="G294" s="122"/>
      <c r="H294" s="214"/>
      <c r="I294" s="220"/>
      <c r="J294" s="46"/>
      <c r="K294" s="46"/>
      <c r="L294" s="46"/>
      <c r="M294" s="46"/>
      <c r="N294" s="46"/>
      <c r="O294" s="46"/>
      <c r="P294" s="46"/>
      <c r="Q294" s="46"/>
      <c r="R294" s="46"/>
      <c r="S294" s="46"/>
      <c r="T294" s="46"/>
      <c r="U294" s="46"/>
      <c r="V294" s="46"/>
      <c r="W294" s="46"/>
    </row>
    <row r="295">
      <c r="A295" s="55"/>
      <c r="B295" s="214"/>
      <c r="C295" s="55"/>
      <c r="D295" s="214"/>
      <c r="E295" s="122"/>
      <c r="F295" s="219"/>
      <c r="G295" s="122"/>
      <c r="H295" s="214"/>
      <c r="I295" s="220"/>
      <c r="J295" s="46"/>
      <c r="K295" s="46"/>
      <c r="L295" s="46"/>
      <c r="M295" s="46"/>
      <c r="N295" s="46"/>
      <c r="O295" s="46"/>
      <c r="P295" s="46"/>
      <c r="Q295" s="46"/>
      <c r="R295" s="46"/>
      <c r="S295" s="46"/>
      <c r="T295" s="46"/>
      <c r="U295" s="46"/>
      <c r="V295" s="46"/>
      <c r="W295" s="46"/>
    </row>
    <row r="296">
      <c r="A296" s="55"/>
      <c r="B296" s="214"/>
      <c r="C296" s="55"/>
      <c r="D296" s="214"/>
      <c r="E296" s="122"/>
      <c r="F296" s="219"/>
      <c r="G296" s="122"/>
      <c r="H296" s="214"/>
      <c r="I296" s="220"/>
      <c r="J296" s="46"/>
      <c r="K296" s="46"/>
      <c r="L296" s="46"/>
      <c r="M296" s="46"/>
      <c r="N296" s="46"/>
      <c r="O296" s="46"/>
      <c r="P296" s="46"/>
      <c r="Q296" s="46"/>
      <c r="R296" s="46"/>
      <c r="S296" s="46"/>
      <c r="T296" s="46"/>
      <c r="U296" s="46"/>
      <c r="V296" s="46"/>
      <c r="W296" s="46"/>
    </row>
    <row r="297">
      <c r="A297" s="55"/>
      <c r="B297" s="214"/>
      <c r="C297" s="55"/>
      <c r="D297" s="214"/>
      <c r="E297" s="122"/>
      <c r="F297" s="219"/>
      <c r="G297" s="122"/>
      <c r="H297" s="214"/>
      <c r="I297" s="220"/>
      <c r="J297" s="46"/>
      <c r="K297" s="46"/>
      <c r="L297" s="46"/>
      <c r="M297" s="46"/>
      <c r="N297" s="46"/>
      <c r="O297" s="46"/>
      <c r="P297" s="46"/>
      <c r="Q297" s="46"/>
      <c r="R297" s="46"/>
      <c r="S297" s="46"/>
      <c r="T297" s="46"/>
      <c r="U297" s="46"/>
      <c r="V297" s="46"/>
      <c r="W297" s="46"/>
    </row>
    <row r="298">
      <c r="A298" s="55"/>
      <c r="B298" s="214"/>
      <c r="C298" s="55"/>
      <c r="D298" s="214"/>
      <c r="E298" s="122"/>
      <c r="F298" s="219"/>
      <c r="G298" s="122"/>
      <c r="H298" s="214"/>
      <c r="I298" s="220"/>
      <c r="J298" s="46"/>
      <c r="K298" s="46"/>
      <c r="L298" s="46"/>
      <c r="M298" s="46"/>
      <c r="N298" s="46"/>
      <c r="O298" s="46"/>
      <c r="P298" s="46"/>
      <c r="Q298" s="46"/>
      <c r="R298" s="46"/>
      <c r="S298" s="46"/>
      <c r="T298" s="46"/>
      <c r="U298" s="46"/>
      <c r="V298" s="46"/>
      <c r="W298" s="46"/>
    </row>
    <row r="299">
      <c r="A299" s="55"/>
      <c r="B299" s="214"/>
      <c r="C299" s="55"/>
      <c r="D299" s="214"/>
      <c r="E299" s="122"/>
      <c r="F299" s="219"/>
      <c r="G299" s="122"/>
      <c r="H299" s="214"/>
      <c r="I299" s="220"/>
      <c r="J299" s="46"/>
      <c r="K299" s="46"/>
      <c r="L299" s="46"/>
      <c r="M299" s="46"/>
      <c r="N299" s="46"/>
      <c r="O299" s="46"/>
      <c r="P299" s="46"/>
      <c r="Q299" s="46"/>
      <c r="R299" s="46"/>
      <c r="S299" s="46"/>
      <c r="T299" s="46"/>
      <c r="U299" s="46"/>
      <c r="V299" s="46"/>
      <c r="W299" s="46"/>
    </row>
    <row r="300">
      <c r="A300" s="55"/>
      <c r="B300" s="214"/>
      <c r="C300" s="55"/>
      <c r="D300" s="214"/>
      <c r="E300" s="122"/>
      <c r="F300" s="219"/>
      <c r="G300" s="122"/>
      <c r="H300" s="214"/>
      <c r="I300" s="220"/>
      <c r="J300" s="46"/>
      <c r="K300" s="46"/>
      <c r="L300" s="46"/>
      <c r="M300" s="46"/>
      <c r="N300" s="46"/>
      <c r="O300" s="46"/>
      <c r="P300" s="46"/>
      <c r="Q300" s="46"/>
      <c r="R300" s="46"/>
      <c r="S300" s="46"/>
      <c r="T300" s="46"/>
      <c r="U300" s="46"/>
      <c r="V300" s="46"/>
      <c r="W300" s="46"/>
    </row>
    <row r="301">
      <c r="A301" s="55"/>
      <c r="B301" s="214"/>
      <c r="C301" s="55"/>
      <c r="D301" s="214"/>
      <c r="E301" s="122"/>
      <c r="F301" s="219"/>
      <c r="G301" s="122"/>
      <c r="H301" s="214"/>
      <c r="I301" s="220"/>
      <c r="J301" s="46"/>
      <c r="K301" s="46"/>
      <c r="L301" s="46"/>
      <c r="M301" s="46"/>
      <c r="N301" s="46"/>
      <c r="O301" s="46"/>
      <c r="P301" s="46"/>
      <c r="Q301" s="46"/>
      <c r="R301" s="46"/>
      <c r="S301" s="46"/>
      <c r="T301" s="46"/>
      <c r="U301" s="46"/>
      <c r="V301" s="46"/>
      <c r="W301" s="46"/>
    </row>
    <row r="302">
      <c r="A302" s="55"/>
      <c r="B302" s="214"/>
      <c r="C302" s="55"/>
      <c r="D302" s="214"/>
      <c r="E302" s="122"/>
      <c r="F302" s="219"/>
      <c r="G302" s="122"/>
      <c r="H302" s="214"/>
      <c r="I302" s="220"/>
      <c r="J302" s="46"/>
      <c r="K302" s="46"/>
      <c r="L302" s="46"/>
      <c r="M302" s="46"/>
      <c r="N302" s="46"/>
      <c r="O302" s="46"/>
      <c r="P302" s="46"/>
      <c r="Q302" s="46"/>
      <c r="R302" s="46"/>
      <c r="S302" s="46"/>
      <c r="T302" s="46"/>
      <c r="U302" s="46"/>
      <c r="V302" s="46"/>
      <c r="W302" s="46"/>
    </row>
    <row r="303">
      <c r="A303" s="55"/>
      <c r="B303" s="214"/>
      <c r="C303" s="55"/>
      <c r="D303" s="214"/>
      <c r="E303" s="122"/>
      <c r="F303" s="219"/>
      <c r="G303" s="122"/>
      <c r="H303" s="214"/>
      <c r="I303" s="220"/>
      <c r="J303" s="46"/>
      <c r="K303" s="46"/>
      <c r="L303" s="46"/>
      <c r="M303" s="46"/>
      <c r="N303" s="46"/>
      <c r="O303" s="46"/>
      <c r="P303" s="46"/>
      <c r="Q303" s="46"/>
      <c r="R303" s="46"/>
      <c r="S303" s="46"/>
      <c r="T303" s="46"/>
      <c r="U303" s="46"/>
      <c r="V303" s="46"/>
      <c r="W303" s="46"/>
    </row>
    <row r="304">
      <c r="A304" s="55"/>
      <c r="B304" s="214"/>
      <c r="C304" s="55"/>
      <c r="D304" s="214"/>
      <c r="E304" s="122"/>
      <c r="F304" s="219"/>
      <c r="G304" s="122"/>
      <c r="H304" s="214"/>
      <c r="I304" s="220"/>
      <c r="J304" s="46"/>
      <c r="K304" s="46"/>
      <c r="L304" s="46"/>
      <c r="M304" s="46"/>
      <c r="N304" s="46"/>
      <c r="O304" s="46"/>
      <c r="P304" s="46"/>
      <c r="Q304" s="46"/>
      <c r="R304" s="46"/>
      <c r="S304" s="46"/>
      <c r="T304" s="46"/>
      <c r="U304" s="46"/>
      <c r="V304" s="46"/>
      <c r="W304" s="46"/>
    </row>
    <row r="305">
      <c r="A305" s="55"/>
      <c r="B305" s="214"/>
      <c r="C305" s="55"/>
      <c r="D305" s="214"/>
      <c r="E305" s="122"/>
      <c r="F305" s="219"/>
      <c r="G305" s="122"/>
      <c r="H305" s="214"/>
      <c r="I305" s="220"/>
      <c r="J305" s="46"/>
      <c r="K305" s="46"/>
      <c r="L305" s="46"/>
      <c r="M305" s="46"/>
      <c r="N305" s="46"/>
      <c r="O305" s="46"/>
      <c r="P305" s="46"/>
      <c r="Q305" s="46"/>
      <c r="R305" s="46"/>
      <c r="S305" s="46"/>
      <c r="T305" s="46"/>
      <c r="U305" s="46"/>
      <c r="V305" s="46"/>
      <c r="W305" s="46"/>
    </row>
    <row r="306">
      <c r="A306" s="55"/>
      <c r="B306" s="214"/>
      <c r="C306" s="55"/>
      <c r="D306" s="214"/>
      <c r="E306" s="122"/>
      <c r="F306" s="219"/>
      <c r="G306" s="122"/>
      <c r="H306" s="214"/>
      <c r="I306" s="220"/>
      <c r="J306" s="46"/>
      <c r="K306" s="46"/>
      <c r="L306" s="46"/>
      <c r="M306" s="46"/>
      <c r="N306" s="46"/>
      <c r="O306" s="46"/>
      <c r="P306" s="46"/>
      <c r="Q306" s="46"/>
      <c r="R306" s="46"/>
      <c r="S306" s="46"/>
      <c r="T306" s="46"/>
      <c r="U306" s="46"/>
      <c r="V306" s="46"/>
      <c r="W306" s="46"/>
    </row>
    <row r="307">
      <c r="A307" s="55"/>
      <c r="B307" s="214"/>
      <c r="C307" s="55"/>
      <c r="D307" s="214"/>
      <c r="E307" s="122"/>
      <c r="F307" s="219"/>
      <c r="G307" s="122"/>
      <c r="H307" s="214"/>
      <c r="I307" s="220"/>
      <c r="J307" s="46"/>
      <c r="K307" s="46"/>
      <c r="L307" s="46"/>
      <c r="M307" s="46"/>
      <c r="N307" s="46"/>
      <c r="O307" s="46"/>
      <c r="P307" s="46"/>
      <c r="Q307" s="46"/>
      <c r="R307" s="46"/>
      <c r="S307" s="46"/>
      <c r="T307" s="46"/>
      <c r="U307" s="46"/>
      <c r="V307" s="46"/>
      <c r="W307" s="46"/>
    </row>
    <row r="308">
      <c r="A308" s="55"/>
      <c r="B308" s="214"/>
      <c r="C308" s="55"/>
      <c r="D308" s="214"/>
      <c r="E308" s="122"/>
      <c r="F308" s="219"/>
      <c r="G308" s="122"/>
      <c r="H308" s="214"/>
      <c r="I308" s="220"/>
      <c r="J308" s="46"/>
      <c r="K308" s="46"/>
      <c r="L308" s="46"/>
      <c r="M308" s="46"/>
      <c r="N308" s="46"/>
      <c r="O308" s="46"/>
      <c r="P308" s="46"/>
      <c r="Q308" s="46"/>
      <c r="R308" s="46"/>
      <c r="S308" s="46"/>
      <c r="T308" s="46"/>
      <c r="U308" s="46"/>
      <c r="V308" s="46"/>
      <c r="W308" s="46"/>
    </row>
    <row r="309">
      <c r="A309" s="55"/>
      <c r="B309" s="214"/>
      <c r="C309" s="55"/>
      <c r="D309" s="214"/>
      <c r="E309" s="122"/>
      <c r="F309" s="219"/>
      <c r="G309" s="122"/>
      <c r="H309" s="214"/>
      <c r="I309" s="220"/>
      <c r="J309" s="46"/>
      <c r="K309" s="46"/>
      <c r="L309" s="46"/>
      <c r="M309" s="46"/>
      <c r="N309" s="46"/>
      <c r="O309" s="46"/>
      <c r="P309" s="46"/>
      <c r="Q309" s="46"/>
      <c r="R309" s="46"/>
      <c r="S309" s="46"/>
      <c r="T309" s="46"/>
      <c r="U309" s="46"/>
      <c r="V309" s="46"/>
      <c r="W309" s="46"/>
    </row>
    <row r="310">
      <c r="A310" s="55"/>
      <c r="B310" s="214"/>
      <c r="C310" s="55"/>
      <c r="D310" s="214"/>
      <c r="E310" s="122"/>
      <c r="F310" s="219"/>
      <c r="G310" s="122"/>
      <c r="H310" s="214"/>
      <c r="I310" s="220"/>
      <c r="J310" s="46"/>
      <c r="K310" s="46"/>
      <c r="L310" s="46"/>
      <c r="M310" s="46"/>
      <c r="N310" s="46"/>
      <c r="O310" s="46"/>
      <c r="P310" s="46"/>
      <c r="Q310" s="46"/>
      <c r="R310" s="46"/>
      <c r="S310" s="46"/>
      <c r="T310" s="46"/>
      <c r="U310" s="46"/>
      <c r="V310" s="46"/>
      <c r="W310" s="46"/>
    </row>
    <row r="311">
      <c r="A311" s="55"/>
      <c r="B311" s="214"/>
      <c r="C311" s="55"/>
      <c r="D311" s="214"/>
      <c r="E311" s="122"/>
      <c r="F311" s="219"/>
      <c r="G311" s="122"/>
      <c r="H311" s="214"/>
      <c r="I311" s="220"/>
      <c r="J311" s="46"/>
      <c r="K311" s="46"/>
      <c r="L311" s="46"/>
      <c r="M311" s="46"/>
      <c r="N311" s="46"/>
      <c r="O311" s="46"/>
      <c r="P311" s="46"/>
      <c r="Q311" s="46"/>
      <c r="R311" s="46"/>
      <c r="S311" s="46"/>
      <c r="T311" s="46"/>
      <c r="U311" s="46"/>
      <c r="V311" s="46"/>
      <c r="W311" s="46"/>
    </row>
    <row r="312">
      <c r="A312" s="55"/>
      <c r="B312" s="214"/>
      <c r="C312" s="55"/>
      <c r="D312" s="214"/>
      <c r="E312" s="122"/>
      <c r="F312" s="219"/>
      <c r="G312" s="122"/>
      <c r="H312" s="214"/>
      <c r="I312" s="220"/>
      <c r="J312" s="46"/>
      <c r="K312" s="46"/>
      <c r="L312" s="46"/>
      <c r="M312" s="46"/>
      <c r="N312" s="46"/>
      <c r="O312" s="46"/>
      <c r="P312" s="46"/>
      <c r="Q312" s="46"/>
      <c r="R312" s="46"/>
      <c r="S312" s="46"/>
      <c r="T312" s="46"/>
      <c r="U312" s="46"/>
      <c r="V312" s="46"/>
      <c r="W312" s="46"/>
    </row>
    <row r="313">
      <c r="A313" s="55"/>
      <c r="B313" s="214"/>
      <c r="C313" s="55"/>
      <c r="D313" s="214"/>
      <c r="E313" s="122"/>
      <c r="F313" s="219"/>
      <c r="G313" s="122"/>
      <c r="H313" s="214"/>
      <c r="I313" s="220"/>
      <c r="J313" s="46"/>
      <c r="K313" s="46"/>
      <c r="L313" s="46"/>
      <c r="M313" s="46"/>
      <c r="N313" s="46"/>
      <c r="O313" s="46"/>
      <c r="P313" s="46"/>
      <c r="Q313" s="46"/>
      <c r="R313" s="46"/>
      <c r="S313" s="46"/>
      <c r="T313" s="46"/>
      <c r="U313" s="46"/>
      <c r="V313" s="46"/>
      <c r="W313" s="46"/>
    </row>
    <row r="314">
      <c r="A314" s="55"/>
      <c r="B314" s="214"/>
      <c r="C314" s="55"/>
      <c r="D314" s="214"/>
      <c r="E314" s="122"/>
      <c r="F314" s="219"/>
      <c r="G314" s="122"/>
      <c r="H314" s="214"/>
      <c r="I314" s="220"/>
      <c r="J314" s="46"/>
      <c r="K314" s="46"/>
      <c r="L314" s="46"/>
      <c r="M314" s="46"/>
      <c r="N314" s="46"/>
      <c r="O314" s="46"/>
      <c r="P314" s="46"/>
      <c r="Q314" s="46"/>
      <c r="R314" s="46"/>
      <c r="S314" s="46"/>
      <c r="T314" s="46"/>
      <c r="U314" s="46"/>
      <c r="V314" s="46"/>
      <c r="W314" s="46"/>
    </row>
    <row r="315">
      <c r="A315" s="55"/>
      <c r="B315" s="214"/>
      <c r="C315" s="55"/>
      <c r="D315" s="214"/>
      <c r="E315" s="122"/>
      <c r="F315" s="219"/>
      <c r="G315" s="122"/>
      <c r="H315" s="214"/>
      <c r="I315" s="220"/>
      <c r="J315" s="46"/>
      <c r="K315" s="46"/>
      <c r="L315" s="46"/>
      <c r="M315" s="46"/>
      <c r="N315" s="46"/>
      <c r="O315" s="46"/>
      <c r="P315" s="46"/>
      <c r="Q315" s="46"/>
      <c r="R315" s="46"/>
      <c r="S315" s="46"/>
      <c r="T315" s="46"/>
      <c r="U315" s="46"/>
      <c r="V315" s="46"/>
      <c r="W315" s="46"/>
    </row>
    <row r="316">
      <c r="A316" s="55"/>
      <c r="B316" s="214"/>
      <c r="C316" s="55"/>
      <c r="D316" s="214"/>
      <c r="E316" s="122"/>
      <c r="F316" s="219"/>
      <c r="G316" s="122"/>
      <c r="H316" s="214"/>
      <c r="I316" s="220"/>
      <c r="J316" s="46"/>
      <c r="K316" s="46"/>
      <c r="L316" s="46"/>
      <c r="M316" s="46"/>
      <c r="N316" s="46"/>
      <c r="O316" s="46"/>
      <c r="P316" s="46"/>
      <c r="Q316" s="46"/>
      <c r="R316" s="46"/>
      <c r="S316" s="46"/>
      <c r="T316" s="46"/>
      <c r="U316" s="46"/>
      <c r="V316" s="46"/>
      <c r="W316" s="46"/>
    </row>
    <row r="317">
      <c r="A317" s="55"/>
      <c r="B317" s="214"/>
      <c r="C317" s="55"/>
      <c r="D317" s="214"/>
      <c r="E317" s="122"/>
      <c r="F317" s="219"/>
      <c r="G317" s="122"/>
      <c r="H317" s="214"/>
      <c r="I317" s="220"/>
      <c r="J317" s="46"/>
      <c r="K317" s="46"/>
      <c r="L317" s="46"/>
      <c r="M317" s="46"/>
      <c r="N317" s="46"/>
      <c r="O317" s="46"/>
      <c r="P317" s="46"/>
      <c r="Q317" s="46"/>
      <c r="R317" s="46"/>
      <c r="S317" s="46"/>
      <c r="T317" s="46"/>
      <c r="U317" s="46"/>
      <c r="V317" s="46"/>
      <c r="W317" s="46"/>
    </row>
    <row r="318">
      <c r="A318" s="55"/>
      <c r="B318" s="214"/>
      <c r="C318" s="55"/>
      <c r="D318" s="214"/>
      <c r="E318" s="122"/>
      <c r="F318" s="219"/>
      <c r="G318" s="122"/>
      <c r="H318" s="214"/>
      <c r="I318" s="220"/>
      <c r="J318" s="46"/>
      <c r="K318" s="46"/>
      <c r="L318" s="46"/>
      <c r="M318" s="46"/>
      <c r="N318" s="46"/>
      <c r="O318" s="46"/>
      <c r="P318" s="46"/>
      <c r="Q318" s="46"/>
      <c r="R318" s="46"/>
      <c r="S318" s="46"/>
      <c r="T318" s="46"/>
      <c r="U318" s="46"/>
      <c r="V318" s="46"/>
      <c r="W318" s="46"/>
    </row>
    <row r="319">
      <c r="A319" s="55"/>
      <c r="B319" s="214"/>
      <c r="C319" s="55"/>
      <c r="D319" s="214"/>
      <c r="E319" s="122"/>
      <c r="F319" s="219"/>
      <c r="G319" s="122"/>
      <c r="H319" s="214"/>
      <c r="I319" s="220"/>
      <c r="J319" s="46"/>
      <c r="K319" s="46"/>
      <c r="L319" s="46"/>
      <c r="M319" s="46"/>
      <c r="N319" s="46"/>
      <c r="O319" s="46"/>
      <c r="P319" s="46"/>
      <c r="Q319" s="46"/>
      <c r="R319" s="46"/>
      <c r="S319" s="46"/>
      <c r="T319" s="46"/>
      <c r="U319" s="46"/>
      <c r="V319" s="46"/>
      <c r="W319" s="46"/>
    </row>
    <row r="320">
      <c r="A320" s="55"/>
      <c r="B320" s="214"/>
      <c r="C320" s="55"/>
      <c r="D320" s="214"/>
      <c r="E320" s="122"/>
      <c r="F320" s="219"/>
      <c r="G320" s="122"/>
      <c r="H320" s="214"/>
      <c r="I320" s="220"/>
      <c r="J320" s="46"/>
      <c r="K320" s="46"/>
      <c r="L320" s="46"/>
      <c r="M320" s="46"/>
      <c r="N320" s="46"/>
      <c r="O320" s="46"/>
      <c r="P320" s="46"/>
      <c r="Q320" s="46"/>
      <c r="R320" s="46"/>
      <c r="S320" s="46"/>
      <c r="T320" s="46"/>
      <c r="U320" s="46"/>
      <c r="V320" s="46"/>
      <c r="W320" s="46"/>
    </row>
    <row r="321">
      <c r="A321" s="55"/>
      <c r="B321" s="214"/>
      <c r="C321" s="55"/>
      <c r="D321" s="214"/>
      <c r="E321" s="122"/>
      <c r="F321" s="219"/>
      <c r="G321" s="122"/>
      <c r="H321" s="214"/>
      <c r="I321" s="220"/>
      <c r="J321" s="46"/>
      <c r="K321" s="46"/>
      <c r="L321" s="46"/>
      <c r="M321" s="46"/>
      <c r="N321" s="46"/>
      <c r="O321" s="46"/>
      <c r="P321" s="46"/>
      <c r="Q321" s="46"/>
      <c r="R321" s="46"/>
      <c r="S321" s="46"/>
      <c r="T321" s="46"/>
      <c r="U321" s="46"/>
      <c r="V321" s="46"/>
      <c r="W321" s="46"/>
    </row>
    <row r="322">
      <c r="A322" s="55"/>
      <c r="B322" s="214"/>
      <c r="C322" s="55"/>
      <c r="D322" s="214"/>
      <c r="E322" s="122"/>
      <c r="F322" s="219"/>
      <c r="G322" s="122"/>
      <c r="H322" s="214"/>
      <c r="I322" s="220"/>
      <c r="J322" s="46"/>
      <c r="K322" s="46"/>
      <c r="L322" s="46"/>
      <c r="M322" s="46"/>
      <c r="N322" s="46"/>
      <c r="O322" s="46"/>
      <c r="P322" s="46"/>
      <c r="Q322" s="46"/>
      <c r="R322" s="46"/>
      <c r="S322" s="46"/>
      <c r="T322" s="46"/>
      <c r="U322" s="46"/>
      <c r="V322" s="46"/>
      <c r="W322" s="46"/>
    </row>
    <row r="323">
      <c r="A323" s="55"/>
      <c r="B323" s="214"/>
      <c r="C323" s="55"/>
      <c r="D323" s="214"/>
      <c r="E323" s="122"/>
      <c r="F323" s="219"/>
      <c r="G323" s="122"/>
      <c r="H323" s="214"/>
      <c r="I323" s="220"/>
      <c r="J323" s="46"/>
      <c r="K323" s="46"/>
      <c r="L323" s="46"/>
      <c r="M323" s="46"/>
      <c r="N323" s="46"/>
      <c r="O323" s="46"/>
      <c r="P323" s="46"/>
      <c r="Q323" s="46"/>
      <c r="R323" s="46"/>
      <c r="S323" s="46"/>
      <c r="T323" s="46"/>
      <c r="U323" s="46"/>
      <c r="V323" s="46"/>
      <c r="W323" s="46"/>
    </row>
    <row r="324">
      <c r="A324" s="55"/>
      <c r="B324" s="214"/>
      <c r="C324" s="55"/>
      <c r="D324" s="214"/>
      <c r="E324" s="122"/>
      <c r="F324" s="219"/>
      <c r="G324" s="122"/>
      <c r="H324" s="214"/>
      <c r="I324" s="220"/>
      <c r="J324" s="46"/>
      <c r="K324" s="46"/>
      <c r="L324" s="46"/>
      <c r="M324" s="46"/>
      <c r="N324" s="46"/>
      <c r="O324" s="46"/>
      <c r="P324" s="46"/>
      <c r="Q324" s="46"/>
      <c r="R324" s="46"/>
      <c r="S324" s="46"/>
      <c r="T324" s="46"/>
      <c r="U324" s="46"/>
      <c r="V324" s="46"/>
      <c r="W324" s="46"/>
    </row>
    <row r="325">
      <c r="A325" s="55"/>
      <c r="B325" s="214"/>
      <c r="C325" s="55"/>
      <c r="D325" s="214"/>
      <c r="E325" s="122"/>
      <c r="F325" s="219"/>
      <c r="G325" s="122"/>
      <c r="H325" s="214"/>
      <c r="I325" s="220"/>
      <c r="J325" s="46"/>
      <c r="K325" s="46"/>
      <c r="L325" s="46"/>
      <c r="M325" s="46"/>
      <c r="N325" s="46"/>
      <c r="O325" s="46"/>
      <c r="P325" s="46"/>
      <c r="Q325" s="46"/>
      <c r="R325" s="46"/>
      <c r="S325" s="46"/>
      <c r="T325" s="46"/>
      <c r="U325" s="46"/>
      <c r="V325" s="46"/>
      <c r="W325" s="46"/>
    </row>
    <row r="326">
      <c r="A326" s="55"/>
      <c r="B326" s="214"/>
      <c r="C326" s="55"/>
      <c r="D326" s="214"/>
      <c r="E326" s="122"/>
      <c r="F326" s="219"/>
      <c r="G326" s="122"/>
      <c r="H326" s="214"/>
      <c r="I326" s="220"/>
      <c r="J326" s="46"/>
      <c r="K326" s="46"/>
      <c r="L326" s="46"/>
      <c r="M326" s="46"/>
      <c r="N326" s="46"/>
      <c r="O326" s="46"/>
      <c r="P326" s="46"/>
      <c r="Q326" s="46"/>
      <c r="R326" s="46"/>
      <c r="S326" s="46"/>
      <c r="T326" s="46"/>
      <c r="U326" s="46"/>
      <c r="V326" s="46"/>
      <c r="W326" s="46"/>
    </row>
    <row r="327">
      <c r="A327" s="55"/>
      <c r="B327" s="214"/>
      <c r="C327" s="55"/>
      <c r="D327" s="214"/>
      <c r="E327" s="122"/>
      <c r="F327" s="219"/>
      <c r="G327" s="122"/>
      <c r="H327" s="214"/>
      <c r="I327" s="220"/>
      <c r="J327" s="46"/>
      <c r="K327" s="46"/>
      <c r="L327" s="46"/>
      <c r="M327" s="46"/>
      <c r="N327" s="46"/>
      <c r="O327" s="46"/>
      <c r="P327" s="46"/>
      <c r="Q327" s="46"/>
      <c r="R327" s="46"/>
      <c r="S327" s="46"/>
      <c r="T327" s="46"/>
      <c r="U327" s="46"/>
      <c r="V327" s="46"/>
      <c r="W327" s="46"/>
    </row>
    <row r="328">
      <c r="A328" s="55"/>
      <c r="B328" s="214"/>
      <c r="C328" s="55"/>
      <c r="D328" s="214"/>
      <c r="E328" s="122"/>
      <c r="F328" s="219"/>
      <c r="G328" s="122"/>
      <c r="H328" s="214"/>
      <c r="I328" s="220"/>
      <c r="J328" s="46"/>
      <c r="K328" s="46"/>
      <c r="L328" s="46"/>
      <c r="M328" s="46"/>
      <c r="N328" s="46"/>
      <c r="O328" s="46"/>
      <c r="P328" s="46"/>
      <c r="Q328" s="46"/>
      <c r="R328" s="46"/>
      <c r="S328" s="46"/>
      <c r="T328" s="46"/>
      <c r="U328" s="46"/>
      <c r="V328" s="46"/>
      <c r="W328" s="46"/>
    </row>
    <row r="329">
      <c r="A329" s="55"/>
      <c r="B329" s="214"/>
      <c r="C329" s="55"/>
      <c r="D329" s="214"/>
      <c r="E329" s="122"/>
      <c r="F329" s="219"/>
      <c r="G329" s="122"/>
      <c r="H329" s="214"/>
      <c r="I329" s="220"/>
      <c r="J329" s="46"/>
      <c r="K329" s="46"/>
      <c r="L329" s="46"/>
      <c r="M329" s="46"/>
      <c r="N329" s="46"/>
      <c r="O329" s="46"/>
      <c r="P329" s="46"/>
      <c r="Q329" s="46"/>
      <c r="R329" s="46"/>
      <c r="S329" s="46"/>
      <c r="T329" s="46"/>
      <c r="U329" s="46"/>
      <c r="V329" s="46"/>
      <c r="W329" s="46"/>
    </row>
    <row r="330">
      <c r="A330" s="55"/>
      <c r="B330" s="214"/>
      <c r="C330" s="55"/>
      <c r="D330" s="214"/>
      <c r="E330" s="122"/>
      <c r="F330" s="219"/>
      <c r="G330" s="122"/>
      <c r="H330" s="214"/>
      <c r="I330" s="220"/>
      <c r="J330" s="46"/>
      <c r="K330" s="46"/>
      <c r="L330" s="46"/>
      <c r="M330" s="46"/>
      <c r="N330" s="46"/>
      <c r="O330" s="46"/>
      <c r="P330" s="46"/>
      <c r="Q330" s="46"/>
      <c r="R330" s="46"/>
      <c r="S330" s="46"/>
      <c r="T330" s="46"/>
      <c r="U330" s="46"/>
      <c r="V330" s="46"/>
      <c r="W330" s="46"/>
    </row>
    <row r="331">
      <c r="A331" s="55"/>
      <c r="B331" s="214"/>
      <c r="C331" s="55"/>
      <c r="D331" s="214"/>
      <c r="E331" s="122"/>
      <c r="F331" s="219"/>
      <c r="G331" s="122"/>
      <c r="H331" s="214"/>
      <c r="I331" s="220"/>
      <c r="J331" s="46"/>
      <c r="K331" s="46"/>
      <c r="L331" s="46"/>
      <c r="M331" s="46"/>
      <c r="N331" s="46"/>
      <c r="O331" s="46"/>
      <c r="P331" s="46"/>
      <c r="Q331" s="46"/>
      <c r="R331" s="46"/>
      <c r="S331" s="46"/>
      <c r="T331" s="46"/>
      <c r="U331" s="46"/>
      <c r="V331" s="46"/>
      <c r="W331" s="46"/>
    </row>
    <row r="332">
      <c r="A332" s="55"/>
      <c r="B332" s="214"/>
      <c r="C332" s="55"/>
      <c r="D332" s="214"/>
      <c r="E332" s="122"/>
      <c r="F332" s="219"/>
      <c r="G332" s="122"/>
      <c r="H332" s="214"/>
      <c r="I332" s="220"/>
      <c r="J332" s="46"/>
      <c r="K332" s="46"/>
      <c r="L332" s="46"/>
      <c r="M332" s="46"/>
      <c r="N332" s="46"/>
      <c r="O332" s="46"/>
      <c r="P332" s="46"/>
      <c r="Q332" s="46"/>
      <c r="R332" s="46"/>
      <c r="S332" s="46"/>
      <c r="T332" s="46"/>
      <c r="U332" s="46"/>
      <c r="V332" s="46"/>
      <c r="W332" s="46"/>
    </row>
    <row r="333">
      <c r="A333" s="55"/>
      <c r="B333" s="214"/>
      <c r="C333" s="55"/>
      <c r="D333" s="214"/>
      <c r="E333" s="122"/>
      <c r="F333" s="219"/>
      <c r="G333" s="122"/>
      <c r="H333" s="214"/>
      <c r="I333" s="220"/>
      <c r="J333" s="46"/>
      <c r="K333" s="46"/>
      <c r="L333" s="46"/>
      <c r="M333" s="46"/>
      <c r="N333" s="46"/>
      <c r="O333" s="46"/>
      <c r="P333" s="46"/>
      <c r="Q333" s="46"/>
      <c r="R333" s="46"/>
      <c r="S333" s="46"/>
      <c r="T333" s="46"/>
      <c r="U333" s="46"/>
      <c r="V333" s="46"/>
      <c r="W333" s="46"/>
    </row>
    <row r="334">
      <c r="A334" s="55"/>
      <c r="B334" s="214"/>
      <c r="C334" s="55"/>
      <c r="D334" s="214"/>
      <c r="E334" s="122"/>
      <c r="F334" s="219"/>
      <c r="G334" s="122"/>
      <c r="H334" s="214"/>
      <c r="I334" s="220"/>
      <c r="J334" s="46"/>
      <c r="K334" s="46"/>
      <c r="L334" s="46"/>
      <c r="M334" s="46"/>
      <c r="N334" s="46"/>
      <c r="O334" s="46"/>
      <c r="P334" s="46"/>
      <c r="Q334" s="46"/>
      <c r="R334" s="46"/>
      <c r="S334" s="46"/>
      <c r="T334" s="46"/>
      <c r="U334" s="46"/>
      <c r="V334" s="46"/>
      <c r="W334" s="46"/>
    </row>
    <row r="335">
      <c r="A335" s="55"/>
      <c r="B335" s="214"/>
      <c r="C335" s="55"/>
      <c r="D335" s="214"/>
      <c r="E335" s="122"/>
      <c r="F335" s="219"/>
      <c r="G335" s="122"/>
      <c r="H335" s="214"/>
      <c r="I335" s="220"/>
      <c r="J335" s="46"/>
      <c r="K335" s="46"/>
      <c r="L335" s="46"/>
      <c r="M335" s="46"/>
      <c r="N335" s="46"/>
      <c r="O335" s="46"/>
      <c r="P335" s="46"/>
      <c r="Q335" s="46"/>
      <c r="R335" s="46"/>
      <c r="S335" s="46"/>
      <c r="T335" s="46"/>
      <c r="U335" s="46"/>
      <c r="V335" s="46"/>
      <c r="W335" s="46"/>
    </row>
    <row r="336">
      <c r="A336" s="55"/>
      <c r="B336" s="214"/>
      <c r="C336" s="55"/>
      <c r="D336" s="214"/>
      <c r="E336" s="122"/>
      <c r="F336" s="219"/>
      <c r="G336" s="122"/>
      <c r="H336" s="214"/>
      <c r="I336" s="220"/>
      <c r="J336" s="46"/>
      <c r="K336" s="46"/>
      <c r="L336" s="46"/>
      <c r="M336" s="46"/>
      <c r="N336" s="46"/>
      <c r="O336" s="46"/>
      <c r="P336" s="46"/>
      <c r="Q336" s="46"/>
      <c r="R336" s="46"/>
      <c r="S336" s="46"/>
      <c r="T336" s="46"/>
      <c r="U336" s="46"/>
      <c r="V336" s="46"/>
      <c r="W336" s="46"/>
    </row>
    <row r="337">
      <c r="A337" s="55"/>
      <c r="B337" s="214"/>
      <c r="C337" s="55"/>
      <c r="D337" s="214"/>
      <c r="E337" s="122"/>
      <c r="F337" s="219"/>
      <c r="G337" s="122"/>
      <c r="H337" s="214"/>
      <c r="I337" s="220"/>
      <c r="J337" s="46"/>
      <c r="K337" s="46"/>
      <c r="L337" s="46"/>
      <c r="M337" s="46"/>
      <c r="N337" s="46"/>
      <c r="O337" s="46"/>
      <c r="P337" s="46"/>
      <c r="Q337" s="46"/>
      <c r="R337" s="46"/>
      <c r="S337" s="46"/>
      <c r="T337" s="46"/>
      <c r="U337" s="46"/>
      <c r="V337" s="46"/>
      <c r="W337" s="46"/>
    </row>
    <row r="338">
      <c r="A338" s="55"/>
      <c r="B338" s="214"/>
      <c r="C338" s="55"/>
      <c r="D338" s="214"/>
      <c r="E338" s="122"/>
      <c r="F338" s="219"/>
      <c r="G338" s="122"/>
      <c r="H338" s="214"/>
      <c r="I338" s="220"/>
      <c r="J338" s="46"/>
      <c r="K338" s="46"/>
      <c r="L338" s="46"/>
      <c r="M338" s="46"/>
      <c r="N338" s="46"/>
      <c r="O338" s="46"/>
      <c r="P338" s="46"/>
      <c r="Q338" s="46"/>
      <c r="R338" s="46"/>
      <c r="S338" s="46"/>
      <c r="T338" s="46"/>
      <c r="U338" s="46"/>
      <c r="V338" s="46"/>
      <c r="W338" s="46"/>
    </row>
    <row r="339">
      <c r="A339" s="55"/>
      <c r="B339" s="214"/>
      <c r="C339" s="55"/>
      <c r="D339" s="214"/>
      <c r="E339" s="122"/>
      <c r="F339" s="219"/>
      <c r="G339" s="122"/>
      <c r="H339" s="214"/>
      <c r="I339" s="220"/>
      <c r="J339" s="46"/>
      <c r="K339" s="46"/>
      <c r="L339" s="46"/>
      <c r="M339" s="46"/>
      <c r="N339" s="46"/>
      <c r="O339" s="46"/>
      <c r="P339" s="46"/>
      <c r="Q339" s="46"/>
      <c r="R339" s="46"/>
      <c r="S339" s="46"/>
      <c r="T339" s="46"/>
      <c r="U339" s="46"/>
      <c r="V339" s="46"/>
      <c r="W339" s="46"/>
    </row>
    <row r="340">
      <c r="A340" s="55"/>
      <c r="B340" s="214"/>
      <c r="C340" s="55"/>
      <c r="D340" s="214"/>
      <c r="E340" s="122"/>
      <c r="F340" s="219"/>
      <c r="G340" s="122"/>
      <c r="H340" s="214"/>
      <c r="I340" s="220"/>
      <c r="J340" s="46"/>
      <c r="K340" s="46"/>
      <c r="L340" s="46"/>
      <c r="M340" s="46"/>
      <c r="N340" s="46"/>
      <c r="O340" s="46"/>
      <c r="P340" s="46"/>
      <c r="Q340" s="46"/>
      <c r="R340" s="46"/>
      <c r="S340" s="46"/>
      <c r="T340" s="46"/>
      <c r="U340" s="46"/>
      <c r="V340" s="46"/>
      <c r="W340" s="46"/>
    </row>
    <row r="341">
      <c r="A341" s="55"/>
      <c r="B341" s="214"/>
      <c r="C341" s="55"/>
      <c r="D341" s="214"/>
      <c r="E341" s="122"/>
      <c r="F341" s="219"/>
      <c r="G341" s="122"/>
      <c r="H341" s="214"/>
      <c r="I341" s="220"/>
      <c r="J341" s="46"/>
      <c r="K341" s="46"/>
      <c r="L341" s="46"/>
      <c r="M341" s="46"/>
      <c r="N341" s="46"/>
      <c r="O341" s="46"/>
      <c r="P341" s="46"/>
      <c r="Q341" s="46"/>
      <c r="R341" s="46"/>
      <c r="S341" s="46"/>
      <c r="T341" s="46"/>
      <c r="U341" s="46"/>
      <c r="V341" s="46"/>
      <c r="W341" s="46"/>
    </row>
    <row r="342">
      <c r="A342" s="55"/>
      <c r="B342" s="214"/>
      <c r="C342" s="55"/>
      <c r="D342" s="214"/>
      <c r="E342" s="122"/>
      <c r="F342" s="219"/>
      <c r="G342" s="122"/>
      <c r="H342" s="214"/>
      <c r="I342" s="220"/>
      <c r="J342" s="46"/>
      <c r="K342" s="46"/>
      <c r="L342" s="46"/>
      <c r="M342" s="46"/>
      <c r="N342" s="46"/>
      <c r="O342" s="46"/>
      <c r="P342" s="46"/>
      <c r="Q342" s="46"/>
      <c r="R342" s="46"/>
      <c r="S342" s="46"/>
      <c r="T342" s="46"/>
      <c r="U342" s="46"/>
      <c r="V342" s="46"/>
      <c r="W342" s="46"/>
    </row>
    <row r="343">
      <c r="A343" s="55"/>
      <c r="B343" s="214"/>
      <c r="C343" s="55"/>
      <c r="D343" s="214"/>
      <c r="E343" s="122"/>
      <c r="F343" s="219"/>
      <c r="G343" s="122"/>
      <c r="H343" s="214"/>
      <c r="I343" s="220"/>
      <c r="J343" s="46"/>
      <c r="K343" s="46"/>
      <c r="L343" s="46"/>
      <c r="M343" s="46"/>
      <c r="N343" s="46"/>
      <c r="O343" s="46"/>
      <c r="P343" s="46"/>
      <c r="Q343" s="46"/>
      <c r="R343" s="46"/>
      <c r="S343" s="46"/>
      <c r="T343" s="46"/>
      <c r="U343" s="46"/>
      <c r="V343" s="46"/>
      <c r="W343" s="46"/>
    </row>
    <row r="344">
      <c r="A344" s="55"/>
      <c r="B344" s="214"/>
      <c r="C344" s="55"/>
      <c r="D344" s="214"/>
      <c r="E344" s="122"/>
      <c r="F344" s="219"/>
      <c r="G344" s="122"/>
      <c r="H344" s="214"/>
      <c r="I344" s="220"/>
      <c r="J344" s="46"/>
      <c r="K344" s="46"/>
      <c r="L344" s="46"/>
      <c r="M344" s="46"/>
      <c r="N344" s="46"/>
      <c r="O344" s="46"/>
      <c r="P344" s="46"/>
      <c r="Q344" s="46"/>
      <c r="R344" s="46"/>
      <c r="S344" s="46"/>
      <c r="T344" s="46"/>
      <c r="U344" s="46"/>
      <c r="V344" s="46"/>
      <c r="W344" s="46"/>
    </row>
    <row r="345">
      <c r="A345" s="55"/>
      <c r="B345" s="214"/>
      <c r="C345" s="55"/>
      <c r="D345" s="214"/>
      <c r="E345" s="122"/>
      <c r="F345" s="219"/>
      <c r="G345" s="122"/>
      <c r="H345" s="214"/>
      <c r="I345" s="220"/>
      <c r="J345" s="46"/>
      <c r="K345" s="46"/>
      <c r="L345" s="46"/>
      <c r="M345" s="46"/>
      <c r="N345" s="46"/>
      <c r="O345" s="46"/>
      <c r="P345" s="46"/>
      <c r="Q345" s="46"/>
      <c r="R345" s="46"/>
      <c r="S345" s="46"/>
      <c r="T345" s="46"/>
      <c r="U345" s="46"/>
      <c r="V345" s="46"/>
      <c r="W345" s="46"/>
    </row>
    <row r="346">
      <c r="A346" s="55"/>
      <c r="B346" s="214"/>
      <c r="C346" s="55"/>
      <c r="D346" s="214"/>
      <c r="E346" s="122"/>
      <c r="F346" s="219"/>
      <c r="G346" s="122"/>
      <c r="H346" s="214"/>
      <c r="I346" s="220"/>
      <c r="J346" s="46"/>
      <c r="K346" s="46"/>
      <c r="L346" s="46"/>
      <c r="M346" s="46"/>
      <c r="N346" s="46"/>
      <c r="O346" s="46"/>
      <c r="P346" s="46"/>
      <c r="Q346" s="46"/>
      <c r="R346" s="46"/>
      <c r="S346" s="46"/>
      <c r="T346" s="46"/>
      <c r="U346" s="46"/>
      <c r="V346" s="46"/>
      <c r="W346" s="46"/>
    </row>
    <row r="347">
      <c r="A347" s="55"/>
      <c r="B347" s="214"/>
      <c r="C347" s="55"/>
      <c r="D347" s="214"/>
      <c r="E347" s="122"/>
      <c r="F347" s="219"/>
      <c r="G347" s="122"/>
      <c r="H347" s="214"/>
      <c r="I347" s="220"/>
      <c r="J347" s="46"/>
      <c r="K347" s="46"/>
      <c r="L347" s="46"/>
      <c r="M347" s="46"/>
      <c r="N347" s="46"/>
      <c r="O347" s="46"/>
      <c r="P347" s="46"/>
      <c r="Q347" s="46"/>
      <c r="R347" s="46"/>
      <c r="S347" s="46"/>
      <c r="T347" s="46"/>
      <c r="U347" s="46"/>
      <c r="V347" s="46"/>
      <c r="W347" s="46"/>
    </row>
    <row r="348">
      <c r="A348" s="55"/>
      <c r="B348" s="214"/>
      <c r="C348" s="55"/>
      <c r="D348" s="214"/>
      <c r="E348" s="122"/>
      <c r="F348" s="219"/>
      <c r="G348" s="122"/>
      <c r="H348" s="214"/>
      <c r="I348" s="220"/>
      <c r="J348" s="46"/>
      <c r="K348" s="46"/>
      <c r="L348" s="46"/>
      <c r="M348" s="46"/>
      <c r="N348" s="46"/>
      <c r="O348" s="46"/>
      <c r="P348" s="46"/>
      <c r="Q348" s="46"/>
      <c r="R348" s="46"/>
      <c r="S348" s="46"/>
      <c r="T348" s="46"/>
      <c r="U348" s="46"/>
      <c r="V348" s="46"/>
      <c r="W348" s="46"/>
    </row>
    <row r="349">
      <c r="A349" s="55"/>
      <c r="B349" s="214"/>
      <c r="C349" s="55"/>
      <c r="D349" s="214"/>
      <c r="E349" s="122"/>
      <c r="F349" s="219"/>
      <c r="G349" s="122"/>
      <c r="H349" s="214"/>
      <c r="I349" s="220"/>
      <c r="J349" s="46"/>
      <c r="K349" s="46"/>
      <c r="L349" s="46"/>
      <c r="M349" s="46"/>
      <c r="N349" s="46"/>
      <c r="O349" s="46"/>
      <c r="P349" s="46"/>
      <c r="Q349" s="46"/>
      <c r="R349" s="46"/>
      <c r="S349" s="46"/>
      <c r="T349" s="46"/>
      <c r="U349" s="46"/>
      <c r="V349" s="46"/>
      <c r="W349" s="46"/>
    </row>
    <row r="350">
      <c r="A350" s="55"/>
      <c r="B350" s="214"/>
      <c r="C350" s="55"/>
      <c r="D350" s="214"/>
      <c r="E350" s="122"/>
      <c r="F350" s="219"/>
      <c r="G350" s="122"/>
      <c r="H350" s="214"/>
      <c r="I350" s="220"/>
      <c r="J350" s="46"/>
      <c r="K350" s="46"/>
      <c r="L350" s="46"/>
      <c r="M350" s="46"/>
      <c r="N350" s="46"/>
      <c r="O350" s="46"/>
      <c r="P350" s="46"/>
      <c r="Q350" s="46"/>
      <c r="R350" s="46"/>
      <c r="S350" s="46"/>
      <c r="T350" s="46"/>
      <c r="U350" s="46"/>
      <c r="V350" s="46"/>
      <c r="W350" s="46"/>
    </row>
    <row r="351">
      <c r="A351" s="55"/>
      <c r="B351" s="214"/>
      <c r="C351" s="55"/>
      <c r="D351" s="214"/>
      <c r="E351" s="122"/>
      <c r="F351" s="219"/>
      <c r="G351" s="122"/>
      <c r="H351" s="214"/>
      <c r="I351" s="220"/>
      <c r="J351" s="46"/>
      <c r="K351" s="46"/>
      <c r="L351" s="46"/>
      <c r="M351" s="46"/>
      <c r="N351" s="46"/>
      <c r="O351" s="46"/>
      <c r="P351" s="46"/>
      <c r="Q351" s="46"/>
      <c r="R351" s="46"/>
      <c r="S351" s="46"/>
      <c r="T351" s="46"/>
      <c r="U351" s="46"/>
      <c r="V351" s="46"/>
      <c r="W351" s="46"/>
    </row>
    <row r="352">
      <c r="A352" s="55"/>
      <c r="B352" s="214"/>
      <c r="C352" s="55"/>
      <c r="D352" s="214"/>
      <c r="E352" s="122"/>
      <c r="F352" s="219"/>
      <c r="G352" s="122"/>
      <c r="H352" s="214"/>
      <c r="I352" s="220"/>
      <c r="J352" s="46"/>
      <c r="K352" s="46"/>
      <c r="L352" s="46"/>
      <c r="M352" s="46"/>
      <c r="N352" s="46"/>
      <c r="O352" s="46"/>
      <c r="P352" s="46"/>
      <c r="Q352" s="46"/>
      <c r="R352" s="46"/>
      <c r="S352" s="46"/>
      <c r="T352" s="46"/>
      <c r="U352" s="46"/>
      <c r="V352" s="46"/>
      <c r="W352" s="46"/>
    </row>
    <row r="353">
      <c r="A353" s="55"/>
      <c r="B353" s="214"/>
      <c r="C353" s="55"/>
      <c r="D353" s="214"/>
      <c r="E353" s="122"/>
      <c r="F353" s="219"/>
      <c r="G353" s="122"/>
      <c r="H353" s="214"/>
      <c r="I353" s="220"/>
      <c r="J353" s="46"/>
      <c r="K353" s="46"/>
      <c r="L353" s="46"/>
      <c r="M353" s="46"/>
      <c r="N353" s="46"/>
      <c r="O353" s="46"/>
      <c r="P353" s="46"/>
      <c r="Q353" s="46"/>
      <c r="R353" s="46"/>
      <c r="S353" s="46"/>
      <c r="T353" s="46"/>
      <c r="U353" s="46"/>
      <c r="V353" s="46"/>
      <c r="W353" s="46"/>
    </row>
    <row r="354">
      <c r="A354" s="55"/>
      <c r="B354" s="214"/>
      <c r="C354" s="55"/>
      <c r="D354" s="214"/>
      <c r="E354" s="122"/>
      <c r="F354" s="219"/>
      <c r="G354" s="122"/>
      <c r="H354" s="214"/>
      <c r="I354" s="220"/>
      <c r="J354" s="46"/>
      <c r="K354" s="46"/>
      <c r="L354" s="46"/>
      <c r="M354" s="46"/>
      <c r="N354" s="46"/>
      <c r="O354" s="46"/>
      <c r="P354" s="46"/>
      <c r="Q354" s="46"/>
      <c r="R354" s="46"/>
      <c r="S354" s="46"/>
      <c r="T354" s="46"/>
      <c r="U354" s="46"/>
      <c r="V354" s="46"/>
      <c r="W354" s="46"/>
    </row>
    <row r="355">
      <c r="A355" s="55"/>
      <c r="B355" s="214"/>
      <c r="C355" s="55"/>
      <c r="D355" s="214"/>
      <c r="E355" s="122"/>
      <c r="F355" s="219"/>
      <c r="G355" s="122"/>
      <c r="H355" s="214"/>
      <c r="I355" s="220"/>
      <c r="J355" s="46"/>
      <c r="K355" s="46"/>
      <c r="L355" s="46"/>
      <c r="M355" s="46"/>
      <c r="N355" s="46"/>
      <c r="O355" s="46"/>
      <c r="P355" s="46"/>
      <c r="Q355" s="46"/>
      <c r="R355" s="46"/>
      <c r="S355" s="46"/>
      <c r="T355" s="46"/>
      <c r="U355" s="46"/>
      <c r="V355" s="46"/>
      <c r="W355" s="46"/>
    </row>
    <row r="356">
      <c r="A356" s="55"/>
      <c r="B356" s="214"/>
      <c r="C356" s="55"/>
      <c r="D356" s="214"/>
      <c r="E356" s="122"/>
      <c r="F356" s="219"/>
      <c r="G356" s="122"/>
      <c r="H356" s="214"/>
      <c r="I356" s="220"/>
      <c r="J356" s="46"/>
      <c r="K356" s="46"/>
      <c r="L356" s="46"/>
      <c r="M356" s="46"/>
      <c r="N356" s="46"/>
      <c r="O356" s="46"/>
      <c r="P356" s="46"/>
      <c r="Q356" s="46"/>
      <c r="R356" s="46"/>
      <c r="S356" s="46"/>
      <c r="T356" s="46"/>
      <c r="U356" s="46"/>
      <c r="V356" s="46"/>
      <c r="W356" s="46"/>
    </row>
    <row r="357">
      <c r="A357" s="55"/>
      <c r="B357" s="214"/>
      <c r="C357" s="55"/>
      <c r="D357" s="214"/>
      <c r="E357" s="122"/>
      <c r="F357" s="219"/>
      <c r="G357" s="122"/>
      <c r="H357" s="214"/>
      <c r="I357" s="220"/>
      <c r="J357" s="46"/>
      <c r="K357" s="46"/>
      <c r="L357" s="46"/>
      <c r="M357" s="46"/>
      <c r="N357" s="46"/>
      <c r="O357" s="46"/>
      <c r="P357" s="46"/>
      <c r="Q357" s="46"/>
      <c r="R357" s="46"/>
      <c r="S357" s="46"/>
      <c r="T357" s="46"/>
      <c r="U357" s="46"/>
      <c r="V357" s="46"/>
      <c r="W357" s="46"/>
    </row>
    <row r="358">
      <c r="A358" s="55"/>
      <c r="B358" s="214"/>
      <c r="C358" s="55"/>
      <c r="D358" s="214"/>
      <c r="E358" s="122"/>
      <c r="F358" s="219"/>
      <c r="G358" s="122"/>
      <c r="H358" s="214"/>
      <c r="I358" s="220"/>
      <c r="J358" s="46"/>
      <c r="K358" s="46"/>
      <c r="L358" s="46"/>
      <c r="M358" s="46"/>
      <c r="N358" s="46"/>
      <c r="O358" s="46"/>
      <c r="P358" s="46"/>
      <c r="Q358" s="46"/>
      <c r="R358" s="46"/>
      <c r="S358" s="46"/>
      <c r="T358" s="46"/>
      <c r="U358" s="46"/>
      <c r="V358" s="46"/>
      <c r="W358" s="46"/>
    </row>
    <row r="359">
      <c r="A359" s="55"/>
      <c r="B359" s="214"/>
      <c r="C359" s="55"/>
      <c r="D359" s="214"/>
      <c r="E359" s="122"/>
      <c r="F359" s="219"/>
      <c r="G359" s="122"/>
      <c r="H359" s="214"/>
      <c r="I359" s="220"/>
      <c r="J359" s="46"/>
      <c r="K359" s="46"/>
      <c r="L359" s="46"/>
      <c r="M359" s="46"/>
      <c r="N359" s="46"/>
      <c r="O359" s="46"/>
      <c r="P359" s="46"/>
      <c r="Q359" s="46"/>
      <c r="R359" s="46"/>
      <c r="S359" s="46"/>
      <c r="T359" s="46"/>
      <c r="U359" s="46"/>
      <c r="V359" s="46"/>
      <c r="W359" s="46"/>
    </row>
    <row r="360">
      <c r="A360" s="55"/>
      <c r="B360" s="214"/>
      <c r="C360" s="55"/>
      <c r="D360" s="214"/>
      <c r="E360" s="122"/>
      <c r="F360" s="219"/>
      <c r="G360" s="122"/>
      <c r="H360" s="214"/>
      <c r="I360" s="220"/>
      <c r="J360" s="46"/>
      <c r="K360" s="46"/>
      <c r="L360" s="46"/>
      <c r="M360" s="46"/>
      <c r="N360" s="46"/>
      <c r="O360" s="46"/>
      <c r="P360" s="46"/>
      <c r="Q360" s="46"/>
      <c r="R360" s="46"/>
      <c r="S360" s="46"/>
      <c r="T360" s="46"/>
      <c r="U360" s="46"/>
      <c r="V360" s="46"/>
      <c r="W360" s="46"/>
    </row>
    <row r="361">
      <c r="A361" s="55"/>
      <c r="B361" s="214"/>
      <c r="C361" s="55"/>
      <c r="D361" s="214"/>
      <c r="E361" s="122"/>
      <c r="F361" s="219"/>
      <c r="G361" s="122"/>
      <c r="H361" s="214"/>
      <c r="I361" s="220"/>
      <c r="J361" s="46"/>
      <c r="K361" s="46"/>
      <c r="L361" s="46"/>
      <c r="M361" s="46"/>
      <c r="N361" s="46"/>
      <c r="O361" s="46"/>
      <c r="P361" s="46"/>
      <c r="Q361" s="46"/>
      <c r="R361" s="46"/>
      <c r="S361" s="46"/>
      <c r="T361" s="46"/>
      <c r="U361" s="46"/>
      <c r="V361" s="46"/>
      <c r="W361" s="46"/>
    </row>
    <row r="362">
      <c r="A362" s="55"/>
      <c r="B362" s="214"/>
      <c r="C362" s="55"/>
      <c r="D362" s="214"/>
      <c r="E362" s="122"/>
      <c r="F362" s="219"/>
      <c r="G362" s="122"/>
      <c r="H362" s="214"/>
      <c r="I362" s="220"/>
      <c r="J362" s="46"/>
      <c r="K362" s="46"/>
      <c r="L362" s="46"/>
      <c r="M362" s="46"/>
      <c r="N362" s="46"/>
      <c r="O362" s="46"/>
      <c r="P362" s="46"/>
      <c r="Q362" s="46"/>
      <c r="R362" s="46"/>
      <c r="S362" s="46"/>
      <c r="T362" s="46"/>
      <c r="U362" s="46"/>
      <c r="V362" s="46"/>
      <c r="W362" s="46"/>
    </row>
    <row r="363">
      <c r="A363" s="55"/>
      <c r="B363" s="214"/>
      <c r="C363" s="55"/>
      <c r="D363" s="214"/>
      <c r="E363" s="122"/>
      <c r="F363" s="219"/>
      <c r="G363" s="122"/>
      <c r="H363" s="214"/>
      <c r="I363" s="220"/>
      <c r="J363" s="46"/>
      <c r="K363" s="46"/>
      <c r="L363" s="46"/>
      <c r="M363" s="46"/>
      <c r="N363" s="46"/>
      <c r="O363" s="46"/>
      <c r="P363" s="46"/>
      <c r="Q363" s="46"/>
      <c r="R363" s="46"/>
      <c r="S363" s="46"/>
      <c r="T363" s="46"/>
      <c r="U363" s="46"/>
      <c r="V363" s="46"/>
      <c r="W363" s="46"/>
    </row>
    <row r="364">
      <c r="A364" s="55"/>
      <c r="B364" s="214"/>
      <c r="C364" s="55"/>
      <c r="D364" s="214"/>
      <c r="E364" s="122"/>
      <c r="F364" s="219"/>
      <c r="G364" s="122"/>
      <c r="H364" s="214"/>
      <c r="I364" s="220"/>
      <c r="J364" s="46"/>
      <c r="K364" s="46"/>
      <c r="L364" s="46"/>
      <c r="M364" s="46"/>
      <c r="N364" s="46"/>
      <c r="O364" s="46"/>
      <c r="P364" s="46"/>
      <c r="Q364" s="46"/>
      <c r="R364" s="46"/>
      <c r="S364" s="46"/>
      <c r="T364" s="46"/>
      <c r="U364" s="46"/>
      <c r="V364" s="46"/>
      <c r="W364" s="46"/>
    </row>
    <row r="365">
      <c r="A365" s="55"/>
      <c r="B365" s="214"/>
      <c r="C365" s="55"/>
      <c r="D365" s="214"/>
      <c r="E365" s="122"/>
      <c r="F365" s="219"/>
      <c r="G365" s="122"/>
      <c r="H365" s="214"/>
      <c r="I365" s="220"/>
      <c r="J365" s="46"/>
      <c r="K365" s="46"/>
      <c r="L365" s="46"/>
      <c r="M365" s="46"/>
      <c r="N365" s="46"/>
      <c r="O365" s="46"/>
      <c r="P365" s="46"/>
      <c r="Q365" s="46"/>
      <c r="R365" s="46"/>
      <c r="S365" s="46"/>
      <c r="T365" s="46"/>
      <c r="U365" s="46"/>
      <c r="V365" s="46"/>
      <c r="W365" s="46"/>
    </row>
    <row r="366">
      <c r="A366" s="55"/>
      <c r="B366" s="214"/>
      <c r="C366" s="55"/>
      <c r="D366" s="214"/>
      <c r="E366" s="122"/>
      <c r="F366" s="219"/>
      <c r="G366" s="122"/>
      <c r="H366" s="214"/>
      <c r="I366" s="220"/>
      <c r="J366" s="46"/>
      <c r="K366" s="46"/>
      <c r="L366" s="46"/>
      <c r="M366" s="46"/>
      <c r="N366" s="46"/>
      <c r="O366" s="46"/>
      <c r="P366" s="46"/>
      <c r="Q366" s="46"/>
      <c r="R366" s="46"/>
      <c r="S366" s="46"/>
      <c r="T366" s="46"/>
      <c r="U366" s="46"/>
      <c r="V366" s="46"/>
      <c r="W366" s="46"/>
    </row>
    <row r="367">
      <c r="A367" s="55"/>
      <c r="B367" s="214"/>
      <c r="C367" s="55"/>
      <c r="D367" s="214"/>
      <c r="E367" s="122"/>
      <c r="F367" s="219"/>
      <c r="G367" s="122"/>
      <c r="H367" s="214"/>
      <c r="I367" s="220"/>
      <c r="J367" s="46"/>
      <c r="K367" s="46"/>
      <c r="L367" s="46"/>
      <c r="M367" s="46"/>
      <c r="N367" s="46"/>
      <c r="O367" s="46"/>
      <c r="P367" s="46"/>
      <c r="Q367" s="46"/>
      <c r="R367" s="46"/>
      <c r="S367" s="46"/>
      <c r="T367" s="46"/>
      <c r="U367" s="46"/>
      <c r="V367" s="46"/>
      <c r="W367" s="46"/>
    </row>
    <row r="368">
      <c r="A368" s="55"/>
      <c r="B368" s="214"/>
      <c r="C368" s="55"/>
      <c r="D368" s="214"/>
      <c r="E368" s="122"/>
      <c r="F368" s="219"/>
      <c r="G368" s="122"/>
      <c r="H368" s="214"/>
      <c r="I368" s="220"/>
      <c r="J368" s="46"/>
      <c r="K368" s="46"/>
      <c r="L368" s="46"/>
      <c r="M368" s="46"/>
      <c r="N368" s="46"/>
      <c r="O368" s="46"/>
      <c r="P368" s="46"/>
      <c r="Q368" s="46"/>
      <c r="R368" s="46"/>
      <c r="S368" s="46"/>
      <c r="T368" s="46"/>
      <c r="U368" s="46"/>
      <c r="V368" s="46"/>
      <c r="W368" s="46"/>
    </row>
    <row r="369">
      <c r="A369" s="55"/>
      <c r="B369" s="214"/>
      <c r="C369" s="55"/>
      <c r="D369" s="214"/>
      <c r="E369" s="122"/>
      <c r="F369" s="219"/>
      <c r="G369" s="122"/>
      <c r="H369" s="214"/>
      <c r="I369" s="220"/>
      <c r="J369" s="46"/>
      <c r="K369" s="46"/>
      <c r="L369" s="46"/>
      <c r="M369" s="46"/>
      <c r="N369" s="46"/>
      <c r="O369" s="46"/>
      <c r="P369" s="46"/>
      <c r="Q369" s="46"/>
      <c r="R369" s="46"/>
      <c r="S369" s="46"/>
      <c r="T369" s="46"/>
      <c r="U369" s="46"/>
      <c r="V369" s="46"/>
      <c r="W369" s="46"/>
    </row>
    <row r="370">
      <c r="A370" s="55"/>
      <c r="B370" s="214"/>
      <c r="C370" s="55"/>
      <c r="D370" s="214"/>
      <c r="E370" s="122"/>
      <c r="F370" s="219"/>
      <c r="G370" s="122"/>
      <c r="H370" s="214"/>
      <c r="I370" s="220"/>
      <c r="J370" s="46"/>
      <c r="K370" s="46"/>
      <c r="L370" s="46"/>
      <c r="M370" s="46"/>
      <c r="N370" s="46"/>
      <c r="O370" s="46"/>
      <c r="P370" s="46"/>
      <c r="Q370" s="46"/>
      <c r="R370" s="46"/>
      <c r="S370" s="46"/>
      <c r="T370" s="46"/>
      <c r="U370" s="46"/>
      <c r="V370" s="46"/>
      <c r="W370" s="46"/>
    </row>
    <row r="371">
      <c r="A371" s="55"/>
      <c r="B371" s="214"/>
      <c r="C371" s="55"/>
      <c r="D371" s="214"/>
      <c r="E371" s="122"/>
      <c r="F371" s="219"/>
      <c r="G371" s="122"/>
      <c r="H371" s="214"/>
      <c r="I371" s="220"/>
      <c r="J371" s="46"/>
      <c r="K371" s="46"/>
      <c r="L371" s="46"/>
      <c r="M371" s="46"/>
      <c r="N371" s="46"/>
      <c r="O371" s="46"/>
      <c r="P371" s="46"/>
      <c r="Q371" s="46"/>
      <c r="R371" s="46"/>
      <c r="S371" s="46"/>
      <c r="T371" s="46"/>
      <c r="U371" s="46"/>
      <c r="V371" s="46"/>
      <c r="W371" s="46"/>
    </row>
    <row r="372">
      <c r="A372" s="55"/>
      <c r="B372" s="214"/>
      <c r="C372" s="55"/>
      <c r="D372" s="214"/>
      <c r="E372" s="122"/>
      <c r="F372" s="219"/>
      <c r="G372" s="122"/>
      <c r="H372" s="214"/>
      <c r="I372" s="220"/>
      <c r="J372" s="46"/>
      <c r="K372" s="46"/>
      <c r="L372" s="46"/>
      <c r="M372" s="46"/>
      <c r="N372" s="46"/>
      <c r="O372" s="46"/>
      <c r="P372" s="46"/>
      <c r="Q372" s="46"/>
      <c r="R372" s="46"/>
      <c r="S372" s="46"/>
      <c r="T372" s="46"/>
      <c r="U372" s="46"/>
      <c r="V372" s="46"/>
      <c r="W372" s="46"/>
    </row>
    <row r="373">
      <c r="A373" s="55"/>
      <c r="B373" s="214"/>
      <c r="C373" s="55"/>
      <c r="D373" s="214"/>
      <c r="E373" s="122"/>
      <c r="F373" s="219"/>
      <c r="G373" s="122"/>
      <c r="H373" s="214"/>
      <c r="I373" s="220"/>
      <c r="J373" s="46"/>
      <c r="K373" s="46"/>
      <c r="L373" s="46"/>
      <c r="M373" s="46"/>
      <c r="N373" s="46"/>
      <c r="O373" s="46"/>
      <c r="P373" s="46"/>
      <c r="Q373" s="46"/>
      <c r="R373" s="46"/>
      <c r="S373" s="46"/>
      <c r="T373" s="46"/>
      <c r="U373" s="46"/>
      <c r="V373" s="46"/>
      <c r="W373" s="46"/>
    </row>
    <row r="374">
      <c r="A374" s="55"/>
      <c r="B374" s="214"/>
      <c r="C374" s="55"/>
      <c r="D374" s="214"/>
      <c r="E374" s="122"/>
      <c r="F374" s="219"/>
      <c r="G374" s="122"/>
      <c r="H374" s="214"/>
      <c r="I374" s="220"/>
      <c r="J374" s="46"/>
      <c r="K374" s="46"/>
      <c r="L374" s="46"/>
      <c r="M374" s="46"/>
      <c r="N374" s="46"/>
      <c r="O374" s="46"/>
      <c r="P374" s="46"/>
      <c r="Q374" s="46"/>
      <c r="R374" s="46"/>
      <c r="S374" s="46"/>
      <c r="T374" s="46"/>
      <c r="U374" s="46"/>
      <c r="V374" s="46"/>
      <c r="W374" s="46"/>
    </row>
    <row r="375">
      <c r="A375" s="55"/>
      <c r="B375" s="214"/>
      <c r="C375" s="55"/>
      <c r="D375" s="214"/>
      <c r="E375" s="122"/>
      <c r="F375" s="219"/>
      <c r="G375" s="122"/>
      <c r="H375" s="214"/>
      <c r="I375" s="220"/>
      <c r="J375" s="46"/>
      <c r="K375" s="46"/>
      <c r="L375" s="46"/>
      <c r="M375" s="46"/>
      <c r="N375" s="46"/>
      <c r="O375" s="46"/>
      <c r="P375" s="46"/>
      <c r="Q375" s="46"/>
      <c r="R375" s="46"/>
      <c r="S375" s="46"/>
      <c r="T375" s="46"/>
      <c r="U375" s="46"/>
      <c r="V375" s="46"/>
      <c r="W375" s="46"/>
    </row>
    <row r="376">
      <c r="A376" s="55"/>
      <c r="B376" s="214"/>
      <c r="C376" s="55"/>
      <c r="D376" s="214"/>
      <c r="E376" s="122"/>
      <c r="F376" s="219"/>
      <c r="G376" s="122"/>
      <c r="H376" s="214"/>
      <c r="I376" s="220"/>
      <c r="J376" s="46"/>
      <c r="K376" s="46"/>
      <c r="L376" s="46"/>
      <c r="M376" s="46"/>
      <c r="N376" s="46"/>
      <c r="O376" s="46"/>
      <c r="P376" s="46"/>
      <c r="Q376" s="46"/>
      <c r="R376" s="46"/>
      <c r="S376" s="46"/>
      <c r="T376" s="46"/>
      <c r="U376" s="46"/>
      <c r="V376" s="46"/>
      <c r="W376" s="46"/>
    </row>
    <row r="377">
      <c r="A377" s="55"/>
      <c r="B377" s="214"/>
      <c r="C377" s="55"/>
      <c r="D377" s="214"/>
      <c r="E377" s="122"/>
      <c r="F377" s="219"/>
      <c r="G377" s="122"/>
      <c r="H377" s="214"/>
      <c r="I377" s="220"/>
      <c r="J377" s="46"/>
      <c r="K377" s="46"/>
      <c r="L377" s="46"/>
      <c r="M377" s="46"/>
      <c r="N377" s="46"/>
      <c r="O377" s="46"/>
      <c r="P377" s="46"/>
      <c r="Q377" s="46"/>
      <c r="R377" s="46"/>
      <c r="S377" s="46"/>
      <c r="T377" s="46"/>
      <c r="U377" s="46"/>
      <c r="V377" s="46"/>
      <c r="W377" s="46"/>
    </row>
    <row r="378">
      <c r="A378" s="55"/>
      <c r="B378" s="214"/>
      <c r="C378" s="55"/>
      <c r="D378" s="214"/>
      <c r="E378" s="122"/>
      <c r="F378" s="219"/>
      <c r="G378" s="122"/>
      <c r="H378" s="214"/>
      <c r="I378" s="220"/>
      <c r="J378" s="46"/>
      <c r="K378" s="46"/>
      <c r="L378" s="46"/>
      <c r="M378" s="46"/>
      <c r="N378" s="46"/>
      <c r="O378" s="46"/>
      <c r="P378" s="46"/>
      <c r="Q378" s="46"/>
      <c r="R378" s="46"/>
      <c r="S378" s="46"/>
      <c r="T378" s="46"/>
      <c r="U378" s="46"/>
      <c r="V378" s="46"/>
      <c r="W378" s="46"/>
    </row>
    <row r="379">
      <c r="A379" s="55"/>
      <c r="B379" s="214"/>
      <c r="C379" s="55"/>
      <c r="D379" s="214"/>
      <c r="E379" s="122"/>
      <c r="F379" s="219"/>
      <c r="G379" s="122"/>
      <c r="H379" s="214"/>
      <c r="I379" s="220"/>
      <c r="J379" s="46"/>
      <c r="K379" s="46"/>
      <c r="L379" s="46"/>
      <c r="M379" s="46"/>
      <c r="N379" s="46"/>
      <c r="O379" s="46"/>
      <c r="P379" s="46"/>
      <c r="Q379" s="46"/>
      <c r="R379" s="46"/>
      <c r="S379" s="46"/>
      <c r="T379" s="46"/>
      <c r="U379" s="46"/>
      <c r="V379" s="46"/>
      <c r="W379" s="46"/>
    </row>
    <row r="380">
      <c r="A380" s="55"/>
      <c r="B380" s="214"/>
      <c r="C380" s="55"/>
      <c r="D380" s="214"/>
      <c r="E380" s="122"/>
      <c r="F380" s="219"/>
      <c r="G380" s="122"/>
      <c r="H380" s="214"/>
      <c r="I380" s="220"/>
      <c r="J380" s="46"/>
      <c r="K380" s="46"/>
      <c r="L380" s="46"/>
      <c r="M380" s="46"/>
      <c r="N380" s="46"/>
      <c r="O380" s="46"/>
      <c r="P380" s="46"/>
      <c r="Q380" s="46"/>
      <c r="R380" s="46"/>
      <c r="S380" s="46"/>
      <c r="T380" s="46"/>
      <c r="U380" s="46"/>
      <c r="V380" s="46"/>
      <c r="W380" s="46"/>
    </row>
    <row r="381">
      <c r="A381" s="55"/>
      <c r="B381" s="214"/>
      <c r="C381" s="55"/>
      <c r="D381" s="214"/>
      <c r="E381" s="122"/>
      <c r="F381" s="219"/>
      <c r="G381" s="122"/>
      <c r="H381" s="214"/>
      <c r="I381" s="220"/>
      <c r="J381" s="46"/>
      <c r="K381" s="46"/>
      <c r="L381" s="46"/>
      <c r="M381" s="46"/>
      <c r="N381" s="46"/>
      <c r="O381" s="46"/>
      <c r="P381" s="46"/>
      <c r="Q381" s="46"/>
      <c r="R381" s="46"/>
      <c r="S381" s="46"/>
      <c r="T381" s="46"/>
      <c r="U381" s="46"/>
      <c r="V381" s="46"/>
      <c r="W381" s="46"/>
    </row>
    <row r="382">
      <c r="A382" s="55"/>
      <c r="B382" s="214"/>
      <c r="C382" s="55"/>
      <c r="D382" s="214"/>
      <c r="E382" s="122"/>
      <c r="F382" s="219"/>
      <c r="G382" s="122"/>
      <c r="H382" s="214"/>
      <c r="I382" s="220"/>
      <c r="J382" s="46"/>
      <c r="K382" s="46"/>
      <c r="L382" s="46"/>
      <c r="M382" s="46"/>
      <c r="N382" s="46"/>
      <c r="O382" s="46"/>
      <c r="P382" s="46"/>
      <c r="Q382" s="46"/>
      <c r="R382" s="46"/>
      <c r="S382" s="46"/>
      <c r="T382" s="46"/>
      <c r="U382" s="46"/>
      <c r="V382" s="46"/>
      <c r="W382" s="46"/>
    </row>
    <row r="383">
      <c r="A383" s="55"/>
      <c r="B383" s="214"/>
      <c r="C383" s="55"/>
      <c r="D383" s="214"/>
      <c r="E383" s="122"/>
      <c r="F383" s="219"/>
      <c r="G383" s="122"/>
      <c r="H383" s="214"/>
      <c r="I383" s="220"/>
      <c r="J383" s="46"/>
      <c r="K383" s="46"/>
      <c r="L383" s="46"/>
      <c r="M383" s="46"/>
      <c r="N383" s="46"/>
      <c r="O383" s="46"/>
      <c r="P383" s="46"/>
      <c r="Q383" s="46"/>
      <c r="R383" s="46"/>
      <c r="S383" s="46"/>
      <c r="T383" s="46"/>
      <c r="U383" s="46"/>
      <c r="V383" s="46"/>
      <c r="W383" s="46"/>
    </row>
    <row r="384">
      <c r="A384" s="55"/>
      <c r="B384" s="214"/>
      <c r="C384" s="55"/>
      <c r="D384" s="214"/>
      <c r="E384" s="122"/>
      <c r="F384" s="219"/>
      <c r="G384" s="122"/>
      <c r="H384" s="214"/>
      <c r="I384" s="220"/>
      <c r="J384" s="46"/>
      <c r="K384" s="46"/>
      <c r="L384" s="46"/>
      <c r="M384" s="46"/>
      <c r="N384" s="46"/>
      <c r="O384" s="46"/>
      <c r="P384" s="46"/>
      <c r="Q384" s="46"/>
      <c r="R384" s="46"/>
      <c r="S384" s="46"/>
      <c r="T384" s="46"/>
      <c r="U384" s="46"/>
      <c r="V384" s="46"/>
      <c r="W384" s="46"/>
    </row>
    <row r="385">
      <c r="A385" s="55"/>
      <c r="B385" s="214"/>
      <c r="C385" s="55"/>
      <c r="D385" s="214"/>
      <c r="E385" s="122"/>
      <c r="F385" s="219"/>
      <c r="G385" s="122"/>
      <c r="H385" s="214"/>
      <c r="I385" s="220"/>
      <c r="J385" s="46"/>
      <c r="K385" s="46"/>
      <c r="L385" s="46"/>
      <c r="M385" s="46"/>
      <c r="N385" s="46"/>
      <c r="O385" s="46"/>
      <c r="P385" s="46"/>
      <c r="Q385" s="46"/>
      <c r="R385" s="46"/>
      <c r="S385" s="46"/>
      <c r="T385" s="46"/>
      <c r="U385" s="46"/>
      <c r="V385" s="46"/>
      <c r="W385" s="46"/>
    </row>
    <row r="386">
      <c r="A386" s="55"/>
      <c r="B386" s="214"/>
      <c r="C386" s="55"/>
      <c r="D386" s="214"/>
      <c r="E386" s="122"/>
      <c r="F386" s="219"/>
      <c r="G386" s="122"/>
      <c r="H386" s="214"/>
      <c r="I386" s="220"/>
      <c r="J386" s="46"/>
      <c r="K386" s="46"/>
      <c r="L386" s="46"/>
      <c r="M386" s="46"/>
      <c r="N386" s="46"/>
      <c r="O386" s="46"/>
      <c r="P386" s="46"/>
      <c r="Q386" s="46"/>
      <c r="R386" s="46"/>
      <c r="S386" s="46"/>
      <c r="T386" s="46"/>
      <c r="U386" s="46"/>
      <c r="V386" s="46"/>
      <c r="W386" s="46"/>
    </row>
    <row r="387">
      <c r="A387" s="55"/>
      <c r="B387" s="214"/>
      <c r="C387" s="55"/>
      <c r="D387" s="214"/>
      <c r="E387" s="122"/>
      <c r="F387" s="219"/>
      <c r="G387" s="122"/>
      <c r="H387" s="214"/>
      <c r="I387" s="220"/>
      <c r="J387" s="46"/>
      <c r="K387" s="46"/>
      <c r="L387" s="46"/>
      <c r="M387" s="46"/>
      <c r="N387" s="46"/>
      <c r="O387" s="46"/>
      <c r="P387" s="46"/>
      <c r="Q387" s="46"/>
      <c r="R387" s="46"/>
      <c r="S387" s="46"/>
      <c r="T387" s="46"/>
      <c r="U387" s="46"/>
      <c r="V387" s="46"/>
      <c r="W387" s="46"/>
    </row>
    <row r="388">
      <c r="A388" s="55"/>
      <c r="B388" s="214"/>
      <c r="C388" s="55"/>
      <c r="D388" s="214"/>
      <c r="E388" s="122"/>
      <c r="F388" s="219"/>
      <c r="G388" s="122"/>
      <c r="H388" s="214"/>
      <c r="I388" s="220"/>
      <c r="J388" s="46"/>
      <c r="K388" s="46"/>
      <c r="L388" s="46"/>
      <c r="M388" s="46"/>
      <c r="N388" s="46"/>
      <c r="O388" s="46"/>
      <c r="P388" s="46"/>
      <c r="Q388" s="46"/>
      <c r="R388" s="46"/>
      <c r="S388" s="46"/>
      <c r="T388" s="46"/>
      <c r="U388" s="46"/>
      <c r="V388" s="46"/>
      <c r="W388" s="46"/>
    </row>
    <row r="389">
      <c r="A389" s="55"/>
      <c r="B389" s="214"/>
      <c r="C389" s="55"/>
      <c r="D389" s="214"/>
      <c r="E389" s="122"/>
      <c r="F389" s="219"/>
      <c r="G389" s="122"/>
      <c r="H389" s="214"/>
      <c r="I389" s="220"/>
      <c r="J389" s="46"/>
      <c r="K389" s="46"/>
      <c r="L389" s="46"/>
      <c r="M389" s="46"/>
      <c r="N389" s="46"/>
      <c r="O389" s="46"/>
      <c r="P389" s="46"/>
      <c r="Q389" s="46"/>
      <c r="R389" s="46"/>
      <c r="S389" s="46"/>
      <c r="T389" s="46"/>
      <c r="U389" s="46"/>
      <c r="V389" s="46"/>
      <c r="W389" s="46"/>
    </row>
    <row r="390">
      <c r="A390" s="55"/>
      <c r="B390" s="214"/>
      <c r="C390" s="55"/>
      <c r="D390" s="214"/>
      <c r="E390" s="122"/>
      <c r="F390" s="219"/>
      <c r="G390" s="122"/>
      <c r="H390" s="214"/>
      <c r="I390" s="220"/>
      <c r="J390" s="46"/>
      <c r="K390" s="46"/>
      <c r="L390" s="46"/>
      <c r="M390" s="46"/>
      <c r="N390" s="46"/>
      <c r="O390" s="46"/>
      <c r="P390" s="46"/>
      <c r="Q390" s="46"/>
      <c r="R390" s="46"/>
      <c r="S390" s="46"/>
      <c r="T390" s="46"/>
      <c r="U390" s="46"/>
      <c r="V390" s="46"/>
      <c r="W390" s="46"/>
    </row>
    <row r="391">
      <c r="A391" s="55"/>
      <c r="B391" s="214"/>
      <c r="C391" s="55"/>
      <c r="D391" s="214"/>
      <c r="E391" s="122"/>
      <c r="F391" s="219"/>
      <c r="G391" s="122"/>
      <c r="H391" s="214"/>
      <c r="I391" s="220"/>
      <c r="J391" s="46"/>
      <c r="K391" s="46"/>
      <c r="L391" s="46"/>
      <c r="M391" s="46"/>
      <c r="N391" s="46"/>
      <c r="O391" s="46"/>
      <c r="P391" s="46"/>
      <c r="Q391" s="46"/>
      <c r="R391" s="46"/>
      <c r="S391" s="46"/>
      <c r="T391" s="46"/>
      <c r="U391" s="46"/>
      <c r="V391" s="46"/>
      <c r="W391" s="46"/>
    </row>
    <row r="392">
      <c r="A392" s="55"/>
      <c r="B392" s="214"/>
      <c r="C392" s="55"/>
      <c r="D392" s="214"/>
      <c r="E392" s="122"/>
      <c r="F392" s="219"/>
      <c r="G392" s="122"/>
      <c r="H392" s="214"/>
      <c r="I392" s="220"/>
      <c r="J392" s="46"/>
      <c r="K392" s="46"/>
      <c r="L392" s="46"/>
      <c r="M392" s="46"/>
      <c r="N392" s="46"/>
      <c r="O392" s="46"/>
      <c r="P392" s="46"/>
      <c r="Q392" s="46"/>
      <c r="R392" s="46"/>
      <c r="S392" s="46"/>
      <c r="T392" s="46"/>
      <c r="U392" s="46"/>
      <c r="V392" s="46"/>
      <c r="W392" s="46"/>
    </row>
    <row r="393">
      <c r="A393" s="55"/>
      <c r="B393" s="214"/>
      <c r="C393" s="55"/>
      <c r="D393" s="214"/>
      <c r="E393" s="122"/>
      <c r="F393" s="219"/>
      <c r="G393" s="122"/>
      <c r="H393" s="214"/>
      <c r="I393" s="220"/>
      <c r="J393" s="46"/>
      <c r="K393" s="46"/>
      <c r="L393" s="46"/>
      <c r="M393" s="46"/>
      <c r="N393" s="46"/>
      <c r="O393" s="46"/>
      <c r="P393" s="46"/>
      <c r="Q393" s="46"/>
      <c r="R393" s="46"/>
      <c r="S393" s="46"/>
      <c r="T393" s="46"/>
      <c r="U393" s="46"/>
      <c r="V393" s="46"/>
      <c r="W393" s="46"/>
    </row>
    <row r="394">
      <c r="A394" s="55"/>
      <c r="B394" s="214"/>
      <c r="C394" s="55"/>
      <c r="D394" s="214"/>
      <c r="E394" s="122"/>
      <c r="F394" s="219"/>
      <c r="G394" s="122"/>
      <c r="H394" s="214"/>
      <c r="I394" s="220"/>
      <c r="J394" s="46"/>
      <c r="K394" s="46"/>
      <c r="L394" s="46"/>
      <c r="M394" s="46"/>
      <c r="N394" s="46"/>
      <c r="O394" s="46"/>
      <c r="P394" s="46"/>
      <c r="Q394" s="46"/>
      <c r="R394" s="46"/>
      <c r="S394" s="46"/>
      <c r="T394" s="46"/>
      <c r="U394" s="46"/>
      <c r="V394" s="46"/>
      <c r="W394" s="46"/>
    </row>
    <row r="395">
      <c r="A395" s="55"/>
      <c r="B395" s="214"/>
      <c r="C395" s="55"/>
      <c r="D395" s="214"/>
      <c r="E395" s="122"/>
      <c r="F395" s="219"/>
      <c r="G395" s="122"/>
      <c r="H395" s="214"/>
      <c r="I395" s="220"/>
      <c r="J395" s="46"/>
      <c r="K395" s="46"/>
      <c r="L395" s="46"/>
      <c r="M395" s="46"/>
      <c r="N395" s="46"/>
      <c r="O395" s="46"/>
      <c r="P395" s="46"/>
      <c r="Q395" s="46"/>
      <c r="R395" s="46"/>
      <c r="S395" s="46"/>
      <c r="T395" s="46"/>
      <c r="U395" s="46"/>
      <c r="V395" s="46"/>
      <c r="W395" s="46"/>
    </row>
    <row r="396">
      <c r="A396" s="55"/>
      <c r="B396" s="214"/>
      <c r="C396" s="55"/>
      <c r="D396" s="214"/>
      <c r="E396" s="122"/>
      <c r="F396" s="219"/>
      <c r="G396" s="122"/>
      <c r="H396" s="214"/>
      <c r="I396" s="220"/>
      <c r="J396" s="46"/>
      <c r="K396" s="46"/>
      <c r="L396" s="46"/>
      <c r="M396" s="46"/>
      <c r="N396" s="46"/>
      <c r="O396" s="46"/>
      <c r="P396" s="46"/>
      <c r="Q396" s="46"/>
      <c r="R396" s="46"/>
      <c r="S396" s="46"/>
      <c r="T396" s="46"/>
      <c r="U396" s="46"/>
      <c r="V396" s="46"/>
      <c r="W396" s="46"/>
    </row>
    <row r="397">
      <c r="A397" s="55"/>
      <c r="B397" s="214"/>
      <c r="C397" s="55"/>
      <c r="D397" s="214"/>
      <c r="E397" s="122"/>
      <c r="F397" s="219"/>
      <c r="G397" s="122"/>
      <c r="H397" s="214"/>
      <c r="I397" s="220"/>
      <c r="J397" s="46"/>
      <c r="K397" s="46"/>
      <c r="L397" s="46"/>
      <c r="M397" s="46"/>
      <c r="N397" s="46"/>
      <c r="O397" s="46"/>
      <c r="P397" s="46"/>
      <c r="Q397" s="46"/>
      <c r="R397" s="46"/>
      <c r="S397" s="46"/>
      <c r="T397" s="46"/>
      <c r="U397" s="46"/>
      <c r="V397" s="46"/>
      <c r="W397" s="46"/>
    </row>
    <row r="398">
      <c r="A398" s="55"/>
      <c r="B398" s="214"/>
      <c r="C398" s="55"/>
      <c r="D398" s="214"/>
      <c r="E398" s="122"/>
      <c r="F398" s="219"/>
      <c r="G398" s="122"/>
      <c r="H398" s="214"/>
      <c r="I398" s="220"/>
      <c r="J398" s="46"/>
      <c r="K398" s="46"/>
      <c r="L398" s="46"/>
      <c r="M398" s="46"/>
      <c r="N398" s="46"/>
      <c r="O398" s="46"/>
      <c r="P398" s="46"/>
      <c r="Q398" s="46"/>
      <c r="R398" s="46"/>
      <c r="S398" s="46"/>
      <c r="T398" s="46"/>
      <c r="U398" s="46"/>
      <c r="V398" s="46"/>
      <c r="W398" s="46"/>
    </row>
    <row r="399">
      <c r="A399" s="55"/>
      <c r="B399" s="214"/>
      <c r="C399" s="55"/>
      <c r="D399" s="214"/>
      <c r="E399" s="122"/>
      <c r="F399" s="219"/>
      <c r="G399" s="122"/>
      <c r="H399" s="214"/>
      <c r="I399" s="220"/>
      <c r="J399" s="46"/>
      <c r="K399" s="46"/>
      <c r="L399" s="46"/>
      <c r="M399" s="46"/>
      <c r="N399" s="46"/>
      <c r="O399" s="46"/>
      <c r="P399" s="46"/>
      <c r="Q399" s="46"/>
      <c r="R399" s="46"/>
      <c r="S399" s="46"/>
      <c r="T399" s="46"/>
      <c r="U399" s="46"/>
      <c r="V399" s="46"/>
      <c r="W399" s="46"/>
    </row>
    <row r="400">
      <c r="A400" s="55"/>
      <c r="B400" s="214"/>
      <c r="C400" s="55"/>
      <c r="D400" s="214"/>
      <c r="E400" s="122"/>
      <c r="F400" s="219"/>
      <c r="G400" s="122"/>
      <c r="H400" s="214"/>
      <c r="I400" s="220"/>
      <c r="J400" s="46"/>
      <c r="K400" s="46"/>
      <c r="L400" s="46"/>
      <c r="M400" s="46"/>
      <c r="N400" s="46"/>
      <c r="O400" s="46"/>
      <c r="P400" s="46"/>
      <c r="Q400" s="46"/>
      <c r="R400" s="46"/>
      <c r="S400" s="46"/>
      <c r="T400" s="46"/>
      <c r="U400" s="46"/>
      <c r="V400" s="46"/>
      <c r="W400" s="46"/>
    </row>
    <row r="401">
      <c r="A401" s="55"/>
      <c r="B401" s="214"/>
      <c r="C401" s="55"/>
      <c r="D401" s="214"/>
      <c r="E401" s="122"/>
      <c r="F401" s="219"/>
      <c r="G401" s="122"/>
      <c r="H401" s="214"/>
      <c r="I401" s="220"/>
      <c r="J401" s="46"/>
      <c r="K401" s="46"/>
      <c r="L401" s="46"/>
      <c r="M401" s="46"/>
      <c r="N401" s="46"/>
      <c r="O401" s="46"/>
      <c r="P401" s="46"/>
      <c r="Q401" s="46"/>
      <c r="R401" s="46"/>
      <c r="S401" s="46"/>
      <c r="T401" s="46"/>
      <c r="U401" s="46"/>
      <c r="V401" s="46"/>
      <c r="W401" s="46"/>
    </row>
    <row r="402">
      <c r="A402" s="55"/>
      <c r="B402" s="214"/>
      <c r="C402" s="55"/>
      <c r="D402" s="214"/>
      <c r="E402" s="122"/>
      <c r="F402" s="219"/>
      <c r="G402" s="122"/>
      <c r="H402" s="214"/>
      <c r="I402" s="220"/>
      <c r="J402" s="46"/>
      <c r="K402" s="46"/>
      <c r="L402" s="46"/>
      <c r="M402" s="46"/>
      <c r="N402" s="46"/>
      <c r="O402" s="46"/>
      <c r="P402" s="46"/>
      <c r="Q402" s="46"/>
      <c r="R402" s="46"/>
      <c r="S402" s="46"/>
      <c r="T402" s="46"/>
      <c r="U402" s="46"/>
      <c r="V402" s="46"/>
      <c r="W402" s="46"/>
    </row>
    <row r="403">
      <c r="A403" s="55"/>
      <c r="B403" s="214"/>
      <c r="C403" s="55"/>
      <c r="D403" s="214"/>
      <c r="E403" s="122"/>
      <c r="F403" s="219"/>
      <c r="G403" s="122"/>
      <c r="H403" s="214"/>
      <c r="I403" s="220"/>
      <c r="J403" s="46"/>
      <c r="K403" s="46"/>
      <c r="L403" s="46"/>
      <c r="M403" s="46"/>
      <c r="N403" s="46"/>
      <c r="O403" s="46"/>
      <c r="P403" s="46"/>
      <c r="Q403" s="46"/>
      <c r="R403" s="46"/>
      <c r="S403" s="46"/>
      <c r="T403" s="46"/>
      <c r="U403" s="46"/>
      <c r="V403" s="46"/>
      <c r="W403" s="46"/>
    </row>
    <row r="404">
      <c r="A404" s="55"/>
      <c r="B404" s="214"/>
      <c r="C404" s="55"/>
      <c r="D404" s="214"/>
      <c r="E404" s="122"/>
      <c r="F404" s="219"/>
      <c r="G404" s="122"/>
      <c r="H404" s="214"/>
      <c r="I404" s="220"/>
      <c r="J404" s="46"/>
      <c r="K404" s="46"/>
      <c r="L404" s="46"/>
      <c r="M404" s="46"/>
      <c r="N404" s="46"/>
      <c r="O404" s="46"/>
      <c r="P404" s="46"/>
      <c r="Q404" s="46"/>
      <c r="R404" s="46"/>
      <c r="S404" s="46"/>
      <c r="T404" s="46"/>
      <c r="U404" s="46"/>
      <c r="V404" s="46"/>
      <c r="W404" s="46"/>
    </row>
    <row r="405">
      <c r="A405" s="55"/>
      <c r="B405" s="214"/>
      <c r="C405" s="55"/>
      <c r="D405" s="214"/>
      <c r="E405" s="122"/>
      <c r="F405" s="219"/>
      <c r="G405" s="122"/>
      <c r="H405" s="214"/>
      <c r="I405" s="220"/>
      <c r="J405" s="46"/>
      <c r="K405" s="46"/>
      <c r="L405" s="46"/>
      <c r="M405" s="46"/>
      <c r="N405" s="46"/>
      <c r="O405" s="46"/>
      <c r="P405" s="46"/>
      <c r="Q405" s="46"/>
      <c r="R405" s="46"/>
      <c r="S405" s="46"/>
      <c r="T405" s="46"/>
      <c r="U405" s="46"/>
      <c r="V405" s="46"/>
      <c r="W405" s="46"/>
    </row>
    <row r="406">
      <c r="A406" s="55"/>
      <c r="B406" s="214"/>
      <c r="C406" s="55"/>
      <c r="D406" s="214"/>
      <c r="E406" s="122"/>
      <c r="F406" s="219"/>
      <c r="G406" s="122"/>
      <c r="H406" s="214"/>
      <c r="I406" s="220"/>
      <c r="J406" s="46"/>
      <c r="K406" s="46"/>
      <c r="L406" s="46"/>
      <c r="M406" s="46"/>
      <c r="N406" s="46"/>
      <c r="O406" s="46"/>
      <c r="P406" s="46"/>
      <c r="Q406" s="46"/>
      <c r="R406" s="46"/>
      <c r="S406" s="46"/>
      <c r="T406" s="46"/>
      <c r="U406" s="46"/>
      <c r="V406" s="46"/>
      <c r="W406" s="46"/>
    </row>
    <row r="407">
      <c r="A407" s="55"/>
      <c r="B407" s="214"/>
      <c r="C407" s="55"/>
      <c r="D407" s="214"/>
      <c r="E407" s="122"/>
      <c r="F407" s="219"/>
      <c r="G407" s="122"/>
      <c r="H407" s="214"/>
      <c r="I407" s="220"/>
      <c r="J407" s="46"/>
      <c r="K407" s="46"/>
      <c r="L407" s="46"/>
      <c r="M407" s="46"/>
      <c r="N407" s="46"/>
      <c r="O407" s="46"/>
      <c r="P407" s="46"/>
      <c r="Q407" s="46"/>
      <c r="R407" s="46"/>
      <c r="S407" s="46"/>
      <c r="T407" s="46"/>
      <c r="U407" s="46"/>
      <c r="V407" s="46"/>
      <c r="W407" s="46"/>
    </row>
    <row r="408">
      <c r="A408" s="55"/>
      <c r="B408" s="214"/>
      <c r="C408" s="55"/>
      <c r="D408" s="214"/>
      <c r="E408" s="122"/>
      <c r="F408" s="219"/>
      <c r="G408" s="122"/>
      <c r="H408" s="214"/>
      <c r="I408" s="220"/>
      <c r="J408" s="46"/>
      <c r="K408" s="46"/>
      <c r="L408" s="46"/>
      <c r="M408" s="46"/>
      <c r="N408" s="46"/>
      <c r="O408" s="46"/>
      <c r="P408" s="46"/>
      <c r="Q408" s="46"/>
      <c r="R408" s="46"/>
      <c r="S408" s="46"/>
      <c r="T408" s="46"/>
      <c r="U408" s="46"/>
      <c r="V408" s="46"/>
      <c r="W408" s="46"/>
    </row>
    <row r="409">
      <c r="A409" s="55"/>
      <c r="B409" s="214"/>
      <c r="C409" s="55"/>
      <c r="D409" s="214"/>
      <c r="E409" s="122"/>
      <c r="F409" s="219"/>
      <c r="G409" s="122"/>
      <c r="H409" s="214"/>
      <c r="I409" s="220"/>
      <c r="J409" s="46"/>
      <c r="K409" s="46"/>
      <c r="L409" s="46"/>
      <c r="M409" s="46"/>
      <c r="N409" s="46"/>
      <c r="O409" s="46"/>
      <c r="P409" s="46"/>
      <c r="Q409" s="46"/>
      <c r="R409" s="46"/>
      <c r="S409" s="46"/>
      <c r="T409" s="46"/>
      <c r="U409" s="46"/>
      <c r="V409" s="46"/>
      <c r="W409" s="46"/>
    </row>
    <row r="410">
      <c r="A410" s="55"/>
      <c r="B410" s="214"/>
      <c r="C410" s="55"/>
      <c r="D410" s="214"/>
      <c r="E410" s="122"/>
      <c r="F410" s="219"/>
      <c r="G410" s="122"/>
      <c r="H410" s="214"/>
      <c r="I410" s="220"/>
      <c r="J410" s="46"/>
      <c r="K410" s="46"/>
      <c r="L410" s="46"/>
      <c r="M410" s="46"/>
      <c r="N410" s="46"/>
      <c r="O410" s="46"/>
      <c r="P410" s="46"/>
      <c r="Q410" s="46"/>
      <c r="R410" s="46"/>
      <c r="S410" s="46"/>
      <c r="T410" s="46"/>
      <c r="U410" s="46"/>
      <c r="V410" s="46"/>
      <c r="W410" s="46"/>
    </row>
    <row r="411">
      <c r="A411" s="55"/>
      <c r="B411" s="214"/>
      <c r="C411" s="55"/>
      <c r="D411" s="214"/>
      <c r="E411" s="122"/>
      <c r="F411" s="219"/>
      <c r="G411" s="122"/>
      <c r="H411" s="214"/>
      <c r="I411" s="220"/>
      <c r="J411" s="46"/>
      <c r="K411" s="46"/>
      <c r="L411" s="46"/>
      <c r="M411" s="46"/>
      <c r="N411" s="46"/>
      <c r="O411" s="46"/>
      <c r="P411" s="46"/>
      <c r="Q411" s="46"/>
      <c r="R411" s="46"/>
      <c r="S411" s="46"/>
      <c r="T411" s="46"/>
      <c r="U411" s="46"/>
      <c r="V411" s="46"/>
      <c r="W411" s="46"/>
    </row>
    <row r="412">
      <c r="A412" s="55"/>
      <c r="B412" s="214"/>
      <c r="C412" s="55"/>
      <c r="D412" s="214"/>
      <c r="E412" s="122"/>
      <c r="F412" s="219"/>
      <c r="G412" s="122"/>
      <c r="H412" s="214"/>
      <c r="I412" s="220"/>
      <c r="J412" s="46"/>
      <c r="K412" s="46"/>
      <c r="L412" s="46"/>
      <c r="M412" s="46"/>
      <c r="N412" s="46"/>
      <c r="O412" s="46"/>
      <c r="P412" s="46"/>
      <c r="Q412" s="46"/>
      <c r="R412" s="46"/>
      <c r="S412" s="46"/>
      <c r="T412" s="46"/>
      <c r="U412" s="46"/>
      <c r="V412" s="46"/>
      <c r="W412" s="46"/>
    </row>
    <row r="413">
      <c r="A413" s="55"/>
      <c r="B413" s="214"/>
      <c r="C413" s="55"/>
      <c r="D413" s="214"/>
      <c r="E413" s="122"/>
      <c r="F413" s="219"/>
      <c r="G413" s="122"/>
      <c r="H413" s="214"/>
      <c r="I413" s="220"/>
      <c r="J413" s="46"/>
      <c r="K413" s="46"/>
      <c r="L413" s="46"/>
      <c r="M413" s="46"/>
      <c r="N413" s="46"/>
      <c r="O413" s="46"/>
      <c r="P413" s="46"/>
      <c r="Q413" s="46"/>
      <c r="R413" s="46"/>
      <c r="S413" s="46"/>
      <c r="T413" s="46"/>
      <c r="U413" s="46"/>
      <c r="V413" s="46"/>
      <c r="W413" s="46"/>
    </row>
    <row r="414">
      <c r="A414" s="55"/>
      <c r="B414" s="214"/>
      <c r="C414" s="55"/>
      <c r="D414" s="214"/>
      <c r="E414" s="122"/>
      <c r="F414" s="219"/>
      <c r="G414" s="122"/>
      <c r="H414" s="214"/>
      <c r="I414" s="220"/>
      <c r="J414" s="46"/>
      <c r="K414" s="46"/>
      <c r="L414" s="46"/>
      <c r="M414" s="46"/>
      <c r="N414" s="46"/>
      <c r="O414" s="46"/>
      <c r="P414" s="46"/>
      <c r="Q414" s="46"/>
      <c r="R414" s="46"/>
      <c r="S414" s="46"/>
      <c r="T414" s="46"/>
      <c r="U414" s="46"/>
      <c r="V414" s="46"/>
      <c r="W414" s="46"/>
    </row>
    <row r="415">
      <c r="A415" s="55"/>
      <c r="B415" s="214"/>
      <c r="C415" s="55"/>
      <c r="D415" s="214"/>
      <c r="E415" s="122"/>
      <c r="F415" s="219"/>
      <c r="G415" s="122"/>
      <c r="H415" s="214"/>
      <c r="I415" s="220"/>
      <c r="J415" s="46"/>
      <c r="K415" s="46"/>
      <c r="L415" s="46"/>
      <c r="M415" s="46"/>
      <c r="N415" s="46"/>
      <c r="O415" s="46"/>
      <c r="P415" s="46"/>
      <c r="Q415" s="46"/>
      <c r="R415" s="46"/>
      <c r="S415" s="46"/>
      <c r="T415" s="46"/>
      <c r="U415" s="46"/>
      <c r="V415" s="46"/>
      <c r="W415" s="46"/>
    </row>
    <row r="416">
      <c r="A416" s="55"/>
      <c r="B416" s="214"/>
      <c r="C416" s="55"/>
      <c r="D416" s="214"/>
      <c r="E416" s="122"/>
      <c r="F416" s="219"/>
      <c r="G416" s="122"/>
      <c r="H416" s="214"/>
      <c r="I416" s="220"/>
      <c r="J416" s="46"/>
      <c r="K416" s="46"/>
      <c r="L416" s="46"/>
      <c r="M416" s="46"/>
      <c r="N416" s="46"/>
      <c r="O416" s="46"/>
      <c r="P416" s="46"/>
      <c r="Q416" s="46"/>
      <c r="R416" s="46"/>
      <c r="S416" s="46"/>
      <c r="T416" s="46"/>
      <c r="U416" s="46"/>
      <c r="V416" s="46"/>
      <c r="W416" s="46"/>
    </row>
    <row r="417">
      <c r="A417" s="55"/>
      <c r="B417" s="214"/>
      <c r="C417" s="55"/>
      <c r="D417" s="214"/>
      <c r="E417" s="122"/>
      <c r="F417" s="219"/>
      <c r="G417" s="122"/>
      <c r="H417" s="214"/>
      <c r="I417" s="220"/>
      <c r="J417" s="46"/>
      <c r="K417" s="46"/>
      <c r="L417" s="46"/>
      <c r="M417" s="46"/>
      <c r="N417" s="46"/>
      <c r="O417" s="46"/>
      <c r="P417" s="46"/>
      <c r="Q417" s="46"/>
      <c r="R417" s="46"/>
      <c r="S417" s="46"/>
      <c r="T417" s="46"/>
      <c r="U417" s="46"/>
      <c r="V417" s="46"/>
      <c r="W417" s="46"/>
    </row>
    <row r="418">
      <c r="A418" s="55"/>
      <c r="B418" s="214"/>
      <c r="C418" s="55"/>
      <c r="D418" s="214"/>
      <c r="E418" s="122"/>
      <c r="F418" s="219"/>
      <c r="G418" s="122"/>
      <c r="H418" s="214"/>
      <c r="I418" s="220"/>
      <c r="J418" s="46"/>
      <c r="K418" s="46"/>
      <c r="L418" s="46"/>
      <c r="M418" s="46"/>
      <c r="N418" s="46"/>
      <c r="O418" s="46"/>
      <c r="P418" s="46"/>
      <c r="Q418" s="46"/>
      <c r="R418" s="46"/>
      <c r="S418" s="46"/>
      <c r="T418" s="46"/>
      <c r="U418" s="46"/>
      <c r="V418" s="46"/>
      <c r="W418" s="46"/>
    </row>
    <row r="419">
      <c r="A419" s="55"/>
      <c r="B419" s="214"/>
      <c r="C419" s="55"/>
      <c r="D419" s="214"/>
      <c r="E419" s="122"/>
      <c r="F419" s="219"/>
      <c r="G419" s="122"/>
      <c r="H419" s="214"/>
      <c r="I419" s="220"/>
      <c r="J419" s="46"/>
      <c r="K419" s="46"/>
      <c r="L419" s="46"/>
      <c r="M419" s="46"/>
      <c r="N419" s="46"/>
      <c r="O419" s="46"/>
      <c r="P419" s="46"/>
      <c r="Q419" s="46"/>
      <c r="R419" s="46"/>
      <c r="S419" s="46"/>
      <c r="T419" s="46"/>
      <c r="U419" s="46"/>
      <c r="V419" s="46"/>
      <c r="W419" s="46"/>
    </row>
    <row r="420">
      <c r="A420" s="55"/>
      <c r="B420" s="214"/>
      <c r="C420" s="55"/>
      <c r="D420" s="214"/>
      <c r="E420" s="122"/>
      <c r="F420" s="219"/>
      <c r="G420" s="122"/>
      <c r="H420" s="214"/>
      <c r="I420" s="220"/>
      <c r="J420" s="46"/>
      <c r="K420" s="46"/>
      <c r="L420" s="46"/>
      <c r="M420" s="46"/>
      <c r="N420" s="46"/>
      <c r="O420" s="46"/>
      <c r="P420" s="46"/>
      <c r="Q420" s="46"/>
      <c r="R420" s="46"/>
      <c r="S420" s="46"/>
      <c r="T420" s="46"/>
      <c r="U420" s="46"/>
      <c r="V420" s="46"/>
      <c r="W420" s="46"/>
    </row>
    <row r="421">
      <c r="A421" s="55"/>
      <c r="B421" s="214"/>
      <c r="C421" s="55"/>
      <c r="D421" s="214"/>
      <c r="E421" s="122"/>
      <c r="F421" s="219"/>
      <c r="G421" s="122"/>
      <c r="H421" s="214"/>
      <c r="I421" s="220"/>
      <c r="J421" s="46"/>
      <c r="K421" s="46"/>
      <c r="L421" s="46"/>
      <c r="M421" s="46"/>
      <c r="N421" s="46"/>
      <c r="O421" s="46"/>
      <c r="P421" s="46"/>
      <c r="Q421" s="46"/>
      <c r="R421" s="46"/>
      <c r="S421" s="46"/>
      <c r="T421" s="46"/>
      <c r="U421" s="46"/>
      <c r="V421" s="46"/>
      <c r="W421" s="46"/>
    </row>
    <row r="422">
      <c r="A422" s="55"/>
      <c r="B422" s="214"/>
      <c r="C422" s="55"/>
      <c r="D422" s="214"/>
      <c r="E422" s="122"/>
      <c r="F422" s="219"/>
      <c r="G422" s="122"/>
      <c r="H422" s="214"/>
      <c r="I422" s="220"/>
      <c r="J422" s="46"/>
      <c r="K422" s="46"/>
      <c r="L422" s="46"/>
      <c r="M422" s="46"/>
      <c r="N422" s="46"/>
      <c r="O422" s="46"/>
      <c r="P422" s="46"/>
      <c r="Q422" s="46"/>
      <c r="R422" s="46"/>
      <c r="S422" s="46"/>
      <c r="T422" s="46"/>
      <c r="U422" s="46"/>
      <c r="V422" s="46"/>
      <c r="W422" s="46"/>
    </row>
    <row r="423">
      <c r="A423" s="55"/>
      <c r="B423" s="214"/>
      <c r="C423" s="55"/>
      <c r="D423" s="214"/>
      <c r="E423" s="122"/>
      <c r="F423" s="219"/>
      <c r="G423" s="122"/>
      <c r="H423" s="214"/>
      <c r="I423" s="220"/>
      <c r="J423" s="46"/>
      <c r="K423" s="46"/>
      <c r="L423" s="46"/>
      <c r="M423" s="46"/>
      <c r="N423" s="46"/>
      <c r="O423" s="46"/>
      <c r="P423" s="46"/>
      <c r="Q423" s="46"/>
      <c r="R423" s="46"/>
      <c r="S423" s="46"/>
      <c r="T423" s="46"/>
      <c r="U423" s="46"/>
      <c r="V423" s="46"/>
      <c r="W423" s="46"/>
    </row>
    <row r="424">
      <c r="A424" s="55"/>
      <c r="B424" s="214"/>
      <c r="C424" s="55"/>
      <c r="D424" s="214"/>
      <c r="E424" s="122"/>
      <c r="F424" s="219"/>
      <c r="G424" s="122"/>
      <c r="H424" s="214"/>
      <c r="I424" s="220"/>
      <c r="J424" s="46"/>
      <c r="K424" s="46"/>
      <c r="L424" s="46"/>
      <c r="M424" s="46"/>
      <c r="N424" s="46"/>
      <c r="O424" s="46"/>
      <c r="P424" s="46"/>
      <c r="Q424" s="46"/>
      <c r="R424" s="46"/>
      <c r="S424" s="46"/>
      <c r="T424" s="46"/>
      <c r="U424" s="46"/>
      <c r="V424" s="46"/>
      <c r="W424" s="46"/>
    </row>
    <row r="425">
      <c r="A425" s="55"/>
      <c r="B425" s="214"/>
      <c r="C425" s="55"/>
      <c r="D425" s="214"/>
      <c r="E425" s="122"/>
      <c r="F425" s="219"/>
      <c r="G425" s="122"/>
      <c r="H425" s="214"/>
      <c r="I425" s="220"/>
      <c r="J425" s="46"/>
      <c r="K425" s="46"/>
      <c r="L425" s="46"/>
      <c r="M425" s="46"/>
      <c r="N425" s="46"/>
      <c r="O425" s="46"/>
      <c r="P425" s="46"/>
      <c r="Q425" s="46"/>
      <c r="R425" s="46"/>
      <c r="S425" s="46"/>
      <c r="T425" s="46"/>
      <c r="U425" s="46"/>
      <c r="V425" s="46"/>
      <c r="W425" s="46"/>
    </row>
    <row r="426">
      <c r="A426" s="55"/>
      <c r="B426" s="214"/>
      <c r="C426" s="55"/>
      <c r="D426" s="214"/>
      <c r="E426" s="122"/>
      <c r="F426" s="219"/>
      <c r="G426" s="122"/>
      <c r="H426" s="214"/>
      <c r="I426" s="220"/>
      <c r="J426" s="46"/>
      <c r="K426" s="46"/>
      <c r="L426" s="46"/>
      <c r="M426" s="46"/>
      <c r="N426" s="46"/>
      <c r="O426" s="46"/>
      <c r="P426" s="46"/>
      <c r="Q426" s="46"/>
      <c r="R426" s="46"/>
      <c r="S426" s="46"/>
      <c r="T426" s="46"/>
      <c r="U426" s="46"/>
      <c r="V426" s="46"/>
      <c r="W426" s="46"/>
    </row>
    <row r="427">
      <c r="A427" s="55"/>
      <c r="B427" s="214"/>
      <c r="C427" s="55"/>
      <c r="D427" s="214"/>
      <c r="E427" s="122"/>
      <c r="F427" s="219"/>
      <c r="G427" s="122"/>
      <c r="H427" s="214"/>
      <c r="I427" s="220"/>
      <c r="J427" s="46"/>
      <c r="K427" s="46"/>
      <c r="L427" s="46"/>
      <c r="M427" s="46"/>
      <c r="N427" s="46"/>
      <c r="O427" s="46"/>
      <c r="P427" s="46"/>
      <c r="Q427" s="46"/>
      <c r="R427" s="46"/>
      <c r="S427" s="46"/>
      <c r="T427" s="46"/>
      <c r="U427" s="46"/>
      <c r="V427" s="46"/>
      <c r="W427" s="46"/>
    </row>
    <row r="428">
      <c r="A428" s="55"/>
      <c r="B428" s="214"/>
      <c r="C428" s="55"/>
      <c r="D428" s="214"/>
      <c r="E428" s="122"/>
      <c r="F428" s="219"/>
      <c r="G428" s="122"/>
      <c r="H428" s="214"/>
      <c r="I428" s="220"/>
      <c r="J428" s="46"/>
      <c r="K428" s="46"/>
      <c r="L428" s="46"/>
      <c r="M428" s="46"/>
      <c r="N428" s="46"/>
      <c r="O428" s="46"/>
      <c r="P428" s="46"/>
      <c r="Q428" s="46"/>
      <c r="R428" s="46"/>
      <c r="S428" s="46"/>
      <c r="T428" s="46"/>
      <c r="U428" s="46"/>
      <c r="V428" s="46"/>
      <c r="W428" s="46"/>
    </row>
    <row r="429">
      <c r="A429" s="55"/>
      <c r="B429" s="214"/>
      <c r="C429" s="55"/>
      <c r="D429" s="214"/>
      <c r="E429" s="122"/>
      <c r="F429" s="219"/>
      <c r="G429" s="122"/>
      <c r="H429" s="214"/>
      <c r="I429" s="220"/>
      <c r="J429" s="46"/>
      <c r="K429" s="46"/>
      <c r="L429" s="46"/>
      <c r="M429" s="46"/>
      <c r="N429" s="46"/>
      <c r="O429" s="46"/>
      <c r="P429" s="46"/>
      <c r="Q429" s="46"/>
      <c r="R429" s="46"/>
      <c r="S429" s="46"/>
      <c r="T429" s="46"/>
      <c r="U429" s="46"/>
      <c r="V429" s="46"/>
      <c r="W429" s="46"/>
    </row>
    <row r="430">
      <c r="A430" s="55"/>
      <c r="B430" s="214"/>
      <c r="C430" s="55"/>
      <c r="D430" s="214"/>
      <c r="E430" s="122"/>
      <c r="F430" s="219"/>
      <c r="G430" s="122"/>
      <c r="H430" s="214"/>
      <c r="I430" s="220"/>
      <c r="J430" s="46"/>
      <c r="K430" s="46"/>
      <c r="L430" s="46"/>
      <c r="M430" s="46"/>
      <c r="N430" s="46"/>
      <c r="O430" s="46"/>
      <c r="P430" s="46"/>
      <c r="Q430" s="46"/>
      <c r="R430" s="46"/>
      <c r="S430" s="46"/>
      <c r="T430" s="46"/>
      <c r="U430" s="46"/>
      <c r="V430" s="46"/>
      <c r="W430" s="46"/>
    </row>
    <row r="431">
      <c r="A431" s="55"/>
      <c r="B431" s="214"/>
      <c r="C431" s="55"/>
      <c r="D431" s="214"/>
      <c r="E431" s="122"/>
      <c r="F431" s="219"/>
      <c r="G431" s="122"/>
      <c r="H431" s="214"/>
      <c r="I431" s="220"/>
      <c r="J431" s="46"/>
      <c r="K431" s="46"/>
      <c r="L431" s="46"/>
      <c r="M431" s="46"/>
      <c r="N431" s="46"/>
      <c r="O431" s="46"/>
      <c r="P431" s="46"/>
      <c r="Q431" s="46"/>
      <c r="R431" s="46"/>
      <c r="S431" s="46"/>
      <c r="T431" s="46"/>
      <c r="U431" s="46"/>
      <c r="V431" s="46"/>
      <c r="W431" s="46"/>
    </row>
    <row r="432">
      <c r="A432" s="55"/>
      <c r="B432" s="214"/>
      <c r="C432" s="55"/>
      <c r="D432" s="214"/>
      <c r="E432" s="122"/>
      <c r="F432" s="219"/>
      <c r="G432" s="122"/>
      <c r="H432" s="214"/>
      <c r="I432" s="220"/>
      <c r="J432" s="46"/>
      <c r="K432" s="46"/>
      <c r="L432" s="46"/>
      <c r="M432" s="46"/>
      <c r="N432" s="46"/>
      <c r="O432" s="46"/>
      <c r="P432" s="46"/>
      <c r="Q432" s="46"/>
      <c r="R432" s="46"/>
      <c r="S432" s="46"/>
      <c r="T432" s="46"/>
      <c r="U432" s="46"/>
      <c r="V432" s="46"/>
      <c r="W432" s="46"/>
    </row>
    <row r="433">
      <c r="A433" s="55"/>
      <c r="B433" s="214"/>
      <c r="C433" s="55"/>
      <c r="D433" s="214"/>
      <c r="E433" s="122"/>
      <c r="F433" s="219"/>
      <c r="G433" s="122"/>
      <c r="H433" s="214"/>
      <c r="I433" s="220"/>
      <c r="J433" s="46"/>
      <c r="K433" s="46"/>
      <c r="L433" s="46"/>
      <c r="M433" s="46"/>
      <c r="N433" s="46"/>
      <c r="O433" s="46"/>
      <c r="P433" s="46"/>
      <c r="Q433" s="46"/>
      <c r="R433" s="46"/>
      <c r="S433" s="46"/>
      <c r="T433" s="46"/>
      <c r="U433" s="46"/>
      <c r="V433" s="46"/>
      <c r="W433" s="46"/>
    </row>
    <row r="434">
      <c r="A434" s="55"/>
      <c r="B434" s="214"/>
      <c r="C434" s="55"/>
      <c r="D434" s="214"/>
      <c r="E434" s="122"/>
      <c r="F434" s="219"/>
      <c r="G434" s="122"/>
      <c r="H434" s="214"/>
      <c r="I434" s="220"/>
      <c r="J434" s="46"/>
      <c r="K434" s="46"/>
      <c r="L434" s="46"/>
      <c r="M434" s="46"/>
      <c r="N434" s="46"/>
      <c r="O434" s="46"/>
      <c r="P434" s="46"/>
      <c r="Q434" s="46"/>
      <c r="R434" s="46"/>
      <c r="S434" s="46"/>
      <c r="T434" s="46"/>
      <c r="U434" s="46"/>
      <c r="V434" s="46"/>
      <c r="W434" s="46"/>
    </row>
    <row r="435">
      <c r="A435" s="55"/>
      <c r="B435" s="214"/>
      <c r="C435" s="55"/>
      <c r="D435" s="214"/>
      <c r="E435" s="122"/>
      <c r="F435" s="219"/>
      <c r="G435" s="122"/>
      <c r="H435" s="214"/>
      <c r="I435" s="220"/>
      <c r="J435" s="46"/>
      <c r="K435" s="46"/>
      <c r="L435" s="46"/>
      <c r="M435" s="46"/>
      <c r="N435" s="46"/>
      <c r="O435" s="46"/>
      <c r="P435" s="46"/>
      <c r="Q435" s="46"/>
      <c r="R435" s="46"/>
      <c r="S435" s="46"/>
      <c r="T435" s="46"/>
      <c r="U435" s="46"/>
      <c r="V435" s="46"/>
      <c r="W435" s="46"/>
    </row>
    <row r="436">
      <c r="A436" s="55"/>
      <c r="B436" s="214"/>
      <c r="C436" s="55"/>
      <c r="D436" s="214"/>
      <c r="E436" s="122"/>
      <c r="F436" s="219"/>
      <c r="G436" s="122"/>
      <c r="H436" s="214"/>
      <c r="I436" s="220"/>
      <c r="J436" s="46"/>
      <c r="K436" s="46"/>
      <c r="L436" s="46"/>
      <c r="M436" s="46"/>
      <c r="N436" s="46"/>
      <c r="O436" s="46"/>
      <c r="P436" s="46"/>
      <c r="Q436" s="46"/>
      <c r="R436" s="46"/>
      <c r="S436" s="46"/>
      <c r="T436" s="46"/>
      <c r="U436" s="46"/>
      <c r="V436" s="46"/>
      <c r="W436" s="46"/>
    </row>
    <row r="437">
      <c r="A437" s="55"/>
      <c r="B437" s="214"/>
      <c r="C437" s="55"/>
      <c r="D437" s="214"/>
      <c r="E437" s="122"/>
      <c r="F437" s="219"/>
      <c r="G437" s="122"/>
      <c r="H437" s="214"/>
      <c r="I437" s="220"/>
      <c r="J437" s="46"/>
      <c r="K437" s="46"/>
      <c r="L437" s="46"/>
      <c r="M437" s="46"/>
      <c r="N437" s="46"/>
      <c r="O437" s="46"/>
      <c r="P437" s="46"/>
      <c r="Q437" s="46"/>
      <c r="R437" s="46"/>
      <c r="S437" s="46"/>
      <c r="T437" s="46"/>
      <c r="U437" s="46"/>
      <c r="V437" s="46"/>
      <c r="W437" s="46"/>
    </row>
    <row r="438">
      <c r="A438" s="55"/>
      <c r="B438" s="214"/>
      <c r="C438" s="55"/>
      <c r="D438" s="214"/>
      <c r="E438" s="122"/>
      <c r="F438" s="219"/>
      <c r="G438" s="122"/>
      <c r="H438" s="214"/>
      <c r="I438" s="220"/>
      <c r="J438" s="46"/>
      <c r="K438" s="46"/>
      <c r="L438" s="46"/>
      <c r="M438" s="46"/>
      <c r="N438" s="46"/>
      <c r="O438" s="46"/>
      <c r="P438" s="46"/>
      <c r="Q438" s="46"/>
      <c r="R438" s="46"/>
      <c r="S438" s="46"/>
      <c r="T438" s="46"/>
      <c r="U438" s="46"/>
      <c r="V438" s="46"/>
      <c r="W438" s="46"/>
    </row>
    <row r="439">
      <c r="A439" s="55"/>
      <c r="B439" s="214"/>
      <c r="C439" s="55"/>
      <c r="D439" s="214"/>
      <c r="E439" s="122"/>
      <c r="F439" s="219"/>
      <c r="G439" s="122"/>
      <c r="H439" s="214"/>
      <c r="I439" s="220"/>
      <c r="J439" s="46"/>
      <c r="K439" s="46"/>
      <c r="L439" s="46"/>
      <c r="M439" s="46"/>
      <c r="N439" s="46"/>
      <c r="O439" s="46"/>
      <c r="P439" s="46"/>
      <c r="Q439" s="46"/>
      <c r="R439" s="46"/>
      <c r="S439" s="46"/>
      <c r="T439" s="46"/>
      <c r="U439" s="46"/>
      <c r="V439" s="46"/>
      <c r="W439" s="46"/>
    </row>
    <row r="440">
      <c r="A440" s="55"/>
      <c r="B440" s="214"/>
      <c r="C440" s="55"/>
      <c r="D440" s="214"/>
      <c r="E440" s="122"/>
      <c r="F440" s="219"/>
      <c r="G440" s="122"/>
      <c r="H440" s="214"/>
      <c r="I440" s="220"/>
      <c r="J440" s="46"/>
      <c r="K440" s="46"/>
      <c r="L440" s="46"/>
      <c r="M440" s="46"/>
      <c r="N440" s="46"/>
      <c r="O440" s="46"/>
      <c r="P440" s="46"/>
      <c r="Q440" s="46"/>
      <c r="R440" s="46"/>
      <c r="S440" s="46"/>
      <c r="T440" s="46"/>
      <c r="U440" s="46"/>
      <c r="V440" s="46"/>
      <c r="W440" s="46"/>
    </row>
    <row r="441">
      <c r="A441" s="55"/>
      <c r="B441" s="214"/>
      <c r="C441" s="55"/>
      <c r="D441" s="214"/>
      <c r="E441" s="122"/>
      <c r="F441" s="219"/>
      <c r="G441" s="122"/>
      <c r="H441" s="214"/>
      <c r="I441" s="220"/>
      <c r="J441" s="46"/>
      <c r="K441" s="46"/>
      <c r="L441" s="46"/>
      <c r="M441" s="46"/>
      <c r="N441" s="46"/>
      <c r="O441" s="46"/>
      <c r="P441" s="46"/>
      <c r="Q441" s="46"/>
      <c r="R441" s="46"/>
      <c r="S441" s="46"/>
      <c r="T441" s="46"/>
      <c r="U441" s="46"/>
      <c r="V441" s="46"/>
      <c r="W441" s="46"/>
    </row>
    <row r="442">
      <c r="A442" s="55"/>
      <c r="B442" s="214"/>
      <c r="C442" s="55"/>
      <c r="D442" s="214"/>
      <c r="E442" s="122"/>
      <c r="F442" s="219"/>
      <c r="G442" s="122"/>
      <c r="H442" s="214"/>
      <c r="I442" s="220"/>
      <c r="J442" s="46"/>
      <c r="K442" s="46"/>
      <c r="L442" s="46"/>
      <c r="M442" s="46"/>
      <c r="N442" s="46"/>
      <c r="O442" s="46"/>
      <c r="P442" s="46"/>
      <c r="Q442" s="46"/>
      <c r="R442" s="46"/>
      <c r="S442" s="46"/>
      <c r="T442" s="46"/>
      <c r="U442" s="46"/>
      <c r="V442" s="46"/>
      <c r="W442" s="46"/>
    </row>
    <row r="443">
      <c r="A443" s="55"/>
      <c r="B443" s="214"/>
      <c r="C443" s="55"/>
      <c r="D443" s="214"/>
      <c r="E443" s="122"/>
      <c r="F443" s="219"/>
      <c r="G443" s="122"/>
      <c r="H443" s="214"/>
      <c r="I443" s="220"/>
      <c r="J443" s="46"/>
      <c r="K443" s="46"/>
      <c r="L443" s="46"/>
      <c r="M443" s="46"/>
      <c r="N443" s="46"/>
      <c r="O443" s="46"/>
      <c r="P443" s="46"/>
      <c r="Q443" s="46"/>
      <c r="R443" s="46"/>
      <c r="S443" s="46"/>
      <c r="T443" s="46"/>
      <c r="U443" s="46"/>
      <c r="V443" s="46"/>
      <c r="W443" s="46"/>
    </row>
    <row r="444">
      <c r="A444" s="55"/>
      <c r="B444" s="214"/>
      <c r="C444" s="55"/>
      <c r="D444" s="214"/>
      <c r="E444" s="122"/>
      <c r="F444" s="219"/>
      <c r="G444" s="122"/>
      <c r="H444" s="214"/>
      <c r="I444" s="220"/>
      <c r="J444" s="46"/>
      <c r="K444" s="46"/>
      <c r="L444" s="46"/>
      <c r="M444" s="46"/>
      <c r="N444" s="46"/>
      <c r="O444" s="46"/>
      <c r="P444" s="46"/>
      <c r="Q444" s="46"/>
      <c r="R444" s="46"/>
      <c r="S444" s="46"/>
      <c r="T444" s="46"/>
      <c r="U444" s="46"/>
      <c r="V444" s="46"/>
      <c r="W444" s="46"/>
    </row>
    <row r="445">
      <c r="A445" s="55"/>
      <c r="B445" s="214"/>
      <c r="C445" s="55"/>
      <c r="D445" s="214"/>
      <c r="E445" s="122"/>
      <c r="F445" s="219"/>
      <c r="G445" s="122"/>
      <c r="H445" s="214"/>
      <c r="I445" s="220"/>
      <c r="J445" s="46"/>
      <c r="K445" s="46"/>
      <c r="L445" s="46"/>
      <c r="M445" s="46"/>
      <c r="N445" s="46"/>
      <c r="O445" s="46"/>
      <c r="P445" s="46"/>
      <c r="Q445" s="46"/>
      <c r="R445" s="46"/>
      <c r="S445" s="46"/>
      <c r="T445" s="46"/>
      <c r="U445" s="46"/>
      <c r="V445" s="46"/>
      <c r="W445" s="46"/>
    </row>
    <row r="446">
      <c r="A446" s="55"/>
      <c r="B446" s="214"/>
      <c r="C446" s="55"/>
      <c r="D446" s="214"/>
      <c r="E446" s="122"/>
      <c r="F446" s="219"/>
      <c r="G446" s="122"/>
      <c r="H446" s="214"/>
      <c r="I446" s="220"/>
      <c r="J446" s="46"/>
      <c r="K446" s="46"/>
      <c r="L446" s="46"/>
      <c r="M446" s="46"/>
      <c r="N446" s="46"/>
      <c r="O446" s="46"/>
      <c r="P446" s="46"/>
      <c r="Q446" s="46"/>
      <c r="R446" s="46"/>
      <c r="S446" s="46"/>
      <c r="T446" s="46"/>
      <c r="U446" s="46"/>
      <c r="V446" s="46"/>
      <c r="W446" s="46"/>
    </row>
    <row r="447">
      <c r="A447" s="55"/>
      <c r="B447" s="214"/>
      <c r="C447" s="55"/>
      <c r="D447" s="214"/>
      <c r="E447" s="122"/>
      <c r="F447" s="219"/>
      <c r="G447" s="122"/>
      <c r="H447" s="214"/>
      <c r="I447" s="220"/>
      <c r="J447" s="46"/>
      <c r="K447" s="46"/>
      <c r="L447" s="46"/>
      <c r="M447" s="46"/>
      <c r="N447" s="46"/>
      <c r="O447" s="46"/>
      <c r="P447" s="46"/>
      <c r="Q447" s="46"/>
      <c r="R447" s="46"/>
      <c r="S447" s="46"/>
      <c r="T447" s="46"/>
      <c r="U447" s="46"/>
      <c r="V447" s="46"/>
      <c r="W447" s="46"/>
    </row>
    <row r="448">
      <c r="A448" s="55"/>
      <c r="B448" s="214"/>
      <c r="C448" s="55"/>
      <c r="D448" s="214"/>
      <c r="E448" s="122"/>
      <c r="F448" s="219"/>
      <c r="G448" s="122"/>
      <c r="H448" s="214"/>
      <c r="I448" s="220"/>
      <c r="J448" s="46"/>
      <c r="K448" s="46"/>
      <c r="L448" s="46"/>
      <c r="M448" s="46"/>
      <c r="N448" s="46"/>
      <c r="O448" s="46"/>
      <c r="P448" s="46"/>
      <c r="Q448" s="46"/>
      <c r="R448" s="46"/>
      <c r="S448" s="46"/>
      <c r="T448" s="46"/>
      <c r="U448" s="46"/>
      <c r="V448" s="46"/>
      <c r="W448" s="46"/>
    </row>
    <row r="449">
      <c r="A449" s="55"/>
      <c r="B449" s="214"/>
      <c r="C449" s="55"/>
      <c r="D449" s="214"/>
      <c r="E449" s="122"/>
      <c r="F449" s="219"/>
      <c r="G449" s="122"/>
      <c r="H449" s="214"/>
      <c r="I449" s="220"/>
      <c r="J449" s="46"/>
      <c r="K449" s="46"/>
      <c r="L449" s="46"/>
      <c r="M449" s="46"/>
      <c r="N449" s="46"/>
      <c r="O449" s="46"/>
      <c r="P449" s="46"/>
      <c r="Q449" s="46"/>
      <c r="R449" s="46"/>
      <c r="S449" s="46"/>
      <c r="T449" s="46"/>
      <c r="U449" s="46"/>
      <c r="V449" s="46"/>
      <c r="W449" s="46"/>
    </row>
    <row r="450">
      <c r="A450" s="55"/>
      <c r="B450" s="214"/>
      <c r="C450" s="55"/>
      <c r="D450" s="214"/>
      <c r="E450" s="122"/>
      <c r="F450" s="219"/>
      <c r="G450" s="122"/>
      <c r="H450" s="214"/>
      <c r="I450" s="220"/>
      <c r="J450" s="46"/>
      <c r="K450" s="46"/>
      <c r="L450" s="46"/>
      <c r="M450" s="46"/>
      <c r="N450" s="46"/>
      <c r="O450" s="46"/>
      <c r="P450" s="46"/>
      <c r="Q450" s="46"/>
      <c r="R450" s="46"/>
      <c r="S450" s="46"/>
      <c r="T450" s="46"/>
      <c r="U450" s="46"/>
      <c r="V450" s="46"/>
      <c r="W450" s="46"/>
    </row>
    <row r="451">
      <c r="A451" s="55"/>
      <c r="B451" s="214"/>
      <c r="C451" s="55"/>
      <c r="D451" s="214"/>
      <c r="E451" s="122"/>
      <c r="F451" s="219"/>
      <c r="G451" s="122"/>
      <c r="H451" s="214"/>
      <c r="I451" s="220"/>
      <c r="J451" s="46"/>
      <c r="K451" s="46"/>
      <c r="L451" s="46"/>
      <c r="M451" s="46"/>
      <c r="N451" s="46"/>
      <c r="O451" s="46"/>
      <c r="P451" s="46"/>
      <c r="Q451" s="46"/>
      <c r="R451" s="46"/>
      <c r="S451" s="46"/>
      <c r="T451" s="46"/>
      <c r="U451" s="46"/>
      <c r="V451" s="46"/>
      <c r="W451" s="46"/>
    </row>
    <row r="452">
      <c r="A452" s="55"/>
      <c r="B452" s="214"/>
      <c r="C452" s="55"/>
      <c r="D452" s="214"/>
      <c r="E452" s="122"/>
      <c r="F452" s="219"/>
      <c r="G452" s="122"/>
      <c r="H452" s="214"/>
      <c r="I452" s="220"/>
      <c r="J452" s="46"/>
      <c r="K452" s="46"/>
      <c r="L452" s="46"/>
      <c r="M452" s="46"/>
      <c r="N452" s="46"/>
      <c r="O452" s="46"/>
      <c r="P452" s="46"/>
      <c r="Q452" s="46"/>
      <c r="R452" s="46"/>
      <c r="S452" s="46"/>
      <c r="T452" s="46"/>
      <c r="U452" s="46"/>
      <c r="V452" s="46"/>
      <c r="W452" s="46"/>
    </row>
    <row r="453">
      <c r="A453" s="55"/>
      <c r="B453" s="214"/>
      <c r="C453" s="55"/>
      <c r="D453" s="214"/>
      <c r="E453" s="122"/>
      <c r="F453" s="219"/>
      <c r="G453" s="122"/>
      <c r="H453" s="214"/>
      <c r="I453" s="220"/>
      <c r="J453" s="46"/>
      <c r="K453" s="46"/>
      <c r="L453" s="46"/>
      <c r="M453" s="46"/>
      <c r="N453" s="46"/>
      <c r="O453" s="46"/>
      <c r="P453" s="46"/>
      <c r="Q453" s="46"/>
      <c r="R453" s="46"/>
      <c r="S453" s="46"/>
      <c r="T453" s="46"/>
      <c r="U453" s="46"/>
      <c r="V453" s="46"/>
      <c r="W453" s="46"/>
    </row>
    <row r="454">
      <c r="A454" s="55"/>
      <c r="B454" s="214"/>
      <c r="C454" s="55"/>
      <c r="D454" s="214"/>
      <c r="E454" s="122"/>
      <c r="F454" s="219"/>
      <c r="G454" s="122"/>
      <c r="H454" s="214"/>
      <c r="I454" s="220"/>
      <c r="J454" s="46"/>
      <c r="K454" s="46"/>
      <c r="L454" s="46"/>
      <c r="M454" s="46"/>
      <c r="N454" s="46"/>
      <c r="O454" s="46"/>
      <c r="P454" s="46"/>
      <c r="Q454" s="46"/>
      <c r="R454" s="46"/>
      <c r="S454" s="46"/>
      <c r="T454" s="46"/>
      <c r="U454" s="46"/>
      <c r="V454" s="46"/>
      <c r="W454" s="46"/>
    </row>
    <row r="455">
      <c r="A455" s="55"/>
      <c r="B455" s="214"/>
      <c r="C455" s="55"/>
      <c r="D455" s="214"/>
      <c r="E455" s="122"/>
      <c r="F455" s="219"/>
      <c r="G455" s="122"/>
      <c r="H455" s="214"/>
      <c r="I455" s="220"/>
      <c r="J455" s="46"/>
      <c r="K455" s="46"/>
      <c r="L455" s="46"/>
      <c r="M455" s="46"/>
      <c r="N455" s="46"/>
      <c r="O455" s="46"/>
      <c r="P455" s="46"/>
      <c r="Q455" s="46"/>
      <c r="R455" s="46"/>
      <c r="S455" s="46"/>
      <c r="T455" s="46"/>
      <c r="U455" s="46"/>
      <c r="V455" s="46"/>
      <c r="W455" s="46"/>
    </row>
    <row r="456">
      <c r="A456" s="55"/>
      <c r="B456" s="214"/>
      <c r="C456" s="55"/>
      <c r="D456" s="214"/>
      <c r="E456" s="122"/>
      <c r="F456" s="219"/>
      <c r="G456" s="122"/>
      <c r="H456" s="214"/>
      <c r="I456" s="220"/>
      <c r="J456" s="46"/>
      <c r="K456" s="46"/>
      <c r="L456" s="46"/>
      <c r="M456" s="46"/>
      <c r="N456" s="46"/>
      <c r="O456" s="46"/>
      <c r="P456" s="46"/>
      <c r="Q456" s="46"/>
      <c r="R456" s="46"/>
      <c r="S456" s="46"/>
      <c r="T456" s="46"/>
      <c r="U456" s="46"/>
      <c r="V456" s="46"/>
      <c r="W456" s="46"/>
    </row>
    <row r="457">
      <c r="A457" s="55"/>
      <c r="B457" s="214"/>
      <c r="C457" s="55"/>
      <c r="D457" s="214"/>
      <c r="E457" s="122"/>
      <c r="F457" s="219"/>
      <c r="G457" s="122"/>
      <c r="H457" s="214"/>
      <c r="I457" s="220"/>
      <c r="J457" s="46"/>
      <c r="K457" s="46"/>
      <c r="L457" s="46"/>
      <c r="M457" s="46"/>
      <c r="N457" s="46"/>
      <c r="O457" s="46"/>
      <c r="P457" s="46"/>
      <c r="Q457" s="46"/>
      <c r="R457" s="46"/>
      <c r="S457" s="46"/>
      <c r="T457" s="46"/>
      <c r="U457" s="46"/>
      <c r="V457" s="46"/>
      <c r="W457" s="46"/>
    </row>
    <row r="458">
      <c r="A458" s="55"/>
      <c r="B458" s="214"/>
      <c r="C458" s="55"/>
      <c r="D458" s="214"/>
      <c r="E458" s="122"/>
      <c r="F458" s="219"/>
      <c r="G458" s="122"/>
      <c r="H458" s="214"/>
      <c r="I458" s="220"/>
      <c r="J458" s="46"/>
      <c r="K458" s="46"/>
      <c r="L458" s="46"/>
      <c r="M458" s="46"/>
      <c r="N458" s="46"/>
      <c r="O458" s="46"/>
      <c r="P458" s="46"/>
      <c r="Q458" s="46"/>
      <c r="R458" s="46"/>
      <c r="S458" s="46"/>
      <c r="T458" s="46"/>
      <c r="U458" s="46"/>
      <c r="V458" s="46"/>
      <c r="W458" s="46"/>
    </row>
    <row r="459">
      <c r="A459" s="55"/>
      <c r="B459" s="214"/>
      <c r="C459" s="55"/>
      <c r="D459" s="214"/>
      <c r="E459" s="122"/>
      <c r="F459" s="219"/>
      <c r="G459" s="122"/>
      <c r="H459" s="214"/>
      <c r="I459" s="220"/>
      <c r="J459" s="46"/>
      <c r="K459" s="46"/>
      <c r="L459" s="46"/>
      <c r="M459" s="46"/>
      <c r="N459" s="46"/>
      <c r="O459" s="46"/>
      <c r="P459" s="46"/>
      <c r="Q459" s="46"/>
      <c r="R459" s="46"/>
      <c r="S459" s="46"/>
      <c r="T459" s="46"/>
      <c r="U459" s="46"/>
      <c r="V459" s="46"/>
      <c r="W459" s="46"/>
    </row>
    <row r="460">
      <c r="A460" s="55"/>
      <c r="B460" s="214"/>
      <c r="C460" s="55"/>
      <c r="D460" s="214"/>
      <c r="E460" s="122"/>
      <c r="F460" s="219"/>
      <c r="G460" s="122"/>
      <c r="H460" s="214"/>
      <c r="I460" s="220"/>
      <c r="J460" s="46"/>
      <c r="K460" s="46"/>
      <c r="L460" s="46"/>
      <c r="M460" s="46"/>
      <c r="N460" s="46"/>
      <c r="O460" s="46"/>
      <c r="P460" s="46"/>
      <c r="Q460" s="46"/>
      <c r="R460" s="46"/>
      <c r="S460" s="46"/>
      <c r="T460" s="46"/>
      <c r="U460" s="46"/>
      <c r="V460" s="46"/>
      <c r="W460" s="46"/>
    </row>
    <row r="461">
      <c r="A461" s="55"/>
      <c r="B461" s="214"/>
      <c r="C461" s="55"/>
      <c r="D461" s="214"/>
      <c r="E461" s="122"/>
      <c r="F461" s="219"/>
      <c r="G461" s="122"/>
      <c r="H461" s="214"/>
      <c r="I461" s="220"/>
      <c r="J461" s="46"/>
      <c r="K461" s="46"/>
      <c r="L461" s="46"/>
      <c r="M461" s="46"/>
      <c r="N461" s="46"/>
      <c r="O461" s="46"/>
      <c r="P461" s="46"/>
      <c r="Q461" s="46"/>
      <c r="R461" s="46"/>
      <c r="S461" s="46"/>
      <c r="T461" s="46"/>
      <c r="U461" s="46"/>
      <c r="V461" s="46"/>
      <c r="W461" s="46"/>
    </row>
    <row r="462">
      <c r="A462" s="55"/>
      <c r="B462" s="214"/>
      <c r="C462" s="55"/>
      <c r="D462" s="214"/>
      <c r="E462" s="122"/>
      <c r="F462" s="219"/>
      <c r="G462" s="122"/>
      <c r="H462" s="214"/>
      <c r="I462" s="220"/>
      <c r="J462" s="46"/>
      <c r="K462" s="46"/>
      <c r="L462" s="46"/>
      <c r="M462" s="46"/>
      <c r="N462" s="46"/>
      <c r="O462" s="46"/>
      <c r="P462" s="46"/>
      <c r="Q462" s="46"/>
      <c r="R462" s="46"/>
      <c r="S462" s="46"/>
      <c r="T462" s="46"/>
      <c r="U462" s="46"/>
      <c r="V462" s="46"/>
      <c r="W462" s="46"/>
    </row>
    <row r="463">
      <c r="A463" s="55"/>
      <c r="B463" s="214"/>
      <c r="C463" s="55"/>
      <c r="D463" s="214"/>
      <c r="E463" s="122"/>
      <c r="F463" s="219"/>
      <c r="G463" s="122"/>
      <c r="H463" s="214"/>
      <c r="I463" s="220"/>
      <c r="J463" s="46"/>
      <c r="K463" s="46"/>
      <c r="L463" s="46"/>
      <c r="M463" s="46"/>
      <c r="N463" s="46"/>
      <c r="O463" s="46"/>
      <c r="P463" s="46"/>
      <c r="Q463" s="46"/>
      <c r="R463" s="46"/>
      <c r="S463" s="46"/>
      <c r="T463" s="46"/>
      <c r="U463" s="46"/>
      <c r="V463" s="46"/>
      <c r="W463" s="46"/>
    </row>
    <row r="464">
      <c r="A464" s="55"/>
      <c r="B464" s="214"/>
      <c r="C464" s="55"/>
      <c r="D464" s="214"/>
      <c r="E464" s="122"/>
      <c r="F464" s="219"/>
      <c r="G464" s="122"/>
      <c r="H464" s="214"/>
      <c r="I464" s="220"/>
      <c r="J464" s="46"/>
      <c r="K464" s="46"/>
      <c r="L464" s="46"/>
      <c r="M464" s="46"/>
      <c r="N464" s="46"/>
      <c r="O464" s="46"/>
      <c r="P464" s="46"/>
      <c r="Q464" s="46"/>
      <c r="R464" s="46"/>
      <c r="S464" s="46"/>
      <c r="T464" s="46"/>
      <c r="U464" s="46"/>
      <c r="V464" s="46"/>
      <c r="W464" s="46"/>
    </row>
    <row r="465">
      <c r="A465" s="55"/>
      <c r="B465" s="214"/>
      <c r="C465" s="55"/>
      <c r="D465" s="214"/>
      <c r="E465" s="122"/>
      <c r="F465" s="219"/>
      <c r="G465" s="122"/>
      <c r="H465" s="214"/>
      <c r="I465" s="220"/>
      <c r="J465" s="46"/>
      <c r="K465" s="46"/>
      <c r="L465" s="46"/>
      <c r="M465" s="46"/>
      <c r="N465" s="46"/>
      <c r="O465" s="46"/>
      <c r="P465" s="46"/>
      <c r="Q465" s="46"/>
      <c r="R465" s="46"/>
      <c r="S465" s="46"/>
      <c r="T465" s="46"/>
      <c r="U465" s="46"/>
      <c r="V465" s="46"/>
      <c r="W465" s="46"/>
    </row>
    <row r="466">
      <c r="A466" s="55"/>
      <c r="B466" s="214"/>
      <c r="C466" s="55"/>
      <c r="D466" s="214"/>
      <c r="E466" s="122"/>
      <c r="F466" s="219"/>
      <c r="G466" s="122"/>
      <c r="H466" s="214"/>
      <c r="I466" s="220"/>
      <c r="J466" s="46"/>
      <c r="K466" s="46"/>
      <c r="L466" s="46"/>
      <c r="M466" s="46"/>
      <c r="N466" s="46"/>
      <c r="O466" s="46"/>
      <c r="P466" s="46"/>
      <c r="Q466" s="46"/>
      <c r="R466" s="46"/>
      <c r="S466" s="46"/>
      <c r="T466" s="46"/>
      <c r="U466" s="46"/>
      <c r="V466" s="46"/>
      <c r="W466" s="46"/>
    </row>
    <row r="467">
      <c r="A467" s="55"/>
      <c r="B467" s="214"/>
      <c r="C467" s="55"/>
      <c r="D467" s="214"/>
      <c r="E467" s="122"/>
      <c r="F467" s="219"/>
      <c r="G467" s="122"/>
      <c r="H467" s="214"/>
      <c r="I467" s="220"/>
      <c r="J467" s="46"/>
      <c r="K467" s="46"/>
      <c r="L467" s="46"/>
      <c r="M467" s="46"/>
      <c r="N467" s="46"/>
      <c r="O467" s="46"/>
      <c r="P467" s="46"/>
      <c r="Q467" s="46"/>
      <c r="R467" s="46"/>
      <c r="S467" s="46"/>
      <c r="T467" s="46"/>
      <c r="U467" s="46"/>
      <c r="V467" s="46"/>
      <c r="W467" s="46"/>
    </row>
    <row r="468">
      <c r="A468" s="55"/>
      <c r="B468" s="214"/>
      <c r="C468" s="55"/>
      <c r="D468" s="214"/>
      <c r="E468" s="122"/>
      <c r="F468" s="219"/>
      <c r="G468" s="122"/>
      <c r="H468" s="214"/>
      <c r="I468" s="220"/>
      <c r="J468" s="46"/>
      <c r="K468" s="46"/>
      <c r="L468" s="46"/>
      <c r="M468" s="46"/>
      <c r="N468" s="46"/>
      <c r="O468" s="46"/>
      <c r="P468" s="46"/>
      <c r="Q468" s="46"/>
      <c r="R468" s="46"/>
      <c r="S468" s="46"/>
      <c r="T468" s="46"/>
      <c r="U468" s="46"/>
      <c r="V468" s="46"/>
      <c r="W468" s="46"/>
    </row>
    <row r="469">
      <c r="A469" s="55"/>
      <c r="B469" s="214"/>
      <c r="C469" s="55"/>
      <c r="D469" s="214"/>
      <c r="E469" s="122"/>
      <c r="F469" s="219"/>
      <c r="G469" s="122"/>
      <c r="H469" s="214"/>
      <c r="I469" s="220"/>
      <c r="J469" s="46"/>
      <c r="K469" s="46"/>
      <c r="L469" s="46"/>
      <c r="M469" s="46"/>
      <c r="N469" s="46"/>
      <c r="O469" s="46"/>
      <c r="P469" s="46"/>
      <c r="Q469" s="46"/>
      <c r="R469" s="46"/>
      <c r="S469" s="46"/>
      <c r="T469" s="46"/>
      <c r="U469" s="46"/>
      <c r="V469" s="46"/>
      <c r="W469" s="46"/>
    </row>
    <row r="470">
      <c r="A470" s="55"/>
      <c r="B470" s="214"/>
      <c r="C470" s="55"/>
      <c r="D470" s="214"/>
      <c r="E470" s="122"/>
      <c r="F470" s="219"/>
      <c r="G470" s="122"/>
      <c r="H470" s="214"/>
      <c r="I470" s="220"/>
      <c r="J470" s="46"/>
      <c r="K470" s="46"/>
      <c r="L470" s="46"/>
      <c r="M470" s="46"/>
      <c r="N470" s="46"/>
      <c r="O470" s="46"/>
      <c r="P470" s="46"/>
      <c r="Q470" s="46"/>
      <c r="R470" s="46"/>
      <c r="S470" s="46"/>
      <c r="T470" s="46"/>
      <c r="U470" s="46"/>
      <c r="V470" s="46"/>
      <c r="W470" s="46"/>
    </row>
    <row r="471">
      <c r="A471" s="55"/>
      <c r="B471" s="214"/>
      <c r="C471" s="55"/>
      <c r="D471" s="214"/>
      <c r="E471" s="122"/>
      <c r="F471" s="219"/>
      <c r="G471" s="122"/>
      <c r="H471" s="214"/>
      <c r="I471" s="220"/>
      <c r="J471" s="46"/>
      <c r="K471" s="46"/>
      <c r="L471" s="46"/>
      <c r="M471" s="46"/>
      <c r="N471" s="46"/>
      <c r="O471" s="46"/>
      <c r="P471" s="46"/>
      <c r="Q471" s="46"/>
      <c r="R471" s="46"/>
      <c r="S471" s="46"/>
      <c r="T471" s="46"/>
      <c r="U471" s="46"/>
      <c r="V471" s="46"/>
      <c r="W471" s="46"/>
    </row>
    <row r="472">
      <c r="A472" s="55"/>
      <c r="B472" s="214"/>
      <c r="C472" s="55"/>
      <c r="D472" s="214"/>
      <c r="E472" s="122"/>
      <c r="F472" s="219"/>
      <c r="G472" s="122"/>
      <c r="H472" s="214"/>
      <c r="I472" s="220"/>
      <c r="J472" s="46"/>
      <c r="K472" s="46"/>
      <c r="L472" s="46"/>
      <c r="M472" s="46"/>
      <c r="N472" s="46"/>
      <c r="O472" s="46"/>
      <c r="P472" s="46"/>
      <c r="Q472" s="46"/>
      <c r="R472" s="46"/>
      <c r="S472" s="46"/>
      <c r="T472" s="46"/>
      <c r="U472" s="46"/>
      <c r="V472" s="46"/>
      <c r="W472" s="46"/>
    </row>
    <row r="473">
      <c r="A473" s="55"/>
      <c r="B473" s="214"/>
      <c r="C473" s="55"/>
      <c r="D473" s="214"/>
      <c r="E473" s="122"/>
      <c r="F473" s="219"/>
      <c r="G473" s="122"/>
      <c r="H473" s="214"/>
      <c r="I473" s="220"/>
      <c r="J473" s="46"/>
      <c r="K473" s="46"/>
      <c r="L473" s="46"/>
      <c r="M473" s="46"/>
      <c r="N473" s="46"/>
      <c r="O473" s="46"/>
      <c r="P473" s="46"/>
      <c r="Q473" s="46"/>
      <c r="R473" s="46"/>
      <c r="S473" s="46"/>
      <c r="T473" s="46"/>
      <c r="U473" s="46"/>
      <c r="V473" s="46"/>
      <c r="W473" s="46"/>
    </row>
    <row r="474">
      <c r="A474" s="55"/>
      <c r="B474" s="214"/>
      <c r="C474" s="55"/>
      <c r="D474" s="214"/>
      <c r="E474" s="122"/>
      <c r="F474" s="219"/>
      <c r="G474" s="122"/>
      <c r="H474" s="214"/>
      <c r="I474" s="220"/>
      <c r="J474" s="46"/>
      <c r="K474" s="46"/>
      <c r="L474" s="46"/>
      <c r="M474" s="46"/>
      <c r="N474" s="46"/>
      <c r="O474" s="46"/>
      <c r="P474" s="46"/>
      <c r="Q474" s="46"/>
      <c r="R474" s="46"/>
      <c r="S474" s="46"/>
      <c r="T474" s="46"/>
      <c r="U474" s="46"/>
      <c r="V474" s="46"/>
      <c r="W474" s="46"/>
    </row>
    <row r="475">
      <c r="A475" s="55"/>
      <c r="B475" s="214"/>
      <c r="C475" s="55"/>
      <c r="D475" s="214"/>
      <c r="E475" s="122"/>
      <c r="F475" s="219"/>
      <c r="G475" s="122"/>
      <c r="H475" s="214"/>
      <c r="I475" s="220"/>
      <c r="J475" s="46"/>
      <c r="K475" s="46"/>
      <c r="L475" s="46"/>
      <c r="M475" s="46"/>
      <c r="N475" s="46"/>
      <c r="O475" s="46"/>
      <c r="P475" s="46"/>
      <c r="Q475" s="46"/>
      <c r="R475" s="46"/>
      <c r="S475" s="46"/>
      <c r="T475" s="46"/>
      <c r="U475" s="46"/>
      <c r="V475" s="46"/>
      <c r="W475" s="46"/>
    </row>
    <row r="476">
      <c r="A476" s="55"/>
      <c r="B476" s="214"/>
      <c r="C476" s="55"/>
      <c r="D476" s="214"/>
      <c r="E476" s="122"/>
      <c r="F476" s="219"/>
      <c r="G476" s="122"/>
      <c r="H476" s="214"/>
      <c r="I476" s="220"/>
      <c r="J476" s="46"/>
      <c r="K476" s="46"/>
      <c r="L476" s="46"/>
      <c r="M476" s="46"/>
      <c r="N476" s="46"/>
      <c r="O476" s="46"/>
      <c r="P476" s="46"/>
      <c r="Q476" s="46"/>
      <c r="R476" s="46"/>
      <c r="S476" s="46"/>
      <c r="T476" s="46"/>
      <c r="U476" s="46"/>
      <c r="V476" s="46"/>
      <c r="W476" s="46"/>
    </row>
    <row r="477">
      <c r="A477" s="55"/>
      <c r="B477" s="214"/>
      <c r="C477" s="55"/>
      <c r="D477" s="214"/>
      <c r="E477" s="122"/>
      <c r="F477" s="219"/>
      <c r="G477" s="122"/>
      <c r="H477" s="214"/>
      <c r="I477" s="220"/>
      <c r="J477" s="46"/>
      <c r="K477" s="46"/>
      <c r="L477" s="46"/>
      <c r="M477" s="46"/>
      <c r="N477" s="46"/>
      <c r="O477" s="46"/>
      <c r="P477" s="46"/>
      <c r="Q477" s="46"/>
      <c r="R477" s="46"/>
      <c r="S477" s="46"/>
      <c r="T477" s="46"/>
      <c r="U477" s="46"/>
      <c r="V477" s="46"/>
      <c r="W477" s="46"/>
    </row>
    <row r="478">
      <c r="A478" s="55"/>
      <c r="B478" s="214"/>
      <c r="C478" s="55"/>
      <c r="D478" s="214"/>
      <c r="E478" s="122"/>
      <c r="F478" s="219"/>
      <c r="G478" s="122"/>
      <c r="H478" s="214"/>
      <c r="I478" s="220"/>
      <c r="J478" s="46"/>
      <c r="K478" s="46"/>
      <c r="L478" s="46"/>
      <c r="M478" s="46"/>
      <c r="N478" s="46"/>
      <c r="O478" s="46"/>
      <c r="P478" s="46"/>
      <c r="Q478" s="46"/>
      <c r="R478" s="46"/>
      <c r="S478" s="46"/>
      <c r="T478" s="46"/>
      <c r="U478" s="46"/>
      <c r="V478" s="46"/>
      <c r="W478" s="46"/>
    </row>
    <row r="479">
      <c r="A479" s="55"/>
      <c r="B479" s="214"/>
      <c r="C479" s="55"/>
      <c r="D479" s="214"/>
      <c r="E479" s="122"/>
      <c r="F479" s="219"/>
      <c r="G479" s="122"/>
      <c r="H479" s="214"/>
      <c r="I479" s="220"/>
      <c r="J479" s="46"/>
      <c r="K479" s="46"/>
      <c r="L479" s="46"/>
      <c r="M479" s="46"/>
      <c r="N479" s="46"/>
      <c r="O479" s="46"/>
      <c r="P479" s="46"/>
      <c r="Q479" s="46"/>
      <c r="R479" s="46"/>
      <c r="S479" s="46"/>
      <c r="T479" s="46"/>
      <c r="U479" s="46"/>
      <c r="V479" s="46"/>
      <c r="W479" s="46"/>
    </row>
    <row r="480">
      <c r="A480" s="55"/>
      <c r="B480" s="214"/>
      <c r="C480" s="55"/>
      <c r="D480" s="214"/>
      <c r="E480" s="122"/>
      <c r="F480" s="219"/>
      <c r="G480" s="122"/>
      <c r="H480" s="214"/>
      <c r="I480" s="220"/>
      <c r="J480" s="46"/>
      <c r="K480" s="46"/>
      <c r="L480" s="46"/>
      <c r="M480" s="46"/>
      <c r="N480" s="46"/>
      <c r="O480" s="46"/>
      <c r="P480" s="46"/>
      <c r="Q480" s="46"/>
      <c r="R480" s="46"/>
      <c r="S480" s="46"/>
      <c r="T480" s="46"/>
      <c r="U480" s="46"/>
      <c r="V480" s="46"/>
      <c r="W480" s="46"/>
    </row>
    <row r="481">
      <c r="A481" s="55"/>
      <c r="B481" s="214"/>
      <c r="C481" s="55"/>
      <c r="D481" s="214"/>
      <c r="E481" s="122"/>
      <c r="F481" s="219"/>
      <c r="G481" s="122"/>
      <c r="H481" s="214"/>
      <c r="I481" s="220"/>
      <c r="J481" s="46"/>
      <c r="K481" s="46"/>
      <c r="L481" s="46"/>
      <c r="M481" s="46"/>
      <c r="N481" s="46"/>
      <c r="O481" s="46"/>
      <c r="P481" s="46"/>
      <c r="Q481" s="46"/>
      <c r="R481" s="46"/>
      <c r="S481" s="46"/>
      <c r="T481" s="46"/>
      <c r="U481" s="46"/>
      <c r="V481" s="46"/>
      <c r="W481" s="46"/>
    </row>
    <row r="482">
      <c r="A482" s="55"/>
      <c r="B482" s="214"/>
      <c r="C482" s="55"/>
      <c r="D482" s="214"/>
      <c r="E482" s="122"/>
      <c r="F482" s="219"/>
      <c r="G482" s="122"/>
      <c r="H482" s="214"/>
      <c r="I482" s="220"/>
      <c r="J482" s="46"/>
      <c r="K482" s="46"/>
      <c r="L482" s="46"/>
      <c r="M482" s="46"/>
      <c r="N482" s="46"/>
      <c r="O482" s="46"/>
      <c r="P482" s="46"/>
      <c r="Q482" s="46"/>
      <c r="R482" s="46"/>
      <c r="S482" s="46"/>
      <c r="T482" s="46"/>
      <c r="U482" s="46"/>
      <c r="V482" s="46"/>
      <c r="W482" s="46"/>
    </row>
    <row r="483">
      <c r="A483" s="55"/>
      <c r="B483" s="214"/>
      <c r="C483" s="55"/>
      <c r="D483" s="214"/>
      <c r="E483" s="122"/>
      <c r="F483" s="219"/>
      <c r="G483" s="122"/>
      <c r="H483" s="214"/>
      <c r="I483" s="220"/>
      <c r="J483" s="46"/>
      <c r="K483" s="46"/>
      <c r="L483" s="46"/>
      <c r="M483" s="46"/>
      <c r="N483" s="46"/>
      <c r="O483" s="46"/>
      <c r="P483" s="46"/>
      <c r="Q483" s="46"/>
      <c r="R483" s="46"/>
      <c r="S483" s="46"/>
      <c r="T483" s="46"/>
      <c r="U483" s="46"/>
      <c r="V483" s="46"/>
      <c r="W483" s="46"/>
    </row>
    <row r="484">
      <c r="A484" s="55"/>
      <c r="B484" s="214"/>
      <c r="C484" s="55"/>
      <c r="D484" s="214"/>
      <c r="E484" s="122"/>
      <c r="F484" s="219"/>
      <c r="G484" s="122"/>
      <c r="H484" s="214"/>
      <c r="I484" s="220"/>
      <c r="J484" s="46"/>
      <c r="K484" s="46"/>
      <c r="L484" s="46"/>
      <c r="M484" s="46"/>
      <c r="N484" s="46"/>
      <c r="O484" s="46"/>
      <c r="P484" s="46"/>
      <c r="Q484" s="46"/>
      <c r="R484" s="46"/>
      <c r="S484" s="46"/>
      <c r="T484" s="46"/>
      <c r="U484" s="46"/>
      <c r="V484" s="46"/>
      <c r="W484" s="46"/>
    </row>
    <row r="485">
      <c r="A485" s="55"/>
      <c r="B485" s="214"/>
      <c r="C485" s="55"/>
      <c r="D485" s="214"/>
      <c r="E485" s="122"/>
      <c r="F485" s="219"/>
      <c r="G485" s="122"/>
      <c r="H485" s="214"/>
      <c r="I485" s="220"/>
      <c r="J485" s="46"/>
      <c r="K485" s="46"/>
      <c r="L485" s="46"/>
      <c r="M485" s="46"/>
      <c r="N485" s="46"/>
      <c r="O485" s="46"/>
      <c r="P485" s="46"/>
      <c r="Q485" s="46"/>
      <c r="R485" s="46"/>
      <c r="S485" s="46"/>
      <c r="T485" s="46"/>
      <c r="U485" s="46"/>
      <c r="V485" s="46"/>
      <c r="W485" s="46"/>
    </row>
    <row r="486">
      <c r="A486" s="55"/>
      <c r="B486" s="214"/>
      <c r="C486" s="55"/>
      <c r="D486" s="214"/>
      <c r="E486" s="122"/>
      <c r="F486" s="219"/>
      <c r="G486" s="122"/>
      <c r="H486" s="214"/>
      <c r="I486" s="220"/>
      <c r="J486" s="46"/>
      <c r="K486" s="46"/>
      <c r="L486" s="46"/>
      <c r="M486" s="46"/>
      <c r="N486" s="46"/>
      <c r="O486" s="46"/>
      <c r="P486" s="46"/>
      <c r="Q486" s="46"/>
      <c r="R486" s="46"/>
      <c r="S486" s="46"/>
      <c r="T486" s="46"/>
      <c r="U486" s="46"/>
      <c r="V486" s="46"/>
      <c r="W486" s="46"/>
    </row>
    <row r="487">
      <c r="A487" s="55"/>
      <c r="B487" s="214"/>
      <c r="C487" s="55"/>
      <c r="D487" s="214"/>
      <c r="E487" s="122"/>
      <c r="F487" s="219"/>
      <c r="G487" s="122"/>
      <c r="H487" s="214"/>
      <c r="I487" s="220"/>
      <c r="J487" s="46"/>
      <c r="K487" s="46"/>
      <c r="L487" s="46"/>
      <c r="M487" s="46"/>
      <c r="N487" s="46"/>
      <c r="O487" s="46"/>
      <c r="P487" s="46"/>
      <c r="Q487" s="46"/>
      <c r="R487" s="46"/>
      <c r="S487" s="46"/>
      <c r="T487" s="46"/>
      <c r="U487" s="46"/>
      <c r="V487" s="46"/>
      <c r="W487" s="46"/>
    </row>
    <row r="488">
      <c r="A488" s="55"/>
      <c r="B488" s="214"/>
      <c r="C488" s="55"/>
      <c r="D488" s="214"/>
      <c r="E488" s="122"/>
      <c r="F488" s="219"/>
      <c r="G488" s="122"/>
      <c r="H488" s="214"/>
      <c r="I488" s="220"/>
      <c r="J488" s="46"/>
      <c r="K488" s="46"/>
      <c r="L488" s="46"/>
      <c r="M488" s="46"/>
      <c r="N488" s="46"/>
      <c r="O488" s="46"/>
      <c r="P488" s="46"/>
      <c r="Q488" s="46"/>
      <c r="R488" s="46"/>
      <c r="S488" s="46"/>
      <c r="T488" s="46"/>
      <c r="U488" s="46"/>
      <c r="V488" s="46"/>
      <c r="W488" s="46"/>
    </row>
    <row r="489">
      <c r="A489" s="55"/>
      <c r="B489" s="214"/>
      <c r="C489" s="55"/>
      <c r="D489" s="214"/>
      <c r="E489" s="122"/>
      <c r="F489" s="219"/>
      <c r="G489" s="122"/>
      <c r="H489" s="214"/>
      <c r="I489" s="220"/>
      <c r="J489" s="46"/>
      <c r="K489" s="46"/>
      <c r="L489" s="46"/>
      <c r="M489" s="46"/>
      <c r="N489" s="46"/>
      <c r="O489" s="46"/>
      <c r="P489" s="46"/>
      <c r="Q489" s="46"/>
      <c r="R489" s="46"/>
      <c r="S489" s="46"/>
      <c r="T489" s="46"/>
      <c r="U489" s="46"/>
      <c r="V489" s="46"/>
      <c r="W489" s="46"/>
    </row>
    <row r="490">
      <c r="A490" s="55"/>
      <c r="B490" s="214"/>
      <c r="C490" s="55"/>
      <c r="D490" s="214"/>
      <c r="E490" s="122"/>
      <c r="F490" s="219"/>
      <c r="G490" s="122"/>
      <c r="H490" s="214"/>
      <c r="I490" s="220"/>
      <c r="J490" s="46"/>
      <c r="K490" s="46"/>
      <c r="L490" s="46"/>
      <c r="M490" s="46"/>
      <c r="N490" s="46"/>
      <c r="O490" s="46"/>
      <c r="P490" s="46"/>
      <c r="Q490" s="46"/>
      <c r="R490" s="46"/>
      <c r="S490" s="46"/>
      <c r="T490" s="46"/>
      <c r="U490" s="46"/>
      <c r="V490" s="46"/>
      <c r="W490" s="46"/>
    </row>
    <row r="491">
      <c r="A491" s="55"/>
      <c r="B491" s="214"/>
      <c r="C491" s="55"/>
      <c r="D491" s="214"/>
      <c r="E491" s="122"/>
      <c r="F491" s="219"/>
      <c r="G491" s="122"/>
      <c r="H491" s="214"/>
      <c r="I491" s="220"/>
      <c r="J491" s="46"/>
      <c r="K491" s="46"/>
      <c r="L491" s="46"/>
      <c r="M491" s="46"/>
      <c r="N491" s="46"/>
      <c r="O491" s="46"/>
      <c r="P491" s="46"/>
      <c r="Q491" s="46"/>
      <c r="R491" s="46"/>
      <c r="S491" s="46"/>
      <c r="T491" s="46"/>
      <c r="U491" s="46"/>
      <c r="V491" s="46"/>
      <c r="W491" s="46"/>
    </row>
    <row r="492">
      <c r="A492" s="55"/>
      <c r="B492" s="214"/>
      <c r="C492" s="55"/>
      <c r="D492" s="214"/>
      <c r="E492" s="122"/>
      <c r="F492" s="219"/>
      <c r="G492" s="122"/>
      <c r="H492" s="214"/>
      <c r="I492" s="220"/>
      <c r="J492" s="46"/>
      <c r="K492" s="46"/>
      <c r="L492" s="46"/>
      <c r="M492" s="46"/>
      <c r="N492" s="46"/>
      <c r="O492" s="46"/>
      <c r="P492" s="46"/>
      <c r="Q492" s="46"/>
      <c r="R492" s="46"/>
      <c r="S492" s="46"/>
      <c r="T492" s="46"/>
      <c r="U492" s="46"/>
      <c r="V492" s="46"/>
      <c r="W492" s="46"/>
    </row>
    <row r="493">
      <c r="A493" s="55"/>
      <c r="B493" s="214"/>
      <c r="C493" s="55"/>
      <c r="D493" s="214"/>
      <c r="E493" s="122"/>
      <c r="F493" s="219"/>
      <c r="G493" s="122"/>
      <c r="H493" s="214"/>
      <c r="I493" s="220"/>
      <c r="J493" s="46"/>
      <c r="K493" s="46"/>
      <c r="L493" s="46"/>
      <c r="M493" s="46"/>
      <c r="N493" s="46"/>
      <c r="O493" s="46"/>
      <c r="P493" s="46"/>
      <c r="Q493" s="46"/>
      <c r="R493" s="46"/>
      <c r="S493" s="46"/>
      <c r="T493" s="46"/>
      <c r="U493" s="46"/>
      <c r="V493" s="46"/>
      <c r="W493" s="46"/>
    </row>
    <row r="494">
      <c r="A494" s="55"/>
      <c r="B494" s="214"/>
      <c r="C494" s="55"/>
      <c r="D494" s="214"/>
      <c r="E494" s="122"/>
      <c r="F494" s="219"/>
      <c r="G494" s="122"/>
      <c r="H494" s="214"/>
      <c r="I494" s="220"/>
      <c r="J494" s="46"/>
      <c r="K494" s="46"/>
      <c r="L494" s="46"/>
      <c r="M494" s="46"/>
      <c r="N494" s="46"/>
      <c r="O494" s="46"/>
      <c r="P494" s="46"/>
      <c r="Q494" s="46"/>
      <c r="R494" s="46"/>
      <c r="S494" s="46"/>
      <c r="T494" s="46"/>
      <c r="U494" s="46"/>
      <c r="V494" s="46"/>
      <c r="W494" s="46"/>
    </row>
    <row r="495">
      <c r="A495" s="55"/>
      <c r="B495" s="214"/>
      <c r="C495" s="55"/>
      <c r="D495" s="214"/>
      <c r="E495" s="122"/>
      <c r="F495" s="219"/>
      <c r="G495" s="122"/>
      <c r="H495" s="214"/>
      <c r="I495" s="220"/>
      <c r="J495" s="46"/>
      <c r="K495" s="46"/>
      <c r="L495" s="46"/>
      <c r="M495" s="46"/>
      <c r="N495" s="46"/>
      <c r="O495" s="46"/>
      <c r="P495" s="46"/>
      <c r="Q495" s="46"/>
      <c r="R495" s="46"/>
      <c r="S495" s="46"/>
      <c r="T495" s="46"/>
      <c r="U495" s="46"/>
      <c r="V495" s="46"/>
      <c r="W495" s="46"/>
    </row>
    <row r="496">
      <c r="A496" s="55"/>
      <c r="B496" s="214"/>
      <c r="C496" s="55"/>
      <c r="D496" s="214"/>
      <c r="E496" s="122"/>
      <c r="F496" s="219"/>
      <c r="G496" s="122"/>
      <c r="H496" s="214"/>
      <c r="I496" s="220"/>
      <c r="J496" s="46"/>
      <c r="K496" s="46"/>
      <c r="L496" s="46"/>
      <c r="M496" s="46"/>
      <c r="N496" s="46"/>
      <c r="O496" s="46"/>
      <c r="P496" s="46"/>
      <c r="Q496" s="46"/>
      <c r="R496" s="46"/>
      <c r="S496" s="46"/>
      <c r="T496" s="46"/>
      <c r="U496" s="46"/>
      <c r="V496" s="46"/>
      <c r="W496" s="46"/>
    </row>
    <row r="497">
      <c r="A497" s="55"/>
      <c r="B497" s="214"/>
      <c r="C497" s="55"/>
      <c r="D497" s="214"/>
      <c r="E497" s="122"/>
      <c r="F497" s="219"/>
      <c r="G497" s="122"/>
      <c r="H497" s="214"/>
      <c r="I497" s="220"/>
      <c r="J497" s="46"/>
      <c r="K497" s="46"/>
      <c r="L497" s="46"/>
      <c r="M497" s="46"/>
      <c r="N497" s="46"/>
      <c r="O497" s="46"/>
      <c r="P497" s="46"/>
      <c r="Q497" s="46"/>
      <c r="R497" s="46"/>
      <c r="S497" s="46"/>
      <c r="T497" s="46"/>
      <c r="U497" s="46"/>
      <c r="V497" s="46"/>
      <c r="W497" s="46"/>
    </row>
    <row r="498">
      <c r="A498" s="55"/>
      <c r="B498" s="214"/>
      <c r="C498" s="55"/>
      <c r="D498" s="214"/>
      <c r="E498" s="122"/>
      <c r="F498" s="219"/>
      <c r="G498" s="122"/>
      <c r="H498" s="214"/>
      <c r="I498" s="220"/>
      <c r="J498" s="46"/>
      <c r="K498" s="46"/>
      <c r="L498" s="46"/>
      <c r="M498" s="46"/>
      <c r="N498" s="46"/>
      <c r="O498" s="46"/>
      <c r="P498" s="46"/>
      <c r="Q498" s="46"/>
      <c r="R498" s="46"/>
      <c r="S498" s="46"/>
      <c r="T498" s="46"/>
      <c r="U498" s="46"/>
      <c r="V498" s="46"/>
      <c r="W498" s="46"/>
    </row>
    <row r="499">
      <c r="A499" s="55"/>
      <c r="B499" s="214"/>
      <c r="C499" s="55"/>
      <c r="D499" s="214"/>
      <c r="E499" s="122"/>
      <c r="F499" s="219"/>
      <c r="G499" s="122"/>
      <c r="H499" s="214"/>
      <c r="I499" s="220"/>
      <c r="J499" s="46"/>
      <c r="K499" s="46"/>
      <c r="L499" s="46"/>
      <c r="M499" s="46"/>
      <c r="N499" s="46"/>
      <c r="O499" s="46"/>
      <c r="P499" s="46"/>
      <c r="Q499" s="46"/>
      <c r="R499" s="46"/>
      <c r="S499" s="46"/>
      <c r="T499" s="46"/>
      <c r="U499" s="46"/>
      <c r="V499" s="46"/>
      <c r="W499" s="46"/>
    </row>
    <row r="500">
      <c r="A500" s="55"/>
      <c r="B500" s="214"/>
      <c r="C500" s="55"/>
      <c r="D500" s="214"/>
      <c r="E500" s="122"/>
      <c r="F500" s="219"/>
      <c r="G500" s="122"/>
      <c r="H500" s="214"/>
      <c r="I500" s="220"/>
      <c r="J500" s="46"/>
      <c r="K500" s="46"/>
      <c r="L500" s="46"/>
      <c r="M500" s="46"/>
      <c r="N500" s="46"/>
      <c r="O500" s="46"/>
      <c r="P500" s="46"/>
      <c r="Q500" s="46"/>
      <c r="R500" s="46"/>
      <c r="S500" s="46"/>
      <c r="T500" s="46"/>
      <c r="U500" s="46"/>
      <c r="V500" s="46"/>
      <c r="W500" s="46"/>
    </row>
    <row r="501">
      <c r="A501" s="55"/>
      <c r="B501" s="214"/>
      <c r="C501" s="55"/>
      <c r="D501" s="214"/>
      <c r="E501" s="122"/>
      <c r="F501" s="219"/>
      <c r="G501" s="122"/>
      <c r="H501" s="214"/>
      <c r="I501" s="220"/>
      <c r="J501" s="46"/>
      <c r="K501" s="46"/>
      <c r="L501" s="46"/>
      <c r="M501" s="46"/>
      <c r="N501" s="46"/>
      <c r="O501" s="46"/>
      <c r="P501" s="46"/>
      <c r="Q501" s="46"/>
      <c r="R501" s="46"/>
      <c r="S501" s="46"/>
      <c r="T501" s="46"/>
      <c r="U501" s="46"/>
      <c r="V501" s="46"/>
      <c r="W501" s="46"/>
    </row>
    <row r="502">
      <c r="A502" s="55"/>
      <c r="B502" s="214"/>
      <c r="C502" s="55"/>
      <c r="D502" s="214"/>
      <c r="E502" s="122"/>
      <c r="F502" s="219"/>
      <c r="G502" s="122"/>
      <c r="H502" s="214"/>
      <c r="I502" s="220"/>
      <c r="J502" s="46"/>
      <c r="K502" s="46"/>
      <c r="L502" s="46"/>
      <c r="M502" s="46"/>
      <c r="N502" s="46"/>
      <c r="O502" s="46"/>
      <c r="P502" s="46"/>
      <c r="Q502" s="46"/>
      <c r="R502" s="46"/>
      <c r="S502" s="46"/>
      <c r="T502" s="46"/>
      <c r="U502" s="46"/>
      <c r="V502" s="46"/>
      <c r="W502" s="46"/>
    </row>
    <row r="503">
      <c r="A503" s="55"/>
      <c r="B503" s="214"/>
      <c r="C503" s="55"/>
      <c r="D503" s="214"/>
      <c r="E503" s="122"/>
      <c r="F503" s="219"/>
      <c r="G503" s="122"/>
      <c r="H503" s="214"/>
      <c r="I503" s="220"/>
      <c r="J503" s="46"/>
      <c r="K503" s="46"/>
      <c r="L503" s="46"/>
      <c r="M503" s="46"/>
      <c r="N503" s="46"/>
      <c r="O503" s="46"/>
      <c r="P503" s="46"/>
      <c r="Q503" s="46"/>
      <c r="R503" s="46"/>
      <c r="S503" s="46"/>
      <c r="T503" s="46"/>
      <c r="U503" s="46"/>
      <c r="V503" s="46"/>
      <c r="W503" s="46"/>
    </row>
    <row r="504">
      <c r="A504" s="55"/>
      <c r="B504" s="214"/>
      <c r="C504" s="55"/>
      <c r="D504" s="214"/>
      <c r="E504" s="122"/>
      <c r="F504" s="219"/>
      <c r="G504" s="122"/>
      <c r="H504" s="214"/>
      <c r="I504" s="220"/>
      <c r="J504" s="46"/>
      <c r="K504" s="46"/>
      <c r="L504" s="46"/>
      <c r="M504" s="46"/>
      <c r="N504" s="46"/>
      <c r="O504" s="46"/>
      <c r="P504" s="46"/>
      <c r="Q504" s="46"/>
      <c r="R504" s="46"/>
      <c r="S504" s="46"/>
      <c r="T504" s="46"/>
      <c r="U504" s="46"/>
      <c r="V504" s="46"/>
      <c r="W504" s="46"/>
    </row>
    <row r="505">
      <c r="A505" s="55"/>
      <c r="B505" s="214"/>
      <c r="C505" s="55"/>
      <c r="D505" s="214"/>
      <c r="E505" s="122"/>
      <c r="F505" s="219"/>
      <c r="G505" s="122"/>
      <c r="H505" s="214"/>
      <c r="I505" s="220"/>
      <c r="J505" s="46"/>
      <c r="K505" s="46"/>
      <c r="L505" s="46"/>
      <c r="M505" s="46"/>
      <c r="N505" s="46"/>
      <c r="O505" s="46"/>
      <c r="P505" s="46"/>
      <c r="Q505" s="46"/>
      <c r="R505" s="46"/>
      <c r="S505" s="46"/>
      <c r="T505" s="46"/>
      <c r="U505" s="46"/>
      <c r="V505" s="46"/>
      <c r="W505" s="46"/>
    </row>
    <row r="506">
      <c r="A506" s="55"/>
      <c r="B506" s="214"/>
      <c r="C506" s="55"/>
      <c r="D506" s="214"/>
      <c r="E506" s="122"/>
      <c r="F506" s="219"/>
      <c r="G506" s="122"/>
      <c r="H506" s="214"/>
      <c r="I506" s="220"/>
      <c r="J506" s="46"/>
      <c r="K506" s="46"/>
      <c r="L506" s="46"/>
      <c r="M506" s="46"/>
      <c r="N506" s="46"/>
      <c r="O506" s="46"/>
      <c r="P506" s="46"/>
      <c r="Q506" s="46"/>
      <c r="R506" s="46"/>
      <c r="S506" s="46"/>
      <c r="T506" s="46"/>
      <c r="U506" s="46"/>
      <c r="V506" s="46"/>
      <c r="W506" s="46"/>
    </row>
    <row r="507">
      <c r="A507" s="55"/>
      <c r="B507" s="214"/>
      <c r="C507" s="55"/>
      <c r="D507" s="214"/>
      <c r="E507" s="122"/>
      <c r="F507" s="219"/>
      <c r="G507" s="122"/>
      <c r="H507" s="214"/>
      <c r="I507" s="220"/>
      <c r="J507" s="46"/>
      <c r="K507" s="46"/>
      <c r="L507" s="46"/>
      <c r="M507" s="46"/>
      <c r="N507" s="46"/>
      <c r="O507" s="46"/>
      <c r="P507" s="46"/>
      <c r="Q507" s="46"/>
      <c r="R507" s="46"/>
      <c r="S507" s="46"/>
      <c r="T507" s="46"/>
      <c r="U507" s="46"/>
      <c r="V507" s="46"/>
      <c r="W507" s="46"/>
    </row>
    <row r="508">
      <c r="A508" s="55"/>
      <c r="B508" s="214"/>
      <c r="C508" s="55"/>
      <c r="D508" s="214"/>
      <c r="E508" s="122"/>
      <c r="F508" s="219"/>
      <c r="G508" s="122"/>
      <c r="H508" s="214"/>
      <c r="I508" s="220"/>
      <c r="J508" s="46"/>
      <c r="K508" s="46"/>
      <c r="L508" s="46"/>
      <c r="M508" s="46"/>
      <c r="N508" s="46"/>
      <c r="O508" s="46"/>
      <c r="P508" s="46"/>
      <c r="Q508" s="46"/>
      <c r="R508" s="46"/>
      <c r="S508" s="46"/>
      <c r="T508" s="46"/>
      <c r="U508" s="46"/>
      <c r="V508" s="46"/>
      <c r="W508" s="46"/>
    </row>
    <row r="509">
      <c r="A509" s="55"/>
      <c r="B509" s="214"/>
      <c r="C509" s="55"/>
      <c r="D509" s="214"/>
      <c r="E509" s="122"/>
      <c r="F509" s="219"/>
      <c r="G509" s="122"/>
      <c r="H509" s="214"/>
      <c r="I509" s="220"/>
      <c r="J509" s="46"/>
      <c r="K509" s="46"/>
      <c r="L509" s="46"/>
      <c r="M509" s="46"/>
      <c r="N509" s="46"/>
      <c r="O509" s="46"/>
      <c r="P509" s="46"/>
      <c r="Q509" s="46"/>
      <c r="R509" s="46"/>
      <c r="S509" s="46"/>
      <c r="T509" s="46"/>
      <c r="U509" s="46"/>
      <c r="V509" s="46"/>
      <c r="W509" s="46"/>
    </row>
    <row r="510">
      <c r="A510" s="55"/>
      <c r="B510" s="214"/>
      <c r="C510" s="55"/>
      <c r="D510" s="214"/>
      <c r="E510" s="122"/>
      <c r="F510" s="219"/>
      <c r="G510" s="122"/>
      <c r="H510" s="214"/>
      <c r="I510" s="220"/>
      <c r="J510" s="46"/>
      <c r="K510" s="46"/>
      <c r="L510" s="46"/>
      <c r="M510" s="46"/>
      <c r="N510" s="46"/>
      <c r="O510" s="46"/>
      <c r="P510" s="46"/>
      <c r="Q510" s="46"/>
      <c r="R510" s="46"/>
      <c r="S510" s="46"/>
      <c r="T510" s="46"/>
      <c r="U510" s="46"/>
      <c r="V510" s="46"/>
      <c r="W510" s="46"/>
    </row>
    <row r="511">
      <c r="A511" s="55"/>
      <c r="B511" s="214"/>
      <c r="C511" s="55"/>
      <c r="D511" s="214"/>
      <c r="E511" s="122"/>
      <c r="F511" s="219"/>
      <c r="G511" s="122"/>
      <c r="H511" s="214"/>
      <c r="I511" s="220"/>
      <c r="J511" s="46"/>
      <c r="K511" s="46"/>
      <c r="L511" s="46"/>
      <c r="M511" s="46"/>
      <c r="N511" s="46"/>
      <c r="O511" s="46"/>
      <c r="P511" s="46"/>
      <c r="Q511" s="46"/>
      <c r="R511" s="46"/>
      <c r="S511" s="46"/>
      <c r="T511" s="46"/>
      <c r="U511" s="46"/>
      <c r="V511" s="46"/>
      <c r="W511" s="46"/>
    </row>
    <row r="512">
      <c r="A512" s="55"/>
      <c r="B512" s="214"/>
      <c r="C512" s="55"/>
      <c r="D512" s="214"/>
      <c r="E512" s="122"/>
      <c r="F512" s="219"/>
      <c r="G512" s="122"/>
      <c r="H512" s="214"/>
      <c r="I512" s="220"/>
      <c r="J512" s="46"/>
      <c r="K512" s="46"/>
      <c r="L512" s="46"/>
      <c r="M512" s="46"/>
      <c r="N512" s="46"/>
      <c r="O512" s="46"/>
      <c r="P512" s="46"/>
      <c r="Q512" s="46"/>
      <c r="R512" s="46"/>
      <c r="S512" s="46"/>
      <c r="T512" s="46"/>
      <c r="U512" s="46"/>
      <c r="V512" s="46"/>
      <c r="W512" s="46"/>
    </row>
    <row r="513">
      <c r="A513" s="55"/>
      <c r="B513" s="214"/>
      <c r="C513" s="55"/>
      <c r="D513" s="214"/>
      <c r="E513" s="122"/>
      <c r="F513" s="219"/>
      <c r="G513" s="122"/>
      <c r="H513" s="214"/>
      <c r="I513" s="220"/>
      <c r="J513" s="46"/>
      <c r="K513" s="46"/>
      <c r="L513" s="46"/>
      <c r="M513" s="46"/>
      <c r="N513" s="46"/>
      <c r="O513" s="46"/>
      <c r="P513" s="46"/>
      <c r="Q513" s="46"/>
      <c r="R513" s="46"/>
      <c r="S513" s="46"/>
      <c r="T513" s="46"/>
      <c r="U513" s="46"/>
      <c r="V513" s="46"/>
      <c r="W513" s="46"/>
    </row>
    <row r="514">
      <c r="A514" s="55"/>
      <c r="B514" s="214"/>
      <c r="C514" s="55"/>
      <c r="D514" s="214"/>
      <c r="E514" s="122"/>
      <c r="F514" s="219"/>
      <c r="G514" s="122"/>
      <c r="H514" s="214"/>
      <c r="I514" s="220"/>
      <c r="J514" s="46"/>
      <c r="K514" s="46"/>
      <c r="L514" s="46"/>
      <c r="M514" s="46"/>
      <c r="N514" s="46"/>
      <c r="O514" s="46"/>
      <c r="P514" s="46"/>
      <c r="Q514" s="46"/>
      <c r="R514" s="46"/>
      <c r="S514" s="46"/>
      <c r="T514" s="46"/>
      <c r="U514" s="46"/>
      <c r="V514" s="46"/>
      <c r="W514" s="46"/>
    </row>
    <row r="515">
      <c r="A515" s="55"/>
      <c r="B515" s="214"/>
      <c r="C515" s="55"/>
      <c r="D515" s="214"/>
      <c r="E515" s="122"/>
      <c r="F515" s="219"/>
      <c r="G515" s="122"/>
      <c r="H515" s="214"/>
      <c r="I515" s="220"/>
      <c r="J515" s="46"/>
      <c r="K515" s="46"/>
      <c r="L515" s="46"/>
      <c r="M515" s="46"/>
      <c r="N515" s="46"/>
      <c r="O515" s="46"/>
      <c r="P515" s="46"/>
      <c r="Q515" s="46"/>
      <c r="R515" s="46"/>
      <c r="S515" s="46"/>
      <c r="T515" s="46"/>
      <c r="U515" s="46"/>
      <c r="V515" s="46"/>
      <c r="W515" s="46"/>
    </row>
    <row r="516">
      <c r="A516" s="55"/>
      <c r="B516" s="214"/>
      <c r="C516" s="55"/>
      <c r="D516" s="214"/>
      <c r="E516" s="122"/>
      <c r="F516" s="219"/>
      <c r="G516" s="122"/>
      <c r="H516" s="214"/>
      <c r="I516" s="220"/>
      <c r="J516" s="46"/>
      <c r="K516" s="46"/>
      <c r="L516" s="46"/>
      <c r="M516" s="46"/>
      <c r="N516" s="46"/>
      <c r="O516" s="46"/>
      <c r="P516" s="46"/>
      <c r="Q516" s="46"/>
      <c r="R516" s="46"/>
      <c r="S516" s="46"/>
      <c r="T516" s="46"/>
      <c r="U516" s="46"/>
      <c r="V516" s="46"/>
      <c r="W516" s="46"/>
    </row>
    <row r="517">
      <c r="A517" s="55"/>
      <c r="B517" s="214"/>
      <c r="C517" s="55"/>
      <c r="D517" s="214"/>
      <c r="E517" s="122"/>
      <c r="F517" s="219"/>
      <c r="G517" s="122"/>
      <c r="H517" s="214"/>
      <c r="I517" s="220"/>
      <c r="J517" s="46"/>
      <c r="K517" s="46"/>
      <c r="L517" s="46"/>
      <c r="M517" s="46"/>
      <c r="N517" s="46"/>
      <c r="O517" s="46"/>
      <c r="P517" s="46"/>
      <c r="Q517" s="46"/>
      <c r="R517" s="46"/>
      <c r="S517" s="46"/>
      <c r="T517" s="46"/>
      <c r="U517" s="46"/>
      <c r="V517" s="46"/>
      <c r="W517" s="46"/>
    </row>
    <row r="518">
      <c r="A518" s="55"/>
      <c r="B518" s="214"/>
      <c r="C518" s="55"/>
      <c r="D518" s="214"/>
      <c r="E518" s="122"/>
      <c r="F518" s="219"/>
      <c r="G518" s="122"/>
      <c r="H518" s="214"/>
      <c r="I518" s="220"/>
      <c r="J518" s="46"/>
      <c r="K518" s="46"/>
      <c r="L518" s="46"/>
      <c r="M518" s="46"/>
      <c r="N518" s="46"/>
      <c r="O518" s="46"/>
      <c r="P518" s="46"/>
      <c r="Q518" s="46"/>
      <c r="R518" s="46"/>
      <c r="S518" s="46"/>
      <c r="T518" s="46"/>
      <c r="U518" s="46"/>
      <c r="V518" s="46"/>
      <c r="W518" s="46"/>
    </row>
    <row r="519">
      <c r="A519" s="55"/>
      <c r="B519" s="214"/>
      <c r="C519" s="55"/>
      <c r="D519" s="214"/>
      <c r="E519" s="122"/>
      <c r="F519" s="219"/>
      <c r="G519" s="122"/>
      <c r="H519" s="214"/>
      <c r="I519" s="220"/>
      <c r="J519" s="46"/>
      <c r="K519" s="46"/>
      <c r="L519" s="46"/>
      <c r="M519" s="46"/>
      <c r="N519" s="46"/>
      <c r="O519" s="46"/>
      <c r="P519" s="46"/>
      <c r="Q519" s="46"/>
      <c r="R519" s="46"/>
      <c r="S519" s="46"/>
      <c r="T519" s="46"/>
      <c r="U519" s="46"/>
      <c r="V519" s="46"/>
      <c r="W519" s="46"/>
    </row>
    <row r="520">
      <c r="A520" s="55"/>
      <c r="B520" s="214"/>
      <c r="C520" s="55"/>
      <c r="D520" s="214"/>
      <c r="E520" s="122"/>
      <c r="F520" s="219"/>
      <c r="G520" s="122"/>
      <c r="H520" s="214"/>
      <c r="I520" s="220"/>
      <c r="J520" s="46"/>
      <c r="K520" s="46"/>
      <c r="L520" s="46"/>
      <c r="M520" s="46"/>
      <c r="N520" s="46"/>
      <c r="O520" s="46"/>
      <c r="P520" s="46"/>
      <c r="Q520" s="46"/>
      <c r="R520" s="46"/>
      <c r="S520" s="46"/>
      <c r="T520" s="46"/>
      <c r="U520" s="46"/>
      <c r="V520" s="46"/>
      <c r="W520" s="46"/>
    </row>
    <row r="521">
      <c r="A521" s="55"/>
      <c r="B521" s="214"/>
      <c r="C521" s="55"/>
      <c r="D521" s="214"/>
      <c r="E521" s="122"/>
      <c r="F521" s="219"/>
      <c r="G521" s="122"/>
      <c r="H521" s="214"/>
      <c r="I521" s="220"/>
      <c r="J521" s="46"/>
      <c r="K521" s="46"/>
      <c r="L521" s="46"/>
      <c r="M521" s="46"/>
      <c r="N521" s="46"/>
      <c r="O521" s="46"/>
      <c r="P521" s="46"/>
      <c r="Q521" s="46"/>
      <c r="R521" s="46"/>
      <c r="S521" s="46"/>
      <c r="T521" s="46"/>
      <c r="U521" s="46"/>
      <c r="V521" s="46"/>
      <c r="W521" s="46"/>
    </row>
    <row r="522">
      <c r="A522" s="55"/>
      <c r="B522" s="214"/>
      <c r="C522" s="55"/>
      <c r="D522" s="214"/>
      <c r="E522" s="122"/>
      <c r="F522" s="219"/>
      <c r="G522" s="122"/>
      <c r="H522" s="214"/>
      <c r="I522" s="220"/>
      <c r="J522" s="46"/>
      <c r="K522" s="46"/>
      <c r="L522" s="46"/>
      <c r="M522" s="46"/>
      <c r="N522" s="46"/>
      <c r="O522" s="46"/>
      <c r="P522" s="46"/>
      <c r="Q522" s="46"/>
      <c r="R522" s="46"/>
      <c r="S522" s="46"/>
      <c r="T522" s="46"/>
      <c r="U522" s="46"/>
      <c r="V522" s="46"/>
      <c r="W522" s="46"/>
    </row>
    <row r="523">
      <c r="A523" s="55"/>
      <c r="B523" s="214"/>
      <c r="C523" s="55"/>
      <c r="D523" s="214"/>
      <c r="E523" s="122"/>
      <c r="F523" s="219"/>
      <c r="G523" s="122"/>
      <c r="H523" s="214"/>
      <c r="I523" s="220"/>
      <c r="J523" s="46"/>
      <c r="K523" s="46"/>
      <c r="L523" s="46"/>
      <c r="M523" s="46"/>
      <c r="N523" s="46"/>
      <c r="O523" s="46"/>
      <c r="P523" s="46"/>
      <c r="Q523" s="46"/>
      <c r="R523" s="46"/>
      <c r="S523" s="46"/>
      <c r="T523" s="46"/>
      <c r="U523" s="46"/>
      <c r="V523" s="46"/>
      <c r="W523" s="46"/>
    </row>
    <row r="524">
      <c r="A524" s="55"/>
      <c r="B524" s="214"/>
      <c r="C524" s="55"/>
      <c r="D524" s="214"/>
      <c r="E524" s="122"/>
      <c r="F524" s="219"/>
      <c r="G524" s="122"/>
      <c r="H524" s="214"/>
      <c r="I524" s="220"/>
      <c r="J524" s="46"/>
      <c r="K524" s="46"/>
      <c r="L524" s="46"/>
      <c r="M524" s="46"/>
      <c r="N524" s="46"/>
      <c r="O524" s="46"/>
      <c r="P524" s="46"/>
      <c r="Q524" s="46"/>
      <c r="R524" s="46"/>
      <c r="S524" s="46"/>
      <c r="T524" s="46"/>
      <c r="U524" s="46"/>
      <c r="V524" s="46"/>
      <c r="W524" s="46"/>
    </row>
    <row r="525">
      <c r="A525" s="55"/>
      <c r="B525" s="214"/>
      <c r="C525" s="55"/>
      <c r="D525" s="214"/>
      <c r="E525" s="122"/>
      <c r="F525" s="219"/>
      <c r="G525" s="122"/>
      <c r="H525" s="214"/>
      <c r="I525" s="220"/>
      <c r="J525" s="46"/>
      <c r="K525" s="46"/>
      <c r="L525" s="46"/>
      <c r="M525" s="46"/>
      <c r="N525" s="46"/>
      <c r="O525" s="46"/>
      <c r="P525" s="46"/>
      <c r="Q525" s="46"/>
      <c r="R525" s="46"/>
      <c r="S525" s="46"/>
      <c r="T525" s="46"/>
      <c r="U525" s="46"/>
      <c r="V525" s="46"/>
      <c r="W525" s="46"/>
    </row>
    <row r="526">
      <c r="A526" s="55"/>
      <c r="B526" s="214"/>
      <c r="C526" s="55"/>
      <c r="D526" s="214"/>
      <c r="E526" s="122"/>
      <c r="F526" s="219"/>
      <c r="G526" s="122"/>
      <c r="H526" s="214"/>
      <c r="I526" s="220"/>
      <c r="J526" s="46"/>
      <c r="K526" s="46"/>
      <c r="L526" s="46"/>
      <c r="M526" s="46"/>
      <c r="N526" s="46"/>
      <c r="O526" s="46"/>
      <c r="P526" s="46"/>
      <c r="Q526" s="46"/>
      <c r="R526" s="46"/>
      <c r="S526" s="46"/>
      <c r="T526" s="46"/>
      <c r="U526" s="46"/>
      <c r="V526" s="46"/>
      <c r="W526" s="46"/>
    </row>
    <row r="527">
      <c r="A527" s="55"/>
      <c r="B527" s="214"/>
      <c r="C527" s="55"/>
      <c r="D527" s="214"/>
      <c r="E527" s="122"/>
      <c r="F527" s="219"/>
      <c r="G527" s="122"/>
      <c r="H527" s="214"/>
      <c r="I527" s="220"/>
      <c r="J527" s="46"/>
      <c r="K527" s="46"/>
      <c r="L527" s="46"/>
      <c r="M527" s="46"/>
      <c r="N527" s="46"/>
      <c r="O527" s="46"/>
      <c r="P527" s="46"/>
      <c r="Q527" s="46"/>
      <c r="R527" s="46"/>
      <c r="S527" s="46"/>
      <c r="T527" s="46"/>
      <c r="U527" s="46"/>
      <c r="V527" s="46"/>
      <c r="W527" s="46"/>
    </row>
    <row r="528">
      <c r="A528" s="55"/>
      <c r="B528" s="214"/>
      <c r="C528" s="55"/>
      <c r="D528" s="214"/>
      <c r="E528" s="122"/>
      <c r="F528" s="219"/>
      <c r="G528" s="122"/>
      <c r="H528" s="214"/>
      <c r="I528" s="220"/>
      <c r="J528" s="46"/>
      <c r="K528" s="46"/>
      <c r="L528" s="46"/>
      <c r="M528" s="46"/>
      <c r="N528" s="46"/>
      <c r="O528" s="46"/>
      <c r="P528" s="46"/>
      <c r="Q528" s="46"/>
      <c r="R528" s="46"/>
      <c r="S528" s="46"/>
      <c r="T528" s="46"/>
      <c r="U528" s="46"/>
      <c r="V528" s="46"/>
      <c r="W528" s="46"/>
    </row>
    <row r="529">
      <c r="A529" s="55"/>
      <c r="B529" s="214"/>
      <c r="C529" s="55"/>
      <c r="D529" s="214"/>
      <c r="E529" s="122"/>
      <c r="F529" s="219"/>
      <c r="G529" s="122"/>
      <c r="H529" s="214"/>
      <c r="I529" s="220"/>
      <c r="J529" s="46"/>
      <c r="K529" s="46"/>
      <c r="L529" s="46"/>
      <c r="M529" s="46"/>
      <c r="N529" s="46"/>
      <c r="O529" s="46"/>
      <c r="P529" s="46"/>
      <c r="Q529" s="46"/>
      <c r="R529" s="46"/>
      <c r="S529" s="46"/>
      <c r="T529" s="46"/>
      <c r="U529" s="46"/>
      <c r="V529" s="46"/>
      <c r="W529" s="46"/>
    </row>
    <row r="530">
      <c r="A530" s="55"/>
      <c r="B530" s="214"/>
      <c r="C530" s="55"/>
      <c r="D530" s="214"/>
      <c r="E530" s="122"/>
      <c r="F530" s="219"/>
      <c r="G530" s="122"/>
      <c r="H530" s="214"/>
      <c r="I530" s="220"/>
      <c r="J530" s="46"/>
      <c r="K530" s="46"/>
      <c r="L530" s="46"/>
      <c r="M530" s="46"/>
      <c r="N530" s="46"/>
      <c r="O530" s="46"/>
      <c r="P530" s="46"/>
      <c r="Q530" s="46"/>
      <c r="R530" s="46"/>
      <c r="S530" s="46"/>
      <c r="T530" s="46"/>
      <c r="U530" s="46"/>
      <c r="V530" s="46"/>
      <c r="W530" s="46"/>
    </row>
    <row r="531">
      <c r="A531" s="55"/>
      <c r="B531" s="214"/>
      <c r="C531" s="55"/>
      <c r="D531" s="214"/>
      <c r="E531" s="122"/>
      <c r="F531" s="219"/>
      <c r="G531" s="122"/>
      <c r="H531" s="214"/>
      <c r="I531" s="220"/>
      <c r="J531" s="46"/>
      <c r="K531" s="46"/>
      <c r="L531" s="46"/>
      <c r="M531" s="46"/>
      <c r="N531" s="46"/>
      <c r="O531" s="46"/>
      <c r="P531" s="46"/>
      <c r="Q531" s="46"/>
      <c r="R531" s="46"/>
      <c r="S531" s="46"/>
      <c r="T531" s="46"/>
      <c r="U531" s="46"/>
      <c r="V531" s="46"/>
      <c r="W531" s="46"/>
    </row>
    <row r="532">
      <c r="A532" s="55"/>
      <c r="B532" s="214"/>
      <c r="C532" s="55"/>
      <c r="D532" s="214"/>
      <c r="E532" s="122"/>
      <c r="F532" s="219"/>
      <c r="G532" s="122"/>
      <c r="H532" s="214"/>
      <c r="I532" s="220"/>
      <c r="J532" s="46"/>
      <c r="K532" s="46"/>
      <c r="L532" s="46"/>
      <c r="M532" s="46"/>
      <c r="N532" s="46"/>
      <c r="O532" s="46"/>
      <c r="P532" s="46"/>
      <c r="Q532" s="46"/>
      <c r="R532" s="46"/>
      <c r="S532" s="46"/>
      <c r="T532" s="46"/>
      <c r="U532" s="46"/>
      <c r="V532" s="46"/>
      <c r="W532" s="46"/>
    </row>
    <row r="533">
      <c r="A533" s="55"/>
      <c r="B533" s="214"/>
      <c r="C533" s="55"/>
      <c r="D533" s="214"/>
      <c r="E533" s="122"/>
      <c r="F533" s="219"/>
      <c r="G533" s="122"/>
      <c r="H533" s="214"/>
      <c r="I533" s="220"/>
      <c r="J533" s="46"/>
      <c r="K533" s="46"/>
      <c r="L533" s="46"/>
      <c r="M533" s="46"/>
      <c r="N533" s="46"/>
      <c r="O533" s="46"/>
      <c r="P533" s="46"/>
      <c r="Q533" s="46"/>
      <c r="R533" s="46"/>
      <c r="S533" s="46"/>
      <c r="T533" s="46"/>
      <c r="U533" s="46"/>
      <c r="V533" s="46"/>
      <c r="W533" s="46"/>
    </row>
    <row r="534">
      <c r="A534" s="55"/>
      <c r="B534" s="214"/>
      <c r="C534" s="55"/>
      <c r="D534" s="214"/>
      <c r="E534" s="122"/>
      <c r="F534" s="219"/>
      <c r="G534" s="122"/>
      <c r="H534" s="214"/>
      <c r="I534" s="220"/>
      <c r="J534" s="46"/>
      <c r="K534" s="46"/>
      <c r="L534" s="46"/>
      <c r="M534" s="46"/>
      <c r="N534" s="46"/>
      <c r="O534" s="46"/>
      <c r="P534" s="46"/>
      <c r="Q534" s="46"/>
      <c r="R534" s="46"/>
      <c r="S534" s="46"/>
      <c r="T534" s="46"/>
      <c r="U534" s="46"/>
      <c r="V534" s="46"/>
      <c r="W534" s="46"/>
    </row>
    <row r="535">
      <c r="A535" s="55"/>
      <c r="B535" s="214"/>
      <c r="C535" s="55"/>
      <c r="D535" s="214"/>
      <c r="E535" s="122"/>
      <c r="F535" s="219"/>
      <c r="G535" s="122"/>
      <c r="H535" s="214"/>
      <c r="I535" s="220"/>
      <c r="J535" s="46"/>
      <c r="K535" s="46"/>
      <c r="L535" s="46"/>
      <c r="M535" s="46"/>
      <c r="N535" s="46"/>
      <c r="O535" s="46"/>
      <c r="P535" s="46"/>
      <c r="Q535" s="46"/>
      <c r="R535" s="46"/>
      <c r="S535" s="46"/>
      <c r="T535" s="46"/>
      <c r="U535" s="46"/>
      <c r="V535" s="46"/>
      <c r="W535" s="46"/>
    </row>
    <row r="536">
      <c r="A536" s="55"/>
      <c r="B536" s="214"/>
      <c r="C536" s="55"/>
      <c r="D536" s="214"/>
      <c r="E536" s="122"/>
      <c r="F536" s="219"/>
      <c r="G536" s="122"/>
      <c r="H536" s="214"/>
      <c r="I536" s="220"/>
      <c r="J536" s="46"/>
      <c r="K536" s="46"/>
      <c r="L536" s="46"/>
      <c r="M536" s="46"/>
      <c r="N536" s="46"/>
      <c r="O536" s="46"/>
      <c r="P536" s="46"/>
      <c r="Q536" s="46"/>
      <c r="R536" s="46"/>
      <c r="S536" s="46"/>
      <c r="T536" s="46"/>
      <c r="U536" s="46"/>
      <c r="V536" s="46"/>
      <c r="W536" s="46"/>
    </row>
    <row r="537">
      <c r="A537" s="55"/>
      <c r="B537" s="214"/>
      <c r="C537" s="55"/>
      <c r="D537" s="214"/>
      <c r="E537" s="122"/>
      <c r="F537" s="219"/>
      <c r="G537" s="122"/>
      <c r="H537" s="214"/>
      <c r="I537" s="220"/>
      <c r="J537" s="46"/>
      <c r="K537" s="46"/>
      <c r="L537" s="46"/>
      <c r="M537" s="46"/>
      <c r="N537" s="46"/>
      <c r="O537" s="46"/>
      <c r="P537" s="46"/>
      <c r="Q537" s="46"/>
      <c r="R537" s="46"/>
      <c r="S537" s="46"/>
      <c r="T537" s="46"/>
      <c r="U537" s="46"/>
      <c r="V537" s="46"/>
      <c r="W537" s="46"/>
    </row>
    <row r="538">
      <c r="A538" s="55"/>
      <c r="B538" s="214"/>
      <c r="C538" s="55"/>
      <c r="D538" s="214"/>
      <c r="E538" s="122"/>
      <c r="F538" s="219"/>
      <c r="G538" s="122"/>
      <c r="H538" s="214"/>
      <c r="I538" s="220"/>
      <c r="J538" s="46"/>
      <c r="K538" s="46"/>
      <c r="L538" s="46"/>
      <c r="M538" s="46"/>
      <c r="N538" s="46"/>
      <c r="O538" s="46"/>
      <c r="P538" s="46"/>
      <c r="Q538" s="46"/>
      <c r="R538" s="46"/>
      <c r="S538" s="46"/>
      <c r="T538" s="46"/>
      <c r="U538" s="46"/>
      <c r="V538" s="46"/>
      <c r="W538" s="46"/>
    </row>
    <row r="539">
      <c r="A539" s="55"/>
      <c r="B539" s="214"/>
      <c r="C539" s="55"/>
      <c r="D539" s="214"/>
      <c r="E539" s="122"/>
      <c r="F539" s="219"/>
      <c r="G539" s="122"/>
      <c r="H539" s="214"/>
      <c r="I539" s="220"/>
      <c r="J539" s="46"/>
      <c r="K539" s="46"/>
      <c r="L539" s="46"/>
      <c r="M539" s="46"/>
      <c r="N539" s="46"/>
      <c r="O539" s="46"/>
      <c r="P539" s="46"/>
      <c r="Q539" s="46"/>
      <c r="R539" s="46"/>
      <c r="S539" s="46"/>
      <c r="T539" s="46"/>
      <c r="U539" s="46"/>
      <c r="V539" s="46"/>
      <c r="W539" s="46"/>
    </row>
    <row r="540">
      <c r="A540" s="55"/>
      <c r="B540" s="214"/>
      <c r="C540" s="55"/>
      <c r="D540" s="214"/>
      <c r="E540" s="122"/>
      <c r="F540" s="219"/>
      <c r="G540" s="122"/>
      <c r="H540" s="214"/>
      <c r="I540" s="220"/>
      <c r="J540" s="46"/>
      <c r="K540" s="46"/>
      <c r="L540" s="46"/>
      <c r="M540" s="46"/>
      <c r="N540" s="46"/>
      <c r="O540" s="46"/>
      <c r="P540" s="46"/>
      <c r="Q540" s="46"/>
      <c r="R540" s="46"/>
      <c r="S540" s="46"/>
      <c r="T540" s="46"/>
      <c r="U540" s="46"/>
      <c r="V540" s="46"/>
      <c r="W540" s="46"/>
    </row>
    <row r="541">
      <c r="A541" s="55"/>
      <c r="B541" s="214"/>
      <c r="C541" s="55"/>
      <c r="D541" s="214"/>
      <c r="E541" s="122"/>
      <c r="F541" s="219"/>
      <c r="G541" s="122"/>
      <c r="H541" s="214"/>
      <c r="I541" s="220"/>
      <c r="J541" s="46"/>
      <c r="K541" s="46"/>
      <c r="L541" s="46"/>
      <c r="M541" s="46"/>
      <c r="N541" s="46"/>
      <c r="O541" s="46"/>
      <c r="P541" s="46"/>
      <c r="Q541" s="46"/>
      <c r="R541" s="46"/>
      <c r="S541" s="46"/>
      <c r="T541" s="46"/>
      <c r="U541" s="46"/>
      <c r="V541" s="46"/>
      <c r="W541" s="46"/>
    </row>
    <row r="542">
      <c r="A542" s="55"/>
      <c r="B542" s="214"/>
      <c r="C542" s="55"/>
      <c r="D542" s="214"/>
      <c r="E542" s="122"/>
      <c r="F542" s="219"/>
      <c r="G542" s="122"/>
      <c r="H542" s="214"/>
      <c r="I542" s="220"/>
      <c r="J542" s="46"/>
      <c r="K542" s="46"/>
      <c r="L542" s="46"/>
      <c r="M542" s="46"/>
      <c r="N542" s="46"/>
      <c r="O542" s="46"/>
      <c r="P542" s="46"/>
      <c r="Q542" s="46"/>
      <c r="R542" s="46"/>
      <c r="S542" s="46"/>
      <c r="T542" s="46"/>
      <c r="U542" s="46"/>
      <c r="V542" s="46"/>
      <c r="W542" s="46"/>
    </row>
    <row r="543">
      <c r="A543" s="55"/>
      <c r="B543" s="214"/>
      <c r="C543" s="55"/>
      <c r="D543" s="214"/>
      <c r="E543" s="122"/>
      <c r="F543" s="219"/>
      <c r="G543" s="122"/>
      <c r="H543" s="214"/>
      <c r="I543" s="220"/>
      <c r="J543" s="46"/>
      <c r="K543" s="46"/>
      <c r="L543" s="46"/>
      <c r="M543" s="46"/>
      <c r="N543" s="46"/>
      <c r="O543" s="46"/>
      <c r="P543" s="46"/>
      <c r="Q543" s="46"/>
      <c r="R543" s="46"/>
      <c r="S543" s="46"/>
      <c r="T543" s="46"/>
      <c r="U543" s="46"/>
      <c r="V543" s="46"/>
      <c r="W543" s="46"/>
    </row>
    <row r="544">
      <c r="A544" s="55"/>
      <c r="B544" s="214"/>
      <c r="C544" s="55"/>
      <c r="D544" s="214"/>
      <c r="E544" s="122"/>
      <c r="F544" s="219"/>
      <c r="G544" s="122"/>
      <c r="H544" s="214"/>
      <c r="I544" s="220"/>
      <c r="J544" s="46"/>
      <c r="K544" s="46"/>
      <c r="L544" s="46"/>
      <c r="M544" s="46"/>
      <c r="N544" s="46"/>
      <c r="O544" s="46"/>
      <c r="P544" s="46"/>
      <c r="Q544" s="46"/>
      <c r="R544" s="46"/>
      <c r="S544" s="46"/>
      <c r="T544" s="46"/>
      <c r="U544" s="46"/>
      <c r="V544" s="46"/>
      <c r="W544" s="46"/>
    </row>
    <row r="545">
      <c r="A545" s="55"/>
      <c r="B545" s="214"/>
      <c r="C545" s="55"/>
      <c r="D545" s="214"/>
      <c r="E545" s="122"/>
      <c r="F545" s="219"/>
      <c r="G545" s="122"/>
      <c r="H545" s="214"/>
      <c r="I545" s="220"/>
      <c r="J545" s="46"/>
      <c r="K545" s="46"/>
      <c r="L545" s="46"/>
      <c r="M545" s="46"/>
      <c r="N545" s="46"/>
      <c r="O545" s="46"/>
      <c r="P545" s="46"/>
      <c r="Q545" s="46"/>
      <c r="R545" s="46"/>
      <c r="S545" s="46"/>
      <c r="T545" s="46"/>
      <c r="U545" s="46"/>
      <c r="V545" s="46"/>
      <c r="W545" s="46"/>
    </row>
    <row r="546">
      <c r="A546" s="55"/>
      <c r="B546" s="214"/>
      <c r="C546" s="55"/>
      <c r="D546" s="214"/>
      <c r="E546" s="122"/>
      <c r="F546" s="219"/>
      <c r="G546" s="122"/>
      <c r="H546" s="214"/>
      <c r="I546" s="220"/>
      <c r="J546" s="46"/>
      <c r="K546" s="46"/>
      <c r="L546" s="46"/>
      <c r="M546" s="46"/>
      <c r="N546" s="46"/>
      <c r="O546" s="46"/>
      <c r="P546" s="46"/>
      <c r="Q546" s="46"/>
      <c r="R546" s="46"/>
      <c r="S546" s="46"/>
      <c r="T546" s="46"/>
      <c r="U546" s="46"/>
      <c r="V546" s="46"/>
      <c r="W546" s="46"/>
    </row>
    <row r="547">
      <c r="A547" s="55"/>
      <c r="B547" s="214"/>
      <c r="C547" s="55"/>
      <c r="D547" s="214"/>
      <c r="E547" s="122"/>
      <c r="F547" s="219"/>
      <c r="G547" s="122"/>
      <c r="H547" s="214"/>
      <c r="I547" s="220"/>
      <c r="J547" s="46"/>
      <c r="K547" s="46"/>
      <c r="L547" s="46"/>
      <c r="M547" s="46"/>
      <c r="N547" s="46"/>
      <c r="O547" s="46"/>
      <c r="P547" s="46"/>
      <c r="Q547" s="46"/>
      <c r="R547" s="46"/>
      <c r="S547" s="46"/>
      <c r="T547" s="46"/>
      <c r="U547" s="46"/>
      <c r="V547" s="46"/>
      <c r="W547" s="46"/>
    </row>
    <row r="548">
      <c r="A548" s="55"/>
      <c r="B548" s="214"/>
      <c r="C548" s="55"/>
      <c r="D548" s="214"/>
      <c r="E548" s="122"/>
      <c r="F548" s="219"/>
      <c r="G548" s="122"/>
      <c r="H548" s="214"/>
      <c r="I548" s="220"/>
      <c r="J548" s="46"/>
      <c r="K548" s="46"/>
      <c r="L548" s="46"/>
      <c r="M548" s="46"/>
      <c r="N548" s="46"/>
      <c r="O548" s="46"/>
      <c r="P548" s="46"/>
      <c r="Q548" s="46"/>
      <c r="R548" s="46"/>
      <c r="S548" s="46"/>
      <c r="T548" s="46"/>
      <c r="U548" s="46"/>
      <c r="V548" s="46"/>
      <c r="W548" s="46"/>
    </row>
    <row r="549">
      <c r="A549" s="55"/>
      <c r="B549" s="214"/>
      <c r="C549" s="55"/>
      <c r="D549" s="214"/>
      <c r="E549" s="122"/>
      <c r="F549" s="219"/>
      <c r="G549" s="122"/>
      <c r="H549" s="214"/>
      <c r="I549" s="220"/>
      <c r="J549" s="46"/>
      <c r="K549" s="46"/>
      <c r="L549" s="46"/>
      <c r="M549" s="46"/>
      <c r="N549" s="46"/>
      <c r="O549" s="46"/>
      <c r="P549" s="46"/>
      <c r="Q549" s="46"/>
      <c r="R549" s="46"/>
      <c r="S549" s="46"/>
      <c r="T549" s="46"/>
      <c r="U549" s="46"/>
      <c r="V549" s="46"/>
      <c r="W549" s="46"/>
    </row>
    <row r="550">
      <c r="A550" s="55"/>
      <c r="B550" s="214"/>
      <c r="C550" s="55"/>
      <c r="D550" s="214"/>
      <c r="E550" s="122"/>
      <c r="F550" s="219"/>
      <c r="G550" s="122"/>
      <c r="H550" s="214"/>
      <c r="I550" s="220"/>
      <c r="J550" s="46"/>
      <c r="K550" s="46"/>
      <c r="L550" s="46"/>
      <c r="M550" s="46"/>
      <c r="N550" s="46"/>
      <c r="O550" s="46"/>
      <c r="P550" s="46"/>
      <c r="Q550" s="46"/>
      <c r="R550" s="46"/>
      <c r="S550" s="46"/>
      <c r="T550" s="46"/>
      <c r="U550" s="46"/>
      <c r="V550" s="46"/>
      <c r="W550" s="46"/>
    </row>
    <row r="551">
      <c r="A551" s="55"/>
      <c r="B551" s="214"/>
      <c r="C551" s="55"/>
      <c r="D551" s="214"/>
      <c r="E551" s="122"/>
      <c r="F551" s="219"/>
      <c r="G551" s="122"/>
      <c r="H551" s="214"/>
      <c r="I551" s="220"/>
      <c r="J551" s="46"/>
      <c r="K551" s="46"/>
      <c r="L551" s="46"/>
      <c r="M551" s="46"/>
      <c r="N551" s="46"/>
      <c r="O551" s="46"/>
      <c r="P551" s="46"/>
      <c r="Q551" s="46"/>
      <c r="R551" s="46"/>
      <c r="S551" s="46"/>
      <c r="T551" s="46"/>
      <c r="U551" s="46"/>
      <c r="V551" s="46"/>
      <c r="W551" s="46"/>
    </row>
    <row r="552">
      <c r="A552" s="55"/>
      <c r="B552" s="214"/>
      <c r="C552" s="55"/>
      <c r="D552" s="214"/>
      <c r="E552" s="122"/>
      <c r="F552" s="219"/>
      <c r="G552" s="122"/>
      <c r="H552" s="214"/>
      <c r="I552" s="220"/>
      <c r="J552" s="46"/>
      <c r="K552" s="46"/>
      <c r="L552" s="46"/>
      <c r="M552" s="46"/>
      <c r="N552" s="46"/>
      <c r="O552" s="46"/>
      <c r="P552" s="46"/>
      <c r="Q552" s="46"/>
      <c r="R552" s="46"/>
      <c r="S552" s="46"/>
      <c r="T552" s="46"/>
      <c r="U552" s="46"/>
      <c r="V552" s="46"/>
      <c r="W552" s="46"/>
    </row>
    <row r="553">
      <c r="A553" s="55"/>
      <c r="B553" s="214"/>
      <c r="C553" s="55"/>
      <c r="D553" s="214"/>
      <c r="E553" s="122"/>
      <c r="F553" s="219"/>
      <c r="G553" s="122"/>
      <c r="H553" s="214"/>
      <c r="I553" s="220"/>
      <c r="J553" s="46"/>
      <c r="K553" s="46"/>
      <c r="L553" s="46"/>
      <c r="M553" s="46"/>
      <c r="N553" s="46"/>
      <c r="O553" s="46"/>
      <c r="P553" s="46"/>
      <c r="Q553" s="46"/>
      <c r="R553" s="46"/>
      <c r="S553" s="46"/>
      <c r="T553" s="46"/>
      <c r="U553" s="46"/>
      <c r="V553" s="46"/>
      <c r="W553" s="46"/>
    </row>
    <row r="554">
      <c r="A554" s="55"/>
      <c r="B554" s="214"/>
      <c r="C554" s="55"/>
      <c r="D554" s="214"/>
      <c r="E554" s="122"/>
      <c r="F554" s="219"/>
      <c r="G554" s="122"/>
      <c r="H554" s="214"/>
      <c r="I554" s="220"/>
      <c r="J554" s="46"/>
      <c r="K554" s="46"/>
      <c r="L554" s="46"/>
      <c r="M554" s="46"/>
      <c r="N554" s="46"/>
      <c r="O554" s="46"/>
      <c r="P554" s="46"/>
      <c r="Q554" s="46"/>
      <c r="R554" s="46"/>
      <c r="S554" s="46"/>
      <c r="T554" s="46"/>
      <c r="U554" s="46"/>
      <c r="V554" s="46"/>
      <c r="W554" s="46"/>
    </row>
    <row r="555">
      <c r="A555" s="55"/>
      <c r="B555" s="214"/>
      <c r="C555" s="55"/>
      <c r="D555" s="214"/>
      <c r="E555" s="122"/>
      <c r="F555" s="219"/>
      <c r="G555" s="122"/>
      <c r="H555" s="214"/>
      <c r="I555" s="220"/>
      <c r="J555" s="46"/>
      <c r="K555" s="46"/>
      <c r="L555" s="46"/>
      <c r="M555" s="46"/>
      <c r="N555" s="46"/>
      <c r="O555" s="46"/>
      <c r="P555" s="46"/>
      <c r="Q555" s="46"/>
      <c r="R555" s="46"/>
      <c r="S555" s="46"/>
      <c r="T555" s="46"/>
      <c r="U555" s="46"/>
      <c r="V555" s="46"/>
      <c r="W555" s="46"/>
    </row>
    <row r="556">
      <c r="A556" s="55"/>
      <c r="B556" s="214"/>
      <c r="C556" s="55"/>
      <c r="D556" s="214"/>
      <c r="E556" s="122"/>
      <c r="F556" s="219"/>
      <c r="G556" s="122"/>
      <c r="H556" s="214"/>
      <c r="I556" s="220"/>
      <c r="J556" s="46"/>
      <c r="K556" s="46"/>
      <c r="L556" s="46"/>
      <c r="M556" s="46"/>
      <c r="N556" s="46"/>
      <c r="O556" s="46"/>
      <c r="P556" s="46"/>
      <c r="Q556" s="46"/>
      <c r="R556" s="46"/>
      <c r="S556" s="46"/>
      <c r="T556" s="46"/>
      <c r="U556" s="46"/>
      <c r="V556" s="46"/>
      <c r="W556" s="46"/>
    </row>
    <row r="557">
      <c r="A557" s="55"/>
      <c r="B557" s="214"/>
      <c r="C557" s="55"/>
      <c r="D557" s="214"/>
      <c r="E557" s="122"/>
      <c r="F557" s="219"/>
      <c r="G557" s="122"/>
      <c r="H557" s="214"/>
      <c r="I557" s="220"/>
      <c r="J557" s="46"/>
      <c r="K557" s="46"/>
      <c r="L557" s="46"/>
      <c r="M557" s="46"/>
      <c r="N557" s="46"/>
      <c r="O557" s="46"/>
      <c r="P557" s="46"/>
      <c r="Q557" s="46"/>
      <c r="R557" s="46"/>
      <c r="S557" s="46"/>
      <c r="T557" s="46"/>
      <c r="U557" s="46"/>
      <c r="V557" s="46"/>
      <c r="W557" s="46"/>
    </row>
    <row r="558">
      <c r="A558" s="55"/>
      <c r="B558" s="214"/>
      <c r="C558" s="55"/>
      <c r="D558" s="214"/>
      <c r="E558" s="122"/>
      <c r="F558" s="219"/>
      <c r="G558" s="122"/>
      <c r="H558" s="214"/>
      <c r="I558" s="220"/>
      <c r="J558" s="46"/>
      <c r="K558" s="46"/>
      <c r="L558" s="46"/>
      <c r="M558" s="46"/>
      <c r="N558" s="46"/>
      <c r="O558" s="46"/>
      <c r="P558" s="46"/>
      <c r="Q558" s="46"/>
      <c r="R558" s="46"/>
      <c r="S558" s="46"/>
      <c r="T558" s="46"/>
      <c r="U558" s="46"/>
      <c r="V558" s="46"/>
      <c r="W558" s="46"/>
    </row>
    <row r="559">
      <c r="A559" s="55"/>
      <c r="B559" s="214"/>
      <c r="C559" s="55"/>
      <c r="D559" s="214"/>
      <c r="E559" s="122"/>
      <c r="F559" s="219"/>
      <c r="G559" s="122"/>
      <c r="H559" s="214"/>
      <c r="I559" s="220"/>
      <c r="J559" s="46"/>
      <c r="K559" s="46"/>
      <c r="L559" s="46"/>
      <c r="M559" s="46"/>
      <c r="N559" s="46"/>
      <c r="O559" s="46"/>
      <c r="P559" s="46"/>
      <c r="Q559" s="46"/>
      <c r="R559" s="46"/>
      <c r="S559" s="46"/>
      <c r="T559" s="46"/>
      <c r="U559" s="46"/>
      <c r="V559" s="46"/>
      <c r="W559" s="46"/>
    </row>
    <row r="560">
      <c r="A560" s="55"/>
      <c r="B560" s="214"/>
      <c r="C560" s="55"/>
      <c r="D560" s="214"/>
      <c r="E560" s="122"/>
      <c r="F560" s="219"/>
      <c r="G560" s="122"/>
      <c r="H560" s="214"/>
      <c r="I560" s="220"/>
      <c r="J560" s="46"/>
      <c r="K560" s="46"/>
      <c r="L560" s="46"/>
      <c r="M560" s="46"/>
      <c r="N560" s="46"/>
      <c r="O560" s="46"/>
      <c r="P560" s="46"/>
      <c r="Q560" s="46"/>
      <c r="R560" s="46"/>
      <c r="S560" s="46"/>
      <c r="T560" s="46"/>
      <c r="U560" s="46"/>
      <c r="V560" s="46"/>
      <c r="W560" s="46"/>
    </row>
    <row r="561">
      <c r="A561" s="55"/>
      <c r="B561" s="214"/>
      <c r="C561" s="55"/>
      <c r="D561" s="214"/>
      <c r="E561" s="122"/>
      <c r="F561" s="219"/>
      <c r="G561" s="122"/>
      <c r="H561" s="214"/>
      <c r="I561" s="220"/>
      <c r="J561" s="46"/>
      <c r="K561" s="46"/>
      <c r="L561" s="46"/>
      <c r="M561" s="46"/>
      <c r="N561" s="46"/>
      <c r="O561" s="46"/>
      <c r="P561" s="46"/>
      <c r="Q561" s="46"/>
      <c r="R561" s="46"/>
      <c r="S561" s="46"/>
      <c r="T561" s="46"/>
      <c r="U561" s="46"/>
      <c r="V561" s="46"/>
      <c r="W561" s="46"/>
    </row>
    <row r="562">
      <c r="A562" s="55"/>
      <c r="B562" s="214"/>
      <c r="C562" s="55"/>
      <c r="D562" s="214"/>
      <c r="E562" s="122"/>
      <c r="F562" s="219"/>
      <c r="G562" s="122"/>
      <c r="H562" s="214"/>
      <c r="I562" s="220"/>
      <c r="J562" s="46"/>
      <c r="K562" s="46"/>
      <c r="L562" s="46"/>
      <c r="M562" s="46"/>
      <c r="N562" s="46"/>
      <c r="O562" s="46"/>
      <c r="P562" s="46"/>
      <c r="Q562" s="46"/>
      <c r="R562" s="46"/>
      <c r="S562" s="46"/>
      <c r="T562" s="46"/>
      <c r="U562" s="46"/>
      <c r="V562" s="46"/>
      <c r="W562" s="46"/>
    </row>
    <row r="563">
      <c r="A563" s="55"/>
      <c r="B563" s="214"/>
      <c r="C563" s="55"/>
      <c r="D563" s="214"/>
      <c r="E563" s="122"/>
      <c r="F563" s="219"/>
      <c r="G563" s="122"/>
      <c r="H563" s="214"/>
      <c r="I563" s="220"/>
      <c r="J563" s="46"/>
      <c r="K563" s="46"/>
      <c r="L563" s="46"/>
      <c r="M563" s="46"/>
      <c r="N563" s="46"/>
      <c r="O563" s="46"/>
      <c r="P563" s="46"/>
      <c r="Q563" s="46"/>
      <c r="R563" s="46"/>
      <c r="S563" s="46"/>
      <c r="T563" s="46"/>
      <c r="U563" s="46"/>
      <c r="V563" s="46"/>
      <c r="W563" s="46"/>
    </row>
    <row r="564">
      <c r="A564" s="55"/>
      <c r="B564" s="214"/>
      <c r="C564" s="55"/>
      <c r="D564" s="214"/>
      <c r="E564" s="122"/>
      <c r="F564" s="219"/>
      <c r="G564" s="122"/>
      <c r="H564" s="214"/>
      <c r="I564" s="220"/>
      <c r="J564" s="46"/>
      <c r="K564" s="46"/>
      <c r="L564" s="46"/>
      <c r="M564" s="46"/>
      <c r="N564" s="46"/>
      <c r="O564" s="46"/>
      <c r="P564" s="46"/>
      <c r="Q564" s="46"/>
      <c r="R564" s="46"/>
      <c r="S564" s="46"/>
      <c r="T564" s="46"/>
      <c r="U564" s="46"/>
      <c r="V564" s="46"/>
      <c r="W564" s="46"/>
    </row>
    <row r="565">
      <c r="A565" s="55"/>
      <c r="B565" s="214"/>
      <c r="C565" s="55"/>
      <c r="D565" s="214"/>
      <c r="E565" s="122"/>
      <c r="F565" s="219"/>
      <c r="G565" s="122"/>
      <c r="H565" s="214"/>
      <c r="I565" s="220"/>
      <c r="J565" s="46"/>
      <c r="K565" s="46"/>
      <c r="L565" s="46"/>
      <c r="M565" s="46"/>
      <c r="N565" s="46"/>
      <c r="O565" s="46"/>
      <c r="P565" s="46"/>
      <c r="Q565" s="46"/>
      <c r="R565" s="46"/>
      <c r="S565" s="46"/>
      <c r="T565" s="46"/>
      <c r="U565" s="46"/>
      <c r="V565" s="46"/>
      <c r="W565" s="46"/>
    </row>
    <row r="566">
      <c r="A566" s="55"/>
      <c r="B566" s="214"/>
      <c r="C566" s="55"/>
      <c r="D566" s="214"/>
      <c r="E566" s="122"/>
      <c r="F566" s="219"/>
      <c r="G566" s="122"/>
      <c r="H566" s="214"/>
      <c r="I566" s="220"/>
      <c r="J566" s="46"/>
      <c r="K566" s="46"/>
      <c r="L566" s="46"/>
      <c r="M566" s="46"/>
      <c r="N566" s="46"/>
      <c r="O566" s="46"/>
      <c r="P566" s="46"/>
      <c r="Q566" s="46"/>
      <c r="R566" s="46"/>
      <c r="S566" s="46"/>
      <c r="T566" s="46"/>
      <c r="U566" s="46"/>
      <c r="V566" s="46"/>
      <c r="W566" s="46"/>
    </row>
    <row r="567">
      <c r="A567" s="55"/>
      <c r="B567" s="214"/>
      <c r="C567" s="55"/>
      <c r="D567" s="214"/>
      <c r="E567" s="122"/>
      <c r="F567" s="219"/>
      <c r="G567" s="122"/>
      <c r="H567" s="214"/>
      <c r="I567" s="220"/>
      <c r="J567" s="46"/>
      <c r="K567" s="46"/>
      <c r="L567" s="46"/>
      <c r="M567" s="46"/>
      <c r="N567" s="46"/>
      <c r="O567" s="46"/>
      <c r="P567" s="46"/>
      <c r="Q567" s="46"/>
      <c r="R567" s="46"/>
      <c r="S567" s="46"/>
      <c r="T567" s="46"/>
      <c r="U567" s="46"/>
      <c r="V567" s="46"/>
      <c r="W567" s="46"/>
    </row>
    <row r="568">
      <c r="A568" s="55"/>
      <c r="B568" s="214"/>
      <c r="C568" s="55"/>
      <c r="D568" s="214"/>
      <c r="E568" s="122"/>
      <c r="F568" s="219"/>
      <c r="G568" s="122"/>
      <c r="H568" s="214"/>
      <c r="I568" s="220"/>
      <c r="J568" s="46"/>
      <c r="K568" s="46"/>
      <c r="L568" s="46"/>
      <c r="M568" s="46"/>
      <c r="N568" s="46"/>
      <c r="O568" s="46"/>
      <c r="P568" s="46"/>
      <c r="Q568" s="46"/>
      <c r="R568" s="46"/>
      <c r="S568" s="46"/>
      <c r="T568" s="46"/>
      <c r="U568" s="46"/>
      <c r="V568" s="46"/>
      <c r="W568" s="46"/>
    </row>
    <row r="569">
      <c r="A569" s="55"/>
      <c r="B569" s="214"/>
      <c r="C569" s="55"/>
      <c r="D569" s="214"/>
      <c r="E569" s="122"/>
      <c r="F569" s="219"/>
      <c r="G569" s="122"/>
      <c r="H569" s="214"/>
      <c r="I569" s="220"/>
      <c r="J569" s="46"/>
      <c r="K569" s="46"/>
      <c r="L569" s="46"/>
      <c r="M569" s="46"/>
      <c r="N569" s="46"/>
      <c r="O569" s="46"/>
      <c r="P569" s="46"/>
      <c r="Q569" s="46"/>
      <c r="R569" s="46"/>
      <c r="S569" s="46"/>
      <c r="T569" s="46"/>
      <c r="U569" s="46"/>
      <c r="V569" s="46"/>
      <c r="W569" s="46"/>
    </row>
    <row r="570">
      <c r="A570" s="55"/>
      <c r="B570" s="214"/>
      <c r="C570" s="55"/>
      <c r="D570" s="214"/>
      <c r="E570" s="122"/>
      <c r="F570" s="219"/>
      <c r="G570" s="122"/>
      <c r="H570" s="214"/>
      <c r="I570" s="220"/>
      <c r="J570" s="46"/>
      <c r="K570" s="46"/>
      <c r="L570" s="46"/>
      <c r="M570" s="46"/>
      <c r="N570" s="46"/>
      <c r="O570" s="46"/>
      <c r="P570" s="46"/>
      <c r="Q570" s="46"/>
      <c r="R570" s="46"/>
      <c r="S570" s="46"/>
      <c r="T570" s="46"/>
      <c r="U570" s="46"/>
      <c r="V570" s="46"/>
      <c r="W570" s="46"/>
    </row>
    <row r="571">
      <c r="A571" s="55"/>
      <c r="B571" s="214"/>
      <c r="C571" s="55"/>
      <c r="D571" s="214"/>
      <c r="E571" s="122"/>
      <c r="F571" s="219"/>
      <c r="G571" s="122"/>
      <c r="H571" s="214"/>
      <c r="I571" s="220"/>
      <c r="J571" s="46"/>
      <c r="K571" s="46"/>
      <c r="L571" s="46"/>
      <c r="M571" s="46"/>
      <c r="N571" s="46"/>
      <c r="O571" s="46"/>
      <c r="P571" s="46"/>
      <c r="Q571" s="46"/>
      <c r="R571" s="46"/>
      <c r="S571" s="46"/>
      <c r="T571" s="46"/>
      <c r="U571" s="46"/>
      <c r="V571" s="46"/>
      <c r="W571" s="46"/>
    </row>
    <row r="572">
      <c r="A572" s="55"/>
      <c r="B572" s="214"/>
      <c r="C572" s="55"/>
      <c r="D572" s="214"/>
      <c r="E572" s="122"/>
      <c r="F572" s="219"/>
      <c r="G572" s="122"/>
      <c r="H572" s="214"/>
      <c r="I572" s="220"/>
      <c r="J572" s="46"/>
      <c r="K572" s="46"/>
      <c r="L572" s="46"/>
      <c r="M572" s="46"/>
      <c r="N572" s="46"/>
      <c r="O572" s="46"/>
      <c r="P572" s="46"/>
      <c r="Q572" s="46"/>
      <c r="R572" s="46"/>
      <c r="S572" s="46"/>
      <c r="T572" s="46"/>
      <c r="U572" s="46"/>
      <c r="V572" s="46"/>
      <c r="W572" s="46"/>
    </row>
    <row r="573">
      <c r="A573" s="55"/>
      <c r="B573" s="214"/>
      <c r="C573" s="55"/>
      <c r="D573" s="214"/>
      <c r="E573" s="122"/>
      <c r="F573" s="219"/>
      <c r="G573" s="122"/>
      <c r="H573" s="214"/>
      <c r="I573" s="220"/>
      <c r="J573" s="46"/>
      <c r="K573" s="46"/>
      <c r="L573" s="46"/>
      <c r="M573" s="46"/>
      <c r="N573" s="46"/>
      <c r="O573" s="46"/>
      <c r="P573" s="46"/>
      <c r="Q573" s="46"/>
      <c r="R573" s="46"/>
      <c r="S573" s="46"/>
      <c r="T573" s="46"/>
      <c r="U573" s="46"/>
      <c r="V573" s="46"/>
      <c r="W573" s="46"/>
    </row>
    <row r="574">
      <c r="A574" s="55"/>
      <c r="B574" s="214"/>
      <c r="C574" s="55"/>
      <c r="D574" s="214"/>
      <c r="E574" s="122"/>
      <c r="F574" s="219"/>
      <c r="G574" s="122"/>
      <c r="H574" s="214"/>
      <c r="I574" s="220"/>
      <c r="J574" s="46"/>
      <c r="K574" s="46"/>
      <c r="L574" s="46"/>
      <c r="M574" s="46"/>
      <c r="N574" s="46"/>
      <c r="O574" s="46"/>
      <c r="P574" s="46"/>
      <c r="Q574" s="46"/>
      <c r="R574" s="46"/>
      <c r="S574" s="46"/>
      <c r="T574" s="46"/>
      <c r="U574" s="46"/>
      <c r="V574" s="46"/>
      <c r="W574" s="46"/>
    </row>
    <row r="575">
      <c r="A575" s="55"/>
      <c r="B575" s="214"/>
      <c r="C575" s="55"/>
      <c r="D575" s="214"/>
      <c r="E575" s="122"/>
      <c r="F575" s="219"/>
      <c r="G575" s="122"/>
      <c r="H575" s="214"/>
      <c r="I575" s="220"/>
      <c r="J575" s="46"/>
      <c r="K575" s="46"/>
      <c r="L575" s="46"/>
      <c r="M575" s="46"/>
      <c r="N575" s="46"/>
      <c r="O575" s="46"/>
      <c r="P575" s="46"/>
      <c r="Q575" s="46"/>
      <c r="R575" s="46"/>
      <c r="S575" s="46"/>
      <c r="T575" s="46"/>
      <c r="U575" s="46"/>
      <c r="V575" s="46"/>
      <c r="W575" s="46"/>
    </row>
    <row r="576">
      <c r="A576" s="55"/>
      <c r="B576" s="214"/>
      <c r="C576" s="55"/>
      <c r="D576" s="214"/>
      <c r="E576" s="122"/>
      <c r="F576" s="219"/>
      <c r="G576" s="122"/>
      <c r="H576" s="214"/>
      <c r="I576" s="220"/>
      <c r="J576" s="46"/>
      <c r="K576" s="46"/>
      <c r="L576" s="46"/>
      <c r="M576" s="46"/>
      <c r="N576" s="46"/>
      <c r="O576" s="46"/>
      <c r="P576" s="46"/>
      <c r="Q576" s="46"/>
      <c r="R576" s="46"/>
      <c r="S576" s="46"/>
      <c r="T576" s="46"/>
      <c r="U576" s="46"/>
      <c r="V576" s="46"/>
      <c r="W576" s="46"/>
    </row>
    <row r="577">
      <c r="A577" s="55"/>
      <c r="B577" s="214"/>
      <c r="C577" s="55"/>
      <c r="D577" s="214"/>
      <c r="E577" s="122"/>
      <c r="F577" s="219"/>
      <c r="G577" s="122"/>
      <c r="H577" s="214"/>
      <c r="I577" s="220"/>
      <c r="J577" s="46"/>
      <c r="K577" s="46"/>
      <c r="L577" s="46"/>
      <c r="M577" s="46"/>
      <c r="N577" s="46"/>
      <c r="O577" s="46"/>
      <c r="P577" s="46"/>
      <c r="Q577" s="46"/>
      <c r="R577" s="46"/>
      <c r="S577" s="46"/>
      <c r="T577" s="46"/>
      <c r="U577" s="46"/>
      <c r="V577" s="46"/>
      <c r="W577" s="46"/>
    </row>
    <row r="578">
      <c r="A578" s="55"/>
      <c r="B578" s="214"/>
      <c r="C578" s="55"/>
      <c r="D578" s="214"/>
      <c r="E578" s="122"/>
      <c r="F578" s="219"/>
      <c r="G578" s="122"/>
      <c r="H578" s="214"/>
      <c r="I578" s="220"/>
      <c r="J578" s="46"/>
      <c r="K578" s="46"/>
      <c r="L578" s="46"/>
      <c r="M578" s="46"/>
      <c r="N578" s="46"/>
      <c r="O578" s="46"/>
      <c r="P578" s="46"/>
      <c r="Q578" s="46"/>
      <c r="R578" s="46"/>
      <c r="S578" s="46"/>
      <c r="T578" s="46"/>
      <c r="U578" s="46"/>
      <c r="V578" s="46"/>
      <c r="W578" s="46"/>
    </row>
    <row r="579">
      <c r="A579" s="55"/>
      <c r="B579" s="214"/>
      <c r="C579" s="55"/>
      <c r="D579" s="214"/>
      <c r="E579" s="122"/>
      <c r="F579" s="219"/>
      <c r="G579" s="122"/>
      <c r="H579" s="214"/>
      <c r="I579" s="220"/>
      <c r="J579" s="46"/>
      <c r="K579" s="46"/>
      <c r="L579" s="46"/>
      <c r="M579" s="46"/>
      <c r="N579" s="46"/>
      <c r="O579" s="46"/>
      <c r="P579" s="46"/>
      <c r="Q579" s="46"/>
      <c r="R579" s="46"/>
      <c r="S579" s="46"/>
      <c r="T579" s="46"/>
      <c r="U579" s="46"/>
      <c r="V579" s="46"/>
      <c r="W579" s="46"/>
    </row>
    <row r="580">
      <c r="A580" s="55"/>
      <c r="B580" s="214"/>
      <c r="C580" s="55"/>
      <c r="D580" s="214"/>
      <c r="E580" s="122"/>
      <c r="F580" s="219"/>
      <c r="G580" s="122"/>
      <c r="H580" s="214"/>
      <c r="I580" s="220"/>
      <c r="J580" s="46"/>
      <c r="K580" s="46"/>
      <c r="L580" s="46"/>
      <c r="M580" s="46"/>
      <c r="N580" s="46"/>
      <c r="O580" s="46"/>
      <c r="P580" s="46"/>
      <c r="Q580" s="46"/>
      <c r="R580" s="46"/>
      <c r="S580" s="46"/>
      <c r="T580" s="46"/>
      <c r="U580" s="46"/>
      <c r="V580" s="46"/>
      <c r="W580" s="46"/>
    </row>
    <row r="581">
      <c r="A581" s="55"/>
      <c r="B581" s="214"/>
      <c r="C581" s="55"/>
      <c r="D581" s="214"/>
      <c r="E581" s="122"/>
      <c r="F581" s="219"/>
      <c r="G581" s="122"/>
      <c r="H581" s="214"/>
      <c r="I581" s="220"/>
      <c r="J581" s="46"/>
      <c r="K581" s="46"/>
      <c r="L581" s="46"/>
      <c r="M581" s="46"/>
      <c r="N581" s="46"/>
      <c r="O581" s="46"/>
      <c r="P581" s="46"/>
      <c r="Q581" s="46"/>
      <c r="R581" s="46"/>
      <c r="S581" s="46"/>
      <c r="T581" s="46"/>
      <c r="U581" s="46"/>
      <c r="V581" s="46"/>
      <c r="W581" s="46"/>
    </row>
    <row r="582">
      <c r="A582" s="55"/>
      <c r="B582" s="214"/>
      <c r="C582" s="55"/>
      <c r="D582" s="214"/>
      <c r="E582" s="122"/>
      <c r="F582" s="219"/>
      <c r="G582" s="122"/>
      <c r="H582" s="214"/>
      <c r="I582" s="220"/>
      <c r="J582" s="46"/>
      <c r="K582" s="46"/>
      <c r="L582" s="46"/>
      <c r="M582" s="46"/>
      <c r="N582" s="46"/>
      <c r="O582" s="46"/>
      <c r="P582" s="46"/>
      <c r="Q582" s="46"/>
      <c r="R582" s="46"/>
      <c r="S582" s="46"/>
      <c r="T582" s="46"/>
      <c r="U582" s="46"/>
      <c r="V582" s="46"/>
      <c r="W582" s="46"/>
    </row>
    <row r="583">
      <c r="A583" s="55"/>
      <c r="B583" s="214"/>
      <c r="C583" s="55"/>
      <c r="D583" s="214"/>
      <c r="E583" s="122"/>
      <c r="F583" s="219"/>
      <c r="G583" s="122"/>
      <c r="H583" s="214"/>
      <c r="I583" s="220"/>
      <c r="J583" s="46"/>
      <c r="K583" s="46"/>
      <c r="L583" s="46"/>
      <c r="M583" s="46"/>
      <c r="N583" s="46"/>
      <c r="O583" s="46"/>
      <c r="P583" s="46"/>
      <c r="Q583" s="46"/>
      <c r="R583" s="46"/>
      <c r="S583" s="46"/>
      <c r="T583" s="46"/>
      <c r="U583" s="46"/>
      <c r="V583" s="46"/>
      <c r="W583" s="46"/>
    </row>
    <row r="584">
      <c r="A584" s="55"/>
      <c r="B584" s="214"/>
      <c r="C584" s="55"/>
      <c r="D584" s="214"/>
      <c r="E584" s="122"/>
      <c r="F584" s="219"/>
      <c r="G584" s="122"/>
      <c r="H584" s="214"/>
      <c r="I584" s="220"/>
      <c r="J584" s="46"/>
      <c r="K584" s="46"/>
      <c r="L584" s="46"/>
      <c r="M584" s="46"/>
      <c r="N584" s="46"/>
      <c r="O584" s="46"/>
      <c r="P584" s="46"/>
      <c r="Q584" s="46"/>
      <c r="R584" s="46"/>
      <c r="S584" s="46"/>
      <c r="T584" s="46"/>
      <c r="U584" s="46"/>
      <c r="V584" s="46"/>
      <c r="W584" s="46"/>
    </row>
    <row r="585">
      <c r="A585" s="55"/>
      <c r="B585" s="214"/>
      <c r="C585" s="55"/>
      <c r="D585" s="214"/>
      <c r="E585" s="122"/>
      <c r="F585" s="219"/>
      <c r="G585" s="122"/>
      <c r="H585" s="214"/>
      <c r="I585" s="220"/>
      <c r="J585" s="46"/>
      <c r="K585" s="46"/>
      <c r="L585" s="46"/>
      <c r="M585" s="46"/>
      <c r="N585" s="46"/>
      <c r="O585" s="46"/>
      <c r="P585" s="46"/>
      <c r="Q585" s="46"/>
      <c r="R585" s="46"/>
      <c r="S585" s="46"/>
      <c r="T585" s="46"/>
      <c r="U585" s="46"/>
      <c r="V585" s="46"/>
      <c r="W585" s="46"/>
    </row>
    <row r="586">
      <c r="A586" s="55"/>
      <c r="B586" s="214"/>
      <c r="C586" s="55"/>
      <c r="D586" s="214"/>
      <c r="E586" s="122"/>
      <c r="F586" s="219"/>
      <c r="G586" s="122"/>
      <c r="H586" s="214"/>
      <c r="I586" s="220"/>
      <c r="J586" s="46"/>
      <c r="K586" s="46"/>
      <c r="L586" s="46"/>
      <c r="M586" s="46"/>
      <c r="N586" s="46"/>
      <c r="O586" s="46"/>
      <c r="P586" s="46"/>
      <c r="Q586" s="46"/>
      <c r="R586" s="46"/>
      <c r="S586" s="46"/>
      <c r="T586" s="46"/>
      <c r="U586" s="46"/>
      <c r="V586" s="46"/>
      <c r="W586" s="46"/>
    </row>
    <row r="587">
      <c r="A587" s="55"/>
      <c r="B587" s="214"/>
      <c r="C587" s="55"/>
      <c r="D587" s="214"/>
      <c r="E587" s="122"/>
      <c r="F587" s="219"/>
      <c r="G587" s="122"/>
      <c r="H587" s="214"/>
      <c r="I587" s="220"/>
      <c r="J587" s="46"/>
      <c r="K587" s="46"/>
      <c r="L587" s="46"/>
      <c r="M587" s="46"/>
      <c r="N587" s="46"/>
      <c r="O587" s="46"/>
      <c r="P587" s="46"/>
      <c r="Q587" s="46"/>
      <c r="R587" s="46"/>
      <c r="S587" s="46"/>
      <c r="T587" s="46"/>
      <c r="U587" s="46"/>
      <c r="V587" s="46"/>
      <c r="W587" s="46"/>
    </row>
    <row r="588">
      <c r="A588" s="55"/>
      <c r="B588" s="214"/>
      <c r="C588" s="55"/>
      <c r="D588" s="214"/>
      <c r="E588" s="122"/>
      <c r="F588" s="219"/>
      <c r="G588" s="122"/>
      <c r="H588" s="214"/>
      <c r="I588" s="220"/>
      <c r="J588" s="46"/>
      <c r="K588" s="46"/>
      <c r="L588" s="46"/>
      <c r="M588" s="46"/>
      <c r="N588" s="46"/>
      <c r="O588" s="46"/>
      <c r="P588" s="46"/>
      <c r="Q588" s="46"/>
      <c r="R588" s="46"/>
      <c r="S588" s="46"/>
      <c r="T588" s="46"/>
      <c r="U588" s="46"/>
      <c r="V588" s="46"/>
      <c r="W588" s="46"/>
    </row>
    <row r="589">
      <c r="A589" s="55"/>
      <c r="B589" s="214"/>
      <c r="C589" s="55"/>
      <c r="D589" s="214"/>
      <c r="E589" s="122"/>
      <c r="F589" s="219"/>
      <c r="G589" s="122"/>
      <c r="H589" s="214"/>
      <c r="I589" s="220"/>
      <c r="J589" s="46"/>
      <c r="K589" s="46"/>
      <c r="L589" s="46"/>
      <c r="M589" s="46"/>
      <c r="N589" s="46"/>
      <c r="O589" s="46"/>
      <c r="P589" s="46"/>
      <c r="Q589" s="46"/>
      <c r="R589" s="46"/>
      <c r="S589" s="46"/>
      <c r="T589" s="46"/>
      <c r="U589" s="46"/>
      <c r="V589" s="46"/>
      <c r="W589" s="46"/>
    </row>
    <row r="590">
      <c r="A590" s="55"/>
      <c r="B590" s="214"/>
      <c r="C590" s="55"/>
      <c r="D590" s="214"/>
      <c r="E590" s="122"/>
      <c r="F590" s="219"/>
      <c r="G590" s="122"/>
      <c r="H590" s="214"/>
      <c r="I590" s="220"/>
      <c r="J590" s="46"/>
      <c r="K590" s="46"/>
      <c r="L590" s="46"/>
      <c r="M590" s="46"/>
      <c r="N590" s="46"/>
      <c r="O590" s="46"/>
      <c r="P590" s="46"/>
      <c r="Q590" s="46"/>
      <c r="R590" s="46"/>
      <c r="S590" s="46"/>
      <c r="T590" s="46"/>
      <c r="U590" s="46"/>
      <c r="V590" s="46"/>
      <c r="W590" s="46"/>
    </row>
    <row r="591">
      <c r="A591" s="55"/>
      <c r="B591" s="214"/>
      <c r="C591" s="55"/>
      <c r="D591" s="214"/>
      <c r="E591" s="122"/>
      <c r="F591" s="219"/>
      <c r="G591" s="122"/>
      <c r="H591" s="214"/>
      <c r="I591" s="220"/>
      <c r="J591" s="46"/>
      <c r="K591" s="46"/>
      <c r="L591" s="46"/>
      <c r="M591" s="46"/>
      <c r="N591" s="46"/>
      <c r="O591" s="46"/>
      <c r="P591" s="46"/>
      <c r="Q591" s="46"/>
      <c r="R591" s="46"/>
      <c r="S591" s="46"/>
      <c r="T591" s="46"/>
      <c r="U591" s="46"/>
      <c r="V591" s="46"/>
      <c r="W591" s="46"/>
    </row>
    <row r="592">
      <c r="A592" s="55"/>
      <c r="B592" s="214"/>
      <c r="C592" s="55"/>
      <c r="D592" s="214"/>
      <c r="E592" s="122"/>
      <c r="F592" s="219"/>
      <c r="G592" s="122"/>
      <c r="H592" s="214"/>
      <c r="I592" s="220"/>
      <c r="J592" s="46"/>
      <c r="K592" s="46"/>
      <c r="L592" s="46"/>
      <c r="M592" s="46"/>
      <c r="N592" s="46"/>
      <c r="O592" s="46"/>
      <c r="P592" s="46"/>
      <c r="Q592" s="46"/>
      <c r="R592" s="46"/>
      <c r="S592" s="46"/>
      <c r="T592" s="46"/>
      <c r="U592" s="46"/>
      <c r="V592" s="46"/>
      <c r="W592" s="46"/>
    </row>
    <row r="593">
      <c r="A593" s="55"/>
      <c r="B593" s="214"/>
      <c r="C593" s="55"/>
      <c r="D593" s="214"/>
      <c r="E593" s="122"/>
      <c r="F593" s="219"/>
      <c r="G593" s="122"/>
      <c r="H593" s="214"/>
      <c r="I593" s="220"/>
      <c r="J593" s="46"/>
      <c r="K593" s="46"/>
      <c r="L593" s="46"/>
      <c r="M593" s="46"/>
      <c r="N593" s="46"/>
      <c r="O593" s="46"/>
      <c r="P593" s="46"/>
      <c r="Q593" s="46"/>
      <c r="R593" s="46"/>
      <c r="S593" s="46"/>
      <c r="T593" s="46"/>
      <c r="U593" s="46"/>
      <c r="V593" s="46"/>
      <c r="W593" s="46"/>
    </row>
    <row r="594">
      <c r="A594" s="55"/>
      <c r="B594" s="214"/>
      <c r="C594" s="55"/>
      <c r="D594" s="214"/>
      <c r="E594" s="122"/>
      <c r="F594" s="219"/>
      <c r="G594" s="122"/>
      <c r="H594" s="214"/>
      <c r="I594" s="220"/>
      <c r="J594" s="46"/>
      <c r="K594" s="46"/>
      <c r="L594" s="46"/>
      <c r="M594" s="46"/>
      <c r="N594" s="46"/>
      <c r="O594" s="46"/>
      <c r="P594" s="46"/>
      <c r="Q594" s="46"/>
      <c r="R594" s="46"/>
      <c r="S594" s="46"/>
      <c r="T594" s="46"/>
      <c r="U594" s="46"/>
      <c r="V594" s="46"/>
      <c r="W594" s="46"/>
    </row>
    <row r="595">
      <c r="A595" s="55"/>
      <c r="B595" s="214"/>
      <c r="C595" s="55"/>
      <c r="D595" s="214"/>
      <c r="E595" s="122"/>
      <c r="F595" s="219"/>
      <c r="G595" s="122"/>
      <c r="H595" s="214"/>
      <c r="I595" s="220"/>
      <c r="J595" s="46"/>
      <c r="K595" s="46"/>
      <c r="L595" s="46"/>
      <c r="M595" s="46"/>
      <c r="N595" s="46"/>
      <c r="O595" s="46"/>
      <c r="P595" s="46"/>
      <c r="Q595" s="46"/>
      <c r="R595" s="46"/>
      <c r="S595" s="46"/>
      <c r="T595" s="46"/>
      <c r="U595" s="46"/>
      <c r="V595" s="46"/>
      <c r="W595" s="46"/>
    </row>
    <row r="596">
      <c r="A596" s="55"/>
      <c r="B596" s="214"/>
      <c r="C596" s="55"/>
      <c r="D596" s="214"/>
      <c r="E596" s="122"/>
      <c r="F596" s="219"/>
      <c r="G596" s="122"/>
      <c r="H596" s="214"/>
      <c r="I596" s="220"/>
      <c r="J596" s="46"/>
      <c r="K596" s="46"/>
      <c r="L596" s="46"/>
      <c r="M596" s="46"/>
      <c r="N596" s="46"/>
      <c r="O596" s="46"/>
      <c r="P596" s="46"/>
      <c r="Q596" s="46"/>
      <c r="R596" s="46"/>
      <c r="S596" s="46"/>
      <c r="T596" s="46"/>
      <c r="U596" s="46"/>
      <c r="V596" s="46"/>
      <c r="W596" s="46"/>
    </row>
    <row r="597">
      <c r="A597" s="55"/>
      <c r="B597" s="214"/>
      <c r="C597" s="55"/>
      <c r="D597" s="214"/>
      <c r="E597" s="122"/>
      <c r="F597" s="219"/>
      <c r="G597" s="122"/>
      <c r="H597" s="214"/>
      <c r="I597" s="220"/>
      <c r="J597" s="46"/>
      <c r="K597" s="46"/>
      <c r="L597" s="46"/>
      <c r="M597" s="46"/>
      <c r="N597" s="46"/>
      <c r="O597" s="46"/>
      <c r="P597" s="46"/>
      <c r="Q597" s="46"/>
      <c r="R597" s="46"/>
      <c r="S597" s="46"/>
      <c r="T597" s="46"/>
      <c r="U597" s="46"/>
      <c r="V597" s="46"/>
      <c r="W597" s="46"/>
    </row>
    <row r="598">
      <c r="A598" s="55"/>
      <c r="B598" s="214"/>
      <c r="C598" s="55"/>
      <c r="D598" s="214"/>
      <c r="E598" s="122"/>
      <c r="F598" s="219"/>
      <c r="G598" s="122"/>
      <c r="H598" s="214"/>
      <c r="I598" s="220"/>
      <c r="J598" s="46"/>
      <c r="K598" s="46"/>
      <c r="L598" s="46"/>
      <c r="M598" s="46"/>
      <c r="N598" s="46"/>
      <c r="O598" s="46"/>
      <c r="P598" s="46"/>
      <c r="Q598" s="46"/>
      <c r="R598" s="46"/>
      <c r="S598" s="46"/>
      <c r="T598" s="46"/>
      <c r="U598" s="46"/>
      <c r="V598" s="46"/>
      <c r="W598" s="46"/>
    </row>
    <row r="599">
      <c r="A599" s="55"/>
      <c r="B599" s="214"/>
      <c r="C599" s="55"/>
      <c r="D599" s="214"/>
      <c r="E599" s="122"/>
      <c r="F599" s="219"/>
      <c r="G599" s="122"/>
      <c r="H599" s="214"/>
      <c r="I599" s="220"/>
      <c r="J599" s="46"/>
      <c r="K599" s="46"/>
      <c r="L599" s="46"/>
      <c r="M599" s="46"/>
      <c r="N599" s="46"/>
      <c r="O599" s="46"/>
      <c r="P599" s="46"/>
      <c r="Q599" s="46"/>
      <c r="R599" s="46"/>
      <c r="S599" s="46"/>
      <c r="T599" s="46"/>
      <c r="U599" s="46"/>
      <c r="V599" s="46"/>
      <c r="W599" s="46"/>
    </row>
    <row r="600">
      <c r="A600" s="55"/>
      <c r="B600" s="214"/>
      <c r="C600" s="55"/>
      <c r="D600" s="214"/>
      <c r="E600" s="122"/>
      <c r="F600" s="219"/>
      <c r="G600" s="122"/>
      <c r="H600" s="214"/>
      <c r="I600" s="220"/>
      <c r="J600" s="46"/>
      <c r="K600" s="46"/>
      <c r="L600" s="46"/>
      <c r="M600" s="46"/>
      <c r="N600" s="46"/>
      <c r="O600" s="46"/>
      <c r="P600" s="46"/>
      <c r="Q600" s="46"/>
      <c r="R600" s="46"/>
      <c r="S600" s="46"/>
      <c r="T600" s="46"/>
      <c r="U600" s="46"/>
      <c r="V600" s="46"/>
      <c r="W600" s="46"/>
    </row>
    <row r="601">
      <c r="A601" s="55"/>
      <c r="B601" s="214"/>
      <c r="C601" s="55"/>
      <c r="D601" s="214"/>
      <c r="E601" s="122"/>
      <c r="F601" s="219"/>
      <c r="G601" s="122"/>
      <c r="H601" s="214"/>
      <c r="I601" s="220"/>
      <c r="J601" s="46"/>
      <c r="K601" s="46"/>
      <c r="L601" s="46"/>
      <c r="M601" s="46"/>
      <c r="N601" s="46"/>
      <c r="O601" s="46"/>
      <c r="P601" s="46"/>
      <c r="Q601" s="46"/>
      <c r="R601" s="46"/>
      <c r="S601" s="46"/>
      <c r="T601" s="46"/>
      <c r="U601" s="46"/>
      <c r="V601" s="46"/>
      <c r="W601" s="46"/>
    </row>
    <row r="602">
      <c r="A602" s="55"/>
      <c r="B602" s="214"/>
      <c r="C602" s="55"/>
      <c r="D602" s="214"/>
      <c r="E602" s="122"/>
      <c r="F602" s="219"/>
      <c r="G602" s="122"/>
      <c r="H602" s="214"/>
      <c r="I602" s="220"/>
      <c r="J602" s="46"/>
      <c r="K602" s="46"/>
      <c r="L602" s="46"/>
      <c r="M602" s="46"/>
      <c r="N602" s="46"/>
      <c r="O602" s="46"/>
      <c r="P602" s="46"/>
      <c r="Q602" s="46"/>
      <c r="R602" s="46"/>
      <c r="S602" s="46"/>
      <c r="T602" s="46"/>
      <c r="U602" s="46"/>
      <c r="V602" s="46"/>
      <c r="W602" s="46"/>
    </row>
    <row r="603">
      <c r="A603" s="55"/>
      <c r="B603" s="214"/>
      <c r="C603" s="55"/>
      <c r="D603" s="214"/>
      <c r="E603" s="122"/>
      <c r="F603" s="219"/>
      <c r="G603" s="122"/>
      <c r="H603" s="214"/>
      <c r="I603" s="220"/>
      <c r="J603" s="46"/>
      <c r="K603" s="46"/>
      <c r="L603" s="46"/>
      <c r="M603" s="46"/>
      <c r="N603" s="46"/>
      <c r="O603" s="46"/>
      <c r="P603" s="46"/>
      <c r="Q603" s="46"/>
      <c r="R603" s="46"/>
      <c r="S603" s="46"/>
      <c r="T603" s="46"/>
      <c r="U603" s="46"/>
      <c r="V603" s="46"/>
      <c r="W603" s="46"/>
    </row>
    <row r="604">
      <c r="A604" s="55"/>
      <c r="B604" s="214"/>
      <c r="C604" s="55"/>
      <c r="D604" s="214"/>
      <c r="E604" s="122"/>
      <c r="F604" s="219"/>
      <c r="G604" s="122"/>
      <c r="H604" s="214"/>
      <c r="I604" s="220"/>
      <c r="J604" s="46"/>
      <c r="K604" s="46"/>
      <c r="L604" s="46"/>
      <c r="M604" s="46"/>
      <c r="N604" s="46"/>
      <c r="O604" s="46"/>
      <c r="P604" s="46"/>
      <c r="Q604" s="46"/>
      <c r="R604" s="46"/>
      <c r="S604" s="46"/>
      <c r="T604" s="46"/>
      <c r="U604" s="46"/>
      <c r="V604" s="46"/>
      <c r="W604" s="46"/>
    </row>
    <row r="605">
      <c r="A605" s="55"/>
      <c r="B605" s="214"/>
      <c r="C605" s="55"/>
      <c r="D605" s="214"/>
      <c r="E605" s="122"/>
      <c r="F605" s="219"/>
      <c r="G605" s="122"/>
      <c r="H605" s="214"/>
      <c r="I605" s="220"/>
      <c r="J605" s="46"/>
      <c r="K605" s="46"/>
      <c r="L605" s="46"/>
      <c r="M605" s="46"/>
      <c r="N605" s="46"/>
      <c r="O605" s="46"/>
      <c r="P605" s="46"/>
      <c r="Q605" s="46"/>
      <c r="R605" s="46"/>
      <c r="S605" s="46"/>
      <c r="T605" s="46"/>
      <c r="U605" s="46"/>
      <c r="V605" s="46"/>
      <c r="W605" s="46"/>
    </row>
    <row r="606">
      <c r="A606" s="55"/>
      <c r="B606" s="214"/>
      <c r="C606" s="55"/>
      <c r="D606" s="214"/>
      <c r="E606" s="122"/>
      <c r="F606" s="219"/>
      <c r="G606" s="122"/>
      <c r="H606" s="214"/>
      <c r="I606" s="220"/>
      <c r="J606" s="46"/>
      <c r="K606" s="46"/>
      <c r="L606" s="46"/>
      <c r="M606" s="46"/>
      <c r="N606" s="46"/>
      <c r="O606" s="46"/>
      <c r="P606" s="46"/>
      <c r="Q606" s="46"/>
      <c r="R606" s="46"/>
      <c r="S606" s="46"/>
      <c r="T606" s="46"/>
      <c r="U606" s="46"/>
      <c r="V606" s="46"/>
      <c r="W606" s="46"/>
    </row>
    <row r="607">
      <c r="A607" s="55"/>
      <c r="B607" s="214"/>
      <c r="C607" s="55"/>
      <c r="D607" s="214"/>
      <c r="E607" s="122"/>
      <c r="F607" s="219"/>
      <c r="G607" s="122"/>
      <c r="H607" s="214"/>
      <c r="I607" s="220"/>
      <c r="J607" s="46"/>
      <c r="K607" s="46"/>
      <c r="L607" s="46"/>
      <c r="M607" s="46"/>
      <c r="N607" s="46"/>
      <c r="O607" s="46"/>
      <c r="P607" s="46"/>
      <c r="Q607" s="46"/>
      <c r="R607" s="46"/>
      <c r="S607" s="46"/>
      <c r="T607" s="46"/>
      <c r="U607" s="46"/>
      <c r="V607" s="46"/>
      <c r="W607" s="46"/>
    </row>
    <row r="608">
      <c r="A608" s="55"/>
      <c r="B608" s="214"/>
      <c r="C608" s="55"/>
      <c r="D608" s="214"/>
      <c r="E608" s="122"/>
      <c r="F608" s="219"/>
      <c r="G608" s="122"/>
      <c r="H608" s="214"/>
      <c r="I608" s="220"/>
      <c r="J608" s="46"/>
      <c r="K608" s="46"/>
      <c r="L608" s="46"/>
      <c r="M608" s="46"/>
      <c r="N608" s="46"/>
      <c r="O608" s="46"/>
      <c r="P608" s="46"/>
      <c r="Q608" s="46"/>
      <c r="R608" s="46"/>
      <c r="S608" s="46"/>
      <c r="T608" s="46"/>
      <c r="U608" s="46"/>
      <c r="V608" s="46"/>
      <c r="W608" s="46"/>
    </row>
    <row r="609">
      <c r="A609" s="55"/>
      <c r="B609" s="214"/>
      <c r="C609" s="55"/>
      <c r="D609" s="214"/>
      <c r="E609" s="122"/>
      <c r="F609" s="219"/>
      <c r="G609" s="122"/>
      <c r="H609" s="214"/>
      <c r="I609" s="220"/>
      <c r="J609" s="46"/>
      <c r="K609" s="46"/>
      <c r="L609" s="46"/>
      <c r="M609" s="46"/>
      <c r="N609" s="46"/>
      <c r="O609" s="46"/>
      <c r="P609" s="46"/>
      <c r="Q609" s="46"/>
      <c r="R609" s="46"/>
      <c r="S609" s="46"/>
      <c r="T609" s="46"/>
      <c r="U609" s="46"/>
      <c r="V609" s="46"/>
      <c r="W609" s="46"/>
    </row>
    <row r="610">
      <c r="A610" s="55"/>
      <c r="B610" s="214"/>
      <c r="C610" s="55"/>
      <c r="D610" s="214"/>
      <c r="E610" s="122"/>
      <c r="F610" s="219"/>
      <c r="G610" s="122"/>
      <c r="H610" s="214"/>
      <c r="I610" s="220"/>
      <c r="J610" s="46"/>
      <c r="K610" s="46"/>
      <c r="L610" s="46"/>
      <c r="M610" s="46"/>
      <c r="N610" s="46"/>
      <c r="O610" s="46"/>
      <c r="P610" s="46"/>
      <c r="Q610" s="46"/>
      <c r="R610" s="46"/>
      <c r="S610" s="46"/>
      <c r="T610" s="46"/>
      <c r="U610" s="46"/>
      <c r="V610" s="46"/>
      <c r="W610" s="46"/>
    </row>
    <row r="611">
      <c r="A611" s="55"/>
      <c r="B611" s="214"/>
      <c r="C611" s="55"/>
      <c r="D611" s="214"/>
      <c r="E611" s="122"/>
      <c r="F611" s="219"/>
      <c r="G611" s="122"/>
      <c r="H611" s="214"/>
      <c r="I611" s="220"/>
      <c r="J611" s="46"/>
      <c r="K611" s="46"/>
      <c r="L611" s="46"/>
      <c r="M611" s="46"/>
      <c r="N611" s="46"/>
      <c r="O611" s="46"/>
      <c r="P611" s="46"/>
      <c r="Q611" s="46"/>
      <c r="R611" s="46"/>
      <c r="S611" s="46"/>
      <c r="T611" s="46"/>
      <c r="U611" s="46"/>
      <c r="V611" s="46"/>
      <c r="W611" s="46"/>
    </row>
    <row r="612">
      <c r="A612" s="55"/>
      <c r="B612" s="214"/>
      <c r="C612" s="55"/>
      <c r="D612" s="214"/>
      <c r="E612" s="122"/>
      <c r="F612" s="219"/>
      <c r="G612" s="122"/>
      <c r="H612" s="214"/>
      <c r="I612" s="220"/>
      <c r="J612" s="46"/>
      <c r="K612" s="46"/>
      <c r="L612" s="46"/>
      <c r="M612" s="46"/>
      <c r="N612" s="46"/>
      <c r="O612" s="46"/>
      <c r="P612" s="46"/>
      <c r="Q612" s="46"/>
      <c r="R612" s="46"/>
      <c r="S612" s="46"/>
      <c r="T612" s="46"/>
      <c r="U612" s="46"/>
      <c r="V612" s="46"/>
      <c r="W612" s="46"/>
    </row>
    <row r="613">
      <c r="A613" s="55"/>
      <c r="B613" s="214"/>
      <c r="C613" s="55"/>
      <c r="D613" s="214"/>
      <c r="E613" s="122"/>
      <c r="F613" s="219"/>
      <c r="G613" s="122"/>
      <c r="H613" s="214"/>
      <c r="I613" s="220"/>
      <c r="J613" s="46"/>
      <c r="K613" s="46"/>
      <c r="L613" s="46"/>
      <c r="M613" s="46"/>
      <c r="N613" s="46"/>
      <c r="O613" s="46"/>
      <c r="P613" s="46"/>
      <c r="Q613" s="46"/>
      <c r="R613" s="46"/>
      <c r="S613" s="46"/>
      <c r="T613" s="46"/>
      <c r="U613" s="46"/>
      <c r="V613" s="46"/>
      <c r="W613" s="46"/>
    </row>
    <row r="614">
      <c r="A614" s="55"/>
      <c r="B614" s="214"/>
      <c r="C614" s="55"/>
      <c r="D614" s="214"/>
      <c r="E614" s="122"/>
      <c r="F614" s="219"/>
      <c r="G614" s="122"/>
      <c r="H614" s="214"/>
      <c r="I614" s="220"/>
      <c r="J614" s="46"/>
      <c r="K614" s="46"/>
      <c r="L614" s="46"/>
      <c r="M614" s="46"/>
      <c r="N614" s="46"/>
      <c r="O614" s="46"/>
      <c r="P614" s="46"/>
      <c r="Q614" s="46"/>
      <c r="R614" s="46"/>
      <c r="S614" s="46"/>
      <c r="T614" s="46"/>
      <c r="U614" s="46"/>
      <c r="V614" s="46"/>
      <c r="W614" s="46"/>
    </row>
    <row r="615">
      <c r="A615" s="55"/>
      <c r="B615" s="214"/>
      <c r="C615" s="55"/>
      <c r="D615" s="214"/>
      <c r="E615" s="122"/>
      <c r="F615" s="219"/>
      <c r="G615" s="122"/>
      <c r="H615" s="214"/>
      <c r="I615" s="220"/>
      <c r="J615" s="46"/>
      <c r="K615" s="46"/>
      <c r="L615" s="46"/>
      <c r="M615" s="46"/>
      <c r="N615" s="46"/>
      <c r="O615" s="46"/>
      <c r="P615" s="46"/>
      <c r="Q615" s="46"/>
      <c r="R615" s="46"/>
      <c r="S615" s="46"/>
      <c r="T615" s="46"/>
      <c r="U615" s="46"/>
      <c r="V615" s="46"/>
      <c r="W615" s="46"/>
    </row>
    <row r="616">
      <c r="A616" s="55"/>
      <c r="B616" s="214"/>
      <c r="C616" s="55"/>
      <c r="D616" s="214"/>
      <c r="E616" s="122"/>
      <c r="F616" s="219"/>
      <c r="G616" s="122"/>
      <c r="H616" s="214"/>
      <c r="I616" s="220"/>
      <c r="J616" s="46"/>
      <c r="K616" s="46"/>
      <c r="L616" s="46"/>
      <c r="M616" s="46"/>
      <c r="N616" s="46"/>
      <c r="O616" s="46"/>
      <c r="P616" s="46"/>
      <c r="Q616" s="46"/>
      <c r="R616" s="46"/>
      <c r="S616" s="46"/>
      <c r="T616" s="46"/>
      <c r="U616" s="46"/>
      <c r="V616" s="46"/>
      <c r="W616" s="46"/>
    </row>
    <row r="617">
      <c r="A617" s="55"/>
      <c r="B617" s="214"/>
      <c r="C617" s="55"/>
      <c r="D617" s="214"/>
      <c r="E617" s="122"/>
      <c r="F617" s="219"/>
      <c r="G617" s="122"/>
      <c r="H617" s="214"/>
      <c r="I617" s="220"/>
      <c r="J617" s="46"/>
      <c r="K617" s="46"/>
      <c r="L617" s="46"/>
      <c r="M617" s="46"/>
      <c r="N617" s="46"/>
      <c r="O617" s="46"/>
      <c r="P617" s="46"/>
      <c r="Q617" s="46"/>
      <c r="R617" s="46"/>
      <c r="S617" s="46"/>
      <c r="T617" s="46"/>
      <c r="U617" s="46"/>
      <c r="V617" s="46"/>
      <c r="W617" s="46"/>
    </row>
    <row r="618">
      <c r="A618" s="55"/>
      <c r="B618" s="214"/>
      <c r="C618" s="55"/>
      <c r="D618" s="214"/>
      <c r="E618" s="122"/>
      <c r="F618" s="219"/>
      <c r="G618" s="122"/>
      <c r="H618" s="214"/>
      <c r="I618" s="220"/>
      <c r="J618" s="46"/>
      <c r="K618" s="46"/>
      <c r="L618" s="46"/>
      <c r="M618" s="46"/>
      <c r="N618" s="46"/>
      <c r="O618" s="46"/>
      <c r="P618" s="46"/>
      <c r="Q618" s="46"/>
      <c r="R618" s="46"/>
      <c r="S618" s="46"/>
      <c r="T618" s="46"/>
      <c r="U618" s="46"/>
      <c r="V618" s="46"/>
      <c r="W618" s="46"/>
    </row>
    <row r="619">
      <c r="A619" s="55"/>
      <c r="B619" s="214"/>
      <c r="C619" s="55"/>
      <c r="D619" s="214"/>
      <c r="E619" s="122"/>
      <c r="F619" s="219"/>
      <c r="G619" s="122"/>
      <c r="H619" s="214"/>
      <c r="I619" s="220"/>
      <c r="J619" s="46"/>
      <c r="K619" s="46"/>
      <c r="L619" s="46"/>
      <c r="M619" s="46"/>
      <c r="N619" s="46"/>
      <c r="O619" s="46"/>
      <c r="P619" s="46"/>
      <c r="Q619" s="46"/>
      <c r="R619" s="46"/>
      <c r="S619" s="46"/>
      <c r="T619" s="46"/>
      <c r="U619" s="46"/>
      <c r="V619" s="46"/>
      <c r="W619" s="46"/>
    </row>
    <row r="620">
      <c r="A620" s="55"/>
      <c r="B620" s="214"/>
      <c r="C620" s="55"/>
      <c r="D620" s="214"/>
      <c r="E620" s="122"/>
      <c r="F620" s="219"/>
      <c r="G620" s="122"/>
      <c r="H620" s="214"/>
      <c r="I620" s="220"/>
      <c r="J620" s="46"/>
      <c r="K620" s="46"/>
      <c r="L620" s="46"/>
      <c r="M620" s="46"/>
      <c r="N620" s="46"/>
      <c r="O620" s="46"/>
      <c r="P620" s="46"/>
      <c r="Q620" s="46"/>
      <c r="R620" s="46"/>
      <c r="S620" s="46"/>
      <c r="T620" s="46"/>
      <c r="U620" s="46"/>
      <c r="V620" s="46"/>
      <c r="W620" s="46"/>
    </row>
    <row r="621">
      <c r="A621" s="55"/>
      <c r="B621" s="214"/>
      <c r="C621" s="55"/>
      <c r="D621" s="214"/>
      <c r="E621" s="122"/>
      <c r="F621" s="219"/>
      <c r="G621" s="122"/>
      <c r="H621" s="214"/>
      <c r="I621" s="220"/>
      <c r="J621" s="46"/>
      <c r="K621" s="46"/>
      <c r="L621" s="46"/>
      <c r="M621" s="46"/>
      <c r="N621" s="46"/>
      <c r="O621" s="46"/>
      <c r="P621" s="46"/>
      <c r="Q621" s="46"/>
      <c r="R621" s="46"/>
      <c r="S621" s="46"/>
      <c r="T621" s="46"/>
      <c r="U621" s="46"/>
      <c r="V621" s="46"/>
      <c r="W621" s="46"/>
    </row>
    <row r="622">
      <c r="A622" s="55"/>
      <c r="B622" s="214"/>
      <c r="C622" s="55"/>
      <c r="D622" s="214"/>
      <c r="E622" s="122"/>
      <c r="F622" s="219"/>
      <c r="G622" s="122"/>
      <c r="H622" s="214"/>
      <c r="I622" s="220"/>
      <c r="J622" s="46"/>
      <c r="K622" s="46"/>
      <c r="L622" s="46"/>
      <c r="M622" s="46"/>
      <c r="N622" s="46"/>
      <c r="O622" s="46"/>
      <c r="P622" s="46"/>
      <c r="Q622" s="46"/>
      <c r="R622" s="46"/>
      <c r="S622" s="46"/>
      <c r="T622" s="46"/>
      <c r="U622" s="46"/>
      <c r="V622" s="46"/>
      <c r="W622" s="46"/>
    </row>
    <row r="623">
      <c r="A623" s="55"/>
      <c r="B623" s="214"/>
      <c r="C623" s="55"/>
      <c r="D623" s="214"/>
      <c r="E623" s="122"/>
      <c r="F623" s="219"/>
      <c r="G623" s="122"/>
      <c r="H623" s="214"/>
      <c r="I623" s="220"/>
      <c r="J623" s="46"/>
      <c r="K623" s="46"/>
      <c r="L623" s="46"/>
      <c r="M623" s="46"/>
      <c r="N623" s="46"/>
      <c r="O623" s="46"/>
      <c r="P623" s="46"/>
      <c r="Q623" s="46"/>
      <c r="R623" s="46"/>
      <c r="S623" s="46"/>
      <c r="T623" s="46"/>
      <c r="U623" s="46"/>
      <c r="V623" s="46"/>
      <c r="W623" s="46"/>
    </row>
    <row r="624">
      <c r="A624" s="55"/>
      <c r="B624" s="214"/>
      <c r="C624" s="55"/>
      <c r="D624" s="214"/>
      <c r="E624" s="122"/>
      <c r="F624" s="219"/>
      <c r="G624" s="122"/>
      <c r="H624" s="214"/>
      <c r="I624" s="220"/>
      <c r="J624" s="46"/>
      <c r="K624" s="46"/>
      <c r="L624" s="46"/>
      <c r="M624" s="46"/>
      <c r="N624" s="46"/>
      <c r="O624" s="46"/>
      <c r="P624" s="46"/>
      <c r="Q624" s="46"/>
      <c r="R624" s="46"/>
      <c r="S624" s="46"/>
      <c r="T624" s="46"/>
      <c r="U624" s="46"/>
      <c r="V624" s="46"/>
      <c r="W624" s="46"/>
    </row>
    <row r="625">
      <c r="A625" s="55"/>
      <c r="B625" s="214"/>
      <c r="C625" s="55"/>
      <c r="D625" s="214"/>
      <c r="E625" s="122"/>
      <c r="F625" s="219"/>
      <c r="G625" s="122"/>
      <c r="H625" s="214"/>
      <c r="I625" s="220"/>
      <c r="J625" s="46"/>
      <c r="K625" s="46"/>
      <c r="L625" s="46"/>
      <c r="M625" s="46"/>
      <c r="N625" s="46"/>
      <c r="O625" s="46"/>
      <c r="P625" s="46"/>
      <c r="Q625" s="46"/>
      <c r="R625" s="46"/>
      <c r="S625" s="46"/>
      <c r="T625" s="46"/>
      <c r="U625" s="46"/>
      <c r="V625" s="46"/>
      <c r="W625" s="46"/>
    </row>
    <row r="626">
      <c r="A626" s="55"/>
      <c r="B626" s="214"/>
      <c r="C626" s="55"/>
      <c r="D626" s="214"/>
      <c r="E626" s="122"/>
      <c r="F626" s="219"/>
      <c r="G626" s="122"/>
      <c r="H626" s="214"/>
      <c r="I626" s="220"/>
      <c r="J626" s="46"/>
      <c r="K626" s="46"/>
      <c r="L626" s="46"/>
      <c r="M626" s="46"/>
      <c r="N626" s="46"/>
      <c r="O626" s="46"/>
      <c r="P626" s="46"/>
      <c r="Q626" s="46"/>
      <c r="R626" s="46"/>
      <c r="S626" s="46"/>
      <c r="T626" s="46"/>
      <c r="U626" s="46"/>
      <c r="V626" s="46"/>
      <c r="W626" s="46"/>
    </row>
    <row r="627">
      <c r="A627" s="55"/>
      <c r="B627" s="214"/>
      <c r="C627" s="55"/>
      <c r="D627" s="214"/>
      <c r="E627" s="122"/>
      <c r="F627" s="219"/>
      <c r="G627" s="122"/>
      <c r="H627" s="214"/>
      <c r="I627" s="220"/>
      <c r="J627" s="46"/>
      <c r="K627" s="46"/>
      <c r="L627" s="46"/>
      <c r="M627" s="46"/>
      <c r="N627" s="46"/>
      <c r="O627" s="46"/>
      <c r="P627" s="46"/>
      <c r="Q627" s="46"/>
      <c r="R627" s="46"/>
      <c r="S627" s="46"/>
      <c r="T627" s="46"/>
      <c r="U627" s="46"/>
      <c r="V627" s="46"/>
      <c r="W627" s="46"/>
    </row>
    <row r="628">
      <c r="A628" s="55"/>
      <c r="B628" s="214"/>
      <c r="C628" s="55"/>
      <c r="D628" s="214"/>
      <c r="E628" s="122"/>
      <c r="F628" s="219"/>
      <c r="G628" s="122"/>
      <c r="H628" s="214"/>
      <c r="I628" s="220"/>
      <c r="J628" s="46"/>
      <c r="K628" s="46"/>
      <c r="L628" s="46"/>
      <c r="M628" s="46"/>
      <c r="N628" s="46"/>
      <c r="O628" s="46"/>
      <c r="P628" s="46"/>
      <c r="Q628" s="46"/>
      <c r="R628" s="46"/>
      <c r="S628" s="46"/>
      <c r="T628" s="46"/>
      <c r="U628" s="46"/>
      <c r="V628" s="46"/>
      <c r="W628" s="46"/>
    </row>
    <row r="629">
      <c r="A629" s="55"/>
      <c r="B629" s="214"/>
      <c r="C629" s="55"/>
      <c r="D629" s="214"/>
      <c r="E629" s="122"/>
      <c r="F629" s="219"/>
      <c r="G629" s="122"/>
      <c r="H629" s="214"/>
      <c r="I629" s="220"/>
      <c r="J629" s="46"/>
      <c r="K629" s="46"/>
      <c r="L629" s="46"/>
      <c r="M629" s="46"/>
      <c r="N629" s="46"/>
      <c r="O629" s="46"/>
      <c r="P629" s="46"/>
      <c r="Q629" s="46"/>
      <c r="R629" s="46"/>
      <c r="S629" s="46"/>
      <c r="T629" s="46"/>
      <c r="U629" s="46"/>
      <c r="V629" s="46"/>
      <c r="W629" s="46"/>
    </row>
    <row r="630">
      <c r="A630" s="55"/>
      <c r="B630" s="214"/>
      <c r="C630" s="55"/>
      <c r="D630" s="214"/>
      <c r="E630" s="122"/>
      <c r="F630" s="219"/>
      <c r="G630" s="122"/>
      <c r="H630" s="214"/>
      <c r="I630" s="220"/>
      <c r="J630" s="46"/>
      <c r="K630" s="46"/>
      <c r="L630" s="46"/>
      <c r="M630" s="46"/>
      <c r="N630" s="46"/>
      <c r="O630" s="46"/>
      <c r="P630" s="46"/>
      <c r="Q630" s="46"/>
      <c r="R630" s="46"/>
      <c r="S630" s="46"/>
      <c r="T630" s="46"/>
      <c r="U630" s="46"/>
      <c r="V630" s="46"/>
      <c r="W630" s="46"/>
    </row>
    <row r="631">
      <c r="A631" s="55"/>
      <c r="B631" s="214"/>
      <c r="C631" s="55"/>
      <c r="D631" s="214"/>
      <c r="E631" s="122"/>
      <c r="F631" s="219"/>
      <c r="G631" s="122"/>
      <c r="H631" s="214"/>
      <c r="I631" s="220"/>
      <c r="J631" s="46"/>
      <c r="K631" s="46"/>
      <c r="L631" s="46"/>
      <c r="M631" s="46"/>
      <c r="N631" s="46"/>
      <c r="O631" s="46"/>
      <c r="P631" s="46"/>
      <c r="Q631" s="46"/>
      <c r="R631" s="46"/>
      <c r="S631" s="46"/>
      <c r="T631" s="46"/>
      <c r="U631" s="46"/>
      <c r="V631" s="46"/>
      <c r="W631" s="46"/>
    </row>
    <row r="632">
      <c r="A632" s="55"/>
      <c r="B632" s="214"/>
      <c r="C632" s="55"/>
      <c r="D632" s="214"/>
      <c r="E632" s="122"/>
      <c r="F632" s="219"/>
      <c r="G632" s="122"/>
      <c r="H632" s="214"/>
      <c r="I632" s="220"/>
      <c r="J632" s="46"/>
      <c r="K632" s="46"/>
      <c r="L632" s="46"/>
      <c r="M632" s="46"/>
      <c r="N632" s="46"/>
      <c r="O632" s="46"/>
      <c r="P632" s="46"/>
      <c r="Q632" s="46"/>
      <c r="R632" s="46"/>
      <c r="S632" s="46"/>
      <c r="T632" s="46"/>
      <c r="U632" s="46"/>
      <c r="V632" s="46"/>
      <c r="W632" s="46"/>
    </row>
    <row r="633">
      <c r="A633" s="55"/>
      <c r="B633" s="214"/>
      <c r="C633" s="55"/>
      <c r="D633" s="214"/>
      <c r="E633" s="122"/>
      <c r="F633" s="219"/>
      <c r="G633" s="122"/>
      <c r="H633" s="214"/>
      <c r="I633" s="220"/>
      <c r="J633" s="46"/>
      <c r="K633" s="46"/>
      <c r="L633" s="46"/>
      <c r="M633" s="46"/>
      <c r="N633" s="46"/>
      <c r="O633" s="46"/>
      <c r="P633" s="46"/>
      <c r="Q633" s="46"/>
      <c r="R633" s="46"/>
      <c r="S633" s="46"/>
      <c r="T633" s="46"/>
      <c r="U633" s="46"/>
      <c r="V633" s="46"/>
      <c r="W633" s="46"/>
    </row>
    <row r="634">
      <c r="A634" s="55"/>
      <c r="B634" s="214"/>
      <c r="C634" s="55"/>
      <c r="D634" s="214"/>
      <c r="E634" s="122"/>
      <c r="F634" s="219"/>
      <c r="G634" s="122"/>
      <c r="H634" s="214"/>
      <c r="I634" s="220"/>
      <c r="J634" s="46"/>
      <c r="K634" s="46"/>
      <c r="L634" s="46"/>
      <c r="M634" s="46"/>
      <c r="N634" s="46"/>
      <c r="O634" s="46"/>
      <c r="P634" s="46"/>
      <c r="Q634" s="46"/>
      <c r="R634" s="46"/>
      <c r="S634" s="46"/>
      <c r="T634" s="46"/>
      <c r="U634" s="46"/>
      <c r="V634" s="46"/>
      <c r="W634" s="46"/>
    </row>
    <row r="635">
      <c r="A635" s="55"/>
      <c r="B635" s="214"/>
      <c r="C635" s="55"/>
      <c r="D635" s="214"/>
      <c r="E635" s="122"/>
      <c r="F635" s="219"/>
      <c r="G635" s="122"/>
      <c r="H635" s="214"/>
      <c r="I635" s="220"/>
      <c r="J635" s="46"/>
      <c r="K635" s="46"/>
      <c r="L635" s="46"/>
      <c r="M635" s="46"/>
      <c r="N635" s="46"/>
      <c r="O635" s="46"/>
      <c r="P635" s="46"/>
      <c r="Q635" s="46"/>
      <c r="R635" s="46"/>
      <c r="S635" s="46"/>
      <c r="T635" s="46"/>
      <c r="U635" s="46"/>
      <c r="V635" s="46"/>
      <c r="W635" s="46"/>
    </row>
    <row r="636">
      <c r="A636" s="55"/>
      <c r="B636" s="214"/>
      <c r="C636" s="55"/>
      <c r="D636" s="214"/>
      <c r="E636" s="122"/>
      <c r="F636" s="219"/>
      <c r="G636" s="122"/>
      <c r="H636" s="214"/>
      <c r="I636" s="220"/>
      <c r="J636" s="46"/>
      <c r="K636" s="46"/>
      <c r="L636" s="46"/>
      <c r="M636" s="46"/>
      <c r="N636" s="46"/>
      <c r="O636" s="46"/>
      <c r="P636" s="46"/>
      <c r="Q636" s="46"/>
      <c r="R636" s="46"/>
      <c r="S636" s="46"/>
      <c r="T636" s="46"/>
      <c r="U636" s="46"/>
      <c r="V636" s="46"/>
      <c r="W636" s="46"/>
    </row>
    <row r="637">
      <c r="A637" s="55"/>
      <c r="B637" s="214"/>
      <c r="C637" s="55"/>
      <c r="D637" s="214"/>
      <c r="E637" s="122"/>
      <c r="F637" s="219"/>
      <c r="G637" s="122"/>
      <c r="H637" s="214"/>
      <c r="I637" s="220"/>
      <c r="J637" s="46"/>
      <c r="K637" s="46"/>
      <c r="L637" s="46"/>
      <c r="M637" s="46"/>
      <c r="N637" s="46"/>
      <c r="O637" s="46"/>
      <c r="P637" s="46"/>
      <c r="Q637" s="46"/>
      <c r="R637" s="46"/>
      <c r="S637" s="46"/>
      <c r="T637" s="46"/>
      <c r="U637" s="46"/>
      <c r="V637" s="46"/>
      <c r="W637" s="46"/>
    </row>
    <row r="638">
      <c r="A638" s="55"/>
      <c r="B638" s="214"/>
      <c r="C638" s="55"/>
      <c r="D638" s="214"/>
      <c r="E638" s="122"/>
      <c r="F638" s="219"/>
      <c r="G638" s="122"/>
      <c r="H638" s="214"/>
      <c r="I638" s="220"/>
      <c r="J638" s="46"/>
      <c r="K638" s="46"/>
      <c r="L638" s="46"/>
      <c r="M638" s="46"/>
      <c r="N638" s="46"/>
      <c r="O638" s="46"/>
      <c r="P638" s="46"/>
      <c r="Q638" s="46"/>
      <c r="R638" s="46"/>
      <c r="S638" s="46"/>
      <c r="T638" s="46"/>
      <c r="U638" s="46"/>
      <c r="V638" s="46"/>
      <c r="W638" s="46"/>
    </row>
    <row r="639">
      <c r="A639" s="55"/>
      <c r="B639" s="214"/>
      <c r="C639" s="55"/>
      <c r="D639" s="214"/>
      <c r="E639" s="122"/>
      <c r="F639" s="219"/>
      <c r="G639" s="122"/>
      <c r="H639" s="214"/>
      <c r="I639" s="220"/>
      <c r="J639" s="46"/>
      <c r="K639" s="46"/>
      <c r="L639" s="46"/>
      <c r="M639" s="46"/>
      <c r="N639" s="46"/>
      <c r="O639" s="46"/>
      <c r="P639" s="46"/>
      <c r="Q639" s="46"/>
      <c r="R639" s="46"/>
      <c r="S639" s="46"/>
      <c r="T639" s="46"/>
      <c r="U639" s="46"/>
      <c r="V639" s="46"/>
      <c r="W639" s="46"/>
    </row>
    <row r="640">
      <c r="A640" s="55"/>
      <c r="B640" s="214"/>
      <c r="C640" s="55"/>
      <c r="D640" s="214"/>
      <c r="E640" s="122"/>
      <c r="F640" s="219"/>
      <c r="G640" s="122"/>
      <c r="H640" s="214"/>
      <c r="I640" s="220"/>
      <c r="J640" s="46"/>
      <c r="K640" s="46"/>
      <c r="L640" s="46"/>
      <c r="M640" s="46"/>
      <c r="N640" s="46"/>
      <c r="O640" s="46"/>
      <c r="P640" s="46"/>
      <c r="Q640" s="46"/>
      <c r="R640" s="46"/>
      <c r="S640" s="46"/>
      <c r="T640" s="46"/>
      <c r="U640" s="46"/>
      <c r="V640" s="46"/>
      <c r="W640" s="46"/>
    </row>
    <row r="641">
      <c r="A641" s="55"/>
      <c r="B641" s="214"/>
      <c r="C641" s="55"/>
      <c r="D641" s="214"/>
      <c r="E641" s="122"/>
      <c r="F641" s="219"/>
      <c r="G641" s="122"/>
      <c r="H641" s="214"/>
      <c r="I641" s="220"/>
      <c r="J641" s="46"/>
      <c r="K641" s="46"/>
      <c r="L641" s="46"/>
      <c r="M641" s="46"/>
      <c r="N641" s="46"/>
      <c r="O641" s="46"/>
      <c r="P641" s="46"/>
      <c r="Q641" s="46"/>
      <c r="R641" s="46"/>
      <c r="S641" s="46"/>
      <c r="T641" s="46"/>
      <c r="U641" s="46"/>
      <c r="V641" s="46"/>
      <c r="W641" s="46"/>
    </row>
    <row r="642">
      <c r="A642" s="55"/>
      <c r="B642" s="214"/>
      <c r="C642" s="55"/>
      <c r="D642" s="214"/>
      <c r="E642" s="122"/>
      <c r="F642" s="219"/>
      <c r="G642" s="122"/>
      <c r="H642" s="214"/>
      <c r="I642" s="220"/>
      <c r="J642" s="46"/>
      <c r="K642" s="46"/>
      <c r="L642" s="46"/>
      <c r="M642" s="46"/>
      <c r="N642" s="46"/>
      <c r="O642" s="46"/>
      <c r="P642" s="46"/>
      <c r="Q642" s="46"/>
      <c r="R642" s="46"/>
      <c r="S642" s="46"/>
      <c r="T642" s="46"/>
      <c r="U642" s="46"/>
      <c r="V642" s="46"/>
      <c r="W642" s="46"/>
    </row>
    <row r="643">
      <c r="A643" s="55"/>
      <c r="B643" s="214"/>
      <c r="C643" s="55"/>
      <c r="D643" s="214"/>
      <c r="E643" s="122"/>
      <c r="F643" s="219"/>
      <c r="G643" s="122"/>
      <c r="H643" s="214"/>
      <c r="I643" s="220"/>
      <c r="J643" s="46"/>
      <c r="K643" s="46"/>
      <c r="L643" s="46"/>
      <c r="M643" s="46"/>
      <c r="N643" s="46"/>
      <c r="O643" s="46"/>
      <c r="P643" s="46"/>
      <c r="Q643" s="46"/>
      <c r="R643" s="46"/>
      <c r="S643" s="46"/>
      <c r="T643" s="46"/>
      <c r="U643" s="46"/>
      <c r="V643" s="46"/>
      <c r="W643" s="46"/>
    </row>
    <row r="644">
      <c r="A644" s="55"/>
      <c r="B644" s="214"/>
      <c r="C644" s="55"/>
      <c r="D644" s="214"/>
      <c r="E644" s="122"/>
      <c r="F644" s="219"/>
      <c r="G644" s="122"/>
      <c r="H644" s="214"/>
      <c r="I644" s="220"/>
      <c r="J644" s="46"/>
      <c r="K644" s="46"/>
      <c r="L644" s="46"/>
      <c r="M644" s="46"/>
      <c r="N644" s="46"/>
      <c r="O644" s="46"/>
      <c r="P644" s="46"/>
      <c r="Q644" s="46"/>
      <c r="R644" s="46"/>
      <c r="S644" s="46"/>
      <c r="T644" s="46"/>
      <c r="U644" s="46"/>
      <c r="V644" s="46"/>
      <c r="W644" s="46"/>
    </row>
    <row r="645">
      <c r="A645" s="55"/>
      <c r="B645" s="214"/>
      <c r="C645" s="55"/>
      <c r="D645" s="214"/>
      <c r="E645" s="122"/>
      <c r="F645" s="219"/>
      <c r="G645" s="122"/>
      <c r="H645" s="214"/>
      <c r="I645" s="220"/>
      <c r="J645" s="46"/>
      <c r="K645" s="46"/>
      <c r="L645" s="46"/>
      <c r="M645" s="46"/>
      <c r="N645" s="46"/>
      <c r="O645" s="46"/>
      <c r="P645" s="46"/>
      <c r="Q645" s="46"/>
      <c r="R645" s="46"/>
      <c r="S645" s="46"/>
      <c r="T645" s="46"/>
      <c r="U645" s="46"/>
      <c r="V645" s="46"/>
      <c r="W645" s="46"/>
    </row>
    <row r="646">
      <c r="A646" s="55"/>
      <c r="B646" s="214"/>
      <c r="C646" s="55"/>
      <c r="D646" s="214"/>
      <c r="E646" s="122"/>
      <c r="F646" s="219"/>
      <c r="G646" s="122"/>
      <c r="H646" s="214"/>
      <c r="I646" s="220"/>
      <c r="J646" s="46"/>
      <c r="K646" s="46"/>
      <c r="L646" s="46"/>
      <c r="M646" s="46"/>
      <c r="N646" s="46"/>
      <c r="O646" s="46"/>
      <c r="P646" s="46"/>
      <c r="Q646" s="46"/>
      <c r="R646" s="46"/>
      <c r="S646" s="46"/>
      <c r="T646" s="46"/>
      <c r="U646" s="46"/>
      <c r="V646" s="46"/>
      <c r="W646" s="46"/>
    </row>
    <row r="647">
      <c r="A647" s="55"/>
      <c r="B647" s="214"/>
      <c r="C647" s="55"/>
      <c r="D647" s="214"/>
      <c r="E647" s="122"/>
      <c r="F647" s="219"/>
      <c r="G647" s="122"/>
      <c r="H647" s="214"/>
      <c r="I647" s="220"/>
      <c r="J647" s="46"/>
      <c r="K647" s="46"/>
      <c r="L647" s="46"/>
      <c r="M647" s="46"/>
      <c r="N647" s="46"/>
      <c r="O647" s="46"/>
      <c r="P647" s="46"/>
      <c r="Q647" s="46"/>
      <c r="R647" s="46"/>
      <c r="S647" s="46"/>
      <c r="T647" s="46"/>
      <c r="U647" s="46"/>
      <c r="V647" s="46"/>
      <c r="W647" s="46"/>
    </row>
    <row r="648">
      <c r="A648" s="55"/>
      <c r="B648" s="214"/>
      <c r="C648" s="55"/>
      <c r="D648" s="214"/>
      <c r="E648" s="122"/>
      <c r="F648" s="219"/>
      <c r="G648" s="122"/>
      <c r="H648" s="214"/>
      <c r="I648" s="220"/>
      <c r="J648" s="46"/>
      <c r="K648" s="46"/>
      <c r="L648" s="46"/>
      <c r="M648" s="46"/>
      <c r="N648" s="46"/>
      <c r="O648" s="46"/>
      <c r="P648" s="46"/>
      <c r="Q648" s="46"/>
      <c r="R648" s="46"/>
      <c r="S648" s="46"/>
      <c r="T648" s="46"/>
      <c r="U648" s="46"/>
      <c r="V648" s="46"/>
      <c r="W648" s="46"/>
    </row>
    <row r="649">
      <c r="A649" s="55"/>
      <c r="B649" s="214"/>
      <c r="C649" s="55"/>
      <c r="D649" s="214"/>
      <c r="E649" s="122"/>
      <c r="F649" s="219"/>
      <c r="G649" s="122"/>
      <c r="H649" s="214"/>
      <c r="I649" s="220"/>
      <c r="J649" s="46"/>
      <c r="K649" s="46"/>
      <c r="L649" s="46"/>
      <c r="M649" s="46"/>
      <c r="N649" s="46"/>
      <c r="O649" s="46"/>
      <c r="P649" s="46"/>
      <c r="Q649" s="46"/>
      <c r="R649" s="46"/>
      <c r="S649" s="46"/>
      <c r="T649" s="46"/>
      <c r="U649" s="46"/>
      <c r="V649" s="46"/>
      <c r="W649" s="46"/>
    </row>
    <row r="650">
      <c r="A650" s="55"/>
      <c r="B650" s="214"/>
      <c r="C650" s="55"/>
      <c r="D650" s="214"/>
      <c r="E650" s="122"/>
      <c r="F650" s="219"/>
      <c r="G650" s="122"/>
      <c r="H650" s="214"/>
      <c r="I650" s="220"/>
      <c r="J650" s="46"/>
      <c r="K650" s="46"/>
      <c r="L650" s="46"/>
      <c r="M650" s="46"/>
      <c r="N650" s="46"/>
      <c r="O650" s="46"/>
      <c r="P650" s="46"/>
      <c r="Q650" s="46"/>
      <c r="R650" s="46"/>
      <c r="S650" s="46"/>
      <c r="T650" s="46"/>
      <c r="U650" s="46"/>
      <c r="V650" s="46"/>
      <c r="W650" s="46"/>
    </row>
    <row r="651">
      <c r="A651" s="55"/>
      <c r="B651" s="214"/>
      <c r="C651" s="55"/>
      <c r="D651" s="214"/>
      <c r="E651" s="122"/>
      <c r="F651" s="219"/>
      <c r="G651" s="122"/>
      <c r="H651" s="214"/>
      <c r="I651" s="220"/>
      <c r="J651" s="46"/>
      <c r="K651" s="46"/>
      <c r="L651" s="46"/>
      <c r="M651" s="46"/>
      <c r="N651" s="46"/>
      <c r="O651" s="46"/>
      <c r="P651" s="46"/>
      <c r="Q651" s="46"/>
      <c r="R651" s="46"/>
      <c r="S651" s="46"/>
      <c r="T651" s="46"/>
      <c r="U651" s="46"/>
      <c r="V651" s="46"/>
      <c r="W651" s="46"/>
    </row>
    <row r="652">
      <c r="A652" s="55"/>
      <c r="B652" s="214"/>
      <c r="C652" s="55"/>
      <c r="D652" s="214"/>
      <c r="E652" s="122"/>
      <c r="F652" s="219"/>
      <c r="G652" s="122"/>
      <c r="H652" s="214"/>
      <c r="I652" s="220"/>
      <c r="J652" s="46"/>
      <c r="K652" s="46"/>
      <c r="L652" s="46"/>
      <c r="M652" s="46"/>
      <c r="N652" s="46"/>
      <c r="O652" s="46"/>
      <c r="P652" s="46"/>
      <c r="Q652" s="46"/>
      <c r="R652" s="46"/>
      <c r="S652" s="46"/>
      <c r="T652" s="46"/>
      <c r="U652" s="46"/>
      <c r="V652" s="46"/>
      <c r="W652" s="46"/>
    </row>
    <row r="653">
      <c r="A653" s="55"/>
      <c r="B653" s="214"/>
      <c r="C653" s="55"/>
      <c r="D653" s="214"/>
      <c r="E653" s="122"/>
      <c r="F653" s="219"/>
      <c r="G653" s="122"/>
      <c r="H653" s="214"/>
      <c r="I653" s="220"/>
      <c r="J653" s="46"/>
      <c r="K653" s="46"/>
      <c r="L653" s="46"/>
      <c r="M653" s="46"/>
      <c r="N653" s="46"/>
      <c r="O653" s="46"/>
      <c r="P653" s="46"/>
      <c r="Q653" s="46"/>
      <c r="R653" s="46"/>
      <c r="S653" s="46"/>
      <c r="T653" s="46"/>
      <c r="U653" s="46"/>
      <c r="V653" s="46"/>
      <c r="W653" s="46"/>
    </row>
    <row r="654">
      <c r="A654" s="55"/>
      <c r="B654" s="214"/>
      <c r="C654" s="55"/>
      <c r="D654" s="214"/>
      <c r="E654" s="122"/>
      <c r="F654" s="219"/>
      <c r="G654" s="122"/>
      <c r="H654" s="214"/>
      <c r="I654" s="220"/>
      <c r="J654" s="46"/>
      <c r="K654" s="46"/>
      <c r="L654" s="46"/>
      <c r="M654" s="46"/>
      <c r="N654" s="46"/>
      <c r="O654" s="46"/>
      <c r="P654" s="46"/>
      <c r="Q654" s="46"/>
      <c r="R654" s="46"/>
      <c r="S654" s="46"/>
      <c r="T654" s="46"/>
      <c r="U654" s="46"/>
      <c r="V654" s="46"/>
      <c r="W654" s="46"/>
    </row>
    <row r="655">
      <c r="A655" s="55"/>
      <c r="B655" s="214"/>
      <c r="C655" s="55"/>
      <c r="D655" s="214"/>
      <c r="E655" s="122"/>
      <c r="F655" s="219"/>
      <c r="G655" s="122"/>
      <c r="H655" s="214"/>
      <c r="I655" s="220"/>
      <c r="J655" s="46"/>
      <c r="K655" s="46"/>
      <c r="L655" s="46"/>
      <c r="M655" s="46"/>
      <c r="N655" s="46"/>
      <c r="O655" s="46"/>
      <c r="P655" s="46"/>
      <c r="Q655" s="46"/>
      <c r="R655" s="46"/>
      <c r="S655" s="46"/>
      <c r="T655" s="46"/>
      <c r="U655" s="46"/>
      <c r="V655" s="46"/>
      <c r="W655" s="46"/>
    </row>
    <row r="656">
      <c r="A656" s="55"/>
      <c r="B656" s="214"/>
      <c r="C656" s="55"/>
      <c r="D656" s="214"/>
      <c r="E656" s="122"/>
      <c r="F656" s="219"/>
      <c r="G656" s="122"/>
      <c r="H656" s="214"/>
      <c r="I656" s="220"/>
      <c r="J656" s="46"/>
      <c r="K656" s="46"/>
      <c r="L656" s="46"/>
      <c r="M656" s="46"/>
      <c r="N656" s="46"/>
      <c r="O656" s="46"/>
      <c r="P656" s="46"/>
      <c r="Q656" s="46"/>
      <c r="R656" s="46"/>
      <c r="S656" s="46"/>
      <c r="T656" s="46"/>
      <c r="U656" s="46"/>
      <c r="V656" s="46"/>
      <c r="W656" s="46"/>
    </row>
    <row r="657">
      <c r="A657" s="55"/>
      <c r="B657" s="214"/>
      <c r="C657" s="55"/>
      <c r="D657" s="214"/>
      <c r="E657" s="122"/>
      <c r="F657" s="219"/>
      <c r="G657" s="122"/>
      <c r="H657" s="214"/>
      <c r="I657" s="220"/>
      <c r="J657" s="46"/>
      <c r="K657" s="46"/>
      <c r="L657" s="46"/>
      <c r="M657" s="46"/>
      <c r="N657" s="46"/>
      <c r="O657" s="46"/>
      <c r="P657" s="46"/>
      <c r="Q657" s="46"/>
      <c r="R657" s="46"/>
      <c r="S657" s="46"/>
      <c r="T657" s="46"/>
      <c r="U657" s="46"/>
      <c r="V657" s="46"/>
      <c r="W657" s="46"/>
    </row>
    <row r="658">
      <c r="A658" s="55"/>
      <c r="B658" s="214"/>
      <c r="C658" s="55"/>
      <c r="D658" s="214"/>
      <c r="E658" s="122"/>
      <c r="F658" s="219"/>
      <c r="G658" s="122"/>
      <c r="H658" s="214"/>
      <c r="I658" s="220"/>
      <c r="J658" s="46"/>
      <c r="K658" s="46"/>
      <c r="L658" s="46"/>
      <c r="M658" s="46"/>
      <c r="N658" s="46"/>
      <c r="O658" s="46"/>
      <c r="P658" s="46"/>
      <c r="Q658" s="46"/>
      <c r="R658" s="46"/>
      <c r="S658" s="46"/>
      <c r="T658" s="46"/>
      <c r="U658" s="46"/>
      <c r="V658" s="46"/>
      <c r="W658" s="46"/>
    </row>
    <row r="659">
      <c r="A659" s="55"/>
      <c r="B659" s="214"/>
      <c r="C659" s="55"/>
      <c r="D659" s="214"/>
      <c r="E659" s="122"/>
      <c r="F659" s="219"/>
      <c r="G659" s="122"/>
      <c r="H659" s="214"/>
      <c r="I659" s="220"/>
      <c r="J659" s="46"/>
      <c r="K659" s="46"/>
      <c r="L659" s="46"/>
      <c r="M659" s="46"/>
      <c r="N659" s="46"/>
      <c r="O659" s="46"/>
      <c r="P659" s="46"/>
      <c r="Q659" s="46"/>
      <c r="R659" s="46"/>
      <c r="S659" s="46"/>
      <c r="T659" s="46"/>
      <c r="U659" s="46"/>
      <c r="V659" s="46"/>
      <c r="W659" s="46"/>
    </row>
    <row r="660">
      <c r="A660" s="55"/>
      <c r="B660" s="214"/>
      <c r="C660" s="55"/>
      <c r="D660" s="214"/>
      <c r="E660" s="122"/>
      <c r="F660" s="219"/>
      <c r="G660" s="122"/>
      <c r="H660" s="214"/>
      <c r="I660" s="220"/>
      <c r="J660" s="46"/>
      <c r="K660" s="46"/>
      <c r="L660" s="46"/>
      <c r="M660" s="46"/>
      <c r="N660" s="46"/>
      <c r="O660" s="46"/>
      <c r="P660" s="46"/>
      <c r="Q660" s="46"/>
      <c r="R660" s="46"/>
      <c r="S660" s="46"/>
      <c r="T660" s="46"/>
      <c r="U660" s="46"/>
      <c r="V660" s="46"/>
      <c r="W660" s="46"/>
    </row>
    <row r="661">
      <c r="A661" s="55"/>
      <c r="B661" s="214"/>
      <c r="C661" s="55"/>
      <c r="D661" s="214"/>
      <c r="E661" s="122"/>
      <c r="F661" s="219"/>
      <c r="G661" s="122"/>
      <c r="H661" s="214"/>
      <c r="I661" s="220"/>
      <c r="J661" s="46"/>
      <c r="K661" s="46"/>
      <c r="L661" s="46"/>
      <c r="M661" s="46"/>
      <c r="N661" s="46"/>
      <c r="O661" s="46"/>
      <c r="P661" s="46"/>
      <c r="Q661" s="46"/>
      <c r="R661" s="46"/>
      <c r="S661" s="46"/>
      <c r="T661" s="46"/>
      <c r="U661" s="46"/>
      <c r="V661" s="46"/>
      <c r="W661" s="46"/>
    </row>
    <row r="662">
      <c r="A662" s="55"/>
      <c r="B662" s="214"/>
      <c r="C662" s="55"/>
      <c r="D662" s="214"/>
      <c r="E662" s="122"/>
      <c r="F662" s="219"/>
      <c r="G662" s="122"/>
      <c r="H662" s="214"/>
      <c r="I662" s="220"/>
      <c r="J662" s="46"/>
      <c r="K662" s="46"/>
      <c r="L662" s="46"/>
      <c r="M662" s="46"/>
      <c r="N662" s="46"/>
      <c r="O662" s="46"/>
      <c r="P662" s="46"/>
      <c r="Q662" s="46"/>
      <c r="R662" s="46"/>
      <c r="S662" s="46"/>
      <c r="T662" s="46"/>
      <c r="U662" s="46"/>
      <c r="V662" s="46"/>
      <c r="W662" s="46"/>
    </row>
    <row r="663">
      <c r="A663" s="55"/>
      <c r="B663" s="214"/>
      <c r="C663" s="55"/>
      <c r="D663" s="214"/>
      <c r="E663" s="122"/>
      <c r="F663" s="219"/>
      <c r="G663" s="122"/>
      <c r="H663" s="214"/>
      <c r="I663" s="220"/>
      <c r="J663" s="46"/>
      <c r="K663" s="46"/>
      <c r="L663" s="46"/>
      <c r="M663" s="46"/>
      <c r="N663" s="46"/>
      <c r="O663" s="46"/>
      <c r="P663" s="46"/>
      <c r="Q663" s="46"/>
      <c r="R663" s="46"/>
      <c r="S663" s="46"/>
      <c r="T663" s="46"/>
      <c r="U663" s="46"/>
      <c r="V663" s="46"/>
      <c r="W663" s="46"/>
    </row>
    <row r="664">
      <c r="A664" s="55"/>
      <c r="B664" s="214"/>
      <c r="C664" s="55"/>
      <c r="D664" s="214"/>
      <c r="E664" s="122"/>
      <c r="F664" s="219"/>
      <c r="G664" s="122"/>
      <c r="H664" s="214"/>
      <c r="I664" s="220"/>
      <c r="J664" s="46"/>
      <c r="K664" s="46"/>
      <c r="L664" s="46"/>
      <c r="M664" s="46"/>
      <c r="N664" s="46"/>
      <c r="O664" s="46"/>
      <c r="P664" s="46"/>
      <c r="Q664" s="46"/>
      <c r="R664" s="46"/>
      <c r="S664" s="46"/>
      <c r="T664" s="46"/>
      <c r="U664" s="46"/>
      <c r="V664" s="46"/>
      <c r="W664" s="46"/>
    </row>
    <row r="665">
      <c r="A665" s="55"/>
      <c r="B665" s="214"/>
      <c r="C665" s="55"/>
      <c r="D665" s="214"/>
      <c r="E665" s="122"/>
      <c r="F665" s="219"/>
      <c r="G665" s="122"/>
      <c r="H665" s="214"/>
      <c r="I665" s="220"/>
      <c r="J665" s="46"/>
      <c r="K665" s="46"/>
      <c r="L665" s="46"/>
      <c r="M665" s="46"/>
      <c r="N665" s="46"/>
      <c r="O665" s="46"/>
      <c r="P665" s="46"/>
      <c r="Q665" s="46"/>
      <c r="R665" s="46"/>
      <c r="S665" s="46"/>
      <c r="T665" s="46"/>
      <c r="U665" s="46"/>
      <c r="V665" s="46"/>
      <c r="W665" s="46"/>
    </row>
    <row r="666">
      <c r="A666" s="55"/>
      <c r="B666" s="214"/>
      <c r="C666" s="55"/>
      <c r="D666" s="214"/>
      <c r="E666" s="122"/>
      <c r="F666" s="219"/>
      <c r="G666" s="122"/>
      <c r="H666" s="214"/>
      <c r="I666" s="220"/>
      <c r="J666" s="46"/>
      <c r="K666" s="46"/>
      <c r="L666" s="46"/>
      <c r="M666" s="46"/>
      <c r="N666" s="46"/>
      <c r="O666" s="46"/>
      <c r="P666" s="46"/>
      <c r="Q666" s="46"/>
      <c r="R666" s="46"/>
      <c r="S666" s="46"/>
      <c r="T666" s="46"/>
      <c r="U666" s="46"/>
      <c r="V666" s="46"/>
      <c r="W666" s="46"/>
    </row>
    <row r="667">
      <c r="A667" s="55"/>
      <c r="B667" s="214"/>
      <c r="C667" s="55"/>
      <c r="D667" s="214"/>
      <c r="E667" s="122"/>
      <c r="F667" s="219"/>
      <c r="G667" s="122"/>
      <c r="H667" s="214"/>
      <c r="I667" s="220"/>
      <c r="J667" s="46"/>
      <c r="K667" s="46"/>
      <c r="L667" s="46"/>
      <c r="M667" s="46"/>
      <c r="N667" s="46"/>
      <c r="O667" s="46"/>
      <c r="P667" s="46"/>
      <c r="Q667" s="46"/>
      <c r="R667" s="46"/>
      <c r="S667" s="46"/>
      <c r="T667" s="46"/>
      <c r="U667" s="46"/>
      <c r="V667" s="46"/>
      <c r="W667" s="46"/>
    </row>
    <row r="668">
      <c r="A668" s="55"/>
      <c r="B668" s="214"/>
      <c r="C668" s="55"/>
      <c r="D668" s="214"/>
      <c r="E668" s="122"/>
      <c r="F668" s="219"/>
      <c r="G668" s="122"/>
      <c r="H668" s="214"/>
      <c r="I668" s="220"/>
      <c r="J668" s="46"/>
      <c r="K668" s="46"/>
      <c r="L668" s="46"/>
      <c r="M668" s="46"/>
      <c r="N668" s="46"/>
      <c r="O668" s="46"/>
      <c r="P668" s="46"/>
      <c r="Q668" s="46"/>
      <c r="R668" s="46"/>
      <c r="S668" s="46"/>
      <c r="T668" s="46"/>
      <c r="U668" s="46"/>
      <c r="V668" s="46"/>
      <c r="W668" s="46"/>
    </row>
    <row r="669">
      <c r="A669" s="55"/>
      <c r="B669" s="214"/>
      <c r="C669" s="55"/>
      <c r="D669" s="214"/>
      <c r="E669" s="122"/>
      <c r="F669" s="219"/>
      <c r="G669" s="122"/>
      <c r="H669" s="214"/>
      <c r="I669" s="220"/>
      <c r="J669" s="46"/>
      <c r="K669" s="46"/>
      <c r="L669" s="46"/>
      <c r="M669" s="46"/>
      <c r="N669" s="46"/>
      <c r="O669" s="46"/>
      <c r="P669" s="46"/>
      <c r="Q669" s="46"/>
      <c r="R669" s="46"/>
      <c r="S669" s="46"/>
      <c r="T669" s="46"/>
      <c r="U669" s="46"/>
      <c r="V669" s="46"/>
      <c r="W669" s="46"/>
    </row>
    <row r="670">
      <c r="A670" s="55"/>
      <c r="B670" s="214"/>
      <c r="C670" s="55"/>
      <c r="D670" s="214"/>
      <c r="E670" s="122"/>
      <c r="F670" s="219"/>
      <c r="G670" s="122"/>
      <c r="H670" s="214"/>
      <c r="I670" s="220"/>
      <c r="J670" s="46"/>
      <c r="K670" s="46"/>
      <c r="L670" s="46"/>
      <c r="M670" s="46"/>
      <c r="N670" s="46"/>
      <c r="O670" s="46"/>
      <c r="P670" s="46"/>
      <c r="Q670" s="46"/>
      <c r="R670" s="46"/>
      <c r="S670" s="46"/>
      <c r="T670" s="46"/>
      <c r="U670" s="46"/>
      <c r="V670" s="46"/>
      <c r="W670" s="46"/>
    </row>
    <row r="671">
      <c r="A671" s="55"/>
      <c r="B671" s="214"/>
      <c r="C671" s="55"/>
      <c r="D671" s="214"/>
      <c r="E671" s="122"/>
      <c r="F671" s="219"/>
      <c r="G671" s="122"/>
      <c r="H671" s="214"/>
      <c r="I671" s="220"/>
      <c r="J671" s="46"/>
      <c r="K671" s="46"/>
      <c r="L671" s="46"/>
      <c r="M671" s="46"/>
      <c r="N671" s="46"/>
      <c r="O671" s="46"/>
      <c r="P671" s="46"/>
      <c r="Q671" s="46"/>
      <c r="R671" s="46"/>
      <c r="S671" s="46"/>
      <c r="T671" s="46"/>
      <c r="U671" s="46"/>
      <c r="V671" s="46"/>
      <c r="W671" s="46"/>
    </row>
    <row r="672">
      <c r="A672" s="55"/>
      <c r="B672" s="214"/>
      <c r="C672" s="55"/>
      <c r="D672" s="214"/>
      <c r="E672" s="122"/>
      <c r="F672" s="219"/>
      <c r="G672" s="122"/>
      <c r="H672" s="214"/>
      <c r="I672" s="220"/>
      <c r="J672" s="46"/>
      <c r="K672" s="46"/>
      <c r="L672" s="46"/>
      <c r="M672" s="46"/>
      <c r="N672" s="46"/>
      <c r="O672" s="46"/>
      <c r="P672" s="46"/>
      <c r="Q672" s="46"/>
      <c r="R672" s="46"/>
      <c r="S672" s="46"/>
      <c r="T672" s="46"/>
      <c r="U672" s="46"/>
      <c r="V672" s="46"/>
      <c r="W672" s="46"/>
    </row>
    <row r="673">
      <c r="A673" s="55"/>
      <c r="B673" s="214"/>
      <c r="C673" s="55"/>
      <c r="D673" s="214"/>
      <c r="E673" s="122"/>
      <c r="F673" s="219"/>
      <c r="G673" s="122"/>
      <c r="H673" s="214"/>
      <c r="I673" s="220"/>
      <c r="J673" s="46"/>
      <c r="K673" s="46"/>
      <c r="L673" s="46"/>
      <c r="M673" s="46"/>
      <c r="N673" s="46"/>
      <c r="O673" s="46"/>
      <c r="P673" s="46"/>
      <c r="Q673" s="46"/>
      <c r="R673" s="46"/>
      <c r="S673" s="46"/>
      <c r="T673" s="46"/>
      <c r="U673" s="46"/>
      <c r="V673" s="46"/>
      <c r="W673" s="46"/>
    </row>
    <row r="674">
      <c r="A674" s="55"/>
      <c r="B674" s="214"/>
      <c r="C674" s="55"/>
      <c r="D674" s="214"/>
      <c r="E674" s="122"/>
      <c r="F674" s="219"/>
      <c r="G674" s="122"/>
      <c r="H674" s="214"/>
      <c r="I674" s="220"/>
      <c r="J674" s="46"/>
      <c r="K674" s="46"/>
      <c r="L674" s="46"/>
      <c r="M674" s="46"/>
      <c r="N674" s="46"/>
      <c r="O674" s="46"/>
      <c r="P674" s="46"/>
      <c r="Q674" s="46"/>
      <c r="R674" s="46"/>
      <c r="S674" s="46"/>
      <c r="T674" s="46"/>
      <c r="U674" s="46"/>
      <c r="V674" s="46"/>
      <c r="W674" s="46"/>
    </row>
    <row r="675">
      <c r="A675" s="55"/>
      <c r="B675" s="214"/>
      <c r="C675" s="55"/>
      <c r="D675" s="214"/>
      <c r="E675" s="122"/>
      <c r="F675" s="219"/>
      <c r="G675" s="122"/>
      <c r="H675" s="214"/>
      <c r="I675" s="220"/>
      <c r="J675" s="46"/>
      <c r="K675" s="46"/>
      <c r="L675" s="46"/>
      <c r="M675" s="46"/>
      <c r="N675" s="46"/>
      <c r="O675" s="46"/>
      <c r="P675" s="46"/>
      <c r="Q675" s="46"/>
      <c r="R675" s="46"/>
      <c r="S675" s="46"/>
      <c r="T675" s="46"/>
      <c r="U675" s="46"/>
      <c r="V675" s="46"/>
      <c r="W675" s="46"/>
    </row>
    <row r="676">
      <c r="A676" s="55"/>
      <c r="B676" s="214"/>
      <c r="C676" s="55"/>
      <c r="D676" s="214"/>
      <c r="E676" s="122"/>
      <c r="F676" s="219"/>
      <c r="G676" s="122"/>
      <c r="H676" s="214"/>
      <c r="I676" s="220"/>
      <c r="J676" s="46"/>
      <c r="K676" s="46"/>
      <c r="L676" s="46"/>
      <c r="M676" s="46"/>
      <c r="N676" s="46"/>
      <c r="O676" s="46"/>
      <c r="P676" s="46"/>
      <c r="Q676" s="46"/>
      <c r="R676" s="46"/>
      <c r="S676" s="46"/>
      <c r="T676" s="46"/>
      <c r="U676" s="46"/>
      <c r="V676" s="46"/>
      <c r="W676" s="46"/>
    </row>
    <row r="677">
      <c r="A677" s="55"/>
      <c r="B677" s="214"/>
      <c r="C677" s="55"/>
      <c r="D677" s="214"/>
      <c r="E677" s="122"/>
      <c r="F677" s="219"/>
      <c r="G677" s="122"/>
      <c r="H677" s="214"/>
      <c r="I677" s="220"/>
      <c r="J677" s="46"/>
      <c r="K677" s="46"/>
      <c r="L677" s="46"/>
      <c r="M677" s="46"/>
      <c r="N677" s="46"/>
      <c r="O677" s="46"/>
      <c r="P677" s="46"/>
      <c r="Q677" s="46"/>
      <c r="R677" s="46"/>
      <c r="S677" s="46"/>
      <c r="T677" s="46"/>
      <c r="U677" s="46"/>
      <c r="V677" s="46"/>
      <c r="W677" s="46"/>
    </row>
    <row r="678">
      <c r="A678" s="55"/>
      <c r="B678" s="214"/>
      <c r="C678" s="55"/>
      <c r="D678" s="214"/>
      <c r="E678" s="122"/>
      <c r="F678" s="219"/>
      <c r="G678" s="122"/>
      <c r="H678" s="214"/>
      <c r="I678" s="220"/>
      <c r="J678" s="46"/>
      <c r="K678" s="46"/>
      <c r="L678" s="46"/>
      <c r="M678" s="46"/>
      <c r="N678" s="46"/>
      <c r="O678" s="46"/>
      <c r="P678" s="46"/>
      <c r="Q678" s="46"/>
      <c r="R678" s="46"/>
      <c r="S678" s="46"/>
      <c r="T678" s="46"/>
      <c r="U678" s="46"/>
      <c r="V678" s="46"/>
      <c r="W678" s="46"/>
    </row>
    <row r="679">
      <c r="A679" s="55"/>
      <c r="B679" s="214"/>
      <c r="C679" s="55"/>
      <c r="D679" s="214"/>
      <c r="E679" s="122"/>
      <c r="F679" s="219"/>
      <c r="G679" s="122"/>
      <c r="H679" s="214"/>
      <c r="I679" s="220"/>
      <c r="J679" s="46"/>
      <c r="K679" s="46"/>
      <c r="L679" s="46"/>
      <c r="M679" s="46"/>
      <c r="N679" s="46"/>
      <c r="O679" s="46"/>
      <c r="P679" s="46"/>
      <c r="Q679" s="46"/>
      <c r="R679" s="46"/>
      <c r="S679" s="46"/>
      <c r="T679" s="46"/>
      <c r="U679" s="46"/>
      <c r="V679" s="46"/>
      <c r="W679" s="46"/>
    </row>
    <row r="680">
      <c r="A680" s="55"/>
      <c r="B680" s="214"/>
      <c r="C680" s="55"/>
      <c r="D680" s="214"/>
      <c r="E680" s="122"/>
      <c r="F680" s="219"/>
      <c r="G680" s="122"/>
      <c r="H680" s="214"/>
      <c r="I680" s="220"/>
      <c r="J680" s="46"/>
      <c r="K680" s="46"/>
      <c r="L680" s="46"/>
      <c r="M680" s="46"/>
      <c r="N680" s="46"/>
      <c r="O680" s="46"/>
      <c r="P680" s="46"/>
      <c r="Q680" s="46"/>
      <c r="R680" s="46"/>
      <c r="S680" s="46"/>
      <c r="T680" s="46"/>
      <c r="U680" s="46"/>
      <c r="V680" s="46"/>
      <c r="W680" s="46"/>
    </row>
    <row r="681">
      <c r="A681" s="55"/>
      <c r="B681" s="214"/>
      <c r="C681" s="55"/>
      <c r="D681" s="214"/>
      <c r="E681" s="122"/>
      <c r="F681" s="219"/>
      <c r="G681" s="122"/>
      <c r="H681" s="214"/>
      <c r="I681" s="220"/>
      <c r="J681" s="46"/>
      <c r="K681" s="46"/>
      <c r="L681" s="46"/>
      <c r="M681" s="46"/>
      <c r="N681" s="46"/>
      <c r="O681" s="46"/>
      <c r="P681" s="46"/>
      <c r="Q681" s="46"/>
      <c r="R681" s="46"/>
      <c r="S681" s="46"/>
      <c r="T681" s="46"/>
      <c r="U681" s="46"/>
      <c r="V681" s="46"/>
      <c r="W681" s="46"/>
    </row>
    <row r="682">
      <c r="A682" s="55"/>
      <c r="B682" s="214"/>
      <c r="C682" s="55"/>
      <c r="D682" s="214"/>
      <c r="E682" s="122"/>
      <c r="F682" s="219"/>
      <c r="G682" s="122"/>
      <c r="H682" s="214"/>
      <c r="I682" s="220"/>
      <c r="J682" s="46"/>
      <c r="K682" s="46"/>
      <c r="L682" s="46"/>
      <c r="M682" s="46"/>
      <c r="N682" s="46"/>
      <c r="O682" s="46"/>
      <c r="P682" s="46"/>
      <c r="Q682" s="46"/>
      <c r="R682" s="46"/>
      <c r="S682" s="46"/>
      <c r="T682" s="46"/>
      <c r="U682" s="46"/>
      <c r="V682" s="46"/>
      <c r="W682" s="46"/>
    </row>
    <row r="683">
      <c r="A683" s="55"/>
      <c r="B683" s="214"/>
      <c r="C683" s="55"/>
      <c r="D683" s="214"/>
      <c r="E683" s="122"/>
      <c r="F683" s="219"/>
      <c r="G683" s="122"/>
      <c r="H683" s="214"/>
      <c r="I683" s="220"/>
      <c r="J683" s="46"/>
      <c r="K683" s="46"/>
      <c r="L683" s="46"/>
      <c r="M683" s="46"/>
      <c r="N683" s="46"/>
      <c r="O683" s="46"/>
      <c r="P683" s="46"/>
      <c r="Q683" s="46"/>
      <c r="R683" s="46"/>
      <c r="S683" s="46"/>
      <c r="T683" s="46"/>
      <c r="U683" s="46"/>
      <c r="V683" s="46"/>
      <c r="W683" s="46"/>
    </row>
    <row r="684">
      <c r="A684" s="55"/>
      <c r="B684" s="214"/>
      <c r="C684" s="55"/>
      <c r="D684" s="214"/>
      <c r="E684" s="122"/>
      <c r="F684" s="219"/>
      <c r="G684" s="122"/>
      <c r="H684" s="214"/>
      <c r="I684" s="220"/>
      <c r="J684" s="46"/>
      <c r="K684" s="46"/>
      <c r="L684" s="46"/>
      <c r="M684" s="46"/>
      <c r="N684" s="46"/>
      <c r="O684" s="46"/>
      <c r="P684" s="46"/>
      <c r="Q684" s="46"/>
      <c r="R684" s="46"/>
      <c r="S684" s="46"/>
      <c r="T684" s="46"/>
      <c r="U684" s="46"/>
      <c r="V684" s="46"/>
      <c r="W684" s="46"/>
    </row>
    <row r="685">
      <c r="A685" s="55"/>
      <c r="B685" s="214"/>
      <c r="C685" s="55"/>
      <c r="D685" s="214"/>
      <c r="E685" s="122"/>
      <c r="F685" s="219"/>
      <c r="G685" s="122"/>
      <c r="H685" s="214"/>
      <c r="I685" s="220"/>
      <c r="J685" s="46"/>
      <c r="K685" s="46"/>
      <c r="L685" s="46"/>
      <c r="M685" s="46"/>
      <c r="N685" s="46"/>
      <c r="O685" s="46"/>
      <c r="P685" s="46"/>
      <c r="Q685" s="46"/>
      <c r="R685" s="46"/>
      <c r="S685" s="46"/>
      <c r="T685" s="46"/>
      <c r="U685" s="46"/>
      <c r="V685" s="46"/>
      <c r="W685" s="46"/>
    </row>
    <row r="686">
      <c r="A686" s="55"/>
      <c r="B686" s="214"/>
      <c r="C686" s="55"/>
      <c r="D686" s="214"/>
      <c r="E686" s="122"/>
      <c r="F686" s="219"/>
      <c r="G686" s="122"/>
      <c r="H686" s="214"/>
      <c r="I686" s="220"/>
      <c r="J686" s="46"/>
      <c r="K686" s="46"/>
      <c r="L686" s="46"/>
      <c r="M686" s="46"/>
      <c r="N686" s="46"/>
      <c r="O686" s="46"/>
      <c r="P686" s="46"/>
      <c r="Q686" s="46"/>
      <c r="R686" s="46"/>
      <c r="S686" s="46"/>
      <c r="T686" s="46"/>
      <c r="U686" s="46"/>
      <c r="V686" s="46"/>
      <c r="W686" s="46"/>
    </row>
    <row r="687">
      <c r="A687" s="55"/>
      <c r="B687" s="214"/>
      <c r="C687" s="55"/>
      <c r="D687" s="214"/>
      <c r="E687" s="122"/>
      <c r="F687" s="219"/>
      <c r="G687" s="122"/>
      <c r="H687" s="214"/>
      <c r="I687" s="220"/>
      <c r="J687" s="46"/>
      <c r="K687" s="46"/>
      <c r="L687" s="46"/>
      <c r="M687" s="46"/>
      <c r="N687" s="46"/>
      <c r="O687" s="46"/>
      <c r="P687" s="46"/>
      <c r="Q687" s="46"/>
      <c r="R687" s="46"/>
      <c r="S687" s="46"/>
      <c r="T687" s="46"/>
      <c r="U687" s="46"/>
      <c r="V687" s="46"/>
      <c r="W687" s="46"/>
    </row>
    <row r="688">
      <c r="A688" s="55"/>
      <c r="B688" s="214"/>
      <c r="C688" s="55"/>
      <c r="D688" s="214"/>
      <c r="E688" s="122"/>
      <c r="F688" s="219"/>
      <c r="G688" s="122"/>
      <c r="H688" s="214"/>
      <c r="I688" s="220"/>
      <c r="J688" s="46"/>
      <c r="K688" s="46"/>
      <c r="L688" s="46"/>
      <c r="M688" s="46"/>
      <c r="N688" s="46"/>
      <c r="O688" s="46"/>
      <c r="P688" s="46"/>
      <c r="Q688" s="46"/>
      <c r="R688" s="46"/>
      <c r="S688" s="46"/>
      <c r="T688" s="46"/>
      <c r="U688" s="46"/>
      <c r="V688" s="46"/>
      <c r="W688" s="46"/>
    </row>
    <row r="689">
      <c r="A689" s="55"/>
      <c r="B689" s="214"/>
      <c r="C689" s="55"/>
      <c r="D689" s="214"/>
      <c r="E689" s="122"/>
      <c r="F689" s="219"/>
      <c r="G689" s="122"/>
      <c r="H689" s="214"/>
      <c r="I689" s="220"/>
      <c r="J689" s="46"/>
      <c r="K689" s="46"/>
      <c r="L689" s="46"/>
      <c r="M689" s="46"/>
      <c r="N689" s="46"/>
      <c r="O689" s="46"/>
      <c r="P689" s="46"/>
      <c r="Q689" s="46"/>
      <c r="R689" s="46"/>
      <c r="S689" s="46"/>
      <c r="T689" s="46"/>
      <c r="U689" s="46"/>
      <c r="V689" s="46"/>
      <c r="W689" s="46"/>
    </row>
    <row r="690">
      <c r="A690" s="55"/>
      <c r="B690" s="214"/>
      <c r="C690" s="55"/>
      <c r="D690" s="214"/>
      <c r="E690" s="122"/>
      <c r="F690" s="219"/>
      <c r="G690" s="122"/>
      <c r="H690" s="214"/>
      <c r="I690" s="220"/>
      <c r="J690" s="46"/>
      <c r="K690" s="46"/>
      <c r="L690" s="46"/>
      <c r="M690" s="46"/>
      <c r="N690" s="46"/>
      <c r="O690" s="46"/>
      <c r="P690" s="46"/>
      <c r="Q690" s="46"/>
      <c r="R690" s="46"/>
      <c r="S690" s="46"/>
      <c r="T690" s="46"/>
      <c r="U690" s="46"/>
      <c r="V690" s="46"/>
      <c r="W690" s="46"/>
    </row>
    <row r="691">
      <c r="A691" s="55"/>
      <c r="B691" s="214"/>
      <c r="C691" s="55"/>
      <c r="D691" s="214"/>
      <c r="E691" s="122"/>
      <c r="F691" s="219"/>
      <c r="G691" s="122"/>
      <c r="H691" s="214"/>
      <c r="I691" s="220"/>
      <c r="J691" s="46"/>
      <c r="K691" s="46"/>
      <c r="L691" s="46"/>
      <c r="M691" s="46"/>
      <c r="N691" s="46"/>
      <c r="O691" s="46"/>
      <c r="P691" s="46"/>
      <c r="Q691" s="46"/>
      <c r="R691" s="46"/>
      <c r="S691" s="46"/>
      <c r="T691" s="46"/>
      <c r="U691" s="46"/>
      <c r="V691" s="46"/>
      <c r="W691" s="46"/>
    </row>
    <row r="692">
      <c r="A692" s="55"/>
      <c r="B692" s="214"/>
      <c r="C692" s="55"/>
      <c r="D692" s="214"/>
      <c r="E692" s="122"/>
      <c r="F692" s="219"/>
      <c r="G692" s="122"/>
      <c r="H692" s="214"/>
      <c r="I692" s="220"/>
      <c r="J692" s="46"/>
      <c r="K692" s="46"/>
      <c r="L692" s="46"/>
      <c r="M692" s="46"/>
      <c r="N692" s="46"/>
      <c r="O692" s="46"/>
      <c r="P692" s="46"/>
      <c r="Q692" s="46"/>
      <c r="R692" s="46"/>
      <c r="S692" s="46"/>
      <c r="T692" s="46"/>
      <c r="U692" s="46"/>
      <c r="V692" s="46"/>
      <c r="W692" s="46"/>
    </row>
    <row r="693">
      <c r="A693" s="55"/>
      <c r="B693" s="214"/>
      <c r="C693" s="55"/>
      <c r="D693" s="214"/>
      <c r="E693" s="122"/>
      <c r="F693" s="219"/>
      <c r="G693" s="122"/>
      <c r="H693" s="214"/>
      <c r="I693" s="220"/>
      <c r="J693" s="46"/>
      <c r="K693" s="46"/>
      <c r="L693" s="46"/>
      <c r="M693" s="46"/>
      <c r="N693" s="46"/>
      <c r="O693" s="46"/>
      <c r="P693" s="46"/>
      <c r="Q693" s="46"/>
      <c r="R693" s="46"/>
      <c r="S693" s="46"/>
      <c r="T693" s="46"/>
      <c r="U693" s="46"/>
      <c r="V693" s="46"/>
      <c r="W693" s="46"/>
    </row>
    <row r="694">
      <c r="A694" s="55"/>
      <c r="B694" s="214"/>
      <c r="C694" s="55"/>
      <c r="D694" s="214"/>
      <c r="E694" s="122"/>
      <c r="F694" s="219"/>
      <c r="G694" s="122"/>
      <c r="H694" s="214"/>
      <c r="I694" s="220"/>
      <c r="J694" s="46"/>
      <c r="K694" s="46"/>
      <c r="L694" s="46"/>
      <c r="M694" s="46"/>
      <c r="N694" s="46"/>
      <c r="O694" s="46"/>
      <c r="P694" s="46"/>
      <c r="Q694" s="46"/>
      <c r="R694" s="46"/>
      <c r="S694" s="46"/>
      <c r="T694" s="46"/>
      <c r="U694" s="46"/>
      <c r="V694" s="46"/>
      <c r="W694" s="46"/>
    </row>
    <row r="695">
      <c r="A695" s="55"/>
      <c r="B695" s="214"/>
      <c r="C695" s="55"/>
      <c r="D695" s="214"/>
      <c r="E695" s="122"/>
      <c r="F695" s="219"/>
      <c r="G695" s="122"/>
      <c r="H695" s="214"/>
      <c r="I695" s="220"/>
      <c r="J695" s="46"/>
      <c r="K695" s="46"/>
      <c r="L695" s="46"/>
      <c r="M695" s="46"/>
      <c r="N695" s="46"/>
      <c r="O695" s="46"/>
      <c r="P695" s="46"/>
      <c r="Q695" s="46"/>
      <c r="R695" s="46"/>
      <c r="S695" s="46"/>
      <c r="T695" s="46"/>
      <c r="U695" s="46"/>
      <c r="V695" s="46"/>
      <c r="W695" s="46"/>
    </row>
    <row r="696">
      <c r="A696" s="55"/>
      <c r="B696" s="214"/>
      <c r="C696" s="55"/>
      <c r="D696" s="214"/>
      <c r="E696" s="122"/>
      <c r="F696" s="219"/>
      <c r="G696" s="122"/>
      <c r="H696" s="214"/>
      <c r="I696" s="220"/>
      <c r="J696" s="46"/>
      <c r="K696" s="46"/>
      <c r="L696" s="46"/>
      <c r="M696" s="46"/>
      <c r="N696" s="46"/>
      <c r="O696" s="46"/>
      <c r="P696" s="46"/>
      <c r="Q696" s="46"/>
      <c r="R696" s="46"/>
      <c r="S696" s="46"/>
      <c r="T696" s="46"/>
      <c r="U696" s="46"/>
      <c r="V696" s="46"/>
      <c r="W696" s="46"/>
    </row>
    <row r="697">
      <c r="A697" s="55"/>
      <c r="B697" s="214"/>
      <c r="C697" s="55"/>
      <c r="D697" s="214"/>
      <c r="E697" s="122"/>
      <c r="F697" s="219"/>
      <c r="G697" s="122"/>
      <c r="H697" s="214"/>
      <c r="I697" s="220"/>
      <c r="J697" s="46"/>
      <c r="K697" s="46"/>
      <c r="L697" s="46"/>
      <c r="M697" s="46"/>
      <c r="N697" s="46"/>
      <c r="O697" s="46"/>
      <c r="P697" s="46"/>
      <c r="Q697" s="46"/>
      <c r="R697" s="46"/>
      <c r="S697" s="46"/>
      <c r="T697" s="46"/>
      <c r="U697" s="46"/>
      <c r="V697" s="46"/>
      <c r="W697" s="46"/>
    </row>
    <row r="698">
      <c r="A698" s="55"/>
      <c r="B698" s="214"/>
      <c r="C698" s="55"/>
      <c r="D698" s="214"/>
      <c r="E698" s="122"/>
      <c r="F698" s="219"/>
      <c r="G698" s="122"/>
      <c r="H698" s="214"/>
      <c r="I698" s="220"/>
      <c r="J698" s="46"/>
      <c r="K698" s="46"/>
      <c r="L698" s="46"/>
      <c r="M698" s="46"/>
      <c r="N698" s="46"/>
      <c r="O698" s="46"/>
      <c r="P698" s="46"/>
      <c r="Q698" s="46"/>
      <c r="R698" s="46"/>
      <c r="S698" s="46"/>
      <c r="T698" s="46"/>
      <c r="U698" s="46"/>
      <c r="V698" s="46"/>
      <c r="W698" s="46"/>
    </row>
    <row r="699">
      <c r="A699" s="55"/>
      <c r="B699" s="214"/>
      <c r="C699" s="55"/>
      <c r="D699" s="214"/>
      <c r="E699" s="122"/>
      <c r="F699" s="219"/>
      <c r="G699" s="122"/>
      <c r="H699" s="214"/>
      <c r="I699" s="220"/>
      <c r="J699" s="46"/>
      <c r="K699" s="46"/>
      <c r="L699" s="46"/>
      <c r="M699" s="46"/>
      <c r="N699" s="46"/>
      <c r="O699" s="46"/>
      <c r="P699" s="46"/>
      <c r="Q699" s="46"/>
      <c r="R699" s="46"/>
      <c r="S699" s="46"/>
      <c r="T699" s="46"/>
      <c r="U699" s="46"/>
      <c r="V699" s="46"/>
      <c r="W699" s="46"/>
    </row>
    <row r="700">
      <c r="A700" s="55"/>
      <c r="B700" s="214"/>
      <c r="C700" s="55"/>
      <c r="D700" s="214"/>
      <c r="E700" s="122"/>
      <c r="F700" s="219"/>
      <c r="G700" s="122"/>
      <c r="H700" s="214"/>
      <c r="I700" s="220"/>
      <c r="J700" s="46"/>
      <c r="K700" s="46"/>
      <c r="L700" s="46"/>
      <c r="M700" s="46"/>
      <c r="N700" s="46"/>
      <c r="O700" s="46"/>
      <c r="P700" s="46"/>
      <c r="Q700" s="46"/>
      <c r="R700" s="46"/>
      <c r="S700" s="46"/>
      <c r="T700" s="46"/>
      <c r="U700" s="46"/>
      <c r="V700" s="46"/>
      <c r="W700" s="46"/>
    </row>
    <row r="701">
      <c r="A701" s="55"/>
      <c r="B701" s="214"/>
      <c r="C701" s="55"/>
      <c r="D701" s="214"/>
      <c r="E701" s="122"/>
      <c r="F701" s="219"/>
      <c r="G701" s="122"/>
      <c r="H701" s="214"/>
      <c r="I701" s="220"/>
      <c r="J701" s="46"/>
      <c r="K701" s="46"/>
      <c r="L701" s="46"/>
      <c r="M701" s="46"/>
      <c r="N701" s="46"/>
      <c r="O701" s="46"/>
      <c r="P701" s="46"/>
      <c r="Q701" s="46"/>
      <c r="R701" s="46"/>
      <c r="S701" s="46"/>
      <c r="T701" s="46"/>
      <c r="U701" s="46"/>
      <c r="V701" s="46"/>
      <c r="W701" s="46"/>
    </row>
    <row r="702">
      <c r="A702" s="55"/>
      <c r="B702" s="214"/>
      <c r="C702" s="55"/>
      <c r="D702" s="214"/>
      <c r="E702" s="122"/>
      <c r="F702" s="219"/>
      <c r="G702" s="122"/>
      <c r="H702" s="214"/>
      <c r="I702" s="220"/>
      <c r="J702" s="46"/>
      <c r="K702" s="46"/>
      <c r="L702" s="46"/>
      <c r="M702" s="46"/>
      <c r="N702" s="46"/>
      <c r="O702" s="46"/>
      <c r="P702" s="46"/>
      <c r="Q702" s="46"/>
      <c r="R702" s="46"/>
      <c r="S702" s="46"/>
      <c r="T702" s="46"/>
      <c r="U702" s="46"/>
      <c r="V702" s="46"/>
      <c r="W702" s="46"/>
    </row>
    <row r="703">
      <c r="A703" s="55"/>
      <c r="B703" s="214"/>
      <c r="C703" s="55"/>
      <c r="D703" s="214"/>
      <c r="E703" s="122"/>
      <c r="F703" s="219"/>
      <c r="G703" s="122"/>
      <c r="H703" s="214"/>
      <c r="I703" s="220"/>
      <c r="J703" s="46"/>
      <c r="K703" s="46"/>
      <c r="L703" s="46"/>
      <c r="M703" s="46"/>
      <c r="N703" s="46"/>
      <c r="O703" s="46"/>
      <c r="P703" s="46"/>
      <c r="Q703" s="46"/>
      <c r="R703" s="46"/>
      <c r="S703" s="46"/>
      <c r="T703" s="46"/>
      <c r="U703" s="46"/>
      <c r="V703" s="46"/>
      <c r="W703" s="46"/>
    </row>
    <row r="704">
      <c r="A704" s="55"/>
      <c r="B704" s="214"/>
      <c r="C704" s="55"/>
      <c r="D704" s="214"/>
      <c r="E704" s="122"/>
      <c r="F704" s="219"/>
      <c r="G704" s="122"/>
      <c r="H704" s="214"/>
      <c r="I704" s="220"/>
      <c r="J704" s="46"/>
      <c r="K704" s="46"/>
      <c r="L704" s="46"/>
      <c r="M704" s="46"/>
      <c r="N704" s="46"/>
      <c r="O704" s="46"/>
      <c r="P704" s="46"/>
      <c r="Q704" s="46"/>
      <c r="R704" s="46"/>
      <c r="S704" s="46"/>
      <c r="T704" s="46"/>
      <c r="U704" s="46"/>
      <c r="V704" s="46"/>
      <c r="W704" s="46"/>
    </row>
    <row r="705">
      <c r="A705" s="55"/>
      <c r="B705" s="214"/>
      <c r="C705" s="55"/>
      <c r="D705" s="214"/>
      <c r="E705" s="122"/>
      <c r="F705" s="219"/>
      <c r="G705" s="122"/>
      <c r="H705" s="214"/>
      <c r="I705" s="220"/>
      <c r="J705" s="46"/>
      <c r="K705" s="46"/>
      <c r="L705" s="46"/>
      <c r="M705" s="46"/>
      <c r="N705" s="46"/>
      <c r="O705" s="46"/>
      <c r="P705" s="46"/>
      <c r="Q705" s="46"/>
      <c r="R705" s="46"/>
      <c r="S705" s="46"/>
      <c r="T705" s="46"/>
      <c r="U705" s="46"/>
      <c r="V705" s="46"/>
      <c r="W705" s="46"/>
    </row>
    <row r="706">
      <c r="A706" s="55"/>
      <c r="B706" s="214"/>
      <c r="C706" s="55"/>
      <c r="D706" s="214"/>
      <c r="E706" s="122"/>
      <c r="F706" s="219"/>
      <c r="G706" s="122"/>
      <c r="H706" s="214"/>
      <c r="I706" s="220"/>
      <c r="J706" s="46"/>
      <c r="K706" s="46"/>
      <c r="L706" s="46"/>
      <c r="M706" s="46"/>
      <c r="N706" s="46"/>
      <c r="O706" s="46"/>
      <c r="P706" s="46"/>
      <c r="Q706" s="46"/>
      <c r="R706" s="46"/>
      <c r="S706" s="46"/>
      <c r="T706" s="46"/>
      <c r="U706" s="46"/>
      <c r="V706" s="46"/>
      <c r="W706" s="46"/>
    </row>
    <row r="707">
      <c r="A707" s="55"/>
      <c r="B707" s="214"/>
      <c r="C707" s="55"/>
      <c r="D707" s="214"/>
      <c r="E707" s="122"/>
      <c r="F707" s="219"/>
      <c r="G707" s="122"/>
      <c r="H707" s="214"/>
      <c r="I707" s="220"/>
      <c r="J707" s="46"/>
      <c r="K707" s="46"/>
      <c r="L707" s="46"/>
      <c r="M707" s="46"/>
      <c r="N707" s="46"/>
      <c r="O707" s="46"/>
      <c r="P707" s="46"/>
      <c r="Q707" s="46"/>
      <c r="R707" s="46"/>
      <c r="S707" s="46"/>
      <c r="T707" s="46"/>
      <c r="U707" s="46"/>
      <c r="V707" s="46"/>
      <c r="W707" s="46"/>
    </row>
    <row r="708">
      <c r="A708" s="55"/>
      <c r="B708" s="214"/>
      <c r="C708" s="55"/>
      <c r="D708" s="214"/>
      <c r="E708" s="122"/>
      <c r="F708" s="219"/>
      <c r="G708" s="122"/>
      <c r="H708" s="214"/>
      <c r="I708" s="220"/>
      <c r="J708" s="46"/>
      <c r="K708" s="46"/>
      <c r="L708" s="46"/>
      <c r="M708" s="46"/>
      <c r="N708" s="46"/>
      <c r="O708" s="46"/>
      <c r="P708" s="46"/>
      <c r="Q708" s="46"/>
      <c r="R708" s="46"/>
      <c r="S708" s="46"/>
      <c r="T708" s="46"/>
      <c r="U708" s="46"/>
      <c r="V708" s="46"/>
      <c r="W708" s="46"/>
    </row>
    <row r="709">
      <c r="A709" s="55"/>
      <c r="B709" s="214"/>
      <c r="C709" s="55"/>
      <c r="D709" s="214"/>
      <c r="E709" s="122"/>
      <c r="F709" s="219"/>
      <c r="G709" s="122"/>
      <c r="H709" s="214"/>
      <c r="I709" s="220"/>
      <c r="J709" s="46"/>
      <c r="K709" s="46"/>
      <c r="L709" s="46"/>
      <c r="M709" s="46"/>
      <c r="N709" s="46"/>
      <c r="O709" s="46"/>
      <c r="P709" s="46"/>
      <c r="Q709" s="46"/>
      <c r="R709" s="46"/>
      <c r="S709" s="46"/>
      <c r="T709" s="46"/>
      <c r="U709" s="46"/>
      <c r="V709" s="46"/>
      <c r="W709" s="46"/>
    </row>
    <row r="710">
      <c r="A710" s="55"/>
      <c r="B710" s="214"/>
      <c r="C710" s="55"/>
      <c r="D710" s="214"/>
      <c r="E710" s="122"/>
      <c r="F710" s="219"/>
      <c r="G710" s="122"/>
      <c r="H710" s="214"/>
      <c r="I710" s="220"/>
      <c r="J710" s="46"/>
      <c r="K710" s="46"/>
      <c r="L710" s="46"/>
      <c r="M710" s="46"/>
      <c r="N710" s="46"/>
      <c r="O710" s="46"/>
      <c r="P710" s="46"/>
      <c r="Q710" s="46"/>
      <c r="R710" s="46"/>
      <c r="S710" s="46"/>
      <c r="T710" s="46"/>
      <c r="U710" s="46"/>
      <c r="V710" s="46"/>
      <c r="W710" s="46"/>
    </row>
    <row r="711">
      <c r="A711" s="55"/>
      <c r="B711" s="214"/>
      <c r="C711" s="55"/>
      <c r="D711" s="214"/>
      <c r="E711" s="122"/>
      <c r="F711" s="219"/>
      <c r="G711" s="122"/>
      <c r="H711" s="214"/>
      <c r="I711" s="220"/>
      <c r="J711" s="46"/>
      <c r="K711" s="46"/>
      <c r="L711" s="46"/>
      <c r="M711" s="46"/>
      <c r="N711" s="46"/>
      <c r="O711" s="46"/>
      <c r="P711" s="46"/>
      <c r="Q711" s="46"/>
      <c r="R711" s="46"/>
      <c r="S711" s="46"/>
      <c r="T711" s="46"/>
      <c r="U711" s="46"/>
      <c r="V711" s="46"/>
      <c r="W711" s="46"/>
    </row>
    <row r="712">
      <c r="A712" s="55"/>
      <c r="B712" s="214"/>
      <c r="C712" s="55"/>
      <c r="D712" s="214"/>
      <c r="E712" s="122"/>
      <c r="F712" s="219"/>
      <c r="G712" s="122"/>
      <c r="H712" s="214"/>
      <c r="I712" s="220"/>
      <c r="J712" s="46"/>
      <c r="K712" s="46"/>
      <c r="L712" s="46"/>
      <c r="M712" s="46"/>
      <c r="N712" s="46"/>
      <c r="O712" s="46"/>
      <c r="P712" s="46"/>
      <c r="Q712" s="46"/>
      <c r="R712" s="46"/>
      <c r="S712" s="46"/>
      <c r="T712" s="46"/>
      <c r="U712" s="46"/>
      <c r="V712" s="46"/>
      <c r="W712" s="46"/>
    </row>
    <row r="713">
      <c r="A713" s="55"/>
      <c r="B713" s="214"/>
      <c r="C713" s="55"/>
      <c r="D713" s="214"/>
      <c r="E713" s="122"/>
      <c r="F713" s="219"/>
      <c r="G713" s="122"/>
      <c r="H713" s="214"/>
      <c r="I713" s="220"/>
      <c r="J713" s="46"/>
      <c r="K713" s="46"/>
      <c r="L713" s="46"/>
      <c r="M713" s="46"/>
      <c r="N713" s="46"/>
      <c r="O713" s="46"/>
      <c r="P713" s="46"/>
      <c r="Q713" s="46"/>
      <c r="R713" s="46"/>
      <c r="S713" s="46"/>
      <c r="T713" s="46"/>
      <c r="U713" s="46"/>
      <c r="V713" s="46"/>
      <c r="W713" s="46"/>
    </row>
    <row r="714">
      <c r="A714" s="55"/>
      <c r="B714" s="214"/>
      <c r="C714" s="55"/>
      <c r="D714" s="214"/>
      <c r="E714" s="122"/>
      <c r="F714" s="219"/>
      <c r="G714" s="122"/>
      <c r="H714" s="214"/>
      <c r="I714" s="220"/>
      <c r="J714" s="46"/>
      <c r="K714" s="46"/>
      <c r="L714" s="46"/>
      <c r="M714" s="46"/>
      <c r="N714" s="46"/>
      <c r="O714" s="46"/>
      <c r="P714" s="46"/>
      <c r="Q714" s="46"/>
      <c r="R714" s="46"/>
      <c r="S714" s="46"/>
      <c r="T714" s="46"/>
      <c r="U714" s="46"/>
      <c r="V714" s="46"/>
      <c r="W714" s="46"/>
    </row>
    <row r="715">
      <c r="A715" s="55"/>
      <c r="B715" s="214"/>
      <c r="C715" s="55"/>
      <c r="D715" s="214"/>
      <c r="E715" s="122"/>
      <c r="F715" s="219"/>
      <c r="G715" s="122"/>
      <c r="H715" s="214"/>
      <c r="I715" s="220"/>
      <c r="J715" s="46"/>
      <c r="K715" s="46"/>
      <c r="L715" s="46"/>
      <c r="M715" s="46"/>
      <c r="N715" s="46"/>
      <c r="O715" s="46"/>
      <c r="P715" s="46"/>
      <c r="Q715" s="46"/>
      <c r="R715" s="46"/>
      <c r="S715" s="46"/>
      <c r="T715" s="46"/>
      <c r="U715" s="46"/>
      <c r="V715" s="46"/>
      <c r="W715" s="46"/>
    </row>
    <row r="716">
      <c r="A716" s="55"/>
      <c r="B716" s="214"/>
      <c r="C716" s="55"/>
      <c r="D716" s="214"/>
      <c r="E716" s="122"/>
      <c r="F716" s="219"/>
      <c r="G716" s="122"/>
      <c r="H716" s="214"/>
      <c r="I716" s="220"/>
      <c r="J716" s="46"/>
      <c r="K716" s="46"/>
      <c r="L716" s="46"/>
      <c r="M716" s="46"/>
      <c r="N716" s="46"/>
      <c r="O716" s="46"/>
      <c r="P716" s="46"/>
      <c r="Q716" s="46"/>
      <c r="R716" s="46"/>
      <c r="S716" s="46"/>
      <c r="T716" s="46"/>
      <c r="U716" s="46"/>
      <c r="V716" s="46"/>
      <c r="W716" s="46"/>
    </row>
    <row r="717">
      <c r="A717" s="55"/>
      <c r="B717" s="214"/>
      <c r="C717" s="55"/>
      <c r="D717" s="214"/>
      <c r="E717" s="122"/>
      <c r="F717" s="219"/>
      <c r="G717" s="122"/>
      <c r="H717" s="214"/>
      <c r="I717" s="220"/>
      <c r="J717" s="46"/>
      <c r="K717" s="46"/>
      <c r="L717" s="46"/>
      <c r="M717" s="46"/>
      <c r="N717" s="46"/>
      <c r="O717" s="46"/>
      <c r="P717" s="46"/>
      <c r="Q717" s="46"/>
      <c r="R717" s="46"/>
      <c r="S717" s="46"/>
      <c r="T717" s="46"/>
      <c r="U717" s="46"/>
      <c r="V717" s="46"/>
      <c r="W717" s="46"/>
    </row>
    <row r="718">
      <c r="A718" s="55"/>
      <c r="B718" s="214"/>
      <c r="C718" s="55"/>
      <c r="D718" s="214"/>
      <c r="E718" s="122"/>
      <c r="F718" s="219"/>
      <c r="G718" s="122"/>
      <c r="H718" s="214"/>
      <c r="I718" s="220"/>
      <c r="J718" s="46"/>
      <c r="K718" s="46"/>
      <c r="L718" s="46"/>
      <c r="M718" s="46"/>
      <c r="N718" s="46"/>
      <c r="O718" s="46"/>
      <c r="P718" s="46"/>
      <c r="Q718" s="46"/>
      <c r="R718" s="46"/>
      <c r="S718" s="46"/>
      <c r="T718" s="46"/>
      <c r="U718" s="46"/>
      <c r="V718" s="46"/>
      <c r="W718" s="46"/>
    </row>
    <row r="719">
      <c r="A719" s="55"/>
      <c r="B719" s="214"/>
      <c r="C719" s="55"/>
      <c r="D719" s="214"/>
      <c r="E719" s="122"/>
      <c r="F719" s="219"/>
      <c r="G719" s="122"/>
      <c r="H719" s="214"/>
      <c r="I719" s="220"/>
      <c r="J719" s="46"/>
      <c r="K719" s="46"/>
      <c r="L719" s="46"/>
      <c r="M719" s="46"/>
      <c r="N719" s="46"/>
      <c r="O719" s="46"/>
      <c r="P719" s="46"/>
      <c r="Q719" s="46"/>
      <c r="R719" s="46"/>
      <c r="S719" s="46"/>
      <c r="T719" s="46"/>
      <c r="U719" s="46"/>
      <c r="V719" s="46"/>
      <c r="W719" s="46"/>
    </row>
    <row r="720">
      <c r="A720" s="55"/>
      <c r="B720" s="214"/>
      <c r="C720" s="55"/>
      <c r="D720" s="214"/>
      <c r="E720" s="122"/>
      <c r="F720" s="219"/>
      <c r="G720" s="122"/>
      <c r="H720" s="214"/>
      <c r="I720" s="220"/>
      <c r="J720" s="46"/>
      <c r="K720" s="46"/>
      <c r="L720" s="46"/>
      <c r="M720" s="46"/>
      <c r="N720" s="46"/>
      <c r="O720" s="46"/>
      <c r="P720" s="46"/>
      <c r="Q720" s="46"/>
      <c r="R720" s="46"/>
      <c r="S720" s="46"/>
      <c r="T720" s="46"/>
      <c r="U720" s="46"/>
      <c r="V720" s="46"/>
      <c r="W720" s="46"/>
    </row>
    <row r="721">
      <c r="A721" s="55"/>
      <c r="B721" s="214"/>
      <c r="C721" s="55"/>
      <c r="D721" s="214"/>
      <c r="E721" s="122"/>
      <c r="F721" s="219"/>
      <c r="G721" s="122"/>
      <c r="H721" s="214"/>
      <c r="I721" s="220"/>
      <c r="J721" s="46"/>
      <c r="K721" s="46"/>
      <c r="L721" s="46"/>
      <c r="M721" s="46"/>
      <c r="N721" s="46"/>
      <c r="O721" s="46"/>
      <c r="P721" s="46"/>
      <c r="Q721" s="46"/>
      <c r="R721" s="46"/>
      <c r="S721" s="46"/>
      <c r="T721" s="46"/>
      <c r="U721" s="46"/>
      <c r="V721" s="46"/>
      <c r="W721" s="46"/>
    </row>
    <row r="722">
      <c r="A722" s="55"/>
      <c r="B722" s="214"/>
      <c r="C722" s="55"/>
      <c r="D722" s="214"/>
      <c r="E722" s="122"/>
      <c r="F722" s="219"/>
      <c r="G722" s="122"/>
      <c r="H722" s="214"/>
      <c r="I722" s="220"/>
      <c r="J722" s="46"/>
      <c r="K722" s="46"/>
      <c r="L722" s="46"/>
      <c r="M722" s="46"/>
      <c r="N722" s="46"/>
      <c r="O722" s="46"/>
      <c r="P722" s="46"/>
      <c r="Q722" s="46"/>
      <c r="R722" s="46"/>
      <c r="S722" s="46"/>
      <c r="T722" s="46"/>
      <c r="U722" s="46"/>
      <c r="V722" s="46"/>
      <c r="W722" s="46"/>
    </row>
    <row r="723">
      <c r="A723" s="55"/>
      <c r="B723" s="214"/>
      <c r="C723" s="55"/>
      <c r="D723" s="214"/>
      <c r="E723" s="122"/>
      <c r="F723" s="219"/>
      <c r="G723" s="122"/>
      <c r="H723" s="214"/>
      <c r="I723" s="220"/>
      <c r="J723" s="46"/>
      <c r="K723" s="46"/>
      <c r="L723" s="46"/>
      <c r="M723" s="46"/>
      <c r="N723" s="46"/>
      <c r="O723" s="46"/>
      <c r="P723" s="46"/>
      <c r="Q723" s="46"/>
      <c r="R723" s="46"/>
      <c r="S723" s="46"/>
      <c r="T723" s="46"/>
      <c r="U723" s="46"/>
      <c r="V723" s="46"/>
      <c r="W723" s="46"/>
    </row>
    <row r="724">
      <c r="A724" s="55"/>
      <c r="B724" s="214"/>
      <c r="C724" s="55"/>
      <c r="D724" s="214"/>
      <c r="E724" s="122"/>
      <c r="F724" s="219"/>
      <c r="G724" s="122"/>
      <c r="H724" s="214"/>
      <c r="I724" s="220"/>
      <c r="J724" s="46"/>
      <c r="K724" s="46"/>
      <c r="L724" s="46"/>
      <c r="M724" s="46"/>
      <c r="N724" s="46"/>
      <c r="O724" s="46"/>
      <c r="P724" s="46"/>
      <c r="Q724" s="46"/>
      <c r="R724" s="46"/>
      <c r="S724" s="46"/>
      <c r="T724" s="46"/>
      <c r="U724" s="46"/>
      <c r="V724" s="46"/>
      <c r="W724" s="46"/>
    </row>
    <row r="725">
      <c r="A725" s="55"/>
      <c r="B725" s="214"/>
      <c r="C725" s="55"/>
      <c r="D725" s="214"/>
      <c r="E725" s="122"/>
      <c r="F725" s="219"/>
      <c r="G725" s="122"/>
      <c r="H725" s="214"/>
      <c r="I725" s="220"/>
      <c r="J725" s="46"/>
      <c r="K725" s="46"/>
      <c r="L725" s="46"/>
      <c r="M725" s="46"/>
      <c r="N725" s="46"/>
      <c r="O725" s="46"/>
      <c r="P725" s="46"/>
      <c r="Q725" s="46"/>
      <c r="R725" s="46"/>
      <c r="S725" s="46"/>
      <c r="T725" s="46"/>
      <c r="U725" s="46"/>
      <c r="V725" s="46"/>
      <c r="W725" s="46"/>
    </row>
    <row r="726">
      <c r="A726" s="55"/>
      <c r="B726" s="214"/>
      <c r="C726" s="55"/>
      <c r="D726" s="214"/>
      <c r="E726" s="122"/>
      <c r="F726" s="219"/>
      <c r="G726" s="122"/>
      <c r="H726" s="214"/>
      <c r="I726" s="220"/>
      <c r="J726" s="46"/>
      <c r="K726" s="46"/>
      <c r="L726" s="46"/>
      <c r="M726" s="46"/>
      <c r="N726" s="46"/>
      <c r="O726" s="46"/>
      <c r="P726" s="46"/>
      <c r="Q726" s="46"/>
      <c r="R726" s="46"/>
      <c r="S726" s="46"/>
      <c r="T726" s="46"/>
      <c r="U726" s="46"/>
      <c r="V726" s="46"/>
      <c r="W726" s="46"/>
    </row>
    <row r="727">
      <c r="A727" s="55"/>
      <c r="B727" s="214"/>
      <c r="C727" s="55"/>
      <c r="D727" s="214"/>
      <c r="E727" s="122"/>
      <c r="F727" s="219"/>
      <c r="G727" s="122"/>
      <c r="H727" s="214"/>
      <c r="I727" s="220"/>
      <c r="J727" s="46"/>
      <c r="K727" s="46"/>
      <c r="L727" s="46"/>
      <c r="M727" s="46"/>
      <c r="N727" s="46"/>
      <c r="O727" s="46"/>
      <c r="P727" s="46"/>
      <c r="Q727" s="46"/>
      <c r="R727" s="46"/>
      <c r="S727" s="46"/>
      <c r="T727" s="46"/>
      <c r="U727" s="46"/>
      <c r="V727" s="46"/>
      <c r="W727" s="46"/>
    </row>
    <row r="728">
      <c r="A728" s="55"/>
      <c r="B728" s="214"/>
      <c r="C728" s="55"/>
      <c r="D728" s="214"/>
      <c r="E728" s="122"/>
      <c r="F728" s="219"/>
      <c r="G728" s="122"/>
      <c r="H728" s="214"/>
      <c r="I728" s="220"/>
      <c r="J728" s="46"/>
      <c r="K728" s="46"/>
      <c r="L728" s="46"/>
      <c r="M728" s="46"/>
      <c r="N728" s="46"/>
      <c r="O728" s="46"/>
      <c r="P728" s="46"/>
      <c r="Q728" s="46"/>
      <c r="R728" s="46"/>
      <c r="S728" s="46"/>
      <c r="T728" s="46"/>
      <c r="U728" s="46"/>
      <c r="V728" s="46"/>
      <c r="W728" s="46"/>
    </row>
    <row r="729">
      <c r="A729" s="55"/>
      <c r="B729" s="214"/>
      <c r="C729" s="55"/>
      <c r="D729" s="214"/>
      <c r="E729" s="122"/>
      <c r="F729" s="219"/>
      <c r="G729" s="122"/>
      <c r="H729" s="214"/>
      <c r="I729" s="220"/>
      <c r="J729" s="46"/>
      <c r="K729" s="46"/>
      <c r="L729" s="46"/>
      <c r="M729" s="46"/>
      <c r="N729" s="46"/>
      <c r="O729" s="46"/>
      <c r="P729" s="46"/>
      <c r="Q729" s="46"/>
      <c r="R729" s="46"/>
      <c r="S729" s="46"/>
      <c r="T729" s="46"/>
      <c r="U729" s="46"/>
      <c r="V729" s="46"/>
      <c r="W729" s="46"/>
    </row>
    <row r="730">
      <c r="A730" s="55"/>
      <c r="B730" s="214"/>
      <c r="C730" s="55"/>
      <c r="D730" s="214"/>
      <c r="E730" s="122"/>
      <c r="F730" s="219"/>
      <c r="G730" s="122"/>
      <c r="H730" s="214"/>
      <c r="I730" s="220"/>
      <c r="J730" s="46"/>
      <c r="K730" s="46"/>
      <c r="L730" s="46"/>
      <c r="M730" s="46"/>
      <c r="N730" s="46"/>
      <c r="O730" s="46"/>
      <c r="P730" s="46"/>
      <c r="Q730" s="46"/>
      <c r="R730" s="46"/>
      <c r="S730" s="46"/>
      <c r="T730" s="46"/>
      <c r="U730" s="46"/>
      <c r="V730" s="46"/>
      <c r="W730" s="46"/>
    </row>
    <row r="731">
      <c r="A731" s="55"/>
      <c r="B731" s="214"/>
      <c r="C731" s="55"/>
      <c r="D731" s="214"/>
      <c r="E731" s="122"/>
      <c r="F731" s="219"/>
      <c r="G731" s="122"/>
      <c r="H731" s="214"/>
      <c r="I731" s="220"/>
      <c r="J731" s="46"/>
      <c r="K731" s="46"/>
      <c r="L731" s="46"/>
      <c r="M731" s="46"/>
      <c r="N731" s="46"/>
      <c r="O731" s="46"/>
      <c r="P731" s="46"/>
      <c r="Q731" s="46"/>
      <c r="R731" s="46"/>
      <c r="S731" s="46"/>
      <c r="T731" s="46"/>
      <c r="U731" s="46"/>
      <c r="V731" s="46"/>
      <c r="W731" s="46"/>
    </row>
    <row r="732">
      <c r="A732" s="55"/>
      <c r="B732" s="214"/>
      <c r="C732" s="55"/>
      <c r="D732" s="214"/>
      <c r="E732" s="122"/>
      <c r="F732" s="219"/>
      <c r="G732" s="122"/>
      <c r="H732" s="214"/>
      <c r="I732" s="220"/>
      <c r="J732" s="46"/>
      <c r="K732" s="46"/>
      <c r="L732" s="46"/>
      <c r="M732" s="46"/>
      <c r="N732" s="46"/>
      <c r="O732" s="46"/>
      <c r="P732" s="46"/>
      <c r="Q732" s="46"/>
      <c r="R732" s="46"/>
      <c r="S732" s="46"/>
      <c r="T732" s="46"/>
      <c r="U732" s="46"/>
      <c r="V732" s="46"/>
      <c r="W732" s="46"/>
    </row>
    <row r="733">
      <c r="A733" s="55"/>
      <c r="B733" s="214"/>
      <c r="C733" s="55"/>
      <c r="D733" s="214"/>
      <c r="E733" s="122"/>
      <c r="F733" s="219"/>
      <c r="G733" s="122"/>
      <c r="H733" s="214"/>
      <c r="I733" s="220"/>
      <c r="J733" s="46"/>
      <c r="K733" s="46"/>
      <c r="L733" s="46"/>
      <c r="M733" s="46"/>
      <c r="N733" s="46"/>
      <c r="O733" s="46"/>
      <c r="P733" s="46"/>
      <c r="Q733" s="46"/>
      <c r="R733" s="46"/>
      <c r="S733" s="46"/>
      <c r="T733" s="46"/>
      <c r="U733" s="46"/>
      <c r="V733" s="46"/>
      <c r="W733" s="46"/>
    </row>
    <row r="734">
      <c r="A734" s="55"/>
      <c r="B734" s="214"/>
      <c r="C734" s="55"/>
      <c r="D734" s="214"/>
      <c r="E734" s="122"/>
      <c r="F734" s="219"/>
      <c r="G734" s="122"/>
      <c r="H734" s="214"/>
      <c r="I734" s="220"/>
      <c r="J734" s="46"/>
      <c r="K734" s="46"/>
      <c r="L734" s="46"/>
      <c r="M734" s="46"/>
      <c r="N734" s="46"/>
      <c r="O734" s="46"/>
      <c r="P734" s="46"/>
      <c r="Q734" s="46"/>
      <c r="R734" s="46"/>
      <c r="S734" s="46"/>
      <c r="T734" s="46"/>
      <c r="U734" s="46"/>
      <c r="V734" s="46"/>
      <c r="W734" s="46"/>
    </row>
    <row r="735">
      <c r="A735" s="55"/>
      <c r="B735" s="214"/>
      <c r="C735" s="55"/>
      <c r="D735" s="214"/>
      <c r="E735" s="122"/>
      <c r="F735" s="219"/>
      <c r="G735" s="122"/>
      <c r="H735" s="214"/>
      <c r="I735" s="220"/>
      <c r="J735" s="46"/>
      <c r="K735" s="46"/>
      <c r="L735" s="46"/>
      <c r="M735" s="46"/>
      <c r="N735" s="46"/>
      <c r="O735" s="46"/>
      <c r="P735" s="46"/>
      <c r="Q735" s="46"/>
      <c r="R735" s="46"/>
      <c r="S735" s="46"/>
      <c r="T735" s="46"/>
      <c r="U735" s="46"/>
      <c r="V735" s="46"/>
      <c r="W735" s="46"/>
    </row>
    <row r="736">
      <c r="A736" s="55"/>
      <c r="B736" s="214"/>
      <c r="C736" s="55"/>
      <c r="D736" s="214"/>
      <c r="E736" s="122"/>
      <c r="F736" s="219"/>
      <c r="G736" s="122"/>
      <c r="H736" s="214"/>
      <c r="I736" s="220"/>
      <c r="J736" s="46"/>
      <c r="K736" s="46"/>
      <c r="L736" s="46"/>
      <c r="M736" s="46"/>
      <c r="N736" s="46"/>
      <c r="O736" s="46"/>
      <c r="P736" s="46"/>
      <c r="Q736" s="46"/>
      <c r="R736" s="46"/>
      <c r="S736" s="46"/>
      <c r="T736" s="46"/>
      <c r="U736" s="46"/>
      <c r="V736" s="46"/>
      <c r="W736" s="46"/>
    </row>
    <row r="737">
      <c r="A737" s="55"/>
      <c r="B737" s="214"/>
      <c r="C737" s="55"/>
      <c r="D737" s="214"/>
      <c r="E737" s="122"/>
      <c r="F737" s="219"/>
      <c r="G737" s="122"/>
      <c r="H737" s="214"/>
      <c r="I737" s="220"/>
      <c r="J737" s="46"/>
      <c r="K737" s="46"/>
      <c r="L737" s="46"/>
      <c r="M737" s="46"/>
      <c r="N737" s="46"/>
      <c r="O737" s="46"/>
      <c r="P737" s="46"/>
      <c r="Q737" s="46"/>
      <c r="R737" s="46"/>
      <c r="S737" s="46"/>
      <c r="T737" s="46"/>
      <c r="U737" s="46"/>
      <c r="V737" s="46"/>
      <c r="W737" s="46"/>
    </row>
    <row r="738">
      <c r="A738" s="55"/>
      <c r="B738" s="214"/>
      <c r="C738" s="55"/>
      <c r="D738" s="214"/>
      <c r="E738" s="122"/>
      <c r="F738" s="219"/>
      <c r="G738" s="122"/>
      <c r="H738" s="214"/>
      <c r="I738" s="220"/>
      <c r="J738" s="46"/>
      <c r="K738" s="46"/>
      <c r="L738" s="46"/>
      <c r="M738" s="46"/>
      <c r="N738" s="46"/>
      <c r="O738" s="46"/>
      <c r="P738" s="46"/>
      <c r="Q738" s="46"/>
      <c r="R738" s="46"/>
      <c r="S738" s="46"/>
      <c r="T738" s="46"/>
      <c r="U738" s="46"/>
      <c r="V738" s="46"/>
      <c r="W738" s="46"/>
    </row>
    <row r="739">
      <c r="A739" s="55"/>
      <c r="B739" s="214"/>
      <c r="C739" s="55"/>
      <c r="D739" s="214"/>
      <c r="E739" s="122"/>
      <c r="F739" s="219"/>
      <c r="G739" s="122"/>
      <c r="H739" s="214"/>
      <c r="I739" s="220"/>
      <c r="J739" s="46"/>
      <c r="K739" s="46"/>
      <c r="L739" s="46"/>
      <c r="M739" s="46"/>
      <c r="N739" s="46"/>
      <c r="O739" s="46"/>
      <c r="P739" s="46"/>
      <c r="Q739" s="46"/>
      <c r="R739" s="46"/>
      <c r="S739" s="46"/>
      <c r="T739" s="46"/>
      <c r="U739" s="46"/>
      <c r="V739" s="46"/>
      <c r="W739" s="46"/>
    </row>
    <row r="740">
      <c r="A740" s="55"/>
      <c r="B740" s="214"/>
      <c r="C740" s="55"/>
      <c r="D740" s="214"/>
      <c r="E740" s="122"/>
      <c r="F740" s="219"/>
      <c r="G740" s="122"/>
      <c r="H740" s="214"/>
      <c r="I740" s="220"/>
      <c r="J740" s="46"/>
      <c r="K740" s="46"/>
      <c r="L740" s="46"/>
      <c r="M740" s="46"/>
      <c r="N740" s="46"/>
      <c r="O740" s="46"/>
      <c r="P740" s="46"/>
      <c r="Q740" s="46"/>
      <c r="R740" s="46"/>
      <c r="S740" s="46"/>
      <c r="T740" s="46"/>
      <c r="U740" s="46"/>
      <c r="V740" s="46"/>
      <c r="W740" s="46"/>
    </row>
    <row r="741">
      <c r="A741" s="55"/>
      <c r="B741" s="214"/>
      <c r="C741" s="55"/>
      <c r="D741" s="214"/>
      <c r="E741" s="122"/>
      <c r="F741" s="219"/>
      <c r="G741" s="122"/>
      <c r="H741" s="214"/>
      <c r="I741" s="220"/>
      <c r="J741" s="46"/>
      <c r="K741" s="46"/>
      <c r="L741" s="46"/>
      <c r="M741" s="46"/>
      <c r="N741" s="46"/>
      <c r="O741" s="46"/>
      <c r="P741" s="46"/>
      <c r="Q741" s="46"/>
      <c r="R741" s="46"/>
      <c r="S741" s="46"/>
      <c r="T741" s="46"/>
      <c r="U741" s="46"/>
      <c r="V741" s="46"/>
      <c r="W741" s="46"/>
    </row>
    <row r="742">
      <c r="A742" s="55"/>
      <c r="B742" s="214"/>
      <c r="C742" s="55"/>
      <c r="D742" s="214"/>
      <c r="E742" s="122"/>
      <c r="F742" s="219"/>
      <c r="G742" s="122"/>
      <c r="H742" s="214"/>
      <c r="I742" s="220"/>
      <c r="J742" s="46"/>
      <c r="K742" s="46"/>
      <c r="L742" s="46"/>
      <c r="M742" s="46"/>
      <c r="N742" s="46"/>
      <c r="O742" s="46"/>
      <c r="P742" s="46"/>
      <c r="Q742" s="46"/>
      <c r="R742" s="46"/>
      <c r="S742" s="46"/>
      <c r="T742" s="46"/>
      <c r="U742" s="46"/>
      <c r="V742" s="46"/>
      <c r="W742" s="46"/>
    </row>
    <row r="743">
      <c r="A743" s="55"/>
      <c r="B743" s="214"/>
      <c r="C743" s="55"/>
      <c r="D743" s="214"/>
      <c r="E743" s="122"/>
      <c r="F743" s="219"/>
      <c r="G743" s="122"/>
      <c r="H743" s="214"/>
      <c r="I743" s="220"/>
      <c r="J743" s="46"/>
      <c r="K743" s="46"/>
      <c r="L743" s="46"/>
      <c r="M743" s="46"/>
      <c r="N743" s="46"/>
      <c r="O743" s="46"/>
      <c r="P743" s="46"/>
      <c r="Q743" s="46"/>
      <c r="R743" s="46"/>
      <c r="S743" s="46"/>
      <c r="T743" s="46"/>
      <c r="U743" s="46"/>
      <c r="V743" s="46"/>
      <c r="W743" s="46"/>
    </row>
    <row r="744">
      <c r="A744" s="55"/>
      <c r="B744" s="214"/>
      <c r="C744" s="55"/>
      <c r="D744" s="214"/>
      <c r="E744" s="122"/>
      <c r="F744" s="219"/>
      <c r="G744" s="122"/>
      <c r="H744" s="214"/>
      <c r="I744" s="220"/>
      <c r="J744" s="46"/>
      <c r="K744" s="46"/>
      <c r="L744" s="46"/>
      <c r="M744" s="46"/>
      <c r="N744" s="46"/>
      <c r="O744" s="46"/>
      <c r="P744" s="46"/>
      <c r="Q744" s="46"/>
      <c r="R744" s="46"/>
      <c r="S744" s="46"/>
      <c r="T744" s="46"/>
      <c r="U744" s="46"/>
      <c r="V744" s="46"/>
      <c r="W744" s="46"/>
    </row>
    <row r="745">
      <c r="A745" s="55"/>
      <c r="B745" s="214"/>
      <c r="C745" s="55"/>
      <c r="D745" s="214"/>
      <c r="E745" s="122"/>
      <c r="F745" s="219"/>
      <c r="G745" s="122"/>
      <c r="H745" s="214"/>
      <c r="I745" s="220"/>
      <c r="J745" s="46"/>
      <c r="K745" s="46"/>
      <c r="L745" s="46"/>
      <c r="M745" s="46"/>
      <c r="N745" s="46"/>
      <c r="O745" s="46"/>
      <c r="P745" s="46"/>
      <c r="Q745" s="46"/>
      <c r="R745" s="46"/>
      <c r="S745" s="46"/>
      <c r="T745" s="46"/>
      <c r="U745" s="46"/>
      <c r="V745" s="46"/>
      <c r="W745" s="46"/>
    </row>
    <row r="746">
      <c r="A746" s="55"/>
      <c r="B746" s="214"/>
      <c r="C746" s="55"/>
      <c r="D746" s="214"/>
      <c r="E746" s="122"/>
      <c r="F746" s="219"/>
      <c r="G746" s="122"/>
      <c r="H746" s="214"/>
      <c r="I746" s="220"/>
      <c r="J746" s="46"/>
      <c r="K746" s="46"/>
      <c r="L746" s="46"/>
      <c r="M746" s="46"/>
      <c r="N746" s="46"/>
      <c r="O746" s="46"/>
      <c r="P746" s="46"/>
      <c r="Q746" s="46"/>
      <c r="R746" s="46"/>
      <c r="S746" s="46"/>
      <c r="T746" s="46"/>
      <c r="U746" s="46"/>
      <c r="V746" s="46"/>
      <c r="W746" s="46"/>
    </row>
    <row r="747">
      <c r="A747" s="55"/>
      <c r="B747" s="214"/>
      <c r="C747" s="55"/>
      <c r="D747" s="214"/>
      <c r="E747" s="122"/>
      <c r="F747" s="219"/>
      <c r="G747" s="122"/>
      <c r="H747" s="214"/>
      <c r="I747" s="220"/>
      <c r="J747" s="46"/>
      <c r="K747" s="46"/>
      <c r="L747" s="46"/>
      <c r="M747" s="46"/>
      <c r="N747" s="46"/>
      <c r="O747" s="46"/>
      <c r="P747" s="46"/>
      <c r="Q747" s="46"/>
      <c r="R747" s="46"/>
      <c r="S747" s="46"/>
      <c r="T747" s="46"/>
      <c r="U747" s="46"/>
      <c r="V747" s="46"/>
      <c r="W747" s="46"/>
    </row>
    <row r="748">
      <c r="A748" s="55"/>
      <c r="B748" s="214"/>
      <c r="C748" s="55"/>
      <c r="D748" s="214"/>
      <c r="E748" s="122"/>
      <c r="F748" s="219"/>
      <c r="G748" s="122"/>
      <c r="H748" s="214"/>
      <c r="I748" s="220"/>
      <c r="J748" s="46"/>
      <c r="K748" s="46"/>
      <c r="L748" s="46"/>
      <c r="M748" s="46"/>
      <c r="N748" s="46"/>
      <c r="O748" s="46"/>
      <c r="P748" s="46"/>
      <c r="Q748" s="46"/>
      <c r="R748" s="46"/>
      <c r="S748" s="46"/>
      <c r="T748" s="46"/>
      <c r="U748" s="46"/>
      <c r="V748" s="46"/>
      <c r="W748" s="46"/>
    </row>
    <row r="749">
      <c r="A749" s="55"/>
      <c r="B749" s="214"/>
      <c r="C749" s="55"/>
      <c r="D749" s="214"/>
      <c r="E749" s="122"/>
      <c r="F749" s="219"/>
      <c r="G749" s="122"/>
      <c r="H749" s="214"/>
      <c r="I749" s="220"/>
      <c r="J749" s="46"/>
      <c r="K749" s="46"/>
      <c r="L749" s="46"/>
      <c r="M749" s="46"/>
      <c r="N749" s="46"/>
      <c r="O749" s="46"/>
      <c r="P749" s="46"/>
      <c r="Q749" s="46"/>
      <c r="R749" s="46"/>
      <c r="S749" s="46"/>
      <c r="T749" s="46"/>
      <c r="U749" s="46"/>
      <c r="V749" s="46"/>
      <c r="W749" s="46"/>
    </row>
    <row r="750">
      <c r="A750" s="55"/>
      <c r="B750" s="214"/>
      <c r="C750" s="55"/>
      <c r="D750" s="214"/>
      <c r="E750" s="122"/>
      <c r="F750" s="219"/>
      <c r="G750" s="122"/>
      <c r="H750" s="214"/>
      <c r="I750" s="220"/>
      <c r="J750" s="46"/>
      <c r="K750" s="46"/>
      <c r="L750" s="46"/>
      <c r="M750" s="46"/>
      <c r="N750" s="46"/>
      <c r="O750" s="46"/>
      <c r="P750" s="46"/>
      <c r="Q750" s="46"/>
      <c r="R750" s="46"/>
      <c r="S750" s="46"/>
      <c r="T750" s="46"/>
      <c r="U750" s="46"/>
      <c r="V750" s="46"/>
      <c r="W750" s="46"/>
    </row>
    <row r="751">
      <c r="A751" s="55"/>
      <c r="B751" s="214"/>
      <c r="C751" s="55"/>
      <c r="D751" s="214"/>
      <c r="E751" s="122"/>
      <c r="F751" s="219"/>
      <c r="G751" s="122"/>
      <c r="H751" s="214"/>
      <c r="I751" s="220"/>
      <c r="J751" s="46"/>
      <c r="K751" s="46"/>
      <c r="L751" s="46"/>
      <c r="M751" s="46"/>
      <c r="N751" s="46"/>
      <c r="O751" s="46"/>
      <c r="P751" s="46"/>
      <c r="Q751" s="46"/>
      <c r="R751" s="46"/>
      <c r="S751" s="46"/>
      <c r="T751" s="46"/>
      <c r="U751" s="46"/>
      <c r="V751" s="46"/>
      <c r="W751" s="46"/>
    </row>
    <row r="752">
      <c r="A752" s="55"/>
      <c r="B752" s="214"/>
      <c r="C752" s="55"/>
      <c r="D752" s="214"/>
      <c r="E752" s="122"/>
      <c r="F752" s="219"/>
      <c r="G752" s="122"/>
      <c r="H752" s="214"/>
      <c r="I752" s="220"/>
      <c r="J752" s="46"/>
      <c r="K752" s="46"/>
      <c r="L752" s="46"/>
      <c r="M752" s="46"/>
      <c r="N752" s="46"/>
      <c r="O752" s="46"/>
      <c r="P752" s="46"/>
      <c r="Q752" s="46"/>
      <c r="R752" s="46"/>
      <c r="S752" s="46"/>
      <c r="T752" s="46"/>
      <c r="U752" s="46"/>
      <c r="V752" s="46"/>
      <c r="W752" s="46"/>
    </row>
    <row r="753">
      <c r="A753" s="55"/>
      <c r="B753" s="214"/>
      <c r="C753" s="55"/>
      <c r="D753" s="214"/>
      <c r="E753" s="122"/>
      <c r="F753" s="219"/>
      <c r="G753" s="122"/>
      <c r="H753" s="214"/>
      <c r="I753" s="220"/>
      <c r="J753" s="46"/>
      <c r="K753" s="46"/>
      <c r="L753" s="46"/>
      <c r="M753" s="46"/>
      <c r="N753" s="46"/>
      <c r="O753" s="46"/>
      <c r="P753" s="46"/>
      <c r="Q753" s="46"/>
      <c r="R753" s="46"/>
      <c r="S753" s="46"/>
      <c r="T753" s="46"/>
      <c r="U753" s="46"/>
      <c r="V753" s="46"/>
      <c r="W753" s="46"/>
    </row>
    <row r="754">
      <c r="A754" s="55"/>
      <c r="B754" s="214"/>
      <c r="C754" s="55"/>
      <c r="D754" s="214"/>
      <c r="E754" s="122"/>
      <c r="F754" s="219"/>
      <c r="G754" s="122"/>
      <c r="H754" s="214"/>
      <c r="I754" s="220"/>
      <c r="J754" s="46"/>
      <c r="K754" s="46"/>
      <c r="L754" s="46"/>
      <c r="M754" s="46"/>
      <c r="N754" s="46"/>
      <c r="O754" s="46"/>
      <c r="P754" s="46"/>
      <c r="Q754" s="46"/>
      <c r="R754" s="46"/>
      <c r="S754" s="46"/>
      <c r="T754" s="46"/>
      <c r="U754" s="46"/>
      <c r="V754" s="46"/>
      <c r="W754" s="46"/>
    </row>
    <row r="755">
      <c r="A755" s="55"/>
      <c r="B755" s="214"/>
      <c r="C755" s="55"/>
      <c r="D755" s="214"/>
      <c r="E755" s="122"/>
      <c r="F755" s="219"/>
      <c r="G755" s="122"/>
      <c r="H755" s="214"/>
      <c r="I755" s="220"/>
      <c r="J755" s="46"/>
      <c r="K755" s="46"/>
      <c r="L755" s="46"/>
      <c r="M755" s="46"/>
      <c r="N755" s="46"/>
      <c r="O755" s="46"/>
      <c r="P755" s="46"/>
      <c r="Q755" s="46"/>
      <c r="R755" s="46"/>
      <c r="S755" s="46"/>
      <c r="T755" s="46"/>
      <c r="U755" s="46"/>
      <c r="V755" s="46"/>
      <c r="W755" s="46"/>
    </row>
    <row r="756">
      <c r="A756" s="55"/>
      <c r="B756" s="214"/>
      <c r="C756" s="55"/>
      <c r="D756" s="214"/>
      <c r="E756" s="122"/>
      <c r="F756" s="219"/>
      <c r="G756" s="122"/>
      <c r="H756" s="214"/>
      <c r="I756" s="220"/>
      <c r="J756" s="46"/>
      <c r="K756" s="46"/>
      <c r="L756" s="46"/>
      <c r="M756" s="46"/>
      <c r="N756" s="46"/>
      <c r="O756" s="46"/>
      <c r="P756" s="46"/>
      <c r="Q756" s="46"/>
      <c r="R756" s="46"/>
      <c r="S756" s="46"/>
      <c r="T756" s="46"/>
      <c r="U756" s="46"/>
      <c r="V756" s="46"/>
      <c r="W756" s="46"/>
    </row>
    <row r="757">
      <c r="A757" s="55"/>
      <c r="B757" s="214"/>
      <c r="C757" s="55"/>
      <c r="D757" s="214"/>
      <c r="E757" s="122"/>
      <c r="F757" s="219"/>
      <c r="G757" s="122"/>
      <c r="H757" s="214"/>
      <c r="I757" s="220"/>
      <c r="J757" s="46"/>
      <c r="K757" s="46"/>
      <c r="L757" s="46"/>
      <c r="M757" s="46"/>
      <c r="N757" s="46"/>
      <c r="O757" s="46"/>
      <c r="P757" s="46"/>
      <c r="Q757" s="46"/>
      <c r="R757" s="46"/>
      <c r="S757" s="46"/>
      <c r="T757" s="46"/>
      <c r="U757" s="46"/>
      <c r="V757" s="46"/>
      <c r="W757" s="46"/>
    </row>
    <row r="758">
      <c r="A758" s="55"/>
      <c r="B758" s="214"/>
      <c r="C758" s="55"/>
      <c r="D758" s="214"/>
      <c r="E758" s="122"/>
      <c r="F758" s="219"/>
      <c r="G758" s="122"/>
      <c r="H758" s="214"/>
      <c r="I758" s="220"/>
      <c r="J758" s="46"/>
      <c r="K758" s="46"/>
      <c r="L758" s="46"/>
      <c r="M758" s="46"/>
      <c r="N758" s="46"/>
      <c r="O758" s="46"/>
      <c r="P758" s="46"/>
      <c r="Q758" s="46"/>
      <c r="R758" s="46"/>
      <c r="S758" s="46"/>
      <c r="T758" s="46"/>
      <c r="U758" s="46"/>
      <c r="V758" s="46"/>
      <c r="W758" s="46"/>
    </row>
    <row r="759">
      <c r="A759" s="55"/>
      <c r="B759" s="214"/>
      <c r="C759" s="55"/>
      <c r="D759" s="214"/>
      <c r="E759" s="122"/>
      <c r="F759" s="219"/>
      <c r="G759" s="122"/>
      <c r="H759" s="214"/>
      <c r="I759" s="220"/>
      <c r="J759" s="46"/>
      <c r="K759" s="46"/>
      <c r="L759" s="46"/>
      <c r="M759" s="46"/>
      <c r="N759" s="46"/>
      <c r="O759" s="46"/>
      <c r="P759" s="46"/>
      <c r="Q759" s="46"/>
      <c r="R759" s="46"/>
      <c r="S759" s="46"/>
      <c r="T759" s="46"/>
      <c r="U759" s="46"/>
      <c r="V759" s="46"/>
      <c r="W759" s="46"/>
    </row>
    <row r="760">
      <c r="A760" s="55"/>
      <c r="B760" s="214"/>
      <c r="C760" s="55"/>
      <c r="D760" s="214"/>
      <c r="E760" s="122"/>
      <c r="F760" s="219"/>
      <c r="G760" s="122"/>
      <c r="H760" s="214"/>
      <c r="I760" s="220"/>
      <c r="J760" s="46"/>
      <c r="K760" s="46"/>
      <c r="L760" s="46"/>
      <c r="M760" s="46"/>
      <c r="N760" s="46"/>
      <c r="O760" s="46"/>
      <c r="P760" s="46"/>
      <c r="Q760" s="46"/>
      <c r="R760" s="46"/>
      <c r="S760" s="46"/>
      <c r="T760" s="46"/>
      <c r="U760" s="46"/>
      <c r="V760" s="46"/>
      <c r="W760" s="46"/>
    </row>
    <row r="761">
      <c r="A761" s="55"/>
      <c r="B761" s="214"/>
      <c r="C761" s="55"/>
      <c r="D761" s="214"/>
      <c r="E761" s="122"/>
      <c r="F761" s="219"/>
      <c r="G761" s="122"/>
      <c r="H761" s="214"/>
      <c r="I761" s="220"/>
      <c r="J761" s="46"/>
      <c r="K761" s="46"/>
      <c r="L761" s="46"/>
      <c r="M761" s="46"/>
      <c r="N761" s="46"/>
      <c r="O761" s="46"/>
      <c r="P761" s="46"/>
      <c r="Q761" s="46"/>
      <c r="R761" s="46"/>
      <c r="S761" s="46"/>
      <c r="T761" s="46"/>
      <c r="U761" s="46"/>
      <c r="V761" s="46"/>
      <c r="W761" s="46"/>
    </row>
    <row r="762">
      <c r="A762" s="55"/>
      <c r="B762" s="214"/>
      <c r="C762" s="55"/>
      <c r="D762" s="214"/>
      <c r="E762" s="122"/>
      <c r="F762" s="219"/>
      <c r="G762" s="122"/>
      <c r="H762" s="214"/>
      <c r="I762" s="220"/>
      <c r="J762" s="46"/>
      <c r="K762" s="46"/>
      <c r="L762" s="46"/>
      <c r="M762" s="46"/>
      <c r="N762" s="46"/>
      <c r="O762" s="46"/>
      <c r="P762" s="46"/>
      <c r="Q762" s="46"/>
      <c r="R762" s="46"/>
      <c r="S762" s="46"/>
      <c r="T762" s="46"/>
      <c r="U762" s="46"/>
      <c r="V762" s="46"/>
      <c r="W762" s="46"/>
    </row>
    <row r="763">
      <c r="A763" s="55"/>
      <c r="B763" s="214"/>
      <c r="C763" s="55"/>
      <c r="D763" s="214"/>
      <c r="E763" s="122"/>
      <c r="F763" s="219"/>
      <c r="G763" s="122"/>
      <c r="H763" s="214"/>
      <c r="I763" s="220"/>
      <c r="J763" s="46"/>
      <c r="K763" s="46"/>
      <c r="L763" s="46"/>
      <c r="M763" s="46"/>
      <c r="N763" s="46"/>
      <c r="O763" s="46"/>
      <c r="P763" s="46"/>
      <c r="Q763" s="46"/>
      <c r="R763" s="46"/>
      <c r="S763" s="46"/>
      <c r="T763" s="46"/>
      <c r="U763" s="46"/>
      <c r="V763" s="46"/>
      <c r="W763" s="46"/>
    </row>
    <row r="764">
      <c r="A764" s="55"/>
      <c r="B764" s="214"/>
      <c r="C764" s="55"/>
      <c r="D764" s="214"/>
      <c r="E764" s="122"/>
      <c r="F764" s="219"/>
      <c r="G764" s="122"/>
      <c r="H764" s="214"/>
      <c r="I764" s="220"/>
      <c r="J764" s="46"/>
      <c r="K764" s="46"/>
      <c r="L764" s="46"/>
      <c r="M764" s="46"/>
      <c r="N764" s="46"/>
      <c r="O764" s="46"/>
      <c r="P764" s="46"/>
      <c r="Q764" s="46"/>
      <c r="R764" s="46"/>
      <c r="S764" s="46"/>
      <c r="T764" s="46"/>
      <c r="U764" s="46"/>
      <c r="V764" s="46"/>
      <c r="W764" s="46"/>
    </row>
    <row r="765">
      <c r="A765" s="55"/>
      <c r="B765" s="214"/>
      <c r="C765" s="55"/>
      <c r="D765" s="214"/>
      <c r="E765" s="122"/>
      <c r="F765" s="219"/>
      <c r="G765" s="122"/>
      <c r="H765" s="214"/>
      <c r="I765" s="220"/>
      <c r="J765" s="46"/>
      <c r="K765" s="46"/>
      <c r="L765" s="46"/>
      <c r="M765" s="46"/>
      <c r="N765" s="46"/>
      <c r="O765" s="46"/>
      <c r="P765" s="46"/>
      <c r="Q765" s="46"/>
      <c r="R765" s="46"/>
      <c r="S765" s="46"/>
      <c r="T765" s="46"/>
      <c r="U765" s="46"/>
      <c r="V765" s="46"/>
      <c r="W765" s="46"/>
    </row>
    <row r="766">
      <c r="A766" s="55"/>
      <c r="B766" s="214"/>
      <c r="C766" s="55"/>
      <c r="D766" s="214"/>
      <c r="E766" s="122"/>
      <c r="F766" s="219"/>
      <c r="G766" s="122"/>
      <c r="H766" s="214"/>
      <c r="I766" s="220"/>
      <c r="J766" s="46"/>
      <c r="K766" s="46"/>
      <c r="L766" s="46"/>
      <c r="M766" s="46"/>
      <c r="N766" s="46"/>
      <c r="O766" s="46"/>
      <c r="P766" s="46"/>
      <c r="Q766" s="46"/>
      <c r="R766" s="46"/>
      <c r="S766" s="46"/>
      <c r="T766" s="46"/>
      <c r="U766" s="46"/>
      <c r="V766" s="46"/>
      <c r="W766" s="46"/>
    </row>
    <row r="767">
      <c r="A767" s="55"/>
      <c r="B767" s="214"/>
      <c r="C767" s="55"/>
      <c r="D767" s="214"/>
      <c r="E767" s="122"/>
      <c r="F767" s="219"/>
      <c r="G767" s="122"/>
      <c r="H767" s="214"/>
      <c r="I767" s="220"/>
      <c r="J767" s="46"/>
      <c r="K767" s="46"/>
      <c r="L767" s="46"/>
      <c r="M767" s="46"/>
      <c r="N767" s="46"/>
      <c r="O767" s="46"/>
      <c r="P767" s="46"/>
      <c r="Q767" s="46"/>
      <c r="R767" s="46"/>
      <c r="S767" s="46"/>
      <c r="T767" s="46"/>
      <c r="U767" s="46"/>
      <c r="V767" s="46"/>
      <c r="W767" s="46"/>
    </row>
    <row r="768">
      <c r="A768" s="55"/>
      <c r="B768" s="214"/>
      <c r="C768" s="55"/>
      <c r="D768" s="214"/>
      <c r="E768" s="122"/>
      <c r="F768" s="219"/>
      <c r="G768" s="122"/>
      <c r="H768" s="214"/>
      <c r="I768" s="220"/>
      <c r="J768" s="46"/>
      <c r="K768" s="46"/>
      <c r="L768" s="46"/>
      <c r="M768" s="46"/>
      <c r="N768" s="46"/>
      <c r="O768" s="46"/>
      <c r="P768" s="46"/>
      <c r="Q768" s="46"/>
      <c r="R768" s="46"/>
      <c r="S768" s="46"/>
      <c r="T768" s="46"/>
      <c r="U768" s="46"/>
      <c r="V768" s="46"/>
      <c r="W768" s="46"/>
    </row>
    <row r="769">
      <c r="A769" s="55"/>
      <c r="B769" s="214"/>
      <c r="C769" s="55"/>
      <c r="D769" s="214"/>
      <c r="E769" s="122"/>
      <c r="F769" s="219"/>
      <c r="G769" s="122"/>
      <c r="H769" s="214"/>
      <c r="I769" s="220"/>
      <c r="J769" s="46"/>
      <c r="K769" s="46"/>
      <c r="L769" s="46"/>
      <c r="M769" s="46"/>
      <c r="N769" s="46"/>
      <c r="O769" s="46"/>
      <c r="P769" s="46"/>
      <c r="Q769" s="46"/>
      <c r="R769" s="46"/>
      <c r="S769" s="46"/>
      <c r="T769" s="46"/>
      <c r="U769" s="46"/>
      <c r="V769" s="46"/>
      <c r="W769" s="46"/>
    </row>
    <row r="770">
      <c r="A770" s="55"/>
      <c r="B770" s="214"/>
      <c r="C770" s="55"/>
      <c r="D770" s="214"/>
      <c r="E770" s="122"/>
      <c r="F770" s="219"/>
      <c r="G770" s="122"/>
      <c r="H770" s="214"/>
      <c r="I770" s="220"/>
      <c r="J770" s="46"/>
      <c r="K770" s="46"/>
      <c r="L770" s="46"/>
      <c r="M770" s="46"/>
      <c r="N770" s="46"/>
      <c r="O770" s="46"/>
      <c r="P770" s="46"/>
      <c r="Q770" s="46"/>
      <c r="R770" s="46"/>
      <c r="S770" s="46"/>
      <c r="T770" s="46"/>
      <c r="U770" s="46"/>
      <c r="V770" s="46"/>
      <c r="W770" s="46"/>
    </row>
    <row r="771">
      <c r="A771" s="55"/>
      <c r="B771" s="214"/>
      <c r="C771" s="55"/>
      <c r="D771" s="214"/>
      <c r="E771" s="122"/>
      <c r="F771" s="219"/>
      <c r="G771" s="122"/>
      <c r="H771" s="214"/>
      <c r="I771" s="220"/>
      <c r="J771" s="46"/>
      <c r="K771" s="46"/>
      <c r="L771" s="46"/>
      <c r="M771" s="46"/>
      <c r="N771" s="46"/>
      <c r="O771" s="46"/>
      <c r="P771" s="46"/>
      <c r="Q771" s="46"/>
      <c r="R771" s="46"/>
      <c r="S771" s="46"/>
      <c r="T771" s="46"/>
      <c r="U771" s="46"/>
      <c r="V771" s="46"/>
      <c r="W771" s="46"/>
    </row>
    <row r="772">
      <c r="A772" s="55"/>
      <c r="B772" s="214"/>
      <c r="C772" s="55"/>
      <c r="D772" s="214"/>
      <c r="E772" s="122"/>
      <c r="F772" s="219"/>
      <c r="G772" s="122"/>
      <c r="H772" s="214"/>
      <c r="I772" s="220"/>
      <c r="J772" s="46"/>
      <c r="K772" s="46"/>
      <c r="L772" s="46"/>
      <c r="M772" s="46"/>
      <c r="N772" s="46"/>
      <c r="O772" s="46"/>
      <c r="P772" s="46"/>
      <c r="Q772" s="46"/>
      <c r="R772" s="46"/>
      <c r="S772" s="46"/>
      <c r="T772" s="46"/>
      <c r="U772" s="46"/>
      <c r="V772" s="46"/>
      <c r="W772" s="46"/>
    </row>
    <row r="773">
      <c r="A773" s="55"/>
      <c r="B773" s="214"/>
      <c r="C773" s="55"/>
      <c r="D773" s="214"/>
      <c r="E773" s="122"/>
      <c r="F773" s="219"/>
      <c r="G773" s="122"/>
      <c r="H773" s="214"/>
      <c r="I773" s="220"/>
      <c r="J773" s="46"/>
      <c r="K773" s="46"/>
      <c r="L773" s="46"/>
      <c r="M773" s="46"/>
      <c r="N773" s="46"/>
      <c r="O773" s="46"/>
      <c r="P773" s="46"/>
      <c r="Q773" s="46"/>
      <c r="R773" s="46"/>
      <c r="S773" s="46"/>
      <c r="T773" s="46"/>
      <c r="U773" s="46"/>
      <c r="V773" s="46"/>
      <c r="W773" s="46"/>
    </row>
    <row r="774">
      <c r="A774" s="55"/>
      <c r="B774" s="214"/>
      <c r="C774" s="55"/>
      <c r="D774" s="214"/>
      <c r="E774" s="122"/>
      <c r="F774" s="219"/>
      <c r="G774" s="122"/>
      <c r="H774" s="214"/>
      <c r="I774" s="220"/>
      <c r="J774" s="46"/>
      <c r="K774" s="46"/>
      <c r="L774" s="46"/>
      <c r="M774" s="46"/>
      <c r="N774" s="46"/>
      <c r="O774" s="46"/>
      <c r="P774" s="46"/>
      <c r="Q774" s="46"/>
      <c r="R774" s="46"/>
      <c r="S774" s="46"/>
      <c r="T774" s="46"/>
      <c r="U774" s="46"/>
      <c r="V774" s="46"/>
      <c r="W774" s="46"/>
    </row>
    <row r="775">
      <c r="A775" s="55"/>
      <c r="B775" s="214"/>
      <c r="C775" s="55"/>
      <c r="D775" s="214"/>
      <c r="E775" s="122"/>
      <c r="F775" s="219"/>
      <c r="G775" s="122"/>
      <c r="H775" s="214"/>
      <c r="I775" s="220"/>
      <c r="J775" s="46"/>
      <c r="K775" s="46"/>
      <c r="L775" s="46"/>
      <c r="M775" s="46"/>
      <c r="N775" s="46"/>
      <c r="O775" s="46"/>
      <c r="P775" s="46"/>
      <c r="Q775" s="46"/>
      <c r="R775" s="46"/>
      <c r="S775" s="46"/>
      <c r="T775" s="46"/>
      <c r="U775" s="46"/>
      <c r="V775" s="46"/>
      <c r="W775" s="46"/>
    </row>
    <row r="776">
      <c r="A776" s="55"/>
      <c r="B776" s="214"/>
      <c r="C776" s="55"/>
      <c r="D776" s="214"/>
      <c r="E776" s="122"/>
      <c r="F776" s="219"/>
      <c r="G776" s="122"/>
      <c r="H776" s="214"/>
      <c r="I776" s="220"/>
      <c r="J776" s="46"/>
      <c r="K776" s="46"/>
      <c r="L776" s="46"/>
      <c r="M776" s="46"/>
      <c r="N776" s="46"/>
      <c r="O776" s="46"/>
      <c r="P776" s="46"/>
      <c r="Q776" s="46"/>
      <c r="R776" s="46"/>
      <c r="S776" s="46"/>
      <c r="T776" s="46"/>
      <c r="U776" s="46"/>
      <c r="V776" s="46"/>
      <c r="W776" s="46"/>
    </row>
    <row r="777">
      <c r="A777" s="55"/>
      <c r="B777" s="214"/>
      <c r="C777" s="55"/>
      <c r="D777" s="214"/>
      <c r="E777" s="122"/>
      <c r="F777" s="219"/>
      <c r="G777" s="122"/>
      <c r="H777" s="214"/>
      <c r="I777" s="220"/>
      <c r="J777" s="46"/>
      <c r="K777" s="46"/>
      <c r="L777" s="46"/>
      <c r="M777" s="46"/>
      <c r="N777" s="46"/>
      <c r="O777" s="46"/>
      <c r="P777" s="46"/>
      <c r="Q777" s="46"/>
      <c r="R777" s="46"/>
      <c r="S777" s="46"/>
      <c r="T777" s="46"/>
      <c r="U777" s="46"/>
      <c r="V777" s="46"/>
      <c r="W777" s="46"/>
    </row>
    <row r="778">
      <c r="A778" s="55"/>
      <c r="B778" s="214"/>
      <c r="C778" s="55"/>
      <c r="D778" s="214"/>
      <c r="E778" s="122"/>
      <c r="F778" s="219"/>
      <c r="G778" s="122"/>
      <c r="H778" s="214"/>
      <c r="I778" s="220"/>
      <c r="J778" s="46"/>
      <c r="K778" s="46"/>
      <c r="L778" s="46"/>
      <c r="M778" s="46"/>
      <c r="N778" s="46"/>
      <c r="O778" s="46"/>
      <c r="P778" s="46"/>
      <c r="Q778" s="46"/>
      <c r="R778" s="46"/>
      <c r="S778" s="46"/>
      <c r="T778" s="46"/>
      <c r="U778" s="46"/>
      <c r="V778" s="46"/>
      <c r="W778" s="46"/>
    </row>
    <row r="779">
      <c r="A779" s="55"/>
      <c r="B779" s="214"/>
      <c r="C779" s="55"/>
      <c r="D779" s="214"/>
      <c r="E779" s="122"/>
      <c r="F779" s="219"/>
      <c r="G779" s="122"/>
      <c r="H779" s="214"/>
      <c r="I779" s="220"/>
      <c r="J779" s="46"/>
      <c r="K779" s="46"/>
      <c r="L779" s="46"/>
      <c r="M779" s="46"/>
      <c r="N779" s="46"/>
      <c r="O779" s="46"/>
      <c r="P779" s="46"/>
      <c r="Q779" s="46"/>
      <c r="R779" s="46"/>
      <c r="S779" s="46"/>
      <c r="T779" s="46"/>
      <c r="U779" s="46"/>
      <c r="V779" s="46"/>
      <c r="W779" s="46"/>
    </row>
    <row r="780">
      <c r="A780" s="55"/>
      <c r="B780" s="214"/>
      <c r="C780" s="55"/>
      <c r="D780" s="214"/>
      <c r="E780" s="122"/>
      <c r="F780" s="219"/>
      <c r="G780" s="122"/>
      <c r="H780" s="214"/>
      <c r="I780" s="220"/>
      <c r="J780" s="46"/>
      <c r="K780" s="46"/>
      <c r="L780" s="46"/>
      <c r="M780" s="46"/>
      <c r="N780" s="46"/>
      <c r="O780" s="46"/>
      <c r="P780" s="46"/>
      <c r="Q780" s="46"/>
      <c r="R780" s="46"/>
      <c r="S780" s="46"/>
      <c r="T780" s="46"/>
      <c r="U780" s="46"/>
      <c r="V780" s="46"/>
      <c r="W780" s="46"/>
    </row>
    <row r="781">
      <c r="A781" s="55"/>
      <c r="B781" s="214"/>
      <c r="C781" s="55"/>
      <c r="D781" s="214"/>
      <c r="E781" s="122"/>
      <c r="F781" s="219"/>
      <c r="G781" s="122"/>
      <c r="H781" s="214"/>
      <c r="I781" s="220"/>
      <c r="J781" s="46"/>
      <c r="K781" s="46"/>
      <c r="L781" s="46"/>
      <c r="M781" s="46"/>
      <c r="N781" s="46"/>
      <c r="O781" s="46"/>
      <c r="P781" s="46"/>
      <c r="Q781" s="46"/>
      <c r="R781" s="46"/>
      <c r="S781" s="46"/>
      <c r="T781" s="46"/>
      <c r="U781" s="46"/>
      <c r="V781" s="46"/>
      <c r="W781" s="46"/>
    </row>
    <row r="782">
      <c r="A782" s="55"/>
      <c r="B782" s="214"/>
      <c r="C782" s="55"/>
      <c r="D782" s="214"/>
      <c r="E782" s="122"/>
      <c r="F782" s="219"/>
      <c r="G782" s="122"/>
      <c r="H782" s="214"/>
      <c r="I782" s="220"/>
      <c r="J782" s="46"/>
      <c r="K782" s="46"/>
      <c r="L782" s="46"/>
      <c r="M782" s="46"/>
      <c r="N782" s="46"/>
      <c r="O782" s="46"/>
      <c r="P782" s="46"/>
      <c r="Q782" s="46"/>
      <c r="R782" s="46"/>
      <c r="S782" s="46"/>
      <c r="T782" s="46"/>
      <c r="U782" s="46"/>
      <c r="V782" s="46"/>
      <c r="W782" s="46"/>
    </row>
    <row r="783">
      <c r="A783" s="55"/>
      <c r="B783" s="214"/>
      <c r="C783" s="55"/>
      <c r="D783" s="214"/>
      <c r="E783" s="122"/>
      <c r="F783" s="219"/>
      <c r="G783" s="122"/>
      <c r="H783" s="214"/>
      <c r="I783" s="220"/>
      <c r="J783" s="46"/>
      <c r="K783" s="46"/>
      <c r="L783" s="46"/>
      <c r="M783" s="46"/>
      <c r="N783" s="46"/>
      <c r="O783" s="46"/>
      <c r="P783" s="46"/>
      <c r="Q783" s="46"/>
      <c r="R783" s="46"/>
      <c r="S783" s="46"/>
      <c r="T783" s="46"/>
      <c r="U783" s="46"/>
      <c r="V783" s="46"/>
      <c r="W783" s="46"/>
    </row>
    <row r="784">
      <c r="A784" s="55"/>
      <c r="B784" s="214"/>
      <c r="C784" s="55"/>
      <c r="D784" s="214"/>
      <c r="E784" s="122"/>
      <c r="F784" s="219"/>
      <c r="G784" s="122"/>
      <c r="H784" s="214"/>
      <c r="I784" s="220"/>
      <c r="J784" s="46"/>
      <c r="K784" s="46"/>
      <c r="L784" s="46"/>
      <c r="M784" s="46"/>
      <c r="N784" s="46"/>
      <c r="O784" s="46"/>
      <c r="P784" s="46"/>
      <c r="Q784" s="46"/>
      <c r="R784" s="46"/>
      <c r="S784" s="46"/>
      <c r="T784" s="46"/>
      <c r="U784" s="46"/>
      <c r="V784" s="46"/>
      <c r="W784" s="46"/>
    </row>
    <row r="785">
      <c r="A785" s="55"/>
      <c r="B785" s="214"/>
      <c r="C785" s="55"/>
      <c r="D785" s="214"/>
      <c r="E785" s="122"/>
      <c r="F785" s="219"/>
      <c r="G785" s="122"/>
      <c r="H785" s="214"/>
      <c r="I785" s="220"/>
      <c r="J785" s="46"/>
      <c r="K785" s="46"/>
      <c r="L785" s="46"/>
      <c r="M785" s="46"/>
      <c r="N785" s="46"/>
      <c r="O785" s="46"/>
      <c r="P785" s="46"/>
      <c r="Q785" s="46"/>
      <c r="R785" s="46"/>
      <c r="S785" s="46"/>
      <c r="T785" s="46"/>
      <c r="U785" s="46"/>
      <c r="V785" s="46"/>
      <c r="W785" s="46"/>
    </row>
    <row r="786">
      <c r="A786" s="55"/>
      <c r="B786" s="214"/>
      <c r="C786" s="55"/>
      <c r="D786" s="214"/>
      <c r="E786" s="122"/>
      <c r="F786" s="219"/>
      <c r="G786" s="122"/>
      <c r="H786" s="214"/>
      <c r="I786" s="220"/>
      <c r="J786" s="46"/>
      <c r="K786" s="46"/>
      <c r="L786" s="46"/>
      <c r="M786" s="46"/>
      <c r="N786" s="46"/>
      <c r="O786" s="46"/>
      <c r="P786" s="46"/>
      <c r="Q786" s="46"/>
      <c r="R786" s="46"/>
      <c r="S786" s="46"/>
      <c r="T786" s="46"/>
      <c r="U786" s="46"/>
      <c r="V786" s="46"/>
      <c r="W786" s="46"/>
    </row>
    <row r="787">
      <c r="A787" s="55"/>
      <c r="B787" s="214"/>
      <c r="C787" s="55"/>
      <c r="D787" s="214"/>
      <c r="E787" s="122"/>
      <c r="F787" s="219"/>
      <c r="G787" s="122"/>
      <c r="H787" s="214"/>
      <c r="I787" s="220"/>
      <c r="J787" s="46"/>
      <c r="K787" s="46"/>
      <c r="L787" s="46"/>
      <c r="M787" s="46"/>
      <c r="N787" s="46"/>
      <c r="O787" s="46"/>
      <c r="P787" s="46"/>
      <c r="Q787" s="46"/>
      <c r="R787" s="46"/>
      <c r="S787" s="46"/>
      <c r="T787" s="46"/>
      <c r="U787" s="46"/>
      <c r="V787" s="46"/>
      <c r="W787" s="46"/>
    </row>
    <row r="788">
      <c r="A788" s="55"/>
      <c r="B788" s="214"/>
      <c r="C788" s="55"/>
      <c r="D788" s="214"/>
      <c r="E788" s="122"/>
      <c r="F788" s="219"/>
      <c r="G788" s="122"/>
      <c r="H788" s="214"/>
      <c r="I788" s="220"/>
      <c r="J788" s="46"/>
      <c r="K788" s="46"/>
      <c r="L788" s="46"/>
      <c r="M788" s="46"/>
      <c r="N788" s="46"/>
      <c r="O788" s="46"/>
      <c r="P788" s="46"/>
      <c r="Q788" s="46"/>
      <c r="R788" s="46"/>
      <c r="S788" s="46"/>
      <c r="T788" s="46"/>
      <c r="U788" s="46"/>
      <c r="V788" s="46"/>
      <c r="W788" s="46"/>
    </row>
    <row r="789">
      <c r="A789" s="55"/>
      <c r="B789" s="214"/>
      <c r="C789" s="55"/>
      <c r="D789" s="214"/>
      <c r="E789" s="122"/>
      <c r="F789" s="219"/>
      <c r="G789" s="122"/>
      <c r="H789" s="214"/>
      <c r="I789" s="220"/>
      <c r="J789" s="46"/>
      <c r="K789" s="46"/>
      <c r="L789" s="46"/>
      <c r="M789" s="46"/>
      <c r="N789" s="46"/>
      <c r="O789" s="46"/>
      <c r="P789" s="46"/>
      <c r="Q789" s="46"/>
      <c r="R789" s="46"/>
      <c r="S789" s="46"/>
      <c r="T789" s="46"/>
      <c r="U789" s="46"/>
      <c r="V789" s="46"/>
      <c r="W789" s="46"/>
    </row>
    <row r="790">
      <c r="A790" s="55"/>
      <c r="B790" s="214"/>
      <c r="C790" s="55"/>
      <c r="D790" s="214"/>
      <c r="E790" s="122"/>
      <c r="F790" s="219"/>
      <c r="G790" s="122"/>
      <c r="H790" s="214"/>
      <c r="I790" s="220"/>
      <c r="J790" s="46"/>
      <c r="K790" s="46"/>
      <c r="L790" s="46"/>
      <c r="M790" s="46"/>
      <c r="N790" s="46"/>
      <c r="O790" s="46"/>
      <c r="P790" s="46"/>
      <c r="Q790" s="46"/>
      <c r="R790" s="46"/>
      <c r="S790" s="46"/>
      <c r="T790" s="46"/>
      <c r="U790" s="46"/>
      <c r="V790" s="46"/>
      <c r="W790" s="46"/>
    </row>
    <row r="791">
      <c r="A791" s="55"/>
      <c r="B791" s="214"/>
      <c r="C791" s="55"/>
      <c r="D791" s="214"/>
      <c r="E791" s="122"/>
      <c r="F791" s="219"/>
      <c r="G791" s="122"/>
      <c r="H791" s="214"/>
      <c r="I791" s="220"/>
      <c r="J791" s="46"/>
      <c r="K791" s="46"/>
      <c r="L791" s="46"/>
      <c r="M791" s="46"/>
      <c r="N791" s="46"/>
      <c r="O791" s="46"/>
      <c r="P791" s="46"/>
      <c r="Q791" s="46"/>
      <c r="R791" s="46"/>
      <c r="S791" s="46"/>
      <c r="T791" s="46"/>
      <c r="U791" s="46"/>
      <c r="V791" s="46"/>
      <c r="W791" s="46"/>
    </row>
    <row r="792">
      <c r="A792" s="55"/>
      <c r="B792" s="214"/>
      <c r="C792" s="55"/>
      <c r="D792" s="214"/>
      <c r="E792" s="122"/>
      <c r="F792" s="219"/>
      <c r="G792" s="122"/>
      <c r="H792" s="214"/>
      <c r="I792" s="220"/>
      <c r="J792" s="46"/>
      <c r="K792" s="46"/>
      <c r="L792" s="46"/>
      <c r="M792" s="46"/>
      <c r="N792" s="46"/>
      <c r="O792" s="46"/>
      <c r="P792" s="46"/>
      <c r="Q792" s="46"/>
      <c r="R792" s="46"/>
      <c r="S792" s="46"/>
      <c r="T792" s="46"/>
      <c r="U792" s="46"/>
      <c r="V792" s="46"/>
      <c r="W792" s="46"/>
    </row>
    <row r="793">
      <c r="A793" s="55"/>
      <c r="B793" s="214"/>
      <c r="C793" s="55"/>
      <c r="D793" s="214"/>
      <c r="E793" s="122"/>
      <c r="F793" s="219"/>
      <c r="G793" s="122"/>
      <c r="H793" s="214"/>
      <c r="I793" s="220"/>
      <c r="J793" s="46"/>
      <c r="K793" s="46"/>
      <c r="L793" s="46"/>
      <c r="M793" s="46"/>
      <c r="N793" s="46"/>
      <c r="O793" s="46"/>
      <c r="P793" s="46"/>
      <c r="Q793" s="46"/>
      <c r="R793" s="46"/>
      <c r="S793" s="46"/>
      <c r="T793" s="46"/>
      <c r="U793" s="46"/>
      <c r="V793" s="46"/>
      <c r="W793" s="46"/>
    </row>
    <row r="794">
      <c r="A794" s="55"/>
      <c r="B794" s="214"/>
      <c r="C794" s="55"/>
      <c r="D794" s="214"/>
      <c r="E794" s="122"/>
      <c r="F794" s="219"/>
      <c r="G794" s="122"/>
      <c r="H794" s="214"/>
      <c r="I794" s="220"/>
      <c r="J794" s="46"/>
      <c r="K794" s="46"/>
      <c r="L794" s="46"/>
      <c r="M794" s="46"/>
      <c r="N794" s="46"/>
      <c r="O794" s="46"/>
      <c r="P794" s="46"/>
      <c r="Q794" s="46"/>
      <c r="R794" s="46"/>
      <c r="S794" s="46"/>
      <c r="T794" s="46"/>
      <c r="U794" s="46"/>
      <c r="V794" s="46"/>
      <c r="W794" s="46"/>
    </row>
    <row r="795">
      <c r="A795" s="55"/>
      <c r="B795" s="214"/>
      <c r="C795" s="55"/>
      <c r="D795" s="214"/>
      <c r="E795" s="122"/>
      <c r="F795" s="219"/>
      <c r="G795" s="122"/>
      <c r="H795" s="214"/>
      <c r="I795" s="220"/>
      <c r="J795" s="46"/>
      <c r="K795" s="46"/>
      <c r="L795" s="46"/>
      <c r="M795" s="46"/>
      <c r="N795" s="46"/>
      <c r="O795" s="46"/>
      <c r="P795" s="46"/>
      <c r="Q795" s="46"/>
      <c r="R795" s="46"/>
      <c r="S795" s="46"/>
      <c r="T795" s="46"/>
      <c r="U795" s="46"/>
      <c r="V795" s="46"/>
      <c r="W795" s="46"/>
    </row>
    <row r="796">
      <c r="A796" s="55"/>
      <c r="B796" s="214"/>
      <c r="C796" s="55"/>
      <c r="D796" s="214"/>
      <c r="E796" s="122"/>
      <c r="F796" s="219"/>
      <c r="G796" s="122"/>
      <c r="H796" s="214"/>
      <c r="I796" s="220"/>
      <c r="J796" s="46"/>
      <c r="K796" s="46"/>
      <c r="L796" s="46"/>
      <c r="M796" s="46"/>
      <c r="N796" s="46"/>
      <c r="O796" s="46"/>
      <c r="P796" s="46"/>
      <c r="Q796" s="46"/>
      <c r="R796" s="46"/>
      <c r="S796" s="46"/>
      <c r="T796" s="46"/>
      <c r="U796" s="46"/>
      <c r="V796" s="46"/>
      <c r="W796" s="46"/>
    </row>
    <row r="797">
      <c r="A797" s="55"/>
      <c r="B797" s="214"/>
      <c r="C797" s="55"/>
      <c r="D797" s="214"/>
      <c r="E797" s="122"/>
      <c r="F797" s="219"/>
      <c r="G797" s="122"/>
      <c r="H797" s="214"/>
      <c r="I797" s="220"/>
      <c r="J797" s="46"/>
      <c r="K797" s="46"/>
      <c r="L797" s="46"/>
      <c r="M797" s="46"/>
      <c r="N797" s="46"/>
      <c r="O797" s="46"/>
      <c r="P797" s="46"/>
      <c r="Q797" s="46"/>
      <c r="R797" s="46"/>
      <c r="S797" s="46"/>
      <c r="T797" s="46"/>
      <c r="U797" s="46"/>
      <c r="V797" s="46"/>
      <c r="W797" s="46"/>
    </row>
    <row r="798">
      <c r="A798" s="55"/>
      <c r="B798" s="214"/>
      <c r="C798" s="55"/>
      <c r="D798" s="214"/>
      <c r="E798" s="122"/>
      <c r="F798" s="219"/>
      <c r="G798" s="122"/>
      <c r="H798" s="214"/>
      <c r="I798" s="220"/>
      <c r="J798" s="46"/>
      <c r="K798" s="46"/>
      <c r="L798" s="46"/>
      <c r="M798" s="46"/>
      <c r="N798" s="46"/>
      <c r="O798" s="46"/>
      <c r="P798" s="46"/>
      <c r="Q798" s="46"/>
      <c r="R798" s="46"/>
      <c r="S798" s="46"/>
      <c r="T798" s="46"/>
      <c r="U798" s="46"/>
      <c r="V798" s="46"/>
      <c r="W798" s="46"/>
    </row>
    <row r="799">
      <c r="A799" s="55"/>
      <c r="B799" s="214"/>
      <c r="C799" s="55"/>
      <c r="D799" s="214"/>
      <c r="E799" s="122"/>
      <c r="F799" s="219"/>
      <c r="G799" s="122"/>
      <c r="H799" s="214"/>
      <c r="I799" s="220"/>
      <c r="J799" s="46"/>
      <c r="K799" s="46"/>
      <c r="L799" s="46"/>
      <c r="M799" s="46"/>
      <c r="N799" s="46"/>
      <c r="O799" s="46"/>
      <c r="P799" s="46"/>
      <c r="Q799" s="46"/>
      <c r="R799" s="46"/>
      <c r="S799" s="46"/>
      <c r="T799" s="46"/>
      <c r="U799" s="46"/>
      <c r="V799" s="46"/>
      <c r="W799" s="46"/>
    </row>
    <row r="800">
      <c r="A800" s="55"/>
      <c r="B800" s="214"/>
      <c r="C800" s="55"/>
      <c r="D800" s="214"/>
      <c r="E800" s="122"/>
      <c r="F800" s="219"/>
      <c r="G800" s="122"/>
      <c r="H800" s="214"/>
      <c r="I800" s="220"/>
      <c r="J800" s="46"/>
      <c r="K800" s="46"/>
      <c r="L800" s="46"/>
      <c r="M800" s="46"/>
      <c r="N800" s="46"/>
      <c r="O800" s="46"/>
      <c r="P800" s="46"/>
      <c r="Q800" s="46"/>
      <c r="R800" s="46"/>
      <c r="S800" s="46"/>
      <c r="T800" s="46"/>
      <c r="U800" s="46"/>
      <c r="V800" s="46"/>
      <c r="W800" s="46"/>
    </row>
    <row r="801">
      <c r="A801" s="55"/>
      <c r="B801" s="214"/>
      <c r="C801" s="55"/>
      <c r="D801" s="214"/>
      <c r="E801" s="122"/>
      <c r="F801" s="219"/>
      <c r="G801" s="122"/>
      <c r="H801" s="214"/>
      <c r="I801" s="220"/>
      <c r="J801" s="46"/>
      <c r="K801" s="46"/>
      <c r="L801" s="46"/>
      <c r="M801" s="46"/>
      <c r="N801" s="46"/>
      <c r="O801" s="46"/>
      <c r="P801" s="46"/>
      <c r="Q801" s="46"/>
      <c r="R801" s="46"/>
      <c r="S801" s="46"/>
      <c r="T801" s="46"/>
      <c r="U801" s="46"/>
      <c r="V801" s="46"/>
      <c r="W801" s="46"/>
    </row>
    <row r="802">
      <c r="A802" s="55"/>
      <c r="B802" s="214"/>
      <c r="C802" s="55"/>
      <c r="D802" s="214"/>
      <c r="E802" s="122"/>
      <c r="F802" s="219"/>
      <c r="G802" s="122"/>
      <c r="H802" s="214"/>
      <c r="I802" s="220"/>
      <c r="J802" s="46"/>
      <c r="K802" s="46"/>
      <c r="L802" s="46"/>
      <c r="M802" s="46"/>
      <c r="N802" s="46"/>
      <c r="O802" s="46"/>
      <c r="P802" s="46"/>
      <c r="Q802" s="46"/>
      <c r="R802" s="46"/>
      <c r="S802" s="46"/>
      <c r="T802" s="46"/>
      <c r="U802" s="46"/>
      <c r="V802" s="46"/>
      <c r="W802" s="46"/>
    </row>
    <row r="803">
      <c r="A803" s="55"/>
      <c r="B803" s="214"/>
      <c r="C803" s="55"/>
      <c r="D803" s="214"/>
      <c r="E803" s="122"/>
      <c r="F803" s="219"/>
      <c r="G803" s="122"/>
      <c r="H803" s="214"/>
      <c r="I803" s="220"/>
      <c r="J803" s="46"/>
      <c r="K803" s="46"/>
      <c r="L803" s="46"/>
      <c r="M803" s="46"/>
      <c r="N803" s="46"/>
      <c r="O803" s="46"/>
      <c r="P803" s="46"/>
      <c r="Q803" s="46"/>
      <c r="R803" s="46"/>
      <c r="S803" s="46"/>
      <c r="T803" s="46"/>
      <c r="U803" s="46"/>
      <c r="V803" s="46"/>
      <c r="W803" s="46"/>
    </row>
    <row r="804">
      <c r="A804" s="55"/>
      <c r="B804" s="214"/>
      <c r="C804" s="55"/>
      <c r="D804" s="214"/>
      <c r="E804" s="122"/>
      <c r="F804" s="219"/>
      <c r="G804" s="122"/>
      <c r="H804" s="214"/>
      <c r="I804" s="220"/>
      <c r="J804" s="46"/>
      <c r="K804" s="46"/>
      <c r="L804" s="46"/>
      <c r="M804" s="46"/>
      <c r="N804" s="46"/>
      <c r="O804" s="46"/>
      <c r="P804" s="46"/>
      <c r="Q804" s="46"/>
      <c r="R804" s="46"/>
      <c r="S804" s="46"/>
      <c r="T804" s="46"/>
      <c r="U804" s="46"/>
      <c r="V804" s="46"/>
      <c r="W804" s="46"/>
    </row>
    <row r="805">
      <c r="A805" s="55"/>
      <c r="B805" s="214"/>
      <c r="C805" s="55"/>
      <c r="D805" s="214"/>
      <c r="E805" s="122"/>
      <c r="F805" s="219"/>
      <c r="G805" s="122"/>
      <c r="H805" s="214"/>
      <c r="I805" s="220"/>
      <c r="J805" s="46"/>
      <c r="K805" s="46"/>
      <c r="L805" s="46"/>
      <c r="M805" s="46"/>
      <c r="N805" s="46"/>
      <c r="O805" s="46"/>
      <c r="P805" s="46"/>
      <c r="Q805" s="46"/>
      <c r="R805" s="46"/>
      <c r="S805" s="46"/>
      <c r="T805" s="46"/>
      <c r="U805" s="46"/>
      <c r="V805" s="46"/>
      <c r="W805" s="46"/>
    </row>
    <row r="806">
      <c r="A806" s="55"/>
      <c r="B806" s="214"/>
      <c r="C806" s="55"/>
      <c r="D806" s="214"/>
      <c r="E806" s="122"/>
      <c r="F806" s="219"/>
      <c r="G806" s="122"/>
      <c r="H806" s="214"/>
      <c r="I806" s="220"/>
      <c r="J806" s="46"/>
      <c r="K806" s="46"/>
      <c r="L806" s="46"/>
      <c r="M806" s="46"/>
      <c r="N806" s="46"/>
      <c r="O806" s="46"/>
      <c r="P806" s="46"/>
      <c r="Q806" s="46"/>
      <c r="R806" s="46"/>
      <c r="S806" s="46"/>
      <c r="T806" s="46"/>
      <c r="U806" s="46"/>
      <c r="V806" s="46"/>
      <c r="W806" s="46"/>
    </row>
    <row r="807">
      <c r="A807" s="55"/>
      <c r="B807" s="214"/>
      <c r="C807" s="55"/>
      <c r="D807" s="214"/>
      <c r="E807" s="122"/>
      <c r="F807" s="219"/>
      <c r="G807" s="122"/>
      <c r="H807" s="214"/>
      <c r="I807" s="220"/>
      <c r="J807" s="46"/>
      <c r="K807" s="46"/>
      <c r="L807" s="46"/>
      <c r="M807" s="46"/>
      <c r="N807" s="46"/>
      <c r="O807" s="46"/>
      <c r="P807" s="46"/>
      <c r="Q807" s="46"/>
      <c r="R807" s="46"/>
      <c r="S807" s="46"/>
      <c r="T807" s="46"/>
      <c r="U807" s="46"/>
      <c r="V807" s="46"/>
      <c r="W807" s="46"/>
    </row>
    <row r="808">
      <c r="A808" s="55"/>
      <c r="B808" s="214"/>
      <c r="C808" s="55"/>
      <c r="D808" s="214"/>
      <c r="E808" s="122"/>
      <c r="F808" s="219"/>
      <c r="G808" s="122"/>
      <c r="H808" s="214"/>
      <c r="I808" s="220"/>
      <c r="J808" s="46"/>
      <c r="K808" s="46"/>
      <c r="L808" s="46"/>
      <c r="M808" s="46"/>
      <c r="N808" s="46"/>
      <c r="O808" s="46"/>
      <c r="P808" s="46"/>
      <c r="Q808" s="46"/>
      <c r="R808" s="46"/>
      <c r="S808" s="46"/>
      <c r="T808" s="46"/>
      <c r="U808" s="46"/>
      <c r="V808" s="46"/>
      <c r="W808" s="46"/>
    </row>
    <row r="809">
      <c r="A809" s="55"/>
      <c r="B809" s="214"/>
      <c r="C809" s="55"/>
      <c r="D809" s="214"/>
      <c r="E809" s="122"/>
      <c r="F809" s="219"/>
      <c r="G809" s="122"/>
      <c r="H809" s="214"/>
      <c r="I809" s="220"/>
      <c r="J809" s="46"/>
      <c r="K809" s="46"/>
      <c r="L809" s="46"/>
      <c r="M809" s="46"/>
      <c r="N809" s="46"/>
      <c r="O809" s="46"/>
      <c r="P809" s="46"/>
      <c r="Q809" s="46"/>
      <c r="R809" s="46"/>
      <c r="S809" s="46"/>
      <c r="T809" s="46"/>
      <c r="U809" s="46"/>
      <c r="V809" s="46"/>
      <c r="W809" s="46"/>
    </row>
    <row r="810">
      <c r="A810" s="55"/>
      <c r="B810" s="214"/>
      <c r="C810" s="55"/>
      <c r="D810" s="214"/>
      <c r="E810" s="122"/>
      <c r="F810" s="219"/>
      <c r="G810" s="122"/>
      <c r="H810" s="214"/>
      <c r="I810" s="220"/>
      <c r="J810" s="46"/>
      <c r="K810" s="46"/>
      <c r="L810" s="46"/>
      <c r="M810" s="46"/>
      <c r="N810" s="46"/>
      <c r="O810" s="46"/>
      <c r="P810" s="46"/>
      <c r="Q810" s="46"/>
      <c r="R810" s="46"/>
      <c r="S810" s="46"/>
      <c r="T810" s="46"/>
      <c r="U810" s="46"/>
      <c r="V810" s="46"/>
      <c r="W810" s="46"/>
    </row>
    <row r="811">
      <c r="A811" s="55"/>
      <c r="B811" s="214"/>
      <c r="C811" s="55"/>
      <c r="D811" s="214"/>
      <c r="E811" s="122"/>
      <c r="F811" s="219"/>
      <c r="G811" s="122"/>
      <c r="H811" s="214"/>
      <c r="I811" s="220"/>
      <c r="J811" s="46"/>
      <c r="K811" s="46"/>
      <c r="L811" s="46"/>
      <c r="M811" s="46"/>
      <c r="N811" s="46"/>
      <c r="O811" s="46"/>
      <c r="P811" s="46"/>
      <c r="Q811" s="46"/>
      <c r="R811" s="46"/>
      <c r="S811" s="46"/>
      <c r="T811" s="46"/>
      <c r="U811" s="46"/>
      <c r="V811" s="46"/>
      <c r="W811" s="46"/>
    </row>
    <row r="812">
      <c r="A812" s="55"/>
      <c r="B812" s="214"/>
      <c r="C812" s="55"/>
      <c r="D812" s="214"/>
      <c r="E812" s="122"/>
      <c r="F812" s="219"/>
      <c r="G812" s="122"/>
      <c r="H812" s="214"/>
      <c r="I812" s="220"/>
      <c r="J812" s="46"/>
      <c r="K812" s="46"/>
      <c r="L812" s="46"/>
      <c r="M812" s="46"/>
      <c r="N812" s="46"/>
      <c r="O812" s="46"/>
      <c r="P812" s="46"/>
      <c r="Q812" s="46"/>
      <c r="R812" s="46"/>
      <c r="S812" s="46"/>
      <c r="T812" s="46"/>
      <c r="U812" s="46"/>
      <c r="V812" s="46"/>
      <c r="W812" s="46"/>
    </row>
    <row r="813">
      <c r="A813" s="55"/>
      <c r="B813" s="214"/>
      <c r="C813" s="55"/>
      <c r="D813" s="214"/>
      <c r="E813" s="122"/>
      <c r="F813" s="219"/>
      <c r="G813" s="122"/>
      <c r="H813" s="214"/>
      <c r="I813" s="220"/>
      <c r="J813" s="46"/>
      <c r="K813" s="46"/>
      <c r="L813" s="46"/>
      <c r="M813" s="46"/>
      <c r="N813" s="46"/>
      <c r="O813" s="46"/>
      <c r="P813" s="46"/>
      <c r="Q813" s="46"/>
      <c r="R813" s="46"/>
      <c r="S813" s="46"/>
      <c r="T813" s="46"/>
      <c r="U813" s="46"/>
      <c r="V813" s="46"/>
      <c r="W813" s="46"/>
    </row>
    <row r="814">
      <c r="A814" s="55"/>
      <c r="B814" s="214"/>
      <c r="C814" s="55"/>
      <c r="D814" s="214"/>
      <c r="E814" s="122"/>
      <c r="F814" s="219"/>
      <c r="G814" s="122"/>
      <c r="H814" s="214"/>
      <c r="I814" s="220"/>
      <c r="J814" s="46"/>
      <c r="K814" s="46"/>
      <c r="L814" s="46"/>
      <c r="M814" s="46"/>
      <c r="N814" s="46"/>
      <c r="O814" s="46"/>
      <c r="P814" s="46"/>
      <c r="Q814" s="46"/>
      <c r="R814" s="46"/>
      <c r="S814" s="46"/>
      <c r="T814" s="46"/>
      <c r="U814" s="46"/>
      <c r="V814" s="46"/>
      <c r="W814" s="46"/>
    </row>
    <row r="815">
      <c r="A815" s="55"/>
      <c r="B815" s="214"/>
      <c r="C815" s="55"/>
      <c r="D815" s="214"/>
      <c r="E815" s="122"/>
      <c r="F815" s="219"/>
      <c r="G815" s="122"/>
      <c r="H815" s="214"/>
      <c r="I815" s="220"/>
      <c r="J815" s="46"/>
      <c r="K815" s="46"/>
      <c r="L815" s="46"/>
      <c r="M815" s="46"/>
      <c r="N815" s="46"/>
      <c r="O815" s="46"/>
      <c r="P815" s="46"/>
      <c r="Q815" s="46"/>
      <c r="R815" s="46"/>
      <c r="S815" s="46"/>
      <c r="T815" s="46"/>
      <c r="U815" s="46"/>
      <c r="V815" s="46"/>
      <c r="W815" s="46"/>
    </row>
    <row r="816">
      <c r="A816" s="55"/>
      <c r="B816" s="214"/>
      <c r="C816" s="55"/>
      <c r="D816" s="214"/>
      <c r="E816" s="122"/>
      <c r="F816" s="219"/>
      <c r="G816" s="122"/>
      <c r="H816" s="214"/>
      <c r="I816" s="220"/>
      <c r="J816" s="46"/>
      <c r="K816" s="46"/>
      <c r="L816" s="46"/>
      <c r="M816" s="46"/>
      <c r="N816" s="46"/>
      <c r="O816" s="46"/>
      <c r="P816" s="46"/>
      <c r="Q816" s="46"/>
      <c r="R816" s="46"/>
      <c r="S816" s="46"/>
      <c r="T816" s="46"/>
      <c r="U816" s="46"/>
      <c r="V816" s="46"/>
      <c r="W816" s="46"/>
    </row>
    <row r="817">
      <c r="A817" s="55"/>
      <c r="B817" s="214"/>
      <c r="C817" s="55"/>
      <c r="D817" s="214"/>
      <c r="E817" s="122"/>
      <c r="F817" s="219"/>
      <c r="G817" s="122"/>
      <c r="H817" s="214"/>
      <c r="I817" s="220"/>
      <c r="J817" s="46"/>
      <c r="K817" s="46"/>
      <c r="L817" s="46"/>
      <c r="M817" s="46"/>
      <c r="N817" s="46"/>
      <c r="O817" s="46"/>
      <c r="P817" s="46"/>
      <c r="Q817" s="46"/>
      <c r="R817" s="46"/>
      <c r="S817" s="46"/>
      <c r="T817" s="46"/>
      <c r="U817" s="46"/>
      <c r="V817" s="46"/>
      <c r="W817" s="46"/>
    </row>
    <row r="818">
      <c r="A818" s="55"/>
      <c r="B818" s="214"/>
      <c r="C818" s="55"/>
      <c r="D818" s="214"/>
      <c r="E818" s="122"/>
      <c r="F818" s="219"/>
      <c r="G818" s="122"/>
      <c r="H818" s="214"/>
      <c r="I818" s="220"/>
      <c r="J818" s="46"/>
      <c r="K818" s="46"/>
      <c r="L818" s="46"/>
      <c r="M818" s="46"/>
      <c r="N818" s="46"/>
      <c r="O818" s="46"/>
      <c r="P818" s="46"/>
      <c r="Q818" s="46"/>
      <c r="R818" s="46"/>
      <c r="S818" s="46"/>
      <c r="T818" s="46"/>
      <c r="U818" s="46"/>
      <c r="V818" s="46"/>
      <c r="W818" s="46"/>
    </row>
    <row r="819">
      <c r="A819" s="55"/>
      <c r="B819" s="214"/>
      <c r="C819" s="55"/>
      <c r="D819" s="214"/>
      <c r="E819" s="122"/>
      <c r="F819" s="219"/>
      <c r="G819" s="122"/>
      <c r="H819" s="214"/>
      <c r="I819" s="220"/>
      <c r="J819" s="46"/>
      <c r="K819" s="46"/>
      <c r="L819" s="46"/>
      <c r="M819" s="46"/>
      <c r="N819" s="46"/>
      <c r="O819" s="46"/>
      <c r="P819" s="46"/>
      <c r="Q819" s="46"/>
      <c r="R819" s="46"/>
      <c r="S819" s="46"/>
      <c r="T819" s="46"/>
      <c r="U819" s="46"/>
      <c r="V819" s="46"/>
      <c r="W819" s="46"/>
    </row>
    <row r="820">
      <c r="A820" s="55"/>
      <c r="B820" s="214"/>
      <c r="C820" s="55"/>
      <c r="D820" s="214"/>
      <c r="E820" s="122"/>
      <c r="F820" s="219"/>
      <c r="G820" s="122"/>
      <c r="H820" s="214"/>
      <c r="I820" s="220"/>
      <c r="J820" s="46"/>
      <c r="K820" s="46"/>
      <c r="L820" s="46"/>
      <c r="M820" s="46"/>
      <c r="N820" s="46"/>
      <c r="O820" s="46"/>
      <c r="P820" s="46"/>
      <c r="Q820" s="46"/>
      <c r="R820" s="46"/>
      <c r="S820" s="46"/>
      <c r="T820" s="46"/>
      <c r="U820" s="46"/>
      <c r="V820" s="46"/>
      <c r="W820" s="46"/>
    </row>
    <row r="821">
      <c r="A821" s="55"/>
      <c r="B821" s="214"/>
      <c r="C821" s="55"/>
      <c r="D821" s="214"/>
      <c r="E821" s="122"/>
      <c r="F821" s="219"/>
      <c r="G821" s="122"/>
      <c r="H821" s="214"/>
      <c r="I821" s="220"/>
      <c r="J821" s="46"/>
      <c r="K821" s="46"/>
      <c r="L821" s="46"/>
      <c r="M821" s="46"/>
      <c r="N821" s="46"/>
      <c r="O821" s="46"/>
      <c r="P821" s="46"/>
      <c r="Q821" s="46"/>
      <c r="R821" s="46"/>
      <c r="S821" s="46"/>
      <c r="T821" s="46"/>
      <c r="U821" s="46"/>
      <c r="V821" s="46"/>
      <c r="W821" s="46"/>
    </row>
    <row r="822">
      <c r="A822" s="55"/>
      <c r="B822" s="214"/>
      <c r="C822" s="55"/>
      <c r="D822" s="214"/>
      <c r="E822" s="122"/>
      <c r="F822" s="219"/>
      <c r="G822" s="122"/>
      <c r="H822" s="214"/>
      <c r="I822" s="220"/>
      <c r="J822" s="46"/>
      <c r="K822" s="46"/>
      <c r="L822" s="46"/>
      <c r="M822" s="46"/>
      <c r="N822" s="46"/>
      <c r="O822" s="46"/>
      <c r="P822" s="46"/>
      <c r="Q822" s="46"/>
      <c r="R822" s="46"/>
      <c r="S822" s="46"/>
      <c r="T822" s="46"/>
      <c r="U822" s="46"/>
      <c r="V822" s="46"/>
      <c r="W822" s="46"/>
    </row>
    <row r="823">
      <c r="A823" s="55"/>
      <c r="B823" s="214"/>
      <c r="C823" s="55"/>
      <c r="D823" s="214"/>
      <c r="E823" s="122"/>
      <c r="F823" s="219"/>
      <c r="G823" s="122"/>
      <c r="H823" s="214"/>
      <c r="I823" s="220"/>
      <c r="J823" s="46"/>
      <c r="K823" s="46"/>
      <c r="L823" s="46"/>
      <c r="M823" s="46"/>
      <c r="N823" s="46"/>
      <c r="O823" s="46"/>
      <c r="P823" s="46"/>
      <c r="Q823" s="46"/>
      <c r="R823" s="46"/>
      <c r="S823" s="46"/>
      <c r="T823" s="46"/>
      <c r="U823" s="46"/>
      <c r="V823" s="46"/>
      <c r="W823" s="46"/>
    </row>
    <row r="824">
      <c r="A824" s="55"/>
      <c r="B824" s="214"/>
      <c r="C824" s="55"/>
      <c r="D824" s="214"/>
      <c r="E824" s="122"/>
      <c r="F824" s="219"/>
      <c r="G824" s="122"/>
      <c r="H824" s="214"/>
      <c r="I824" s="220"/>
      <c r="J824" s="46"/>
      <c r="K824" s="46"/>
      <c r="L824" s="46"/>
      <c r="M824" s="46"/>
      <c r="N824" s="46"/>
      <c r="O824" s="46"/>
      <c r="P824" s="46"/>
      <c r="Q824" s="46"/>
      <c r="R824" s="46"/>
      <c r="S824" s="46"/>
      <c r="T824" s="46"/>
      <c r="U824" s="46"/>
      <c r="V824" s="46"/>
      <c r="W824" s="46"/>
    </row>
    <row r="825">
      <c r="A825" s="55"/>
      <c r="B825" s="214"/>
      <c r="C825" s="55"/>
      <c r="D825" s="214"/>
      <c r="E825" s="122"/>
      <c r="F825" s="219"/>
      <c r="G825" s="122"/>
      <c r="H825" s="214"/>
      <c r="I825" s="220"/>
      <c r="J825" s="46"/>
      <c r="K825" s="46"/>
      <c r="L825" s="46"/>
      <c r="M825" s="46"/>
      <c r="N825" s="46"/>
      <c r="O825" s="46"/>
      <c r="P825" s="46"/>
      <c r="Q825" s="46"/>
      <c r="R825" s="46"/>
      <c r="S825" s="46"/>
      <c r="T825" s="46"/>
      <c r="U825" s="46"/>
      <c r="V825" s="46"/>
      <c r="W825" s="46"/>
    </row>
    <row r="826">
      <c r="A826" s="55"/>
      <c r="B826" s="214"/>
      <c r="C826" s="55"/>
      <c r="D826" s="214"/>
      <c r="E826" s="122"/>
      <c r="F826" s="219"/>
      <c r="G826" s="122"/>
      <c r="H826" s="214"/>
      <c r="I826" s="220"/>
      <c r="J826" s="46"/>
      <c r="K826" s="46"/>
      <c r="L826" s="46"/>
      <c r="M826" s="46"/>
      <c r="N826" s="46"/>
      <c r="O826" s="46"/>
      <c r="P826" s="46"/>
      <c r="Q826" s="46"/>
      <c r="R826" s="46"/>
      <c r="S826" s="46"/>
      <c r="T826" s="46"/>
      <c r="U826" s="46"/>
      <c r="V826" s="46"/>
      <c r="W826" s="46"/>
    </row>
    <row r="827">
      <c r="A827" s="55"/>
      <c r="B827" s="214"/>
      <c r="C827" s="55"/>
      <c r="D827" s="214"/>
      <c r="E827" s="122"/>
      <c r="F827" s="219"/>
      <c r="G827" s="122"/>
      <c r="H827" s="214"/>
      <c r="I827" s="220"/>
      <c r="J827" s="46"/>
      <c r="K827" s="46"/>
      <c r="L827" s="46"/>
      <c r="M827" s="46"/>
      <c r="N827" s="46"/>
      <c r="O827" s="46"/>
      <c r="P827" s="46"/>
      <c r="Q827" s="46"/>
      <c r="R827" s="46"/>
      <c r="S827" s="46"/>
      <c r="T827" s="46"/>
      <c r="U827" s="46"/>
      <c r="V827" s="46"/>
      <c r="W827" s="46"/>
    </row>
    <row r="828">
      <c r="A828" s="55"/>
      <c r="B828" s="214"/>
      <c r="C828" s="55"/>
      <c r="D828" s="214"/>
      <c r="E828" s="122"/>
      <c r="F828" s="219"/>
      <c r="G828" s="122"/>
      <c r="H828" s="214"/>
      <c r="I828" s="220"/>
      <c r="J828" s="46"/>
      <c r="K828" s="46"/>
      <c r="L828" s="46"/>
      <c r="M828" s="46"/>
      <c r="N828" s="46"/>
      <c r="O828" s="46"/>
      <c r="P828" s="46"/>
      <c r="Q828" s="46"/>
      <c r="R828" s="46"/>
      <c r="S828" s="46"/>
      <c r="T828" s="46"/>
      <c r="U828" s="46"/>
      <c r="V828" s="46"/>
      <c r="W828" s="46"/>
    </row>
    <row r="829">
      <c r="A829" s="55"/>
      <c r="B829" s="214"/>
      <c r="C829" s="55"/>
      <c r="D829" s="214"/>
      <c r="E829" s="122"/>
      <c r="F829" s="219"/>
      <c r="G829" s="122"/>
      <c r="H829" s="214"/>
      <c r="I829" s="220"/>
      <c r="J829" s="46"/>
      <c r="K829" s="46"/>
      <c r="L829" s="46"/>
      <c r="M829" s="46"/>
      <c r="N829" s="46"/>
      <c r="O829" s="46"/>
      <c r="P829" s="46"/>
      <c r="Q829" s="46"/>
      <c r="R829" s="46"/>
      <c r="S829" s="46"/>
      <c r="T829" s="46"/>
      <c r="U829" s="46"/>
      <c r="V829" s="46"/>
      <c r="W829" s="46"/>
    </row>
    <row r="830">
      <c r="A830" s="55"/>
      <c r="B830" s="214"/>
      <c r="C830" s="55"/>
      <c r="D830" s="214"/>
      <c r="E830" s="122"/>
      <c r="F830" s="219"/>
      <c r="G830" s="122"/>
      <c r="H830" s="214"/>
      <c r="I830" s="220"/>
      <c r="J830" s="46"/>
      <c r="K830" s="46"/>
      <c r="L830" s="46"/>
      <c r="M830" s="46"/>
      <c r="N830" s="46"/>
      <c r="O830" s="46"/>
      <c r="P830" s="46"/>
      <c r="Q830" s="46"/>
      <c r="R830" s="46"/>
      <c r="S830" s="46"/>
      <c r="T830" s="46"/>
      <c r="U830" s="46"/>
      <c r="V830" s="46"/>
      <c r="W830" s="46"/>
    </row>
    <row r="831">
      <c r="A831" s="55"/>
      <c r="B831" s="214"/>
      <c r="C831" s="55"/>
      <c r="D831" s="214"/>
      <c r="E831" s="122"/>
      <c r="F831" s="219"/>
      <c r="G831" s="122"/>
      <c r="H831" s="214"/>
      <c r="I831" s="220"/>
      <c r="J831" s="46"/>
      <c r="K831" s="46"/>
      <c r="L831" s="46"/>
      <c r="M831" s="46"/>
      <c r="N831" s="46"/>
      <c r="O831" s="46"/>
      <c r="P831" s="46"/>
      <c r="Q831" s="46"/>
      <c r="R831" s="46"/>
      <c r="S831" s="46"/>
      <c r="T831" s="46"/>
      <c r="U831" s="46"/>
      <c r="V831" s="46"/>
      <c r="W831" s="46"/>
    </row>
    <row r="832">
      <c r="A832" s="55"/>
      <c r="B832" s="214"/>
      <c r="C832" s="55"/>
      <c r="D832" s="214"/>
      <c r="E832" s="122"/>
      <c r="F832" s="219"/>
      <c r="G832" s="122"/>
      <c r="H832" s="214"/>
      <c r="I832" s="220"/>
      <c r="J832" s="46"/>
      <c r="K832" s="46"/>
      <c r="L832" s="46"/>
      <c r="M832" s="46"/>
      <c r="N832" s="46"/>
      <c r="O832" s="46"/>
      <c r="P832" s="46"/>
      <c r="Q832" s="46"/>
      <c r="R832" s="46"/>
      <c r="S832" s="46"/>
      <c r="T832" s="46"/>
      <c r="U832" s="46"/>
      <c r="V832" s="46"/>
      <c r="W832" s="46"/>
    </row>
    <row r="833">
      <c r="A833" s="55"/>
      <c r="B833" s="214"/>
      <c r="C833" s="55"/>
      <c r="D833" s="214"/>
      <c r="E833" s="122"/>
      <c r="F833" s="219"/>
      <c r="G833" s="122"/>
      <c r="H833" s="214"/>
      <c r="I833" s="220"/>
      <c r="J833" s="46"/>
      <c r="K833" s="46"/>
      <c r="L833" s="46"/>
      <c r="M833" s="46"/>
      <c r="N833" s="46"/>
      <c r="O833" s="46"/>
      <c r="P833" s="46"/>
      <c r="Q833" s="46"/>
      <c r="R833" s="46"/>
      <c r="S833" s="46"/>
      <c r="T833" s="46"/>
      <c r="U833" s="46"/>
      <c r="V833" s="46"/>
      <c r="W833" s="46"/>
    </row>
    <row r="834">
      <c r="A834" s="55"/>
      <c r="B834" s="214"/>
      <c r="C834" s="55"/>
      <c r="D834" s="214"/>
      <c r="E834" s="122"/>
      <c r="F834" s="219"/>
      <c r="G834" s="122"/>
      <c r="H834" s="214"/>
      <c r="I834" s="220"/>
      <c r="J834" s="46"/>
      <c r="K834" s="46"/>
      <c r="L834" s="46"/>
      <c r="M834" s="46"/>
      <c r="N834" s="46"/>
      <c r="O834" s="46"/>
      <c r="P834" s="46"/>
      <c r="Q834" s="46"/>
      <c r="R834" s="46"/>
      <c r="S834" s="46"/>
      <c r="T834" s="46"/>
      <c r="U834" s="46"/>
      <c r="V834" s="46"/>
      <c r="W834" s="46"/>
    </row>
    <row r="835">
      <c r="A835" s="55"/>
      <c r="B835" s="214"/>
      <c r="C835" s="55"/>
      <c r="D835" s="214"/>
      <c r="E835" s="122"/>
      <c r="F835" s="219"/>
      <c r="G835" s="122"/>
      <c r="H835" s="214"/>
      <c r="I835" s="220"/>
      <c r="J835" s="46"/>
      <c r="K835" s="46"/>
      <c r="L835" s="46"/>
      <c r="M835" s="46"/>
      <c r="N835" s="46"/>
      <c r="O835" s="46"/>
      <c r="P835" s="46"/>
      <c r="Q835" s="46"/>
      <c r="R835" s="46"/>
      <c r="S835" s="46"/>
      <c r="T835" s="46"/>
      <c r="U835" s="46"/>
      <c r="V835" s="46"/>
      <c r="W835" s="46"/>
    </row>
    <row r="836">
      <c r="A836" s="55"/>
      <c r="B836" s="214"/>
      <c r="C836" s="55"/>
      <c r="D836" s="214"/>
      <c r="E836" s="122"/>
      <c r="F836" s="219"/>
      <c r="G836" s="122"/>
      <c r="H836" s="214"/>
      <c r="I836" s="220"/>
      <c r="J836" s="46"/>
      <c r="K836" s="46"/>
      <c r="L836" s="46"/>
      <c r="M836" s="46"/>
      <c r="N836" s="46"/>
      <c r="O836" s="46"/>
      <c r="P836" s="46"/>
      <c r="Q836" s="46"/>
      <c r="R836" s="46"/>
      <c r="S836" s="46"/>
      <c r="T836" s="46"/>
      <c r="U836" s="46"/>
      <c r="V836" s="46"/>
      <c r="W836" s="46"/>
    </row>
    <row r="837">
      <c r="A837" s="55"/>
      <c r="B837" s="214"/>
      <c r="C837" s="55"/>
      <c r="D837" s="214"/>
      <c r="E837" s="122"/>
      <c r="F837" s="219"/>
      <c r="G837" s="122"/>
      <c r="H837" s="214"/>
      <c r="I837" s="220"/>
      <c r="J837" s="46"/>
      <c r="K837" s="46"/>
      <c r="L837" s="46"/>
      <c r="M837" s="46"/>
      <c r="N837" s="46"/>
      <c r="O837" s="46"/>
      <c r="P837" s="46"/>
      <c r="Q837" s="46"/>
      <c r="R837" s="46"/>
      <c r="S837" s="46"/>
      <c r="T837" s="46"/>
      <c r="U837" s="46"/>
      <c r="V837" s="46"/>
      <c r="W837" s="46"/>
    </row>
    <row r="838">
      <c r="A838" s="55"/>
      <c r="B838" s="214"/>
      <c r="C838" s="55"/>
      <c r="D838" s="214"/>
      <c r="E838" s="122"/>
      <c r="F838" s="219"/>
      <c r="G838" s="122"/>
      <c r="H838" s="214"/>
      <c r="I838" s="220"/>
      <c r="J838" s="46"/>
      <c r="K838" s="46"/>
      <c r="L838" s="46"/>
      <c r="M838" s="46"/>
      <c r="N838" s="46"/>
      <c r="O838" s="46"/>
      <c r="P838" s="46"/>
      <c r="Q838" s="46"/>
      <c r="R838" s="46"/>
      <c r="S838" s="46"/>
      <c r="T838" s="46"/>
      <c r="U838" s="46"/>
      <c r="V838" s="46"/>
      <c r="W838" s="46"/>
    </row>
    <row r="839">
      <c r="A839" s="55"/>
      <c r="B839" s="214"/>
      <c r="C839" s="55"/>
      <c r="D839" s="214"/>
      <c r="E839" s="122"/>
      <c r="F839" s="219"/>
      <c r="G839" s="122"/>
      <c r="H839" s="214"/>
      <c r="I839" s="220"/>
      <c r="J839" s="46"/>
      <c r="K839" s="46"/>
      <c r="L839" s="46"/>
      <c r="M839" s="46"/>
      <c r="N839" s="46"/>
      <c r="O839" s="46"/>
      <c r="P839" s="46"/>
      <c r="Q839" s="46"/>
      <c r="R839" s="46"/>
      <c r="S839" s="46"/>
      <c r="T839" s="46"/>
      <c r="U839" s="46"/>
      <c r="V839" s="46"/>
      <c r="W839" s="46"/>
    </row>
    <row r="840">
      <c r="A840" s="55"/>
      <c r="B840" s="214"/>
      <c r="C840" s="55"/>
      <c r="D840" s="214"/>
      <c r="E840" s="122"/>
      <c r="F840" s="219"/>
      <c r="G840" s="122"/>
      <c r="H840" s="214"/>
      <c r="I840" s="220"/>
      <c r="J840" s="46"/>
      <c r="K840" s="46"/>
      <c r="L840" s="46"/>
      <c r="M840" s="46"/>
      <c r="N840" s="46"/>
      <c r="O840" s="46"/>
      <c r="P840" s="46"/>
      <c r="Q840" s="46"/>
      <c r="R840" s="46"/>
      <c r="S840" s="46"/>
      <c r="T840" s="46"/>
      <c r="U840" s="46"/>
      <c r="V840" s="46"/>
      <c r="W840" s="46"/>
    </row>
    <row r="841">
      <c r="A841" s="55"/>
      <c r="B841" s="214"/>
      <c r="C841" s="55"/>
      <c r="D841" s="214"/>
      <c r="E841" s="122"/>
      <c r="F841" s="219"/>
      <c r="G841" s="122"/>
      <c r="H841" s="214"/>
      <c r="I841" s="220"/>
      <c r="J841" s="46"/>
      <c r="K841" s="46"/>
      <c r="L841" s="46"/>
      <c r="M841" s="46"/>
      <c r="N841" s="46"/>
      <c r="O841" s="46"/>
      <c r="P841" s="46"/>
      <c r="Q841" s="46"/>
      <c r="R841" s="46"/>
      <c r="S841" s="46"/>
      <c r="T841" s="46"/>
      <c r="U841" s="46"/>
      <c r="V841" s="46"/>
      <c r="W841" s="46"/>
    </row>
    <row r="842">
      <c r="A842" s="55"/>
      <c r="B842" s="214"/>
      <c r="C842" s="55"/>
      <c r="D842" s="214"/>
      <c r="E842" s="122"/>
      <c r="F842" s="219"/>
      <c r="G842" s="122"/>
      <c r="H842" s="214"/>
      <c r="I842" s="220"/>
      <c r="J842" s="46"/>
      <c r="K842" s="46"/>
      <c r="L842" s="46"/>
      <c r="M842" s="46"/>
      <c r="N842" s="46"/>
      <c r="O842" s="46"/>
      <c r="P842" s="46"/>
      <c r="Q842" s="46"/>
      <c r="R842" s="46"/>
      <c r="S842" s="46"/>
      <c r="T842" s="46"/>
      <c r="U842" s="46"/>
      <c r="V842" s="46"/>
      <c r="W842" s="46"/>
    </row>
    <row r="843">
      <c r="A843" s="55"/>
      <c r="B843" s="214"/>
      <c r="C843" s="55"/>
      <c r="D843" s="214"/>
      <c r="E843" s="122"/>
      <c r="F843" s="219"/>
      <c r="G843" s="122"/>
      <c r="H843" s="214"/>
      <c r="I843" s="220"/>
      <c r="J843" s="46"/>
      <c r="K843" s="46"/>
      <c r="L843" s="46"/>
      <c r="M843" s="46"/>
      <c r="N843" s="46"/>
      <c r="O843" s="46"/>
      <c r="P843" s="46"/>
      <c r="Q843" s="46"/>
      <c r="R843" s="46"/>
      <c r="S843" s="46"/>
      <c r="T843" s="46"/>
      <c r="U843" s="46"/>
      <c r="V843" s="46"/>
      <c r="W843" s="46"/>
    </row>
    <row r="844">
      <c r="A844" s="55"/>
      <c r="B844" s="214"/>
      <c r="C844" s="55"/>
      <c r="D844" s="214"/>
      <c r="E844" s="122"/>
      <c r="F844" s="219"/>
      <c r="G844" s="122"/>
      <c r="H844" s="214"/>
      <c r="I844" s="220"/>
      <c r="J844" s="46"/>
      <c r="K844" s="46"/>
      <c r="L844" s="46"/>
      <c r="M844" s="46"/>
      <c r="N844" s="46"/>
      <c r="O844" s="46"/>
      <c r="P844" s="46"/>
      <c r="Q844" s="46"/>
      <c r="R844" s="46"/>
      <c r="S844" s="46"/>
      <c r="T844" s="46"/>
      <c r="U844" s="46"/>
      <c r="V844" s="46"/>
      <c r="W844" s="46"/>
    </row>
    <row r="845">
      <c r="A845" s="55"/>
      <c r="B845" s="214"/>
      <c r="C845" s="55"/>
      <c r="D845" s="214"/>
      <c r="E845" s="122"/>
      <c r="F845" s="219"/>
      <c r="G845" s="122"/>
      <c r="H845" s="214"/>
      <c r="I845" s="220"/>
      <c r="J845" s="46"/>
      <c r="K845" s="46"/>
      <c r="L845" s="46"/>
      <c r="M845" s="46"/>
      <c r="N845" s="46"/>
      <c r="O845" s="46"/>
      <c r="P845" s="46"/>
      <c r="Q845" s="46"/>
      <c r="R845" s="46"/>
      <c r="S845" s="46"/>
      <c r="T845" s="46"/>
      <c r="U845" s="46"/>
      <c r="V845" s="46"/>
      <c r="W845" s="46"/>
    </row>
    <row r="846">
      <c r="A846" s="55"/>
      <c r="B846" s="214"/>
      <c r="C846" s="55"/>
      <c r="D846" s="214"/>
      <c r="E846" s="122"/>
      <c r="F846" s="219"/>
      <c r="G846" s="122"/>
      <c r="H846" s="214"/>
      <c r="I846" s="220"/>
      <c r="J846" s="46"/>
      <c r="K846" s="46"/>
      <c r="L846" s="46"/>
      <c r="M846" s="46"/>
      <c r="N846" s="46"/>
      <c r="O846" s="46"/>
      <c r="P846" s="46"/>
      <c r="Q846" s="46"/>
      <c r="R846" s="46"/>
      <c r="S846" s="46"/>
      <c r="T846" s="46"/>
      <c r="U846" s="46"/>
      <c r="V846" s="46"/>
      <c r="W846" s="46"/>
    </row>
    <row r="847">
      <c r="A847" s="55"/>
      <c r="B847" s="214"/>
      <c r="C847" s="55"/>
      <c r="D847" s="214"/>
      <c r="E847" s="122"/>
      <c r="F847" s="219"/>
      <c r="G847" s="122"/>
      <c r="H847" s="214"/>
      <c r="I847" s="220"/>
      <c r="J847" s="46"/>
      <c r="K847" s="46"/>
      <c r="L847" s="46"/>
      <c r="M847" s="46"/>
      <c r="N847" s="46"/>
      <c r="O847" s="46"/>
      <c r="P847" s="46"/>
      <c r="Q847" s="46"/>
      <c r="R847" s="46"/>
      <c r="S847" s="46"/>
      <c r="T847" s="46"/>
      <c r="U847" s="46"/>
      <c r="V847" s="46"/>
      <c r="W847" s="46"/>
    </row>
    <row r="848">
      <c r="A848" s="55"/>
      <c r="B848" s="214"/>
      <c r="C848" s="55"/>
      <c r="D848" s="214"/>
      <c r="E848" s="122"/>
      <c r="F848" s="219"/>
      <c r="G848" s="122"/>
      <c r="H848" s="214"/>
      <c r="I848" s="220"/>
      <c r="J848" s="46"/>
      <c r="K848" s="46"/>
      <c r="L848" s="46"/>
      <c r="M848" s="46"/>
      <c r="N848" s="46"/>
      <c r="O848" s="46"/>
      <c r="P848" s="46"/>
      <c r="Q848" s="46"/>
      <c r="R848" s="46"/>
      <c r="S848" s="46"/>
      <c r="T848" s="46"/>
      <c r="U848" s="46"/>
      <c r="V848" s="46"/>
      <c r="W848" s="46"/>
    </row>
    <row r="849">
      <c r="A849" s="55"/>
      <c r="B849" s="214"/>
      <c r="C849" s="55"/>
      <c r="D849" s="214"/>
      <c r="E849" s="122"/>
      <c r="F849" s="219"/>
      <c r="G849" s="122"/>
      <c r="H849" s="214"/>
      <c r="I849" s="220"/>
      <c r="J849" s="46"/>
      <c r="K849" s="46"/>
      <c r="L849" s="46"/>
      <c r="M849" s="46"/>
      <c r="N849" s="46"/>
      <c r="O849" s="46"/>
      <c r="P849" s="46"/>
      <c r="Q849" s="46"/>
      <c r="R849" s="46"/>
      <c r="S849" s="46"/>
      <c r="T849" s="46"/>
      <c r="U849" s="46"/>
      <c r="V849" s="46"/>
      <c r="W849" s="46"/>
    </row>
    <row r="850">
      <c r="A850" s="55"/>
      <c r="B850" s="214"/>
      <c r="C850" s="55"/>
      <c r="D850" s="214"/>
      <c r="E850" s="122"/>
      <c r="F850" s="219"/>
      <c r="G850" s="122"/>
      <c r="H850" s="214"/>
      <c r="I850" s="220"/>
      <c r="J850" s="46"/>
      <c r="K850" s="46"/>
      <c r="L850" s="46"/>
      <c r="M850" s="46"/>
      <c r="N850" s="46"/>
      <c r="O850" s="46"/>
      <c r="P850" s="46"/>
      <c r="Q850" s="46"/>
      <c r="R850" s="46"/>
      <c r="S850" s="46"/>
      <c r="T850" s="46"/>
      <c r="U850" s="46"/>
      <c r="V850" s="46"/>
      <c r="W850" s="46"/>
    </row>
    <row r="851">
      <c r="A851" s="55"/>
      <c r="B851" s="214"/>
      <c r="C851" s="55"/>
      <c r="D851" s="214"/>
      <c r="E851" s="122"/>
      <c r="F851" s="219"/>
      <c r="G851" s="122"/>
      <c r="H851" s="214"/>
      <c r="I851" s="220"/>
      <c r="J851" s="46"/>
      <c r="K851" s="46"/>
      <c r="L851" s="46"/>
      <c r="M851" s="46"/>
      <c r="N851" s="46"/>
      <c r="O851" s="46"/>
      <c r="P851" s="46"/>
      <c r="Q851" s="46"/>
      <c r="R851" s="46"/>
      <c r="S851" s="46"/>
      <c r="T851" s="46"/>
      <c r="U851" s="46"/>
      <c r="V851" s="46"/>
      <c r="W851" s="46"/>
    </row>
    <row r="852">
      <c r="A852" s="55"/>
      <c r="B852" s="214"/>
      <c r="C852" s="55"/>
      <c r="D852" s="214"/>
      <c r="E852" s="122"/>
      <c r="F852" s="219"/>
      <c r="G852" s="122"/>
      <c r="H852" s="214"/>
      <c r="I852" s="220"/>
      <c r="J852" s="46"/>
      <c r="K852" s="46"/>
      <c r="L852" s="46"/>
      <c r="M852" s="46"/>
      <c r="N852" s="46"/>
      <c r="O852" s="46"/>
      <c r="P852" s="46"/>
      <c r="Q852" s="46"/>
      <c r="R852" s="46"/>
      <c r="S852" s="46"/>
      <c r="T852" s="46"/>
      <c r="U852" s="46"/>
      <c r="V852" s="46"/>
      <c r="W852" s="46"/>
    </row>
    <row r="853">
      <c r="A853" s="55"/>
      <c r="B853" s="214"/>
      <c r="C853" s="55"/>
      <c r="D853" s="214"/>
      <c r="E853" s="122"/>
      <c r="F853" s="219"/>
      <c r="G853" s="122"/>
      <c r="H853" s="214"/>
      <c r="I853" s="220"/>
      <c r="J853" s="46"/>
      <c r="K853" s="46"/>
      <c r="L853" s="46"/>
      <c r="M853" s="46"/>
      <c r="N853" s="46"/>
      <c r="O853" s="46"/>
      <c r="P853" s="46"/>
      <c r="Q853" s="46"/>
      <c r="R853" s="46"/>
      <c r="S853" s="46"/>
      <c r="T853" s="46"/>
      <c r="U853" s="46"/>
      <c r="V853" s="46"/>
      <c r="W853" s="46"/>
    </row>
    <row r="854">
      <c r="A854" s="55"/>
      <c r="B854" s="214"/>
      <c r="C854" s="55"/>
      <c r="D854" s="214"/>
      <c r="E854" s="122"/>
      <c r="F854" s="219"/>
      <c r="G854" s="122"/>
      <c r="H854" s="214"/>
      <c r="I854" s="220"/>
      <c r="J854" s="46"/>
      <c r="K854" s="46"/>
      <c r="L854" s="46"/>
      <c r="M854" s="46"/>
      <c r="N854" s="46"/>
      <c r="O854" s="46"/>
      <c r="P854" s="46"/>
      <c r="Q854" s="46"/>
      <c r="R854" s="46"/>
      <c r="S854" s="46"/>
      <c r="T854" s="46"/>
      <c r="U854" s="46"/>
      <c r="V854" s="46"/>
      <c r="W854" s="46"/>
    </row>
    <row r="855">
      <c r="A855" s="55"/>
      <c r="B855" s="214"/>
      <c r="C855" s="55"/>
      <c r="D855" s="214"/>
      <c r="E855" s="122"/>
      <c r="F855" s="219"/>
      <c r="G855" s="122"/>
      <c r="H855" s="214"/>
      <c r="I855" s="220"/>
      <c r="J855" s="46"/>
      <c r="K855" s="46"/>
      <c r="L855" s="46"/>
      <c r="M855" s="46"/>
      <c r="N855" s="46"/>
      <c r="O855" s="46"/>
      <c r="P855" s="46"/>
      <c r="Q855" s="46"/>
      <c r="R855" s="46"/>
      <c r="S855" s="46"/>
      <c r="T855" s="46"/>
      <c r="U855" s="46"/>
      <c r="V855" s="46"/>
      <c r="W855" s="46"/>
    </row>
    <row r="856">
      <c r="A856" s="55"/>
      <c r="B856" s="214"/>
      <c r="C856" s="55"/>
      <c r="D856" s="214"/>
      <c r="E856" s="122"/>
      <c r="F856" s="219"/>
      <c r="G856" s="122"/>
      <c r="H856" s="214"/>
      <c r="I856" s="220"/>
      <c r="J856" s="46"/>
      <c r="K856" s="46"/>
      <c r="L856" s="46"/>
      <c r="M856" s="46"/>
      <c r="N856" s="46"/>
      <c r="O856" s="46"/>
      <c r="P856" s="46"/>
      <c r="Q856" s="46"/>
      <c r="R856" s="46"/>
      <c r="S856" s="46"/>
      <c r="T856" s="46"/>
      <c r="U856" s="46"/>
      <c r="V856" s="46"/>
      <c r="W856" s="46"/>
    </row>
    <row r="857">
      <c r="A857" s="55"/>
      <c r="B857" s="214"/>
      <c r="C857" s="55"/>
      <c r="D857" s="214"/>
      <c r="E857" s="122"/>
      <c r="F857" s="219"/>
      <c r="G857" s="122"/>
      <c r="H857" s="214"/>
      <c r="I857" s="220"/>
      <c r="J857" s="46"/>
      <c r="K857" s="46"/>
      <c r="L857" s="46"/>
      <c r="M857" s="46"/>
      <c r="N857" s="46"/>
      <c r="O857" s="46"/>
      <c r="P857" s="46"/>
      <c r="Q857" s="46"/>
      <c r="R857" s="46"/>
      <c r="S857" s="46"/>
      <c r="T857" s="46"/>
      <c r="U857" s="46"/>
      <c r="V857" s="46"/>
      <c r="W857" s="46"/>
    </row>
    <row r="858">
      <c r="A858" s="55"/>
      <c r="B858" s="214"/>
      <c r="C858" s="55"/>
      <c r="D858" s="214"/>
      <c r="E858" s="122"/>
      <c r="F858" s="219"/>
      <c r="G858" s="122"/>
      <c r="H858" s="214"/>
      <c r="I858" s="220"/>
      <c r="J858" s="46"/>
      <c r="K858" s="46"/>
      <c r="L858" s="46"/>
      <c r="M858" s="46"/>
      <c r="N858" s="46"/>
      <c r="O858" s="46"/>
      <c r="P858" s="46"/>
      <c r="Q858" s="46"/>
      <c r="R858" s="46"/>
      <c r="S858" s="46"/>
      <c r="T858" s="46"/>
      <c r="U858" s="46"/>
      <c r="V858" s="46"/>
      <c r="W858" s="46"/>
    </row>
    <row r="859">
      <c r="A859" s="55"/>
      <c r="B859" s="214"/>
      <c r="C859" s="55"/>
      <c r="D859" s="214"/>
      <c r="E859" s="122"/>
      <c r="F859" s="219"/>
      <c r="G859" s="122"/>
      <c r="H859" s="214"/>
      <c r="I859" s="220"/>
      <c r="J859" s="46"/>
      <c r="K859" s="46"/>
      <c r="L859" s="46"/>
      <c r="M859" s="46"/>
      <c r="N859" s="46"/>
      <c r="O859" s="46"/>
      <c r="P859" s="46"/>
      <c r="Q859" s="46"/>
      <c r="R859" s="46"/>
      <c r="S859" s="46"/>
      <c r="T859" s="46"/>
      <c r="U859" s="46"/>
      <c r="V859" s="46"/>
      <c r="W859" s="46"/>
    </row>
    <row r="860">
      <c r="A860" s="55"/>
      <c r="B860" s="214"/>
      <c r="C860" s="55"/>
      <c r="D860" s="214"/>
      <c r="E860" s="122"/>
      <c r="F860" s="219"/>
      <c r="G860" s="122"/>
      <c r="H860" s="214"/>
      <c r="I860" s="220"/>
      <c r="J860" s="46"/>
      <c r="K860" s="46"/>
      <c r="L860" s="46"/>
      <c r="M860" s="46"/>
      <c r="N860" s="46"/>
      <c r="O860" s="46"/>
      <c r="P860" s="46"/>
      <c r="Q860" s="46"/>
      <c r="R860" s="46"/>
      <c r="S860" s="46"/>
      <c r="T860" s="46"/>
      <c r="U860" s="46"/>
      <c r="V860" s="46"/>
      <c r="W860" s="46"/>
    </row>
    <row r="861">
      <c r="A861" s="55"/>
      <c r="B861" s="214"/>
      <c r="C861" s="55"/>
      <c r="D861" s="214"/>
      <c r="E861" s="122"/>
      <c r="F861" s="219"/>
      <c r="G861" s="122"/>
      <c r="H861" s="214"/>
      <c r="I861" s="220"/>
      <c r="J861" s="46"/>
      <c r="K861" s="46"/>
      <c r="L861" s="46"/>
      <c r="M861" s="46"/>
      <c r="N861" s="46"/>
      <c r="O861" s="46"/>
      <c r="P861" s="46"/>
      <c r="Q861" s="46"/>
      <c r="R861" s="46"/>
      <c r="S861" s="46"/>
      <c r="T861" s="46"/>
      <c r="U861" s="46"/>
      <c r="V861" s="46"/>
      <c r="W861" s="46"/>
    </row>
    <row r="862">
      <c r="A862" s="55"/>
      <c r="B862" s="214"/>
      <c r="C862" s="55"/>
      <c r="D862" s="214"/>
      <c r="E862" s="122"/>
      <c r="F862" s="219"/>
      <c r="G862" s="122"/>
      <c r="H862" s="214"/>
      <c r="I862" s="220"/>
      <c r="J862" s="46"/>
      <c r="K862" s="46"/>
      <c r="L862" s="46"/>
      <c r="M862" s="46"/>
      <c r="N862" s="46"/>
      <c r="O862" s="46"/>
      <c r="P862" s="46"/>
      <c r="Q862" s="46"/>
      <c r="R862" s="46"/>
      <c r="S862" s="46"/>
      <c r="T862" s="46"/>
      <c r="U862" s="46"/>
      <c r="V862" s="46"/>
      <c r="W862" s="46"/>
    </row>
    <row r="863">
      <c r="A863" s="55"/>
      <c r="B863" s="214"/>
      <c r="C863" s="55"/>
      <c r="D863" s="214"/>
      <c r="E863" s="122"/>
      <c r="F863" s="219"/>
      <c r="G863" s="122"/>
      <c r="H863" s="214"/>
      <c r="I863" s="220"/>
      <c r="J863" s="46"/>
      <c r="K863" s="46"/>
      <c r="L863" s="46"/>
      <c r="M863" s="46"/>
      <c r="N863" s="46"/>
      <c r="O863" s="46"/>
      <c r="P863" s="46"/>
      <c r="Q863" s="46"/>
      <c r="R863" s="46"/>
      <c r="S863" s="46"/>
      <c r="T863" s="46"/>
      <c r="U863" s="46"/>
      <c r="V863" s="46"/>
      <c r="W863" s="46"/>
    </row>
    <row r="864">
      <c r="A864" s="55"/>
      <c r="B864" s="214"/>
      <c r="C864" s="55"/>
      <c r="D864" s="214"/>
      <c r="E864" s="122"/>
      <c r="F864" s="219"/>
      <c r="G864" s="122"/>
      <c r="H864" s="214"/>
      <c r="I864" s="220"/>
      <c r="J864" s="46"/>
      <c r="K864" s="46"/>
      <c r="L864" s="46"/>
      <c r="M864" s="46"/>
      <c r="N864" s="46"/>
      <c r="O864" s="46"/>
      <c r="P864" s="46"/>
      <c r="Q864" s="46"/>
      <c r="R864" s="46"/>
      <c r="S864" s="46"/>
      <c r="T864" s="46"/>
      <c r="U864" s="46"/>
      <c r="V864" s="46"/>
      <c r="W864" s="46"/>
    </row>
    <row r="865">
      <c r="A865" s="55"/>
      <c r="B865" s="214"/>
      <c r="C865" s="55"/>
      <c r="D865" s="214"/>
      <c r="E865" s="122"/>
      <c r="F865" s="219"/>
      <c r="G865" s="122"/>
      <c r="H865" s="214"/>
      <c r="I865" s="220"/>
      <c r="J865" s="46"/>
      <c r="K865" s="46"/>
      <c r="L865" s="46"/>
      <c r="M865" s="46"/>
      <c r="N865" s="46"/>
      <c r="O865" s="46"/>
      <c r="P865" s="46"/>
      <c r="Q865" s="46"/>
      <c r="R865" s="46"/>
      <c r="S865" s="46"/>
      <c r="T865" s="46"/>
      <c r="U865" s="46"/>
      <c r="V865" s="46"/>
      <c r="W865" s="46"/>
    </row>
    <row r="866">
      <c r="A866" s="55"/>
      <c r="B866" s="214"/>
      <c r="C866" s="55"/>
      <c r="D866" s="214"/>
      <c r="E866" s="122"/>
      <c r="F866" s="219"/>
      <c r="G866" s="122"/>
      <c r="H866" s="214"/>
      <c r="I866" s="220"/>
      <c r="J866" s="46"/>
      <c r="K866" s="46"/>
      <c r="L866" s="46"/>
      <c r="M866" s="46"/>
      <c r="N866" s="46"/>
      <c r="O866" s="46"/>
      <c r="P866" s="46"/>
      <c r="Q866" s="46"/>
      <c r="R866" s="46"/>
      <c r="S866" s="46"/>
      <c r="T866" s="46"/>
      <c r="U866" s="46"/>
      <c r="V866" s="46"/>
      <c r="W866" s="46"/>
    </row>
    <row r="867">
      <c r="A867" s="55"/>
      <c r="B867" s="214"/>
      <c r="C867" s="55"/>
      <c r="D867" s="214"/>
      <c r="E867" s="122"/>
      <c r="F867" s="219"/>
      <c r="G867" s="122"/>
      <c r="H867" s="214"/>
      <c r="I867" s="220"/>
      <c r="J867" s="46"/>
      <c r="K867" s="46"/>
      <c r="L867" s="46"/>
      <c r="M867" s="46"/>
      <c r="N867" s="46"/>
      <c r="O867" s="46"/>
      <c r="P867" s="46"/>
      <c r="Q867" s="46"/>
      <c r="R867" s="46"/>
      <c r="S867" s="46"/>
      <c r="T867" s="46"/>
      <c r="U867" s="46"/>
      <c r="V867" s="46"/>
      <c r="W867" s="46"/>
    </row>
    <row r="868">
      <c r="A868" s="55"/>
      <c r="B868" s="214"/>
      <c r="C868" s="55"/>
      <c r="D868" s="214"/>
      <c r="E868" s="122"/>
      <c r="F868" s="219"/>
      <c r="G868" s="122"/>
      <c r="H868" s="214"/>
      <c r="I868" s="220"/>
      <c r="J868" s="46"/>
      <c r="K868" s="46"/>
      <c r="L868" s="46"/>
      <c r="M868" s="46"/>
      <c r="N868" s="46"/>
      <c r="O868" s="46"/>
      <c r="P868" s="46"/>
      <c r="Q868" s="46"/>
      <c r="R868" s="46"/>
      <c r="S868" s="46"/>
      <c r="T868" s="46"/>
      <c r="U868" s="46"/>
      <c r="V868" s="46"/>
      <c r="W868" s="46"/>
    </row>
    <row r="869">
      <c r="A869" s="55"/>
      <c r="B869" s="214"/>
      <c r="C869" s="55"/>
      <c r="D869" s="214"/>
      <c r="E869" s="122"/>
      <c r="F869" s="219"/>
      <c r="G869" s="122"/>
      <c r="H869" s="214"/>
      <c r="I869" s="220"/>
      <c r="J869" s="46"/>
      <c r="K869" s="46"/>
      <c r="L869" s="46"/>
      <c r="M869" s="46"/>
      <c r="N869" s="46"/>
      <c r="O869" s="46"/>
      <c r="P869" s="46"/>
      <c r="Q869" s="46"/>
      <c r="R869" s="46"/>
      <c r="S869" s="46"/>
      <c r="T869" s="46"/>
      <c r="U869" s="46"/>
      <c r="V869" s="46"/>
      <c r="W869" s="46"/>
    </row>
    <row r="870">
      <c r="A870" s="55"/>
      <c r="B870" s="214"/>
      <c r="C870" s="55"/>
      <c r="D870" s="214"/>
      <c r="E870" s="122"/>
      <c r="F870" s="219"/>
      <c r="G870" s="122"/>
      <c r="H870" s="214"/>
      <c r="I870" s="220"/>
      <c r="J870" s="46"/>
      <c r="K870" s="46"/>
      <c r="L870" s="46"/>
      <c r="M870" s="46"/>
      <c r="N870" s="46"/>
      <c r="O870" s="46"/>
      <c r="P870" s="46"/>
      <c r="Q870" s="46"/>
      <c r="R870" s="46"/>
      <c r="S870" s="46"/>
      <c r="T870" s="46"/>
      <c r="U870" s="46"/>
      <c r="V870" s="46"/>
      <c r="W870" s="46"/>
    </row>
    <row r="871">
      <c r="A871" s="55"/>
      <c r="B871" s="214"/>
      <c r="C871" s="55"/>
      <c r="D871" s="214"/>
      <c r="E871" s="122"/>
      <c r="F871" s="219"/>
      <c r="G871" s="122"/>
      <c r="H871" s="214"/>
      <c r="I871" s="220"/>
      <c r="J871" s="46"/>
      <c r="K871" s="46"/>
      <c r="L871" s="46"/>
      <c r="M871" s="46"/>
      <c r="N871" s="46"/>
      <c r="O871" s="46"/>
      <c r="P871" s="46"/>
      <c r="Q871" s="46"/>
      <c r="R871" s="46"/>
      <c r="S871" s="46"/>
      <c r="T871" s="46"/>
      <c r="U871" s="46"/>
      <c r="V871" s="46"/>
      <c r="W871" s="46"/>
    </row>
    <row r="872">
      <c r="A872" s="55"/>
      <c r="B872" s="214"/>
      <c r="C872" s="55"/>
      <c r="D872" s="214"/>
      <c r="E872" s="122"/>
      <c r="F872" s="219"/>
      <c r="G872" s="122"/>
      <c r="H872" s="214"/>
      <c r="I872" s="220"/>
      <c r="J872" s="46"/>
      <c r="K872" s="46"/>
      <c r="L872" s="46"/>
      <c r="M872" s="46"/>
      <c r="N872" s="46"/>
      <c r="O872" s="46"/>
      <c r="P872" s="46"/>
      <c r="Q872" s="46"/>
      <c r="R872" s="46"/>
      <c r="S872" s="46"/>
      <c r="T872" s="46"/>
      <c r="U872" s="46"/>
      <c r="V872" s="46"/>
      <c r="W872" s="46"/>
    </row>
    <row r="873">
      <c r="A873" s="55"/>
      <c r="B873" s="214"/>
      <c r="C873" s="55"/>
      <c r="D873" s="214"/>
      <c r="E873" s="122"/>
      <c r="F873" s="219"/>
      <c r="G873" s="122"/>
      <c r="H873" s="214"/>
      <c r="I873" s="220"/>
      <c r="J873" s="46"/>
      <c r="K873" s="46"/>
      <c r="L873" s="46"/>
      <c r="M873" s="46"/>
      <c r="N873" s="46"/>
      <c r="O873" s="46"/>
      <c r="P873" s="46"/>
      <c r="Q873" s="46"/>
      <c r="R873" s="46"/>
      <c r="S873" s="46"/>
      <c r="T873" s="46"/>
      <c r="U873" s="46"/>
      <c r="V873" s="46"/>
      <c r="W873" s="46"/>
    </row>
    <row r="874">
      <c r="A874" s="55"/>
      <c r="B874" s="214"/>
      <c r="C874" s="55"/>
      <c r="D874" s="214"/>
      <c r="E874" s="122"/>
      <c r="F874" s="219"/>
      <c r="G874" s="122"/>
      <c r="H874" s="214"/>
      <c r="I874" s="220"/>
      <c r="J874" s="46"/>
      <c r="K874" s="46"/>
      <c r="L874" s="46"/>
      <c r="M874" s="46"/>
      <c r="N874" s="46"/>
      <c r="O874" s="46"/>
      <c r="P874" s="46"/>
      <c r="Q874" s="46"/>
      <c r="R874" s="46"/>
      <c r="S874" s="46"/>
      <c r="T874" s="46"/>
      <c r="U874" s="46"/>
      <c r="V874" s="46"/>
      <c r="W874" s="46"/>
    </row>
    <row r="875">
      <c r="A875" s="55"/>
      <c r="B875" s="214"/>
      <c r="C875" s="55"/>
      <c r="D875" s="214"/>
      <c r="E875" s="122"/>
      <c r="F875" s="219"/>
      <c r="G875" s="122"/>
      <c r="H875" s="214"/>
      <c r="I875" s="220"/>
      <c r="J875" s="46"/>
      <c r="K875" s="46"/>
      <c r="L875" s="46"/>
      <c r="M875" s="46"/>
      <c r="N875" s="46"/>
      <c r="O875" s="46"/>
      <c r="P875" s="46"/>
      <c r="Q875" s="46"/>
      <c r="R875" s="46"/>
      <c r="S875" s="46"/>
      <c r="T875" s="46"/>
      <c r="U875" s="46"/>
      <c r="V875" s="46"/>
      <c r="W875" s="46"/>
    </row>
    <row r="876">
      <c r="A876" s="55"/>
      <c r="B876" s="214"/>
      <c r="C876" s="55"/>
      <c r="D876" s="214"/>
      <c r="E876" s="122"/>
      <c r="F876" s="219"/>
      <c r="G876" s="122"/>
      <c r="H876" s="214"/>
      <c r="I876" s="220"/>
      <c r="J876" s="46"/>
      <c r="K876" s="46"/>
      <c r="L876" s="46"/>
      <c r="M876" s="46"/>
      <c r="N876" s="46"/>
      <c r="O876" s="46"/>
      <c r="P876" s="46"/>
      <c r="Q876" s="46"/>
      <c r="R876" s="46"/>
      <c r="S876" s="46"/>
      <c r="T876" s="46"/>
      <c r="U876" s="46"/>
      <c r="V876" s="46"/>
      <c r="W876" s="46"/>
    </row>
    <row r="877">
      <c r="A877" s="55"/>
      <c r="B877" s="214"/>
      <c r="C877" s="55"/>
      <c r="D877" s="214"/>
      <c r="E877" s="122"/>
      <c r="F877" s="219"/>
      <c r="G877" s="122"/>
      <c r="H877" s="214"/>
      <c r="I877" s="220"/>
      <c r="J877" s="46"/>
      <c r="K877" s="46"/>
      <c r="L877" s="46"/>
      <c r="M877" s="46"/>
      <c r="N877" s="46"/>
      <c r="O877" s="46"/>
      <c r="P877" s="46"/>
      <c r="Q877" s="46"/>
      <c r="R877" s="46"/>
      <c r="S877" s="46"/>
      <c r="T877" s="46"/>
      <c r="U877" s="46"/>
      <c r="V877" s="46"/>
      <c r="W877" s="46"/>
    </row>
    <row r="878">
      <c r="A878" s="55"/>
      <c r="B878" s="214"/>
      <c r="C878" s="55"/>
      <c r="D878" s="214"/>
      <c r="E878" s="122"/>
      <c r="F878" s="219"/>
      <c r="G878" s="122"/>
      <c r="H878" s="214"/>
      <c r="I878" s="220"/>
      <c r="J878" s="46"/>
      <c r="K878" s="46"/>
      <c r="L878" s="46"/>
      <c r="M878" s="46"/>
      <c r="N878" s="46"/>
      <c r="O878" s="46"/>
      <c r="P878" s="46"/>
      <c r="Q878" s="46"/>
      <c r="R878" s="46"/>
      <c r="S878" s="46"/>
      <c r="T878" s="46"/>
      <c r="U878" s="46"/>
      <c r="V878" s="46"/>
      <c r="W878" s="46"/>
    </row>
    <row r="879">
      <c r="A879" s="55"/>
      <c r="B879" s="214"/>
      <c r="C879" s="55"/>
      <c r="D879" s="214"/>
      <c r="E879" s="122"/>
      <c r="F879" s="219"/>
      <c r="G879" s="122"/>
      <c r="H879" s="214"/>
      <c r="I879" s="220"/>
      <c r="J879" s="46"/>
      <c r="K879" s="46"/>
      <c r="L879" s="46"/>
      <c r="M879" s="46"/>
      <c r="N879" s="46"/>
      <c r="O879" s="46"/>
      <c r="P879" s="46"/>
      <c r="Q879" s="46"/>
      <c r="R879" s="46"/>
      <c r="S879" s="46"/>
      <c r="T879" s="46"/>
      <c r="U879" s="46"/>
      <c r="V879" s="46"/>
      <c r="W879" s="46"/>
    </row>
    <row r="880">
      <c r="A880" s="55"/>
      <c r="B880" s="214"/>
      <c r="C880" s="55"/>
      <c r="D880" s="214"/>
      <c r="E880" s="122"/>
      <c r="F880" s="219"/>
      <c r="G880" s="122"/>
      <c r="H880" s="214"/>
      <c r="I880" s="220"/>
      <c r="J880" s="46"/>
      <c r="K880" s="46"/>
      <c r="L880" s="46"/>
      <c r="M880" s="46"/>
      <c r="N880" s="46"/>
      <c r="O880" s="46"/>
      <c r="P880" s="46"/>
      <c r="Q880" s="46"/>
      <c r="R880" s="46"/>
      <c r="S880" s="46"/>
      <c r="T880" s="46"/>
      <c r="U880" s="46"/>
      <c r="V880" s="46"/>
      <c r="W880" s="46"/>
    </row>
    <row r="881">
      <c r="A881" s="55"/>
      <c r="B881" s="214"/>
      <c r="C881" s="55"/>
      <c r="D881" s="214"/>
      <c r="E881" s="122"/>
      <c r="F881" s="219"/>
      <c r="G881" s="122"/>
      <c r="H881" s="214"/>
      <c r="I881" s="220"/>
      <c r="J881" s="46"/>
      <c r="K881" s="46"/>
      <c r="L881" s="46"/>
      <c r="M881" s="46"/>
      <c r="N881" s="46"/>
      <c r="O881" s="46"/>
      <c r="P881" s="46"/>
      <c r="Q881" s="46"/>
      <c r="R881" s="46"/>
      <c r="S881" s="46"/>
      <c r="T881" s="46"/>
      <c r="U881" s="46"/>
      <c r="V881" s="46"/>
      <c r="W881" s="46"/>
    </row>
    <row r="882">
      <c r="A882" s="55"/>
      <c r="B882" s="214"/>
      <c r="C882" s="55"/>
      <c r="D882" s="214"/>
      <c r="E882" s="122"/>
      <c r="F882" s="219"/>
      <c r="G882" s="122"/>
      <c r="H882" s="214"/>
      <c r="I882" s="220"/>
      <c r="J882" s="46"/>
      <c r="K882" s="46"/>
      <c r="L882" s="46"/>
      <c r="M882" s="46"/>
      <c r="N882" s="46"/>
      <c r="O882" s="46"/>
      <c r="P882" s="46"/>
      <c r="Q882" s="46"/>
      <c r="R882" s="46"/>
      <c r="S882" s="46"/>
      <c r="T882" s="46"/>
      <c r="U882" s="46"/>
      <c r="V882" s="46"/>
      <c r="W882" s="46"/>
    </row>
    <row r="883">
      <c r="A883" s="55"/>
      <c r="B883" s="214"/>
      <c r="C883" s="55"/>
      <c r="D883" s="214"/>
      <c r="E883" s="122"/>
      <c r="F883" s="219"/>
      <c r="G883" s="122"/>
      <c r="H883" s="214"/>
      <c r="I883" s="220"/>
      <c r="J883" s="46"/>
      <c r="K883" s="46"/>
      <c r="L883" s="46"/>
      <c r="M883" s="46"/>
      <c r="N883" s="46"/>
      <c r="O883" s="46"/>
      <c r="P883" s="46"/>
      <c r="Q883" s="46"/>
      <c r="R883" s="46"/>
      <c r="S883" s="46"/>
      <c r="T883" s="46"/>
      <c r="U883" s="46"/>
      <c r="V883" s="46"/>
      <c r="W883" s="46"/>
    </row>
    <row r="884">
      <c r="A884" s="55"/>
      <c r="B884" s="214"/>
      <c r="C884" s="55"/>
      <c r="D884" s="214"/>
      <c r="E884" s="122"/>
      <c r="F884" s="219"/>
      <c r="G884" s="122"/>
      <c r="H884" s="214"/>
      <c r="I884" s="220"/>
      <c r="J884" s="46"/>
      <c r="K884" s="46"/>
      <c r="L884" s="46"/>
      <c r="M884" s="46"/>
      <c r="N884" s="46"/>
      <c r="O884" s="46"/>
      <c r="P884" s="46"/>
      <c r="Q884" s="46"/>
      <c r="R884" s="46"/>
      <c r="S884" s="46"/>
      <c r="T884" s="46"/>
      <c r="U884" s="46"/>
      <c r="V884" s="46"/>
      <c r="W884" s="46"/>
    </row>
    <row r="885">
      <c r="A885" s="55"/>
      <c r="B885" s="214"/>
      <c r="C885" s="55"/>
      <c r="D885" s="214"/>
      <c r="E885" s="122"/>
      <c r="F885" s="219"/>
      <c r="G885" s="122"/>
      <c r="H885" s="214"/>
      <c r="I885" s="220"/>
      <c r="J885" s="46"/>
      <c r="K885" s="46"/>
      <c r="L885" s="46"/>
      <c r="M885" s="46"/>
      <c r="N885" s="46"/>
      <c r="O885" s="46"/>
      <c r="P885" s="46"/>
      <c r="Q885" s="46"/>
      <c r="R885" s="46"/>
      <c r="S885" s="46"/>
      <c r="T885" s="46"/>
      <c r="U885" s="46"/>
      <c r="V885" s="46"/>
      <c r="W885" s="46"/>
    </row>
    <row r="886">
      <c r="A886" s="55"/>
      <c r="B886" s="214"/>
      <c r="C886" s="55"/>
      <c r="D886" s="214"/>
      <c r="E886" s="122"/>
      <c r="F886" s="219"/>
      <c r="G886" s="122"/>
      <c r="H886" s="214"/>
      <c r="I886" s="220"/>
      <c r="J886" s="46"/>
      <c r="K886" s="46"/>
      <c r="L886" s="46"/>
      <c r="M886" s="46"/>
      <c r="N886" s="46"/>
      <c r="O886" s="46"/>
      <c r="P886" s="46"/>
      <c r="Q886" s="46"/>
      <c r="R886" s="46"/>
      <c r="S886" s="46"/>
      <c r="T886" s="46"/>
      <c r="U886" s="46"/>
      <c r="V886" s="46"/>
      <c r="W886" s="46"/>
    </row>
    <row r="887">
      <c r="A887" s="55"/>
      <c r="B887" s="214"/>
      <c r="C887" s="55"/>
      <c r="D887" s="214"/>
      <c r="E887" s="122"/>
      <c r="F887" s="219"/>
      <c r="G887" s="122"/>
      <c r="H887" s="214"/>
      <c r="I887" s="220"/>
      <c r="J887" s="46"/>
      <c r="K887" s="46"/>
      <c r="L887" s="46"/>
      <c r="M887" s="46"/>
      <c r="N887" s="46"/>
      <c r="O887" s="46"/>
      <c r="P887" s="46"/>
      <c r="Q887" s="46"/>
      <c r="R887" s="46"/>
      <c r="S887" s="46"/>
      <c r="T887" s="46"/>
      <c r="U887" s="46"/>
      <c r="V887" s="46"/>
      <c r="W887" s="46"/>
    </row>
    <row r="888">
      <c r="A888" s="55"/>
      <c r="B888" s="214"/>
      <c r="C888" s="55"/>
      <c r="D888" s="214"/>
      <c r="E888" s="122"/>
      <c r="F888" s="219"/>
      <c r="G888" s="122"/>
      <c r="H888" s="214"/>
      <c r="I888" s="220"/>
      <c r="J888" s="46"/>
      <c r="K888" s="46"/>
      <c r="L888" s="46"/>
      <c r="M888" s="46"/>
      <c r="N888" s="46"/>
      <c r="O888" s="46"/>
      <c r="P888" s="46"/>
      <c r="Q888" s="46"/>
      <c r="R888" s="46"/>
      <c r="S888" s="46"/>
      <c r="T888" s="46"/>
      <c r="U888" s="46"/>
      <c r="V888" s="46"/>
      <c r="W888" s="46"/>
    </row>
    <row r="889">
      <c r="A889" s="55"/>
      <c r="B889" s="214"/>
      <c r="C889" s="55"/>
      <c r="D889" s="214"/>
      <c r="E889" s="122"/>
      <c r="F889" s="219"/>
      <c r="G889" s="122"/>
      <c r="H889" s="214"/>
      <c r="I889" s="220"/>
      <c r="J889" s="46"/>
      <c r="K889" s="46"/>
      <c r="L889" s="46"/>
      <c r="M889" s="46"/>
      <c r="N889" s="46"/>
      <c r="O889" s="46"/>
      <c r="P889" s="46"/>
      <c r="Q889" s="46"/>
      <c r="R889" s="46"/>
      <c r="S889" s="46"/>
      <c r="T889" s="46"/>
      <c r="U889" s="46"/>
      <c r="V889" s="46"/>
      <c r="W889" s="46"/>
    </row>
    <row r="890">
      <c r="A890" s="55"/>
      <c r="B890" s="214"/>
      <c r="C890" s="55"/>
      <c r="D890" s="214"/>
      <c r="E890" s="122"/>
      <c r="F890" s="219"/>
      <c r="G890" s="122"/>
      <c r="H890" s="214"/>
      <c r="I890" s="220"/>
      <c r="J890" s="46"/>
      <c r="K890" s="46"/>
      <c r="L890" s="46"/>
      <c r="M890" s="46"/>
      <c r="N890" s="46"/>
      <c r="O890" s="46"/>
      <c r="P890" s="46"/>
      <c r="Q890" s="46"/>
      <c r="R890" s="46"/>
      <c r="S890" s="46"/>
      <c r="T890" s="46"/>
      <c r="U890" s="46"/>
      <c r="V890" s="46"/>
      <c r="W890" s="46"/>
    </row>
    <row r="891">
      <c r="A891" s="55"/>
      <c r="B891" s="214"/>
      <c r="C891" s="55"/>
      <c r="D891" s="214"/>
      <c r="E891" s="122"/>
      <c r="F891" s="219"/>
      <c r="G891" s="122"/>
      <c r="H891" s="214"/>
      <c r="I891" s="220"/>
      <c r="J891" s="46"/>
      <c r="K891" s="46"/>
      <c r="L891" s="46"/>
      <c r="M891" s="46"/>
      <c r="N891" s="46"/>
      <c r="O891" s="46"/>
      <c r="P891" s="46"/>
      <c r="Q891" s="46"/>
      <c r="R891" s="46"/>
      <c r="S891" s="46"/>
      <c r="T891" s="46"/>
      <c r="U891" s="46"/>
      <c r="V891" s="46"/>
      <c r="W891" s="46"/>
    </row>
    <row r="892">
      <c r="A892" s="55"/>
      <c r="B892" s="214"/>
      <c r="C892" s="55"/>
      <c r="D892" s="214"/>
      <c r="E892" s="122"/>
      <c r="F892" s="219"/>
      <c r="G892" s="122"/>
      <c r="H892" s="214"/>
      <c r="I892" s="220"/>
      <c r="J892" s="46"/>
      <c r="K892" s="46"/>
      <c r="L892" s="46"/>
      <c r="M892" s="46"/>
      <c r="N892" s="46"/>
      <c r="O892" s="46"/>
      <c r="P892" s="46"/>
      <c r="Q892" s="46"/>
      <c r="R892" s="46"/>
      <c r="S892" s="46"/>
      <c r="T892" s="46"/>
      <c r="U892" s="46"/>
      <c r="V892" s="46"/>
      <c r="W892" s="46"/>
    </row>
    <row r="893">
      <c r="A893" s="55"/>
      <c r="B893" s="214"/>
      <c r="C893" s="55"/>
      <c r="D893" s="214"/>
      <c r="E893" s="122"/>
      <c r="F893" s="219"/>
      <c r="G893" s="122"/>
      <c r="H893" s="214"/>
      <c r="I893" s="220"/>
      <c r="J893" s="46"/>
      <c r="K893" s="46"/>
      <c r="L893" s="46"/>
      <c r="M893" s="46"/>
      <c r="N893" s="46"/>
      <c r="O893" s="46"/>
      <c r="P893" s="46"/>
      <c r="Q893" s="46"/>
      <c r="R893" s="46"/>
      <c r="S893" s="46"/>
      <c r="T893" s="46"/>
      <c r="U893" s="46"/>
      <c r="V893" s="46"/>
      <c r="W893" s="46"/>
    </row>
    <row r="894">
      <c r="A894" s="55"/>
      <c r="B894" s="214"/>
      <c r="C894" s="55"/>
      <c r="D894" s="214"/>
      <c r="E894" s="122"/>
      <c r="F894" s="219"/>
      <c r="G894" s="122"/>
      <c r="H894" s="214"/>
      <c r="I894" s="220"/>
      <c r="J894" s="46"/>
      <c r="K894" s="46"/>
      <c r="L894" s="46"/>
      <c r="M894" s="46"/>
      <c r="N894" s="46"/>
      <c r="O894" s="46"/>
      <c r="P894" s="46"/>
      <c r="Q894" s="46"/>
      <c r="R894" s="46"/>
      <c r="S894" s="46"/>
      <c r="T894" s="46"/>
      <c r="U894" s="46"/>
      <c r="V894" s="46"/>
      <c r="W894" s="46"/>
    </row>
    <row r="895">
      <c r="A895" s="55"/>
      <c r="B895" s="214"/>
      <c r="C895" s="55"/>
      <c r="D895" s="214"/>
      <c r="E895" s="122"/>
      <c r="F895" s="219"/>
      <c r="G895" s="122"/>
      <c r="H895" s="214"/>
      <c r="I895" s="220"/>
      <c r="J895" s="46"/>
      <c r="K895" s="46"/>
      <c r="L895" s="46"/>
      <c r="M895" s="46"/>
      <c r="N895" s="46"/>
      <c r="O895" s="46"/>
      <c r="P895" s="46"/>
      <c r="Q895" s="46"/>
      <c r="R895" s="46"/>
      <c r="S895" s="46"/>
      <c r="T895" s="46"/>
      <c r="U895" s="46"/>
      <c r="V895" s="46"/>
      <c r="W895" s="46"/>
    </row>
    <row r="896">
      <c r="A896" s="55"/>
      <c r="B896" s="214"/>
      <c r="C896" s="55"/>
      <c r="D896" s="214"/>
      <c r="E896" s="122"/>
      <c r="F896" s="219"/>
      <c r="G896" s="122"/>
      <c r="H896" s="214"/>
      <c r="I896" s="220"/>
      <c r="J896" s="46"/>
      <c r="K896" s="46"/>
      <c r="L896" s="46"/>
      <c r="M896" s="46"/>
      <c r="N896" s="46"/>
      <c r="O896" s="46"/>
      <c r="P896" s="46"/>
      <c r="Q896" s="46"/>
      <c r="R896" s="46"/>
      <c r="S896" s="46"/>
      <c r="T896" s="46"/>
      <c r="U896" s="46"/>
      <c r="V896" s="46"/>
      <c r="W896" s="46"/>
    </row>
    <row r="897">
      <c r="A897" s="55"/>
      <c r="B897" s="214"/>
      <c r="C897" s="55"/>
      <c r="D897" s="214"/>
      <c r="E897" s="122"/>
      <c r="F897" s="219"/>
      <c r="G897" s="122"/>
      <c r="H897" s="214"/>
      <c r="I897" s="220"/>
      <c r="J897" s="46"/>
      <c r="K897" s="46"/>
      <c r="L897" s="46"/>
      <c r="M897" s="46"/>
      <c r="N897" s="46"/>
      <c r="O897" s="46"/>
      <c r="P897" s="46"/>
      <c r="Q897" s="46"/>
      <c r="R897" s="46"/>
      <c r="S897" s="46"/>
      <c r="T897" s="46"/>
      <c r="U897" s="46"/>
      <c r="V897" s="46"/>
      <c r="W897" s="46"/>
    </row>
    <row r="898">
      <c r="A898" s="55"/>
      <c r="B898" s="214"/>
      <c r="C898" s="55"/>
      <c r="D898" s="214"/>
      <c r="E898" s="122"/>
      <c r="F898" s="219"/>
      <c r="G898" s="122"/>
      <c r="H898" s="214"/>
      <c r="I898" s="220"/>
      <c r="J898" s="46"/>
      <c r="K898" s="46"/>
      <c r="L898" s="46"/>
      <c r="M898" s="46"/>
      <c r="N898" s="46"/>
      <c r="O898" s="46"/>
      <c r="P898" s="46"/>
      <c r="Q898" s="46"/>
      <c r="R898" s="46"/>
      <c r="S898" s="46"/>
      <c r="T898" s="46"/>
      <c r="U898" s="46"/>
      <c r="V898" s="46"/>
      <c r="W898" s="46"/>
    </row>
    <row r="899">
      <c r="A899" s="55"/>
      <c r="B899" s="214"/>
      <c r="C899" s="55"/>
      <c r="D899" s="214"/>
      <c r="E899" s="122"/>
      <c r="F899" s="219"/>
      <c r="G899" s="122"/>
      <c r="H899" s="214"/>
      <c r="I899" s="220"/>
      <c r="J899" s="46"/>
      <c r="K899" s="46"/>
      <c r="L899" s="46"/>
      <c r="M899" s="46"/>
      <c r="N899" s="46"/>
      <c r="O899" s="46"/>
      <c r="P899" s="46"/>
      <c r="Q899" s="46"/>
      <c r="R899" s="46"/>
      <c r="S899" s="46"/>
      <c r="T899" s="46"/>
      <c r="U899" s="46"/>
      <c r="V899" s="46"/>
      <c r="W899" s="46"/>
    </row>
    <row r="900">
      <c r="A900" s="55"/>
      <c r="B900" s="214"/>
      <c r="C900" s="55"/>
      <c r="D900" s="214"/>
      <c r="E900" s="122"/>
      <c r="F900" s="219"/>
      <c r="G900" s="122"/>
      <c r="H900" s="214"/>
      <c r="I900" s="220"/>
      <c r="J900" s="46"/>
      <c r="K900" s="46"/>
      <c r="L900" s="46"/>
      <c r="M900" s="46"/>
      <c r="N900" s="46"/>
      <c r="O900" s="46"/>
      <c r="P900" s="46"/>
      <c r="Q900" s="46"/>
      <c r="R900" s="46"/>
      <c r="S900" s="46"/>
      <c r="T900" s="46"/>
      <c r="U900" s="46"/>
      <c r="V900" s="46"/>
      <c r="W900" s="46"/>
    </row>
    <row r="901">
      <c r="A901" s="55"/>
      <c r="B901" s="214"/>
      <c r="C901" s="55"/>
      <c r="D901" s="214"/>
      <c r="E901" s="122"/>
      <c r="F901" s="219"/>
      <c r="G901" s="122"/>
      <c r="H901" s="214"/>
      <c r="I901" s="220"/>
      <c r="J901" s="46"/>
      <c r="K901" s="46"/>
      <c r="L901" s="46"/>
      <c r="M901" s="46"/>
      <c r="N901" s="46"/>
      <c r="O901" s="46"/>
      <c r="P901" s="46"/>
      <c r="Q901" s="46"/>
      <c r="R901" s="46"/>
      <c r="S901" s="46"/>
      <c r="T901" s="46"/>
      <c r="U901" s="46"/>
      <c r="V901" s="46"/>
      <c r="W901" s="46"/>
    </row>
    <row r="902">
      <c r="A902" s="55"/>
      <c r="B902" s="214"/>
      <c r="C902" s="55"/>
      <c r="D902" s="214"/>
      <c r="E902" s="122"/>
      <c r="F902" s="219"/>
      <c r="G902" s="122"/>
      <c r="H902" s="214"/>
      <c r="I902" s="220"/>
      <c r="J902" s="46"/>
      <c r="K902" s="46"/>
      <c r="L902" s="46"/>
      <c r="M902" s="46"/>
      <c r="N902" s="46"/>
      <c r="O902" s="46"/>
      <c r="P902" s="46"/>
      <c r="Q902" s="46"/>
      <c r="R902" s="46"/>
      <c r="S902" s="46"/>
      <c r="T902" s="46"/>
      <c r="U902" s="46"/>
      <c r="V902" s="46"/>
      <c r="W902" s="46"/>
    </row>
    <row r="903">
      <c r="A903" s="55"/>
      <c r="B903" s="214"/>
      <c r="C903" s="55"/>
      <c r="D903" s="214"/>
      <c r="E903" s="122"/>
      <c r="F903" s="219"/>
      <c r="G903" s="122"/>
      <c r="H903" s="214"/>
      <c r="I903" s="220"/>
      <c r="J903" s="46"/>
      <c r="K903" s="46"/>
      <c r="L903" s="46"/>
      <c r="M903" s="46"/>
      <c r="N903" s="46"/>
      <c r="O903" s="46"/>
      <c r="P903" s="46"/>
      <c r="Q903" s="46"/>
      <c r="R903" s="46"/>
      <c r="S903" s="46"/>
      <c r="T903" s="46"/>
      <c r="U903" s="46"/>
      <c r="V903" s="46"/>
      <c r="W903" s="46"/>
    </row>
    <row r="904">
      <c r="A904" s="55"/>
      <c r="B904" s="214"/>
      <c r="C904" s="55"/>
      <c r="D904" s="214"/>
      <c r="E904" s="122"/>
      <c r="F904" s="219"/>
      <c r="G904" s="122"/>
      <c r="H904" s="214"/>
      <c r="I904" s="220"/>
      <c r="J904" s="46"/>
      <c r="K904" s="46"/>
      <c r="L904" s="46"/>
      <c r="M904" s="46"/>
      <c r="N904" s="46"/>
      <c r="O904" s="46"/>
      <c r="P904" s="46"/>
      <c r="Q904" s="46"/>
      <c r="R904" s="46"/>
      <c r="S904" s="46"/>
      <c r="T904" s="46"/>
      <c r="U904" s="46"/>
      <c r="V904" s="46"/>
      <c r="W904" s="46"/>
    </row>
    <row r="905">
      <c r="A905" s="55"/>
      <c r="B905" s="214"/>
      <c r="C905" s="55"/>
      <c r="D905" s="214"/>
      <c r="E905" s="122"/>
      <c r="F905" s="219"/>
      <c r="G905" s="122"/>
      <c r="H905" s="214"/>
      <c r="I905" s="220"/>
      <c r="J905" s="46"/>
      <c r="K905" s="46"/>
      <c r="L905" s="46"/>
      <c r="M905" s="46"/>
      <c r="N905" s="46"/>
      <c r="O905" s="46"/>
      <c r="P905" s="46"/>
      <c r="Q905" s="46"/>
      <c r="R905" s="46"/>
      <c r="S905" s="46"/>
      <c r="T905" s="46"/>
      <c r="U905" s="46"/>
      <c r="V905" s="46"/>
      <c r="W905" s="46"/>
    </row>
    <row r="906">
      <c r="A906" s="55"/>
      <c r="B906" s="214"/>
      <c r="C906" s="55"/>
      <c r="D906" s="214"/>
      <c r="E906" s="122"/>
      <c r="F906" s="219"/>
      <c r="G906" s="122"/>
      <c r="H906" s="214"/>
      <c r="I906" s="220"/>
      <c r="J906" s="46"/>
      <c r="K906" s="46"/>
      <c r="L906" s="46"/>
      <c r="M906" s="46"/>
      <c r="N906" s="46"/>
      <c r="O906" s="46"/>
      <c r="P906" s="46"/>
      <c r="Q906" s="46"/>
      <c r="R906" s="46"/>
      <c r="S906" s="46"/>
      <c r="T906" s="46"/>
      <c r="U906" s="46"/>
      <c r="V906" s="46"/>
      <c r="W906" s="46"/>
    </row>
    <row r="907">
      <c r="A907" s="55"/>
      <c r="B907" s="214"/>
      <c r="C907" s="55"/>
      <c r="D907" s="214"/>
      <c r="E907" s="122"/>
      <c r="F907" s="219"/>
      <c r="G907" s="122"/>
      <c r="H907" s="214"/>
      <c r="I907" s="220"/>
      <c r="J907" s="46"/>
      <c r="K907" s="46"/>
      <c r="L907" s="46"/>
      <c r="M907" s="46"/>
      <c r="N907" s="46"/>
      <c r="O907" s="46"/>
      <c r="P907" s="46"/>
      <c r="Q907" s="46"/>
      <c r="R907" s="46"/>
      <c r="S907" s="46"/>
      <c r="T907" s="46"/>
      <c r="U907" s="46"/>
      <c r="V907" s="46"/>
      <c r="W907" s="46"/>
    </row>
    <row r="908">
      <c r="A908" s="55"/>
      <c r="B908" s="214"/>
      <c r="C908" s="55"/>
      <c r="D908" s="214"/>
      <c r="E908" s="122"/>
      <c r="F908" s="219"/>
      <c r="G908" s="122"/>
      <c r="H908" s="214"/>
      <c r="I908" s="220"/>
      <c r="J908" s="46"/>
      <c r="K908" s="46"/>
      <c r="L908" s="46"/>
      <c r="M908" s="46"/>
      <c r="N908" s="46"/>
      <c r="O908" s="46"/>
      <c r="P908" s="46"/>
      <c r="Q908" s="46"/>
      <c r="R908" s="46"/>
      <c r="S908" s="46"/>
      <c r="T908" s="46"/>
      <c r="U908" s="46"/>
      <c r="V908" s="46"/>
      <c r="W908" s="46"/>
    </row>
    <row r="909">
      <c r="A909" s="55"/>
      <c r="B909" s="214"/>
      <c r="C909" s="55"/>
      <c r="D909" s="214"/>
      <c r="E909" s="122"/>
      <c r="F909" s="219"/>
      <c r="G909" s="122"/>
      <c r="H909" s="214"/>
      <c r="I909" s="220"/>
      <c r="J909" s="46"/>
      <c r="K909" s="46"/>
      <c r="L909" s="46"/>
      <c r="M909" s="46"/>
      <c r="N909" s="46"/>
      <c r="O909" s="46"/>
      <c r="P909" s="46"/>
      <c r="Q909" s="46"/>
      <c r="R909" s="46"/>
      <c r="S909" s="46"/>
      <c r="T909" s="46"/>
      <c r="U909" s="46"/>
      <c r="V909" s="46"/>
      <c r="W909" s="46"/>
    </row>
    <row r="910">
      <c r="A910" s="55"/>
      <c r="B910" s="214"/>
      <c r="C910" s="55"/>
      <c r="D910" s="214"/>
      <c r="E910" s="122"/>
      <c r="F910" s="219"/>
      <c r="G910" s="122"/>
      <c r="H910" s="214"/>
      <c r="I910" s="220"/>
      <c r="J910" s="46"/>
      <c r="K910" s="46"/>
      <c r="L910" s="46"/>
      <c r="M910" s="46"/>
      <c r="N910" s="46"/>
      <c r="O910" s="46"/>
      <c r="P910" s="46"/>
      <c r="Q910" s="46"/>
      <c r="R910" s="46"/>
      <c r="S910" s="46"/>
      <c r="T910" s="46"/>
      <c r="U910" s="46"/>
      <c r="V910" s="46"/>
      <c r="W910" s="46"/>
    </row>
    <row r="911">
      <c r="A911" s="55"/>
      <c r="B911" s="214"/>
      <c r="C911" s="55"/>
      <c r="D911" s="214"/>
      <c r="E911" s="122"/>
      <c r="F911" s="219"/>
      <c r="G911" s="122"/>
      <c r="H911" s="214"/>
      <c r="I911" s="220"/>
      <c r="J911" s="46"/>
      <c r="K911" s="46"/>
      <c r="L911" s="46"/>
      <c r="M911" s="46"/>
      <c r="N911" s="46"/>
      <c r="O911" s="46"/>
      <c r="P911" s="46"/>
      <c r="Q911" s="46"/>
      <c r="R911" s="46"/>
      <c r="S911" s="46"/>
      <c r="T911" s="46"/>
      <c r="U911" s="46"/>
      <c r="V911" s="46"/>
      <c r="W911" s="46"/>
    </row>
    <row r="912">
      <c r="A912" s="55"/>
      <c r="B912" s="214"/>
      <c r="C912" s="55"/>
      <c r="D912" s="214"/>
      <c r="E912" s="122"/>
      <c r="F912" s="219"/>
      <c r="G912" s="122"/>
      <c r="H912" s="214"/>
      <c r="I912" s="220"/>
      <c r="J912" s="46"/>
      <c r="K912" s="46"/>
      <c r="L912" s="46"/>
      <c r="M912" s="46"/>
      <c r="N912" s="46"/>
      <c r="O912" s="46"/>
      <c r="P912" s="46"/>
      <c r="Q912" s="46"/>
      <c r="R912" s="46"/>
      <c r="S912" s="46"/>
      <c r="T912" s="46"/>
      <c r="U912" s="46"/>
      <c r="V912" s="46"/>
      <c r="W912" s="46"/>
    </row>
    <row r="913">
      <c r="A913" s="55"/>
      <c r="B913" s="214"/>
      <c r="C913" s="55"/>
      <c r="D913" s="214"/>
      <c r="E913" s="122"/>
      <c r="F913" s="219"/>
      <c r="G913" s="122"/>
      <c r="H913" s="214"/>
      <c r="I913" s="220"/>
      <c r="J913" s="46"/>
      <c r="K913" s="46"/>
      <c r="L913" s="46"/>
      <c r="M913" s="46"/>
      <c r="N913" s="46"/>
      <c r="O913" s="46"/>
      <c r="P913" s="46"/>
      <c r="Q913" s="46"/>
      <c r="R913" s="46"/>
      <c r="S913" s="46"/>
      <c r="T913" s="46"/>
      <c r="U913" s="46"/>
      <c r="V913" s="46"/>
      <c r="W913" s="46"/>
    </row>
    <row r="914">
      <c r="A914" s="55"/>
      <c r="B914" s="214"/>
      <c r="C914" s="55"/>
      <c r="D914" s="214"/>
      <c r="E914" s="122"/>
      <c r="F914" s="219"/>
      <c r="G914" s="122"/>
      <c r="H914" s="214"/>
      <c r="I914" s="220"/>
      <c r="J914" s="46"/>
      <c r="K914" s="46"/>
      <c r="L914" s="46"/>
      <c r="M914" s="46"/>
      <c r="N914" s="46"/>
      <c r="O914" s="46"/>
      <c r="P914" s="46"/>
      <c r="Q914" s="46"/>
      <c r="R914" s="46"/>
      <c r="S914" s="46"/>
      <c r="T914" s="46"/>
      <c r="U914" s="46"/>
      <c r="V914" s="46"/>
      <c r="W914" s="46"/>
    </row>
    <row r="915">
      <c r="A915" s="55"/>
      <c r="B915" s="214"/>
      <c r="C915" s="55"/>
      <c r="D915" s="214"/>
      <c r="E915" s="122"/>
      <c r="F915" s="219"/>
      <c r="G915" s="122"/>
      <c r="H915" s="214"/>
      <c r="I915" s="220"/>
      <c r="J915" s="46"/>
      <c r="K915" s="46"/>
      <c r="L915" s="46"/>
      <c r="M915" s="46"/>
      <c r="N915" s="46"/>
      <c r="O915" s="46"/>
      <c r="P915" s="46"/>
      <c r="Q915" s="46"/>
      <c r="R915" s="46"/>
      <c r="S915" s="46"/>
      <c r="T915" s="46"/>
      <c r="U915" s="46"/>
      <c r="V915" s="46"/>
      <c r="W915" s="46"/>
    </row>
    <row r="916">
      <c r="A916" s="55"/>
      <c r="B916" s="214"/>
      <c r="C916" s="55"/>
      <c r="D916" s="214"/>
      <c r="E916" s="122"/>
      <c r="F916" s="219"/>
      <c r="G916" s="122"/>
      <c r="H916" s="214"/>
      <c r="I916" s="220"/>
      <c r="J916" s="46"/>
      <c r="K916" s="46"/>
      <c r="L916" s="46"/>
      <c r="M916" s="46"/>
      <c r="N916" s="46"/>
      <c r="O916" s="46"/>
      <c r="P916" s="46"/>
      <c r="Q916" s="46"/>
      <c r="R916" s="46"/>
      <c r="S916" s="46"/>
      <c r="T916" s="46"/>
      <c r="U916" s="46"/>
      <c r="V916" s="46"/>
      <c r="W916" s="46"/>
    </row>
    <row r="917">
      <c r="A917" s="55"/>
      <c r="B917" s="214"/>
      <c r="C917" s="55"/>
      <c r="D917" s="214"/>
      <c r="E917" s="122"/>
      <c r="F917" s="219"/>
      <c r="G917" s="122"/>
      <c r="H917" s="214"/>
      <c r="I917" s="220"/>
      <c r="J917" s="46"/>
      <c r="K917" s="46"/>
      <c r="L917" s="46"/>
      <c r="M917" s="46"/>
      <c r="N917" s="46"/>
      <c r="O917" s="46"/>
      <c r="P917" s="46"/>
      <c r="Q917" s="46"/>
      <c r="R917" s="46"/>
      <c r="S917" s="46"/>
      <c r="T917" s="46"/>
      <c r="U917" s="46"/>
      <c r="V917" s="46"/>
      <c r="W917" s="46"/>
    </row>
    <row r="918">
      <c r="A918" s="55"/>
      <c r="B918" s="214"/>
      <c r="C918" s="55"/>
      <c r="D918" s="214"/>
      <c r="E918" s="122"/>
      <c r="F918" s="219"/>
      <c r="G918" s="122"/>
      <c r="H918" s="214"/>
      <c r="I918" s="220"/>
      <c r="J918" s="46"/>
      <c r="K918" s="46"/>
      <c r="L918" s="46"/>
      <c r="M918" s="46"/>
      <c r="N918" s="46"/>
      <c r="O918" s="46"/>
      <c r="P918" s="46"/>
      <c r="Q918" s="46"/>
      <c r="R918" s="46"/>
      <c r="S918" s="46"/>
      <c r="T918" s="46"/>
      <c r="U918" s="46"/>
      <c r="V918" s="46"/>
      <c r="W918" s="46"/>
    </row>
    <row r="919">
      <c r="A919" s="55"/>
      <c r="B919" s="214"/>
      <c r="C919" s="55"/>
      <c r="D919" s="214"/>
      <c r="E919" s="122"/>
      <c r="F919" s="219"/>
      <c r="G919" s="122"/>
      <c r="H919" s="214"/>
      <c r="I919" s="220"/>
      <c r="J919" s="46"/>
      <c r="K919" s="46"/>
      <c r="L919" s="46"/>
      <c r="M919" s="46"/>
      <c r="N919" s="46"/>
      <c r="O919" s="46"/>
      <c r="P919" s="46"/>
      <c r="Q919" s="46"/>
      <c r="R919" s="46"/>
      <c r="S919" s="46"/>
      <c r="T919" s="46"/>
      <c r="U919" s="46"/>
      <c r="V919" s="46"/>
      <c r="W919" s="46"/>
    </row>
    <row r="920">
      <c r="A920" s="55"/>
      <c r="B920" s="214"/>
      <c r="C920" s="55"/>
      <c r="D920" s="214"/>
      <c r="E920" s="122"/>
      <c r="F920" s="219"/>
      <c r="G920" s="122"/>
      <c r="H920" s="214"/>
      <c r="I920" s="220"/>
      <c r="J920" s="46"/>
      <c r="K920" s="46"/>
      <c r="L920" s="46"/>
      <c r="M920" s="46"/>
      <c r="N920" s="46"/>
      <c r="O920" s="46"/>
      <c r="P920" s="46"/>
      <c r="Q920" s="46"/>
      <c r="R920" s="46"/>
      <c r="S920" s="46"/>
      <c r="T920" s="46"/>
      <c r="U920" s="46"/>
      <c r="V920" s="46"/>
      <c r="W920" s="46"/>
    </row>
    <row r="921">
      <c r="A921" s="55"/>
      <c r="B921" s="214"/>
      <c r="C921" s="55"/>
      <c r="D921" s="214"/>
      <c r="E921" s="122"/>
      <c r="F921" s="219"/>
      <c r="G921" s="122"/>
      <c r="H921" s="214"/>
      <c r="I921" s="220"/>
      <c r="J921" s="46"/>
      <c r="K921" s="46"/>
      <c r="L921" s="46"/>
      <c r="M921" s="46"/>
      <c r="N921" s="46"/>
      <c r="O921" s="46"/>
      <c r="P921" s="46"/>
      <c r="Q921" s="46"/>
      <c r="R921" s="46"/>
      <c r="S921" s="46"/>
      <c r="T921" s="46"/>
      <c r="U921" s="46"/>
      <c r="V921" s="46"/>
      <c r="W921" s="46"/>
    </row>
    <row r="922">
      <c r="A922" s="55"/>
      <c r="B922" s="214"/>
      <c r="C922" s="55"/>
      <c r="D922" s="214"/>
      <c r="E922" s="122"/>
      <c r="F922" s="219"/>
      <c r="G922" s="122"/>
      <c r="H922" s="214"/>
      <c r="I922" s="220"/>
      <c r="J922" s="46"/>
      <c r="K922" s="46"/>
      <c r="L922" s="46"/>
      <c r="M922" s="46"/>
      <c r="N922" s="46"/>
      <c r="O922" s="46"/>
      <c r="P922" s="46"/>
      <c r="Q922" s="46"/>
      <c r="R922" s="46"/>
      <c r="S922" s="46"/>
      <c r="T922" s="46"/>
      <c r="U922" s="46"/>
      <c r="V922" s="46"/>
      <c r="W922" s="46"/>
    </row>
    <row r="923">
      <c r="A923" s="55"/>
      <c r="B923" s="214"/>
      <c r="C923" s="55"/>
      <c r="D923" s="214"/>
      <c r="E923" s="122"/>
      <c r="F923" s="219"/>
      <c r="G923" s="122"/>
      <c r="H923" s="214"/>
      <c r="I923" s="220"/>
      <c r="J923" s="46"/>
      <c r="K923" s="46"/>
      <c r="L923" s="46"/>
      <c r="M923" s="46"/>
      <c r="N923" s="46"/>
      <c r="O923" s="46"/>
      <c r="P923" s="46"/>
      <c r="Q923" s="46"/>
      <c r="R923" s="46"/>
      <c r="S923" s="46"/>
      <c r="T923" s="46"/>
      <c r="U923" s="46"/>
      <c r="V923" s="46"/>
      <c r="W923" s="46"/>
    </row>
    <row r="924">
      <c r="A924" s="55"/>
      <c r="B924" s="214"/>
      <c r="C924" s="55"/>
      <c r="D924" s="214"/>
      <c r="E924" s="122"/>
      <c r="F924" s="219"/>
      <c r="G924" s="122"/>
      <c r="H924" s="214"/>
      <c r="I924" s="220"/>
      <c r="J924" s="46"/>
      <c r="K924" s="46"/>
      <c r="L924" s="46"/>
      <c r="M924" s="46"/>
      <c r="N924" s="46"/>
      <c r="O924" s="46"/>
      <c r="P924" s="46"/>
      <c r="Q924" s="46"/>
      <c r="R924" s="46"/>
      <c r="S924" s="46"/>
      <c r="T924" s="46"/>
      <c r="U924" s="46"/>
      <c r="V924" s="46"/>
      <c r="W924" s="46"/>
    </row>
    <row r="925">
      <c r="A925" s="55"/>
      <c r="B925" s="214"/>
      <c r="C925" s="55"/>
      <c r="D925" s="214"/>
      <c r="E925" s="122"/>
      <c r="F925" s="219"/>
      <c r="G925" s="122"/>
      <c r="H925" s="214"/>
      <c r="I925" s="220"/>
      <c r="J925" s="46"/>
      <c r="K925" s="46"/>
      <c r="L925" s="46"/>
      <c r="M925" s="46"/>
      <c r="N925" s="46"/>
      <c r="O925" s="46"/>
      <c r="P925" s="46"/>
      <c r="Q925" s="46"/>
      <c r="R925" s="46"/>
      <c r="S925" s="46"/>
      <c r="T925" s="46"/>
      <c r="U925" s="46"/>
      <c r="V925" s="46"/>
      <c r="W925" s="46"/>
    </row>
    <row r="926">
      <c r="A926" s="55"/>
      <c r="B926" s="214"/>
      <c r="C926" s="55"/>
      <c r="D926" s="214"/>
      <c r="E926" s="122"/>
      <c r="F926" s="219"/>
      <c r="G926" s="122"/>
      <c r="H926" s="214"/>
      <c r="I926" s="220"/>
      <c r="J926" s="46"/>
      <c r="K926" s="46"/>
      <c r="L926" s="46"/>
      <c r="M926" s="46"/>
      <c r="N926" s="46"/>
      <c r="O926" s="46"/>
      <c r="P926" s="46"/>
      <c r="Q926" s="46"/>
      <c r="R926" s="46"/>
      <c r="S926" s="46"/>
      <c r="T926" s="46"/>
      <c r="U926" s="46"/>
      <c r="V926" s="46"/>
      <c r="W926" s="46"/>
    </row>
    <row r="927">
      <c r="A927" s="55"/>
      <c r="B927" s="214"/>
      <c r="C927" s="55"/>
      <c r="D927" s="214"/>
      <c r="E927" s="122"/>
      <c r="F927" s="219"/>
      <c r="G927" s="122"/>
      <c r="H927" s="214"/>
      <c r="I927" s="220"/>
      <c r="J927" s="46"/>
      <c r="K927" s="46"/>
      <c r="L927" s="46"/>
      <c r="M927" s="46"/>
      <c r="N927" s="46"/>
      <c r="O927" s="46"/>
      <c r="P927" s="46"/>
      <c r="Q927" s="46"/>
      <c r="R927" s="46"/>
      <c r="S927" s="46"/>
      <c r="T927" s="46"/>
      <c r="U927" s="46"/>
      <c r="V927" s="46"/>
      <c r="W927" s="46"/>
    </row>
    <row r="928">
      <c r="A928" s="55"/>
      <c r="B928" s="214"/>
      <c r="C928" s="55"/>
      <c r="D928" s="214"/>
      <c r="E928" s="122"/>
      <c r="F928" s="219"/>
      <c r="G928" s="122"/>
      <c r="H928" s="214"/>
      <c r="I928" s="220"/>
      <c r="J928" s="46"/>
      <c r="K928" s="46"/>
      <c r="L928" s="46"/>
      <c r="M928" s="46"/>
      <c r="N928" s="46"/>
      <c r="O928" s="46"/>
      <c r="P928" s="46"/>
      <c r="Q928" s="46"/>
      <c r="R928" s="46"/>
      <c r="S928" s="46"/>
      <c r="T928" s="46"/>
      <c r="U928" s="46"/>
      <c r="V928" s="46"/>
      <c r="W928" s="46"/>
    </row>
    <row r="929">
      <c r="A929" s="55"/>
      <c r="B929" s="214"/>
      <c r="C929" s="55"/>
      <c r="D929" s="214"/>
      <c r="E929" s="122"/>
      <c r="F929" s="219"/>
      <c r="G929" s="122"/>
      <c r="H929" s="214"/>
      <c r="I929" s="220"/>
      <c r="J929" s="46"/>
      <c r="K929" s="46"/>
      <c r="L929" s="46"/>
      <c r="M929" s="46"/>
      <c r="N929" s="46"/>
      <c r="O929" s="46"/>
      <c r="P929" s="46"/>
      <c r="Q929" s="46"/>
      <c r="R929" s="46"/>
      <c r="S929" s="46"/>
      <c r="T929" s="46"/>
      <c r="U929" s="46"/>
      <c r="V929" s="46"/>
      <c r="W929" s="46"/>
    </row>
    <row r="930">
      <c r="A930" s="55"/>
      <c r="B930" s="214"/>
      <c r="C930" s="55"/>
      <c r="D930" s="214"/>
      <c r="E930" s="122"/>
      <c r="F930" s="219"/>
      <c r="G930" s="122"/>
      <c r="H930" s="214"/>
      <c r="I930" s="220"/>
      <c r="J930" s="46"/>
      <c r="K930" s="46"/>
      <c r="L930" s="46"/>
      <c r="M930" s="46"/>
      <c r="N930" s="46"/>
      <c r="O930" s="46"/>
      <c r="P930" s="46"/>
      <c r="Q930" s="46"/>
      <c r="R930" s="46"/>
      <c r="S930" s="46"/>
      <c r="T930" s="46"/>
      <c r="U930" s="46"/>
      <c r="V930" s="46"/>
      <c r="W930" s="46"/>
    </row>
    <row r="931">
      <c r="A931" s="55"/>
      <c r="B931" s="214"/>
      <c r="C931" s="55"/>
      <c r="D931" s="214"/>
      <c r="E931" s="122"/>
      <c r="F931" s="219"/>
      <c r="G931" s="122"/>
      <c r="H931" s="214"/>
      <c r="I931" s="220"/>
      <c r="J931" s="46"/>
      <c r="K931" s="46"/>
      <c r="L931" s="46"/>
      <c r="M931" s="46"/>
      <c r="N931" s="46"/>
      <c r="O931" s="46"/>
      <c r="P931" s="46"/>
      <c r="Q931" s="46"/>
      <c r="R931" s="46"/>
      <c r="S931" s="46"/>
      <c r="T931" s="46"/>
      <c r="U931" s="46"/>
      <c r="V931" s="46"/>
      <c r="W931" s="46"/>
    </row>
    <row r="932">
      <c r="A932" s="55"/>
      <c r="B932" s="214"/>
      <c r="C932" s="55"/>
      <c r="D932" s="214"/>
      <c r="E932" s="122"/>
      <c r="F932" s="219"/>
      <c r="G932" s="122"/>
      <c r="H932" s="214"/>
      <c r="I932" s="220"/>
      <c r="J932" s="46"/>
      <c r="K932" s="46"/>
      <c r="L932" s="46"/>
      <c r="M932" s="46"/>
      <c r="N932" s="46"/>
      <c r="O932" s="46"/>
      <c r="P932" s="46"/>
      <c r="Q932" s="46"/>
      <c r="R932" s="46"/>
      <c r="S932" s="46"/>
      <c r="T932" s="46"/>
      <c r="U932" s="46"/>
      <c r="V932" s="46"/>
      <c r="W932" s="46"/>
    </row>
    <row r="933">
      <c r="A933" s="55"/>
      <c r="B933" s="214"/>
      <c r="C933" s="55"/>
      <c r="D933" s="214"/>
      <c r="E933" s="122"/>
      <c r="F933" s="219"/>
      <c r="G933" s="122"/>
      <c r="H933" s="214"/>
      <c r="I933" s="220"/>
      <c r="J933" s="46"/>
      <c r="K933" s="46"/>
      <c r="L933" s="46"/>
      <c r="M933" s="46"/>
      <c r="N933" s="46"/>
      <c r="O933" s="46"/>
      <c r="P933" s="46"/>
      <c r="Q933" s="46"/>
      <c r="R933" s="46"/>
      <c r="S933" s="46"/>
      <c r="T933" s="46"/>
      <c r="U933" s="46"/>
      <c r="V933" s="46"/>
      <c r="W933" s="46"/>
    </row>
    <row r="934">
      <c r="A934" s="55"/>
      <c r="B934" s="214"/>
      <c r="C934" s="55"/>
      <c r="D934" s="214"/>
      <c r="E934" s="122"/>
      <c r="F934" s="219"/>
      <c r="G934" s="122"/>
      <c r="H934" s="214"/>
      <c r="I934" s="220"/>
      <c r="J934" s="46"/>
      <c r="K934" s="46"/>
      <c r="L934" s="46"/>
      <c r="M934" s="46"/>
      <c r="N934" s="46"/>
      <c r="O934" s="46"/>
      <c r="P934" s="46"/>
      <c r="Q934" s="46"/>
      <c r="R934" s="46"/>
      <c r="S934" s="46"/>
      <c r="T934" s="46"/>
      <c r="U934" s="46"/>
      <c r="V934" s="46"/>
      <c r="W934" s="46"/>
    </row>
    <row r="935">
      <c r="A935" s="55"/>
      <c r="B935" s="214"/>
      <c r="C935" s="55"/>
      <c r="D935" s="214"/>
      <c r="E935" s="122"/>
      <c r="F935" s="219"/>
      <c r="G935" s="122"/>
      <c r="H935" s="214"/>
      <c r="I935" s="220"/>
      <c r="J935" s="46"/>
      <c r="K935" s="46"/>
      <c r="L935" s="46"/>
      <c r="M935" s="46"/>
      <c r="N935" s="46"/>
      <c r="O935" s="46"/>
      <c r="P935" s="46"/>
      <c r="Q935" s="46"/>
      <c r="R935" s="46"/>
      <c r="S935" s="46"/>
      <c r="T935" s="46"/>
      <c r="U935" s="46"/>
      <c r="V935" s="46"/>
      <c r="W935" s="46"/>
    </row>
    <row r="936">
      <c r="A936" s="55"/>
      <c r="B936" s="214"/>
      <c r="C936" s="55"/>
      <c r="D936" s="214"/>
      <c r="E936" s="122"/>
      <c r="F936" s="219"/>
      <c r="G936" s="122"/>
      <c r="H936" s="214"/>
      <c r="I936" s="220"/>
      <c r="J936" s="46"/>
      <c r="K936" s="46"/>
      <c r="L936" s="46"/>
      <c r="M936" s="46"/>
      <c r="N936" s="46"/>
      <c r="O936" s="46"/>
      <c r="P936" s="46"/>
      <c r="Q936" s="46"/>
      <c r="R936" s="46"/>
      <c r="S936" s="46"/>
      <c r="T936" s="46"/>
      <c r="U936" s="46"/>
      <c r="V936" s="46"/>
      <c r="W936" s="46"/>
    </row>
    <row r="937">
      <c r="A937" s="55"/>
      <c r="B937" s="214"/>
      <c r="C937" s="55"/>
      <c r="D937" s="214"/>
      <c r="E937" s="122"/>
      <c r="F937" s="219"/>
      <c r="G937" s="122"/>
      <c r="H937" s="214"/>
      <c r="I937" s="220"/>
      <c r="J937" s="46"/>
      <c r="K937" s="46"/>
      <c r="L937" s="46"/>
      <c r="M937" s="46"/>
      <c r="N937" s="46"/>
      <c r="O937" s="46"/>
      <c r="P937" s="46"/>
      <c r="Q937" s="46"/>
      <c r="R937" s="46"/>
      <c r="S937" s="46"/>
      <c r="T937" s="46"/>
      <c r="U937" s="46"/>
      <c r="V937" s="46"/>
      <c r="W937" s="46"/>
    </row>
    <row r="938">
      <c r="A938" s="55"/>
      <c r="B938" s="214"/>
      <c r="C938" s="55"/>
      <c r="D938" s="214"/>
      <c r="E938" s="122"/>
      <c r="F938" s="219"/>
      <c r="G938" s="122"/>
      <c r="H938" s="214"/>
      <c r="I938" s="220"/>
      <c r="J938" s="46"/>
      <c r="K938" s="46"/>
      <c r="L938" s="46"/>
      <c r="M938" s="46"/>
      <c r="N938" s="46"/>
      <c r="O938" s="46"/>
      <c r="P938" s="46"/>
      <c r="Q938" s="46"/>
      <c r="R938" s="46"/>
      <c r="S938" s="46"/>
      <c r="T938" s="46"/>
      <c r="U938" s="46"/>
      <c r="V938" s="46"/>
      <c r="W938" s="46"/>
    </row>
    <row r="939">
      <c r="A939" s="55"/>
      <c r="B939" s="214"/>
      <c r="C939" s="55"/>
      <c r="D939" s="214"/>
      <c r="E939" s="122"/>
      <c r="F939" s="219"/>
      <c r="G939" s="122"/>
      <c r="H939" s="214"/>
      <c r="I939" s="220"/>
      <c r="J939" s="46"/>
      <c r="K939" s="46"/>
      <c r="L939" s="46"/>
      <c r="M939" s="46"/>
      <c r="N939" s="46"/>
      <c r="O939" s="46"/>
      <c r="P939" s="46"/>
      <c r="Q939" s="46"/>
      <c r="R939" s="46"/>
      <c r="S939" s="46"/>
      <c r="T939" s="46"/>
      <c r="U939" s="46"/>
      <c r="V939" s="46"/>
      <c r="W939" s="46"/>
    </row>
    <row r="940">
      <c r="A940" s="55"/>
      <c r="B940" s="214"/>
      <c r="C940" s="55"/>
      <c r="D940" s="214"/>
      <c r="E940" s="122"/>
      <c r="F940" s="219"/>
      <c r="G940" s="122"/>
      <c r="H940" s="214"/>
      <c r="I940" s="220"/>
      <c r="J940" s="46"/>
      <c r="K940" s="46"/>
      <c r="L940" s="46"/>
      <c r="M940" s="46"/>
      <c r="N940" s="46"/>
      <c r="O940" s="46"/>
      <c r="P940" s="46"/>
      <c r="Q940" s="46"/>
      <c r="R940" s="46"/>
      <c r="S940" s="46"/>
      <c r="T940" s="46"/>
      <c r="U940" s="46"/>
      <c r="V940" s="46"/>
      <c r="W940" s="46"/>
    </row>
    <row r="941">
      <c r="A941" s="55"/>
      <c r="B941" s="214"/>
      <c r="C941" s="55"/>
      <c r="D941" s="214"/>
      <c r="E941" s="122"/>
      <c r="F941" s="219"/>
      <c r="G941" s="122"/>
      <c r="H941" s="214"/>
      <c r="I941" s="220"/>
      <c r="J941" s="46"/>
      <c r="K941" s="46"/>
      <c r="L941" s="46"/>
      <c r="M941" s="46"/>
      <c r="N941" s="46"/>
      <c r="O941" s="46"/>
      <c r="P941" s="46"/>
      <c r="Q941" s="46"/>
      <c r="R941" s="46"/>
      <c r="S941" s="46"/>
      <c r="T941" s="46"/>
      <c r="U941" s="46"/>
      <c r="V941" s="46"/>
      <c r="W941" s="46"/>
    </row>
    <row r="942">
      <c r="A942" s="55"/>
      <c r="B942" s="214"/>
      <c r="C942" s="55"/>
      <c r="D942" s="214"/>
      <c r="E942" s="122"/>
      <c r="F942" s="219"/>
      <c r="G942" s="122"/>
      <c r="H942" s="214"/>
      <c r="I942" s="220"/>
      <c r="J942" s="46"/>
      <c r="K942" s="46"/>
      <c r="L942" s="46"/>
      <c r="M942" s="46"/>
      <c r="N942" s="46"/>
      <c r="O942" s="46"/>
      <c r="P942" s="46"/>
      <c r="Q942" s="46"/>
      <c r="R942" s="46"/>
      <c r="S942" s="46"/>
      <c r="T942" s="46"/>
      <c r="U942" s="46"/>
      <c r="V942" s="46"/>
      <c r="W942" s="46"/>
    </row>
    <row r="943">
      <c r="A943" s="55"/>
      <c r="B943" s="214"/>
      <c r="C943" s="55"/>
      <c r="D943" s="214"/>
      <c r="E943" s="122"/>
      <c r="F943" s="219"/>
      <c r="G943" s="122"/>
      <c r="H943" s="214"/>
      <c r="I943" s="220"/>
      <c r="J943" s="46"/>
      <c r="K943" s="46"/>
      <c r="L943" s="46"/>
      <c r="M943" s="46"/>
      <c r="N943" s="46"/>
      <c r="O943" s="46"/>
      <c r="P943" s="46"/>
      <c r="Q943" s="46"/>
      <c r="R943" s="46"/>
      <c r="S943" s="46"/>
      <c r="T943" s="46"/>
      <c r="U943" s="46"/>
      <c r="V943" s="46"/>
      <c r="W943" s="46"/>
    </row>
    <row r="944">
      <c r="A944" s="55"/>
      <c r="B944" s="214"/>
      <c r="C944" s="55"/>
      <c r="D944" s="214"/>
      <c r="E944" s="122"/>
      <c r="F944" s="219"/>
      <c r="G944" s="122"/>
      <c r="H944" s="214"/>
      <c r="I944" s="220"/>
      <c r="J944" s="46"/>
      <c r="K944" s="46"/>
      <c r="L944" s="46"/>
      <c r="M944" s="46"/>
      <c r="N944" s="46"/>
      <c r="O944" s="46"/>
      <c r="P944" s="46"/>
      <c r="Q944" s="46"/>
      <c r="R944" s="46"/>
      <c r="S944" s="46"/>
      <c r="T944" s="46"/>
      <c r="U944" s="46"/>
      <c r="V944" s="46"/>
      <c r="W944" s="46"/>
    </row>
    <row r="945">
      <c r="A945" s="55"/>
      <c r="B945" s="214"/>
      <c r="C945" s="55"/>
      <c r="D945" s="214"/>
      <c r="E945" s="122"/>
      <c r="F945" s="219"/>
      <c r="G945" s="122"/>
      <c r="H945" s="214"/>
      <c r="I945" s="220"/>
      <c r="J945" s="46"/>
      <c r="K945" s="46"/>
      <c r="L945" s="46"/>
      <c r="M945" s="46"/>
      <c r="N945" s="46"/>
      <c r="O945" s="46"/>
      <c r="P945" s="46"/>
      <c r="Q945" s="46"/>
      <c r="R945" s="46"/>
      <c r="S945" s="46"/>
      <c r="T945" s="46"/>
      <c r="U945" s="46"/>
      <c r="V945" s="46"/>
      <c r="W945" s="46"/>
    </row>
    <row r="946">
      <c r="A946" s="55"/>
      <c r="B946" s="214"/>
      <c r="C946" s="55"/>
      <c r="D946" s="214"/>
      <c r="E946" s="122"/>
      <c r="F946" s="219"/>
      <c r="G946" s="122"/>
      <c r="H946" s="214"/>
      <c r="I946" s="220"/>
      <c r="J946" s="46"/>
      <c r="K946" s="46"/>
      <c r="L946" s="46"/>
      <c r="M946" s="46"/>
      <c r="N946" s="46"/>
      <c r="O946" s="46"/>
      <c r="P946" s="46"/>
      <c r="Q946" s="46"/>
      <c r="R946" s="46"/>
      <c r="S946" s="46"/>
      <c r="T946" s="46"/>
      <c r="U946" s="46"/>
      <c r="V946" s="46"/>
      <c r="W946" s="46"/>
    </row>
    <row r="947">
      <c r="A947" s="55"/>
      <c r="B947" s="214"/>
      <c r="C947" s="55"/>
      <c r="D947" s="214"/>
      <c r="E947" s="122"/>
      <c r="F947" s="219"/>
      <c r="G947" s="122"/>
      <c r="H947" s="214"/>
      <c r="I947" s="220"/>
      <c r="J947" s="46"/>
      <c r="K947" s="46"/>
      <c r="L947" s="46"/>
      <c r="M947" s="46"/>
      <c r="N947" s="46"/>
      <c r="O947" s="46"/>
      <c r="P947" s="46"/>
      <c r="Q947" s="46"/>
      <c r="R947" s="46"/>
      <c r="S947" s="46"/>
      <c r="T947" s="46"/>
      <c r="U947" s="46"/>
      <c r="V947" s="46"/>
      <c r="W947" s="46"/>
    </row>
    <row r="948">
      <c r="A948" s="55"/>
      <c r="B948" s="214"/>
      <c r="C948" s="55"/>
      <c r="D948" s="214"/>
      <c r="E948" s="122"/>
      <c r="F948" s="219"/>
      <c r="G948" s="122"/>
      <c r="H948" s="214"/>
      <c r="I948" s="220"/>
      <c r="J948" s="46"/>
      <c r="K948" s="46"/>
      <c r="L948" s="46"/>
      <c r="M948" s="46"/>
      <c r="N948" s="46"/>
      <c r="O948" s="46"/>
      <c r="P948" s="46"/>
      <c r="Q948" s="46"/>
      <c r="R948" s="46"/>
      <c r="S948" s="46"/>
      <c r="T948" s="46"/>
      <c r="U948" s="46"/>
      <c r="V948" s="46"/>
      <c r="W948" s="46"/>
    </row>
    <row r="949">
      <c r="A949" s="55"/>
      <c r="B949" s="214"/>
      <c r="C949" s="55"/>
      <c r="D949" s="214"/>
      <c r="E949" s="122"/>
      <c r="F949" s="219"/>
      <c r="G949" s="122"/>
      <c r="H949" s="214"/>
      <c r="I949" s="220"/>
      <c r="J949" s="46"/>
      <c r="K949" s="46"/>
      <c r="L949" s="46"/>
      <c r="M949" s="46"/>
      <c r="N949" s="46"/>
      <c r="O949" s="46"/>
      <c r="P949" s="46"/>
      <c r="Q949" s="46"/>
      <c r="R949" s="46"/>
      <c r="S949" s="46"/>
      <c r="T949" s="46"/>
      <c r="U949" s="46"/>
      <c r="V949" s="46"/>
      <c r="W949" s="46"/>
    </row>
    <row r="950">
      <c r="A950" s="55"/>
      <c r="B950" s="214"/>
      <c r="C950" s="55"/>
      <c r="D950" s="214"/>
      <c r="E950" s="122"/>
      <c r="F950" s="219"/>
      <c r="G950" s="122"/>
      <c r="H950" s="214"/>
      <c r="I950" s="220"/>
      <c r="J950" s="46"/>
      <c r="K950" s="46"/>
      <c r="L950" s="46"/>
      <c r="M950" s="46"/>
      <c r="N950" s="46"/>
      <c r="O950" s="46"/>
      <c r="P950" s="46"/>
      <c r="Q950" s="46"/>
      <c r="R950" s="46"/>
      <c r="S950" s="46"/>
      <c r="T950" s="46"/>
      <c r="U950" s="46"/>
      <c r="V950" s="46"/>
      <c r="W950" s="46"/>
    </row>
    <row r="951">
      <c r="A951" s="55"/>
      <c r="B951" s="214"/>
      <c r="C951" s="55"/>
      <c r="D951" s="214"/>
      <c r="E951" s="122"/>
      <c r="F951" s="219"/>
      <c r="G951" s="122"/>
      <c r="H951" s="214"/>
      <c r="I951" s="220"/>
      <c r="J951" s="46"/>
      <c r="K951" s="46"/>
      <c r="L951" s="46"/>
      <c r="M951" s="46"/>
      <c r="N951" s="46"/>
      <c r="O951" s="46"/>
      <c r="P951" s="46"/>
      <c r="Q951" s="46"/>
      <c r="R951" s="46"/>
      <c r="S951" s="46"/>
      <c r="T951" s="46"/>
      <c r="U951" s="46"/>
      <c r="V951" s="46"/>
      <c r="W951" s="46"/>
    </row>
    <row r="952">
      <c r="A952" s="55"/>
      <c r="B952" s="214"/>
      <c r="C952" s="55"/>
      <c r="D952" s="214"/>
      <c r="E952" s="122"/>
      <c r="F952" s="219"/>
      <c r="G952" s="122"/>
      <c r="H952" s="214"/>
      <c r="I952" s="220"/>
      <c r="J952" s="46"/>
      <c r="K952" s="46"/>
      <c r="L952" s="46"/>
      <c r="M952" s="46"/>
      <c r="N952" s="46"/>
      <c r="O952" s="46"/>
      <c r="P952" s="46"/>
      <c r="Q952" s="46"/>
      <c r="R952" s="46"/>
      <c r="S952" s="46"/>
      <c r="T952" s="46"/>
      <c r="U952" s="46"/>
      <c r="V952" s="46"/>
      <c r="W952" s="46"/>
    </row>
    <row r="953">
      <c r="A953" s="55"/>
      <c r="B953" s="214"/>
      <c r="C953" s="55"/>
      <c r="D953" s="214"/>
      <c r="E953" s="122"/>
      <c r="F953" s="219"/>
      <c r="G953" s="122"/>
      <c r="H953" s="214"/>
      <c r="I953" s="220"/>
      <c r="J953" s="46"/>
      <c r="K953" s="46"/>
      <c r="L953" s="46"/>
      <c r="M953" s="46"/>
      <c r="N953" s="46"/>
      <c r="O953" s="46"/>
      <c r="P953" s="46"/>
      <c r="Q953" s="46"/>
      <c r="R953" s="46"/>
      <c r="S953" s="46"/>
      <c r="T953" s="46"/>
      <c r="U953" s="46"/>
      <c r="V953" s="46"/>
      <c r="W953" s="46"/>
    </row>
    <row r="954">
      <c r="A954" s="55"/>
      <c r="B954" s="214"/>
      <c r="C954" s="55"/>
      <c r="D954" s="214"/>
      <c r="E954" s="122"/>
      <c r="F954" s="219"/>
      <c r="G954" s="122"/>
      <c r="H954" s="214"/>
      <c r="I954" s="220"/>
      <c r="J954" s="46"/>
      <c r="K954" s="46"/>
      <c r="L954" s="46"/>
      <c r="M954" s="46"/>
      <c r="N954" s="46"/>
      <c r="O954" s="46"/>
      <c r="P954" s="46"/>
      <c r="Q954" s="46"/>
      <c r="R954" s="46"/>
      <c r="S954" s="46"/>
      <c r="T954" s="46"/>
      <c r="U954" s="46"/>
      <c r="V954" s="46"/>
      <c r="W954" s="46"/>
    </row>
    <row r="955">
      <c r="A955" s="55"/>
      <c r="B955" s="214"/>
      <c r="C955" s="55"/>
      <c r="D955" s="214"/>
      <c r="E955" s="122"/>
      <c r="F955" s="219"/>
      <c r="G955" s="122"/>
      <c r="H955" s="214"/>
      <c r="I955" s="220"/>
      <c r="J955" s="46"/>
      <c r="K955" s="46"/>
      <c r="L955" s="46"/>
      <c r="M955" s="46"/>
      <c r="N955" s="46"/>
      <c r="O955" s="46"/>
      <c r="P955" s="46"/>
      <c r="Q955" s="46"/>
      <c r="R955" s="46"/>
      <c r="S955" s="46"/>
      <c r="T955" s="46"/>
      <c r="U955" s="46"/>
      <c r="V955" s="46"/>
      <c r="W955" s="46"/>
    </row>
    <row r="956">
      <c r="A956" s="55"/>
      <c r="B956" s="214"/>
      <c r="C956" s="55"/>
      <c r="D956" s="214"/>
      <c r="E956" s="122"/>
      <c r="F956" s="219"/>
      <c r="G956" s="122"/>
      <c r="H956" s="214"/>
      <c r="I956" s="220"/>
      <c r="J956" s="46"/>
      <c r="K956" s="46"/>
      <c r="L956" s="46"/>
      <c r="M956" s="46"/>
      <c r="N956" s="46"/>
      <c r="O956" s="46"/>
      <c r="P956" s="46"/>
      <c r="Q956" s="46"/>
      <c r="R956" s="46"/>
      <c r="S956" s="46"/>
      <c r="T956" s="46"/>
      <c r="U956" s="46"/>
      <c r="V956" s="46"/>
      <c r="W956" s="46"/>
    </row>
    <row r="957">
      <c r="A957" s="55"/>
      <c r="B957" s="214"/>
      <c r="C957" s="55"/>
      <c r="D957" s="214"/>
      <c r="E957" s="122"/>
      <c r="F957" s="219"/>
      <c r="G957" s="122"/>
      <c r="H957" s="214"/>
      <c r="I957" s="220"/>
      <c r="J957" s="46"/>
      <c r="K957" s="46"/>
      <c r="L957" s="46"/>
      <c r="M957" s="46"/>
      <c r="N957" s="46"/>
      <c r="O957" s="46"/>
      <c r="P957" s="46"/>
      <c r="Q957" s="46"/>
      <c r="R957" s="46"/>
      <c r="S957" s="46"/>
      <c r="T957" s="46"/>
      <c r="U957" s="46"/>
      <c r="V957" s="46"/>
      <c r="W957" s="46"/>
    </row>
    <row r="958">
      <c r="A958" s="55"/>
      <c r="B958" s="214"/>
      <c r="C958" s="55"/>
      <c r="D958" s="214"/>
      <c r="E958" s="122"/>
      <c r="F958" s="219"/>
      <c r="G958" s="122"/>
      <c r="H958" s="214"/>
      <c r="I958" s="220"/>
      <c r="J958" s="46"/>
      <c r="K958" s="46"/>
      <c r="L958" s="46"/>
      <c r="M958" s="46"/>
      <c r="N958" s="46"/>
      <c r="O958" s="46"/>
      <c r="P958" s="46"/>
      <c r="Q958" s="46"/>
      <c r="R958" s="46"/>
      <c r="S958" s="46"/>
      <c r="T958" s="46"/>
      <c r="U958" s="46"/>
      <c r="V958" s="46"/>
      <c r="W958" s="46"/>
    </row>
    <row r="959">
      <c r="A959" s="55"/>
      <c r="B959" s="214"/>
      <c r="C959" s="55"/>
      <c r="D959" s="214"/>
      <c r="E959" s="122"/>
      <c r="F959" s="219"/>
      <c r="G959" s="122"/>
      <c r="H959" s="214"/>
      <c r="I959" s="220"/>
      <c r="J959" s="46"/>
      <c r="K959" s="46"/>
      <c r="L959" s="46"/>
      <c r="M959" s="46"/>
      <c r="N959" s="46"/>
      <c r="O959" s="46"/>
      <c r="P959" s="46"/>
      <c r="Q959" s="46"/>
      <c r="R959" s="46"/>
      <c r="S959" s="46"/>
      <c r="T959" s="46"/>
      <c r="U959" s="46"/>
      <c r="V959" s="46"/>
      <c r="W959" s="46"/>
    </row>
    <row r="960">
      <c r="A960" s="55"/>
      <c r="B960" s="214"/>
      <c r="C960" s="55"/>
      <c r="D960" s="214"/>
      <c r="E960" s="122"/>
      <c r="F960" s="219"/>
      <c r="G960" s="122"/>
      <c r="H960" s="214"/>
      <c r="I960" s="220"/>
      <c r="J960" s="46"/>
      <c r="K960" s="46"/>
      <c r="L960" s="46"/>
      <c r="M960" s="46"/>
      <c r="N960" s="46"/>
      <c r="O960" s="46"/>
      <c r="P960" s="46"/>
      <c r="Q960" s="46"/>
      <c r="R960" s="46"/>
      <c r="S960" s="46"/>
      <c r="T960" s="46"/>
      <c r="U960" s="46"/>
      <c r="V960" s="46"/>
      <c r="W960" s="46"/>
    </row>
    <row r="961">
      <c r="A961" s="55"/>
      <c r="B961" s="214"/>
      <c r="C961" s="55"/>
      <c r="D961" s="214"/>
      <c r="E961" s="122"/>
      <c r="F961" s="219"/>
      <c r="G961" s="122"/>
      <c r="H961" s="214"/>
      <c r="I961" s="220"/>
      <c r="J961" s="46"/>
      <c r="K961" s="46"/>
      <c r="L961" s="46"/>
      <c r="M961" s="46"/>
      <c r="N961" s="46"/>
      <c r="O961" s="46"/>
      <c r="P961" s="46"/>
      <c r="Q961" s="46"/>
      <c r="R961" s="46"/>
      <c r="S961" s="46"/>
      <c r="T961" s="46"/>
      <c r="U961" s="46"/>
      <c r="V961" s="46"/>
      <c r="W961" s="46"/>
    </row>
    <row r="962">
      <c r="A962" s="55"/>
      <c r="B962" s="214"/>
      <c r="C962" s="55"/>
      <c r="D962" s="214"/>
      <c r="E962" s="122"/>
      <c r="F962" s="219"/>
      <c r="G962" s="122"/>
      <c r="H962" s="214"/>
      <c r="I962" s="220"/>
      <c r="J962" s="46"/>
      <c r="K962" s="46"/>
      <c r="L962" s="46"/>
      <c r="M962" s="46"/>
      <c r="N962" s="46"/>
      <c r="O962" s="46"/>
      <c r="P962" s="46"/>
      <c r="Q962" s="46"/>
      <c r="R962" s="46"/>
      <c r="S962" s="46"/>
      <c r="T962" s="46"/>
      <c r="U962" s="46"/>
      <c r="V962" s="46"/>
      <c r="W962" s="46"/>
    </row>
    <row r="963">
      <c r="A963" s="55"/>
      <c r="B963" s="214"/>
      <c r="C963" s="55"/>
      <c r="D963" s="214"/>
      <c r="E963" s="122"/>
      <c r="F963" s="219"/>
      <c r="G963" s="122"/>
      <c r="H963" s="214"/>
      <c r="I963" s="220"/>
      <c r="J963" s="46"/>
      <c r="K963" s="46"/>
      <c r="L963" s="46"/>
      <c r="M963" s="46"/>
      <c r="N963" s="46"/>
      <c r="O963" s="46"/>
      <c r="P963" s="46"/>
      <c r="Q963" s="46"/>
      <c r="R963" s="46"/>
      <c r="S963" s="46"/>
      <c r="T963" s="46"/>
      <c r="U963" s="46"/>
      <c r="V963" s="46"/>
      <c r="W963" s="46"/>
    </row>
    <row r="964">
      <c r="A964" s="55"/>
      <c r="B964" s="214"/>
      <c r="C964" s="55"/>
      <c r="D964" s="214"/>
      <c r="E964" s="122"/>
      <c r="F964" s="219"/>
      <c r="G964" s="122"/>
      <c r="H964" s="214"/>
      <c r="I964" s="220"/>
      <c r="J964" s="46"/>
      <c r="K964" s="46"/>
      <c r="L964" s="46"/>
      <c r="M964" s="46"/>
      <c r="N964" s="46"/>
      <c r="O964" s="46"/>
      <c r="P964" s="46"/>
      <c r="Q964" s="46"/>
      <c r="R964" s="46"/>
      <c r="S964" s="46"/>
      <c r="T964" s="46"/>
      <c r="U964" s="46"/>
      <c r="V964" s="46"/>
      <c r="W964" s="46"/>
    </row>
    <row r="965">
      <c r="A965" s="55"/>
      <c r="B965" s="214"/>
      <c r="C965" s="55"/>
      <c r="D965" s="214"/>
      <c r="E965" s="122"/>
      <c r="F965" s="219"/>
      <c r="G965" s="122"/>
      <c r="H965" s="214"/>
      <c r="I965" s="220"/>
      <c r="J965" s="46"/>
      <c r="K965" s="46"/>
      <c r="L965" s="46"/>
      <c r="M965" s="46"/>
      <c r="N965" s="46"/>
      <c r="O965" s="46"/>
      <c r="P965" s="46"/>
      <c r="Q965" s="46"/>
      <c r="R965" s="46"/>
      <c r="S965" s="46"/>
      <c r="T965" s="46"/>
      <c r="U965" s="46"/>
      <c r="V965" s="46"/>
      <c r="W965" s="46"/>
    </row>
    <row r="966">
      <c r="A966" s="55"/>
      <c r="B966" s="214"/>
      <c r="C966" s="55"/>
      <c r="D966" s="214"/>
      <c r="E966" s="122"/>
      <c r="F966" s="219"/>
      <c r="G966" s="122"/>
      <c r="H966" s="214"/>
      <c r="I966" s="220"/>
      <c r="J966" s="46"/>
      <c r="K966" s="46"/>
      <c r="L966" s="46"/>
      <c r="M966" s="46"/>
      <c r="N966" s="46"/>
      <c r="O966" s="46"/>
      <c r="P966" s="46"/>
      <c r="Q966" s="46"/>
      <c r="R966" s="46"/>
      <c r="S966" s="46"/>
      <c r="T966" s="46"/>
      <c r="U966" s="46"/>
      <c r="V966" s="46"/>
      <c r="W966" s="46"/>
    </row>
    <row r="967">
      <c r="A967" s="55"/>
      <c r="B967" s="214"/>
      <c r="C967" s="55"/>
      <c r="D967" s="214"/>
      <c r="E967" s="122"/>
      <c r="F967" s="219"/>
      <c r="G967" s="122"/>
      <c r="H967" s="214"/>
      <c r="I967" s="220"/>
      <c r="J967" s="46"/>
      <c r="K967" s="46"/>
      <c r="L967" s="46"/>
      <c r="M967" s="46"/>
      <c r="N967" s="46"/>
      <c r="O967" s="46"/>
      <c r="P967" s="46"/>
      <c r="Q967" s="46"/>
      <c r="R967" s="46"/>
      <c r="S967" s="46"/>
      <c r="T967" s="46"/>
      <c r="U967" s="46"/>
      <c r="V967" s="46"/>
      <c r="W967" s="46"/>
    </row>
    <row r="968">
      <c r="A968" s="55"/>
      <c r="B968" s="214"/>
      <c r="C968" s="55"/>
      <c r="D968" s="214"/>
      <c r="E968" s="122"/>
      <c r="F968" s="219"/>
      <c r="G968" s="122"/>
      <c r="H968" s="214"/>
      <c r="I968" s="220"/>
      <c r="J968" s="46"/>
      <c r="K968" s="46"/>
      <c r="L968" s="46"/>
      <c r="M968" s="46"/>
      <c r="N968" s="46"/>
      <c r="O968" s="46"/>
      <c r="P968" s="46"/>
      <c r="Q968" s="46"/>
      <c r="R968" s="46"/>
      <c r="S968" s="46"/>
      <c r="T968" s="46"/>
      <c r="U968" s="46"/>
      <c r="V968" s="46"/>
      <c r="W968" s="46"/>
    </row>
    <row r="969">
      <c r="A969" s="55"/>
      <c r="B969" s="214"/>
      <c r="C969" s="55"/>
      <c r="D969" s="214"/>
      <c r="E969" s="122"/>
      <c r="F969" s="219"/>
      <c r="G969" s="122"/>
      <c r="H969" s="214"/>
      <c r="I969" s="220"/>
      <c r="J969" s="46"/>
      <c r="K969" s="46"/>
      <c r="L969" s="46"/>
      <c r="M969" s="46"/>
      <c r="N969" s="46"/>
      <c r="O969" s="46"/>
      <c r="P969" s="46"/>
      <c r="Q969" s="46"/>
      <c r="R969" s="46"/>
      <c r="S969" s="46"/>
      <c r="T969" s="46"/>
      <c r="U969" s="46"/>
      <c r="V969" s="46"/>
      <c r="W969" s="46"/>
    </row>
    <row r="970">
      <c r="A970" s="55"/>
      <c r="B970" s="214"/>
      <c r="C970" s="55"/>
      <c r="D970" s="214"/>
      <c r="E970" s="122"/>
      <c r="F970" s="219"/>
      <c r="G970" s="122"/>
      <c r="H970" s="214"/>
      <c r="I970" s="220"/>
      <c r="J970" s="46"/>
      <c r="K970" s="46"/>
      <c r="L970" s="46"/>
      <c r="M970" s="46"/>
      <c r="N970" s="46"/>
      <c r="O970" s="46"/>
      <c r="P970" s="46"/>
      <c r="Q970" s="46"/>
      <c r="R970" s="46"/>
      <c r="S970" s="46"/>
      <c r="T970" s="46"/>
      <c r="U970" s="46"/>
      <c r="V970" s="46"/>
      <c r="W970" s="46"/>
    </row>
    <row r="971">
      <c r="A971" s="55"/>
      <c r="B971" s="214"/>
      <c r="C971" s="55"/>
      <c r="D971" s="214"/>
      <c r="E971" s="122"/>
      <c r="F971" s="219"/>
      <c r="G971" s="122"/>
      <c r="H971" s="214"/>
      <c r="I971" s="220"/>
      <c r="J971" s="46"/>
      <c r="K971" s="46"/>
      <c r="L971" s="46"/>
      <c r="M971" s="46"/>
      <c r="N971" s="46"/>
      <c r="O971" s="46"/>
      <c r="P971" s="46"/>
      <c r="Q971" s="46"/>
      <c r="R971" s="46"/>
      <c r="S971" s="46"/>
      <c r="T971" s="46"/>
      <c r="U971" s="46"/>
      <c r="V971" s="46"/>
      <c r="W971" s="46"/>
    </row>
    <row r="972">
      <c r="A972" s="55"/>
      <c r="B972" s="214"/>
      <c r="C972" s="55"/>
      <c r="D972" s="214"/>
      <c r="E972" s="122"/>
      <c r="F972" s="219"/>
      <c r="G972" s="122"/>
      <c r="H972" s="214"/>
      <c r="I972" s="220"/>
      <c r="J972" s="46"/>
      <c r="K972" s="46"/>
      <c r="L972" s="46"/>
      <c r="M972" s="46"/>
      <c r="N972" s="46"/>
      <c r="O972" s="46"/>
      <c r="P972" s="46"/>
      <c r="Q972" s="46"/>
      <c r="R972" s="46"/>
      <c r="S972" s="46"/>
      <c r="T972" s="46"/>
      <c r="U972" s="46"/>
      <c r="V972" s="46"/>
      <c r="W972" s="46"/>
    </row>
    <row r="973">
      <c r="A973" s="55"/>
      <c r="B973" s="214"/>
      <c r="C973" s="55"/>
      <c r="D973" s="214"/>
      <c r="E973" s="122"/>
      <c r="F973" s="219"/>
      <c r="G973" s="122"/>
      <c r="H973" s="214"/>
      <c r="I973" s="220"/>
      <c r="J973" s="46"/>
      <c r="K973" s="46"/>
      <c r="L973" s="46"/>
      <c r="M973" s="46"/>
      <c r="N973" s="46"/>
      <c r="O973" s="46"/>
      <c r="P973" s="46"/>
      <c r="Q973" s="46"/>
      <c r="R973" s="46"/>
      <c r="S973" s="46"/>
      <c r="T973" s="46"/>
      <c r="U973" s="46"/>
      <c r="V973" s="46"/>
      <c r="W973" s="46"/>
    </row>
    <row r="974">
      <c r="A974" s="55"/>
      <c r="B974" s="214"/>
      <c r="C974" s="55"/>
      <c r="D974" s="214"/>
      <c r="E974" s="122"/>
      <c r="F974" s="219"/>
      <c r="G974" s="122"/>
      <c r="H974" s="214"/>
      <c r="I974" s="220"/>
      <c r="J974" s="46"/>
      <c r="K974" s="46"/>
      <c r="L974" s="46"/>
      <c r="M974" s="46"/>
      <c r="N974" s="46"/>
      <c r="O974" s="46"/>
      <c r="P974" s="46"/>
      <c r="Q974" s="46"/>
      <c r="R974" s="46"/>
      <c r="S974" s="46"/>
      <c r="T974" s="46"/>
      <c r="U974" s="46"/>
      <c r="V974" s="46"/>
      <c r="W974" s="46"/>
    </row>
    <row r="975">
      <c r="A975" s="55"/>
      <c r="B975" s="214"/>
      <c r="C975" s="55"/>
      <c r="D975" s="214"/>
      <c r="E975" s="122"/>
      <c r="F975" s="219"/>
      <c r="G975" s="122"/>
      <c r="H975" s="214"/>
      <c r="I975" s="220"/>
      <c r="J975" s="46"/>
      <c r="K975" s="46"/>
      <c r="L975" s="46"/>
      <c r="M975" s="46"/>
      <c r="N975" s="46"/>
      <c r="O975" s="46"/>
      <c r="P975" s="46"/>
      <c r="Q975" s="46"/>
      <c r="R975" s="46"/>
      <c r="S975" s="46"/>
      <c r="T975" s="46"/>
      <c r="U975" s="46"/>
      <c r="V975" s="46"/>
      <c r="W975" s="46"/>
    </row>
    <row r="976">
      <c r="A976" s="55"/>
      <c r="B976" s="214"/>
      <c r="C976" s="55"/>
      <c r="D976" s="214"/>
      <c r="E976" s="122"/>
      <c r="F976" s="219"/>
      <c r="G976" s="122"/>
      <c r="H976" s="214"/>
      <c r="I976" s="220"/>
      <c r="J976" s="46"/>
      <c r="K976" s="46"/>
      <c r="L976" s="46"/>
      <c r="M976" s="46"/>
      <c r="N976" s="46"/>
      <c r="O976" s="46"/>
      <c r="P976" s="46"/>
      <c r="Q976" s="46"/>
      <c r="R976" s="46"/>
      <c r="S976" s="46"/>
      <c r="T976" s="46"/>
      <c r="U976" s="46"/>
      <c r="V976" s="46"/>
      <c r="W976" s="46"/>
    </row>
    <row r="977">
      <c r="A977" s="55"/>
      <c r="B977" s="214"/>
      <c r="C977" s="55"/>
      <c r="D977" s="214"/>
      <c r="E977" s="122"/>
      <c r="F977" s="219"/>
      <c r="G977" s="122"/>
      <c r="H977" s="214"/>
      <c r="I977" s="220"/>
      <c r="J977" s="46"/>
      <c r="K977" s="46"/>
      <c r="L977" s="46"/>
      <c r="M977" s="46"/>
      <c r="N977" s="46"/>
      <c r="O977" s="46"/>
      <c r="P977" s="46"/>
      <c r="Q977" s="46"/>
      <c r="R977" s="46"/>
      <c r="S977" s="46"/>
      <c r="T977" s="46"/>
      <c r="U977" s="46"/>
      <c r="V977" s="46"/>
      <c r="W977" s="46"/>
    </row>
    <row r="978">
      <c r="A978" s="55"/>
      <c r="B978" s="214"/>
      <c r="C978" s="55"/>
      <c r="D978" s="214"/>
      <c r="E978" s="122"/>
      <c r="F978" s="219"/>
      <c r="G978" s="122"/>
      <c r="H978" s="214"/>
      <c r="I978" s="220"/>
      <c r="J978" s="46"/>
      <c r="K978" s="46"/>
      <c r="L978" s="46"/>
      <c r="M978" s="46"/>
      <c r="N978" s="46"/>
      <c r="O978" s="46"/>
      <c r="P978" s="46"/>
      <c r="Q978" s="46"/>
      <c r="R978" s="46"/>
      <c r="S978" s="46"/>
      <c r="T978" s="46"/>
      <c r="U978" s="46"/>
      <c r="V978" s="46"/>
      <c r="W978" s="46"/>
    </row>
    <row r="979">
      <c r="A979" s="55"/>
      <c r="B979" s="214"/>
      <c r="C979" s="55"/>
      <c r="D979" s="214"/>
      <c r="E979" s="122"/>
      <c r="F979" s="219"/>
      <c r="G979" s="122"/>
      <c r="H979" s="214"/>
      <c r="I979" s="220"/>
      <c r="J979" s="46"/>
      <c r="K979" s="46"/>
      <c r="L979" s="46"/>
      <c r="M979" s="46"/>
      <c r="N979" s="46"/>
      <c r="O979" s="46"/>
      <c r="P979" s="46"/>
      <c r="Q979" s="46"/>
      <c r="R979" s="46"/>
      <c r="S979" s="46"/>
      <c r="T979" s="46"/>
      <c r="U979" s="46"/>
      <c r="V979" s="46"/>
      <c r="W979" s="46"/>
    </row>
    <row r="980">
      <c r="A980" s="55"/>
      <c r="B980" s="214"/>
      <c r="C980" s="55"/>
      <c r="D980" s="214"/>
      <c r="E980" s="122"/>
      <c r="F980" s="219"/>
      <c r="G980" s="122"/>
      <c r="H980" s="214"/>
      <c r="I980" s="220"/>
      <c r="J980" s="46"/>
      <c r="K980" s="46"/>
      <c r="L980" s="46"/>
      <c r="M980" s="46"/>
      <c r="N980" s="46"/>
      <c r="O980" s="46"/>
      <c r="P980" s="46"/>
      <c r="Q980" s="46"/>
      <c r="R980" s="46"/>
      <c r="S980" s="46"/>
      <c r="T980" s="46"/>
      <c r="U980" s="46"/>
      <c r="V980" s="46"/>
      <c r="W980" s="46"/>
    </row>
    <row r="981">
      <c r="A981" s="55"/>
      <c r="B981" s="214"/>
      <c r="C981" s="55"/>
      <c r="D981" s="214"/>
      <c r="E981" s="122"/>
      <c r="F981" s="219"/>
      <c r="G981" s="122"/>
      <c r="H981" s="214"/>
      <c r="I981" s="220"/>
      <c r="J981" s="46"/>
      <c r="K981" s="46"/>
      <c r="L981" s="46"/>
      <c r="M981" s="46"/>
      <c r="N981" s="46"/>
      <c r="O981" s="46"/>
      <c r="P981" s="46"/>
      <c r="Q981" s="46"/>
      <c r="R981" s="46"/>
      <c r="S981" s="46"/>
      <c r="T981" s="46"/>
      <c r="U981" s="46"/>
      <c r="V981" s="46"/>
      <c r="W981" s="46"/>
    </row>
    <row r="982">
      <c r="A982" s="55"/>
      <c r="B982" s="214"/>
      <c r="C982" s="55"/>
      <c r="D982" s="214"/>
      <c r="E982" s="122"/>
      <c r="F982" s="219"/>
      <c r="G982" s="122"/>
      <c r="H982" s="214"/>
      <c r="I982" s="220"/>
      <c r="J982" s="46"/>
      <c r="K982" s="46"/>
      <c r="L982" s="46"/>
      <c r="M982" s="46"/>
      <c r="N982" s="46"/>
      <c r="O982" s="46"/>
      <c r="P982" s="46"/>
      <c r="Q982" s="46"/>
      <c r="R982" s="46"/>
      <c r="S982" s="46"/>
      <c r="T982" s="46"/>
      <c r="U982" s="46"/>
      <c r="V982" s="46"/>
      <c r="W982" s="46"/>
    </row>
    <row r="983">
      <c r="A983" s="55"/>
      <c r="B983" s="214"/>
      <c r="C983" s="55"/>
      <c r="D983" s="214"/>
      <c r="E983" s="122"/>
      <c r="F983" s="219"/>
      <c r="G983" s="122"/>
      <c r="H983" s="214"/>
      <c r="I983" s="220"/>
      <c r="J983" s="46"/>
      <c r="K983" s="46"/>
      <c r="L983" s="46"/>
      <c r="M983" s="46"/>
      <c r="N983" s="46"/>
      <c r="O983" s="46"/>
      <c r="P983" s="46"/>
      <c r="Q983" s="46"/>
      <c r="R983" s="46"/>
      <c r="S983" s="46"/>
      <c r="T983" s="46"/>
      <c r="U983" s="46"/>
      <c r="V983" s="46"/>
      <c r="W983" s="46"/>
    </row>
    <row r="984">
      <c r="A984" s="55"/>
      <c r="B984" s="214"/>
      <c r="C984" s="55"/>
      <c r="D984" s="214"/>
      <c r="E984" s="122"/>
      <c r="F984" s="219"/>
      <c r="G984" s="122"/>
      <c r="H984" s="214"/>
      <c r="I984" s="220"/>
      <c r="J984" s="46"/>
      <c r="K984" s="46"/>
      <c r="L984" s="46"/>
      <c r="M984" s="46"/>
      <c r="N984" s="46"/>
      <c r="O984" s="46"/>
      <c r="P984" s="46"/>
      <c r="Q984" s="46"/>
      <c r="R984" s="46"/>
      <c r="S984" s="46"/>
      <c r="T984" s="46"/>
      <c r="U984" s="46"/>
      <c r="V984" s="46"/>
      <c r="W984" s="46"/>
    </row>
    <row r="985">
      <c r="A985" s="55"/>
      <c r="B985" s="214"/>
      <c r="C985" s="55"/>
      <c r="D985" s="214"/>
      <c r="E985" s="122"/>
      <c r="F985" s="219"/>
      <c r="G985" s="122"/>
      <c r="H985" s="214"/>
      <c r="I985" s="220"/>
      <c r="J985" s="46"/>
      <c r="K985" s="46"/>
      <c r="L985" s="46"/>
      <c r="M985" s="46"/>
      <c r="N985" s="46"/>
      <c r="O985" s="46"/>
      <c r="P985" s="46"/>
      <c r="Q985" s="46"/>
      <c r="R985" s="46"/>
      <c r="S985" s="46"/>
      <c r="T985" s="46"/>
      <c r="U985" s="46"/>
      <c r="V985" s="46"/>
      <c r="W985" s="46"/>
    </row>
    <row r="986">
      <c r="A986" s="55"/>
      <c r="B986" s="214"/>
      <c r="C986" s="55"/>
      <c r="D986" s="214"/>
      <c r="E986" s="122"/>
      <c r="F986" s="219"/>
      <c r="G986" s="122"/>
      <c r="H986" s="214"/>
      <c r="I986" s="220"/>
      <c r="J986" s="46"/>
      <c r="K986" s="46"/>
      <c r="L986" s="46"/>
      <c r="M986" s="46"/>
      <c r="N986" s="46"/>
      <c r="O986" s="46"/>
      <c r="P986" s="46"/>
      <c r="Q986" s="46"/>
      <c r="R986" s="46"/>
      <c r="S986" s="46"/>
      <c r="T986" s="46"/>
      <c r="U986" s="46"/>
      <c r="V986" s="46"/>
      <c r="W986" s="46"/>
    </row>
    <row r="987">
      <c r="A987" s="55"/>
      <c r="B987" s="214"/>
      <c r="C987" s="55"/>
      <c r="D987" s="214"/>
      <c r="E987" s="122"/>
      <c r="F987" s="219"/>
      <c r="G987" s="122"/>
      <c r="H987" s="214"/>
      <c r="I987" s="220"/>
      <c r="J987" s="46"/>
      <c r="K987" s="46"/>
      <c r="L987" s="46"/>
      <c r="M987" s="46"/>
      <c r="N987" s="46"/>
      <c r="O987" s="46"/>
      <c r="P987" s="46"/>
      <c r="Q987" s="46"/>
      <c r="R987" s="46"/>
      <c r="S987" s="46"/>
      <c r="T987" s="46"/>
      <c r="U987" s="46"/>
      <c r="V987" s="46"/>
      <c r="W987" s="46"/>
    </row>
    <row r="988">
      <c r="A988" s="55"/>
      <c r="B988" s="214"/>
      <c r="C988" s="55"/>
      <c r="D988" s="214"/>
      <c r="E988" s="122"/>
      <c r="F988" s="219"/>
      <c r="G988" s="122"/>
      <c r="H988" s="214"/>
      <c r="I988" s="220"/>
      <c r="J988" s="46"/>
      <c r="K988" s="46"/>
      <c r="L988" s="46"/>
      <c r="M988" s="46"/>
      <c r="N988" s="46"/>
      <c r="O988" s="46"/>
      <c r="P988" s="46"/>
      <c r="Q988" s="46"/>
      <c r="R988" s="46"/>
      <c r="S988" s="46"/>
      <c r="T988" s="46"/>
      <c r="U988" s="46"/>
      <c r="V988" s="46"/>
      <c r="W988" s="46"/>
    </row>
    <row r="989">
      <c r="A989" s="55"/>
      <c r="B989" s="214"/>
      <c r="C989" s="55"/>
      <c r="D989" s="214"/>
      <c r="E989" s="122"/>
      <c r="F989" s="219"/>
      <c r="G989" s="122"/>
      <c r="H989" s="214"/>
      <c r="I989" s="220"/>
      <c r="J989" s="46"/>
      <c r="K989" s="46"/>
      <c r="L989" s="46"/>
      <c r="M989" s="46"/>
      <c r="N989" s="46"/>
      <c r="O989" s="46"/>
      <c r="P989" s="46"/>
      <c r="Q989" s="46"/>
      <c r="R989" s="46"/>
      <c r="S989" s="46"/>
      <c r="T989" s="46"/>
      <c r="U989" s="46"/>
      <c r="V989" s="46"/>
      <c r="W989" s="46"/>
    </row>
    <row r="990">
      <c r="A990" s="55"/>
      <c r="B990" s="214"/>
      <c r="C990" s="55"/>
      <c r="D990" s="214"/>
      <c r="E990" s="122"/>
      <c r="F990" s="219"/>
      <c r="G990" s="122"/>
      <c r="H990" s="214"/>
      <c r="I990" s="220"/>
      <c r="J990" s="46"/>
      <c r="K990" s="46"/>
      <c r="L990" s="46"/>
      <c r="M990" s="46"/>
      <c r="N990" s="46"/>
      <c r="O990" s="46"/>
      <c r="P990" s="46"/>
      <c r="Q990" s="46"/>
      <c r="R990" s="46"/>
      <c r="S990" s="46"/>
      <c r="T990" s="46"/>
      <c r="U990" s="46"/>
      <c r="V990" s="46"/>
      <c r="W990" s="46"/>
    </row>
    <row r="991">
      <c r="A991" s="55"/>
      <c r="B991" s="214"/>
      <c r="C991" s="55"/>
      <c r="D991" s="214"/>
      <c r="E991" s="122"/>
      <c r="F991" s="219"/>
      <c r="G991" s="122"/>
      <c r="H991" s="214"/>
      <c r="I991" s="220"/>
      <c r="J991" s="46"/>
      <c r="K991" s="46"/>
      <c r="L991" s="46"/>
      <c r="M991" s="46"/>
      <c r="N991" s="46"/>
      <c r="O991" s="46"/>
      <c r="P991" s="46"/>
      <c r="Q991" s="46"/>
      <c r="R991" s="46"/>
      <c r="S991" s="46"/>
      <c r="T991" s="46"/>
      <c r="U991" s="46"/>
      <c r="V991" s="46"/>
      <c r="W991" s="46"/>
    </row>
    <row r="992">
      <c r="A992" s="55"/>
      <c r="B992" s="214"/>
      <c r="C992" s="55"/>
      <c r="D992" s="214"/>
      <c r="E992" s="122"/>
      <c r="F992" s="219"/>
      <c r="G992" s="122"/>
      <c r="H992" s="214"/>
      <c r="I992" s="220"/>
      <c r="J992" s="46"/>
      <c r="K992" s="46"/>
      <c r="L992" s="46"/>
      <c r="M992" s="46"/>
      <c r="N992" s="46"/>
      <c r="O992" s="46"/>
      <c r="P992" s="46"/>
      <c r="Q992" s="46"/>
      <c r="R992" s="46"/>
      <c r="S992" s="46"/>
      <c r="T992" s="46"/>
      <c r="U992" s="46"/>
      <c r="V992" s="46"/>
      <c r="W992" s="46"/>
    </row>
    <row r="993">
      <c r="A993" s="55"/>
      <c r="B993" s="214"/>
      <c r="C993" s="55"/>
      <c r="D993" s="214"/>
      <c r="E993" s="122"/>
      <c r="F993" s="219"/>
      <c r="G993" s="122"/>
      <c r="H993" s="214"/>
      <c r="I993" s="220"/>
      <c r="J993" s="46"/>
      <c r="K993" s="46"/>
      <c r="L993" s="46"/>
      <c r="M993" s="46"/>
      <c r="N993" s="46"/>
      <c r="O993" s="46"/>
      <c r="P993" s="46"/>
      <c r="Q993" s="46"/>
      <c r="R993" s="46"/>
      <c r="S993" s="46"/>
      <c r="T993" s="46"/>
      <c r="U993" s="46"/>
      <c r="V993" s="46"/>
      <c r="W993" s="46"/>
    </row>
    <row r="994">
      <c r="A994" s="55"/>
      <c r="B994" s="214"/>
      <c r="C994" s="55"/>
      <c r="D994" s="214"/>
      <c r="E994" s="122"/>
      <c r="F994" s="219"/>
      <c r="G994" s="122"/>
      <c r="H994" s="214"/>
      <c r="I994" s="220"/>
      <c r="J994" s="46"/>
      <c r="K994" s="46"/>
      <c r="L994" s="46"/>
      <c r="M994" s="46"/>
      <c r="N994" s="46"/>
      <c r="O994" s="46"/>
      <c r="P994" s="46"/>
      <c r="Q994" s="46"/>
      <c r="R994" s="46"/>
      <c r="S994" s="46"/>
      <c r="T994" s="46"/>
      <c r="U994" s="46"/>
      <c r="V994" s="46"/>
      <c r="W994" s="46"/>
    </row>
    <row r="995">
      <c r="A995" s="55"/>
      <c r="B995" s="214"/>
      <c r="C995" s="55"/>
      <c r="D995" s="214"/>
      <c r="E995" s="122"/>
      <c r="F995" s="219"/>
      <c r="G995" s="122"/>
      <c r="H995" s="214"/>
      <c r="I995" s="220"/>
      <c r="J995" s="46"/>
      <c r="K995" s="46"/>
      <c r="L995" s="46"/>
      <c r="M995" s="46"/>
      <c r="N995" s="46"/>
      <c r="O995" s="46"/>
      <c r="P995" s="46"/>
      <c r="Q995" s="46"/>
      <c r="R995" s="46"/>
      <c r="S995" s="46"/>
      <c r="T995" s="46"/>
      <c r="U995" s="46"/>
      <c r="V995" s="46"/>
      <c r="W995" s="46"/>
    </row>
    <row r="996">
      <c r="A996" s="55"/>
      <c r="B996" s="214"/>
      <c r="C996" s="55"/>
      <c r="D996" s="214"/>
      <c r="E996" s="122"/>
      <c r="F996" s="219"/>
      <c r="G996" s="122"/>
      <c r="H996" s="214"/>
      <c r="I996" s="220"/>
      <c r="J996" s="46"/>
      <c r="K996" s="46"/>
      <c r="L996" s="46"/>
      <c r="M996" s="46"/>
      <c r="N996" s="46"/>
      <c r="O996" s="46"/>
      <c r="P996" s="46"/>
      <c r="Q996" s="46"/>
      <c r="R996" s="46"/>
      <c r="S996" s="46"/>
      <c r="T996" s="46"/>
      <c r="U996" s="46"/>
      <c r="V996" s="46"/>
      <c r="W996" s="46"/>
    </row>
    <row r="997">
      <c r="A997" s="55"/>
      <c r="B997" s="214"/>
      <c r="C997" s="55"/>
      <c r="D997" s="214"/>
      <c r="E997" s="122"/>
      <c r="F997" s="219"/>
      <c r="G997" s="122"/>
      <c r="H997" s="214"/>
      <c r="I997" s="220"/>
      <c r="J997" s="46"/>
      <c r="K997" s="46"/>
      <c r="L997" s="46"/>
      <c r="M997" s="46"/>
      <c r="N997" s="46"/>
      <c r="O997" s="46"/>
      <c r="P997" s="46"/>
      <c r="Q997" s="46"/>
      <c r="R997" s="46"/>
      <c r="S997" s="46"/>
      <c r="T997" s="46"/>
      <c r="U997" s="46"/>
      <c r="V997" s="46"/>
      <c r="W997" s="46"/>
    </row>
    <row r="998">
      <c r="A998" s="55"/>
      <c r="B998" s="214"/>
      <c r="C998" s="55"/>
      <c r="D998" s="214"/>
      <c r="E998" s="122"/>
      <c r="F998" s="219"/>
      <c r="G998" s="122"/>
      <c r="H998" s="214"/>
      <c r="I998" s="220"/>
      <c r="J998" s="46"/>
      <c r="K998" s="46"/>
      <c r="L998" s="46"/>
      <c r="M998" s="46"/>
      <c r="N998" s="46"/>
      <c r="O998" s="46"/>
      <c r="P998" s="46"/>
      <c r="Q998" s="46"/>
      <c r="R998" s="46"/>
      <c r="S998" s="46"/>
      <c r="T998" s="46"/>
      <c r="U998" s="46"/>
      <c r="V998" s="46"/>
      <c r="W998" s="46"/>
    </row>
    <row r="999">
      <c r="A999" s="55"/>
      <c r="B999" s="214"/>
      <c r="C999" s="55"/>
      <c r="D999" s="214"/>
      <c r="E999" s="122"/>
      <c r="F999" s="219"/>
      <c r="G999" s="122"/>
      <c r="H999" s="214"/>
      <c r="I999" s="122"/>
      <c r="J999" s="46"/>
      <c r="K999" s="46"/>
      <c r="L999" s="46"/>
      <c r="M999" s="46"/>
      <c r="N999" s="46"/>
      <c r="O999" s="46"/>
      <c r="P999" s="46"/>
      <c r="Q999" s="46"/>
      <c r="R999" s="46"/>
      <c r="S999" s="46"/>
      <c r="T999" s="46"/>
      <c r="U999" s="46"/>
      <c r="V999" s="46"/>
      <c r="W999" s="46"/>
    </row>
    <row r="1000">
      <c r="A1000" s="55"/>
      <c r="B1000" s="214"/>
      <c r="C1000" s="55"/>
      <c r="D1000" s="214"/>
      <c r="E1000" s="122"/>
      <c r="F1000" s="219"/>
      <c r="G1000" s="122"/>
      <c r="H1000" s="214"/>
      <c r="I1000" s="122"/>
      <c r="J1000" s="46"/>
      <c r="K1000" s="46"/>
      <c r="L1000" s="46"/>
      <c r="M1000" s="46"/>
      <c r="N1000" s="46"/>
      <c r="O1000" s="46"/>
      <c r="P1000" s="46"/>
      <c r="Q1000" s="46"/>
      <c r="R1000" s="46"/>
      <c r="S1000" s="46"/>
      <c r="T1000" s="46"/>
      <c r="U1000" s="46"/>
      <c r="V1000" s="46"/>
      <c r="W1000" s="46"/>
    </row>
    <row r="1001">
      <c r="A1001" s="55"/>
      <c r="B1001" s="214"/>
      <c r="C1001" s="55"/>
      <c r="D1001" s="214"/>
      <c r="E1001" s="122"/>
      <c r="F1001" s="219"/>
      <c r="G1001" s="122"/>
      <c r="H1001" s="214"/>
      <c r="I1001" s="122"/>
      <c r="J1001" s="46"/>
      <c r="K1001" s="46"/>
      <c r="L1001" s="46"/>
      <c r="M1001" s="46"/>
      <c r="N1001" s="46"/>
      <c r="O1001" s="46"/>
      <c r="P1001" s="46"/>
      <c r="Q1001" s="46"/>
      <c r="R1001" s="46"/>
      <c r="S1001" s="46"/>
      <c r="T1001" s="46"/>
      <c r="U1001" s="46"/>
      <c r="V1001" s="46"/>
      <c r="W1001" s="46"/>
    </row>
    <row r="1002">
      <c r="A1002" s="55"/>
      <c r="B1002" s="214"/>
      <c r="C1002" s="55"/>
      <c r="D1002" s="214"/>
      <c r="E1002" s="122"/>
      <c r="F1002" s="219"/>
      <c r="G1002" s="122"/>
      <c r="H1002" s="214"/>
      <c r="I1002" s="122"/>
      <c r="J1002" s="46"/>
      <c r="K1002" s="46"/>
      <c r="L1002" s="46"/>
      <c r="M1002" s="46"/>
      <c r="N1002" s="46"/>
      <c r="O1002" s="46"/>
      <c r="P1002" s="46"/>
      <c r="Q1002" s="46"/>
      <c r="R1002" s="46"/>
      <c r="S1002" s="46"/>
      <c r="T1002" s="46"/>
      <c r="U1002" s="46"/>
      <c r="V1002" s="46"/>
      <c r="W1002" s="46"/>
    </row>
    <row r="1003">
      <c r="A1003" s="55"/>
      <c r="B1003" s="214"/>
      <c r="C1003" s="55"/>
      <c r="D1003" s="214"/>
      <c r="E1003" s="122"/>
      <c r="F1003" s="219"/>
      <c r="G1003" s="122"/>
      <c r="H1003" s="214"/>
      <c r="I1003" s="122"/>
      <c r="J1003" s="46"/>
      <c r="K1003" s="46"/>
      <c r="L1003" s="46"/>
      <c r="M1003" s="46"/>
      <c r="N1003" s="46"/>
      <c r="O1003" s="46"/>
      <c r="P1003" s="46"/>
      <c r="Q1003" s="46"/>
      <c r="R1003" s="46"/>
      <c r="S1003" s="46"/>
      <c r="T1003" s="46"/>
      <c r="U1003" s="46"/>
      <c r="V1003" s="46"/>
      <c r="W1003" s="46"/>
    </row>
    <row r="1004">
      <c r="A1004" s="55"/>
      <c r="B1004" s="214"/>
      <c r="C1004" s="55"/>
      <c r="D1004" s="214"/>
      <c r="E1004" s="122"/>
      <c r="F1004" s="219"/>
      <c r="G1004" s="122"/>
      <c r="H1004" s="214"/>
      <c r="I1004" s="122"/>
      <c r="J1004" s="46"/>
      <c r="K1004" s="46"/>
      <c r="L1004" s="46"/>
      <c r="M1004" s="46"/>
      <c r="N1004" s="46"/>
      <c r="O1004" s="46"/>
      <c r="P1004" s="46"/>
      <c r="Q1004" s="46"/>
      <c r="R1004" s="46"/>
      <c r="S1004" s="46"/>
      <c r="T1004" s="46"/>
      <c r="U1004" s="46"/>
      <c r="V1004" s="46"/>
      <c r="W1004" s="46"/>
    </row>
    <row r="1005">
      <c r="A1005" s="55"/>
      <c r="B1005" s="214"/>
      <c r="C1005" s="55"/>
      <c r="D1005" s="214"/>
      <c r="E1005" s="122"/>
      <c r="F1005" s="219"/>
      <c r="G1005" s="122"/>
      <c r="H1005" s="214"/>
      <c r="I1005" s="122"/>
      <c r="J1005" s="46"/>
      <c r="K1005" s="46"/>
      <c r="L1005" s="46"/>
      <c r="M1005" s="46"/>
      <c r="N1005" s="46"/>
      <c r="O1005" s="46"/>
      <c r="P1005" s="46"/>
      <c r="Q1005" s="46"/>
      <c r="R1005" s="46"/>
      <c r="S1005" s="46"/>
      <c r="T1005" s="46"/>
      <c r="U1005" s="46"/>
      <c r="V1005" s="46"/>
      <c r="W1005" s="46"/>
    </row>
    <row r="1006">
      <c r="A1006" s="55"/>
      <c r="B1006" s="214"/>
      <c r="C1006" s="55"/>
      <c r="D1006" s="214"/>
      <c r="E1006" s="122"/>
      <c r="F1006" s="219"/>
      <c r="G1006" s="122"/>
      <c r="H1006" s="214"/>
      <c r="I1006" s="122"/>
      <c r="J1006" s="46"/>
      <c r="K1006" s="46"/>
      <c r="L1006" s="46"/>
      <c r="M1006" s="46"/>
      <c r="N1006" s="46"/>
      <c r="O1006" s="46"/>
      <c r="P1006" s="46"/>
      <c r="Q1006" s="46"/>
      <c r="R1006" s="46"/>
      <c r="S1006" s="46"/>
      <c r="T1006" s="46"/>
      <c r="U1006" s="46"/>
      <c r="V1006" s="46"/>
      <c r="W1006" s="46"/>
    </row>
    <row r="1007">
      <c r="A1007" s="55"/>
      <c r="B1007" s="214"/>
      <c r="C1007" s="55"/>
      <c r="D1007" s="214"/>
      <c r="E1007" s="122"/>
      <c r="F1007" s="219"/>
      <c r="G1007" s="122"/>
      <c r="H1007" s="214"/>
      <c r="I1007" s="122"/>
      <c r="J1007" s="46"/>
      <c r="K1007" s="46"/>
      <c r="L1007" s="46"/>
      <c r="M1007" s="46"/>
      <c r="N1007" s="46"/>
      <c r="O1007" s="46"/>
      <c r="P1007" s="46"/>
      <c r="Q1007" s="46"/>
      <c r="R1007" s="46"/>
      <c r="S1007" s="46"/>
      <c r="T1007" s="46"/>
      <c r="U1007" s="46"/>
      <c r="V1007" s="46"/>
      <c r="W1007" s="46"/>
    </row>
    <row r="1008">
      <c r="A1008" s="55"/>
      <c r="B1008" s="214"/>
      <c r="C1008" s="55"/>
      <c r="D1008" s="214"/>
      <c r="E1008" s="122"/>
      <c r="F1008" s="219"/>
      <c r="G1008" s="122"/>
      <c r="H1008" s="214"/>
      <c r="I1008" s="122"/>
      <c r="J1008" s="46"/>
      <c r="K1008" s="46"/>
      <c r="L1008" s="46"/>
      <c r="M1008" s="46"/>
      <c r="N1008" s="46"/>
      <c r="O1008" s="46"/>
      <c r="P1008" s="46"/>
      <c r="Q1008" s="46"/>
      <c r="R1008" s="46"/>
      <c r="S1008" s="46"/>
      <c r="T1008" s="46"/>
      <c r="U1008" s="46"/>
      <c r="V1008" s="46"/>
      <c r="W1008" s="46"/>
    </row>
    <row r="1009">
      <c r="A1009" s="55"/>
      <c r="B1009" s="214"/>
      <c r="C1009" s="55"/>
      <c r="D1009" s="214"/>
      <c r="E1009" s="122"/>
      <c r="F1009" s="219"/>
      <c r="G1009" s="122"/>
      <c r="H1009" s="214"/>
      <c r="I1009" s="122"/>
      <c r="J1009" s="46"/>
      <c r="K1009" s="46"/>
      <c r="L1009" s="46"/>
      <c r="M1009" s="46"/>
      <c r="N1009" s="46"/>
      <c r="O1009" s="46"/>
      <c r="P1009" s="46"/>
      <c r="Q1009" s="46"/>
      <c r="R1009" s="46"/>
      <c r="S1009" s="46"/>
      <c r="T1009" s="46"/>
      <c r="U1009" s="46"/>
      <c r="V1009" s="46"/>
      <c r="W1009" s="46"/>
    </row>
    <row r="1010">
      <c r="A1010" s="55"/>
      <c r="B1010" s="214"/>
      <c r="C1010" s="55"/>
      <c r="D1010" s="214"/>
      <c r="E1010" s="122"/>
      <c r="F1010" s="219"/>
      <c r="G1010" s="122"/>
      <c r="H1010" s="214"/>
      <c r="I1010" s="122"/>
      <c r="J1010" s="46"/>
      <c r="K1010" s="46"/>
      <c r="L1010" s="46"/>
      <c r="M1010" s="46"/>
      <c r="N1010" s="46"/>
      <c r="O1010" s="46"/>
      <c r="P1010" s="46"/>
      <c r="Q1010" s="46"/>
      <c r="R1010" s="46"/>
      <c r="S1010" s="46"/>
      <c r="T1010" s="46"/>
      <c r="U1010" s="46"/>
      <c r="V1010" s="46"/>
      <c r="W1010" s="46"/>
    </row>
    <row r="1011">
      <c r="A1011" s="55"/>
      <c r="B1011" s="214"/>
      <c r="C1011" s="55"/>
      <c r="D1011" s="214"/>
      <c r="E1011" s="122"/>
      <c r="F1011" s="219"/>
      <c r="G1011" s="122"/>
      <c r="H1011" s="214"/>
      <c r="I1011" s="122"/>
      <c r="J1011" s="46"/>
      <c r="K1011" s="46"/>
      <c r="L1011" s="46"/>
      <c r="M1011" s="46"/>
      <c r="N1011" s="46"/>
      <c r="O1011" s="46"/>
      <c r="P1011" s="46"/>
      <c r="Q1011" s="46"/>
      <c r="R1011" s="46"/>
      <c r="S1011" s="46"/>
      <c r="T1011" s="46"/>
      <c r="U1011" s="46"/>
      <c r="V1011" s="46"/>
      <c r="W1011" s="46"/>
    </row>
    <row r="1012">
      <c r="A1012" s="55"/>
      <c r="B1012" s="214"/>
      <c r="C1012" s="55"/>
      <c r="D1012" s="214"/>
      <c r="E1012" s="122"/>
      <c r="F1012" s="219"/>
      <c r="G1012" s="122"/>
      <c r="H1012" s="214"/>
      <c r="I1012" s="122"/>
      <c r="J1012" s="46"/>
      <c r="K1012" s="46"/>
      <c r="L1012" s="46"/>
      <c r="M1012" s="46"/>
      <c r="N1012" s="46"/>
      <c r="O1012" s="46"/>
      <c r="P1012" s="46"/>
      <c r="Q1012" s="46"/>
      <c r="R1012" s="46"/>
      <c r="S1012" s="46"/>
      <c r="T1012" s="46"/>
      <c r="U1012" s="46"/>
      <c r="V1012" s="46"/>
      <c r="W1012" s="46"/>
    </row>
    <row r="1013">
      <c r="A1013" s="55"/>
      <c r="B1013" s="214"/>
      <c r="C1013" s="55"/>
      <c r="D1013" s="214"/>
      <c r="E1013" s="122"/>
      <c r="F1013" s="219"/>
      <c r="G1013" s="122"/>
      <c r="H1013" s="214"/>
      <c r="I1013" s="122"/>
      <c r="J1013" s="46"/>
      <c r="K1013" s="46"/>
      <c r="L1013" s="46"/>
      <c r="M1013" s="46"/>
      <c r="N1013" s="46"/>
      <c r="O1013" s="46"/>
      <c r="P1013" s="46"/>
      <c r="Q1013" s="46"/>
      <c r="R1013" s="46"/>
      <c r="S1013" s="46"/>
      <c r="T1013" s="46"/>
      <c r="U1013" s="46"/>
      <c r="V1013" s="46"/>
      <c r="W1013" s="46"/>
    </row>
    <row r="1014">
      <c r="A1014" s="55"/>
      <c r="B1014" s="214"/>
      <c r="C1014" s="55"/>
      <c r="D1014" s="214"/>
      <c r="E1014" s="122"/>
      <c r="F1014" s="219"/>
      <c r="G1014" s="122"/>
      <c r="H1014" s="214"/>
      <c r="I1014" s="122"/>
      <c r="J1014" s="46"/>
      <c r="K1014" s="46"/>
      <c r="L1014" s="46"/>
      <c r="M1014" s="46"/>
      <c r="N1014" s="46"/>
      <c r="O1014" s="46"/>
      <c r="P1014" s="46"/>
      <c r="Q1014" s="46"/>
      <c r="R1014" s="46"/>
      <c r="S1014" s="46"/>
      <c r="T1014" s="46"/>
      <c r="U1014" s="46"/>
      <c r="V1014" s="46"/>
      <c r="W1014" s="46"/>
    </row>
    <row r="1015">
      <c r="A1015" s="55"/>
      <c r="B1015" s="214"/>
      <c r="C1015" s="55"/>
      <c r="D1015" s="214"/>
      <c r="E1015" s="122"/>
      <c r="F1015" s="219"/>
      <c r="G1015" s="122"/>
      <c r="H1015" s="214"/>
      <c r="I1015" s="122"/>
      <c r="J1015" s="46"/>
      <c r="K1015" s="46"/>
      <c r="L1015" s="46"/>
      <c r="M1015" s="46"/>
      <c r="N1015" s="46"/>
      <c r="O1015" s="46"/>
      <c r="P1015" s="46"/>
      <c r="Q1015" s="46"/>
      <c r="R1015" s="46"/>
      <c r="S1015" s="46"/>
      <c r="T1015" s="46"/>
      <c r="U1015" s="46"/>
      <c r="V1015" s="46"/>
      <c r="W1015" s="46"/>
    </row>
    <row r="1016">
      <c r="A1016" s="55"/>
      <c r="B1016" s="214"/>
      <c r="C1016" s="55"/>
      <c r="D1016" s="214"/>
      <c r="E1016" s="122"/>
      <c r="F1016" s="219"/>
      <c r="G1016" s="122"/>
      <c r="H1016" s="214"/>
      <c r="I1016" s="122"/>
      <c r="J1016" s="46"/>
      <c r="K1016" s="46"/>
      <c r="L1016" s="46"/>
      <c r="M1016" s="46"/>
      <c r="N1016" s="46"/>
      <c r="O1016" s="46"/>
      <c r="P1016" s="46"/>
      <c r="Q1016" s="46"/>
      <c r="R1016" s="46"/>
      <c r="S1016" s="46"/>
      <c r="T1016" s="46"/>
      <c r="U1016" s="46"/>
      <c r="V1016" s="46"/>
      <c r="W1016" s="46"/>
    </row>
    <row r="1017">
      <c r="A1017" s="55"/>
      <c r="B1017" s="214"/>
      <c r="C1017" s="55"/>
      <c r="D1017" s="214"/>
      <c r="E1017" s="122"/>
      <c r="F1017" s="219"/>
      <c r="G1017" s="122"/>
      <c r="H1017" s="214"/>
      <c r="I1017" s="122"/>
      <c r="J1017" s="46"/>
      <c r="K1017" s="46"/>
      <c r="L1017" s="46"/>
      <c r="M1017" s="46"/>
      <c r="N1017" s="46"/>
      <c r="O1017" s="46"/>
      <c r="P1017" s="46"/>
      <c r="Q1017" s="46"/>
      <c r="R1017" s="46"/>
      <c r="S1017" s="46"/>
      <c r="T1017" s="46"/>
      <c r="U1017" s="46"/>
      <c r="V1017" s="46"/>
      <c r="W1017" s="46"/>
    </row>
    <row r="1018">
      <c r="A1018" s="55"/>
      <c r="B1018" s="214"/>
      <c r="C1018" s="55"/>
      <c r="D1018" s="214"/>
      <c r="E1018" s="122"/>
      <c r="F1018" s="219"/>
      <c r="G1018" s="122"/>
      <c r="H1018" s="214"/>
      <c r="I1018" s="122"/>
      <c r="J1018" s="46"/>
      <c r="K1018" s="46"/>
      <c r="L1018" s="46"/>
      <c r="M1018" s="46"/>
      <c r="N1018" s="46"/>
      <c r="O1018" s="46"/>
      <c r="P1018" s="46"/>
      <c r="Q1018" s="46"/>
      <c r="R1018" s="46"/>
      <c r="S1018" s="46"/>
      <c r="T1018" s="46"/>
      <c r="U1018" s="46"/>
      <c r="V1018" s="46"/>
      <c r="W1018" s="46"/>
    </row>
    <row r="1019">
      <c r="A1019" s="55"/>
      <c r="B1019" s="214"/>
      <c r="C1019" s="55"/>
      <c r="D1019" s="214"/>
      <c r="E1019" s="122"/>
      <c r="F1019" s="219"/>
      <c r="G1019" s="122"/>
      <c r="H1019" s="214"/>
      <c r="I1019" s="122"/>
      <c r="J1019" s="46"/>
      <c r="K1019" s="46"/>
      <c r="L1019" s="46"/>
      <c r="M1019" s="46"/>
      <c r="N1019" s="46"/>
      <c r="O1019" s="46"/>
      <c r="P1019" s="46"/>
      <c r="Q1019" s="46"/>
      <c r="R1019" s="46"/>
      <c r="S1019" s="46"/>
      <c r="T1019" s="46"/>
      <c r="U1019" s="46"/>
      <c r="V1019" s="46"/>
      <c r="W1019" s="46"/>
    </row>
    <row r="1020">
      <c r="A1020" s="55"/>
      <c r="B1020" s="214"/>
      <c r="C1020" s="55"/>
      <c r="D1020" s="214"/>
      <c r="E1020" s="122"/>
      <c r="F1020" s="219"/>
      <c r="G1020" s="122"/>
      <c r="H1020" s="214"/>
      <c r="I1020" s="122"/>
      <c r="J1020" s="46"/>
      <c r="K1020" s="46"/>
      <c r="L1020" s="46"/>
      <c r="M1020" s="46"/>
      <c r="N1020" s="46"/>
      <c r="O1020" s="46"/>
      <c r="P1020" s="46"/>
      <c r="Q1020" s="46"/>
      <c r="R1020" s="46"/>
      <c r="S1020" s="46"/>
      <c r="T1020" s="46"/>
      <c r="U1020" s="46"/>
      <c r="V1020" s="46"/>
      <c r="W1020" s="46"/>
    </row>
    <row r="1021">
      <c r="A1021" s="55"/>
      <c r="B1021" s="214"/>
      <c r="C1021" s="55"/>
      <c r="D1021" s="214"/>
      <c r="E1021" s="122"/>
      <c r="F1021" s="219"/>
      <c r="G1021" s="122"/>
      <c r="H1021" s="214"/>
      <c r="I1021" s="122"/>
      <c r="J1021" s="46"/>
      <c r="K1021" s="46"/>
      <c r="L1021" s="46"/>
      <c r="M1021" s="46"/>
      <c r="N1021" s="46"/>
      <c r="O1021" s="46"/>
      <c r="P1021" s="46"/>
      <c r="Q1021" s="46"/>
      <c r="R1021" s="46"/>
      <c r="S1021" s="46"/>
      <c r="T1021" s="46"/>
      <c r="U1021" s="46"/>
      <c r="V1021" s="46"/>
      <c r="W1021" s="46"/>
    </row>
    <row r="1022">
      <c r="A1022" s="55"/>
      <c r="B1022" s="214"/>
      <c r="C1022" s="55"/>
      <c r="D1022" s="214"/>
      <c r="E1022" s="122"/>
      <c r="F1022" s="219"/>
      <c r="G1022" s="122"/>
      <c r="H1022" s="214"/>
      <c r="I1022" s="122"/>
      <c r="J1022" s="46"/>
      <c r="K1022" s="46"/>
      <c r="L1022" s="46"/>
      <c r="M1022" s="46"/>
      <c r="N1022" s="46"/>
      <c r="O1022" s="46"/>
      <c r="P1022" s="46"/>
      <c r="Q1022" s="46"/>
      <c r="R1022" s="46"/>
      <c r="S1022" s="46"/>
      <c r="T1022" s="46"/>
      <c r="U1022" s="46"/>
      <c r="V1022" s="46"/>
      <c r="W1022" s="46"/>
    </row>
    <row r="1023">
      <c r="A1023" s="55"/>
      <c r="B1023" s="214"/>
      <c r="C1023" s="55"/>
      <c r="D1023" s="214"/>
      <c r="E1023" s="122"/>
      <c r="F1023" s="219"/>
      <c r="G1023" s="122"/>
      <c r="H1023" s="214"/>
      <c r="I1023" s="122"/>
      <c r="J1023" s="46"/>
      <c r="K1023" s="46"/>
      <c r="L1023" s="46"/>
      <c r="M1023" s="46"/>
      <c r="N1023" s="46"/>
      <c r="O1023" s="46"/>
      <c r="P1023" s="46"/>
      <c r="Q1023" s="46"/>
      <c r="R1023" s="46"/>
      <c r="S1023" s="46"/>
      <c r="T1023" s="46"/>
      <c r="U1023" s="46"/>
      <c r="V1023" s="46"/>
      <c r="W1023" s="46"/>
    </row>
    <row r="1024">
      <c r="A1024" s="55"/>
      <c r="B1024" s="214"/>
      <c r="C1024" s="55"/>
      <c r="D1024" s="214"/>
      <c r="E1024" s="122"/>
      <c r="F1024" s="219"/>
      <c r="G1024" s="122"/>
      <c r="H1024" s="214"/>
      <c r="I1024" s="122"/>
      <c r="J1024" s="46"/>
      <c r="K1024" s="46"/>
      <c r="L1024" s="46"/>
      <c r="M1024" s="46"/>
      <c r="N1024" s="46"/>
      <c r="O1024" s="46"/>
      <c r="P1024" s="46"/>
      <c r="Q1024" s="46"/>
      <c r="R1024" s="46"/>
      <c r="S1024" s="46"/>
      <c r="T1024" s="46"/>
      <c r="U1024" s="46"/>
      <c r="V1024" s="46"/>
      <c r="W1024" s="46"/>
    </row>
    <row r="1025">
      <c r="A1025" s="55"/>
      <c r="B1025" s="214"/>
      <c r="C1025" s="55"/>
      <c r="D1025" s="214"/>
      <c r="E1025" s="122"/>
      <c r="F1025" s="219"/>
      <c r="G1025" s="122"/>
      <c r="H1025" s="214"/>
      <c r="I1025" s="122"/>
      <c r="J1025" s="46"/>
      <c r="K1025" s="46"/>
      <c r="L1025" s="46"/>
      <c r="M1025" s="46"/>
      <c r="N1025" s="46"/>
      <c r="O1025" s="46"/>
      <c r="P1025" s="46"/>
      <c r="Q1025" s="46"/>
      <c r="R1025" s="46"/>
      <c r="S1025" s="46"/>
      <c r="T1025" s="46"/>
      <c r="U1025" s="46"/>
      <c r="V1025" s="46"/>
      <c r="W1025" s="46"/>
    </row>
    <row r="1026">
      <c r="A1026" s="55"/>
      <c r="B1026" s="214"/>
      <c r="C1026" s="55"/>
      <c r="D1026" s="214"/>
      <c r="E1026" s="122"/>
      <c r="F1026" s="219"/>
      <c r="G1026" s="122"/>
      <c r="H1026" s="214"/>
      <c r="I1026" s="122"/>
      <c r="J1026" s="46"/>
      <c r="K1026" s="46"/>
      <c r="L1026" s="46"/>
      <c r="M1026" s="46"/>
      <c r="N1026" s="46"/>
      <c r="O1026" s="46"/>
      <c r="P1026" s="46"/>
      <c r="Q1026" s="46"/>
      <c r="R1026" s="46"/>
      <c r="S1026" s="46"/>
      <c r="T1026" s="46"/>
      <c r="U1026" s="46"/>
      <c r="V1026" s="46"/>
      <c r="W1026" s="46"/>
    </row>
    <row r="1027">
      <c r="A1027" s="55"/>
      <c r="B1027" s="214"/>
      <c r="C1027" s="55"/>
      <c r="D1027" s="214"/>
      <c r="E1027" s="122"/>
      <c r="F1027" s="219"/>
      <c r="G1027" s="122"/>
      <c r="H1027" s="214"/>
      <c r="I1027" s="122"/>
      <c r="J1027" s="46"/>
      <c r="K1027" s="46"/>
      <c r="L1027" s="46"/>
      <c r="M1027" s="46"/>
      <c r="N1027" s="46"/>
      <c r="O1027" s="46"/>
      <c r="P1027" s="46"/>
      <c r="Q1027" s="46"/>
      <c r="R1027" s="46"/>
      <c r="S1027" s="46"/>
      <c r="T1027" s="46"/>
      <c r="U1027" s="46"/>
      <c r="V1027" s="46"/>
      <c r="W1027" s="46"/>
    </row>
    <row r="1028">
      <c r="A1028" s="55"/>
      <c r="B1028" s="214"/>
      <c r="C1028" s="55"/>
      <c r="D1028" s="214"/>
      <c r="E1028" s="122"/>
      <c r="F1028" s="219"/>
      <c r="G1028" s="122"/>
      <c r="H1028" s="214"/>
      <c r="I1028" s="122"/>
      <c r="J1028" s="46"/>
      <c r="K1028" s="46"/>
      <c r="L1028" s="46"/>
      <c r="M1028" s="46"/>
      <c r="N1028" s="46"/>
      <c r="O1028" s="46"/>
      <c r="P1028" s="46"/>
      <c r="Q1028" s="46"/>
      <c r="R1028" s="46"/>
      <c r="S1028" s="46"/>
      <c r="T1028" s="46"/>
      <c r="U1028" s="46"/>
      <c r="V1028" s="46"/>
      <c r="W1028" s="46"/>
    </row>
    <row r="1029">
      <c r="A1029" s="55"/>
      <c r="B1029" s="214"/>
      <c r="C1029" s="55"/>
      <c r="D1029" s="214"/>
      <c r="E1029" s="122"/>
      <c r="F1029" s="219"/>
      <c r="G1029" s="122"/>
      <c r="H1029" s="214"/>
      <c r="I1029" s="122"/>
      <c r="J1029" s="46"/>
      <c r="K1029" s="46"/>
      <c r="L1029" s="46"/>
      <c r="M1029" s="46"/>
      <c r="N1029" s="46"/>
      <c r="O1029" s="46"/>
      <c r="P1029" s="46"/>
      <c r="Q1029" s="46"/>
      <c r="R1029" s="46"/>
      <c r="S1029" s="46"/>
      <c r="T1029" s="46"/>
      <c r="U1029" s="46"/>
      <c r="V1029" s="46"/>
      <c r="W1029" s="46"/>
    </row>
    <row r="1030">
      <c r="A1030" s="55"/>
      <c r="B1030" s="214"/>
      <c r="C1030" s="55"/>
      <c r="D1030" s="214"/>
      <c r="E1030" s="122"/>
      <c r="F1030" s="219"/>
      <c r="G1030" s="122"/>
      <c r="H1030" s="214"/>
      <c r="I1030" s="122"/>
      <c r="J1030" s="46"/>
      <c r="K1030" s="46"/>
      <c r="L1030" s="46"/>
      <c r="M1030" s="46"/>
      <c r="N1030" s="46"/>
      <c r="O1030" s="46"/>
      <c r="P1030" s="46"/>
      <c r="Q1030" s="46"/>
      <c r="R1030" s="46"/>
      <c r="S1030" s="46"/>
      <c r="T1030" s="46"/>
      <c r="U1030" s="46"/>
      <c r="V1030" s="46"/>
      <c r="W1030" s="46"/>
    </row>
    <row r="1031">
      <c r="A1031" s="55"/>
      <c r="B1031" s="214"/>
      <c r="C1031" s="55"/>
      <c r="D1031" s="214"/>
      <c r="E1031" s="122"/>
      <c r="F1031" s="219"/>
      <c r="G1031" s="122"/>
      <c r="H1031" s="214"/>
      <c r="I1031" s="122"/>
      <c r="J1031" s="46"/>
      <c r="K1031" s="46"/>
      <c r="L1031" s="46"/>
      <c r="M1031" s="46"/>
      <c r="N1031" s="46"/>
      <c r="O1031" s="46"/>
      <c r="P1031" s="46"/>
      <c r="Q1031" s="46"/>
      <c r="R1031" s="46"/>
      <c r="S1031" s="46"/>
      <c r="T1031" s="46"/>
      <c r="U1031" s="46"/>
      <c r="V1031" s="46"/>
      <c r="W1031" s="46"/>
    </row>
    <row r="1032">
      <c r="A1032" s="55"/>
      <c r="B1032" s="214"/>
      <c r="C1032" s="55"/>
      <c r="D1032" s="214"/>
      <c r="E1032" s="122"/>
      <c r="F1032" s="219"/>
      <c r="G1032" s="122"/>
      <c r="H1032" s="214"/>
      <c r="I1032" s="122"/>
      <c r="J1032" s="46"/>
      <c r="K1032" s="46"/>
      <c r="L1032" s="46"/>
      <c r="M1032" s="46"/>
      <c r="N1032" s="46"/>
      <c r="O1032" s="46"/>
      <c r="P1032" s="46"/>
      <c r="Q1032" s="46"/>
      <c r="R1032" s="46"/>
      <c r="S1032" s="46"/>
      <c r="T1032" s="46"/>
      <c r="U1032" s="46"/>
      <c r="V1032" s="46"/>
      <c r="W1032" s="46"/>
    </row>
    <row r="1033">
      <c r="A1033" s="55"/>
      <c r="B1033" s="214"/>
      <c r="C1033" s="55"/>
      <c r="D1033" s="214"/>
      <c r="E1033" s="46"/>
      <c r="F1033" s="46"/>
      <c r="G1033" s="46"/>
      <c r="H1033" s="46"/>
      <c r="I1033" s="46"/>
      <c r="J1033" s="46"/>
      <c r="K1033" s="46"/>
      <c r="L1033" s="46"/>
      <c r="M1033" s="46"/>
      <c r="N1033" s="46"/>
      <c r="O1033" s="46"/>
      <c r="P1033" s="46"/>
      <c r="Q1033" s="46"/>
      <c r="R1033" s="46"/>
      <c r="S1033" s="46"/>
      <c r="T1033" s="46"/>
      <c r="U1033" s="46"/>
      <c r="V1033" s="46"/>
      <c r="W1033" s="46"/>
    </row>
    <row r="1034">
      <c r="A1034" s="55"/>
      <c r="B1034" s="214"/>
      <c r="C1034" s="55"/>
      <c r="D1034" s="214"/>
      <c r="E1034" s="46"/>
      <c r="F1034" s="46"/>
      <c r="G1034" s="46"/>
      <c r="H1034" s="46"/>
      <c r="I1034" s="46"/>
      <c r="J1034" s="46"/>
      <c r="K1034" s="46"/>
      <c r="L1034" s="46"/>
      <c r="M1034" s="46"/>
      <c r="N1034" s="46"/>
      <c r="O1034" s="46"/>
      <c r="P1034" s="46"/>
      <c r="Q1034" s="46"/>
      <c r="R1034" s="46"/>
      <c r="S1034" s="46"/>
      <c r="T1034" s="46"/>
      <c r="U1034" s="46"/>
      <c r="V1034" s="46"/>
      <c r="W1034" s="46"/>
    </row>
    <row r="1035">
      <c r="A1035" s="55"/>
      <c r="B1035" s="214"/>
      <c r="C1035" s="55"/>
      <c r="D1035" s="214"/>
      <c r="E1035" s="46"/>
      <c r="F1035" s="46"/>
      <c r="G1035" s="46"/>
      <c r="H1035" s="46"/>
      <c r="I1035" s="46"/>
      <c r="J1035" s="46"/>
      <c r="K1035" s="46"/>
      <c r="L1035" s="46"/>
      <c r="M1035" s="46"/>
      <c r="N1035" s="46"/>
      <c r="O1035" s="46"/>
      <c r="P1035" s="46"/>
      <c r="Q1035" s="46"/>
      <c r="R1035" s="46"/>
      <c r="S1035" s="46"/>
      <c r="T1035" s="46"/>
      <c r="U1035" s="46"/>
      <c r="V1035" s="46"/>
      <c r="W1035" s="46"/>
    </row>
    <row r="1036">
      <c r="A1036" s="55"/>
      <c r="B1036" s="214"/>
      <c r="C1036" s="55"/>
      <c r="D1036" s="214"/>
      <c r="E1036" s="46"/>
      <c r="F1036" s="46"/>
      <c r="G1036" s="46"/>
      <c r="H1036" s="46"/>
      <c r="I1036" s="46"/>
      <c r="J1036" s="46"/>
      <c r="K1036" s="46"/>
      <c r="L1036" s="46"/>
      <c r="M1036" s="46"/>
      <c r="N1036" s="46"/>
      <c r="O1036" s="46"/>
      <c r="P1036" s="46"/>
      <c r="Q1036" s="46"/>
      <c r="R1036" s="46"/>
      <c r="S1036" s="46"/>
      <c r="T1036" s="46"/>
      <c r="U1036" s="46"/>
      <c r="V1036" s="46"/>
      <c r="W1036" s="46"/>
    </row>
  </sheetData>
  <mergeCells count="9">
    <mergeCell ref="H1:H2"/>
    <mergeCell ref="I1:I2"/>
    <mergeCell ref="A1:A2"/>
    <mergeCell ref="B1:B2"/>
    <mergeCell ref="C1:C2"/>
    <mergeCell ref="D1:D2"/>
    <mergeCell ref="E1:E2"/>
    <mergeCell ref="F1:F2"/>
    <mergeCell ref="G1:G2"/>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19.5"/>
    <col customWidth="1" min="3" max="3" width="20.75"/>
    <col customWidth="1" min="4" max="6" width="18.88"/>
    <col customWidth="1" min="7" max="7" width="21.38"/>
    <col customWidth="1" min="8" max="9" width="23.88"/>
    <col customWidth="1" min="10" max="10" width="21.38"/>
    <col customWidth="1" min="11" max="12" width="23.88"/>
    <col customWidth="1" min="13" max="13" width="21.38"/>
    <col customWidth="1" min="14" max="15" width="19.5"/>
    <col customWidth="1" min="16" max="16" width="20.13"/>
    <col customWidth="1" min="17" max="19" width="18.88"/>
    <col customWidth="1" min="20" max="20" width="31.5"/>
    <col customWidth="1" min="21" max="28" width="18.88"/>
  </cols>
  <sheetData>
    <row r="1" ht="22.5" customHeight="1">
      <c r="A1" s="221" t="s">
        <v>3712</v>
      </c>
      <c r="B1" s="222"/>
      <c r="C1" s="222"/>
      <c r="D1" s="222"/>
      <c r="E1" s="223"/>
      <c r="F1" s="221" t="str">
        <f>IFERROR(__xludf.DUMMYFUNCTION("GOOGLETRANSLATE(A1,""zh-tw"",""ja"")"),"このページは現在、他言語への翻訳がありません。公式設定のみに基づいており、定期的に更新されることはありません。ご不便をおかけして申し訳ございません。マップ作成者：Mio")</f>
        <v>このページは現在、他言語への翻訳がありません。公式設定のみに基づいており、定期的に更新されることはありません。ご不便をおかけして申し訳ございません。マップ作成者：Mio</v>
      </c>
      <c r="G1" s="222"/>
      <c r="H1" s="222"/>
      <c r="I1" s="223"/>
      <c r="J1" s="221" t="str">
        <f>IFERROR(__xludf.DUMMYFUNCTION("GOOGLETRANSLATE(A1,""zh-tw"",""en"")"),"This page currently does not have translations in other languages; it is based solely on the official settings and will not be updated regularly. We apologize for the inconvenience. Map creator: Mio")</f>
        <v>This page currently does not have translations in other languages; it is based solely on the official settings and will not be updated regularly. We apologize for the inconvenience. Map creator: Mio</v>
      </c>
      <c r="K1" s="222"/>
      <c r="L1" s="222"/>
      <c r="M1" s="223"/>
      <c r="N1" s="221" t="s">
        <v>3713</v>
      </c>
      <c r="O1" s="222"/>
      <c r="P1" s="222"/>
      <c r="Q1" s="222"/>
      <c r="R1" s="223"/>
      <c r="S1" s="224"/>
      <c r="T1" s="222"/>
      <c r="U1" s="222"/>
      <c r="V1" s="223"/>
      <c r="W1" s="225"/>
      <c r="X1" s="225"/>
      <c r="Y1" s="225"/>
      <c r="Z1" s="225"/>
      <c r="AA1" s="225"/>
      <c r="AB1" s="225"/>
    </row>
    <row r="2" ht="22.5" customHeight="1">
      <c r="A2" s="226"/>
      <c r="B2" s="227"/>
      <c r="C2" s="227"/>
      <c r="D2" s="227"/>
      <c r="E2" s="228"/>
      <c r="F2" s="226"/>
      <c r="G2" s="227"/>
      <c r="H2" s="227"/>
      <c r="I2" s="228"/>
      <c r="J2" s="226"/>
      <c r="K2" s="227"/>
      <c r="L2" s="227"/>
      <c r="M2" s="228"/>
      <c r="N2" s="226"/>
      <c r="O2" s="227"/>
      <c r="P2" s="227"/>
      <c r="Q2" s="227"/>
      <c r="R2" s="228"/>
      <c r="S2" s="226"/>
      <c r="T2" s="227"/>
      <c r="U2" s="227"/>
      <c r="V2" s="228"/>
      <c r="W2" s="225"/>
      <c r="X2" s="225"/>
      <c r="Y2" s="225"/>
      <c r="Z2" s="225"/>
      <c r="AA2" s="225"/>
      <c r="AB2" s="225"/>
    </row>
    <row r="3" ht="26.25" customHeight="1">
      <c r="A3" s="229" t="s">
        <v>42</v>
      </c>
      <c r="E3" s="230"/>
      <c r="F3" s="229" t="s">
        <v>3714</v>
      </c>
      <c r="I3" s="230"/>
      <c r="J3" s="229" t="s">
        <v>3715</v>
      </c>
      <c r="M3" s="230"/>
      <c r="N3" s="229" t="s">
        <v>3716</v>
      </c>
      <c r="R3" s="230"/>
      <c r="S3" s="231"/>
      <c r="T3" s="222"/>
      <c r="U3" s="222"/>
      <c r="V3" s="223"/>
      <c r="W3" s="14"/>
      <c r="X3" s="14"/>
      <c r="Y3" s="14"/>
      <c r="Z3" s="14"/>
      <c r="AA3" s="14"/>
      <c r="AB3" s="14"/>
    </row>
    <row r="4" ht="26.25" customHeight="1">
      <c r="A4" s="227"/>
      <c r="B4" s="227"/>
      <c r="C4" s="227"/>
      <c r="D4" s="227"/>
      <c r="E4" s="228"/>
      <c r="F4" s="227"/>
      <c r="G4" s="227"/>
      <c r="H4" s="227"/>
      <c r="I4" s="228"/>
      <c r="J4" s="227"/>
      <c r="K4" s="227"/>
      <c r="L4" s="227"/>
      <c r="M4" s="228"/>
      <c r="N4" s="227"/>
      <c r="O4" s="227"/>
      <c r="P4" s="227"/>
      <c r="Q4" s="227"/>
      <c r="R4" s="228"/>
      <c r="S4" s="226"/>
      <c r="T4" s="227"/>
      <c r="U4" s="227"/>
      <c r="V4" s="228"/>
      <c r="W4" s="14"/>
      <c r="X4" s="14"/>
      <c r="Y4" s="14"/>
      <c r="Z4" s="14"/>
      <c r="AA4" s="14"/>
      <c r="AB4" s="14"/>
    </row>
    <row r="5">
      <c r="A5" s="232" t="s">
        <v>3717</v>
      </c>
      <c r="B5" s="233"/>
      <c r="C5" s="233"/>
      <c r="D5" s="233"/>
      <c r="E5" s="234"/>
      <c r="F5" s="232" t="str">
        <f>IFERROR(__xludf.DUMMYFUNCTION("GOOGLETRANSLATE(A5,""zh-tw"",""ja"")"),"荒野地域")</f>
        <v>荒野地域</v>
      </c>
      <c r="G5" s="233"/>
      <c r="H5" s="233"/>
      <c r="I5" s="234"/>
      <c r="J5" s="232" t="s">
        <v>3718</v>
      </c>
      <c r="K5" s="233"/>
      <c r="L5" s="233"/>
      <c r="M5" s="234"/>
      <c r="N5" s="235" t="s">
        <v>3719</v>
      </c>
      <c r="O5" s="233"/>
      <c r="P5" s="233"/>
      <c r="Q5" s="233"/>
      <c r="R5" s="234"/>
      <c r="S5" s="236"/>
      <c r="T5" s="233"/>
      <c r="U5" s="233"/>
      <c r="V5" s="234"/>
      <c r="W5" s="237"/>
      <c r="X5" s="237"/>
      <c r="Y5" s="237"/>
      <c r="Z5" s="237"/>
      <c r="AA5" s="237"/>
      <c r="AB5" s="237"/>
    </row>
    <row r="6" ht="53.25" customHeight="1">
      <c r="A6" s="238" t="s">
        <v>724</v>
      </c>
      <c r="B6" s="238" t="s">
        <v>724</v>
      </c>
      <c r="C6" s="238" t="s">
        <v>724</v>
      </c>
      <c r="D6" s="238" t="s">
        <v>724</v>
      </c>
      <c r="E6" s="239" t="s">
        <v>3720</v>
      </c>
      <c r="F6" s="240" t="s">
        <v>724</v>
      </c>
      <c r="G6" s="241" t="s">
        <v>724</v>
      </c>
      <c r="H6" s="242" t="s">
        <v>3721</v>
      </c>
      <c r="I6" s="240" t="s">
        <v>724</v>
      </c>
      <c r="J6" s="243" t="s">
        <v>724</v>
      </c>
      <c r="K6" s="244" t="s">
        <v>724</v>
      </c>
      <c r="L6" s="243" t="s">
        <v>724</v>
      </c>
      <c r="M6" s="245" t="s">
        <v>3722</v>
      </c>
      <c r="N6" s="246" t="s">
        <v>724</v>
      </c>
      <c r="O6" s="246" t="s">
        <v>724</v>
      </c>
      <c r="P6" s="247" t="s">
        <v>724</v>
      </c>
      <c r="Q6" s="247" t="s">
        <v>724</v>
      </c>
      <c r="R6" s="248" t="s">
        <v>3723</v>
      </c>
      <c r="S6" s="249"/>
      <c r="T6" s="250"/>
      <c r="U6" s="250"/>
      <c r="V6" s="251"/>
      <c r="W6" s="252"/>
      <c r="X6" s="252"/>
      <c r="Y6" s="252"/>
      <c r="Z6" s="252"/>
      <c r="AA6" s="252"/>
    </row>
    <row r="7" ht="75.0" customHeight="1">
      <c r="A7" s="238" t="s">
        <v>724</v>
      </c>
      <c r="B7" s="238" t="s">
        <v>724</v>
      </c>
      <c r="C7" s="238" t="s">
        <v>3724</v>
      </c>
      <c r="D7" s="253" t="s">
        <v>3725</v>
      </c>
      <c r="E7" s="254" t="s">
        <v>3726</v>
      </c>
      <c r="F7" s="240" t="str">
        <f>IFERROR(__xludf.DUMMYFUNCTION("GOOGLETRANSLATE(B7,""zh-tw"",""ja"")"),"-")</f>
        <v>-</v>
      </c>
      <c r="G7" s="241" t="s">
        <v>3727</v>
      </c>
      <c r="H7" s="255" t="s">
        <v>3728</v>
      </c>
      <c r="I7" s="240" t="str">
        <f>IFERROR(__xludf.DUMMYFUNCTION("GOOGLETRANSLATE(#REF!,""zh-tw"",""ja"")"),"#REF!")</f>
        <v>#REF!</v>
      </c>
      <c r="J7" s="243" t="str">
        <f>IFERROR(__xludf.DUMMYFUNCTION("GOOGLETRANSLATE(B7,""zh-tw"",""en"")"),"-")</f>
        <v>-</v>
      </c>
      <c r="K7" s="244" t="s">
        <v>3729</v>
      </c>
      <c r="L7" s="243" t="str">
        <f>IFERROR(__xludf.DUMMYFUNCTION("GOOGLETRANSLATE(D7,""zh-tw"",""en"")"),"Development Zone (Mine Pit) -2")</f>
        <v>Development Zone (Mine Pit) -2</v>
      </c>
      <c r="M7" s="256" t="s">
        <v>3730</v>
      </c>
      <c r="N7" s="246" t="s">
        <v>724</v>
      </c>
      <c r="O7" s="246" t="str">
        <f>IFERROR(__xludf.DUMMYFUNCTION("GOOGLETRANSLATE(B7,""zh-tw"",""zh"")"),"-")</f>
        <v>-</v>
      </c>
      <c r="P7" s="247" t="s">
        <v>3731</v>
      </c>
      <c r="Q7" s="257" t="s">
        <v>724</v>
      </c>
      <c r="R7" s="258" t="s">
        <v>3732</v>
      </c>
      <c r="S7" s="249"/>
      <c r="T7" s="250"/>
      <c r="U7" s="250"/>
      <c r="V7" s="259"/>
      <c r="W7" s="252"/>
      <c r="X7" s="252"/>
      <c r="Y7" s="252"/>
      <c r="Z7" s="252"/>
      <c r="AA7" s="252"/>
    </row>
    <row r="8">
      <c r="A8" s="238" t="s">
        <v>724</v>
      </c>
      <c r="B8" s="239" t="s">
        <v>3733</v>
      </c>
      <c r="C8" s="239" t="s">
        <v>3734</v>
      </c>
      <c r="D8" s="239" t="s">
        <v>3735</v>
      </c>
      <c r="E8" s="238" t="s">
        <v>3736</v>
      </c>
      <c r="F8" s="242" t="s">
        <v>3737</v>
      </c>
      <c r="G8" s="242" t="s">
        <v>3738</v>
      </c>
      <c r="H8" s="240" t="s">
        <v>3739</v>
      </c>
      <c r="I8" s="240" t="str">
        <f>IFERROR(__xludf.DUMMYFUNCTION("GOOGLETRANSLATE(#REF!,""zh-tw"",""ja"")"),"#REF!")</f>
        <v>#REF!</v>
      </c>
      <c r="J8" s="245" t="s">
        <v>3740</v>
      </c>
      <c r="K8" s="245" t="s">
        <v>3741</v>
      </c>
      <c r="L8" s="243" t="s">
        <v>3742</v>
      </c>
      <c r="M8" s="243" t="s">
        <v>3742</v>
      </c>
      <c r="N8" s="246" t="s">
        <v>724</v>
      </c>
      <c r="O8" s="248" t="s">
        <v>3743</v>
      </c>
      <c r="P8" s="248" t="s">
        <v>3744</v>
      </c>
      <c r="Q8" s="248" t="s">
        <v>3745</v>
      </c>
      <c r="R8" s="246" t="s">
        <v>3746</v>
      </c>
      <c r="S8" s="260"/>
      <c r="T8" s="250"/>
      <c r="U8" s="250"/>
      <c r="V8" s="250"/>
      <c r="W8" s="252"/>
      <c r="X8" s="252"/>
      <c r="Y8" s="252"/>
      <c r="Z8" s="252"/>
      <c r="AA8" s="252"/>
    </row>
    <row r="9">
      <c r="A9" s="238" t="s">
        <v>724</v>
      </c>
      <c r="B9" s="239" t="s">
        <v>3747</v>
      </c>
      <c r="C9" s="239" t="s">
        <v>3748</v>
      </c>
      <c r="D9" s="253" t="s">
        <v>724</v>
      </c>
      <c r="E9" s="261" t="s">
        <v>3749</v>
      </c>
      <c r="F9" s="242" t="s">
        <v>3750</v>
      </c>
      <c r="G9" s="242" t="s">
        <v>3751</v>
      </c>
      <c r="H9" s="242" t="s">
        <v>3752</v>
      </c>
      <c r="I9" s="240" t="s">
        <v>724</v>
      </c>
      <c r="J9" s="245" t="s">
        <v>3753</v>
      </c>
      <c r="K9" s="245" t="s">
        <v>3754</v>
      </c>
      <c r="L9" s="244" t="s">
        <v>724</v>
      </c>
      <c r="M9" s="245" t="s">
        <v>3755</v>
      </c>
      <c r="N9" s="246" t="s">
        <v>724</v>
      </c>
      <c r="O9" s="248" t="s">
        <v>3756</v>
      </c>
      <c r="P9" s="248" t="s">
        <v>3757</v>
      </c>
      <c r="Q9" s="247" t="s">
        <v>724</v>
      </c>
      <c r="R9" s="248" t="s">
        <v>3758</v>
      </c>
      <c r="S9" s="249"/>
      <c r="T9" s="250"/>
      <c r="U9" s="250"/>
      <c r="V9" s="250"/>
      <c r="W9" s="252"/>
      <c r="X9" s="252"/>
      <c r="Y9" s="252"/>
      <c r="Z9" s="252"/>
      <c r="AA9" s="252"/>
    </row>
    <row r="10" ht="60.0" customHeight="1">
      <c r="A10" s="238" t="s">
        <v>724</v>
      </c>
      <c r="B10" s="239" t="s">
        <v>3759</v>
      </c>
      <c r="C10" s="262" t="s">
        <v>3760</v>
      </c>
      <c r="D10" s="239" t="s">
        <v>3761</v>
      </c>
      <c r="E10" s="239" t="s">
        <v>3762</v>
      </c>
      <c r="F10" s="242" t="s">
        <v>3763</v>
      </c>
      <c r="G10" s="263" t="s">
        <v>3764</v>
      </c>
      <c r="H10" s="242" t="s">
        <v>3765</v>
      </c>
      <c r="I10" s="241" t="s">
        <v>724</v>
      </c>
      <c r="J10" s="245" t="s">
        <v>3766</v>
      </c>
      <c r="K10" s="264" t="s">
        <v>3767</v>
      </c>
      <c r="L10" s="245" t="s">
        <v>3768</v>
      </c>
      <c r="M10" s="245" t="s">
        <v>3769</v>
      </c>
      <c r="N10" s="246" t="s">
        <v>724</v>
      </c>
      <c r="O10" s="265" t="s">
        <v>3770</v>
      </c>
      <c r="P10" s="266" t="s">
        <v>3771</v>
      </c>
      <c r="Q10" s="248" t="s">
        <v>3772</v>
      </c>
      <c r="R10" s="267" t="s">
        <v>3773</v>
      </c>
      <c r="S10" s="249"/>
      <c r="T10" s="268"/>
      <c r="U10" s="250"/>
      <c r="V10" s="250"/>
      <c r="W10" s="269"/>
      <c r="X10" s="269"/>
      <c r="Y10" s="269"/>
      <c r="Z10" s="269"/>
      <c r="AA10" s="269"/>
    </row>
    <row r="11" ht="65.25" customHeight="1">
      <c r="A11" s="238" t="s">
        <v>724</v>
      </c>
      <c r="B11" s="239" t="s">
        <v>3774</v>
      </c>
      <c r="C11" s="270"/>
      <c r="D11" s="254" t="s">
        <v>3775</v>
      </c>
      <c r="E11" s="254" t="s">
        <v>3776</v>
      </c>
      <c r="F11" s="242" t="s">
        <v>3777</v>
      </c>
      <c r="G11" s="270"/>
      <c r="H11" s="242" t="s">
        <v>3778</v>
      </c>
      <c r="I11" s="242" t="s">
        <v>3779</v>
      </c>
      <c r="J11" s="245" t="s">
        <v>3780</v>
      </c>
      <c r="K11" s="270"/>
      <c r="L11" s="245" t="s">
        <v>3781</v>
      </c>
      <c r="M11" s="245" t="s">
        <v>3782</v>
      </c>
      <c r="N11" s="246" t="s">
        <v>724</v>
      </c>
      <c r="O11" s="248" t="s">
        <v>3783</v>
      </c>
      <c r="P11" s="270"/>
      <c r="Q11" s="248" t="s">
        <v>3784</v>
      </c>
      <c r="R11" s="248" t="s">
        <v>3785</v>
      </c>
      <c r="S11" s="249"/>
      <c r="T11" s="228"/>
      <c r="U11" s="250"/>
      <c r="V11" s="250"/>
      <c r="W11" s="271"/>
      <c r="X11" s="271"/>
      <c r="Y11" s="271"/>
      <c r="Z11" s="271"/>
      <c r="AA11" s="271"/>
    </row>
    <row r="12">
      <c r="A12" s="238" t="s">
        <v>724</v>
      </c>
      <c r="B12" s="239" t="s">
        <v>3786</v>
      </c>
      <c r="C12" s="238" t="s">
        <v>3787</v>
      </c>
      <c r="D12" s="239" t="s">
        <v>3788</v>
      </c>
      <c r="E12" s="254" t="s">
        <v>3789</v>
      </c>
      <c r="F12" s="242" t="s">
        <v>3790</v>
      </c>
      <c r="G12" s="240" t="s">
        <v>3791</v>
      </c>
      <c r="H12" s="240" t="str">
        <f>IFERROR(__xludf.DUMMYFUNCTION("GOOGLETRANSLATE(D12,""zh-tw"",""ja"")"),"▲ ハンターズロッジ R69
▼")</f>
        <v>▲ ハンターズロッジ R69
▼</v>
      </c>
      <c r="I12" s="240" t="str">
        <f>IFERROR(__xludf.DUMMYFUNCTION("GOOGLETRANSLATE(#REF!,""zh-tw"",""ja"")"),"#REF!")</f>
        <v>#REF!</v>
      </c>
      <c r="J12" s="245" t="s">
        <v>3792</v>
      </c>
      <c r="K12" s="243" t="s">
        <v>3793</v>
      </c>
      <c r="L12" s="243" t="s">
        <v>3794</v>
      </c>
      <c r="M12" s="245" t="s">
        <v>3795</v>
      </c>
      <c r="N12" s="246" t="s">
        <v>724</v>
      </c>
      <c r="O12" s="248" t="s">
        <v>3796</v>
      </c>
      <c r="P12" s="246" t="str">
        <f>IFERROR(__xludf.DUMMYFUNCTION("GOOGLETRANSLATE(C12,""zh-tw"",""zh"")"),"提前回家
R1")</f>
        <v>提前回家
R1</v>
      </c>
      <c r="Q12" s="248" t="s">
        <v>3797</v>
      </c>
      <c r="R12" s="248" t="s">
        <v>3798</v>
      </c>
      <c r="S12" s="249"/>
      <c r="T12" s="250"/>
      <c r="U12" s="250"/>
      <c r="V12" s="250"/>
      <c r="W12" s="252"/>
      <c r="X12" s="252"/>
      <c r="Y12" s="252"/>
      <c r="Z12" s="252"/>
      <c r="AA12" s="252"/>
    </row>
    <row r="13">
      <c r="A13" s="238" t="s">
        <v>724</v>
      </c>
      <c r="B13" s="239" t="s">
        <v>3799</v>
      </c>
      <c r="C13" s="238" t="s">
        <v>3800</v>
      </c>
      <c r="D13" s="239" t="s">
        <v>3801</v>
      </c>
      <c r="E13" s="238" t="s">
        <v>724</v>
      </c>
      <c r="F13" s="241"/>
      <c r="G13" s="240"/>
      <c r="H13" s="240"/>
      <c r="I13" s="240"/>
      <c r="J13" s="245" t="s">
        <v>3802</v>
      </c>
      <c r="K13" s="243" t="s">
        <v>3803</v>
      </c>
      <c r="L13" s="243" t="s">
        <v>3804</v>
      </c>
      <c r="M13" s="243"/>
      <c r="N13" s="246" t="s">
        <v>724</v>
      </c>
      <c r="O13" s="248" t="s">
        <v>3805</v>
      </c>
      <c r="P13" s="246" t="s">
        <v>3806</v>
      </c>
      <c r="Q13" s="248" t="s">
        <v>3807</v>
      </c>
      <c r="R13" s="246" t="s">
        <v>724</v>
      </c>
      <c r="S13" s="249"/>
      <c r="T13" s="250"/>
      <c r="U13" s="250"/>
      <c r="V13" s="272"/>
      <c r="W13" s="252"/>
      <c r="X13" s="252"/>
      <c r="Y13" s="252"/>
      <c r="Z13" s="252"/>
      <c r="AA13" s="252"/>
    </row>
    <row r="14">
      <c r="A14" s="238" t="s">
        <v>724</v>
      </c>
      <c r="B14" s="239" t="s">
        <v>3808</v>
      </c>
      <c r="C14" s="238" t="s">
        <v>2744</v>
      </c>
      <c r="D14" s="238" t="s">
        <v>724</v>
      </c>
      <c r="E14" s="238" t="s">
        <v>724</v>
      </c>
      <c r="F14" s="241"/>
      <c r="G14" s="240"/>
      <c r="H14" s="240"/>
      <c r="I14" s="240"/>
      <c r="J14" s="245" t="s">
        <v>3809</v>
      </c>
      <c r="K14" s="243" t="s">
        <v>2750</v>
      </c>
      <c r="L14" s="243"/>
      <c r="M14" s="243"/>
      <c r="N14" s="246" t="s">
        <v>724</v>
      </c>
      <c r="O14" s="248" t="s">
        <v>3810</v>
      </c>
      <c r="P14" s="246" t="s">
        <v>3811</v>
      </c>
      <c r="Q14" s="246" t="s">
        <v>724</v>
      </c>
      <c r="R14" s="246" t="s">
        <v>724</v>
      </c>
      <c r="S14" s="273"/>
      <c r="T14" s="250"/>
      <c r="U14" s="272"/>
      <c r="V14" s="272"/>
      <c r="W14" s="252"/>
      <c r="X14" s="252"/>
      <c r="Y14" s="252"/>
      <c r="Z14" s="252"/>
      <c r="AA14" s="252"/>
    </row>
    <row r="15">
      <c r="A15" s="238" t="s">
        <v>3812</v>
      </c>
      <c r="B15" s="239" t="s">
        <v>3813</v>
      </c>
      <c r="C15" s="238" t="s">
        <v>3814</v>
      </c>
      <c r="D15" s="238" t="s">
        <v>724</v>
      </c>
      <c r="E15" s="238" t="s">
        <v>724</v>
      </c>
      <c r="F15" s="241"/>
      <c r="G15" s="240"/>
      <c r="H15" s="240"/>
      <c r="I15" s="240"/>
      <c r="J15" s="245" t="s">
        <v>3815</v>
      </c>
      <c r="K15" s="243" t="s">
        <v>3816</v>
      </c>
      <c r="L15" s="243"/>
      <c r="M15" s="243"/>
      <c r="N15" s="246" t="s">
        <v>3817</v>
      </c>
      <c r="O15" s="248" t="s">
        <v>3818</v>
      </c>
      <c r="P15" s="246" t="s">
        <v>3817</v>
      </c>
      <c r="Q15" s="246" t="s">
        <v>724</v>
      </c>
      <c r="R15" s="246" t="s">
        <v>724</v>
      </c>
      <c r="S15" s="249"/>
      <c r="T15" s="250"/>
      <c r="U15" s="272"/>
      <c r="V15" s="272"/>
      <c r="W15" s="252"/>
      <c r="X15" s="252"/>
      <c r="Y15" s="252"/>
      <c r="Z15" s="252"/>
      <c r="AA15" s="252"/>
    </row>
    <row r="16">
      <c r="A16" s="232" t="s">
        <v>3724</v>
      </c>
      <c r="B16" s="233"/>
      <c r="C16" s="233"/>
      <c r="D16" s="233"/>
      <c r="E16" s="234"/>
      <c r="F16" s="232" t="str">
        <f>IFERROR(__xludf.DUMMYFUNCTION("GOOGLETRANSLATE(A16,""zh-tw"",""ja"")"),"遺跡エリア")</f>
        <v>遺跡エリア</v>
      </c>
      <c r="G16" s="233"/>
      <c r="H16" s="233"/>
      <c r="I16" s="234"/>
      <c r="J16" s="232" t="s">
        <v>3819</v>
      </c>
      <c r="K16" s="233"/>
      <c r="L16" s="233"/>
      <c r="M16" s="234"/>
      <c r="N16" s="232" t="s">
        <v>3731</v>
      </c>
      <c r="O16" s="233"/>
      <c r="P16" s="233"/>
      <c r="Q16" s="233"/>
      <c r="R16" s="234"/>
      <c r="S16" s="274"/>
      <c r="T16" s="227"/>
      <c r="U16" s="227"/>
      <c r="V16" s="228"/>
      <c r="W16" s="275"/>
      <c r="X16" s="275"/>
      <c r="Y16" s="275"/>
      <c r="Z16" s="275"/>
      <c r="AA16" s="275"/>
      <c r="AB16" s="275"/>
    </row>
    <row r="17">
      <c r="A17" s="238" t="s">
        <v>724</v>
      </c>
      <c r="B17" s="238" t="s">
        <v>724</v>
      </c>
      <c r="C17" s="239" t="s">
        <v>3820</v>
      </c>
      <c r="D17" s="238" t="s">
        <v>724</v>
      </c>
      <c r="E17" s="238" t="s">
        <v>724</v>
      </c>
      <c r="F17" s="240"/>
      <c r="G17" s="276" t="s">
        <v>3821</v>
      </c>
      <c r="H17" s="277"/>
      <c r="I17" s="277"/>
      <c r="J17" s="278"/>
      <c r="K17" s="279" t="s">
        <v>3822</v>
      </c>
      <c r="L17" s="278"/>
      <c r="M17" s="278"/>
      <c r="N17" s="280" t="s">
        <v>724</v>
      </c>
      <c r="O17" s="280" t="s">
        <v>724</v>
      </c>
      <c r="P17" s="281" t="s">
        <v>3823</v>
      </c>
      <c r="Q17" s="280" t="s">
        <v>724</v>
      </c>
      <c r="R17" s="280" t="s">
        <v>724</v>
      </c>
      <c r="S17" s="282"/>
      <c r="T17" s="283"/>
      <c r="U17" s="272"/>
      <c r="V17" s="272"/>
      <c r="W17" s="284"/>
      <c r="X17" s="284"/>
      <c r="Y17" s="284"/>
      <c r="Z17" s="284"/>
      <c r="AA17" s="284"/>
      <c r="AB17" s="284"/>
    </row>
    <row r="18">
      <c r="A18" s="238" t="s">
        <v>724</v>
      </c>
      <c r="B18" s="239" t="s">
        <v>3824</v>
      </c>
      <c r="C18" s="239" t="s">
        <v>3825</v>
      </c>
      <c r="D18" s="238" t="s">
        <v>724</v>
      </c>
      <c r="E18" s="238" t="s">
        <v>724</v>
      </c>
      <c r="F18" s="242" t="s">
        <v>3826</v>
      </c>
      <c r="G18" s="242" t="s">
        <v>3827</v>
      </c>
      <c r="H18" s="277"/>
      <c r="I18" s="277"/>
      <c r="J18" s="285" t="s">
        <v>3828</v>
      </c>
      <c r="K18" s="286" t="s">
        <v>3829</v>
      </c>
      <c r="L18" s="278"/>
      <c r="M18" s="278"/>
      <c r="N18" s="280" t="s">
        <v>724</v>
      </c>
      <c r="O18" s="287" t="s">
        <v>3830</v>
      </c>
      <c r="P18" s="287" t="s">
        <v>3831</v>
      </c>
      <c r="Q18" s="280" t="s">
        <v>724</v>
      </c>
      <c r="R18" s="280" t="s">
        <v>724</v>
      </c>
      <c r="S18" s="260"/>
      <c r="T18" s="250"/>
      <c r="U18" s="272"/>
      <c r="V18" s="272"/>
      <c r="W18" s="284"/>
      <c r="X18" s="284"/>
      <c r="Y18" s="284"/>
      <c r="Z18" s="284"/>
      <c r="AA18" s="284"/>
      <c r="AB18" s="284"/>
    </row>
    <row r="19">
      <c r="A19" s="238" t="s">
        <v>724</v>
      </c>
      <c r="B19" s="238" t="s">
        <v>724</v>
      </c>
      <c r="C19" s="288" t="s">
        <v>3832</v>
      </c>
      <c r="D19" s="238" t="s">
        <v>3833</v>
      </c>
      <c r="E19" s="238" t="s">
        <v>724</v>
      </c>
      <c r="F19" s="240"/>
      <c r="G19" s="289" t="s">
        <v>3834</v>
      </c>
      <c r="H19" s="277"/>
      <c r="I19" s="277"/>
      <c r="J19" s="278"/>
      <c r="K19" s="290" t="s">
        <v>3835</v>
      </c>
      <c r="L19" s="278"/>
      <c r="M19" s="278"/>
      <c r="N19" s="280" t="s">
        <v>724</v>
      </c>
      <c r="O19" s="280" t="s">
        <v>724</v>
      </c>
      <c r="P19" s="291" t="s">
        <v>3836</v>
      </c>
      <c r="Q19" s="280" t="s">
        <v>3837</v>
      </c>
      <c r="R19" s="280" t="s">
        <v>724</v>
      </c>
      <c r="S19" s="282"/>
      <c r="T19" s="259"/>
      <c r="U19" s="272"/>
      <c r="V19" s="272"/>
      <c r="W19" s="284"/>
      <c r="X19" s="284"/>
      <c r="Y19" s="284"/>
      <c r="Z19" s="284"/>
      <c r="AA19" s="284"/>
      <c r="AB19" s="284"/>
    </row>
    <row r="20">
      <c r="A20" s="238" t="s">
        <v>724</v>
      </c>
      <c r="B20" s="238" t="s">
        <v>724</v>
      </c>
      <c r="C20" s="288" t="s">
        <v>3838</v>
      </c>
      <c r="D20" s="239" t="s">
        <v>3839</v>
      </c>
      <c r="E20" s="238" t="s">
        <v>724</v>
      </c>
      <c r="F20" s="240"/>
      <c r="G20" s="289" t="s">
        <v>3840</v>
      </c>
      <c r="H20" s="242" t="s">
        <v>3841</v>
      </c>
      <c r="I20" s="277"/>
      <c r="J20" s="278"/>
      <c r="K20" s="292" t="s">
        <v>3842</v>
      </c>
      <c r="L20" s="245" t="s">
        <v>3843</v>
      </c>
      <c r="M20" s="278"/>
      <c r="N20" s="280" t="s">
        <v>724</v>
      </c>
      <c r="O20" s="280" t="s">
        <v>724</v>
      </c>
      <c r="P20" s="293" t="s">
        <v>3844</v>
      </c>
      <c r="Q20" s="287" t="s">
        <v>3845</v>
      </c>
      <c r="R20" s="280" t="s">
        <v>724</v>
      </c>
      <c r="S20" s="282"/>
      <c r="T20" s="250"/>
      <c r="U20" s="251"/>
      <c r="V20" s="272"/>
      <c r="W20" s="284"/>
      <c r="X20" s="284"/>
      <c r="Y20" s="284"/>
      <c r="Z20" s="284"/>
      <c r="AA20" s="284"/>
      <c r="AB20" s="284"/>
    </row>
    <row r="21">
      <c r="A21" s="294" t="s">
        <v>724</v>
      </c>
      <c r="B21" s="294" t="s">
        <v>724</v>
      </c>
      <c r="C21" s="239" t="s">
        <v>3846</v>
      </c>
      <c r="D21" s="238" t="s">
        <v>724</v>
      </c>
      <c r="E21" s="238" t="s">
        <v>724</v>
      </c>
      <c r="F21" s="240"/>
      <c r="G21" s="242" t="s">
        <v>3847</v>
      </c>
      <c r="H21" s="277"/>
      <c r="I21" s="277"/>
      <c r="J21" s="278"/>
      <c r="K21" s="286" t="s">
        <v>3848</v>
      </c>
      <c r="L21" s="278"/>
      <c r="M21" s="278"/>
      <c r="N21" s="280" t="s">
        <v>724</v>
      </c>
      <c r="O21" s="280" t="s">
        <v>724</v>
      </c>
      <c r="P21" s="287" t="s">
        <v>3849</v>
      </c>
      <c r="Q21" s="280" t="s">
        <v>724</v>
      </c>
      <c r="R21" s="280" t="s">
        <v>724</v>
      </c>
      <c r="S21" s="282"/>
      <c r="T21" s="251"/>
      <c r="U21" s="272"/>
      <c r="V21" s="272"/>
      <c r="W21" s="284"/>
      <c r="X21" s="284"/>
      <c r="Y21" s="284"/>
      <c r="Z21" s="284"/>
      <c r="AA21" s="284"/>
      <c r="AB21" s="284"/>
    </row>
    <row r="22">
      <c r="A22" s="295"/>
      <c r="B22" s="295"/>
      <c r="C22" s="295"/>
      <c r="D22" s="295"/>
      <c r="E22" s="295"/>
      <c r="F22" s="295"/>
      <c r="G22" s="295"/>
      <c r="H22" s="17"/>
      <c r="I22" s="17"/>
      <c r="J22" s="17"/>
      <c r="K22" s="295"/>
      <c r="L22" s="295"/>
      <c r="M22" s="295"/>
      <c r="N22" s="17"/>
      <c r="O22" s="17"/>
      <c r="P22" s="295"/>
      <c r="Q22" s="295"/>
      <c r="R22" s="295"/>
      <c r="S22" s="296"/>
      <c r="T22" s="296"/>
      <c r="U22" s="296"/>
      <c r="V22" s="296"/>
      <c r="W22" s="295"/>
      <c r="X22" s="295"/>
      <c r="Y22" s="295"/>
      <c r="Z22" s="295"/>
      <c r="AA22" s="295"/>
      <c r="AB22" s="295"/>
    </row>
    <row r="23">
      <c r="A23" s="295"/>
      <c r="B23" s="295"/>
      <c r="C23" s="295"/>
      <c r="D23" s="297"/>
      <c r="E23" s="297"/>
      <c r="F23" s="295"/>
      <c r="G23" s="295"/>
      <c r="H23" s="17"/>
      <c r="I23" s="17"/>
      <c r="J23" s="17"/>
      <c r="K23" s="295"/>
      <c r="L23" s="295"/>
      <c r="M23" s="295"/>
      <c r="N23" s="17"/>
      <c r="O23" s="17"/>
      <c r="P23" s="295"/>
      <c r="Q23" s="295"/>
      <c r="R23" s="295"/>
      <c r="S23" s="296"/>
      <c r="T23" s="296"/>
      <c r="U23" s="296"/>
      <c r="V23" s="296"/>
      <c r="W23" s="295"/>
      <c r="X23" s="295"/>
      <c r="Y23" s="295"/>
      <c r="Z23" s="295"/>
      <c r="AA23" s="295"/>
      <c r="AB23" s="295"/>
    </row>
    <row r="24">
      <c r="A24" s="295"/>
      <c r="B24" s="295"/>
      <c r="C24" s="295"/>
      <c r="D24" s="295"/>
      <c r="E24" s="295"/>
      <c r="F24" s="295"/>
      <c r="G24" s="295"/>
      <c r="H24" s="17"/>
      <c r="I24" s="17"/>
      <c r="J24" s="17"/>
      <c r="K24" s="295"/>
      <c r="L24" s="295"/>
      <c r="M24" s="295"/>
      <c r="N24" s="17"/>
      <c r="O24" s="17"/>
      <c r="P24" s="295"/>
      <c r="Q24" s="295"/>
      <c r="R24" s="295"/>
      <c r="S24" s="296"/>
      <c r="T24" s="296"/>
      <c r="U24" s="296"/>
      <c r="V24" s="296"/>
      <c r="W24" s="295"/>
      <c r="X24" s="295"/>
      <c r="Y24" s="295"/>
      <c r="Z24" s="295"/>
      <c r="AA24" s="295"/>
      <c r="AB24" s="295"/>
    </row>
    <row r="25">
      <c r="A25" s="295"/>
      <c r="B25" s="295"/>
      <c r="C25" s="295"/>
      <c r="D25" s="17"/>
      <c r="E25" s="295"/>
      <c r="F25" s="295"/>
      <c r="G25" s="295"/>
      <c r="H25" s="17"/>
      <c r="I25" s="17"/>
      <c r="J25" s="17"/>
      <c r="K25" s="295"/>
      <c r="L25" s="295"/>
      <c r="M25" s="295"/>
      <c r="N25" s="17"/>
      <c r="O25" s="17"/>
      <c r="P25" s="295"/>
      <c r="Q25" s="295"/>
      <c r="R25" s="295"/>
      <c r="S25" s="296"/>
      <c r="T25" s="296"/>
      <c r="U25" s="296"/>
      <c r="V25" s="296"/>
      <c r="W25" s="295"/>
      <c r="X25" s="295"/>
      <c r="Y25" s="295"/>
      <c r="Z25" s="295"/>
      <c r="AA25" s="295"/>
      <c r="AB25" s="295"/>
    </row>
    <row r="26">
      <c r="A26" s="295"/>
      <c r="B26" s="295"/>
      <c r="C26" s="17"/>
      <c r="D26" s="17"/>
      <c r="E26" s="295"/>
      <c r="F26" s="295"/>
      <c r="G26" s="295"/>
      <c r="H26" s="17"/>
      <c r="I26" s="17"/>
      <c r="J26" s="17"/>
      <c r="K26" s="295"/>
      <c r="L26" s="295"/>
      <c r="M26" s="295"/>
      <c r="N26" s="17"/>
      <c r="O26" s="17"/>
      <c r="P26" s="295"/>
      <c r="Q26" s="295"/>
      <c r="R26" s="295"/>
      <c r="S26" s="296"/>
      <c r="T26" s="296"/>
      <c r="U26" s="296"/>
      <c r="V26" s="296"/>
      <c r="W26" s="295"/>
      <c r="X26" s="295"/>
      <c r="Y26" s="295"/>
      <c r="Z26" s="295"/>
      <c r="AA26" s="295"/>
      <c r="AB26" s="295"/>
    </row>
    <row r="27">
      <c r="A27" s="295"/>
      <c r="B27" s="295"/>
      <c r="C27" s="17"/>
      <c r="D27" s="17"/>
      <c r="E27" s="295"/>
      <c r="F27" s="295"/>
      <c r="G27" s="295"/>
      <c r="H27" s="17"/>
      <c r="I27" s="17"/>
      <c r="J27" s="17"/>
      <c r="K27" s="295"/>
      <c r="L27" s="295"/>
      <c r="M27" s="295"/>
      <c r="N27" s="17"/>
      <c r="O27" s="17"/>
      <c r="P27" s="295"/>
      <c r="Q27" s="295"/>
      <c r="R27" s="295"/>
      <c r="S27" s="296"/>
      <c r="T27" s="296"/>
      <c r="U27" s="296"/>
      <c r="V27" s="296"/>
      <c r="W27" s="295"/>
      <c r="X27" s="295"/>
      <c r="Y27" s="295"/>
      <c r="Z27" s="295"/>
      <c r="AA27" s="295"/>
      <c r="AB27" s="295"/>
    </row>
    <row r="28">
      <c r="A28" s="295"/>
      <c r="B28" s="295"/>
      <c r="C28" s="17"/>
      <c r="D28" s="17"/>
      <c r="E28" s="295"/>
      <c r="F28" s="295"/>
      <c r="G28" s="295"/>
      <c r="H28" s="17"/>
      <c r="I28" s="17"/>
      <c r="J28" s="17"/>
      <c r="K28" s="295"/>
      <c r="L28" s="295"/>
      <c r="M28" s="295"/>
      <c r="N28" s="17"/>
      <c r="O28" s="17"/>
      <c r="P28" s="295"/>
      <c r="Q28" s="295"/>
      <c r="R28" s="295"/>
      <c r="S28" s="296"/>
      <c r="T28" s="296"/>
      <c r="U28" s="296"/>
      <c r="V28" s="296"/>
      <c r="W28" s="295"/>
      <c r="X28" s="295"/>
      <c r="Y28" s="295"/>
      <c r="Z28" s="295"/>
      <c r="AA28" s="295"/>
      <c r="AB28" s="295"/>
    </row>
    <row r="29">
      <c r="A29" s="295"/>
      <c r="B29" s="295"/>
      <c r="C29" s="17"/>
      <c r="D29" s="17"/>
      <c r="E29" s="295"/>
      <c r="F29" s="295"/>
      <c r="G29" s="295"/>
      <c r="H29" s="17"/>
      <c r="I29" s="17"/>
      <c r="J29" s="17"/>
      <c r="K29" s="295"/>
      <c r="L29" s="295"/>
      <c r="M29" s="295"/>
      <c r="N29" s="17"/>
      <c r="O29" s="17"/>
      <c r="P29" s="295"/>
      <c r="Q29" s="295"/>
      <c r="R29" s="295"/>
      <c r="S29" s="296"/>
      <c r="T29" s="296"/>
      <c r="U29" s="296"/>
      <c r="V29" s="296"/>
      <c r="W29" s="295"/>
      <c r="X29" s="295"/>
      <c r="Y29" s="295"/>
      <c r="Z29" s="295"/>
      <c r="AA29" s="295"/>
      <c r="AB29" s="295"/>
    </row>
    <row r="30">
      <c r="A30" s="295"/>
      <c r="B30" s="295"/>
      <c r="C30" s="17"/>
      <c r="D30" s="17"/>
      <c r="E30" s="295"/>
      <c r="F30" s="295"/>
      <c r="G30" s="295"/>
      <c r="H30" s="17"/>
      <c r="I30" s="17"/>
      <c r="J30" s="17"/>
      <c r="K30" s="295"/>
      <c r="L30" s="295"/>
      <c r="M30" s="295"/>
      <c r="N30" s="17"/>
      <c r="O30" s="17"/>
      <c r="P30" s="295"/>
      <c r="Q30" s="295"/>
      <c r="R30" s="295"/>
      <c r="S30" s="296"/>
      <c r="T30" s="296"/>
      <c r="U30" s="296"/>
      <c r="V30" s="296"/>
      <c r="W30" s="295"/>
      <c r="X30" s="295"/>
      <c r="Y30" s="295"/>
      <c r="Z30" s="295"/>
      <c r="AA30" s="295"/>
      <c r="AB30" s="295"/>
    </row>
    <row r="31">
      <c r="A31" s="17"/>
      <c r="B31" s="17"/>
      <c r="C31" s="17"/>
      <c r="D31" s="17"/>
      <c r="E31" s="17"/>
      <c r="F31" s="297"/>
      <c r="G31" s="17"/>
      <c r="H31" s="17"/>
      <c r="I31" s="17"/>
      <c r="J31" s="17"/>
      <c r="K31" s="17"/>
      <c r="L31" s="17"/>
      <c r="M31" s="17"/>
      <c r="N31" s="17"/>
      <c r="O31" s="17"/>
      <c r="P31" s="17"/>
      <c r="Q31" s="17"/>
      <c r="R31" s="17"/>
      <c r="S31" s="201"/>
      <c r="T31" s="201"/>
      <c r="U31" s="201"/>
      <c r="V31" s="201"/>
      <c r="W31" s="17"/>
      <c r="X31" s="17"/>
      <c r="Y31" s="17"/>
      <c r="Z31" s="17"/>
      <c r="AA31" s="17"/>
      <c r="AB31" s="17"/>
    </row>
    <row r="32">
      <c r="A32" s="17"/>
      <c r="B32" s="17"/>
      <c r="C32" s="17"/>
      <c r="D32" s="17"/>
      <c r="E32" s="17"/>
      <c r="F32" s="297"/>
      <c r="G32" s="17"/>
      <c r="H32" s="17"/>
      <c r="I32" s="17"/>
      <c r="J32" s="17"/>
      <c r="K32" s="17"/>
      <c r="L32" s="17"/>
      <c r="M32" s="17"/>
      <c r="N32" s="17"/>
      <c r="O32" s="17"/>
      <c r="P32" s="17"/>
      <c r="Q32" s="17"/>
      <c r="R32" s="17"/>
      <c r="S32" s="201"/>
      <c r="T32" s="201"/>
      <c r="U32" s="201"/>
      <c r="V32" s="201"/>
      <c r="W32" s="17"/>
      <c r="X32" s="17"/>
      <c r="Y32" s="17"/>
      <c r="Z32" s="17"/>
      <c r="AA32" s="17"/>
      <c r="AB32" s="17"/>
    </row>
    <row r="33">
      <c r="A33" s="17"/>
      <c r="B33" s="17"/>
      <c r="C33" s="17"/>
      <c r="D33" s="17"/>
      <c r="E33" s="17"/>
      <c r="F33" s="297"/>
      <c r="G33" s="17"/>
      <c r="H33" s="17"/>
      <c r="I33" s="17"/>
      <c r="J33" s="17"/>
      <c r="K33" s="17"/>
      <c r="L33" s="17"/>
      <c r="M33" s="17"/>
      <c r="N33" s="17"/>
      <c r="O33" s="17"/>
      <c r="P33" s="17"/>
      <c r="Q33" s="17"/>
      <c r="R33" s="17"/>
      <c r="S33" s="201"/>
      <c r="T33" s="201"/>
      <c r="U33" s="201"/>
      <c r="V33" s="201"/>
      <c r="W33" s="17"/>
      <c r="X33" s="17"/>
      <c r="Y33" s="17"/>
      <c r="Z33" s="17"/>
      <c r="AA33" s="17"/>
      <c r="AB33" s="17"/>
    </row>
    <row r="34">
      <c r="A34" s="17"/>
      <c r="B34" s="17"/>
      <c r="C34" s="17"/>
      <c r="D34" s="17"/>
      <c r="E34" s="17"/>
      <c r="F34" s="297"/>
      <c r="G34" s="17"/>
      <c r="H34" s="17"/>
      <c r="I34" s="17"/>
      <c r="J34" s="17"/>
      <c r="K34" s="17"/>
      <c r="L34" s="17"/>
      <c r="M34" s="17"/>
      <c r="N34" s="17"/>
      <c r="O34" s="17"/>
      <c r="P34" s="17"/>
      <c r="Q34" s="17"/>
      <c r="R34" s="17"/>
      <c r="S34" s="201"/>
      <c r="T34" s="201"/>
      <c r="U34" s="201"/>
      <c r="V34" s="201"/>
      <c r="W34" s="17"/>
      <c r="X34" s="17"/>
      <c r="Y34" s="17"/>
      <c r="Z34" s="17"/>
      <c r="AA34" s="17"/>
      <c r="AB34" s="17"/>
    </row>
    <row r="35">
      <c r="A35" s="17"/>
      <c r="B35" s="17"/>
      <c r="C35" s="17"/>
      <c r="D35" s="17"/>
      <c r="E35" s="17"/>
      <c r="F35" s="297"/>
      <c r="G35" s="17"/>
      <c r="H35" s="17"/>
      <c r="I35" s="17"/>
      <c r="J35" s="17"/>
      <c r="K35" s="17"/>
      <c r="L35" s="17"/>
      <c r="M35" s="17"/>
      <c r="N35" s="17"/>
      <c r="O35" s="17"/>
      <c r="P35" s="17"/>
      <c r="Q35" s="17"/>
      <c r="R35" s="17"/>
      <c r="S35" s="201"/>
      <c r="T35" s="201"/>
      <c r="U35" s="201"/>
      <c r="V35" s="201"/>
      <c r="W35" s="17"/>
      <c r="X35" s="17"/>
      <c r="Y35" s="17"/>
      <c r="Z35" s="17"/>
      <c r="AA35" s="17"/>
      <c r="AB35" s="17"/>
    </row>
    <row r="36">
      <c r="A36" s="17"/>
      <c r="B36" s="17"/>
      <c r="C36" s="17"/>
      <c r="D36" s="17"/>
      <c r="E36" s="17"/>
      <c r="F36" s="297"/>
      <c r="G36" s="17"/>
      <c r="H36" s="17"/>
      <c r="I36" s="17"/>
      <c r="J36" s="17"/>
      <c r="K36" s="17"/>
      <c r="L36" s="17"/>
      <c r="M36" s="17"/>
      <c r="N36" s="17"/>
      <c r="O36" s="17"/>
      <c r="P36" s="17"/>
      <c r="Q36" s="17"/>
      <c r="R36" s="17"/>
      <c r="S36" s="201"/>
      <c r="T36" s="201"/>
      <c r="U36" s="201"/>
      <c r="V36" s="201"/>
      <c r="W36" s="17"/>
      <c r="X36" s="17"/>
      <c r="Y36" s="17"/>
      <c r="Z36" s="17"/>
      <c r="AA36" s="17"/>
      <c r="AB36" s="17"/>
    </row>
    <row r="37">
      <c r="A37" s="17"/>
      <c r="B37" s="17"/>
      <c r="C37" s="17"/>
      <c r="D37" s="17"/>
      <c r="E37" s="17"/>
      <c r="F37" s="297"/>
      <c r="G37" s="17"/>
      <c r="H37" s="17"/>
      <c r="I37" s="17"/>
      <c r="J37" s="17"/>
      <c r="K37" s="17"/>
      <c r="L37" s="17"/>
      <c r="M37" s="17"/>
      <c r="N37" s="17"/>
      <c r="O37" s="17"/>
      <c r="P37" s="17"/>
      <c r="Q37" s="17"/>
      <c r="R37" s="17"/>
      <c r="S37" s="201"/>
      <c r="T37" s="201"/>
      <c r="U37" s="201"/>
      <c r="V37" s="201"/>
      <c r="W37" s="17"/>
      <c r="X37" s="17"/>
      <c r="Y37" s="17"/>
      <c r="Z37" s="17"/>
      <c r="AA37" s="17"/>
      <c r="AB37" s="17"/>
    </row>
    <row r="38">
      <c r="A38" s="17"/>
      <c r="B38" s="17"/>
      <c r="C38" s="17"/>
      <c r="D38" s="17"/>
      <c r="E38" s="17"/>
      <c r="F38" s="297"/>
      <c r="G38" s="17"/>
      <c r="H38" s="17"/>
      <c r="I38" s="17"/>
      <c r="J38" s="17"/>
      <c r="K38" s="17"/>
      <c r="L38" s="17"/>
      <c r="M38" s="17"/>
      <c r="N38" s="17"/>
      <c r="O38" s="17"/>
      <c r="P38" s="17"/>
      <c r="Q38" s="17"/>
      <c r="R38" s="17"/>
      <c r="S38" s="201"/>
      <c r="T38" s="201"/>
      <c r="U38" s="201"/>
      <c r="V38" s="201"/>
      <c r="W38" s="17"/>
      <c r="X38" s="17"/>
      <c r="Y38" s="17"/>
      <c r="Z38" s="17"/>
      <c r="AA38" s="17"/>
      <c r="AB38" s="17"/>
    </row>
    <row r="39">
      <c r="A39" s="17"/>
      <c r="B39" s="17"/>
      <c r="C39" s="17"/>
      <c r="D39" s="17"/>
      <c r="E39" s="17"/>
      <c r="F39" s="297"/>
      <c r="G39" s="17"/>
      <c r="H39" s="17"/>
      <c r="I39" s="17"/>
      <c r="J39" s="17"/>
      <c r="K39" s="17"/>
      <c r="L39" s="17"/>
      <c r="M39" s="17"/>
      <c r="N39" s="17"/>
      <c r="O39" s="17"/>
      <c r="P39" s="17"/>
      <c r="Q39" s="17"/>
      <c r="R39" s="17"/>
      <c r="S39" s="201"/>
      <c r="T39" s="201"/>
      <c r="U39" s="201"/>
      <c r="V39" s="201"/>
      <c r="W39" s="17"/>
      <c r="X39" s="17"/>
      <c r="Y39" s="17"/>
      <c r="Z39" s="17"/>
      <c r="AA39" s="17"/>
      <c r="AB39" s="17"/>
    </row>
    <row r="40">
      <c r="A40" s="17"/>
      <c r="B40" s="17"/>
      <c r="C40" s="17"/>
      <c r="D40" s="17"/>
      <c r="E40" s="17"/>
      <c r="F40" s="297"/>
      <c r="G40" s="17"/>
      <c r="H40" s="17"/>
      <c r="I40" s="17"/>
      <c r="J40" s="17"/>
      <c r="K40" s="17"/>
      <c r="L40" s="17"/>
      <c r="M40" s="17"/>
      <c r="N40" s="17"/>
      <c r="O40" s="17"/>
      <c r="P40" s="17"/>
      <c r="Q40" s="17"/>
      <c r="R40" s="17"/>
      <c r="S40" s="201"/>
      <c r="T40" s="201"/>
      <c r="U40" s="201"/>
      <c r="V40" s="201"/>
      <c r="W40" s="17"/>
      <c r="X40" s="17"/>
      <c r="Y40" s="17"/>
      <c r="Z40" s="17"/>
      <c r="AA40" s="17"/>
      <c r="AB40" s="17"/>
    </row>
    <row r="41">
      <c r="A41" s="17"/>
      <c r="B41" s="17"/>
      <c r="C41" s="17"/>
      <c r="D41" s="17"/>
      <c r="E41" s="17"/>
      <c r="F41" s="297"/>
      <c r="G41" s="17"/>
      <c r="H41" s="17"/>
      <c r="I41" s="17"/>
      <c r="J41" s="17"/>
      <c r="K41" s="17"/>
      <c r="L41" s="17"/>
      <c r="M41" s="17"/>
      <c r="N41" s="17"/>
      <c r="O41" s="17"/>
      <c r="P41" s="17"/>
      <c r="Q41" s="17"/>
      <c r="R41" s="17"/>
      <c r="S41" s="201"/>
      <c r="T41" s="201"/>
      <c r="U41" s="201"/>
      <c r="V41" s="201"/>
      <c r="W41" s="17"/>
      <c r="X41" s="17"/>
      <c r="Y41" s="17"/>
      <c r="Z41" s="17"/>
      <c r="AA41" s="17"/>
      <c r="AB41" s="17"/>
    </row>
    <row r="42">
      <c r="A42" s="17"/>
      <c r="B42" s="17"/>
      <c r="C42" s="17"/>
      <c r="D42" s="17"/>
      <c r="E42" s="17"/>
      <c r="F42" s="297"/>
      <c r="G42" s="17"/>
      <c r="H42" s="17"/>
      <c r="I42" s="17"/>
      <c r="J42" s="17"/>
      <c r="K42" s="17"/>
      <c r="L42" s="17"/>
      <c r="M42" s="17"/>
      <c r="N42" s="17"/>
      <c r="O42" s="17"/>
      <c r="P42" s="17"/>
      <c r="Q42" s="17"/>
      <c r="R42" s="17"/>
      <c r="S42" s="201"/>
      <c r="T42" s="201"/>
      <c r="U42" s="201"/>
      <c r="V42" s="201"/>
      <c r="W42" s="17"/>
      <c r="X42" s="17"/>
      <c r="Y42" s="17"/>
      <c r="Z42" s="17"/>
      <c r="AA42" s="17"/>
      <c r="AB42" s="17"/>
    </row>
    <row r="43">
      <c r="A43" s="17"/>
      <c r="B43" s="17"/>
      <c r="C43" s="17"/>
      <c r="D43" s="17"/>
      <c r="E43" s="17"/>
      <c r="F43" s="297"/>
      <c r="G43" s="17"/>
      <c r="H43" s="17"/>
      <c r="I43" s="17"/>
      <c r="J43" s="17"/>
      <c r="K43" s="17"/>
      <c r="L43" s="17"/>
      <c r="M43" s="17"/>
      <c r="N43" s="17"/>
      <c r="O43" s="17"/>
      <c r="P43" s="17"/>
      <c r="Q43" s="17"/>
      <c r="R43" s="17"/>
      <c r="S43" s="201"/>
      <c r="T43" s="201"/>
      <c r="U43" s="201"/>
      <c r="V43" s="201"/>
      <c r="W43" s="17"/>
      <c r="X43" s="17"/>
      <c r="Y43" s="17"/>
      <c r="Z43" s="17"/>
      <c r="AA43" s="17"/>
      <c r="AB43" s="17"/>
    </row>
    <row r="44">
      <c r="A44" s="17"/>
      <c r="B44" s="17"/>
      <c r="C44" s="17"/>
      <c r="D44" s="17"/>
      <c r="E44" s="17"/>
      <c r="F44" s="297"/>
      <c r="G44" s="17"/>
      <c r="H44" s="17"/>
      <c r="I44" s="17"/>
      <c r="J44" s="17"/>
      <c r="K44" s="17"/>
      <c r="L44" s="17"/>
      <c r="M44" s="17"/>
      <c r="N44" s="17"/>
      <c r="O44" s="17"/>
      <c r="P44" s="17"/>
      <c r="Q44" s="17"/>
      <c r="R44" s="17"/>
      <c r="S44" s="201"/>
      <c r="T44" s="201"/>
      <c r="U44" s="201"/>
      <c r="V44" s="201"/>
      <c r="W44" s="17"/>
      <c r="X44" s="17"/>
      <c r="Y44" s="17"/>
      <c r="Z44" s="17"/>
      <c r="AA44" s="17"/>
      <c r="AB44" s="17"/>
    </row>
    <row r="45">
      <c r="A45" s="17"/>
      <c r="B45" s="17"/>
      <c r="C45" s="17"/>
      <c r="D45" s="17"/>
      <c r="E45" s="17"/>
      <c r="F45" s="297"/>
      <c r="G45" s="17"/>
      <c r="H45" s="17"/>
      <c r="I45" s="17"/>
      <c r="J45" s="17"/>
      <c r="K45" s="17"/>
      <c r="L45" s="17"/>
      <c r="M45" s="17"/>
      <c r="N45" s="17"/>
      <c r="O45" s="17"/>
      <c r="P45" s="17"/>
      <c r="Q45" s="17"/>
      <c r="R45" s="17"/>
      <c r="S45" s="201"/>
      <c r="T45" s="201"/>
      <c r="U45" s="201"/>
      <c r="V45" s="201"/>
      <c r="W45" s="17"/>
      <c r="X45" s="17"/>
      <c r="Y45" s="17"/>
      <c r="Z45" s="17"/>
      <c r="AA45" s="17"/>
      <c r="AB45" s="17"/>
    </row>
    <row r="46">
      <c r="A46" s="17"/>
      <c r="B46" s="17"/>
      <c r="C46" s="17"/>
      <c r="D46" s="17"/>
      <c r="E46" s="17"/>
      <c r="F46" s="297"/>
      <c r="G46" s="17"/>
      <c r="H46" s="17"/>
      <c r="I46" s="17"/>
      <c r="J46" s="17"/>
      <c r="K46" s="17"/>
      <c r="L46" s="17"/>
      <c r="M46" s="17"/>
      <c r="N46" s="17"/>
      <c r="O46" s="17"/>
      <c r="P46" s="17"/>
      <c r="Q46" s="17"/>
      <c r="R46" s="17"/>
      <c r="S46" s="201"/>
      <c r="T46" s="201"/>
      <c r="U46" s="201"/>
      <c r="V46" s="201"/>
      <c r="W46" s="17"/>
      <c r="X46" s="17"/>
      <c r="Y46" s="17"/>
      <c r="Z46" s="17"/>
      <c r="AA46" s="17"/>
      <c r="AB46" s="17"/>
    </row>
    <row r="47">
      <c r="A47" s="17"/>
      <c r="B47" s="17"/>
      <c r="C47" s="17"/>
      <c r="D47" s="17"/>
      <c r="E47" s="17"/>
      <c r="F47" s="297"/>
      <c r="G47" s="17"/>
      <c r="H47" s="17"/>
      <c r="I47" s="17"/>
      <c r="J47" s="17"/>
      <c r="K47" s="17"/>
      <c r="L47" s="17"/>
      <c r="M47" s="17"/>
      <c r="N47" s="17"/>
      <c r="O47" s="17"/>
      <c r="P47" s="17"/>
      <c r="Q47" s="17"/>
      <c r="R47" s="17"/>
      <c r="S47" s="201"/>
      <c r="T47" s="201"/>
      <c r="U47" s="201"/>
      <c r="V47" s="201"/>
      <c r="W47" s="17"/>
      <c r="X47" s="17"/>
      <c r="Y47" s="17"/>
      <c r="Z47" s="17"/>
      <c r="AA47" s="17"/>
      <c r="AB47" s="17"/>
    </row>
    <row r="48">
      <c r="A48" s="17"/>
      <c r="B48" s="17"/>
      <c r="C48" s="17"/>
      <c r="D48" s="17"/>
      <c r="E48" s="17"/>
      <c r="F48" s="297"/>
      <c r="G48" s="17"/>
      <c r="H48" s="17"/>
      <c r="I48" s="17"/>
      <c r="J48" s="17"/>
      <c r="K48" s="17"/>
      <c r="L48" s="17"/>
      <c r="M48" s="17"/>
      <c r="N48" s="17"/>
      <c r="O48" s="17"/>
      <c r="P48" s="17"/>
      <c r="Q48" s="17"/>
      <c r="R48" s="17"/>
      <c r="S48" s="201"/>
      <c r="T48" s="201"/>
      <c r="U48" s="201"/>
      <c r="V48" s="201"/>
      <c r="W48" s="17"/>
      <c r="X48" s="17"/>
      <c r="Y48" s="17"/>
      <c r="Z48" s="17"/>
      <c r="AA48" s="17"/>
      <c r="AB48" s="17"/>
    </row>
    <row r="49">
      <c r="A49" s="17"/>
      <c r="B49" s="17"/>
      <c r="C49" s="17"/>
      <c r="D49" s="17"/>
      <c r="E49" s="17"/>
      <c r="F49" s="297"/>
      <c r="G49" s="17"/>
      <c r="H49" s="17"/>
      <c r="I49" s="17"/>
      <c r="J49" s="17"/>
      <c r="K49" s="17"/>
      <c r="L49" s="17"/>
      <c r="M49" s="17"/>
      <c r="N49" s="17"/>
      <c r="O49" s="17"/>
      <c r="P49" s="17"/>
      <c r="Q49" s="17"/>
      <c r="R49" s="17"/>
      <c r="S49" s="201"/>
      <c r="T49" s="201"/>
      <c r="U49" s="201"/>
      <c r="V49" s="201"/>
      <c r="W49" s="17"/>
      <c r="X49" s="17"/>
      <c r="Y49" s="17"/>
      <c r="Z49" s="17"/>
      <c r="AA49" s="17"/>
      <c r="AB49" s="17"/>
    </row>
    <row r="50">
      <c r="A50" s="17"/>
      <c r="B50" s="17"/>
      <c r="C50" s="17"/>
      <c r="D50" s="17"/>
      <c r="E50" s="17"/>
      <c r="F50" s="297"/>
      <c r="G50" s="17"/>
      <c r="H50" s="17"/>
      <c r="I50" s="17"/>
      <c r="J50" s="17"/>
      <c r="K50" s="17"/>
      <c r="L50" s="17"/>
      <c r="M50" s="17"/>
      <c r="N50" s="17"/>
      <c r="O50" s="17"/>
      <c r="P50" s="17"/>
      <c r="Q50" s="17"/>
      <c r="R50" s="17"/>
      <c r="S50" s="201"/>
      <c r="T50" s="201"/>
      <c r="U50" s="201"/>
      <c r="V50" s="201"/>
      <c r="W50" s="17"/>
      <c r="X50" s="17"/>
      <c r="Y50" s="17"/>
      <c r="Z50" s="17"/>
      <c r="AA50" s="17"/>
      <c r="AB50" s="17"/>
    </row>
    <row r="51">
      <c r="A51" s="17"/>
      <c r="B51" s="17"/>
      <c r="C51" s="17"/>
      <c r="D51" s="17"/>
      <c r="E51" s="17"/>
      <c r="F51" s="297"/>
      <c r="G51" s="17"/>
      <c r="H51" s="17"/>
      <c r="I51" s="17"/>
      <c r="J51" s="17"/>
      <c r="K51" s="17"/>
      <c r="L51" s="17"/>
      <c r="M51" s="17"/>
      <c r="N51" s="17"/>
      <c r="O51" s="17"/>
      <c r="P51" s="17"/>
      <c r="Q51" s="17"/>
      <c r="R51" s="17"/>
      <c r="S51" s="201"/>
      <c r="T51" s="201"/>
      <c r="U51" s="201"/>
      <c r="V51" s="201"/>
      <c r="W51" s="17"/>
      <c r="X51" s="17"/>
      <c r="Y51" s="17"/>
      <c r="Z51" s="17"/>
      <c r="AA51" s="17"/>
      <c r="AB51" s="17"/>
    </row>
    <row r="52">
      <c r="A52" s="17"/>
      <c r="B52" s="17"/>
      <c r="C52" s="17"/>
      <c r="D52" s="17"/>
      <c r="E52" s="17"/>
      <c r="F52" s="297"/>
      <c r="G52" s="17"/>
      <c r="H52" s="17"/>
      <c r="I52" s="17"/>
      <c r="J52" s="17"/>
      <c r="K52" s="17"/>
      <c r="L52" s="17"/>
      <c r="M52" s="17"/>
      <c r="N52" s="17"/>
      <c r="O52" s="17"/>
      <c r="P52" s="17"/>
      <c r="Q52" s="17"/>
      <c r="R52" s="17"/>
      <c r="S52" s="201"/>
      <c r="T52" s="201"/>
      <c r="U52" s="201"/>
      <c r="V52" s="201"/>
      <c r="W52" s="17"/>
      <c r="X52" s="17"/>
      <c r="Y52" s="17"/>
      <c r="Z52" s="17"/>
      <c r="AA52" s="17"/>
      <c r="AB52" s="17"/>
    </row>
    <row r="53">
      <c r="A53" s="17"/>
      <c r="B53" s="17"/>
      <c r="C53" s="17"/>
      <c r="D53" s="17"/>
      <c r="E53" s="17"/>
      <c r="F53" s="297"/>
      <c r="G53" s="17"/>
      <c r="H53" s="17"/>
      <c r="I53" s="17"/>
      <c r="J53" s="17"/>
      <c r="K53" s="17"/>
      <c r="L53" s="17"/>
      <c r="M53" s="17"/>
      <c r="N53" s="17"/>
      <c r="O53" s="17"/>
      <c r="P53" s="17"/>
      <c r="Q53" s="17"/>
      <c r="R53" s="17"/>
      <c r="S53" s="201"/>
      <c r="T53" s="201"/>
      <c r="U53" s="201"/>
      <c r="V53" s="201"/>
      <c r="W53" s="17"/>
      <c r="X53" s="17"/>
      <c r="Y53" s="17"/>
      <c r="Z53" s="17"/>
      <c r="AA53" s="17"/>
      <c r="AB53" s="17"/>
    </row>
    <row r="54">
      <c r="A54" s="17"/>
      <c r="B54" s="17"/>
      <c r="C54" s="17"/>
      <c r="D54" s="17"/>
      <c r="E54" s="17"/>
      <c r="F54" s="297"/>
      <c r="G54" s="17"/>
      <c r="H54" s="17"/>
      <c r="I54" s="17"/>
      <c r="J54" s="17"/>
      <c r="K54" s="17"/>
      <c r="L54" s="17"/>
      <c r="M54" s="17"/>
      <c r="N54" s="17"/>
      <c r="O54" s="17"/>
      <c r="P54" s="17"/>
      <c r="Q54" s="17"/>
      <c r="R54" s="17"/>
      <c r="S54" s="201"/>
      <c r="T54" s="201"/>
      <c r="U54" s="201"/>
      <c r="V54" s="201"/>
      <c r="W54" s="17"/>
      <c r="X54" s="17"/>
      <c r="Y54" s="17"/>
      <c r="Z54" s="17"/>
      <c r="AA54" s="17"/>
      <c r="AB54" s="17"/>
    </row>
    <row r="55">
      <c r="A55" s="17"/>
      <c r="B55" s="17"/>
      <c r="C55" s="17"/>
      <c r="D55" s="17"/>
      <c r="E55" s="17"/>
      <c r="F55" s="297"/>
      <c r="G55" s="17"/>
      <c r="H55" s="17"/>
      <c r="I55" s="17"/>
      <c r="J55" s="17"/>
      <c r="K55" s="17"/>
      <c r="L55" s="17"/>
      <c r="M55" s="17"/>
      <c r="N55" s="17"/>
      <c r="O55" s="17"/>
      <c r="P55" s="17"/>
      <c r="Q55" s="17"/>
      <c r="R55" s="17"/>
      <c r="S55" s="201"/>
      <c r="T55" s="201"/>
      <c r="U55" s="201"/>
      <c r="V55" s="201"/>
      <c r="W55" s="17"/>
      <c r="X55" s="17"/>
      <c r="Y55" s="17"/>
      <c r="Z55" s="17"/>
      <c r="AA55" s="17"/>
      <c r="AB55" s="17"/>
    </row>
    <row r="56">
      <c r="A56" s="17"/>
      <c r="B56" s="17"/>
      <c r="C56" s="17"/>
      <c r="D56" s="17"/>
      <c r="E56" s="17"/>
      <c r="F56" s="297"/>
      <c r="G56" s="17"/>
      <c r="H56" s="17"/>
      <c r="I56" s="17"/>
      <c r="J56" s="17"/>
      <c r="K56" s="17"/>
      <c r="L56" s="17"/>
      <c r="M56" s="17"/>
      <c r="N56" s="17"/>
      <c r="O56" s="17"/>
      <c r="P56" s="17"/>
      <c r="Q56" s="17"/>
      <c r="R56" s="17"/>
      <c r="S56" s="201"/>
      <c r="T56" s="201"/>
      <c r="U56" s="201"/>
      <c r="V56" s="201"/>
      <c r="W56" s="17"/>
      <c r="X56" s="17"/>
      <c r="Y56" s="17"/>
      <c r="Z56" s="17"/>
      <c r="AA56" s="17"/>
      <c r="AB56" s="17"/>
    </row>
    <row r="57">
      <c r="A57" s="17"/>
      <c r="B57" s="17"/>
      <c r="C57" s="17"/>
      <c r="D57" s="17"/>
      <c r="E57" s="17"/>
      <c r="F57" s="297"/>
      <c r="G57" s="17"/>
      <c r="H57" s="17"/>
      <c r="I57" s="17"/>
      <c r="J57" s="17"/>
      <c r="K57" s="17"/>
      <c r="L57" s="17"/>
      <c r="M57" s="17"/>
      <c r="N57" s="17"/>
      <c r="O57" s="17"/>
      <c r="P57" s="17"/>
      <c r="Q57" s="17"/>
      <c r="R57" s="17"/>
      <c r="S57" s="201"/>
      <c r="T57" s="201"/>
      <c r="U57" s="201"/>
      <c r="V57" s="201"/>
      <c r="W57" s="17"/>
      <c r="X57" s="17"/>
      <c r="Y57" s="17"/>
      <c r="Z57" s="17"/>
      <c r="AA57" s="17"/>
      <c r="AB57" s="17"/>
    </row>
    <row r="58">
      <c r="A58" s="17"/>
      <c r="B58" s="17"/>
      <c r="C58" s="17"/>
      <c r="D58" s="17"/>
      <c r="E58" s="17"/>
      <c r="F58" s="297"/>
      <c r="G58" s="17"/>
      <c r="H58" s="17"/>
      <c r="I58" s="17"/>
      <c r="J58" s="17"/>
      <c r="K58" s="17"/>
      <c r="L58" s="17"/>
      <c r="M58" s="17"/>
      <c r="N58" s="17"/>
      <c r="O58" s="17"/>
      <c r="P58" s="17"/>
      <c r="Q58" s="17"/>
      <c r="R58" s="17"/>
      <c r="S58" s="201"/>
      <c r="T58" s="201"/>
      <c r="U58" s="201"/>
      <c r="V58" s="201"/>
      <c r="W58" s="17"/>
      <c r="X58" s="17"/>
      <c r="Y58" s="17"/>
      <c r="Z58" s="17"/>
      <c r="AA58" s="17"/>
      <c r="AB58" s="17"/>
    </row>
    <row r="59">
      <c r="A59" s="17"/>
      <c r="B59" s="17"/>
      <c r="C59" s="17"/>
      <c r="D59" s="17"/>
      <c r="E59" s="17"/>
      <c r="F59" s="297"/>
      <c r="G59" s="17"/>
      <c r="H59" s="17"/>
      <c r="I59" s="17"/>
      <c r="J59" s="17"/>
      <c r="K59" s="17"/>
      <c r="L59" s="17"/>
      <c r="M59" s="17"/>
      <c r="N59" s="17"/>
      <c r="O59" s="17"/>
      <c r="P59" s="17"/>
      <c r="Q59" s="17"/>
      <c r="R59" s="17"/>
      <c r="S59" s="201"/>
      <c r="T59" s="201"/>
      <c r="U59" s="201"/>
      <c r="V59" s="201"/>
      <c r="W59" s="17"/>
      <c r="X59" s="17"/>
      <c r="Y59" s="17"/>
      <c r="Z59" s="17"/>
      <c r="AA59" s="17"/>
      <c r="AB59" s="17"/>
    </row>
    <row r="60">
      <c r="A60" s="17"/>
      <c r="B60" s="17"/>
      <c r="C60" s="17"/>
      <c r="D60" s="17"/>
      <c r="E60" s="17"/>
      <c r="F60" s="297"/>
      <c r="G60" s="17"/>
      <c r="H60" s="17"/>
      <c r="I60" s="17"/>
      <c r="J60" s="17"/>
      <c r="K60" s="17"/>
      <c r="L60" s="17"/>
      <c r="M60" s="17"/>
      <c r="N60" s="17"/>
      <c r="O60" s="17"/>
      <c r="P60" s="17"/>
      <c r="Q60" s="17"/>
      <c r="R60" s="17"/>
      <c r="S60" s="201"/>
      <c r="T60" s="201"/>
      <c r="U60" s="201"/>
      <c r="V60" s="201"/>
      <c r="W60" s="17"/>
      <c r="X60" s="17"/>
      <c r="Y60" s="17"/>
      <c r="Z60" s="17"/>
      <c r="AA60" s="17"/>
      <c r="AB60" s="17"/>
    </row>
    <row r="61">
      <c r="A61" s="17"/>
      <c r="B61" s="17"/>
      <c r="C61" s="17"/>
      <c r="D61" s="17"/>
      <c r="E61" s="17"/>
      <c r="F61" s="297"/>
      <c r="G61" s="17"/>
      <c r="H61" s="17"/>
      <c r="I61" s="17"/>
      <c r="J61" s="17"/>
      <c r="K61" s="17"/>
      <c r="L61" s="17"/>
      <c r="M61" s="17"/>
      <c r="N61" s="17"/>
      <c r="O61" s="17"/>
      <c r="P61" s="17"/>
      <c r="Q61" s="17"/>
      <c r="R61" s="17"/>
      <c r="S61" s="201"/>
      <c r="T61" s="201"/>
      <c r="U61" s="201"/>
      <c r="V61" s="201"/>
      <c r="W61" s="17"/>
      <c r="X61" s="17"/>
      <c r="Y61" s="17"/>
      <c r="Z61" s="17"/>
      <c r="AA61" s="17"/>
      <c r="AB61" s="17"/>
    </row>
    <row r="62">
      <c r="A62" s="17"/>
      <c r="B62" s="17"/>
      <c r="C62" s="17"/>
      <c r="D62" s="17"/>
      <c r="E62" s="17"/>
      <c r="F62" s="297"/>
      <c r="G62" s="17"/>
      <c r="H62" s="17"/>
      <c r="I62" s="17"/>
      <c r="J62" s="17"/>
      <c r="K62" s="17"/>
      <c r="L62" s="17"/>
      <c r="M62" s="17"/>
      <c r="N62" s="17"/>
      <c r="O62" s="17"/>
      <c r="P62" s="17"/>
      <c r="Q62" s="17"/>
      <c r="R62" s="17"/>
      <c r="S62" s="201"/>
      <c r="T62" s="201"/>
      <c r="U62" s="201"/>
      <c r="V62" s="201"/>
      <c r="W62" s="17"/>
      <c r="X62" s="17"/>
      <c r="Y62" s="17"/>
      <c r="Z62" s="17"/>
      <c r="AA62" s="17"/>
      <c r="AB62" s="17"/>
    </row>
    <row r="63">
      <c r="A63" s="17"/>
      <c r="B63" s="17"/>
      <c r="C63" s="17"/>
      <c r="D63" s="17"/>
      <c r="E63" s="17"/>
      <c r="F63" s="297"/>
      <c r="G63" s="17"/>
      <c r="H63" s="17"/>
      <c r="I63" s="17"/>
      <c r="J63" s="17"/>
      <c r="K63" s="17"/>
      <c r="L63" s="17"/>
      <c r="M63" s="17"/>
      <c r="N63" s="17"/>
      <c r="O63" s="17"/>
      <c r="P63" s="17"/>
      <c r="Q63" s="17"/>
      <c r="R63" s="17"/>
      <c r="S63" s="201"/>
      <c r="T63" s="201"/>
      <c r="U63" s="201"/>
      <c r="V63" s="201"/>
      <c r="W63" s="17"/>
      <c r="X63" s="17"/>
      <c r="Y63" s="17"/>
      <c r="Z63" s="17"/>
      <c r="AA63" s="17"/>
      <c r="AB63" s="17"/>
    </row>
    <row r="64">
      <c r="A64" s="17"/>
      <c r="B64" s="17"/>
      <c r="C64" s="17"/>
      <c r="D64" s="17"/>
      <c r="E64" s="17"/>
      <c r="F64" s="297"/>
      <c r="G64" s="17"/>
      <c r="H64" s="17"/>
      <c r="I64" s="17"/>
      <c r="J64" s="17"/>
      <c r="K64" s="17"/>
      <c r="L64" s="17"/>
      <c r="M64" s="17"/>
      <c r="N64" s="17"/>
      <c r="O64" s="17"/>
      <c r="P64" s="17"/>
      <c r="Q64" s="17"/>
      <c r="R64" s="17"/>
      <c r="S64" s="201"/>
      <c r="T64" s="201"/>
      <c r="U64" s="201"/>
      <c r="V64" s="201"/>
      <c r="W64" s="17"/>
      <c r="X64" s="17"/>
      <c r="Y64" s="17"/>
      <c r="Z64" s="17"/>
      <c r="AA64" s="17"/>
      <c r="AB64" s="17"/>
    </row>
    <row r="65">
      <c r="A65" s="17"/>
      <c r="B65" s="17"/>
      <c r="C65" s="17"/>
      <c r="D65" s="17"/>
      <c r="E65" s="17"/>
      <c r="F65" s="297"/>
      <c r="G65" s="17"/>
      <c r="H65" s="17"/>
      <c r="I65" s="17"/>
      <c r="J65" s="17"/>
      <c r="K65" s="17"/>
      <c r="L65" s="17"/>
      <c r="M65" s="17"/>
      <c r="N65" s="17"/>
      <c r="O65" s="17"/>
      <c r="P65" s="17"/>
      <c r="Q65" s="17"/>
      <c r="R65" s="17"/>
      <c r="S65" s="201"/>
      <c r="T65" s="201"/>
      <c r="U65" s="201"/>
      <c r="V65" s="201"/>
      <c r="W65" s="17"/>
      <c r="X65" s="17"/>
      <c r="Y65" s="17"/>
      <c r="Z65" s="17"/>
      <c r="AA65" s="17"/>
      <c r="AB65" s="17"/>
    </row>
    <row r="66">
      <c r="A66" s="17"/>
      <c r="B66" s="17"/>
      <c r="C66" s="17"/>
      <c r="D66" s="17"/>
      <c r="E66" s="17"/>
      <c r="F66" s="297"/>
      <c r="G66" s="17"/>
      <c r="H66" s="17"/>
      <c r="I66" s="17"/>
      <c r="J66" s="17"/>
      <c r="K66" s="17"/>
      <c r="L66" s="17"/>
      <c r="M66" s="17"/>
      <c r="N66" s="17"/>
      <c r="O66" s="17"/>
      <c r="P66" s="17"/>
      <c r="Q66" s="17"/>
      <c r="R66" s="17"/>
      <c r="S66" s="201"/>
      <c r="T66" s="201"/>
      <c r="U66" s="201"/>
      <c r="V66" s="201"/>
      <c r="W66" s="17"/>
      <c r="X66" s="17"/>
      <c r="Y66" s="17"/>
      <c r="Z66" s="17"/>
      <c r="AA66" s="17"/>
      <c r="AB66" s="17"/>
    </row>
    <row r="67">
      <c r="A67" s="17"/>
      <c r="B67" s="17"/>
      <c r="C67" s="17"/>
      <c r="D67" s="17"/>
      <c r="E67" s="17"/>
      <c r="F67" s="297"/>
      <c r="G67" s="17"/>
      <c r="H67" s="17"/>
      <c r="I67" s="17"/>
      <c r="J67" s="17"/>
      <c r="K67" s="17"/>
      <c r="L67" s="17"/>
      <c r="M67" s="17"/>
      <c r="N67" s="17"/>
      <c r="O67" s="17"/>
      <c r="P67" s="17"/>
      <c r="Q67" s="17"/>
      <c r="R67" s="17"/>
      <c r="S67" s="201"/>
      <c r="T67" s="201"/>
      <c r="U67" s="201"/>
      <c r="V67" s="201"/>
      <c r="W67" s="17"/>
      <c r="X67" s="17"/>
      <c r="Y67" s="17"/>
      <c r="Z67" s="17"/>
      <c r="AA67" s="17"/>
      <c r="AB67" s="17"/>
    </row>
    <row r="68">
      <c r="A68" s="17"/>
      <c r="B68" s="17"/>
      <c r="C68" s="17"/>
      <c r="D68" s="17"/>
      <c r="E68" s="17"/>
      <c r="F68" s="297"/>
      <c r="G68" s="17"/>
      <c r="H68" s="17"/>
      <c r="I68" s="17"/>
      <c r="J68" s="17"/>
      <c r="K68" s="17"/>
      <c r="L68" s="17"/>
      <c r="M68" s="17"/>
      <c r="N68" s="17"/>
      <c r="O68" s="17"/>
      <c r="P68" s="17"/>
      <c r="Q68" s="17"/>
      <c r="R68" s="17"/>
      <c r="S68" s="201"/>
      <c r="T68" s="201"/>
      <c r="U68" s="201"/>
      <c r="V68" s="201"/>
      <c r="W68" s="17"/>
      <c r="X68" s="17"/>
      <c r="Y68" s="17"/>
      <c r="Z68" s="17"/>
      <c r="AA68" s="17"/>
      <c r="AB68" s="17"/>
    </row>
    <row r="69">
      <c r="A69" s="17"/>
      <c r="B69" s="17"/>
      <c r="C69" s="17"/>
      <c r="D69" s="17"/>
      <c r="E69" s="17"/>
      <c r="F69" s="297"/>
      <c r="G69" s="17"/>
      <c r="H69" s="17"/>
      <c r="I69" s="17"/>
      <c r="J69" s="17"/>
      <c r="K69" s="17"/>
      <c r="L69" s="17"/>
      <c r="M69" s="17"/>
      <c r="N69" s="17"/>
      <c r="O69" s="17"/>
      <c r="P69" s="17"/>
      <c r="Q69" s="17"/>
      <c r="R69" s="17"/>
      <c r="S69" s="201"/>
      <c r="T69" s="201"/>
      <c r="U69" s="201"/>
      <c r="V69" s="201"/>
      <c r="W69" s="17"/>
      <c r="X69" s="17"/>
      <c r="Y69" s="17"/>
      <c r="Z69" s="17"/>
      <c r="AA69" s="17"/>
      <c r="AB69" s="17"/>
    </row>
    <row r="70">
      <c r="A70" s="17"/>
      <c r="B70" s="17"/>
      <c r="C70" s="17"/>
      <c r="D70" s="17"/>
      <c r="E70" s="17"/>
      <c r="F70" s="297"/>
      <c r="G70" s="17"/>
      <c r="H70" s="17"/>
      <c r="I70" s="17"/>
      <c r="J70" s="17"/>
      <c r="K70" s="17"/>
      <c r="L70" s="17"/>
      <c r="M70" s="17"/>
      <c r="N70" s="17"/>
      <c r="O70" s="17"/>
      <c r="P70" s="17"/>
      <c r="Q70" s="17"/>
      <c r="R70" s="17"/>
      <c r="S70" s="201"/>
      <c r="T70" s="201"/>
      <c r="U70" s="201"/>
      <c r="V70" s="201"/>
      <c r="W70" s="17"/>
      <c r="X70" s="17"/>
      <c r="Y70" s="17"/>
      <c r="Z70" s="17"/>
      <c r="AA70" s="17"/>
      <c r="AB70" s="17"/>
    </row>
    <row r="71">
      <c r="A71" s="17"/>
      <c r="B71" s="17"/>
      <c r="C71" s="17"/>
      <c r="D71" s="17"/>
      <c r="E71" s="17"/>
      <c r="F71" s="297"/>
      <c r="G71" s="17"/>
      <c r="H71" s="17"/>
      <c r="I71" s="17"/>
      <c r="J71" s="17"/>
      <c r="K71" s="17"/>
      <c r="L71" s="17"/>
      <c r="M71" s="17"/>
      <c r="N71" s="17"/>
      <c r="O71" s="17"/>
      <c r="P71" s="17"/>
      <c r="Q71" s="17"/>
      <c r="R71" s="17"/>
      <c r="S71" s="201"/>
      <c r="T71" s="201"/>
      <c r="U71" s="201"/>
      <c r="V71" s="201"/>
      <c r="W71" s="17"/>
      <c r="X71" s="17"/>
      <c r="Y71" s="17"/>
      <c r="Z71" s="17"/>
      <c r="AA71" s="17"/>
      <c r="AB71" s="17"/>
    </row>
    <row r="72">
      <c r="A72" s="17"/>
      <c r="B72" s="17"/>
      <c r="C72" s="17"/>
      <c r="D72" s="17"/>
      <c r="E72" s="17"/>
      <c r="F72" s="297"/>
      <c r="G72" s="17"/>
      <c r="H72" s="17"/>
      <c r="I72" s="17"/>
      <c r="J72" s="17"/>
      <c r="K72" s="17"/>
      <c r="L72" s="17"/>
      <c r="M72" s="17"/>
      <c r="N72" s="17"/>
      <c r="O72" s="17"/>
      <c r="P72" s="17"/>
      <c r="Q72" s="17"/>
      <c r="R72" s="17"/>
      <c r="S72" s="201"/>
      <c r="T72" s="201"/>
      <c r="U72" s="201"/>
      <c r="V72" s="201"/>
      <c r="W72" s="17"/>
      <c r="X72" s="17"/>
      <c r="Y72" s="17"/>
      <c r="Z72" s="17"/>
      <c r="AA72" s="17"/>
      <c r="AB72" s="17"/>
    </row>
    <row r="73">
      <c r="A73" s="17"/>
      <c r="B73" s="17"/>
      <c r="C73" s="17"/>
      <c r="D73" s="17"/>
      <c r="E73" s="17"/>
      <c r="F73" s="297"/>
      <c r="G73" s="17"/>
      <c r="H73" s="17"/>
      <c r="I73" s="17"/>
      <c r="J73" s="17"/>
      <c r="K73" s="17"/>
      <c r="L73" s="17"/>
      <c r="M73" s="17"/>
      <c r="N73" s="17"/>
      <c r="O73" s="17"/>
      <c r="P73" s="17"/>
      <c r="Q73" s="17"/>
      <c r="R73" s="17"/>
      <c r="S73" s="201"/>
      <c r="T73" s="201"/>
      <c r="U73" s="201"/>
      <c r="V73" s="201"/>
      <c r="W73" s="17"/>
      <c r="X73" s="17"/>
      <c r="Y73" s="17"/>
      <c r="Z73" s="17"/>
      <c r="AA73" s="17"/>
      <c r="AB73" s="17"/>
    </row>
    <row r="74">
      <c r="A74" s="17"/>
      <c r="B74" s="17"/>
      <c r="C74" s="17"/>
      <c r="D74" s="17"/>
      <c r="E74" s="17"/>
      <c r="F74" s="297"/>
      <c r="G74" s="17"/>
      <c r="H74" s="17"/>
      <c r="I74" s="17"/>
      <c r="J74" s="17"/>
      <c r="K74" s="17"/>
      <c r="L74" s="17"/>
      <c r="M74" s="17"/>
      <c r="N74" s="17"/>
      <c r="O74" s="17"/>
      <c r="P74" s="17"/>
      <c r="Q74" s="17"/>
      <c r="R74" s="17"/>
      <c r="S74" s="201"/>
      <c r="T74" s="201"/>
      <c r="U74" s="201"/>
      <c r="V74" s="201"/>
      <c r="W74" s="17"/>
      <c r="X74" s="17"/>
      <c r="Y74" s="17"/>
      <c r="Z74" s="17"/>
      <c r="AA74" s="17"/>
      <c r="AB74" s="17"/>
    </row>
    <row r="75">
      <c r="A75" s="17"/>
      <c r="B75" s="17"/>
      <c r="C75" s="17"/>
      <c r="D75" s="17"/>
      <c r="E75" s="17"/>
      <c r="F75" s="297"/>
      <c r="G75" s="17"/>
      <c r="H75" s="17"/>
      <c r="I75" s="17"/>
      <c r="J75" s="17"/>
      <c r="K75" s="17"/>
      <c r="L75" s="17"/>
      <c r="M75" s="17"/>
      <c r="N75" s="17"/>
      <c r="O75" s="17"/>
      <c r="P75" s="17"/>
      <c r="Q75" s="17"/>
      <c r="R75" s="17"/>
      <c r="S75" s="201"/>
      <c r="T75" s="201"/>
      <c r="U75" s="201"/>
      <c r="V75" s="201"/>
      <c r="W75" s="17"/>
      <c r="X75" s="17"/>
      <c r="Y75" s="17"/>
      <c r="Z75" s="17"/>
      <c r="AA75" s="17"/>
      <c r="AB75" s="17"/>
    </row>
    <row r="76">
      <c r="A76" s="17"/>
      <c r="B76" s="17"/>
      <c r="C76" s="17"/>
      <c r="D76" s="17"/>
      <c r="E76" s="17"/>
      <c r="F76" s="297"/>
      <c r="G76" s="17"/>
      <c r="H76" s="17"/>
      <c r="I76" s="17"/>
      <c r="J76" s="17"/>
      <c r="K76" s="17"/>
      <c r="L76" s="17"/>
      <c r="M76" s="17"/>
      <c r="N76" s="17"/>
      <c r="O76" s="17"/>
      <c r="P76" s="17"/>
      <c r="Q76" s="17"/>
      <c r="R76" s="17"/>
      <c r="S76" s="201"/>
      <c r="T76" s="201"/>
      <c r="U76" s="201"/>
      <c r="V76" s="201"/>
      <c r="W76" s="17"/>
      <c r="X76" s="17"/>
      <c r="Y76" s="17"/>
      <c r="Z76" s="17"/>
      <c r="AA76" s="17"/>
      <c r="AB76" s="17"/>
    </row>
    <row r="77">
      <c r="A77" s="17"/>
      <c r="B77" s="17"/>
      <c r="C77" s="17"/>
      <c r="D77" s="17"/>
      <c r="E77" s="17"/>
      <c r="F77" s="297"/>
      <c r="G77" s="17"/>
      <c r="H77" s="17"/>
      <c r="I77" s="17"/>
      <c r="J77" s="17"/>
      <c r="K77" s="17"/>
      <c r="L77" s="17"/>
      <c r="M77" s="17"/>
      <c r="N77" s="17"/>
      <c r="O77" s="17"/>
      <c r="P77" s="17"/>
      <c r="Q77" s="17"/>
      <c r="R77" s="17"/>
      <c r="S77" s="201"/>
      <c r="T77" s="201"/>
      <c r="U77" s="201"/>
      <c r="V77" s="201"/>
      <c r="W77" s="17"/>
      <c r="X77" s="17"/>
      <c r="Y77" s="17"/>
      <c r="Z77" s="17"/>
      <c r="AA77" s="17"/>
      <c r="AB77" s="17"/>
    </row>
    <row r="78">
      <c r="A78" s="17"/>
      <c r="B78" s="17"/>
      <c r="C78" s="17"/>
      <c r="D78" s="17"/>
      <c r="E78" s="17"/>
      <c r="F78" s="297"/>
      <c r="G78" s="17"/>
      <c r="H78" s="17"/>
      <c r="I78" s="17"/>
      <c r="J78" s="17"/>
      <c r="K78" s="17"/>
      <c r="L78" s="17"/>
      <c r="M78" s="17"/>
      <c r="N78" s="17"/>
      <c r="O78" s="17"/>
      <c r="P78" s="17"/>
      <c r="Q78" s="17"/>
      <c r="R78" s="17"/>
      <c r="S78" s="201"/>
      <c r="T78" s="201"/>
      <c r="U78" s="201"/>
      <c r="V78" s="201"/>
      <c r="W78" s="17"/>
      <c r="X78" s="17"/>
      <c r="Y78" s="17"/>
      <c r="Z78" s="17"/>
      <c r="AA78" s="17"/>
      <c r="AB78" s="17"/>
    </row>
    <row r="79">
      <c r="A79" s="17"/>
      <c r="B79" s="17"/>
      <c r="C79" s="17"/>
      <c r="D79" s="17"/>
      <c r="E79" s="17"/>
      <c r="F79" s="297"/>
      <c r="G79" s="17"/>
      <c r="H79" s="17"/>
      <c r="I79" s="17"/>
      <c r="J79" s="17"/>
      <c r="K79" s="17"/>
      <c r="L79" s="17"/>
      <c r="M79" s="17"/>
      <c r="N79" s="17"/>
      <c r="O79" s="17"/>
      <c r="P79" s="17"/>
      <c r="Q79" s="17"/>
      <c r="R79" s="17"/>
      <c r="S79" s="201"/>
      <c r="T79" s="201"/>
      <c r="U79" s="201"/>
      <c r="V79" s="201"/>
      <c r="W79" s="17"/>
      <c r="X79" s="17"/>
      <c r="Y79" s="17"/>
      <c r="Z79" s="17"/>
      <c r="AA79" s="17"/>
      <c r="AB79" s="17"/>
    </row>
    <row r="80">
      <c r="A80" s="17"/>
      <c r="B80" s="17"/>
      <c r="C80" s="17"/>
      <c r="D80" s="17"/>
      <c r="E80" s="17"/>
      <c r="F80" s="297"/>
      <c r="G80" s="17"/>
      <c r="H80" s="17"/>
      <c r="I80" s="17"/>
      <c r="J80" s="17"/>
      <c r="K80" s="17"/>
      <c r="L80" s="17"/>
      <c r="M80" s="17"/>
      <c r="N80" s="17"/>
      <c r="O80" s="17"/>
      <c r="P80" s="17"/>
      <c r="Q80" s="17"/>
      <c r="R80" s="17"/>
      <c r="S80" s="201"/>
      <c r="T80" s="201"/>
      <c r="U80" s="201"/>
      <c r="V80" s="201"/>
      <c r="W80" s="17"/>
      <c r="X80" s="17"/>
      <c r="Y80" s="17"/>
      <c r="Z80" s="17"/>
      <c r="AA80" s="17"/>
      <c r="AB80" s="17"/>
    </row>
    <row r="81">
      <c r="A81" s="17"/>
      <c r="B81" s="17"/>
      <c r="C81" s="17"/>
      <c r="D81" s="17"/>
      <c r="E81" s="17"/>
      <c r="F81" s="297"/>
      <c r="G81" s="17"/>
      <c r="H81" s="17"/>
      <c r="I81" s="17"/>
      <c r="J81" s="17"/>
      <c r="K81" s="17"/>
      <c r="L81" s="17"/>
      <c r="M81" s="17"/>
      <c r="N81" s="17"/>
      <c r="O81" s="17"/>
      <c r="P81" s="17"/>
      <c r="Q81" s="17"/>
      <c r="R81" s="17"/>
      <c r="S81" s="201"/>
      <c r="T81" s="201"/>
      <c r="U81" s="201"/>
      <c r="V81" s="201"/>
      <c r="W81" s="17"/>
      <c r="X81" s="17"/>
      <c r="Y81" s="17"/>
      <c r="Z81" s="17"/>
      <c r="AA81" s="17"/>
      <c r="AB81" s="17"/>
    </row>
    <row r="82">
      <c r="A82" s="17"/>
      <c r="B82" s="17"/>
      <c r="C82" s="17"/>
      <c r="D82" s="17"/>
      <c r="E82" s="17"/>
      <c r="F82" s="297"/>
      <c r="G82" s="17"/>
      <c r="H82" s="17"/>
      <c r="I82" s="17"/>
      <c r="J82" s="17"/>
      <c r="K82" s="17"/>
      <c r="L82" s="17"/>
      <c r="M82" s="17"/>
      <c r="N82" s="17"/>
      <c r="O82" s="17"/>
      <c r="P82" s="17"/>
      <c r="Q82" s="17"/>
      <c r="R82" s="17"/>
      <c r="S82" s="201"/>
      <c r="T82" s="201"/>
      <c r="U82" s="201"/>
      <c r="V82" s="201"/>
      <c r="W82" s="17"/>
      <c r="X82" s="17"/>
      <c r="Y82" s="17"/>
      <c r="Z82" s="17"/>
      <c r="AA82" s="17"/>
      <c r="AB82" s="17"/>
    </row>
    <row r="83">
      <c r="A83" s="17"/>
      <c r="B83" s="17"/>
      <c r="C83" s="17"/>
      <c r="D83" s="17"/>
      <c r="E83" s="17"/>
      <c r="F83" s="297"/>
      <c r="G83" s="17"/>
      <c r="H83" s="17"/>
      <c r="I83" s="17"/>
      <c r="J83" s="17"/>
      <c r="K83" s="17"/>
      <c r="L83" s="17"/>
      <c r="M83" s="17"/>
      <c r="N83" s="17"/>
      <c r="O83" s="17"/>
      <c r="P83" s="17"/>
      <c r="Q83" s="17"/>
      <c r="R83" s="17"/>
      <c r="S83" s="201"/>
      <c r="T83" s="201"/>
      <c r="U83" s="201"/>
      <c r="V83" s="201"/>
      <c r="W83" s="17"/>
      <c r="X83" s="17"/>
      <c r="Y83" s="17"/>
      <c r="Z83" s="17"/>
      <c r="AA83" s="17"/>
      <c r="AB83" s="17"/>
    </row>
    <row r="84">
      <c r="A84" s="17"/>
      <c r="B84" s="17"/>
      <c r="C84" s="17"/>
      <c r="D84" s="17"/>
      <c r="E84" s="17"/>
      <c r="F84" s="297"/>
      <c r="G84" s="17"/>
      <c r="H84" s="17"/>
      <c r="I84" s="17"/>
      <c r="J84" s="17"/>
      <c r="K84" s="17"/>
      <c r="L84" s="17"/>
      <c r="M84" s="17"/>
      <c r="N84" s="17"/>
      <c r="O84" s="17"/>
      <c r="P84" s="17"/>
      <c r="Q84" s="17"/>
      <c r="R84" s="17"/>
      <c r="S84" s="201"/>
      <c r="T84" s="201"/>
      <c r="U84" s="201"/>
      <c r="V84" s="201"/>
      <c r="W84" s="17"/>
      <c r="X84" s="17"/>
      <c r="Y84" s="17"/>
      <c r="Z84" s="17"/>
      <c r="AA84" s="17"/>
      <c r="AB84" s="17"/>
    </row>
    <row r="85">
      <c r="A85" s="17"/>
      <c r="B85" s="17"/>
      <c r="C85" s="17"/>
      <c r="D85" s="17"/>
      <c r="E85" s="17"/>
      <c r="F85" s="297"/>
      <c r="G85" s="17"/>
      <c r="H85" s="17"/>
      <c r="I85" s="17"/>
      <c r="J85" s="17"/>
      <c r="K85" s="17"/>
      <c r="L85" s="17"/>
      <c r="M85" s="17"/>
      <c r="N85" s="17"/>
      <c r="O85" s="17"/>
      <c r="P85" s="17"/>
      <c r="Q85" s="17"/>
      <c r="R85" s="17"/>
      <c r="S85" s="201"/>
      <c r="T85" s="201"/>
      <c r="U85" s="201"/>
      <c r="V85" s="201"/>
      <c r="W85" s="17"/>
      <c r="X85" s="17"/>
      <c r="Y85" s="17"/>
      <c r="Z85" s="17"/>
      <c r="AA85" s="17"/>
      <c r="AB85" s="17"/>
    </row>
    <row r="86">
      <c r="A86" s="17"/>
      <c r="B86" s="17"/>
      <c r="C86" s="17"/>
      <c r="D86" s="17"/>
      <c r="E86" s="17"/>
      <c r="F86" s="297"/>
      <c r="G86" s="17"/>
      <c r="H86" s="17"/>
      <c r="I86" s="17"/>
      <c r="J86" s="17"/>
      <c r="K86" s="17"/>
      <c r="L86" s="17"/>
      <c r="M86" s="17"/>
      <c r="N86" s="17"/>
      <c r="O86" s="17"/>
      <c r="P86" s="17"/>
      <c r="Q86" s="17"/>
      <c r="R86" s="17"/>
      <c r="S86" s="201"/>
      <c r="T86" s="201"/>
      <c r="U86" s="201"/>
      <c r="V86" s="201"/>
      <c r="W86" s="17"/>
      <c r="X86" s="17"/>
      <c r="Y86" s="17"/>
      <c r="Z86" s="17"/>
      <c r="AA86" s="17"/>
      <c r="AB86" s="17"/>
    </row>
    <row r="87">
      <c r="A87" s="17"/>
      <c r="B87" s="17"/>
      <c r="C87" s="17"/>
      <c r="D87" s="17"/>
      <c r="E87" s="17"/>
      <c r="F87" s="297"/>
      <c r="G87" s="17"/>
      <c r="H87" s="17"/>
      <c r="I87" s="17"/>
      <c r="J87" s="17"/>
      <c r="K87" s="17"/>
      <c r="L87" s="17"/>
      <c r="M87" s="17"/>
      <c r="N87" s="17"/>
      <c r="O87" s="17"/>
      <c r="P87" s="17"/>
      <c r="Q87" s="17"/>
      <c r="R87" s="17"/>
      <c r="S87" s="201"/>
      <c r="T87" s="201"/>
      <c r="U87" s="201"/>
      <c r="V87" s="201"/>
      <c r="W87" s="17"/>
      <c r="X87" s="17"/>
      <c r="Y87" s="17"/>
      <c r="Z87" s="17"/>
      <c r="AA87" s="17"/>
      <c r="AB87" s="17"/>
    </row>
    <row r="88">
      <c r="A88" s="17"/>
      <c r="B88" s="17"/>
      <c r="C88" s="17"/>
      <c r="D88" s="17"/>
      <c r="E88" s="17"/>
      <c r="F88" s="297"/>
      <c r="G88" s="17"/>
      <c r="H88" s="17"/>
      <c r="I88" s="17"/>
      <c r="J88" s="17"/>
      <c r="K88" s="17"/>
      <c r="L88" s="17"/>
      <c r="M88" s="17"/>
      <c r="N88" s="17"/>
      <c r="O88" s="17"/>
      <c r="P88" s="17"/>
      <c r="Q88" s="17"/>
      <c r="R88" s="17"/>
      <c r="S88" s="201"/>
      <c r="T88" s="201"/>
      <c r="U88" s="201"/>
      <c r="V88" s="201"/>
      <c r="W88" s="17"/>
      <c r="X88" s="17"/>
      <c r="Y88" s="17"/>
      <c r="Z88" s="17"/>
      <c r="AA88" s="17"/>
      <c r="AB88" s="17"/>
    </row>
    <row r="89">
      <c r="A89" s="17"/>
      <c r="B89" s="17"/>
      <c r="C89" s="17"/>
      <c r="D89" s="17"/>
      <c r="E89" s="17"/>
      <c r="F89" s="297"/>
      <c r="G89" s="17"/>
      <c r="H89" s="17"/>
      <c r="I89" s="17"/>
      <c r="J89" s="17"/>
      <c r="K89" s="17"/>
      <c r="L89" s="17"/>
      <c r="M89" s="17"/>
      <c r="N89" s="17"/>
      <c r="O89" s="17"/>
      <c r="P89" s="17"/>
      <c r="Q89" s="17"/>
      <c r="R89" s="17"/>
      <c r="S89" s="201"/>
      <c r="T89" s="201"/>
      <c r="U89" s="201"/>
      <c r="V89" s="201"/>
      <c r="W89" s="17"/>
      <c r="X89" s="17"/>
      <c r="Y89" s="17"/>
      <c r="Z89" s="17"/>
      <c r="AA89" s="17"/>
      <c r="AB89" s="17"/>
    </row>
    <row r="90">
      <c r="A90" s="17"/>
      <c r="B90" s="17"/>
      <c r="C90" s="17"/>
      <c r="D90" s="17"/>
      <c r="E90" s="17"/>
      <c r="F90" s="297"/>
      <c r="G90" s="17"/>
      <c r="H90" s="17"/>
      <c r="I90" s="17"/>
      <c r="J90" s="17"/>
      <c r="K90" s="17"/>
      <c r="L90" s="17"/>
      <c r="M90" s="17"/>
      <c r="N90" s="17"/>
      <c r="O90" s="17"/>
      <c r="P90" s="17"/>
      <c r="Q90" s="17"/>
      <c r="R90" s="17"/>
      <c r="S90" s="201"/>
      <c r="T90" s="201"/>
      <c r="U90" s="201"/>
      <c r="V90" s="201"/>
      <c r="W90" s="17"/>
      <c r="X90" s="17"/>
      <c r="Y90" s="17"/>
      <c r="Z90" s="17"/>
      <c r="AA90" s="17"/>
      <c r="AB90" s="17"/>
    </row>
    <row r="91">
      <c r="A91" s="17"/>
      <c r="B91" s="17"/>
      <c r="C91" s="17"/>
      <c r="D91" s="17"/>
      <c r="E91" s="17"/>
      <c r="F91" s="297"/>
      <c r="G91" s="17"/>
      <c r="H91" s="17"/>
      <c r="I91" s="17"/>
      <c r="J91" s="17"/>
      <c r="K91" s="17"/>
      <c r="L91" s="17"/>
      <c r="M91" s="17"/>
      <c r="N91" s="17"/>
      <c r="O91" s="17"/>
      <c r="P91" s="17"/>
      <c r="Q91" s="17"/>
      <c r="R91" s="17"/>
      <c r="S91" s="201"/>
      <c r="T91" s="201"/>
      <c r="U91" s="201"/>
      <c r="V91" s="201"/>
      <c r="W91" s="17"/>
      <c r="X91" s="17"/>
      <c r="Y91" s="17"/>
      <c r="Z91" s="17"/>
      <c r="AA91" s="17"/>
      <c r="AB91" s="17"/>
    </row>
    <row r="92">
      <c r="A92" s="17"/>
      <c r="B92" s="17"/>
      <c r="C92" s="17"/>
      <c r="D92" s="17"/>
      <c r="E92" s="17"/>
      <c r="F92" s="297"/>
      <c r="G92" s="17"/>
      <c r="H92" s="17"/>
      <c r="I92" s="17"/>
      <c r="J92" s="17"/>
      <c r="K92" s="17"/>
      <c r="L92" s="17"/>
      <c r="M92" s="17"/>
      <c r="N92" s="17"/>
      <c r="O92" s="17"/>
      <c r="P92" s="17"/>
      <c r="Q92" s="17"/>
      <c r="R92" s="17"/>
      <c r="S92" s="201"/>
      <c r="T92" s="201"/>
      <c r="U92" s="201"/>
      <c r="V92" s="201"/>
      <c r="W92" s="17"/>
      <c r="X92" s="17"/>
      <c r="Y92" s="17"/>
      <c r="Z92" s="17"/>
      <c r="AA92" s="17"/>
      <c r="AB92" s="17"/>
    </row>
    <row r="93">
      <c r="A93" s="17"/>
      <c r="B93" s="17"/>
      <c r="C93" s="17"/>
      <c r="D93" s="17"/>
      <c r="E93" s="17"/>
      <c r="F93" s="297"/>
      <c r="G93" s="17"/>
      <c r="H93" s="17"/>
      <c r="I93" s="17"/>
      <c r="J93" s="17"/>
      <c r="K93" s="17"/>
      <c r="L93" s="17"/>
      <c r="M93" s="17"/>
      <c r="N93" s="17"/>
      <c r="O93" s="17"/>
      <c r="P93" s="17"/>
      <c r="Q93" s="17"/>
      <c r="R93" s="17"/>
      <c r="S93" s="201"/>
      <c r="T93" s="201"/>
      <c r="U93" s="201"/>
      <c r="V93" s="201"/>
      <c r="W93" s="17"/>
      <c r="X93" s="17"/>
      <c r="Y93" s="17"/>
      <c r="Z93" s="17"/>
      <c r="AA93" s="17"/>
      <c r="AB93" s="17"/>
    </row>
    <row r="94">
      <c r="A94" s="17"/>
      <c r="B94" s="17"/>
      <c r="C94" s="17"/>
      <c r="D94" s="17"/>
      <c r="E94" s="17"/>
      <c r="F94" s="297"/>
      <c r="G94" s="17"/>
      <c r="H94" s="17"/>
      <c r="I94" s="17"/>
      <c r="J94" s="17"/>
      <c r="K94" s="17"/>
      <c r="L94" s="17"/>
      <c r="M94" s="17"/>
      <c r="N94" s="17"/>
      <c r="O94" s="17"/>
      <c r="P94" s="17"/>
      <c r="Q94" s="17"/>
      <c r="R94" s="17"/>
      <c r="S94" s="201"/>
      <c r="T94" s="201"/>
      <c r="U94" s="201"/>
      <c r="V94" s="201"/>
      <c r="W94" s="17"/>
      <c r="X94" s="17"/>
      <c r="Y94" s="17"/>
      <c r="Z94" s="17"/>
      <c r="AA94" s="17"/>
      <c r="AB94" s="17"/>
    </row>
    <row r="95">
      <c r="A95" s="17"/>
      <c r="B95" s="17"/>
      <c r="C95" s="17"/>
      <c r="D95" s="17"/>
      <c r="E95" s="17"/>
      <c r="F95" s="297"/>
      <c r="G95" s="17"/>
      <c r="H95" s="17"/>
      <c r="I95" s="17"/>
      <c r="J95" s="17"/>
      <c r="K95" s="17"/>
      <c r="L95" s="17"/>
      <c r="M95" s="17"/>
      <c r="N95" s="17"/>
      <c r="O95" s="17"/>
      <c r="P95" s="17"/>
      <c r="Q95" s="17"/>
      <c r="R95" s="17"/>
      <c r="S95" s="201"/>
      <c r="T95" s="201"/>
      <c r="U95" s="201"/>
      <c r="V95" s="201"/>
      <c r="W95" s="17"/>
      <c r="X95" s="17"/>
      <c r="Y95" s="17"/>
      <c r="Z95" s="17"/>
      <c r="AA95" s="17"/>
      <c r="AB95" s="17"/>
    </row>
    <row r="96">
      <c r="A96" s="17"/>
      <c r="B96" s="17"/>
      <c r="C96" s="17"/>
      <c r="D96" s="17"/>
      <c r="E96" s="17"/>
      <c r="F96" s="297"/>
      <c r="G96" s="17"/>
      <c r="H96" s="17"/>
      <c r="I96" s="17"/>
      <c r="J96" s="17"/>
      <c r="K96" s="17"/>
      <c r="L96" s="17"/>
      <c r="M96" s="17"/>
      <c r="N96" s="17"/>
      <c r="O96" s="17"/>
      <c r="P96" s="17"/>
      <c r="Q96" s="17"/>
      <c r="R96" s="17"/>
      <c r="S96" s="201"/>
      <c r="T96" s="201"/>
      <c r="U96" s="201"/>
      <c r="V96" s="201"/>
      <c r="W96" s="17"/>
      <c r="X96" s="17"/>
      <c r="Y96" s="17"/>
      <c r="Z96" s="17"/>
      <c r="AA96" s="17"/>
      <c r="AB96" s="17"/>
    </row>
    <row r="97">
      <c r="A97" s="17"/>
      <c r="B97" s="17"/>
      <c r="C97" s="17"/>
      <c r="D97" s="17"/>
      <c r="E97" s="17"/>
      <c r="F97" s="297"/>
      <c r="G97" s="17"/>
      <c r="H97" s="17"/>
      <c r="I97" s="17"/>
      <c r="J97" s="17"/>
      <c r="K97" s="17"/>
      <c r="L97" s="17"/>
      <c r="M97" s="17"/>
      <c r="N97" s="17"/>
      <c r="O97" s="17"/>
      <c r="P97" s="17"/>
      <c r="Q97" s="17"/>
      <c r="R97" s="17"/>
      <c r="S97" s="201"/>
      <c r="T97" s="201"/>
      <c r="U97" s="201"/>
      <c r="V97" s="201"/>
      <c r="W97" s="17"/>
      <c r="X97" s="17"/>
      <c r="Y97" s="17"/>
      <c r="Z97" s="17"/>
      <c r="AA97" s="17"/>
      <c r="AB97" s="17"/>
    </row>
    <row r="98">
      <c r="A98" s="17"/>
      <c r="B98" s="17"/>
      <c r="C98" s="17"/>
      <c r="D98" s="17"/>
      <c r="E98" s="17"/>
      <c r="F98" s="297"/>
      <c r="G98" s="17"/>
      <c r="H98" s="17"/>
      <c r="I98" s="17"/>
      <c r="J98" s="17"/>
      <c r="K98" s="17"/>
      <c r="L98" s="17"/>
      <c r="M98" s="17"/>
      <c r="N98" s="17"/>
      <c r="O98" s="17"/>
      <c r="P98" s="17"/>
      <c r="Q98" s="17"/>
      <c r="R98" s="17"/>
      <c r="S98" s="201"/>
      <c r="T98" s="201"/>
      <c r="U98" s="201"/>
      <c r="V98" s="201"/>
      <c r="W98" s="17"/>
      <c r="X98" s="17"/>
      <c r="Y98" s="17"/>
      <c r="Z98" s="17"/>
      <c r="AA98" s="17"/>
      <c r="AB98" s="17"/>
    </row>
    <row r="99">
      <c r="A99" s="17"/>
      <c r="B99" s="17"/>
      <c r="C99" s="17"/>
      <c r="D99" s="17"/>
      <c r="E99" s="17"/>
      <c r="F99" s="297"/>
      <c r="G99" s="17"/>
      <c r="H99" s="17"/>
      <c r="I99" s="17"/>
      <c r="J99" s="17"/>
      <c r="K99" s="17"/>
      <c r="L99" s="17"/>
      <c r="M99" s="17"/>
      <c r="N99" s="17"/>
      <c r="O99" s="17"/>
      <c r="P99" s="17"/>
      <c r="Q99" s="17"/>
      <c r="R99" s="17"/>
      <c r="S99" s="201"/>
      <c r="T99" s="201"/>
      <c r="U99" s="201"/>
      <c r="V99" s="201"/>
      <c r="W99" s="17"/>
      <c r="X99" s="17"/>
      <c r="Y99" s="17"/>
      <c r="Z99" s="17"/>
      <c r="AA99" s="17"/>
      <c r="AB99" s="17"/>
    </row>
    <row r="100">
      <c r="A100" s="17"/>
      <c r="B100" s="17"/>
      <c r="C100" s="17"/>
      <c r="D100" s="17"/>
      <c r="E100" s="17"/>
      <c r="F100" s="297"/>
      <c r="G100" s="17"/>
      <c r="H100" s="17"/>
      <c r="I100" s="17"/>
      <c r="J100" s="17"/>
      <c r="K100" s="17"/>
      <c r="L100" s="17"/>
      <c r="M100" s="17"/>
      <c r="N100" s="17"/>
      <c r="O100" s="17"/>
      <c r="P100" s="17"/>
      <c r="Q100" s="17"/>
      <c r="R100" s="17"/>
      <c r="S100" s="201"/>
      <c r="T100" s="201"/>
      <c r="U100" s="201"/>
      <c r="V100" s="201"/>
      <c r="W100" s="17"/>
      <c r="X100" s="17"/>
      <c r="Y100" s="17"/>
      <c r="Z100" s="17"/>
      <c r="AA100" s="17"/>
      <c r="AB100" s="17"/>
    </row>
    <row r="101">
      <c r="A101" s="17"/>
      <c r="B101" s="17"/>
      <c r="C101" s="17"/>
      <c r="D101" s="17"/>
      <c r="E101" s="17"/>
      <c r="F101" s="297"/>
      <c r="G101" s="17"/>
      <c r="H101" s="17"/>
      <c r="I101" s="17"/>
      <c r="J101" s="17"/>
      <c r="K101" s="17"/>
      <c r="L101" s="17"/>
      <c r="M101" s="17"/>
      <c r="N101" s="17"/>
      <c r="O101" s="17"/>
      <c r="P101" s="17"/>
      <c r="Q101" s="17"/>
      <c r="R101" s="17"/>
      <c r="S101" s="201"/>
      <c r="T101" s="201"/>
      <c r="U101" s="201"/>
      <c r="V101" s="201"/>
      <c r="W101" s="17"/>
      <c r="X101" s="17"/>
      <c r="Y101" s="17"/>
      <c r="Z101" s="17"/>
      <c r="AA101" s="17"/>
      <c r="AB101" s="17"/>
    </row>
    <row r="102">
      <c r="A102" s="17"/>
      <c r="B102" s="17"/>
      <c r="C102" s="17"/>
      <c r="D102" s="17"/>
      <c r="E102" s="17"/>
      <c r="F102" s="297"/>
      <c r="G102" s="17"/>
      <c r="H102" s="17"/>
      <c r="I102" s="17"/>
      <c r="J102" s="17"/>
      <c r="K102" s="17"/>
      <c r="L102" s="17"/>
      <c r="M102" s="17"/>
      <c r="N102" s="17"/>
      <c r="O102" s="17"/>
      <c r="P102" s="17"/>
      <c r="Q102" s="17"/>
      <c r="R102" s="17"/>
      <c r="S102" s="201"/>
      <c r="T102" s="201"/>
      <c r="U102" s="201"/>
      <c r="V102" s="201"/>
      <c r="W102" s="17"/>
      <c r="X102" s="17"/>
      <c r="Y102" s="17"/>
      <c r="Z102" s="17"/>
      <c r="AA102" s="17"/>
      <c r="AB102" s="17"/>
    </row>
    <row r="103">
      <c r="A103" s="17"/>
      <c r="B103" s="17"/>
      <c r="C103" s="17"/>
      <c r="D103" s="17"/>
      <c r="E103" s="17"/>
      <c r="F103" s="297"/>
      <c r="G103" s="17"/>
      <c r="H103" s="17"/>
      <c r="I103" s="17"/>
      <c r="J103" s="17"/>
      <c r="K103" s="17"/>
      <c r="L103" s="17"/>
      <c r="M103" s="17"/>
      <c r="N103" s="17"/>
      <c r="O103" s="17"/>
      <c r="P103" s="17"/>
      <c r="Q103" s="17"/>
      <c r="R103" s="17"/>
      <c r="S103" s="201"/>
      <c r="T103" s="201"/>
      <c r="U103" s="201"/>
      <c r="V103" s="201"/>
      <c r="W103" s="17"/>
      <c r="X103" s="17"/>
      <c r="Y103" s="17"/>
      <c r="Z103" s="17"/>
      <c r="AA103" s="17"/>
      <c r="AB103" s="17"/>
    </row>
    <row r="104">
      <c r="A104" s="17"/>
      <c r="B104" s="17"/>
      <c r="C104" s="17"/>
      <c r="D104" s="17"/>
      <c r="E104" s="17"/>
      <c r="F104" s="297"/>
      <c r="G104" s="17"/>
      <c r="H104" s="17"/>
      <c r="I104" s="17"/>
      <c r="J104" s="17"/>
      <c r="K104" s="17"/>
      <c r="L104" s="17"/>
      <c r="M104" s="17"/>
      <c r="N104" s="17"/>
      <c r="O104" s="17"/>
      <c r="P104" s="17"/>
      <c r="Q104" s="17"/>
      <c r="R104" s="17"/>
      <c r="S104" s="201"/>
      <c r="T104" s="201"/>
      <c r="U104" s="201"/>
      <c r="V104" s="201"/>
      <c r="W104" s="17"/>
      <c r="X104" s="17"/>
      <c r="Y104" s="17"/>
      <c r="Z104" s="17"/>
      <c r="AA104" s="17"/>
      <c r="AB104" s="17"/>
    </row>
    <row r="105">
      <c r="A105" s="17"/>
      <c r="B105" s="17"/>
      <c r="C105" s="17"/>
      <c r="D105" s="17"/>
      <c r="E105" s="17"/>
      <c r="F105" s="297"/>
      <c r="G105" s="17"/>
      <c r="H105" s="17"/>
      <c r="I105" s="17"/>
      <c r="J105" s="17"/>
      <c r="K105" s="17"/>
      <c r="L105" s="17"/>
      <c r="M105" s="17"/>
      <c r="N105" s="17"/>
      <c r="O105" s="17"/>
      <c r="P105" s="17"/>
      <c r="Q105" s="17"/>
      <c r="R105" s="17"/>
      <c r="S105" s="201"/>
      <c r="T105" s="201"/>
      <c r="U105" s="201"/>
      <c r="V105" s="201"/>
      <c r="W105" s="17"/>
      <c r="X105" s="17"/>
      <c r="Y105" s="17"/>
      <c r="Z105" s="17"/>
      <c r="AA105" s="17"/>
      <c r="AB105" s="17"/>
    </row>
    <row r="106">
      <c r="A106" s="17"/>
      <c r="B106" s="17"/>
      <c r="C106" s="17"/>
      <c r="D106" s="17"/>
      <c r="E106" s="17"/>
      <c r="F106" s="297"/>
      <c r="G106" s="17"/>
      <c r="H106" s="17"/>
      <c r="I106" s="17"/>
      <c r="J106" s="17"/>
      <c r="K106" s="17"/>
      <c r="L106" s="17"/>
      <c r="M106" s="17"/>
      <c r="N106" s="17"/>
      <c r="O106" s="17"/>
      <c r="P106" s="17"/>
      <c r="Q106" s="17"/>
      <c r="R106" s="17"/>
      <c r="S106" s="201"/>
      <c r="T106" s="201"/>
      <c r="U106" s="201"/>
      <c r="V106" s="201"/>
      <c r="W106" s="17"/>
      <c r="X106" s="17"/>
      <c r="Y106" s="17"/>
      <c r="Z106" s="17"/>
      <c r="AA106" s="17"/>
      <c r="AB106" s="17"/>
    </row>
    <row r="107">
      <c r="A107" s="17"/>
      <c r="B107" s="17"/>
      <c r="C107" s="17"/>
      <c r="D107" s="17"/>
      <c r="E107" s="17"/>
      <c r="F107" s="297"/>
      <c r="G107" s="17"/>
      <c r="H107" s="17"/>
      <c r="I107" s="17"/>
      <c r="J107" s="17"/>
      <c r="K107" s="17"/>
      <c r="L107" s="17"/>
      <c r="M107" s="17"/>
      <c r="N107" s="17"/>
      <c r="O107" s="17"/>
      <c r="P107" s="17"/>
      <c r="Q107" s="17"/>
      <c r="R107" s="17"/>
      <c r="S107" s="201"/>
      <c r="T107" s="201"/>
      <c r="U107" s="201"/>
      <c r="V107" s="201"/>
      <c r="W107" s="17"/>
      <c r="X107" s="17"/>
      <c r="Y107" s="17"/>
      <c r="Z107" s="17"/>
      <c r="AA107" s="17"/>
      <c r="AB107" s="17"/>
    </row>
    <row r="108">
      <c r="A108" s="17"/>
      <c r="B108" s="17"/>
      <c r="C108" s="17"/>
      <c r="D108" s="17"/>
      <c r="E108" s="17"/>
      <c r="F108" s="297"/>
      <c r="G108" s="17"/>
      <c r="H108" s="17"/>
      <c r="I108" s="17"/>
      <c r="J108" s="17"/>
      <c r="K108" s="17"/>
      <c r="L108" s="17"/>
      <c r="M108" s="17"/>
      <c r="N108" s="17"/>
      <c r="O108" s="17"/>
      <c r="P108" s="17"/>
      <c r="Q108" s="17"/>
      <c r="R108" s="17"/>
      <c r="S108" s="201"/>
      <c r="T108" s="201"/>
      <c r="U108" s="201"/>
      <c r="V108" s="201"/>
      <c r="W108" s="17"/>
      <c r="X108" s="17"/>
      <c r="Y108" s="17"/>
      <c r="Z108" s="17"/>
      <c r="AA108" s="17"/>
      <c r="AB108" s="17"/>
    </row>
    <row r="109">
      <c r="A109" s="17"/>
      <c r="B109" s="17"/>
      <c r="C109" s="17"/>
      <c r="D109" s="17"/>
      <c r="E109" s="17"/>
      <c r="F109" s="297"/>
      <c r="G109" s="17"/>
      <c r="H109" s="17"/>
      <c r="I109" s="17"/>
      <c r="J109" s="17"/>
      <c r="K109" s="17"/>
      <c r="L109" s="17"/>
      <c r="M109" s="17"/>
      <c r="N109" s="17"/>
      <c r="O109" s="17"/>
      <c r="P109" s="17"/>
      <c r="Q109" s="17"/>
      <c r="R109" s="17"/>
      <c r="S109" s="201"/>
      <c r="T109" s="201"/>
      <c r="U109" s="201"/>
      <c r="V109" s="201"/>
      <c r="W109" s="17"/>
      <c r="X109" s="17"/>
      <c r="Y109" s="17"/>
      <c r="Z109" s="17"/>
      <c r="AA109" s="17"/>
      <c r="AB109" s="17"/>
    </row>
    <row r="110">
      <c r="A110" s="17"/>
      <c r="B110" s="17"/>
      <c r="C110" s="17"/>
      <c r="D110" s="17"/>
      <c r="E110" s="17"/>
      <c r="F110" s="297"/>
      <c r="G110" s="17"/>
      <c r="H110" s="17"/>
      <c r="I110" s="17"/>
      <c r="J110" s="17"/>
      <c r="K110" s="17"/>
      <c r="L110" s="17"/>
      <c r="M110" s="17"/>
      <c r="N110" s="17"/>
      <c r="O110" s="17"/>
      <c r="P110" s="17"/>
      <c r="Q110" s="17"/>
      <c r="R110" s="17"/>
      <c r="S110" s="201"/>
      <c r="T110" s="201"/>
      <c r="U110" s="201"/>
      <c r="V110" s="201"/>
      <c r="W110" s="17"/>
      <c r="X110" s="17"/>
      <c r="Y110" s="17"/>
      <c r="Z110" s="17"/>
      <c r="AA110" s="17"/>
      <c r="AB110" s="17"/>
    </row>
    <row r="111">
      <c r="A111" s="17"/>
      <c r="B111" s="17"/>
      <c r="C111" s="17"/>
      <c r="D111" s="17"/>
      <c r="E111" s="17"/>
      <c r="F111" s="297"/>
      <c r="G111" s="17"/>
      <c r="H111" s="17"/>
      <c r="I111" s="17"/>
      <c r="J111" s="17"/>
      <c r="K111" s="17"/>
      <c r="L111" s="17"/>
      <c r="M111" s="17"/>
      <c r="N111" s="17"/>
      <c r="O111" s="17"/>
      <c r="P111" s="17"/>
      <c r="Q111" s="17"/>
      <c r="R111" s="17"/>
      <c r="S111" s="201"/>
      <c r="T111" s="201"/>
      <c r="U111" s="201"/>
      <c r="V111" s="201"/>
      <c r="W111" s="17"/>
      <c r="X111" s="17"/>
      <c r="Y111" s="17"/>
      <c r="Z111" s="17"/>
      <c r="AA111" s="17"/>
      <c r="AB111" s="17"/>
    </row>
    <row r="112">
      <c r="A112" s="17"/>
      <c r="B112" s="17"/>
      <c r="C112" s="17"/>
      <c r="D112" s="17"/>
      <c r="E112" s="17"/>
      <c r="F112" s="297"/>
      <c r="G112" s="17"/>
      <c r="H112" s="17"/>
      <c r="I112" s="17"/>
      <c r="J112" s="17"/>
      <c r="K112" s="17"/>
      <c r="L112" s="17"/>
      <c r="M112" s="17"/>
      <c r="N112" s="17"/>
      <c r="O112" s="17"/>
      <c r="P112" s="17"/>
      <c r="Q112" s="17"/>
      <c r="R112" s="17"/>
      <c r="S112" s="201"/>
      <c r="T112" s="201"/>
      <c r="U112" s="201"/>
      <c r="V112" s="201"/>
      <c r="W112" s="17"/>
      <c r="X112" s="17"/>
      <c r="Y112" s="17"/>
      <c r="Z112" s="17"/>
      <c r="AA112" s="17"/>
      <c r="AB112" s="17"/>
    </row>
    <row r="113">
      <c r="A113" s="17"/>
      <c r="B113" s="17"/>
      <c r="C113" s="17"/>
      <c r="D113" s="17"/>
      <c r="E113" s="17"/>
      <c r="F113" s="297"/>
      <c r="G113" s="17"/>
      <c r="H113" s="17"/>
      <c r="I113" s="17"/>
      <c r="J113" s="17"/>
      <c r="K113" s="17"/>
      <c r="L113" s="17"/>
      <c r="M113" s="17"/>
      <c r="N113" s="17"/>
      <c r="O113" s="17"/>
      <c r="P113" s="17"/>
      <c r="Q113" s="17"/>
      <c r="R113" s="17"/>
      <c r="S113" s="201"/>
      <c r="T113" s="201"/>
      <c r="U113" s="201"/>
      <c r="V113" s="201"/>
      <c r="W113" s="17"/>
      <c r="X113" s="17"/>
      <c r="Y113" s="17"/>
      <c r="Z113" s="17"/>
      <c r="AA113" s="17"/>
      <c r="AB113" s="17"/>
    </row>
    <row r="114">
      <c r="A114" s="17"/>
      <c r="B114" s="17"/>
      <c r="C114" s="17"/>
      <c r="D114" s="17"/>
      <c r="E114" s="17"/>
      <c r="F114" s="297"/>
      <c r="G114" s="17"/>
      <c r="H114" s="17"/>
      <c r="I114" s="17"/>
      <c r="J114" s="17"/>
      <c r="K114" s="17"/>
      <c r="L114" s="17"/>
      <c r="M114" s="17"/>
      <c r="N114" s="17"/>
      <c r="O114" s="17"/>
      <c r="P114" s="17"/>
      <c r="Q114" s="17"/>
      <c r="R114" s="17"/>
      <c r="S114" s="201"/>
      <c r="T114" s="201"/>
      <c r="U114" s="201"/>
      <c r="V114" s="201"/>
      <c r="W114" s="17"/>
      <c r="X114" s="17"/>
      <c r="Y114" s="17"/>
      <c r="Z114" s="17"/>
      <c r="AA114" s="17"/>
      <c r="AB114" s="17"/>
    </row>
    <row r="115">
      <c r="A115" s="17"/>
      <c r="B115" s="17"/>
      <c r="C115" s="17"/>
      <c r="D115" s="17"/>
      <c r="E115" s="17"/>
      <c r="F115" s="297"/>
      <c r="G115" s="17"/>
      <c r="H115" s="17"/>
      <c r="I115" s="17"/>
      <c r="J115" s="17"/>
      <c r="K115" s="17"/>
      <c r="L115" s="17"/>
      <c r="M115" s="17"/>
      <c r="N115" s="17"/>
      <c r="O115" s="17"/>
      <c r="P115" s="17"/>
      <c r="Q115" s="17"/>
      <c r="R115" s="17"/>
      <c r="S115" s="201"/>
      <c r="T115" s="201"/>
      <c r="U115" s="201"/>
      <c r="V115" s="201"/>
      <c r="W115" s="17"/>
      <c r="X115" s="17"/>
      <c r="Y115" s="17"/>
      <c r="Z115" s="17"/>
      <c r="AA115" s="17"/>
      <c r="AB115" s="17"/>
    </row>
    <row r="116">
      <c r="A116" s="17"/>
      <c r="B116" s="17"/>
      <c r="C116" s="17"/>
      <c r="D116" s="17"/>
      <c r="E116" s="17"/>
      <c r="F116" s="297"/>
      <c r="G116" s="17"/>
      <c r="H116" s="17"/>
      <c r="I116" s="17"/>
      <c r="J116" s="17"/>
      <c r="K116" s="17"/>
      <c r="L116" s="17"/>
      <c r="M116" s="17"/>
      <c r="N116" s="17"/>
      <c r="O116" s="17"/>
      <c r="P116" s="17"/>
      <c r="Q116" s="17"/>
      <c r="R116" s="17"/>
      <c r="S116" s="201"/>
      <c r="T116" s="201"/>
      <c r="U116" s="201"/>
      <c r="V116" s="201"/>
      <c r="W116" s="17"/>
      <c r="X116" s="17"/>
      <c r="Y116" s="17"/>
      <c r="Z116" s="17"/>
      <c r="AA116" s="17"/>
      <c r="AB116" s="17"/>
    </row>
    <row r="117">
      <c r="A117" s="17"/>
      <c r="B117" s="17"/>
      <c r="C117" s="17"/>
      <c r="D117" s="17"/>
      <c r="E117" s="17"/>
      <c r="F117" s="297"/>
      <c r="G117" s="17"/>
      <c r="H117" s="17"/>
      <c r="I117" s="17"/>
      <c r="J117" s="17"/>
      <c r="K117" s="17"/>
      <c r="L117" s="17"/>
      <c r="M117" s="17"/>
      <c r="N117" s="17"/>
      <c r="O117" s="17"/>
      <c r="P117" s="17"/>
      <c r="Q117" s="17"/>
      <c r="R117" s="17"/>
      <c r="S117" s="201"/>
      <c r="T117" s="201"/>
      <c r="U117" s="201"/>
      <c r="V117" s="201"/>
      <c r="W117" s="17"/>
      <c r="X117" s="17"/>
      <c r="Y117" s="17"/>
      <c r="Z117" s="17"/>
      <c r="AA117" s="17"/>
      <c r="AB117" s="17"/>
    </row>
    <row r="118">
      <c r="A118" s="17"/>
      <c r="B118" s="17"/>
      <c r="C118" s="17"/>
      <c r="D118" s="17"/>
      <c r="E118" s="17"/>
      <c r="F118" s="297"/>
      <c r="G118" s="17"/>
      <c r="H118" s="17"/>
      <c r="I118" s="17"/>
      <c r="J118" s="17"/>
      <c r="K118" s="17"/>
      <c r="L118" s="17"/>
      <c r="M118" s="17"/>
      <c r="N118" s="17"/>
      <c r="O118" s="17"/>
      <c r="P118" s="17"/>
      <c r="Q118" s="17"/>
      <c r="R118" s="17"/>
      <c r="S118" s="201"/>
      <c r="T118" s="201"/>
      <c r="U118" s="201"/>
      <c r="V118" s="201"/>
      <c r="W118" s="17"/>
      <c r="X118" s="17"/>
      <c r="Y118" s="17"/>
      <c r="Z118" s="17"/>
      <c r="AA118" s="17"/>
      <c r="AB118" s="17"/>
    </row>
    <row r="119">
      <c r="A119" s="17"/>
      <c r="B119" s="17"/>
      <c r="C119" s="17"/>
      <c r="D119" s="17"/>
      <c r="E119" s="17"/>
      <c r="F119" s="297"/>
      <c r="G119" s="17"/>
      <c r="H119" s="17"/>
      <c r="I119" s="17"/>
      <c r="J119" s="17"/>
      <c r="K119" s="17"/>
      <c r="L119" s="17"/>
      <c r="M119" s="17"/>
      <c r="N119" s="17"/>
      <c r="O119" s="17"/>
      <c r="P119" s="17"/>
      <c r="Q119" s="17"/>
      <c r="R119" s="17"/>
      <c r="S119" s="201"/>
      <c r="T119" s="201"/>
      <c r="U119" s="201"/>
      <c r="V119" s="201"/>
      <c r="W119" s="17"/>
      <c r="X119" s="17"/>
      <c r="Y119" s="17"/>
      <c r="Z119" s="17"/>
      <c r="AA119" s="17"/>
      <c r="AB119" s="17"/>
    </row>
    <row r="120">
      <c r="A120" s="17"/>
      <c r="B120" s="17"/>
      <c r="C120" s="17"/>
      <c r="D120" s="17"/>
      <c r="E120" s="17"/>
      <c r="F120" s="297"/>
      <c r="G120" s="17"/>
      <c r="H120" s="17"/>
      <c r="I120" s="17"/>
      <c r="J120" s="17"/>
      <c r="K120" s="17"/>
      <c r="L120" s="17"/>
      <c r="M120" s="17"/>
      <c r="N120" s="17"/>
      <c r="O120" s="17"/>
      <c r="P120" s="17"/>
      <c r="Q120" s="17"/>
      <c r="R120" s="17"/>
      <c r="S120" s="201"/>
      <c r="T120" s="201"/>
      <c r="U120" s="201"/>
      <c r="V120" s="201"/>
      <c r="W120" s="17"/>
      <c r="X120" s="17"/>
      <c r="Y120" s="17"/>
      <c r="Z120" s="17"/>
      <c r="AA120" s="17"/>
      <c r="AB120" s="17"/>
    </row>
    <row r="121">
      <c r="A121" s="17"/>
      <c r="B121" s="17"/>
      <c r="C121" s="17"/>
      <c r="D121" s="17"/>
      <c r="E121" s="17"/>
      <c r="F121" s="297"/>
      <c r="G121" s="17"/>
      <c r="H121" s="17"/>
      <c r="I121" s="17"/>
      <c r="J121" s="17"/>
      <c r="K121" s="17"/>
      <c r="L121" s="17"/>
      <c r="M121" s="17"/>
      <c r="N121" s="17"/>
      <c r="O121" s="17"/>
      <c r="P121" s="17"/>
      <c r="Q121" s="17"/>
      <c r="R121" s="17"/>
      <c r="S121" s="201"/>
      <c r="T121" s="201"/>
      <c r="U121" s="201"/>
      <c r="V121" s="201"/>
      <c r="W121" s="17"/>
      <c r="X121" s="17"/>
      <c r="Y121" s="17"/>
      <c r="Z121" s="17"/>
      <c r="AA121" s="17"/>
      <c r="AB121" s="17"/>
    </row>
    <row r="122">
      <c r="A122" s="17"/>
      <c r="B122" s="17"/>
      <c r="C122" s="17"/>
      <c r="D122" s="17"/>
      <c r="E122" s="17"/>
      <c r="F122" s="297"/>
      <c r="G122" s="17"/>
      <c r="H122" s="17"/>
      <c r="I122" s="17"/>
      <c r="J122" s="17"/>
      <c r="K122" s="17"/>
      <c r="L122" s="17"/>
      <c r="M122" s="17"/>
      <c r="N122" s="17"/>
      <c r="O122" s="17"/>
      <c r="P122" s="17"/>
      <c r="Q122" s="17"/>
      <c r="R122" s="17"/>
      <c r="S122" s="201"/>
      <c r="T122" s="201"/>
      <c r="U122" s="201"/>
      <c r="V122" s="201"/>
      <c r="W122" s="17"/>
      <c r="X122" s="17"/>
      <c r="Y122" s="17"/>
      <c r="Z122" s="17"/>
      <c r="AA122" s="17"/>
      <c r="AB122" s="17"/>
    </row>
    <row r="123">
      <c r="A123" s="17"/>
      <c r="B123" s="17"/>
      <c r="C123" s="17"/>
      <c r="D123" s="17"/>
      <c r="E123" s="17"/>
      <c r="F123" s="297"/>
      <c r="G123" s="17"/>
      <c r="H123" s="17"/>
      <c r="I123" s="17"/>
      <c r="J123" s="17"/>
      <c r="K123" s="17"/>
      <c r="L123" s="17"/>
      <c r="M123" s="17"/>
      <c r="N123" s="17"/>
      <c r="O123" s="17"/>
      <c r="P123" s="17"/>
      <c r="Q123" s="17"/>
      <c r="R123" s="17"/>
      <c r="S123" s="201"/>
      <c r="T123" s="201"/>
      <c r="U123" s="201"/>
      <c r="V123" s="201"/>
      <c r="W123" s="17"/>
      <c r="X123" s="17"/>
      <c r="Y123" s="17"/>
      <c r="Z123" s="17"/>
      <c r="AA123" s="17"/>
      <c r="AB123" s="17"/>
    </row>
    <row r="124">
      <c r="A124" s="17"/>
      <c r="B124" s="17"/>
      <c r="C124" s="17"/>
      <c r="D124" s="17"/>
      <c r="E124" s="17"/>
      <c r="F124" s="297"/>
      <c r="G124" s="17"/>
      <c r="H124" s="17"/>
      <c r="I124" s="17"/>
      <c r="J124" s="17"/>
      <c r="K124" s="17"/>
      <c r="L124" s="17"/>
      <c r="M124" s="17"/>
      <c r="N124" s="17"/>
      <c r="O124" s="17"/>
      <c r="P124" s="17"/>
      <c r="Q124" s="17"/>
      <c r="R124" s="17"/>
      <c r="S124" s="201"/>
      <c r="T124" s="201"/>
      <c r="U124" s="201"/>
      <c r="V124" s="201"/>
      <c r="W124" s="17"/>
      <c r="X124" s="17"/>
      <c r="Y124" s="17"/>
      <c r="Z124" s="17"/>
      <c r="AA124" s="17"/>
      <c r="AB124" s="17"/>
    </row>
    <row r="125">
      <c r="A125" s="17"/>
      <c r="B125" s="17"/>
      <c r="C125" s="17"/>
      <c r="D125" s="17"/>
      <c r="E125" s="17"/>
      <c r="F125" s="297"/>
      <c r="G125" s="17"/>
      <c r="H125" s="17"/>
      <c r="I125" s="17"/>
      <c r="J125" s="17"/>
      <c r="K125" s="17"/>
      <c r="L125" s="17"/>
      <c r="M125" s="17"/>
      <c r="N125" s="17"/>
      <c r="O125" s="17"/>
      <c r="P125" s="17"/>
      <c r="Q125" s="17"/>
      <c r="R125" s="17"/>
      <c r="S125" s="201"/>
      <c r="T125" s="201"/>
      <c r="U125" s="201"/>
      <c r="V125" s="201"/>
      <c r="W125" s="17"/>
      <c r="X125" s="17"/>
      <c r="Y125" s="17"/>
      <c r="Z125" s="17"/>
      <c r="AA125" s="17"/>
      <c r="AB125" s="17"/>
    </row>
    <row r="126">
      <c r="A126" s="17"/>
      <c r="B126" s="17"/>
      <c r="C126" s="17"/>
      <c r="D126" s="17"/>
      <c r="E126" s="17"/>
      <c r="F126" s="297"/>
      <c r="G126" s="17"/>
      <c r="H126" s="17"/>
      <c r="I126" s="17"/>
      <c r="J126" s="17"/>
      <c r="K126" s="17"/>
      <c r="L126" s="17"/>
      <c r="M126" s="17"/>
      <c r="N126" s="17"/>
      <c r="O126" s="17"/>
      <c r="P126" s="17"/>
      <c r="Q126" s="17"/>
      <c r="R126" s="17"/>
      <c r="S126" s="201"/>
      <c r="T126" s="201"/>
      <c r="U126" s="201"/>
      <c r="V126" s="201"/>
      <c r="W126" s="17"/>
      <c r="X126" s="17"/>
      <c r="Y126" s="17"/>
      <c r="Z126" s="17"/>
      <c r="AA126" s="17"/>
      <c r="AB126" s="17"/>
    </row>
    <row r="127">
      <c r="A127" s="17"/>
      <c r="B127" s="17"/>
      <c r="C127" s="17"/>
      <c r="D127" s="17"/>
      <c r="E127" s="17"/>
      <c r="F127" s="297"/>
      <c r="G127" s="17"/>
      <c r="H127" s="17"/>
      <c r="I127" s="17"/>
      <c r="J127" s="17"/>
      <c r="K127" s="17"/>
      <c r="L127" s="17"/>
      <c r="M127" s="17"/>
      <c r="N127" s="17"/>
      <c r="O127" s="17"/>
      <c r="P127" s="17"/>
      <c r="Q127" s="17"/>
      <c r="R127" s="17"/>
      <c r="S127" s="201"/>
      <c r="T127" s="201"/>
      <c r="U127" s="201"/>
      <c r="V127" s="201"/>
      <c r="W127" s="17"/>
      <c r="X127" s="17"/>
      <c r="Y127" s="17"/>
      <c r="Z127" s="17"/>
      <c r="AA127" s="17"/>
      <c r="AB127" s="17"/>
    </row>
    <row r="128">
      <c r="A128" s="17"/>
      <c r="B128" s="17"/>
      <c r="C128" s="17"/>
      <c r="D128" s="17"/>
      <c r="E128" s="17"/>
      <c r="F128" s="297"/>
      <c r="G128" s="17"/>
      <c r="H128" s="17"/>
      <c r="I128" s="17"/>
      <c r="J128" s="17"/>
      <c r="K128" s="17"/>
      <c r="L128" s="17"/>
      <c r="M128" s="17"/>
      <c r="N128" s="17"/>
      <c r="O128" s="17"/>
      <c r="P128" s="17"/>
      <c r="Q128" s="17"/>
      <c r="R128" s="17"/>
      <c r="S128" s="201"/>
      <c r="T128" s="201"/>
      <c r="U128" s="201"/>
      <c r="V128" s="201"/>
      <c r="W128" s="17"/>
      <c r="X128" s="17"/>
      <c r="Y128" s="17"/>
      <c r="Z128" s="17"/>
      <c r="AA128" s="17"/>
      <c r="AB128" s="17"/>
    </row>
    <row r="129">
      <c r="A129" s="17"/>
      <c r="B129" s="17"/>
      <c r="C129" s="17"/>
      <c r="D129" s="17"/>
      <c r="E129" s="17"/>
      <c r="F129" s="297"/>
      <c r="G129" s="17"/>
      <c r="H129" s="17"/>
      <c r="I129" s="17"/>
      <c r="J129" s="17"/>
      <c r="K129" s="17"/>
      <c r="L129" s="17"/>
      <c r="M129" s="17"/>
      <c r="N129" s="17"/>
      <c r="O129" s="17"/>
      <c r="P129" s="17"/>
      <c r="Q129" s="17"/>
      <c r="R129" s="17"/>
      <c r="S129" s="201"/>
      <c r="T129" s="201"/>
      <c r="U129" s="201"/>
      <c r="V129" s="201"/>
      <c r="W129" s="17"/>
      <c r="X129" s="17"/>
      <c r="Y129" s="17"/>
      <c r="Z129" s="17"/>
      <c r="AA129" s="17"/>
      <c r="AB129" s="17"/>
    </row>
    <row r="130">
      <c r="A130" s="17"/>
      <c r="B130" s="17"/>
      <c r="C130" s="17"/>
      <c r="D130" s="17"/>
      <c r="E130" s="17"/>
      <c r="F130" s="297"/>
      <c r="G130" s="17"/>
      <c r="H130" s="17"/>
      <c r="I130" s="17"/>
      <c r="J130" s="17"/>
      <c r="K130" s="17"/>
      <c r="L130" s="17"/>
      <c r="M130" s="17"/>
      <c r="N130" s="17"/>
      <c r="O130" s="17"/>
      <c r="P130" s="17"/>
      <c r="Q130" s="17"/>
      <c r="R130" s="17"/>
      <c r="S130" s="201"/>
      <c r="T130" s="201"/>
      <c r="U130" s="201"/>
      <c r="V130" s="201"/>
      <c r="W130" s="17"/>
      <c r="X130" s="17"/>
      <c r="Y130" s="17"/>
      <c r="Z130" s="17"/>
      <c r="AA130" s="17"/>
      <c r="AB130" s="17"/>
    </row>
    <row r="131">
      <c r="A131" s="17"/>
      <c r="B131" s="17"/>
      <c r="C131" s="17"/>
      <c r="D131" s="17"/>
      <c r="E131" s="17"/>
      <c r="F131" s="297"/>
      <c r="G131" s="17"/>
      <c r="H131" s="17"/>
      <c r="I131" s="17"/>
      <c r="J131" s="17"/>
      <c r="K131" s="17"/>
      <c r="L131" s="17"/>
      <c r="M131" s="17"/>
      <c r="N131" s="17"/>
      <c r="O131" s="17"/>
      <c r="P131" s="17"/>
      <c r="Q131" s="17"/>
      <c r="R131" s="17"/>
      <c r="S131" s="201"/>
      <c r="T131" s="201"/>
      <c r="U131" s="201"/>
      <c r="V131" s="201"/>
      <c r="W131" s="17"/>
      <c r="X131" s="17"/>
      <c r="Y131" s="17"/>
      <c r="Z131" s="17"/>
      <c r="AA131" s="17"/>
      <c r="AB131" s="17"/>
    </row>
    <row r="132">
      <c r="A132" s="17"/>
      <c r="B132" s="17"/>
      <c r="C132" s="17"/>
      <c r="D132" s="17"/>
      <c r="E132" s="17"/>
      <c r="F132" s="297"/>
      <c r="G132" s="17"/>
      <c r="H132" s="17"/>
      <c r="I132" s="17"/>
      <c r="J132" s="17"/>
      <c r="K132" s="17"/>
      <c r="L132" s="17"/>
      <c r="M132" s="17"/>
      <c r="N132" s="17"/>
      <c r="O132" s="17"/>
      <c r="P132" s="17"/>
      <c r="Q132" s="17"/>
      <c r="R132" s="17"/>
      <c r="S132" s="201"/>
      <c r="T132" s="201"/>
      <c r="U132" s="201"/>
      <c r="V132" s="201"/>
      <c r="W132" s="17"/>
      <c r="X132" s="17"/>
      <c r="Y132" s="17"/>
      <c r="Z132" s="17"/>
      <c r="AA132" s="17"/>
      <c r="AB132" s="17"/>
    </row>
    <row r="133">
      <c r="A133" s="17"/>
      <c r="B133" s="17"/>
      <c r="C133" s="17"/>
      <c r="D133" s="17"/>
      <c r="E133" s="17"/>
      <c r="F133" s="297"/>
      <c r="G133" s="17"/>
      <c r="H133" s="17"/>
      <c r="I133" s="17"/>
      <c r="J133" s="17"/>
      <c r="K133" s="17"/>
      <c r="L133" s="17"/>
      <c r="M133" s="17"/>
      <c r="N133" s="17"/>
      <c r="O133" s="17"/>
      <c r="P133" s="17"/>
      <c r="Q133" s="17"/>
      <c r="R133" s="17"/>
      <c r="S133" s="201"/>
      <c r="T133" s="201"/>
      <c r="U133" s="201"/>
      <c r="V133" s="201"/>
      <c r="W133" s="17"/>
      <c r="X133" s="17"/>
      <c r="Y133" s="17"/>
      <c r="Z133" s="17"/>
      <c r="AA133" s="17"/>
      <c r="AB133" s="17"/>
    </row>
    <row r="134">
      <c r="A134" s="17"/>
      <c r="B134" s="17"/>
      <c r="C134" s="17"/>
      <c r="D134" s="17"/>
      <c r="E134" s="17"/>
      <c r="F134" s="297"/>
      <c r="G134" s="17"/>
      <c r="H134" s="17"/>
      <c r="I134" s="17"/>
      <c r="J134" s="17"/>
      <c r="K134" s="17"/>
      <c r="L134" s="17"/>
      <c r="M134" s="17"/>
      <c r="N134" s="17"/>
      <c r="O134" s="17"/>
      <c r="P134" s="17"/>
      <c r="Q134" s="17"/>
      <c r="R134" s="17"/>
      <c r="S134" s="201"/>
      <c r="T134" s="201"/>
      <c r="U134" s="201"/>
      <c r="V134" s="201"/>
      <c r="W134" s="17"/>
      <c r="X134" s="17"/>
      <c r="Y134" s="17"/>
      <c r="Z134" s="17"/>
      <c r="AA134" s="17"/>
      <c r="AB134" s="17"/>
    </row>
    <row r="135">
      <c r="A135" s="17"/>
      <c r="B135" s="17"/>
      <c r="C135" s="17"/>
      <c r="D135" s="17"/>
      <c r="E135" s="17"/>
      <c r="F135" s="297"/>
      <c r="G135" s="17"/>
      <c r="H135" s="17"/>
      <c r="I135" s="17"/>
      <c r="J135" s="17"/>
      <c r="K135" s="17"/>
      <c r="L135" s="17"/>
      <c r="M135" s="17"/>
      <c r="N135" s="17"/>
      <c r="O135" s="17"/>
      <c r="P135" s="17"/>
      <c r="Q135" s="17"/>
      <c r="R135" s="17"/>
      <c r="S135" s="201"/>
      <c r="T135" s="201"/>
      <c r="U135" s="201"/>
      <c r="V135" s="201"/>
      <c r="W135" s="17"/>
      <c r="X135" s="17"/>
      <c r="Y135" s="17"/>
      <c r="Z135" s="17"/>
      <c r="AA135" s="17"/>
      <c r="AB135" s="17"/>
    </row>
    <row r="136">
      <c r="A136" s="17"/>
      <c r="B136" s="17"/>
      <c r="C136" s="17"/>
      <c r="D136" s="17"/>
      <c r="E136" s="17"/>
      <c r="F136" s="297"/>
      <c r="G136" s="17"/>
      <c r="H136" s="17"/>
      <c r="I136" s="17"/>
      <c r="J136" s="17"/>
      <c r="K136" s="17"/>
      <c r="L136" s="17"/>
      <c r="M136" s="17"/>
      <c r="N136" s="17"/>
      <c r="O136" s="17"/>
      <c r="P136" s="17"/>
      <c r="Q136" s="17"/>
      <c r="R136" s="17"/>
      <c r="S136" s="201"/>
      <c r="T136" s="201"/>
      <c r="U136" s="201"/>
      <c r="V136" s="201"/>
      <c r="W136" s="17"/>
      <c r="X136" s="17"/>
      <c r="Y136" s="17"/>
      <c r="Z136" s="17"/>
      <c r="AA136" s="17"/>
      <c r="AB136" s="17"/>
    </row>
    <row r="137">
      <c r="A137" s="17"/>
      <c r="B137" s="17"/>
      <c r="C137" s="17"/>
      <c r="D137" s="17"/>
      <c r="E137" s="17"/>
      <c r="F137" s="297"/>
      <c r="G137" s="17"/>
      <c r="H137" s="17"/>
      <c r="I137" s="17"/>
      <c r="J137" s="17"/>
      <c r="K137" s="17"/>
      <c r="L137" s="17"/>
      <c r="M137" s="17"/>
      <c r="N137" s="17"/>
      <c r="O137" s="17"/>
      <c r="P137" s="17"/>
      <c r="Q137" s="17"/>
      <c r="R137" s="17"/>
      <c r="S137" s="201"/>
      <c r="T137" s="201"/>
      <c r="U137" s="201"/>
      <c r="V137" s="201"/>
      <c r="W137" s="17"/>
      <c r="X137" s="17"/>
      <c r="Y137" s="17"/>
      <c r="Z137" s="17"/>
      <c r="AA137" s="17"/>
      <c r="AB137" s="17"/>
    </row>
    <row r="138">
      <c r="A138" s="17"/>
      <c r="B138" s="17"/>
      <c r="C138" s="17"/>
      <c r="D138" s="17"/>
      <c r="E138" s="17"/>
      <c r="F138" s="297"/>
      <c r="G138" s="17"/>
      <c r="H138" s="17"/>
      <c r="I138" s="17"/>
      <c r="J138" s="17"/>
      <c r="K138" s="17"/>
      <c r="L138" s="17"/>
      <c r="M138" s="17"/>
      <c r="N138" s="17"/>
      <c r="O138" s="17"/>
      <c r="P138" s="17"/>
      <c r="Q138" s="17"/>
      <c r="R138" s="17"/>
      <c r="S138" s="201"/>
      <c r="T138" s="201"/>
      <c r="U138" s="201"/>
      <c r="V138" s="201"/>
      <c r="W138" s="17"/>
      <c r="X138" s="17"/>
      <c r="Y138" s="17"/>
      <c r="Z138" s="17"/>
      <c r="AA138" s="17"/>
      <c r="AB138" s="17"/>
    </row>
    <row r="139">
      <c r="A139" s="17"/>
      <c r="B139" s="17"/>
      <c r="C139" s="17"/>
      <c r="D139" s="17"/>
      <c r="E139" s="17"/>
      <c r="F139" s="297"/>
      <c r="G139" s="17"/>
      <c r="H139" s="17"/>
      <c r="I139" s="17"/>
      <c r="J139" s="17"/>
      <c r="K139" s="17"/>
      <c r="L139" s="17"/>
      <c r="M139" s="17"/>
      <c r="N139" s="17"/>
      <c r="O139" s="17"/>
      <c r="P139" s="17"/>
      <c r="Q139" s="17"/>
      <c r="R139" s="17"/>
      <c r="S139" s="201"/>
      <c r="T139" s="201"/>
      <c r="U139" s="201"/>
      <c r="V139" s="201"/>
      <c r="W139" s="17"/>
      <c r="X139" s="17"/>
      <c r="Y139" s="17"/>
      <c r="Z139" s="17"/>
      <c r="AA139" s="17"/>
      <c r="AB139" s="17"/>
    </row>
    <row r="140">
      <c r="A140" s="17"/>
      <c r="B140" s="17"/>
      <c r="C140" s="17"/>
      <c r="D140" s="17"/>
      <c r="E140" s="17"/>
      <c r="F140" s="297"/>
      <c r="G140" s="17"/>
      <c r="H140" s="17"/>
      <c r="I140" s="17"/>
      <c r="J140" s="17"/>
      <c r="K140" s="17"/>
      <c r="L140" s="17"/>
      <c r="M140" s="17"/>
      <c r="N140" s="17"/>
      <c r="O140" s="17"/>
      <c r="P140" s="17"/>
      <c r="Q140" s="17"/>
      <c r="R140" s="17"/>
      <c r="S140" s="201"/>
      <c r="T140" s="201"/>
      <c r="U140" s="201"/>
      <c r="V140" s="201"/>
      <c r="W140" s="17"/>
      <c r="X140" s="17"/>
      <c r="Y140" s="17"/>
      <c r="Z140" s="17"/>
      <c r="AA140" s="17"/>
      <c r="AB140" s="17"/>
    </row>
    <row r="141">
      <c r="A141" s="17"/>
      <c r="B141" s="17"/>
      <c r="C141" s="17"/>
      <c r="D141" s="17"/>
      <c r="E141" s="17"/>
      <c r="F141" s="297"/>
      <c r="G141" s="17"/>
      <c r="H141" s="17"/>
      <c r="I141" s="17"/>
      <c r="J141" s="17"/>
      <c r="K141" s="17"/>
      <c r="L141" s="17"/>
      <c r="M141" s="17"/>
      <c r="N141" s="17"/>
      <c r="O141" s="17"/>
      <c r="P141" s="17"/>
      <c r="Q141" s="17"/>
      <c r="R141" s="17"/>
      <c r="S141" s="201"/>
      <c r="T141" s="201"/>
      <c r="U141" s="201"/>
      <c r="V141" s="201"/>
      <c r="W141" s="17"/>
      <c r="X141" s="17"/>
      <c r="Y141" s="17"/>
      <c r="Z141" s="17"/>
      <c r="AA141" s="17"/>
      <c r="AB141" s="17"/>
    </row>
    <row r="142">
      <c r="A142" s="17"/>
      <c r="B142" s="17"/>
      <c r="C142" s="17"/>
      <c r="D142" s="17"/>
      <c r="E142" s="17"/>
      <c r="F142" s="297"/>
      <c r="G142" s="17"/>
      <c r="H142" s="17"/>
      <c r="I142" s="17"/>
      <c r="J142" s="17"/>
      <c r="K142" s="17"/>
      <c r="L142" s="17"/>
      <c r="M142" s="17"/>
      <c r="N142" s="17"/>
      <c r="O142" s="17"/>
      <c r="P142" s="17"/>
      <c r="Q142" s="17"/>
      <c r="R142" s="17"/>
      <c r="S142" s="201"/>
      <c r="T142" s="201"/>
      <c r="U142" s="201"/>
      <c r="V142" s="201"/>
      <c r="W142" s="17"/>
      <c r="X142" s="17"/>
      <c r="Y142" s="17"/>
      <c r="Z142" s="17"/>
      <c r="AA142" s="17"/>
      <c r="AB142" s="17"/>
    </row>
    <row r="143">
      <c r="A143" s="17"/>
      <c r="B143" s="17"/>
      <c r="C143" s="17"/>
      <c r="D143" s="17"/>
      <c r="E143" s="17"/>
      <c r="F143" s="297"/>
      <c r="G143" s="17"/>
      <c r="H143" s="17"/>
      <c r="I143" s="17"/>
      <c r="J143" s="17"/>
      <c r="K143" s="17"/>
      <c r="L143" s="17"/>
      <c r="M143" s="17"/>
      <c r="N143" s="17"/>
      <c r="O143" s="17"/>
      <c r="P143" s="17"/>
      <c r="Q143" s="17"/>
      <c r="R143" s="17"/>
      <c r="S143" s="201"/>
      <c r="T143" s="201"/>
      <c r="U143" s="201"/>
      <c r="V143" s="201"/>
      <c r="W143" s="17"/>
      <c r="X143" s="17"/>
      <c r="Y143" s="17"/>
      <c r="Z143" s="17"/>
      <c r="AA143" s="17"/>
      <c r="AB143" s="17"/>
    </row>
    <row r="144">
      <c r="A144" s="17"/>
      <c r="B144" s="17"/>
      <c r="C144" s="17"/>
      <c r="D144" s="17"/>
      <c r="E144" s="17"/>
      <c r="F144" s="297"/>
      <c r="G144" s="17"/>
      <c r="H144" s="17"/>
      <c r="I144" s="17"/>
      <c r="J144" s="17"/>
      <c r="K144" s="17"/>
      <c r="L144" s="17"/>
      <c r="M144" s="17"/>
      <c r="N144" s="17"/>
      <c r="O144" s="17"/>
      <c r="P144" s="17"/>
      <c r="Q144" s="17"/>
      <c r="R144" s="17"/>
      <c r="S144" s="201"/>
      <c r="T144" s="201"/>
      <c r="U144" s="201"/>
      <c r="V144" s="201"/>
      <c r="W144" s="17"/>
      <c r="X144" s="17"/>
      <c r="Y144" s="17"/>
      <c r="Z144" s="17"/>
      <c r="AA144" s="17"/>
      <c r="AB144" s="17"/>
    </row>
    <row r="145">
      <c r="A145" s="17"/>
      <c r="B145" s="17"/>
      <c r="C145" s="17"/>
      <c r="D145" s="17"/>
      <c r="E145" s="17"/>
      <c r="F145" s="297"/>
      <c r="G145" s="17"/>
      <c r="H145" s="17"/>
      <c r="I145" s="17"/>
      <c r="J145" s="17"/>
      <c r="K145" s="17"/>
      <c r="L145" s="17"/>
      <c r="M145" s="17"/>
      <c r="N145" s="17"/>
      <c r="O145" s="17"/>
      <c r="P145" s="17"/>
      <c r="Q145" s="17"/>
      <c r="R145" s="17"/>
      <c r="S145" s="201"/>
      <c r="T145" s="201"/>
      <c r="U145" s="201"/>
      <c r="V145" s="201"/>
      <c r="W145" s="17"/>
      <c r="X145" s="17"/>
      <c r="Y145" s="17"/>
      <c r="Z145" s="17"/>
      <c r="AA145" s="17"/>
      <c r="AB145" s="17"/>
    </row>
    <row r="146">
      <c r="A146" s="17"/>
      <c r="B146" s="17"/>
      <c r="C146" s="17"/>
      <c r="D146" s="17"/>
      <c r="E146" s="17"/>
      <c r="F146" s="297"/>
      <c r="G146" s="17"/>
      <c r="H146" s="17"/>
      <c r="I146" s="17"/>
      <c r="J146" s="17"/>
      <c r="K146" s="17"/>
      <c r="L146" s="17"/>
      <c r="M146" s="17"/>
      <c r="N146" s="17"/>
      <c r="O146" s="17"/>
      <c r="P146" s="17"/>
      <c r="Q146" s="17"/>
      <c r="R146" s="17"/>
      <c r="S146" s="201"/>
      <c r="T146" s="201"/>
      <c r="U146" s="201"/>
      <c r="V146" s="201"/>
      <c r="W146" s="17"/>
      <c r="X146" s="17"/>
      <c r="Y146" s="17"/>
      <c r="Z146" s="17"/>
      <c r="AA146" s="17"/>
      <c r="AB146" s="17"/>
    </row>
    <row r="147">
      <c r="A147" s="17"/>
      <c r="B147" s="17"/>
      <c r="C147" s="17"/>
      <c r="D147" s="17"/>
      <c r="E147" s="17"/>
      <c r="F147" s="297"/>
      <c r="G147" s="17"/>
      <c r="H147" s="17"/>
      <c r="I147" s="17"/>
      <c r="J147" s="17"/>
      <c r="K147" s="17"/>
      <c r="L147" s="17"/>
      <c r="M147" s="17"/>
      <c r="N147" s="17"/>
      <c r="O147" s="17"/>
      <c r="P147" s="17"/>
      <c r="Q147" s="17"/>
      <c r="R147" s="17"/>
      <c r="S147" s="201"/>
      <c r="T147" s="201"/>
      <c r="U147" s="201"/>
      <c r="V147" s="201"/>
      <c r="W147" s="17"/>
      <c r="X147" s="17"/>
      <c r="Y147" s="17"/>
      <c r="Z147" s="17"/>
      <c r="AA147" s="17"/>
      <c r="AB147" s="17"/>
    </row>
    <row r="148">
      <c r="A148" s="17"/>
      <c r="B148" s="17"/>
      <c r="C148" s="17"/>
      <c r="D148" s="17"/>
      <c r="E148" s="17"/>
      <c r="F148" s="297"/>
      <c r="G148" s="17"/>
      <c r="H148" s="17"/>
      <c r="I148" s="17"/>
      <c r="J148" s="17"/>
      <c r="K148" s="17"/>
      <c r="L148" s="17"/>
      <c r="M148" s="17"/>
      <c r="N148" s="17"/>
      <c r="O148" s="17"/>
      <c r="P148" s="17"/>
      <c r="Q148" s="17"/>
      <c r="R148" s="17"/>
      <c r="S148" s="201"/>
      <c r="T148" s="201"/>
      <c r="U148" s="201"/>
      <c r="V148" s="201"/>
      <c r="W148" s="17"/>
      <c r="X148" s="17"/>
      <c r="Y148" s="17"/>
      <c r="Z148" s="17"/>
      <c r="AA148" s="17"/>
      <c r="AB148" s="17"/>
    </row>
    <row r="149">
      <c r="A149" s="17"/>
      <c r="B149" s="17"/>
      <c r="C149" s="17"/>
      <c r="D149" s="17"/>
      <c r="E149" s="17"/>
      <c r="F149" s="297"/>
      <c r="G149" s="17"/>
      <c r="H149" s="17"/>
      <c r="I149" s="17"/>
      <c r="J149" s="17"/>
      <c r="K149" s="17"/>
      <c r="L149" s="17"/>
      <c r="M149" s="17"/>
      <c r="N149" s="17"/>
      <c r="O149" s="17"/>
      <c r="P149" s="17"/>
      <c r="Q149" s="17"/>
      <c r="R149" s="17"/>
      <c r="S149" s="201"/>
      <c r="T149" s="201"/>
      <c r="U149" s="201"/>
      <c r="V149" s="201"/>
      <c r="W149" s="17"/>
      <c r="X149" s="17"/>
      <c r="Y149" s="17"/>
      <c r="Z149" s="17"/>
      <c r="AA149" s="17"/>
      <c r="AB149" s="17"/>
    </row>
    <row r="150">
      <c r="A150" s="17"/>
      <c r="B150" s="17"/>
      <c r="C150" s="17"/>
      <c r="D150" s="17"/>
      <c r="E150" s="17"/>
      <c r="F150" s="297"/>
      <c r="G150" s="17"/>
      <c r="H150" s="17"/>
      <c r="I150" s="17"/>
      <c r="J150" s="17"/>
      <c r="K150" s="17"/>
      <c r="L150" s="17"/>
      <c r="M150" s="17"/>
      <c r="N150" s="17"/>
      <c r="O150" s="17"/>
      <c r="P150" s="17"/>
      <c r="Q150" s="17"/>
      <c r="R150" s="17"/>
      <c r="S150" s="201"/>
      <c r="T150" s="201"/>
      <c r="U150" s="201"/>
      <c r="V150" s="201"/>
      <c r="W150" s="17"/>
      <c r="X150" s="17"/>
      <c r="Y150" s="17"/>
      <c r="Z150" s="17"/>
      <c r="AA150" s="17"/>
      <c r="AB150" s="17"/>
    </row>
    <row r="151">
      <c r="A151" s="17"/>
      <c r="B151" s="17"/>
      <c r="C151" s="17"/>
      <c r="D151" s="17"/>
      <c r="E151" s="17"/>
      <c r="F151" s="297"/>
      <c r="G151" s="17"/>
      <c r="H151" s="17"/>
      <c r="I151" s="17"/>
      <c r="J151" s="17"/>
      <c r="K151" s="17"/>
      <c r="L151" s="17"/>
      <c r="M151" s="17"/>
      <c r="N151" s="17"/>
      <c r="O151" s="17"/>
      <c r="P151" s="17"/>
      <c r="Q151" s="17"/>
      <c r="R151" s="17"/>
      <c r="S151" s="201"/>
      <c r="T151" s="201"/>
      <c r="U151" s="201"/>
      <c r="V151" s="201"/>
      <c r="W151" s="17"/>
      <c r="X151" s="17"/>
      <c r="Y151" s="17"/>
      <c r="Z151" s="17"/>
      <c r="AA151" s="17"/>
      <c r="AB151" s="17"/>
    </row>
    <row r="152">
      <c r="A152" s="17"/>
      <c r="B152" s="17"/>
      <c r="C152" s="17"/>
      <c r="D152" s="17"/>
      <c r="E152" s="17"/>
      <c r="F152" s="297"/>
      <c r="G152" s="17"/>
      <c r="H152" s="17"/>
      <c r="I152" s="17"/>
      <c r="J152" s="17"/>
      <c r="K152" s="17"/>
      <c r="L152" s="17"/>
      <c r="M152" s="17"/>
      <c r="N152" s="17"/>
      <c r="O152" s="17"/>
      <c r="P152" s="17"/>
      <c r="Q152" s="17"/>
      <c r="R152" s="17"/>
      <c r="S152" s="201"/>
      <c r="T152" s="201"/>
      <c r="U152" s="201"/>
      <c r="V152" s="201"/>
      <c r="W152" s="17"/>
      <c r="X152" s="17"/>
      <c r="Y152" s="17"/>
      <c r="Z152" s="17"/>
      <c r="AA152" s="17"/>
      <c r="AB152" s="17"/>
    </row>
    <row r="153">
      <c r="A153" s="17"/>
      <c r="B153" s="17"/>
      <c r="C153" s="17"/>
      <c r="D153" s="17"/>
      <c r="E153" s="17"/>
      <c r="F153" s="297"/>
      <c r="G153" s="17"/>
      <c r="H153" s="17"/>
      <c r="I153" s="17"/>
      <c r="J153" s="17"/>
      <c r="K153" s="17"/>
      <c r="L153" s="17"/>
      <c r="M153" s="17"/>
      <c r="N153" s="17"/>
      <c r="O153" s="17"/>
      <c r="P153" s="17"/>
      <c r="Q153" s="17"/>
      <c r="R153" s="17"/>
      <c r="S153" s="201"/>
      <c r="T153" s="201"/>
      <c r="U153" s="201"/>
      <c r="V153" s="201"/>
      <c r="W153" s="17"/>
      <c r="X153" s="17"/>
      <c r="Y153" s="17"/>
      <c r="Z153" s="17"/>
      <c r="AA153" s="17"/>
      <c r="AB153" s="17"/>
    </row>
    <row r="154">
      <c r="A154" s="17"/>
      <c r="B154" s="17"/>
      <c r="C154" s="17"/>
      <c r="D154" s="17"/>
      <c r="E154" s="17"/>
      <c r="F154" s="297"/>
      <c r="G154" s="17"/>
      <c r="H154" s="17"/>
      <c r="I154" s="17"/>
      <c r="J154" s="17"/>
      <c r="K154" s="17"/>
      <c r="L154" s="17"/>
      <c r="M154" s="17"/>
      <c r="N154" s="17"/>
      <c r="O154" s="17"/>
      <c r="P154" s="17"/>
      <c r="Q154" s="17"/>
      <c r="R154" s="17"/>
      <c r="S154" s="201"/>
      <c r="T154" s="201"/>
      <c r="U154" s="201"/>
      <c r="V154" s="201"/>
      <c r="W154" s="17"/>
      <c r="X154" s="17"/>
      <c r="Y154" s="17"/>
      <c r="Z154" s="17"/>
      <c r="AA154" s="17"/>
      <c r="AB154" s="17"/>
    </row>
    <row r="155">
      <c r="A155" s="17"/>
      <c r="B155" s="17"/>
      <c r="C155" s="17"/>
      <c r="D155" s="17"/>
      <c r="E155" s="17"/>
      <c r="F155" s="297"/>
      <c r="G155" s="17"/>
      <c r="H155" s="17"/>
      <c r="I155" s="17"/>
      <c r="J155" s="17"/>
      <c r="K155" s="17"/>
      <c r="L155" s="17"/>
      <c r="M155" s="17"/>
      <c r="N155" s="17"/>
      <c r="O155" s="17"/>
      <c r="P155" s="17"/>
      <c r="Q155" s="17"/>
      <c r="R155" s="17"/>
      <c r="S155" s="201"/>
      <c r="T155" s="201"/>
      <c r="U155" s="201"/>
      <c r="V155" s="201"/>
      <c r="W155" s="17"/>
      <c r="X155" s="17"/>
      <c r="Y155" s="17"/>
      <c r="Z155" s="17"/>
      <c r="AA155" s="17"/>
      <c r="AB155" s="17"/>
    </row>
    <row r="156">
      <c r="A156" s="17"/>
      <c r="B156" s="17"/>
      <c r="C156" s="17"/>
      <c r="D156" s="17"/>
      <c r="E156" s="17"/>
      <c r="F156" s="297"/>
      <c r="G156" s="17"/>
      <c r="H156" s="17"/>
      <c r="I156" s="17"/>
      <c r="J156" s="17"/>
      <c r="K156" s="17"/>
      <c r="L156" s="17"/>
      <c r="M156" s="17"/>
      <c r="N156" s="17"/>
      <c r="O156" s="17"/>
      <c r="P156" s="17"/>
      <c r="Q156" s="17"/>
      <c r="R156" s="17"/>
      <c r="S156" s="201"/>
      <c r="T156" s="201"/>
      <c r="U156" s="201"/>
      <c r="V156" s="201"/>
      <c r="W156" s="17"/>
      <c r="X156" s="17"/>
      <c r="Y156" s="17"/>
      <c r="Z156" s="17"/>
      <c r="AA156" s="17"/>
      <c r="AB156" s="17"/>
    </row>
    <row r="157">
      <c r="A157" s="17"/>
      <c r="B157" s="17"/>
      <c r="C157" s="17"/>
      <c r="D157" s="17"/>
      <c r="E157" s="17"/>
      <c r="F157" s="297"/>
      <c r="G157" s="17"/>
      <c r="H157" s="17"/>
      <c r="I157" s="17"/>
      <c r="J157" s="17"/>
      <c r="K157" s="17"/>
      <c r="L157" s="17"/>
      <c r="M157" s="17"/>
      <c r="N157" s="17"/>
      <c r="O157" s="17"/>
      <c r="P157" s="17"/>
      <c r="Q157" s="17"/>
      <c r="R157" s="17"/>
      <c r="S157" s="201"/>
      <c r="T157" s="201"/>
      <c r="U157" s="201"/>
      <c r="V157" s="201"/>
      <c r="W157" s="17"/>
      <c r="X157" s="17"/>
      <c r="Y157" s="17"/>
      <c r="Z157" s="17"/>
      <c r="AA157" s="17"/>
      <c r="AB157" s="17"/>
    </row>
    <row r="158">
      <c r="A158" s="17"/>
      <c r="B158" s="17"/>
      <c r="C158" s="17"/>
      <c r="D158" s="17"/>
      <c r="E158" s="17"/>
      <c r="F158" s="297"/>
      <c r="G158" s="17"/>
      <c r="H158" s="17"/>
      <c r="I158" s="17"/>
      <c r="J158" s="17"/>
      <c r="K158" s="17"/>
      <c r="L158" s="17"/>
      <c r="M158" s="17"/>
      <c r="N158" s="17"/>
      <c r="O158" s="17"/>
      <c r="P158" s="17"/>
      <c r="Q158" s="17"/>
      <c r="R158" s="17"/>
      <c r="S158" s="201"/>
      <c r="T158" s="201"/>
      <c r="U158" s="201"/>
      <c r="V158" s="201"/>
      <c r="W158" s="17"/>
      <c r="X158" s="17"/>
      <c r="Y158" s="17"/>
      <c r="Z158" s="17"/>
      <c r="AA158" s="17"/>
      <c r="AB158" s="17"/>
    </row>
    <row r="159">
      <c r="A159" s="17"/>
      <c r="B159" s="17"/>
      <c r="C159" s="17"/>
      <c r="D159" s="17"/>
      <c r="E159" s="17"/>
      <c r="F159" s="297"/>
      <c r="G159" s="17"/>
      <c r="H159" s="17"/>
      <c r="I159" s="17"/>
      <c r="J159" s="17"/>
      <c r="K159" s="17"/>
      <c r="L159" s="17"/>
      <c r="M159" s="17"/>
      <c r="N159" s="17"/>
      <c r="O159" s="17"/>
      <c r="P159" s="17"/>
      <c r="Q159" s="17"/>
      <c r="R159" s="17"/>
      <c r="S159" s="201"/>
      <c r="T159" s="201"/>
      <c r="U159" s="201"/>
      <c r="V159" s="201"/>
      <c r="W159" s="17"/>
      <c r="X159" s="17"/>
      <c r="Y159" s="17"/>
      <c r="Z159" s="17"/>
      <c r="AA159" s="17"/>
      <c r="AB159" s="17"/>
    </row>
    <row r="160">
      <c r="A160" s="17"/>
      <c r="B160" s="17"/>
      <c r="C160" s="17"/>
      <c r="D160" s="17"/>
      <c r="E160" s="17"/>
      <c r="F160" s="297"/>
      <c r="G160" s="17"/>
      <c r="H160" s="17"/>
      <c r="I160" s="17"/>
      <c r="J160" s="17"/>
      <c r="K160" s="17"/>
      <c r="L160" s="17"/>
      <c r="M160" s="17"/>
      <c r="N160" s="17"/>
      <c r="O160" s="17"/>
      <c r="P160" s="17"/>
      <c r="Q160" s="17"/>
      <c r="R160" s="17"/>
      <c r="S160" s="201"/>
      <c r="T160" s="201"/>
      <c r="U160" s="201"/>
      <c r="V160" s="201"/>
      <c r="W160" s="17"/>
      <c r="X160" s="17"/>
      <c r="Y160" s="17"/>
      <c r="Z160" s="17"/>
      <c r="AA160" s="17"/>
      <c r="AB160" s="17"/>
    </row>
    <row r="161">
      <c r="A161" s="17"/>
      <c r="B161" s="17"/>
      <c r="C161" s="17"/>
      <c r="D161" s="17"/>
      <c r="E161" s="17"/>
      <c r="F161" s="297"/>
      <c r="G161" s="17"/>
      <c r="H161" s="17"/>
      <c r="I161" s="17"/>
      <c r="J161" s="17"/>
      <c r="K161" s="17"/>
      <c r="L161" s="17"/>
      <c r="M161" s="17"/>
      <c r="N161" s="17"/>
      <c r="O161" s="17"/>
      <c r="P161" s="17"/>
      <c r="Q161" s="17"/>
      <c r="R161" s="17"/>
      <c r="S161" s="201"/>
      <c r="T161" s="201"/>
      <c r="U161" s="201"/>
      <c r="V161" s="201"/>
      <c r="W161" s="17"/>
      <c r="X161" s="17"/>
      <c r="Y161" s="17"/>
      <c r="Z161" s="17"/>
      <c r="AA161" s="17"/>
      <c r="AB161" s="17"/>
    </row>
    <row r="162">
      <c r="A162" s="17"/>
      <c r="B162" s="17"/>
      <c r="C162" s="17"/>
      <c r="D162" s="17"/>
      <c r="E162" s="17"/>
      <c r="F162" s="297"/>
      <c r="G162" s="17"/>
      <c r="H162" s="17"/>
      <c r="I162" s="17"/>
      <c r="J162" s="17"/>
      <c r="K162" s="17"/>
      <c r="L162" s="17"/>
      <c r="M162" s="17"/>
      <c r="N162" s="17"/>
      <c r="O162" s="17"/>
      <c r="P162" s="17"/>
      <c r="Q162" s="17"/>
      <c r="R162" s="17"/>
      <c r="S162" s="201"/>
      <c r="T162" s="201"/>
      <c r="U162" s="201"/>
      <c r="V162" s="201"/>
      <c r="W162" s="17"/>
      <c r="X162" s="17"/>
      <c r="Y162" s="17"/>
      <c r="Z162" s="17"/>
      <c r="AA162" s="17"/>
      <c r="AB162" s="17"/>
    </row>
    <row r="163">
      <c r="A163" s="17"/>
      <c r="B163" s="17"/>
      <c r="C163" s="17"/>
      <c r="D163" s="17"/>
      <c r="E163" s="17"/>
      <c r="F163" s="297"/>
      <c r="G163" s="17"/>
      <c r="H163" s="17"/>
      <c r="I163" s="17"/>
      <c r="J163" s="17"/>
      <c r="K163" s="17"/>
      <c r="L163" s="17"/>
      <c r="M163" s="17"/>
      <c r="N163" s="17"/>
      <c r="O163" s="17"/>
      <c r="P163" s="17"/>
      <c r="Q163" s="17"/>
      <c r="R163" s="17"/>
      <c r="S163" s="201"/>
      <c r="T163" s="201"/>
      <c r="U163" s="201"/>
      <c r="V163" s="201"/>
      <c r="W163" s="17"/>
      <c r="X163" s="17"/>
      <c r="Y163" s="17"/>
      <c r="Z163" s="17"/>
      <c r="AA163" s="17"/>
      <c r="AB163" s="17"/>
    </row>
    <row r="164">
      <c r="A164" s="17"/>
      <c r="B164" s="17"/>
      <c r="C164" s="17"/>
      <c r="D164" s="17"/>
      <c r="E164" s="17"/>
      <c r="F164" s="297"/>
      <c r="G164" s="17"/>
      <c r="H164" s="17"/>
      <c r="I164" s="17"/>
      <c r="J164" s="17"/>
      <c r="K164" s="17"/>
      <c r="L164" s="17"/>
      <c r="M164" s="17"/>
      <c r="N164" s="17"/>
      <c r="O164" s="17"/>
      <c r="P164" s="17"/>
      <c r="Q164" s="17"/>
      <c r="R164" s="17"/>
      <c r="S164" s="201"/>
      <c r="T164" s="201"/>
      <c r="U164" s="201"/>
      <c r="V164" s="201"/>
      <c r="W164" s="17"/>
      <c r="X164" s="17"/>
      <c r="Y164" s="17"/>
      <c r="Z164" s="17"/>
      <c r="AA164" s="17"/>
      <c r="AB164" s="17"/>
    </row>
    <row r="165">
      <c r="A165" s="17"/>
      <c r="B165" s="17"/>
      <c r="C165" s="17"/>
      <c r="D165" s="17"/>
      <c r="E165" s="17"/>
      <c r="F165" s="297"/>
      <c r="G165" s="17"/>
      <c r="H165" s="17"/>
      <c r="I165" s="17"/>
      <c r="J165" s="17"/>
      <c r="K165" s="17"/>
      <c r="L165" s="17"/>
      <c r="M165" s="17"/>
      <c r="N165" s="17"/>
      <c r="O165" s="17"/>
      <c r="P165" s="17"/>
      <c r="Q165" s="17"/>
      <c r="R165" s="17"/>
      <c r="S165" s="201"/>
      <c r="T165" s="201"/>
      <c r="U165" s="201"/>
      <c r="V165" s="201"/>
      <c r="W165" s="17"/>
      <c r="X165" s="17"/>
      <c r="Y165" s="17"/>
      <c r="Z165" s="17"/>
      <c r="AA165" s="17"/>
      <c r="AB165" s="17"/>
    </row>
    <row r="166">
      <c r="A166" s="17"/>
      <c r="B166" s="17"/>
      <c r="C166" s="17"/>
      <c r="D166" s="17"/>
      <c r="E166" s="17"/>
      <c r="F166" s="297"/>
      <c r="G166" s="17"/>
      <c r="H166" s="17"/>
      <c r="I166" s="17"/>
      <c r="J166" s="17"/>
      <c r="K166" s="17"/>
      <c r="L166" s="17"/>
      <c r="M166" s="17"/>
      <c r="N166" s="17"/>
      <c r="O166" s="17"/>
      <c r="P166" s="17"/>
      <c r="Q166" s="17"/>
      <c r="R166" s="17"/>
      <c r="S166" s="201"/>
      <c r="T166" s="201"/>
      <c r="U166" s="201"/>
      <c r="V166" s="201"/>
      <c r="W166" s="17"/>
      <c r="X166" s="17"/>
      <c r="Y166" s="17"/>
      <c r="Z166" s="17"/>
      <c r="AA166" s="17"/>
      <c r="AB166" s="17"/>
    </row>
    <row r="167">
      <c r="A167" s="17"/>
      <c r="B167" s="17"/>
      <c r="C167" s="17"/>
      <c r="D167" s="17"/>
      <c r="E167" s="17"/>
      <c r="F167" s="297"/>
      <c r="G167" s="17"/>
      <c r="H167" s="17"/>
      <c r="I167" s="17"/>
      <c r="J167" s="17"/>
      <c r="K167" s="17"/>
      <c r="L167" s="17"/>
      <c r="M167" s="17"/>
      <c r="N167" s="17"/>
      <c r="O167" s="17"/>
      <c r="P167" s="17"/>
      <c r="Q167" s="17"/>
      <c r="R167" s="17"/>
      <c r="S167" s="201"/>
      <c r="T167" s="201"/>
      <c r="U167" s="201"/>
      <c r="V167" s="201"/>
      <c r="W167" s="17"/>
      <c r="X167" s="17"/>
      <c r="Y167" s="17"/>
      <c r="Z167" s="17"/>
      <c r="AA167" s="17"/>
      <c r="AB167" s="17"/>
    </row>
    <row r="168">
      <c r="A168" s="17"/>
      <c r="B168" s="17"/>
      <c r="C168" s="17"/>
      <c r="D168" s="17"/>
      <c r="E168" s="17"/>
      <c r="F168" s="297"/>
      <c r="G168" s="17"/>
      <c r="H168" s="17"/>
      <c r="I168" s="17"/>
      <c r="J168" s="17"/>
      <c r="K168" s="17"/>
      <c r="L168" s="17"/>
      <c r="M168" s="17"/>
      <c r="N168" s="17"/>
      <c r="O168" s="17"/>
      <c r="P168" s="17"/>
      <c r="Q168" s="17"/>
      <c r="R168" s="17"/>
      <c r="S168" s="201"/>
      <c r="T168" s="201"/>
      <c r="U168" s="201"/>
      <c r="V168" s="201"/>
      <c r="W168" s="17"/>
      <c r="X168" s="17"/>
      <c r="Y168" s="17"/>
      <c r="Z168" s="17"/>
      <c r="AA168" s="17"/>
      <c r="AB168" s="17"/>
    </row>
    <row r="169">
      <c r="A169" s="17"/>
      <c r="B169" s="17"/>
      <c r="C169" s="17"/>
      <c r="D169" s="17"/>
      <c r="E169" s="17"/>
      <c r="F169" s="297"/>
      <c r="G169" s="17"/>
      <c r="H169" s="17"/>
      <c r="I169" s="17"/>
      <c r="J169" s="17"/>
      <c r="K169" s="17"/>
      <c r="L169" s="17"/>
      <c r="M169" s="17"/>
      <c r="N169" s="17"/>
      <c r="O169" s="17"/>
      <c r="P169" s="17"/>
      <c r="Q169" s="17"/>
      <c r="R169" s="17"/>
      <c r="S169" s="201"/>
      <c r="T169" s="201"/>
      <c r="U169" s="201"/>
      <c r="V169" s="201"/>
      <c r="W169" s="17"/>
      <c r="X169" s="17"/>
      <c r="Y169" s="17"/>
      <c r="Z169" s="17"/>
      <c r="AA169" s="17"/>
      <c r="AB169" s="17"/>
    </row>
    <row r="170">
      <c r="A170" s="17"/>
      <c r="B170" s="17"/>
      <c r="C170" s="17"/>
      <c r="D170" s="17"/>
      <c r="E170" s="17"/>
      <c r="F170" s="297"/>
      <c r="G170" s="17"/>
      <c r="H170" s="17"/>
      <c r="I170" s="17"/>
      <c r="J170" s="17"/>
      <c r="K170" s="17"/>
      <c r="L170" s="17"/>
      <c r="M170" s="17"/>
      <c r="N170" s="17"/>
      <c r="O170" s="17"/>
      <c r="P170" s="17"/>
      <c r="Q170" s="17"/>
      <c r="R170" s="17"/>
      <c r="S170" s="201"/>
      <c r="T170" s="201"/>
      <c r="U170" s="201"/>
      <c r="V170" s="201"/>
      <c r="W170" s="17"/>
      <c r="X170" s="17"/>
      <c r="Y170" s="17"/>
      <c r="Z170" s="17"/>
      <c r="AA170" s="17"/>
      <c r="AB170" s="17"/>
    </row>
    <row r="171">
      <c r="A171" s="17"/>
      <c r="B171" s="17"/>
      <c r="C171" s="17"/>
      <c r="D171" s="17"/>
      <c r="E171" s="17"/>
      <c r="F171" s="297"/>
      <c r="G171" s="17"/>
      <c r="H171" s="17"/>
      <c r="I171" s="17"/>
      <c r="J171" s="17"/>
      <c r="K171" s="17"/>
      <c r="L171" s="17"/>
      <c r="M171" s="17"/>
      <c r="N171" s="17"/>
      <c r="O171" s="17"/>
      <c r="P171" s="17"/>
      <c r="Q171" s="17"/>
      <c r="R171" s="17"/>
      <c r="S171" s="201"/>
      <c r="T171" s="201"/>
      <c r="U171" s="201"/>
      <c r="V171" s="201"/>
      <c r="W171" s="17"/>
      <c r="X171" s="17"/>
      <c r="Y171" s="17"/>
      <c r="Z171" s="17"/>
      <c r="AA171" s="17"/>
      <c r="AB171" s="17"/>
    </row>
    <row r="172">
      <c r="A172" s="17"/>
      <c r="B172" s="17"/>
      <c r="C172" s="17"/>
      <c r="D172" s="17"/>
      <c r="E172" s="17"/>
      <c r="F172" s="297"/>
      <c r="G172" s="17"/>
      <c r="H172" s="17"/>
      <c r="I172" s="17"/>
      <c r="J172" s="17"/>
      <c r="K172" s="17"/>
      <c r="L172" s="17"/>
      <c r="M172" s="17"/>
      <c r="N172" s="17"/>
      <c r="O172" s="17"/>
      <c r="P172" s="17"/>
      <c r="Q172" s="17"/>
      <c r="R172" s="17"/>
      <c r="S172" s="201"/>
      <c r="T172" s="201"/>
      <c r="U172" s="201"/>
      <c r="V172" s="201"/>
      <c r="W172" s="17"/>
      <c r="X172" s="17"/>
      <c r="Y172" s="17"/>
      <c r="Z172" s="17"/>
      <c r="AA172" s="17"/>
      <c r="AB172" s="17"/>
    </row>
    <row r="173">
      <c r="A173" s="17"/>
      <c r="B173" s="17"/>
      <c r="C173" s="17"/>
      <c r="D173" s="17"/>
      <c r="E173" s="17"/>
      <c r="F173" s="297"/>
      <c r="G173" s="17"/>
      <c r="H173" s="17"/>
      <c r="I173" s="17"/>
      <c r="J173" s="17"/>
      <c r="K173" s="17"/>
      <c r="L173" s="17"/>
      <c r="M173" s="17"/>
      <c r="N173" s="17"/>
      <c r="O173" s="17"/>
      <c r="P173" s="17"/>
      <c r="Q173" s="17"/>
      <c r="R173" s="17"/>
      <c r="S173" s="201"/>
      <c r="T173" s="201"/>
      <c r="U173" s="201"/>
      <c r="V173" s="201"/>
      <c r="W173" s="17"/>
      <c r="X173" s="17"/>
      <c r="Y173" s="17"/>
      <c r="Z173" s="17"/>
      <c r="AA173" s="17"/>
      <c r="AB173" s="17"/>
    </row>
    <row r="174">
      <c r="A174" s="17"/>
      <c r="B174" s="17"/>
      <c r="C174" s="17"/>
      <c r="D174" s="17"/>
      <c r="E174" s="17"/>
      <c r="F174" s="297"/>
      <c r="G174" s="17"/>
      <c r="H174" s="17"/>
      <c r="I174" s="17"/>
      <c r="J174" s="17"/>
      <c r="K174" s="17"/>
      <c r="L174" s="17"/>
      <c r="M174" s="17"/>
      <c r="N174" s="17"/>
      <c r="O174" s="17"/>
      <c r="P174" s="17"/>
      <c r="Q174" s="17"/>
      <c r="R174" s="17"/>
      <c r="S174" s="201"/>
      <c r="T174" s="201"/>
      <c r="U174" s="201"/>
      <c r="V174" s="201"/>
      <c r="W174" s="17"/>
      <c r="X174" s="17"/>
      <c r="Y174" s="17"/>
      <c r="Z174" s="17"/>
      <c r="AA174" s="17"/>
      <c r="AB174" s="17"/>
    </row>
    <row r="175">
      <c r="A175" s="17"/>
      <c r="B175" s="17"/>
      <c r="C175" s="17"/>
      <c r="D175" s="17"/>
      <c r="E175" s="17"/>
      <c r="F175" s="297"/>
      <c r="G175" s="17"/>
      <c r="H175" s="17"/>
      <c r="I175" s="17"/>
      <c r="J175" s="17"/>
      <c r="K175" s="17"/>
      <c r="L175" s="17"/>
      <c r="M175" s="17"/>
      <c r="N175" s="17"/>
      <c r="O175" s="17"/>
      <c r="P175" s="17"/>
      <c r="Q175" s="17"/>
      <c r="R175" s="17"/>
      <c r="S175" s="201"/>
      <c r="T175" s="201"/>
      <c r="U175" s="201"/>
      <c r="V175" s="201"/>
      <c r="W175" s="17"/>
      <c r="X175" s="17"/>
      <c r="Y175" s="17"/>
      <c r="Z175" s="17"/>
      <c r="AA175" s="17"/>
      <c r="AB175" s="17"/>
    </row>
    <row r="176">
      <c r="A176" s="17"/>
      <c r="B176" s="17"/>
      <c r="C176" s="17"/>
      <c r="D176" s="17"/>
      <c r="E176" s="17"/>
      <c r="F176" s="297"/>
      <c r="G176" s="17"/>
      <c r="H176" s="17"/>
      <c r="I176" s="17"/>
      <c r="J176" s="17"/>
      <c r="K176" s="17"/>
      <c r="L176" s="17"/>
      <c r="M176" s="17"/>
      <c r="N176" s="17"/>
      <c r="O176" s="17"/>
      <c r="P176" s="17"/>
      <c r="Q176" s="17"/>
      <c r="R176" s="17"/>
      <c r="S176" s="201"/>
      <c r="T176" s="201"/>
      <c r="U176" s="201"/>
      <c r="V176" s="201"/>
      <c r="W176" s="17"/>
      <c r="X176" s="17"/>
      <c r="Y176" s="17"/>
      <c r="Z176" s="17"/>
      <c r="AA176" s="17"/>
      <c r="AB176" s="17"/>
    </row>
    <row r="177">
      <c r="A177" s="17"/>
      <c r="B177" s="17"/>
      <c r="C177" s="17"/>
      <c r="D177" s="17"/>
      <c r="E177" s="17"/>
      <c r="F177" s="297"/>
      <c r="G177" s="17"/>
      <c r="H177" s="17"/>
      <c r="I177" s="17"/>
      <c r="J177" s="17"/>
      <c r="K177" s="17"/>
      <c r="L177" s="17"/>
      <c r="M177" s="17"/>
      <c r="N177" s="17"/>
      <c r="O177" s="17"/>
      <c r="P177" s="17"/>
      <c r="Q177" s="17"/>
      <c r="R177" s="17"/>
      <c r="S177" s="201"/>
      <c r="T177" s="201"/>
      <c r="U177" s="201"/>
      <c r="V177" s="201"/>
      <c r="W177" s="17"/>
      <c r="X177" s="17"/>
      <c r="Y177" s="17"/>
      <c r="Z177" s="17"/>
      <c r="AA177" s="17"/>
      <c r="AB177" s="17"/>
    </row>
    <row r="178">
      <c r="A178" s="17"/>
      <c r="B178" s="17"/>
      <c r="C178" s="17"/>
      <c r="D178" s="17"/>
      <c r="E178" s="17"/>
      <c r="F178" s="297"/>
      <c r="G178" s="17"/>
      <c r="H178" s="17"/>
      <c r="I178" s="17"/>
      <c r="J178" s="17"/>
      <c r="K178" s="17"/>
      <c r="L178" s="17"/>
      <c r="M178" s="17"/>
      <c r="N178" s="17"/>
      <c r="O178" s="17"/>
      <c r="P178" s="17"/>
      <c r="Q178" s="17"/>
      <c r="R178" s="17"/>
      <c r="S178" s="201"/>
      <c r="T178" s="201"/>
      <c r="U178" s="201"/>
      <c r="V178" s="201"/>
      <c r="W178" s="17"/>
      <c r="X178" s="17"/>
      <c r="Y178" s="17"/>
      <c r="Z178" s="17"/>
      <c r="AA178" s="17"/>
      <c r="AB178" s="17"/>
    </row>
    <row r="179">
      <c r="A179" s="17"/>
      <c r="B179" s="17"/>
      <c r="C179" s="17"/>
      <c r="D179" s="17"/>
      <c r="E179" s="17"/>
      <c r="F179" s="297"/>
      <c r="G179" s="17"/>
      <c r="H179" s="17"/>
      <c r="I179" s="17"/>
      <c r="J179" s="17"/>
      <c r="K179" s="17"/>
      <c r="L179" s="17"/>
      <c r="M179" s="17"/>
      <c r="N179" s="17"/>
      <c r="O179" s="17"/>
      <c r="P179" s="17"/>
      <c r="Q179" s="17"/>
      <c r="R179" s="17"/>
      <c r="S179" s="201"/>
      <c r="T179" s="201"/>
      <c r="U179" s="201"/>
      <c r="V179" s="201"/>
      <c r="W179" s="17"/>
      <c r="X179" s="17"/>
      <c r="Y179" s="17"/>
      <c r="Z179" s="17"/>
      <c r="AA179" s="17"/>
      <c r="AB179" s="17"/>
    </row>
    <row r="180">
      <c r="A180" s="17"/>
      <c r="B180" s="17"/>
      <c r="C180" s="17"/>
      <c r="D180" s="17"/>
      <c r="E180" s="17"/>
      <c r="F180" s="297"/>
      <c r="G180" s="17"/>
      <c r="H180" s="17"/>
      <c r="I180" s="17"/>
      <c r="J180" s="17"/>
      <c r="K180" s="17"/>
      <c r="L180" s="17"/>
      <c r="M180" s="17"/>
      <c r="N180" s="17"/>
      <c r="O180" s="17"/>
      <c r="P180" s="17"/>
      <c r="Q180" s="17"/>
      <c r="R180" s="17"/>
      <c r="S180" s="201"/>
      <c r="T180" s="201"/>
      <c r="U180" s="201"/>
      <c r="V180" s="201"/>
      <c r="W180" s="17"/>
      <c r="X180" s="17"/>
      <c r="Y180" s="17"/>
      <c r="Z180" s="17"/>
      <c r="AA180" s="17"/>
      <c r="AB180" s="17"/>
    </row>
    <row r="181">
      <c r="A181" s="17"/>
      <c r="B181" s="17"/>
      <c r="C181" s="17"/>
      <c r="D181" s="17"/>
      <c r="E181" s="17"/>
      <c r="F181" s="297"/>
      <c r="G181" s="17"/>
      <c r="H181" s="17"/>
      <c r="I181" s="17"/>
      <c r="J181" s="17"/>
      <c r="K181" s="17"/>
      <c r="L181" s="17"/>
      <c r="M181" s="17"/>
      <c r="N181" s="17"/>
      <c r="O181" s="17"/>
      <c r="P181" s="17"/>
      <c r="Q181" s="17"/>
      <c r="R181" s="17"/>
      <c r="S181" s="201"/>
      <c r="T181" s="201"/>
      <c r="U181" s="201"/>
      <c r="V181" s="201"/>
      <c r="W181" s="17"/>
      <c r="X181" s="17"/>
      <c r="Y181" s="17"/>
      <c r="Z181" s="17"/>
      <c r="AA181" s="17"/>
      <c r="AB181" s="17"/>
    </row>
    <row r="182">
      <c r="A182" s="17"/>
      <c r="B182" s="17"/>
      <c r="C182" s="17"/>
      <c r="D182" s="17"/>
      <c r="E182" s="17"/>
      <c r="F182" s="297"/>
      <c r="G182" s="17"/>
      <c r="H182" s="17"/>
      <c r="I182" s="17"/>
      <c r="J182" s="17"/>
      <c r="K182" s="17"/>
      <c r="L182" s="17"/>
      <c r="M182" s="17"/>
      <c r="N182" s="17"/>
      <c r="O182" s="17"/>
      <c r="P182" s="17"/>
      <c r="Q182" s="17"/>
      <c r="R182" s="17"/>
      <c r="S182" s="201"/>
      <c r="T182" s="201"/>
      <c r="U182" s="201"/>
      <c r="V182" s="201"/>
      <c r="W182" s="17"/>
      <c r="X182" s="17"/>
      <c r="Y182" s="17"/>
      <c r="Z182" s="17"/>
      <c r="AA182" s="17"/>
      <c r="AB182" s="17"/>
    </row>
    <row r="183">
      <c r="A183" s="17"/>
      <c r="B183" s="17"/>
      <c r="C183" s="17"/>
      <c r="D183" s="17"/>
      <c r="E183" s="17"/>
      <c r="F183" s="297"/>
      <c r="G183" s="17"/>
      <c r="H183" s="17"/>
      <c r="I183" s="17"/>
      <c r="J183" s="17"/>
      <c r="K183" s="17"/>
      <c r="L183" s="17"/>
      <c r="M183" s="17"/>
      <c r="N183" s="17"/>
      <c r="O183" s="17"/>
      <c r="P183" s="17"/>
      <c r="Q183" s="17"/>
      <c r="R183" s="17"/>
      <c r="S183" s="201"/>
      <c r="T183" s="201"/>
      <c r="U183" s="201"/>
      <c r="V183" s="201"/>
      <c r="W183" s="17"/>
      <c r="X183" s="17"/>
      <c r="Y183" s="17"/>
      <c r="Z183" s="17"/>
      <c r="AA183" s="17"/>
      <c r="AB183" s="17"/>
    </row>
    <row r="184">
      <c r="A184" s="17"/>
      <c r="B184" s="17"/>
      <c r="C184" s="17"/>
      <c r="D184" s="17"/>
      <c r="E184" s="17"/>
      <c r="F184" s="297"/>
      <c r="G184" s="17"/>
      <c r="H184" s="17"/>
      <c r="I184" s="17"/>
      <c r="J184" s="17"/>
      <c r="K184" s="17"/>
      <c r="L184" s="17"/>
      <c r="M184" s="17"/>
      <c r="N184" s="17"/>
      <c r="O184" s="17"/>
      <c r="P184" s="17"/>
      <c r="Q184" s="17"/>
      <c r="R184" s="17"/>
      <c r="S184" s="201"/>
      <c r="T184" s="201"/>
      <c r="U184" s="201"/>
      <c r="V184" s="201"/>
      <c r="W184" s="17"/>
      <c r="X184" s="17"/>
      <c r="Y184" s="17"/>
      <c r="Z184" s="17"/>
      <c r="AA184" s="17"/>
      <c r="AB184" s="17"/>
    </row>
    <row r="185">
      <c r="A185" s="17"/>
      <c r="B185" s="17"/>
      <c r="C185" s="17"/>
      <c r="D185" s="17"/>
      <c r="E185" s="17"/>
      <c r="F185" s="297"/>
      <c r="G185" s="17"/>
      <c r="H185" s="17"/>
      <c r="I185" s="17"/>
      <c r="J185" s="17"/>
      <c r="K185" s="17"/>
      <c r="L185" s="17"/>
      <c r="M185" s="17"/>
      <c r="N185" s="17"/>
      <c r="O185" s="17"/>
      <c r="P185" s="17"/>
      <c r="Q185" s="17"/>
      <c r="R185" s="17"/>
      <c r="S185" s="201"/>
      <c r="T185" s="201"/>
      <c r="U185" s="201"/>
      <c r="V185" s="201"/>
      <c r="W185" s="17"/>
      <c r="X185" s="17"/>
      <c r="Y185" s="17"/>
      <c r="Z185" s="17"/>
      <c r="AA185" s="17"/>
      <c r="AB185" s="17"/>
    </row>
    <row r="186">
      <c r="A186" s="17"/>
      <c r="B186" s="17"/>
      <c r="C186" s="17"/>
      <c r="D186" s="17"/>
      <c r="E186" s="17"/>
      <c r="F186" s="297"/>
      <c r="G186" s="17"/>
      <c r="H186" s="17"/>
      <c r="I186" s="17"/>
      <c r="J186" s="17"/>
      <c r="K186" s="17"/>
      <c r="L186" s="17"/>
      <c r="M186" s="17"/>
      <c r="N186" s="17"/>
      <c r="O186" s="17"/>
      <c r="P186" s="17"/>
      <c r="Q186" s="17"/>
      <c r="R186" s="17"/>
      <c r="S186" s="201"/>
      <c r="T186" s="201"/>
      <c r="U186" s="201"/>
      <c r="V186" s="201"/>
      <c r="W186" s="17"/>
      <c r="X186" s="17"/>
      <c r="Y186" s="17"/>
      <c r="Z186" s="17"/>
      <c r="AA186" s="17"/>
      <c r="AB186" s="17"/>
    </row>
    <row r="187">
      <c r="A187" s="17"/>
      <c r="B187" s="17"/>
      <c r="C187" s="17"/>
      <c r="D187" s="17"/>
      <c r="E187" s="17"/>
      <c r="F187" s="297"/>
      <c r="G187" s="17"/>
      <c r="H187" s="17"/>
      <c r="I187" s="17"/>
      <c r="J187" s="17"/>
      <c r="K187" s="17"/>
      <c r="L187" s="17"/>
      <c r="M187" s="17"/>
      <c r="N187" s="17"/>
      <c r="O187" s="17"/>
      <c r="P187" s="17"/>
      <c r="Q187" s="17"/>
      <c r="R187" s="17"/>
      <c r="S187" s="201"/>
      <c r="T187" s="201"/>
      <c r="U187" s="201"/>
      <c r="V187" s="201"/>
      <c r="W187" s="17"/>
      <c r="X187" s="17"/>
      <c r="Y187" s="17"/>
      <c r="Z187" s="17"/>
      <c r="AA187" s="17"/>
      <c r="AB187" s="17"/>
    </row>
    <row r="188">
      <c r="A188" s="17"/>
      <c r="B188" s="17"/>
      <c r="C188" s="17"/>
      <c r="D188" s="17"/>
      <c r="E188" s="17"/>
      <c r="F188" s="297"/>
      <c r="G188" s="17"/>
      <c r="H188" s="17"/>
      <c r="I188" s="17"/>
      <c r="J188" s="17"/>
      <c r="K188" s="17"/>
      <c r="L188" s="17"/>
      <c r="M188" s="17"/>
      <c r="N188" s="17"/>
      <c r="O188" s="17"/>
      <c r="P188" s="17"/>
      <c r="Q188" s="17"/>
      <c r="R188" s="17"/>
      <c r="S188" s="201"/>
      <c r="T188" s="201"/>
      <c r="U188" s="201"/>
      <c r="V188" s="201"/>
      <c r="W188" s="17"/>
      <c r="X188" s="17"/>
      <c r="Y188" s="17"/>
      <c r="Z188" s="17"/>
      <c r="AA188" s="17"/>
      <c r="AB188" s="17"/>
    </row>
    <row r="189">
      <c r="A189" s="17"/>
      <c r="B189" s="17"/>
      <c r="C189" s="17"/>
      <c r="D189" s="17"/>
      <c r="E189" s="17"/>
      <c r="F189" s="297"/>
      <c r="G189" s="17"/>
      <c r="H189" s="17"/>
      <c r="I189" s="17"/>
      <c r="J189" s="17"/>
      <c r="K189" s="17"/>
      <c r="L189" s="17"/>
      <c r="M189" s="17"/>
      <c r="N189" s="17"/>
      <c r="O189" s="17"/>
      <c r="P189" s="17"/>
      <c r="Q189" s="17"/>
      <c r="R189" s="17"/>
      <c r="S189" s="201"/>
      <c r="T189" s="201"/>
      <c r="U189" s="201"/>
      <c r="V189" s="201"/>
      <c r="W189" s="17"/>
      <c r="X189" s="17"/>
      <c r="Y189" s="17"/>
      <c r="Z189" s="17"/>
      <c r="AA189" s="17"/>
      <c r="AB189" s="17"/>
    </row>
    <row r="190">
      <c r="A190" s="17"/>
      <c r="B190" s="17"/>
      <c r="C190" s="17"/>
      <c r="D190" s="17"/>
      <c r="E190" s="17"/>
      <c r="F190" s="297"/>
      <c r="G190" s="17"/>
      <c r="H190" s="17"/>
      <c r="I190" s="17"/>
      <c r="J190" s="17"/>
      <c r="K190" s="17"/>
      <c r="L190" s="17"/>
      <c r="M190" s="17"/>
      <c r="N190" s="17"/>
      <c r="O190" s="17"/>
      <c r="P190" s="17"/>
      <c r="Q190" s="17"/>
      <c r="R190" s="17"/>
      <c r="S190" s="201"/>
      <c r="T190" s="201"/>
      <c r="U190" s="201"/>
      <c r="V190" s="201"/>
      <c r="W190" s="17"/>
      <c r="X190" s="17"/>
      <c r="Y190" s="17"/>
      <c r="Z190" s="17"/>
      <c r="AA190" s="17"/>
      <c r="AB190" s="17"/>
    </row>
    <row r="191">
      <c r="A191" s="17"/>
      <c r="B191" s="17"/>
      <c r="C191" s="17"/>
      <c r="D191" s="17"/>
      <c r="E191" s="17"/>
      <c r="F191" s="297"/>
      <c r="G191" s="17"/>
      <c r="H191" s="17"/>
      <c r="I191" s="17"/>
      <c r="J191" s="17"/>
      <c r="K191" s="17"/>
      <c r="L191" s="17"/>
      <c r="M191" s="17"/>
      <c r="N191" s="17"/>
      <c r="O191" s="17"/>
      <c r="P191" s="17"/>
      <c r="Q191" s="17"/>
      <c r="R191" s="17"/>
      <c r="S191" s="201"/>
      <c r="T191" s="201"/>
      <c r="U191" s="201"/>
      <c r="V191" s="201"/>
      <c r="W191" s="17"/>
      <c r="X191" s="17"/>
      <c r="Y191" s="17"/>
      <c r="Z191" s="17"/>
      <c r="AA191" s="17"/>
      <c r="AB191" s="17"/>
    </row>
    <row r="192">
      <c r="A192" s="17"/>
      <c r="B192" s="17"/>
      <c r="C192" s="17"/>
      <c r="D192" s="17"/>
      <c r="E192" s="17"/>
      <c r="F192" s="297"/>
      <c r="G192" s="17"/>
      <c r="H192" s="17"/>
      <c r="I192" s="17"/>
      <c r="J192" s="17"/>
      <c r="K192" s="17"/>
      <c r="L192" s="17"/>
      <c r="M192" s="17"/>
      <c r="N192" s="17"/>
      <c r="O192" s="17"/>
      <c r="P192" s="17"/>
      <c r="Q192" s="17"/>
      <c r="R192" s="17"/>
      <c r="S192" s="201"/>
      <c r="T192" s="201"/>
      <c r="U192" s="201"/>
      <c r="V192" s="201"/>
      <c r="W192" s="17"/>
      <c r="X192" s="17"/>
      <c r="Y192" s="17"/>
      <c r="Z192" s="17"/>
      <c r="AA192" s="17"/>
      <c r="AB192" s="17"/>
    </row>
    <row r="193">
      <c r="A193" s="17"/>
      <c r="B193" s="17"/>
      <c r="C193" s="17"/>
      <c r="D193" s="17"/>
      <c r="E193" s="17"/>
      <c r="F193" s="297"/>
      <c r="G193" s="17"/>
      <c r="H193" s="17"/>
      <c r="I193" s="17"/>
      <c r="J193" s="17"/>
      <c r="K193" s="17"/>
      <c r="L193" s="17"/>
      <c r="M193" s="17"/>
      <c r="N193" s="17"/>
      <c r="O193" s="17"/>
      <c r="P193" s="17"/>
      <c r="Q193" s="17"/>
      <c r="R193" s="17"/>
      <c r="S193" s="201"/>
      <c r="T193" s="201"/>
      <c r="U193" s="201"/>
      <c r="V193" s="201"/>
      <c r="W193" s="17"/>
      <c r="X193" s="17"/>
      <c r="Y193" s="17"/>
      <c r="Z193" s="17"/>
      <c r="AA193" s="17"/>
      <c r="AB193" s="17"/>
    </row>
    <row r="194">
      <c r="A194" s="17"/>
      <c r="B194" s="17"/>
      <c r="C194" s="17"/>
      <c r="D194" s="17"/>
      <c r="E194" s="17"/>
      <c r="F194" s="297"/>
      <c r="G194" s="17"/>
      <c r="H194" s="17"/>
      <c r="I194" s="17"/>
      <c r="J194" s="17"/>
      <c r="K194" s="17"/>
      <c r="L194" s="17"/>
      <c r="M194" s="17"/>
      <c r="N194" s="17"/>
      <c r="O194" s="17"/>
      <c r="P194" s="17"/>
      <c r="Q194" s="17"/>
      <c r="R194" s="17"/>
      <c r="S194" s="201"/>
      <c r="T194" s="201"/>
      <c r="U194" s="201"/>
      <c r="V194" s="201"/>
      <c r="W194" s="17"/>
      <c r="X194" s="17"/>
      <c r="Y194" s="17"/>
      <c r="Z194" s="17"/>
      <c r="AA194" s="17"/>
      <c r="AB194" s="17"/>
    </row>
    <row r="195">
      <c r="A195" s="17"/>
      <c r="B195" s="17"/>
      <c r="C195" s="17"/>
      <c r="D195" s="17"/>
      <c r="E195" s="17"/>
      <c r="F195" s="297"/>
      <c r="G195" s="17"/>
      <c r="H195" s="17"/>
      <c r="I195" s="17"/>
      <c r="J195" s="17"/>
      <c r="K195" s="17"/>
      <c r="L195" s="17"/>
      <c r="M195" s="17"/>
      <c r="N195" s="17"/>
      <c r="O195" s="17"/>
      <c r="P195" s="17"/>
      <c r="Q195" s="17"/>
      <c r="R195" s="17"/>
      <c r="S195" s="201"/>
      <c r="T195" s="201"/>
      <c r="U195" s="201"/>
      <c r="V195" s="201"/>
      <c r="W195" s="17"/>
      <c r="X195" s="17"/>
      <c r="Y195" s="17"/>
      <c r="Z195" s="17"/>
      <c r="AA195" s="17"/>
      <c r="AB195" s="17"/>
    </row>
    <row r="196">
      <c r="A196" s="17"/>
      <c r="B196" s="17"/>
      <c r="C196" s="17"/>
      <c r="D196" s="17"/>
      <c r="E196" s="17"/>
      <c r="F196" s="297"/>
      <c r="G196" s="17"/>
      <c r="H196" s="17"/>
      <c r="I196" s="17"/>
      <c r="J196" s="17"/>
      <c r="K196" s="17"/>
      <c r="L196" s="17"/>
      <c r="M196" s="17"/>
      <c r="N196" s="17"/>
      <c r="O196" s="17"/>
      <c r="P196" s="17"/>
      <c r="Q196" s="17"/>
      <c r="R196" s="17"/>
      <c r="S196" s="201"/>
      <c r="T196" s="201"/>
      <c r="U196" s="201"/>
      <c r="V196" s="201"/>
      <c r="W196" s="17"/>
      <c r="X196" s="17"/>
      <c r="Y196" s="17"/>
      <c r="Z196" s="17"/>
      <c r="AA196" s="17"/>
      <c r="AB196" s="17"/>
    </row>
    <row r="197">
      <c r="A197" s="17"/>
      <c r="B197" s="17"/>
      <c r="C197" s="17"/>
      <c r="D197" s="17"/>
      <c r="E197" s="17"/>
      <c r="F197" s="297"/>
      <c r="G197" s="17"/>
      <c r="H197" s="17"/>
      <c r="I197" s="17"/>
      <c r="J197" s="17"/>
      <c r="K197" s="17"/>
      <c r="L197" s="17"/>
      <c r="M197" s="17"/>
      <c r="N197" s="17"/>
      <c r="O197" s="17"/>
      <c r="P197" s="17"/>
      <c r="Q197" s="17"/>
      <c r="R197" s="17"/>
      <c r="S197" s="201"/>
      <c r="T197" s="201"/>
      <c r="U197" s="201"/>
      <c r="V197" s="201"/>
      <c r="W197" s="17"/>
      <c r="X197" s="17"/>
      <c r="Y197" s="17"/>
      <c r="Z197" s="17"/>
      <c r="AA197" s="17"/>
      <c r="AB197" s="17"/>
    </row>
    <row r="198">
      <c r="A198" s="17"/>
      <c r="B198" s="17"/>
      <c r="C198" s="17"/>
      <c r="D198" s="17"/>
      <c r="E198" s="17"/>
      <c r="F198" s="297"/>
      <c r="G198" s="17"/>
      <c r="H198" s="17"/>
      <c r="I198" s="17"/>
      <c r="J198" s="17"/>
      <c r="K198" s="17"/>
      <c r="L198" s="17"/>
      <c r="M198" s="17"/>
      <c r="N198" s="17"/>
      <c r="O198" s="17"/>
      <c r="P198" s="17"/>
      <c r="Q198" s="17"/>
      <c r="R198" s="17"/>
      <c r="S198" s="201"/>
      <c r="T198" s="201"/>
      <c r="U198" s="201"/>
      <c r="V198" s="201"/>
      <c r="W198" s="17"/>
      <c r="X198" s="17"/>
      <c r="Y198" s="17"/>
      <c r="Z198" s="17"/>
      <c r="AA198" s="17"/>
      <c r="AB198" s="17"/>
    </row>
    <row r="199">
      <c r="A199" s="17"/>
      <c r="B199" s="17"/>
      <c r="C199" s="17"/>
      <c r="D199" s="17"/>
      <c r="E199" s="17"/>
      <c r="F199" s="297"/>
      <c r="G199" s="17"/>
      <c r="H199" s="17"/>
      <c r="I199" s="17"/>
      <c r="J199" s="17"/>
      <c r="K199" s="17"/>
      <c r="L199" s="17"/>
      <c r="M199" s="17"/>
      <c r="N199" s="17"/>
      <c r="O199" s="17"/>
      <c r="P199" s="17"/>
      <c r="Q199" s="17"/>
      <c r="R199" s="17"/>
      <c r="S199" s="201"/>
      <c r="T199" s="201"/>
      <c r="U199" s="201"/>
      <c r="V199" s="201"/>
      <c r="W199" s="17"/>
      <c r="X199" s="17"/>
      <c r="Y199" s="17"/>
      <c r="Z199" s="17"/>
      <c r="AA199" s="17"/>
      <c r="AB199" s="17"/>
    </row>
    <row r="200">
      <c r="A200" s="17"/>
      <c r="B200" s="17"/>
      <c r="C200" s="17"/>
      <c r="D200" s="17"/>
      <c r="E200" s="17"/>
      <c r="F200" s="297"/>
      <c r="G200" s="17"/>
      <c r="H200" s="17"/>
      <c r="I200" s="17"/>
      <c r="J200" s="17"/>
      <c r="K200" s="17"/>
      <c r="L200" s="17"/>
      <c r="M200" s="17"/>
      <c r="N200" s="17"/>
      <c r="O200" s="17"/>
      <c r="P200" s="17"/>
      <c r="Q200" s="17"/>
      <c r="R200" s="17"/>
      <c r="S200" s="201"/>
      <c r="T200" s="201"/>
      <c r="U200" s="201"/>
      <c r="V200" s="201"/>
      <c r="W200" s="17"/>
      <c r="X200" s="17"/>
      <c r="Y200" s="17"/>
      <c r="Z200" s="17"/>
      <c r="AA200" s="17"/>
      <c r="AB200" s="17"/>
    </row>
    <row r="201">
      <c r="A201" s="17"/>
      <c r="B201" s="17"/>
      <c r="C201" s="17"/>
      <c r="D201" s="17"/>
      <c r="E201" s="17"/>
      <c r="F201" s="297"/>
      <c r="G201" s="17"/>
      <c r="H201" s="17"/>
      <c r="I201" s="17"/>
      <c r="J201" s="17"/>
      <c r="K201" s="17"/>
      <c r="L201" s="17"/>
      <c r="M201" s="17"/>
      <c r="N201" s="17"/>
      <c r="O201" s="17"/>
      <c r="P201" s="17"/>
      <c r="Q201" s="17"/>
      <c r="R201" s="17"/>
      <c r="S201" s="201"/>
      <c r="T201" s="201"/>
      <c r="U201" s="201"/>
      <c r="V201" s="201"/>
      <c r="W201" s="17"/>
      <c r="X201" s="17"/>
      <c r="Y201" s="17"/>
      <c r="Z201" s="17"/>
      <c r="AA201" s="17"/>
      <c r="AB201" s="17"/>
    </row>
    <row r="202">
      <c r="A202" s="17"/>
      <c r="B202" s="17"/>
      <c r="C202" s="17"/>
      <c r="D202" s="17"/>
      <c r="E202" s="17"/>
      <c r="F202" s="297"/>
      <c r="G202" s="17"/>
      <c r="H202" s="17"/>
      <c r="I202" s="17"/>
      <c r="J202" s="17"/>
      <c r="K202" s="17"/>
      <c r="L202" s="17"/>
      <c r="M202" s="17"/>
      <c r="N202" s="17"/>
      <c r="O202" s="17"/>
      <c r="P202" s="17"/>
      <c r="Q202" s="17"/>
      <c r="R202" s="17"/>
      <c r="S202" s="201"/>
      <c r="T202" s="201"/>
      <c r="U202" s="201"/>
      <c r="V202" s="201"/>
      <c r="W202" s="17"/>
      <c r="X202" s="17"/>
      <c r="Y202" s="17"/>
      <c r="Z202" s="17"/>
      <c r="AA202" s="17"/>
      <c r="AB202" s="17"/>
    </row>
    <row r="203">
      <c r="A203" s="17"/>
      <c r="B203" s="17"/>
      <c r="C203" s="17"/>
      <c r="D203" s="17"/>
      <c r="E203" s="17"/>
      <c r="F203" s="297"/>
      <c r="G203" s="17"/>
      <c r="H203" s="17"/>
      <c r="I203" s="17"/>
      <c r="J203" s="17"/>
      <c r="K203" s="17"/>
      <c r="L203" s="17"/>
      <c r="M203" s="17"/>
      <c r="N203" s="17"/>
      <c r="O203" s="17"/>
      <c r="P203" s="17"/>
      <c r="Q203" s="17"/>
      <c r="R203" s="17"/>
      <c r="S203" s="201"/>
      <c r="T203" s="201"/>
      <c r="U203" s="201"/>
      <c r="V203" s="201"/>
      <c r="W203" s="17"/>
      <c r="X203" s="17"/>
      <c r="Y203" s="17"/>
      <c r="Z203" s="17"/>
      <c r="AA203" s="17"/>
      <c r="AB203" s="17"/>
    </row>
    <row r="204">
      <c r="A204" s="17"/>
      <c r="B204" s="17"/>
      <c r="C204" s="17"/>
      <c r="D204" s="17"/>
      <c r="E204" s="17"/>
      <c r="F204" s="297"/>
      <c r="G204" s="17"/>
      <c r="H204" s="17"/>
      <c r="I204" s="17"/>
      <c r="J204" s="17"/>
      <c r="K204" s="17"/>
      <c r="L204" s="17"/>
      <c r="M204" s="17"/>
      <c r="N204" s="17"/>
      <c r="O204" s="17"/>
      <c r="P204" s="17"/>
      <c r="Q204" s="17"/>
      <c r="R204" s="17"/>
      <c r="S204" s="201"/>
      <c r="T204" s="201"/>
      <c r="U204" s="201"/>
      <c r="V204" s="201"/>
      <c r="W204" s="17"/>
      <c r="X204" s="17"/>
      <c r="Y204" s="17"/>
      <c r="Z204" s="17"/>
      <c r="AA204" s="17"/>
      <c r="AB204" s="17"/>
    </row>
    <row r="205">
      <c r="A205" s="17"/>
      <c r="B205" s="17"/>
      <c r="C205" s="17"/>
      <c r="D205" s="17"/>
      <c r="E205" s="17"/>
      <c r="F205" s="297"/>
      <c r="G205" s="17"/>
      <c r="H205" s="17"/>
      <c r="I205" s="17"/>
      <c r="J205" s="17"/>
      <c r="K205" s="17"/>
      <c r="L205" s="17"/>
      <c r="M205" s="17"/>
      <c r="N205" s="17"/>
      <c r="O205" s="17"/>
      <c r="P205" s="17"/>
      <c r="Q205" s="17"/>
      <c r="R205" s="17"/>
      <c r="S205" s="201"/>
      <c r="T205" s="201"/>
      <c r="U205" s="201"/>
      <c r="V205" s="201"/>
      <c r="W205" s="17"/>
      <c r="X205" s="17"/>
      <c r="Y205" s="17"/>
      <c r="Z205" s="17"/>
      <c r="AA205" s="17"/>
      <c r="AB205" s="17"/>
    </row>
    <row r="206">
      <c r="A206" s="17"/>
      <c r="B206" s="17"/>
      <c r="C206" s="17"/>
      <c r="D206" s="17"/>
      <c r="E206" s="17"/>
      <c r="F206" s="297"/>
      <c r="G206" s="17"/>
      <c r="H206" s="17"/>
      <c r="I206" s="17"/>
      <c r="J206" s="17"/>
      <c r="K206" s="17"/>
      <c r="L206" s="17"/>
      <c r="M206" s="17"/>
      <c r="N206" s="17"/>
      <c r="O206" s="17"/>
      <c r="P206" s="17"/>
      <c r="Q206" s="17"/>
      <c r="R206" s="17"/>
      <c r="S206" s="201"/>
      <c r="T206" s="201"/>
      <c r="U206" s="201"/>
      <c r="V206" s="201"/>
      <c r="W206" s="17"/>
      <c r="X206" s="17"/>
      <c r="Y206" s="17"/>
      <c r="Z206" s="17"/>
      <c r="AA206" s="17"/>
      <c r="AB206" s="17"/>
    </row>
    <row r="207">
      <c r="A207" s="17"/>
      <c r="B207" s="17"/>
      <c r="C207" s="17"/>
      <c r="D207" s="17"/>
      <c r="E207" s="17"/>
      <c r="F207" s="297"/>
      <c r="G207" s="17"/>
      <c r="H207" s="17"/>
      <c r="I207" s="17"/>
      <c r="J207" s="17"/>
      <c r="K207" s="17"/>
      <c r="L207" s="17"/>
      <c r="M207" s="17"/>
      <c r="N207" s="17"/>
      <c r="O207" s="17"/>
      <c r="P207" s="17"/>
      <c r="Q207" s="17"/>
      <c r="R207" s="17"/>
      <c r="S207" s="201"/>
      <c r="T207" s="201"/>
      <c r="U207" s="201"/>
      <c r="V207" s="201"/>
      <c r="W207" s="17"/>
      <c r="X207" s="17"/>
      <c r="Y207" s="17"/>
      <c r="Z207" s="17"/>
      <c r="AA207" s="17"/>
      <c r="AB207" s="17"/>
    </row>
    <row r="208">
      <c r="A208" s="17"/>
      <c r="B208" s="17"/>
      <c r="C208" s="17"/>
      <c r="D208" s="17"/>
      <c r="E208" s="17"/>
      <c r="F208" s="297"/>
      <c r="G208" s="17"/>
      <c r="H208" s="17"/>
      <c r="I208" s="17"/>
      <c r="J208" s="17"/>
      <c r="K208" s="17"/>
      <c r="L208" s="17"/>
      <c r="M208" s="17"/>
      <c r="N208" s="17"/>
      <c r="O208" s="17"/>
      <c r="P208" s="17"/>
      <c r="Q208" s="17"/>
      <c r="R208" s="17"/>
      <c r="S208" s="201"/>
      <c r="T208" s="201"/>
      <c r="U208" s="201"/>
      <c r="V208" s="201"/>
      <c r="W208" s="17"/>
      <c r="X208" s="17"/>
      <c r="Y208" s="17"/>
      <c r="Z208" s="17"/>
      <c r="AA208" s="17"/>
      <c r="AB208" s="17"/>
    </row>
    <row r="209">
      <c r="A209" s="17"/>
      <c r="B209" s="17"/>
      <c r="C209" s="17"/>
      <c r="D209" s="17"/>
      <c r="E209" s="17"/>
      <c r="F209" s="297"/>
      <c r="G209" s="17"/>
      <c r="H209" s="17"/>
      <c r="I209" s="17"/>
      <c r="J209" s="17"/>
      <c r="K209" s="17"/>
      <c r="L209" s="17"/>
      <c r="M209" s="17"/>
      <c r="N209" s="17"/>
      <c r="O209" s="17"/>
      <c r="P209" s="17"/>
      <c r="Q209" s="17"/>
      <c r="R209" s="17"/>
      <c r="S209" s="201"/>
      <c r="T209" s="201"/>
      <c r="U209" s="201"/>
      <c r="V209" s="201"/>
      <c r="W209" s="17"/>
      <c r="X209" s="17"/>
      <c r="Y209" s="17"/>
      <c r="Z209" s="17"/>
      <c r="AA209" s="17"/>
      <c r="AB209" s="17"/>
    </row>
    <row r="210">
      <c r="A210" s="17"/>
      <c r="B210" s="17"/>
      <c r="C210" s="17"/>
      <c r="D210" s="17"/>
      <c r="E210" s="17"/>
      <c r="F210" s="297"/>
      <c r="G210" s="17"/>
      <c r="H210" s="17"/>
      <c r="I210" s="17"/>
      <c r="J210" s="17"/>
      <c r="K210" s="17"/>
      <c r="L210" s="17"/>
      <c r="M210" s="17"/>
      <c r="N210" s="17"/>
      <c r="O210" s="17"/>
      <c r="P210" s="17"/>
      <c r="Q210" s="17"/>
      <c r="R210" s="17"/>
      <c r="S210" s="201"/>
      <c r="T210" s="201"/>
      <c r="U210" s="201"/>
      <c r="V210" s="201"/>
      <c r="W210" s="17"/>
      <c r="X210" s="17"/>
      <c r="Y210" s="17"/>
      <c r="Z210" s="17"/>
      <c r="AA210" s="17"/>
      <c r="AB210" s="17"/>
    </row>
    <row r="211">
      <c r="A211" s="17"/>
      <c r="B211" s="17"/>
      <c r="C211" s="17"/>
      <c r="D211" s="17"/>
      <c r="E211" s="17"/>
      <c r="F211" s="297"/>
      <c r="G211" s="17"/>
      <c r="H211" s="17"/>
      <c r="I211" s="17"/>
      <c r="J211" s="17"/>
      <c r="K211" s="17"/>
      <c r="L211" s="17"/>
      <c r="M211" s="17"/>
      <c r="N211" s="17"/>
      <c r="O211" s="17"/>
      <c r="P211" s="17"/>
      <c r="Q211" s="17"/>
      <c r="R211" s="17"/>
      <c r="S211" s="201"/>
      <c r="T211" s="201"/>
      <c r="U211" s="201"/>
      <c r="V211" s="201"/>
      <c r="W211" s="17"/>
      <c r="X211" s="17"/>
      <c r="Y211" s="17"/>
      <c r="Z211" s="17"/>
      <c r="AA211" s="17"/>
      <c r="AB211" s="17"/>
    </row>
    <row r="212">
      <c r="A212" s="17"/>
      <c r="B212" s="17"/>
      <c r="C212" s="17"/>
      <c r="D212" s="17"/>
      <c r="E212" s="17"/>
      <c r="F212" s="297"/>
      <c r="G212" s="17"/>
      <c r="H212" s="17"/>
      <c r="I212" s="17"/>
      <c r="J212" s="17"/>
      <c r="K212" s="17"/>
      <c r="L212" s="17"/>
      <c r="M212" s="17"/>
      <c r="N212" s="17"/>
      <c r="O212" s="17"/>
      <c r="P212" s="17"/>
      <c r="Q212" s="17"/>
      <c r="R212" s="17"/>
      <c r="S212" s="201"/>
      <c r="T212" s="201"/>
      <c r="U212" s="201"/>
      <c r="V212" s="201"/>
      <c r="W212" s="17"/>
      <c r="X212" s="17"/>
      <c r="Y212" s="17"/>
      <c r="Z212" s="17"/>
      <c r="AA212" s="17"/>
      <c r="AB212" s="17"/>
    </row>
    <row r="213">
      <c r="A213" s="17"/>
      <c r="B213" s="17"/>
      <c r="C213" s="17"/>
      <c r="D213" s="17"/>
      <c r="E213" s="17"/>
      <c r="F213" s="297"/>
      <c r="G213" s="17"/>
      <c r="H213" s="17"/>
      <c r="I213" s="17"/>
      <c r="J213" s="17"/>
      <c r="K213" s="17"/>
      <c r="L213" s="17"/>
      <c r="M213" s="17"/>
      <c r="N213" s="17"/>
      <c r="O213" s="17"/>
      <c r="P213" s="17"/>
      <c r="Q213" s="17"/>
      <c r="R213" s="17"/>
      <c r="S213" s="201"/>
      <c r="T213" s="201"/>
      <c r="U213" s="201"/>
      <c r="V213" s="201"/>
      <c r="W213" s="17"/>
      <c r="X213" s="17"/>
      <c r="Y213" s="17"/>
      <c r="Z213" s="17"/>
      <c r="AA213" s="17"/>
      <c r="AB213" s="17"/>
    </row>
    <row r="214">
      <c r="A214" s="17"/>
      <c r="B214" s="17"/>
      <c r="C214" s="17"/>
      <c r="D214" s="17"/>
      <c r="E214" s="17"/>
      <c r="F214" s="297"/>
      <c r="G214" s="17"/>
      <c r="H214" s="17"/>
      <c r="I214" s="17"/>
      <c r="J214" s="17"/>
      <c r="K214" s="17"/>
      <c r="L214" s="17"/>
      <c r="M214" s="17"/>
      <c r="N214" s="17"/>
      <c r="O214" s="17"/>
      <c r="P214" s="17"/>
      <c r="Q214" s="17"/>
      <c r="R214" s="17"/>
      <c r="S214" s="201"/>
      <c r="T214" s="201"/>
      <c r="U214" s="201"/>
      <c r="V214" s="201"/>
      <c r="W214" s="17"/>
      <c r="X214" s="17"/>
      <c r="Y214" s="17"/>
      <c r="Z214" s="17"/>
      <c r="AA214" s="17"/>
      <c r="AB214" s="17"/>
    </row>
    <row r="215">
      <c r="A215" s="17"/>
      <c r="B215" s="17"/>
      <c r="C215" s="17"/>
      <c r="D215" s="17"/>
      <c r="E215" s="17"/>
      <c r="F215" s="297"/>
      <c r="G215" s="17"/>
      <c r="H215" s="17"/>
      <c r="I215" s="17"/>
      <c r="J215" s="17"/>
      <c r="K215" s="17"/>
      <c r="L215" s="17"/>
      <c r="M215" s="17"/>
      <c r="N215" s="17"/>
      <c r="O215" s="17"/>
      <c r="P215" s="17"/>
      <c r="Q215" s="17"/>
      <c r="R215" s="17"/>
      <c r="S215" s="201"/>
      <c r="T215" s="201"/>
      <c r="U215" s="201"/>
      <c r="V215" s="201"/>
      <c r="W215" s="17"/>
      <c r="X215" s="17"/>
      <c r="Y215" s="17"/>
      <c r="Z215" s="17"/>
      <c r="AA215" s="17"/>
      <c r="AB215" s="17"/>
    </row>
    <row r="216">
      <c r="A216" s="17"/>
      <c r="B216" s="17"/>
      <c r="C216" s="17"/>
      <c r="D216" s="17"/>
      <c r="E216" s="17"/>
      <c r="F216" s="297"/>
      <c r="G216" s="17"/>
      <c r="H216" s="17"/>
      <c r="I216" s="17"/>
      <c r="J216" s="17"/>
      <c r="K216" s="17"/>
      <c r="L216" s="17"/>
      <c r="M216" s="17"/>
      <c r="N216" s="17"/>
      <c r="O216" s="17"/>
      <c r="P216" s="17"/>
      <c r="Q216" s="17"/>
      <c r="R216" s="17"/>
      <c r="S216" s="201"/>
      <c r="T216" s="201"/>
      <c r="U216" s="201"/>
      <c r="V216" s="201"/>
      <c r="W216" s="17"/>
      <c r="X216" s="17"/>
      <c r="Y216" s="17"/>
      <c r="Z216" s="17"/>
      <c r="AA216" s="17"/>
      <c r="AB216" s="17"/>
    </row>
    <row r="217">
      <c r="A217" s="17"/>
      <c r="B217" s="17"/>
      <c r="C217" s="17"/>
      <c r="D217" s="17"/>
      <c r="E217" s="17"/>
      <c r="F217" s="297"/>
      <c r="G217" s="17"/>
      <c r="H217" s="17"/>
      <c r="I217" s="17"/>
      <c r="J217" s="17"/>
      <c r="K217" s="17"/>
      <c r="L217" s="17"/>
      <c r="M217" s="17"/>
      <c r="N217" s="17"/>
      <c r="O217" s="17"/>
      <c r="P217" s="17"/>
      <c r="Q217" s="17"/>
      <c r="R217" s="17"/>
      <c r="S217" s="201"/>
      <c r="T217" s="201"/>
      <c r="U217" s="201"/>
      <c r="V217" s="201"/>
      <c r="W217" s="17"/>
      <c r="X217" s="17"/>
      <c r="Y217" s="17"/>
      <c r="Z217" s="17"/>
      <c r="AA217" s="17"/>
      <c r="AB217" s="17"/>
    </row>
    <row r="218">
      <c r="A218" s="17"/>
      <c r="B218" s="17"/>
      <c r="C218" s="17"/>
      <c r="D218" s="17"/>
      <c r="E218" s="17"/>
      <c r="F218" s="297"/>
      <c r="G218" s="17"/>
      <c r="H218" s="17"/>
      <c r="I218" s="17"/>
      <c r="J218" s="17"/>
      <c r="K218" s="17"/>
      <c r="L218" s="17"/>
      <c r="M218" s="17"/>
      <c r="N218" s="17"/>
      <c r="O218" s="17"/>
      <c r="P218" s="17"/>
      <c r="Q218" s="17"/>
      <c r="R218" s="17"/>
      <c r="S218" s="201"/>
      <c r="T218" s="201"/>
      <c r="U218" s="201"/>
      <c r="V218" s="201"/>
      <c r="W218" s="17"/>
      <c r="X218" s="17"/>
      <c r="Y218" s="17"/>
      <c r="Z218" s="17"/>
      <c r="AA218" s="17"/>
      <c r="AB218" s="17"/>
    </row>
    <row r="219">
      <c r="A219" s="17"/>
      <c r="B219" s="17"/>
      <c r="C219" s="17"/>
      <c r="D219" s="17"/>
      <c r="E219" s="17"/>
      <c r="F219" s="297"/>
      <c r="G219" s="17"/>
      <c r="H219" s="17"/>
      <c r="I219" s="17"/>
      <c r="J219" s="17"/>
      <c r="K219" s="17"/>
      <c r="L219" s="17"/>
      <c r="M219" s="17"/>
      <c r="N219" s="17"/>
      <c r="O219" s="17"/>
      <c r="P219" s="17"/>
      <c r="Q219" s="17"/>
      <c r="R219" s="17"/>
      <c r="S219" s="201"/>
      <c r="T219" s="201"/>
      <c r="U219" s="201"/>
      <c r="V219" s="201"/>
      <c r="W219" s="17"/>
      <c r="X219" s="17"/>
      <c r="Y219" s="17"/>
      <c r="Z219" s="17"/>
      <c r="AA219" s="17"/>
      <c r="AB219" s="17"/>
    </row>
    <row r="220">
      <c r="A220" s="17"/>
      <c r="B220" s="17"/>
      <c r="C220" s="17"/>
      <c r="D220" s="17"/>
      <c r="E220" s="17"/>
      <c r="F220" s="297"/>
      <c r="G220" s="17"/>
      <c r="H220" s="17"/>
      <c r="I220" s="17"/>
      <c r="J220" s="17"/>
      <c r="K220" s="17"/>
      <c r="L220" s="17"/>
      <c r="M220" s="17"/>
      <c r="N220" s="17"/>
      <c r="O220" s="17"/>
      <c r="P220" s="17"/>
      <c r="Q220" s="17"/>
      <c r="R220" s="17"/>
      <c r="S220" s="201"/>
      <c r="T220" s="201"/>
      <c r="U220" s="201"/>
      <c r="V220" s="201"/>
      <c r="W220" s="17"/>
      <c r="X220" s="17"/>
      <c r="Y220" s="17"/>
      <c r="Z220" s="17"/>
      <c r="AA220" s="17"/>
      <c r="AB220" s="17"/>
    </row>
    <row r="221">
      <c r="A221" s="17"/>
      <c r="B221" s="17"/>
      <c r="C221" s="17"/>
      <c r="D221" s="17"/>
      <c r="E221" s="17"/>
      <c r="F221" s="297"/>
      <c r="G221" s="17"/>
      <c r="H221" s="17"/>
      <c r="I221" s="17"/>
      <c r="J221" s="17"/>
      <c r="K221" s="17"/>
      <c r="L221" s="17"/>
      <c r="M221" s="17"/>
      <c r="N221" s="17"/>
      <c r="O221" s="17"/>
      <c r="P221" s="17"/>
      <c r="Q221" s="17"/>
      <c r="R221" s="17"/>
      <c r="S221" s="201"/>
      <c r="T221" s="201"/>
      <c r="U221" s="201"/>
      <c r="V221" s="201"/>
      <c r="W221" s="17"/>
      <c r="X221" s="17"/>
      <c r="Y221" s="17"/>
      <c r="Z221" s="17"/>
      <c r="AA221" s="17"/>
      <c r="AB221" s="17"/>
    </row>
    <row r="222">
      <c r="A222" s="17"/>
      <c r="B222" s="17"/>
      <c r="C222" s="17"/>
      <c r="D222" s="17"/>
      <c r="E222" s="17"/>
      <c r="F222" s="297"/>
      <c r="G222" s="17"/>
      <c r="H222" s="17"/>
      <c r="I222" s="17"/>
      <c r="J222" s="17"/>
      <c r="K222" s="17"/>
      <c r="L222" s="17"/>
      <c r="M222" s="17"/>
      <c r="N222" s="17"/>
      <c r="O222" s="17"/>
      <c r="P222" s="17"/>
      <c r="Q222" s="17"/>
      <c r="R222" s="17"/>
      <c r="S222" s="201"/>
      <c r="T222" s="201"/>
      <c r="U222" s="201"/>
      <c r="V222" s="201"/>
      <c r="W222" s="17"/>
      <c r="X222" s="17"/>
      <c r="Y222" s="17"/>
      <c r="Z222" s="17"/>
      <c r="AA222" s="17"/>
      <c r="AB222" s="17"/>
    </row>
    <row r="223">
      <c r="A223" s="17"/>
      <c r="B223" s="17"/>
      <c r="C223" s="17"/>
      <c r="D223" s="17"/>
      <c r="E223" s="17"/>
      <c r="F223" s="297"/>
      <c r="G223" s="17"/>
      <c r="H223" s="17"/>
      <c r="I223" s="17"/>
      <c r="J223" s="17"/>
      <c r="K223" s="17"/>
      <c r="L223" s="17"/>
      <c r="M223" s="17"/>
      <c r="N223" s="17"/>
      <c r="O223" s="17"/>
      <c r="P223" s="17"/>
      <c r="Q223" s="17"/>
      <c r="R223" s="17"/>
      <c r="S223" s="201"/>
      <c r="T223" s="201"/>
      <c r="U223" s="201"/>
      <c r="V223" s="201"/>
      <c r="W223" s="17"/>
      <c r="X223" s="17"/>
      <c r="Y223" s="17"/>
      <c r="Z223" s="17"/>
      <c r="AA223" s="17"/>
      <c r="AB223" s="17"/>
    </row>
    <row r="224">
      <c r="A224" s="17"/>
      <c r="B224" s="17"/>
      <c r="C224" s="17"/>
      <c r="D224" s="17"/>
      <c r="E224" s="17"/>
      <c r="F224" s="297"/>
      <c r="G224" s="17"/>
      <c r="H224" s="17"/>
      <c r="I224" s="17"/>
      <c r="J224" s="17"/>
      <c r="K224" s="17"/>
      <c r="L224" s="17"/>
      <c r="M224" s="17"/>
      <c r="N224" s="17"/>
      <c r="O224" s="17"/>
      <c r="P224" s="17"/>
      <c r="Q224" s="17"/>
      <c r="R224" s="17"/>
      <c r="S224" s="201"/>
      <c r="T224" s="201"/>
      <c r="U224" s="201"/>
      <c r="V224" s="201"/>
      <c r="W224" s="17"/>
      <c r="X224" s="17"/>
      <c r="Y224" s="17"/>
      <c r="Z224" s="17"/>
      <c r="AA224" s="17"/>
      <c r="AB224" s="17"/>
    </row>
    <row r="225">
      <c r="A225" s="17"/>
      <c r="B225" s="17"/>
      <c r="C225" s="17"/>
      <c r="D225" s="17"/>
      <c r="E225" s="17"/>
      <c r="F225" s="297"/>
      <c r="G225" s="17"/>
      <c r="H225" s="17"/>
      <c r="I225" s="17"/>
      <c r="J225" s="17"/>
      <c r="K225" s="17"/>
      <c r="L225" s="17"/>
      <c r="M225" s="17"/>
      <c r="N225" s="17"/>
      <c r="O225" s="17"/>
      <c r="P225" s="17"/>
      <c r="Q225" s="17"/>
      <c r="R225" s="17"/>
      <c r="S225" s="201"/>
      <c r="T225" s="201"/>
      <c r="U225" s="201"/>
      <c r="V225" s="201"/>
      <c r="W225" s="17"/>
      <c r="X225" s="17"/>
      <c r="Y225" s="17"/>
      <c r="Z225" s="17"/>
      <c r="AA225" s="17"/>
      <c r="AB225" s="17"/>
    </row>
    <row r="226">
      <c r="A226" s="17"/>
      <c r="B226" s="17"/>
      <c r="C226" s="17"/>
      <c r="D226" s="17"/>
      <c r="E226" s="17"/>
      <c r="F226" s="297"/>
      <c r="G226" s="17"/>
      <c r="H226" s="17"/>
      <c r="I226" s="17"/>
      <c r="J226" s="17"/>
      <c r="K226" s="17"/>
      <c r="L226" s="17"/>
      <c r="M226" s="17"/>
      <c r="N226" s="17"/>
      <c r="O226" s="17"/>
      <c r="P226" s="17"/>
      <c r="Q226" s="17"/>
      <c r="R226" s="17"/>
      <c r="S226" s="201"/>
      <c r="T226" s="201"/>
      <c r="U226" s="201"/>
      <c r="V226" s="201"/>
      <c r="W226" s="17"/>
      <c r="X226" s="17"/>
      <c r="Y226" s="17"/>
      <c r="Z226" s="17"/>
      <c r="AA226" s="17"/>
      <c r="AB226" s="17"/>
    </row>
    <row r="227">
      <c r="A227" s="17"/>
      <c r="B227" s="17"/>
      <c r="C227" s="17"/>
      <c r="D227" s="17"/>
      <c r="E227" s="17"/>
      <c r="F227" s="297"/>
      <c r="G227" s="17"/>
      <c r="H227" s="17"/>
      <c r="I227" s="17"/>
      <c r="J227" s="17"/>
      <c r="K227" s="17"/>
      <c r="L227" s="17"/>
      <c r="M227" s="17"/>
      <c r="N227" s="17"/>
      <c r="O227" s="17"/>
      <c r="P227" s="17"/>
      <c r="Q227" s="17"/>
      <c r="R227" s="17"/>
      <c r="S227" s="201"/>
      <c r="T227" s="201"/>
      <c r="U227" s="201"/>
      <c r="V227" s="201"/>
      <c r="W227" s="17"/>
      <c r="X227" s="17"/>
      <c r="Y227" s="17"/>
      <c r="Z227" s="17"/>
      <c r="AA227" s="17"/>
      <c r="AB227" s="17"/>
    </row>
    <row r="228">
      <c r="A228" s="17"/>
      <c r="B228" s="17"/>
      <c r="C228" s="17"/>
      <c r="D228" s="17"/>
      <c r="E228" s="17"/>
      <c r="F228" s="297"/>
      <c r="G228" s="17"/>
      <c r="H228" s="17"/>
      <c r="I228" s="17"/>
      <c r="J228" s="17"/>
      <c r="K228" s="17"/>
      <c r="L228" s="17"/>
      <c r="M228" s="17"/>
      <c r="N228" s="17"/>
      <c r="O228" s="17"/>
      <c r="P228" s="17"/>
      <c r="Q228" s="17"/>
      <c r="R228" s="17"/>
      <c r="S228" s="201"/>
      <c r="T228" s="201"/>
      <c r="U228" s="201"/>
      <c r="V228" s="201"/>
      <c r="W228" s="17"/>
      <c r="X228" s="17"/>
      <c r="Y228" s="17"/>
      <c r="Z228" s="17"/>
      <c r="AA228" s="17"/>
      <c r="AB228" s="17"/>
    </row>
    <row r="229">
      <c r="A229" s="17"/>
      <c r="B229" s="17"/>
      <c r="C229" s="17"/>
      <c r="D229" s="17"/>
      <c r="E229" s="17"/>
      <c r="F229" s="297"/>
      <c r="G229" s="17"/>
      <c r="H229" s="17"/>
      <c r="I229" s="17"/>
      <c r="J229" s="17"/>
      <c r="K229" s="17"/>
      <c r="L229" s="17"/>
      <c r="M229" s="17"/>
      <c r="N229" s="17"/>
      <c r="O229" s="17"/>
      <c r="P229" s="17"/>
      <c r="Q229" s="17"/>
      <c r="R229" s="17"/>
      <c r="S229" s="201"/>
      <c r="T229" s="201"/>
      <c r="U229" s="201"/>
      <c r="V229" s="201"/>
      <c r="W229" s="17"/>
      <c r="X229" s="17"/>
      <c r="Y229" s="17"/>
      <c r="Z229" s="17"/>
      <c r="AA229" s="17"/>
      <c r="AB229" s="17"/>
    </row>
    <row r="230">
      <c r="A230" s="17"/>
      <c r="B230" s="17"/>
      <c r="C230" s="17"/>
      <c r="D230" s="17"/>
      <c r="E230" s="17"/>
      <c r="F230" s="297"/>
      <c r="G230" s="17"/>
      <c r="H230" s="17"/>
      <c r="I230" s="17"/>
      <c r="J230" s="17"/>
      <c r="K230" s="17"/>
      <c r="L230" s="17"/>
      <c r="M230" s="17"/>
      <c r="N230" s="17"/>
      <c r="O230" s="17"/>
      <c r="P230" s="17"/>
      <c r="Q230" s="17"/>
      <c r="R230" s="17"/>
      <c r="S230" s="201"/>
      <c r="T230" s="201"/>
      <c r="U230" s="201"/>
      <c r="V230" s="201"/>
      <c r="W230" s="17"/>
      <c r="X230" s="17"/>
      <c r="Y230" s="17"/>
      <c r="Z230" s="17"/>
      <c r="AA230" s="17"/>
      <c r="AB230" s="17"/>
    </row>
    <row r="231">
      <c r="A231" s="17"/>
      <c r="B231" s="17"/>
      <c r="C231" s="17"/>
      <c r="D231" s="17"/>
      <c r="E231" s="17"/>
      <c r="F231" s="297"/>
      <c r="G231" s="17"/>
      <c r="H231" s="17"/>
      <c r="I231" s="17"/>
      <c r="J231" s="17"/>
      <c r="K231" s="17"/>
      <c r="L231" s="17"/>
      <c r="M231" s="17"/>
      <c r="N231" s="17"/>
      <c r="O231" s="17"/>
      <c r="P231" s="17"/>
      <c r="Q231" s="17"/>
      <c r="R231" s="17"/>
      <c r="S231" s="201"/>
      <c r="T231" s="201"/>
      <c r="U231" s="201"/>
      <c r="V231" s="201"/>
      <c r="W231" s="17"/>
      <c r="X231" s="17"/>
      <c r="Y231" s="17"/>
      <c r="Z231" s="17"/>
      <c r="AA231" s="17"/>
      <c r="AB231" s="17"/>
    </row>
    <row r="232">
      <c r="A232" s="17"/>
      <c r="B232" s="17"/>
      <c r="C232" s="17"/>
      <c r="D232" s="17"/>
      <c r="E232" s="17"/>
      <c r="F232" s="297"/>
      <c r="G232" s="17"/>
      <c r="H232" s="17"/>
      <c r="I232" s="17"/>
      <c r="J232" s="17"/>
      <c r="K232" s="17"/>
      <c r="L232" s="17"/>
      <c r="M232" s="17"/>
      <c r="N232" s="17"/>
      <c r="O232" s="17"/>
      <c r="P232" s="17"/>
      <c r="Q232" s="17"/>
      <c r="R232" s="17"/>
      <c r="S232" s="201"/>
      <c r="T232" s="201"/>
      <c r="U232" s="201"/>
      <c r="V232" s="201"/>
      <c r="W232" s="17"/>
      <c r="X232" s="17"/>
      <c r="Y232" s="17"/>
      <c r="Z232" s="17"/>
      <c r="AA232" s="17"/>
      <c r="AB232" s="17"/>
    </row>
    <row r="233">
      <c r="A233" s="17"/>
      <c r="B233" s="17"/>
      <c r="C233" s="17"/>
      <c r="D233" s="17"/>
      <c r="E233" s="17"/>
      <c r="F233" s="297"/>
      <c r="G233" s="17"/>
      <c r="H233" s="17"/>
      <c r="I233" s="17"/>
      <c r="J233" s="17"/>
      <c r="K233" s="17"/>
      <c r="L233" s="17"/>
      <c r="M233" s="17"/>
      <c r="N233" s="17"/>
      <c r="O233" s="17"/>
      <c r="P233" s="17"/>
      <c r="Q233" s="17"/>
      <c r="R233" s="17"/>
      <c r="S233" s="201"/>
      <c r="T233" s="201"/>
      <c r="U233" s="201"/>
      <c r="V233" s="201"/>
      <c r="W233" s="17"/>
      <c r="X233" s="17"/>
      <c r="Y233" s="17"/>
      <c r="Z233" s="17"/>
      <c r="AA233" s="17"/>
      <c r="AB233" s="17"/>
    </row>
    <row r="234">
      <c r="A234" s="17"/>
      <c r="B234" s="17"/>
      <c r="C234" s="17"/>
      <c r="D234" s="17"/>
      <c r="E234" s="17"/>
      <c r="F234" s="297"/>
      <c r="G234" s="17"/>
      <c r="H234" s="17"/>
      <c r="I234" s="17"/>
      <c r="J234" s="17"/>
      <c r="K234" s="17"/>
      <c r="L234" s="17"/>
      <c r="M234" s="17"/>
      <c r="N234" s="17"/>
      <c r="O234" s="17"/>
      <c r="P234" s="17"/>
      <c r="Q234" s="17"/>
      <c r="R234" s="17"/>
      <c r="S234" s="201"/>
      <c r="T234" s="201"/>
      <c r="U234" s="201"/>
      <c r="V234" s="201"/>
      <c r="W234" s="17"/>
      <c r="X234" s="17"/>
      <c r="Y234" s="17"/>
      <c r="Z234" s="17"/>
      <c r="AA234" s="17"/>
      <c r="AB234" s="17"/>
    </row>
    <row r="235">
      <c r="A235" s="17"/>
      <c r="B235" s="17"/>
      <c r="C235" s="17"/>
      <c r="D235" s="17"/>
      <c r="E235" s="17"/>
      <c r="F235" s="297"/>
      <c r="G235" s="17"/>
      <c r="H235" s="17"/>
      <c r="I235" s="17"/>
      <c r="J235" s="17"/>
      <c r="K235" s="17"/>
      <c r="L235" s="17"/>
      <c r="M235" s="17"/>
      <c r="N235" s="17"/>
      <c r="O235" s="17"/>
      <c r="P235" s="17"/>
      <c r="Q235" s="17"/>
      <c r="R235" s="17"/>
      <c r="S235" s="201"/>
      <c r="T235" s="201"/>
      <c r="U235" s="201"/>
      <c r="V235" s="201"/>
      <c r="W235" s="17"/>
      <c r="X235" s="17"/>
      <c r="Y235" s="17"/>
      <c r="Z235" s="17"/>
      <c r="AA235" s="17"/>
      <c r="AB235" s="17"/>
    </row>
    <row r="236">
      <c r="A236" s="17"/>
      <c r="B236" s="17"/>
      <c r="C236" s="17"/>
      <c r="D236" s="17"/>
      <c r="E236" s="17"/>
      <c r="F236" s="297"/>
      <c r="G236" s="17"/>
      <c r="H236" s="17"/>
      <c r="I236" s="17"/>
      <c r="J236" s="17"/>
      <c r="K236" s="17"/>
      <c r="L236" s="17"/>
      <c r="M236" s="17"/>
      <c r="N236" s="17"/>
      <c r="O236" s="17"/>
      <c r="P236" s="17"/>
      <c r="Q236" s="17"/>
      <c r="R236" s="17"/>
      <c r="S236" s="201"/>
      <c r="T236" s="201"/>
      <c r="U236" s="201"/>
      <c r="V236" s="201"/>
      <c r="W236" s="17"/>
      <c r="X236" s="17"/>
      <c r="Y236" s="17"/>
      <c r="Z236" s="17"/>
      <c r="AA236" s="17"/>
      <c r="AB236" s="17"/>
    </row>
    <row r="237">
      <c r="A237" s="17"/>
      <c r="B237" s="17"/>
      <c r="C237" s="17"/>
      <c r="D237" s="17"/>
      <c r="E237" s="17"/>
      <c r="F237" s="297"/>
      <c r="G237" s="17"/>
      <c r="H237" s="17"/>
      <c r="I237" s="17"/>
      <c r="J237" s="17"/>
      <c r="K237" s="17"/>
      <c r="L237" s="17"/>
      <c r="M237" s="17"/>
      <c r="N237" s="17"/>
      <c r="O237" s="17"/>
      <c r="P237" s="17"/>
      <c r="Q237" s="17"/>
      <c r="R237" s="17"/>
      <c r="S237" s="201"/>
      <c r="T237" s="201"/>
      <c r="U237" s="201"/>
      <c r="V237" s="201"/>
      <c r="W237" s="17"/>
      <c r="X237" s="17"/>
      <c r="Y237" s="17"/>
      <c r="Z237" s="17"/>
      <c r="AA237" s="17"/>
      <c r="AB237" s="17"/>
    </row>
    <row r="238">
      <c r="A238" s="17"/>
      <c r="B238" s="17"/>
      <c r="C238" s="17"/>
      <c r="D238" s="17"/>
      <c r="E238" s="17"/>
      <c r="F238" s="297"/>
      <c r="G238" s="17"/>
      <c r="H238" s="17"/>
      <c r="I238" s="17"/>
      <c r="J238" s="17"/>
      <c r="K238" s="17"/>
      <c r="L238" s="17"/>
      <c r="M238" s="17"/>
      <c r="N238" s="17"/>
      <c r="O238" s="17"/>
      <c r="P238" s="17"/>
      <c r="Q238" s="17"/>
      <c r="R238" s="17"/>
      <c r="S238" s="201"/>
      <c r="T238" s="201"/>
      <c r="U238" s="201"/>
      <c r="V238" s="201"/>
      <c r="W238" s="17"/>
      <c r="X238" s="17"/>
      <c r="Y238" s="17"/>
      <c r="Z238" s="17"/>
      <c r="AA238" s="17"/>
      <c r="AB238" s="17"/>
    </row>
    <row r="239">
      <c r="A239" s="17"/>
      <c r="B239" s="17"/>
      <c r="C239" s="17"/>
      <c r="D239" s="17"/>
      <c r="E239" s="17"/>
      <c r="F239" s="297"/>
      <c r="G239" s="17"/>
      <c r="H239" s="17"/>
      <c r="I239" s="17"/>
      <c r="J239" s="17"/>
      <c r="K239" s="17"/>
      <c r="L239" s="17"/>
      <c r="M239" s="17"/>
      <c r="N239" s="17"/>
      <c r="O239" s="17"/>
      <c r="P239" s="17"/>
      <c r="Q239" s="17"/>
      <c r="R239" s="17"/>
      <c r="S239" s="201"/>
      <c r="T239" s="201"/>
      <c r="U239" s="201"/>
      <c r="V239" s="201"/>
      <c r="W239" s="17"/>
      <c r="X239" s="17"/>
      <c r="Y239" s="17"/>
      <c r="Z239" s="17"/>
      <c r="AA239" s="17"/>
      <c r="AB239" s="17"/>
    </row>
    <row r="240">
      <c r="A240" s="17"/>
      <c r="B240" s="17"/>
      <c r="C240" s="17"/>
      <c r="D240" s="17"/>
      <c r="E240" s="17"/>
      <c r="F240" s="297"/>
      <c r="G240" s="17"/>
      <c r="H240" s="17"/>
      <c r="I240" s="17"/>
      <c r="J240" s="17"/>
      <c r="K240" s="17"/>
      <c r="L240" s="17"/>
      <c r="M240" s="17"/>
      <c r="N240" s="17"/>
      <c r="O240" s="17"/>
      <c r="P240" s="17"/>
      <c r="Q240" s="17"/>
      <c r="R240" s="17"/>
      <c r="S240" s="201"/>
      <c r="T240" s="201"/>
      <c r="U240" s="201"/>
      <c r="V240" s="201"/>
      <c r="W240" s="17"/>
      <c r="X240" s="17"/>
      <c r="Y240" s="17"/>
      <c r="Z240" s="17"/>
      <c r="AA240" s="17"/>
      <c r="AB240" s="17"/>
    </row>
    <row r="241">
      <c r="A241" s="17"/>
      <c r="B241" s="17"/>
      <c r="C241" s="17"/>
      <c r="D241" s="17"/>
      <c r="E241" s="17"/>
      <c r="F241" s="297"/>
      <c r="G241" s="17"/>
      <c r="H241" s="17"/>
      <c r="I241" s="17"/>
      <c r="J241" s="17"/>
      <c r="K241" s="17"/>
      <c r="L241" s="17"/>
      <c r="M241" s="17"/>
      <c r="N241" s="17"/>
      <c r="O241" s="17"/>
      <c r="P241" s="17"/>
      <c r="Q241" s="17"/>
      <c r="R241" s="17"/>
      <c r="S241" s="201"/>
      <c r="T241" s="201"/>
      <c r="U241" s="201"/>
      <c r="V241" s="201"/>
      <c r="W241" s="17"/>
      <c r="X241" s="17"/>
      <c r="Y241" s="17"/>
      <c r="Z241" s="17"/>
      <c r="AA241" s="17"/>
      <c r="AB241" s="17"/>
    </row>
    <row r="242">
      <c r="A242" s="17"/>
      <c r="B242" s="17"/>
      <c r="C242" s="17"/>
      <c r="D242" s="17"/>
      <c r="E242" s="17"/>
      <c r="F242" s="297"/>
      <c r="G242" s="17"/>
      <c r="H242" s="17"/>
      <c r="I242" s="17"/>
      <c r="J242" s="17"/>
      <c r="K242" s="17"/>
      <c r="L242" s="17"/>
      <c r="M242" s="17"/>
      <c r="N242" s="17"/>
      <c r="O242" s="17"/>
      <c r="P242" s="17"/>
      <c r="Q242" s="17"/>
      <c r="R242" s="17"/>
      <c r="S242" s="201"/>
      <c r="T242" s="201"/>
      <c r="U242" s="201"/>
      <c r="V242" s="201"/>
      <c r="W242" s="17"/>
      <c r="X242" s="17"/>
      <c r="Y242" s="17"/>
      <c r="Z242" s="17"/>
      <c r="AA242" s="17"/>
      <c r="AB242" s="17"/>
    </row>
    <row r="243">
      <c r="A243" s="17"/>
      <c r="B243" s="17"/>
      <c r="C243" s="17"/>
      <c r="D243" s="17"/>
      <c r="E243" s="17"/>
      <c r="F243" s="297"/>
      <c r="G243" s="17"/>
      <c r="H243" s="17"/>
      <c r="I243" s="17"/>
      <c r="J243" s="17"/>
      <c r="K243" s="17"/>
      <c r="L243" s="17"/>
      <c r="M243" s="17"/>
      <c r="N243" s="17"/>
      <c r="O243" s="17"/>
      <c r="P243" s="17"/>
      <c r="Q243" s="17"/>
      <c r="R243" s="17"/>
      <c r="S243" s="201"/>
      <c r="T243" s="201"/>
      <c r="U243" s="201"/>
      <c r="V243" s="201"/>
      <c r="W243" s="17"/>
      <c r="X243" s="17"/>
      <c r="Y243" s="17"/>
      <c r="Z243" s="17"/>
      <c r="AA243" s="17"/>
      <c r="AB243" s="17"/>
    </row>
    <row r="244">
      <c r="A244" s="17"/>
      <c r="B244" s="17"/>
      <c r="C244" s="17"/>
      <c r="D244" s="17"/>
      <c r="E244" s="17"/>
      <c r="F244" s="297"/>
      <c r="G244" s="17"/>
      <c r="H244" s="17"/>
      <c r="I244" s="17"/>
      <c r="J244" s="17"/>
      <c r="K244" s="17"/>
      <c r="L244" s="17"/>
      <c r="M244" s="17"/>
      <c r="N244" s="17"/>
      <c r="O244" s="17"/>
      <c r="P244" s="17"/>
      <c r="Q244" s="17"/>
      <c r="R244" s="17"/>
      <c r="S244" s="201"/>
      <c r="T244" s="201"/>
      <c r="U244" s="201"/>
      <c r="V244" s="201"/>
      <c r="W244" s="17"/>
      <c r="X244" s="17"/>
      <c r="Y244" s="17"/>
      <c r="Z244" s="17"/>
      <c r="AA244" s="17"/>
      <c r="AB244" s="17"/>
    </row>
    <row r="245">
      <c r="A245" s="17"/>
      <c r="B245" s="17"/>
      <c r="C245" s="17"/>
      <c r="D245" s="17"/>
      <c r="E245" s="17"/>
      <c r="F245" s="297"/>
      <c r="G245" s="17"/>
      <c r="H245" s="17"/>
      <c r="I245" s="17"/>
      <c r="J245" s="17"/>
      <c r="K245" s="17"/>
      <c r="L245" s="17"/>
      <c r="M245" s="17"/>
      <c r="N245" s="17"/>
      <c r="O245" s="17"/>
      <c r="P245" s="17"/>
      <c r="Q245" s="17"/>
      <c r="R245" s="17"/>
      <c r="S245" s="201"/>
      <c r="T245" s="201"/>
      <c r="U245" s="201"/>
      <c r="V245" s="201"/>
      <c r="W245" s="17"/>
      <c r="X245" s="17"/>
      <c r="Y245" s="17"/>
      <c r="Z245" s="17"/>
      <c r="AA245" s="17"/>
      <c r="AB245" s="17"/>
    </row>
    <row r="246">
      <c r="A246" s="17"/>
      <c r="B246" s="17"/>
      <c r="C246" s="17"/>
      <c r="D246" s="17"/>
      <c r="E246" s="17"/>
      <c r="F246" s="297"/>
      <c r="G246" s="17"/>
      <c r="H246" s="17"/>
      <c r="I246" s="17"/>
      <c r="J246" s="17"/>
      <c r="K246" s="17"/>
      <c r="L246" s="17"/>
      <c r="M246" s="17"/>
      <c r="N246" s="17"/>
      <c r="O246" s="17"/>
      <c r="P246" s="17"/>
      <c r="Q246" s="17"/>
      <c r="R246" s="17"/>
      <c r="S246" s="201"/>
      <c r="T246" s="201"/>
      <c r="U246" s="201"/>
      <c r="V246" s="201"/>
      <c r="W246" s="17"/>
      <c r="X246" s="17"/>
      <c r="Y246" s="17"/>
      <c r="Z246" s="17"/>
      <c r="AA246" s="17"/>
      <c r="AB246" s="17"/>
    </row>
    <row r="247">
      <c r="A247" s="17"/>
      <c r="B247" s="17"/>
      <c r="C247" s="17"/>
      <c r="D247" s="17"/>
      <c r="E247" s="17"/>
      <c r="F247" s="297"/>
      <c r="G247" s="17"/>
      <c r="H247" s="17"/>
      <c r="I247" s="17"/>
      <c r="J247" s="17"/>
      <c r="K247" s="17"/>
      <c r="L247" s="17"/>
      <c r="M247" s="17"/>
      <c r="N247" s="17"/>
      <c r="O247" s="17"/>
      <c r="P247" s="17"/>
      <c r="Q247" s="17"/>
      <c r="R247" s="17"/>
      <c r="S247" s="201"/>
      <c r="T247" s="201"/>
      <c r="U247" s="201"/>
      <c r="V247" s="201"/>
      <c r="W247" s="17"/>
      <c r="X247" s="17"/>
      <c r="Y247" s="17"/>
      <c r="Z247" s="17"/>
      <c r="AA247" s="17"/>
      <c r="AB247" s="17"/>
    </row>
    <row r="248">
      <c r="A248" s="17"/>
      <c r="B248" s="17"/>
      <c r="C248" s="17"/>
      <c r="D248" s="17"/>
      <c r="E248" s="17"/>
      <c r="F248" s="297"/>
      <c r="G248" s="17"/>
      <c r="H248" s="17"/>
      <c r="I248" s="17"/>
      <c r="J248" s="17"/>
      <c r="K248" s="17"/>
      <c r="L248" s="17"/>
      <c r="M248" s="17"/>
      <c r="N248" s="17"/>
      <c r="O248" s="17"/>
      <c r="P248" s="17"/>
      <c r="Q248" s="17"/>
      <c r="R248" s="17"/>
      <c r="S248" s="201"/>
      <c r="T248" s="201"/>
      <c r="U248" s="201"/>
      <c r="V248" s="201"/>
      <c r="W248" s="17"/>
      <c r="X248" s="17"/>
      <c r="Y248" s="17"/>
      <c r="Z248" s="17"/>
      <c r="AA248" s="17"/>
      <c r="AB248" s="17"/>
    </row>
    <row r="249">
      <c r="A249" s="17"/>
      <c r="B249" s="17"/>
      <c r="C249" s="17"/>
      <c r="D249" s="17"/>
      <c r="E249" s="17"/>
      <c r="F249" s="297"/>
      <c r="G249" s="17"/>
      <c r="H249" s="17"/>
      <c r="I249" s="17"/>
      <c r="J249" s="17"/>
      <c r="K249" s="17"/>
      <c r="L249" s="17"/>
      <c r="M249" s="17"/>
      <c r="N249" s="17"/>
      <c r="O249" s="17"/>
      <c r="P249" s="17"/>
      <c r="Q249" s="17"/>
      <c r="R249" s="17"/>
      <c r="S249" s="201"/>
      <c r="T249" s="201"/>
      <c r="U249" s="201"/>
      <c r="V249" s="201"/>
      <c r="W249" s="17"/>
      <c r="X249" s="17"/>
      <c r="Y249" s="17"/>
      <c r="Z249" s="17"/>
      <c r="AA249" s="17"/>
      <c r="AB249" s="17"/>
    </row>
    <row r="250">
      <c r="A250" s="17"/>
      <c r="B250" s="17"/>
      <c r="C250" s="17"/>
      <c r="D250" s="17"/>
      <c r="E250" s="17"/>
      <c r="F250" s="297"/>
      <c r="G250" s="17"/>
      <c r="H250" s="17"/>
      <c r="I250" s="17"/>
      <c r="J250" s="17"/>
      <c r="K250" s="17"/>
      <c r="L250" s="17"/>
      <c r="M250" s="17"/>
      <c r="N250" s="17"/>
      <c r="O250" s="17"/>
      <c r="P250" s="17"/>
      <c r="Q250" s="17"/>
      <c r="R250" s="17"/>
      <c r="S250" s="201"/>
      <c r="T250" s="201"/>
      <c r="U250" s="201"/>
      <c r="V250" s="201"/>
      <c r="W250" s="17"/>
      <c r="X250" s="17"/>
      <c r="Y250" s="17"/>
      <c r="Z250" s="17"/>
      <c r="AA250" s="17"/>
      <c r="AB250" s="17"/>
    </row>
    <row r="251">
      <c r="A251" s="17"/>
      <c r="B251" s="17"/>
      <c r="C251" s="17"/>
      <c r="D251" s="17"/>
      <c r="E251" s="17"/>
      <c r="F251" s="297"/>
      <c r="G251" s="17"/>
      <c r="H251" s="17"/>
      <c r="I251" s="17"/>
      <c r="J251" s="17"/>
      <c r="K251" s="17"/>
      <c r="L251" s="17"/>
      <c r="M251" s="17"/>
      <c r="N251" s="17"/>
      <c r="O251" s="17"/>
      <c r="P251" s="17"/>
      <c r="Q251" s="17"/>
      <c r="R251" s="17"/>
      <c r="S251" s="201"/>
      <c r="T251" s="201"/>
      <c r="U251" s="201"/>
      <c r="V251" s="201"/>
      <c r="W251" s="17"/>
      <c r="X251" s="17"/>
      <c r="Y251" s="17"/>
      <c r="Z251" s="17"/>
      <c r="AA251" s="17"/>
      <c r="AB251" s="17"/>
    </row>
    <row r="252">
      <c r="A252" s="17"/>
      <c r="B252" s="17"/>
      <c r="C252" s="17"/>
      <c r="D252" s="17"/>
      <c r="E252" s="17"/>
      <c r="F252" s="297"/>
      <c r="G252" s="17"/>
      <c r="H252" s="17"/>
      <c r="I252" s="17"/>
      <c r="J252" s="17"/>
      <c r="K252" s="17"/>
      <c r="L252" s="17"/>
      <c r="M252" s="17"/>
      <c r="N252" s="17"/>
      <c r="O252" s="17"/>
      <c r="P252" s="17"/>
      <c r="Q252" s="17"/>
      <c r="R252" s="17"/>
      <c r="S252" s="201"/>
      <c r="T252" s="201"/>
      <c r="U252" s="201"/>
      <c r="V252" s="201"/>
      <c r="W252" s="17"/>
      <c r="X252" s="17"/>
      <c r="Y252" s="17"/>
      <c r="Z252" s="17"/>
      <c r="AA252" s="17"/>
      <c r="AB252" s="17"/>
    </row>
    <row r="253">
      <c r="A253" s="17"/>
      <c r="B253" s="17"/>
      <c r="C253" s="17"/>
      <c r="D253" s="17"/>
      <c r="E253" s="17"/>
      <c r="F253" s="297"/>
      <c r="G253" s="17"/>
      <c r="H253" s="17"/>
      <c r="I253" s="17"/>
      <c r="J253" s="17"/>
      <c r="K253" s="17"/>
      <c r="L253" s="17"/>
      <c r="M253" s="17"/>
      <c r="N253" s="17"/>
      <c r="O253" s="17"/>
      <c r="P253" s="17"/>
      <c r="Q253" s="17"/>
      <c r="R253" s="17"/>
      <c r="S253" s="201"/>
      <c r="T253" s="201"/>
      <c r="U253" s="201"/>
      <c r="V253" s="201"/>
      <c r="W253" s="17"/>
      <c r="X253" s="17"/>
      <c r="Y253" s="17"/>
      <c r="Z253" s="17"/>
      <c r="AA253" s="17"/>
      <c r="AB253" s="17"/>
    </row>
    <row r="254">
      <c r="A254" s="17"/>
      <c r="B254" s="17"/>
      <c r="C254" s="17"/>
      <c r="D254" s="17"/>
      <c r="E254" s="17"/>
      <c r="F254" s="297"/>
      <c r="G254" s="17"/>
      <c r="H254" s="17"/>
      <c r="I254" s="17"/>
      <c r="J254" s="17"/>
      <c r="K254" s="17"/>
      <c r="L254" s="17"/>
      <c r="M254" s="17"/>
      <c r="N254" s="17"/>
      <c r="O254" s="17"/>
      <c r="P254" s="17"/>
      <c r="Q254" s="17"/>
      <c r="R254" s="17"/>
      <c r="S254" s="201"/>
      <c r="T254" s="201"/>
      <c r="U254" s="201"/>
      <c r="V254" s="201"/>
      <c r="W254" s="17"/>
      <c r="X254" s="17"/>
      <c r="Y254" s="17"/>
      <c r="Z254" s="17"/>
      <c r="AA254" s="17"/>
      <c r="AB254" s="17"/>
    </row>
    <row r="255">
      <c r="A255" s="17"/>
      <c r="B255" s="17"/>
      <c r="C255" s="17"/>
      <c r="D255" s="17"/>
      <c r="E255" s="17"/>
      <c r="F255" s="297"/>
      <c r="G255" s="17"/>
      <c r="H255" s="17"/>
      <c r="I255" s="17"/>
      <c r="J255" s="17"/>
      <c r="K255" s="17"/>
      <c r="L255" s="17"/>
      <c r="M255" s="17"/>
      <c r="N255" s="17"/>
      <c r="O255" s="17"/>
      <c r="P255" s="17"/>
      <c r="Q255" s="17"/>
      <c r="R255" s="17"/>
      <c r="S255" s="201"/>
      <c r="T255" s="201"/>
      <c r="U255" s="201"/>
      <c r="V255" s="201"/>
      <c r="W255" s="17"/>
      <c r="X255" s="17"/>
      <c r="Y255" s="17"/>
      <c r="Z255" s="17"/>
      <c r="AA255" s="17"/>
      <c r="AB255" s="17"/>
    </row>
    <row r="256">
      <c r="A256" s="17"/>
      <c r="B256" s="17"/>
      <c r="C256" s="17"/>
      <c r="D256" s="17"/>
      <c r="E256" s="17"/>
      <c r="F256" s="297"/>
      <c r="G256" s="17"/>
      <c r="H256" s="17"/>
      <c r="I256" s="17"/>
      <c r="J256" s="17"/>
      <c r="K256" s="17"/>
      <c r="L256" s="17"/>
      <c r="M256" s="17"/>
      <c r="N256" s="17"/>
      <c r="O256" s="17"/>
      <c r="P256" s="17"/>
      <c r="Q256" s="17"/>
      <c r="R256" s="17"/>
      <c r="S256" s="201"/>
      <c r="T256" s="201"/>
      <c r="U256" s="201"/>
      <c r="V256" s="201"/>
      <c r="W256" s="17"/>
      <c r="X256" s="17"/>
      <c r="Y256" s="17"/>
      <c r="Z256" s="17"/>
      <c r="AA256" s="17"/>
      <c r="AB256" s="17"/>
    </row>
    <row r="257">
      <c r="A257" s="17"/>
      <c r="B257" s="17"/>
      <c r="C257" s="17"/>
      <c r="D257" s="17"/>
      <c r="E257" s="17"/>
      <c r="F257" s="297"/>
      <c r="G257" s="17"/>
      <c r="H257" s="17"/>
      <c r="I257" s="17"/>
      <c r="J257" s="17"/>
      <c r="K257" s="17"/>
      <c r="L257" s="17"/>
      <c r="M257" s="17"/>
      <c r="N257" s="17"/>
      <c r="O257" s="17"/>
      <c r="P257" s="17"/>
      <c r="Q257" s="17"/>
      <c r="R257" s="17"/>
      <c r="S257" s="201"/>
      <c r="T257" s="201"/>
      <c r="U257" s="201"/>
      <c r="V257" s="201"/>
      <c r="W257" s="17"/>
      <c r="X257" s="17"/>
      <c r="Y257" s="17"/>
      <c r="Z257" s="17"/>
      <c r="AA257" s="17"/>
      <c r="AB257" s="17"/>
    </row>
    <row r="258">
      <c r="A258" s="17"/>
      <c r="B258" s="17"/>
      <c r="C258" s="17"/>
      <c r="D258" s="17"/>
      <c r="E258" s="17"/>
      <c r="F258" s="297"/>
      <c r="G258" s="17"/>
      <c r="H258" s="17"/>
      <c r="I258" s="17"/>
      <c r="J258" s="17"/>
      <c r="K258" s="17"/>
      <c r="L258" s="17"/>
      <c r="M258" s="17"/>
      <c r="N258" s="17"/>
      <c r="O258" s="17"/>
      <c r="P258" s="17"/>
      <c r="Q258" s="17"/>
      <c r="R258" s="17"/>
      <c r="S258" s="201"/>
      <c r="T258" s="201"/>
      <c r="U258" s="201"/>
      <c r="V258" s="201"/>
      <c r="W258" s="17"/>
      <c r="X258" s="17"/>
      <c r="Y258" s="17"/>
      <c r="Z258" s="17"/>
      <c r="AA258" s="17"/>
      <c r="AB258" s="17"/>
    </row>
    <row r="259">
      <c r="A259" s="17"/>
      <c r="B259" s="17"/>
      <c r="C259" s="17"/>
      <c r="D259" s="17"/>
      <c r="E259" s="17"/>
      <c r="F259" s="297"/>
      <c r="G259" s="17"/>
      <c r="H259" s="17"/>
      <c r="I259" s="17"/>
      <c r="J259" s="17"/>
      <c r="K259" s="17"/>
      <c r="L259" s="17"/>
      <c r="M259" s="17"/>
      <c r="N259" s="17"/>
      <c r="O259" s="17"/>
      <c r="P259" s="17"/>
      <c r="Q259" s="17"/>
      <c r="R259" s="17"/>
      <c r="S259" s="201"/>
      <c r="T259" s="201"/>
      <c r="U259" s="201"/>
      <c r="V259" s="201"/>
      <c r="W259" s="17"/>
      <c r="X259" s="17"/>
      <c r="Y259" s="17"/>
      <c r="Z259" s="17"/>
      <c r="AA259" s="17"/>
      <c r="AB259" s="17"/>
    </row>
    <row r="260">
      <c r="A260" s="17"/>
      <c r="B260" s="17"/>
      <c r="C260" s="17"/>
      <c r="D260" s="17"/>
      <c r="E260" s="17"/>
      <c r="F260" s="297"/>
      <c r="G260" s="17"/>
      <c r="H260" s="17"/>
      <c r="I260" s="17"/>
      <c r="J260" s="17"/>
      <c r="K260" s="17"/>
      <c r="L260" s="17"/>
      <c r="M260" s="17"/>
      <c r="N260" s="17"/>
      <c r="O260" s="17"/>
      <c r="P260" s="17"/>
      <c r="Q260" s="17"/>
      <c r="R260" s="17"/>
      <c r="S260" s="201"/>
      <c r="T260" s="201"/>
      <c r="U260" s="201"/>
      <c r="V260" s="201"/>
      <c r="W260" s="17"/>
      <c r="X260" s="17"/>
      <c r="Y260" s="17"/>
      <c r="Z260" s="17"/>
      <c r="AA260" s="17"/>
      <c r="AB260" s="17"/>
    </row>
    <row r="261">
      <c r="A261" s="17"/>
      <c r="B261" s="17"/>
      <c r="C261" s="17"/>
      <c r="D261" s="17"/>
      <c r="E261" s="17"/>
      <c r="F261" s="297"/>
      <c r="G261" s="17"/>
      <c r="H261" s="17"/>
      <c r="I261" s="17"/>
      <c r="J261" s="17"/>
      <c r="K261" s="17"/>
      <c r="L261" s="17"/>
      <c r="M261" s="17"/>
      <c r="N261" s="17"/>
      <c r="O261" s="17"/>
      <c r="P261" s="17"/>
      <c r="Q261" s="17"/>
      <c r="R261" s="17"/>
      <c r="S261" s="201"/>
      <c r="T261" s="201"/>
      <c r="U261" s="201"/>
      <c r="V261" s="201"/>
      <c r="W261" s="17"/>
      <c r="X261" s="17"/>
      <c r="Y261" s="17"/>
      <c r="Z261" s="17"/>
      <c r="AA261" s="17"/>
      <c r="AB261" s="17"/>
    </row>
    <row r="262">
      <c r="A262" s="17"/>
      <c r="B262" s="17"/>
      <c r="C262" s="17"/>
      <c r="D262" s="17"/>
      <c r="E262" s="17"/>
      <c r="F262" s="297"/>
      <c r="G262" s="17"/>
      <c r="H262" s="17"/>
      <c r="I262" s="17"/>
      <c r="J262" s="17"/>
      <c r="K262" s="17"/>
      <c r="L262" s="17"/>
      <c r="M262" s="17"/>
      <c r="N262" s="17"/>
      <c r="O262" s="17"/>
      <c r="P262" s="17"/>
      <c r="Q262" s="17"/>
      <c r="R262" s="17"/>
      <c r="S262" s="201"/>
      <c r="T262" s="201"/>
      <c r="U262" s="201"/>
      <c r="V262" s="201"/>
      <c r="W262" s="17"/>
      <c r="X262" s="17"/>
      <c r="Y262" s="17"/>
      <c r="Z262" s="17"/>
      <c r="AA262" s="17"/>
      <c r="AB262" s="17"/>
    </row>
    <row r="263">
      <c r="A263" s="17"/>
      <c r="B263" s="17"/>
      <c r="C263" s="17"/>
      <c r="D263" s="17"/>
      <c r="E263" s="17"/>
      <c r="F263" s="297"/>
      <c r="G263" s="17"/>
      <c r="H263" s="17"/>
      <c r="I263" s="17"/>
      <c r="J263" s="17"/>
      <c r="K263" s="17"/>
      <c r="L263" s="17"/>
      <c r="M263" s="17"/>
      <c r="N263" s="17"/>
      <c r="O263" s="17"/>
      <c r="P263" s="17"/>
      <c r="Q263" s="17"/>
      <c r="R263" s="17"/>
      <c r="S263" s="201"/>
      <c r="T263" s="201"/>
      <c r="U263" s="201"/>
      <c r="V263" s="201"/>
      <c r="W263" s="17"/>
      <c r="X263" s="17"/>
      <c r="Y263" s="17"/>
      <c r="Z263" s="17"/>
      <c r="AA263" s="17"/>
      <c r="AB263" s="17"/>
    </row>
    <row r="264">
      <c r="A264" s="17"/>
      <c r="B264" s="17"/>
      <c r="C264" s="17"/>
      <c r="D264" s="17"/>
      <c r="E264" s="17"/>
      <c r="F264" s="297"/>
      <c r="G264" s="17"/>
      <c r="H264" s="17"/>
      <c r="I264" s="17"/>
      <c r="J264" s="17"/>
      <c r="K264" s="17"/>
      <c r="L264" s="17"/>
      <c r="M264" s="17"/>
      <c r="N264" s="17"/>
      <c r="O264" s="17"/>
      <c r="P264" s="17"/>
      <c r="Q264" s="17"/>
      <c r="R264" s="17"/>
      <c r="S264" s="201"/>
      <c r="T264" s="201"/>
      <c r="U264" s="201"/>
      <c r="V264" s="201"/>
      <c r="W264" s="17"/>
      <c r="X264" s="17"/>
      <c r="Y264" s="17"/>
      <c r="Z264" s="17"/>
      <c r="AA264" s="17"/>
      <c r="AB264" s="17"/>
    </row>
    <row r="265">
      <c r="A265" s="17"/>
      <c r="B265" s="17"/>
      <c r="C265" s="17"/>
      <c r="D265" s="17"/>
      <c r="E265" s="17"/>
      <c r="F265" s="297"/>
      <c r="G265" s="17"/>
      <c r="H265" s="17"/>
      <c r="I265" s="17"/>
      <c r="J265" s="17"/>
      <c r="K265" s="17"/>
      <c r="L265" s="17"/>
      <c r="M265" s="17"/>
      <c r="N265" s="17"/>
      <c r="O265" s="17"/>
      <c r="P265" s="17"/>
      <c r="Q265" s="17"/>
      <c r="R265" s="17"/>
      <c r="S265" s="201"/>
      <c r="T265" s="201"/>
      <c r="U265" s="201"/>
      <c r="V265" s="201"/>
      <c r="W265" s="17"/>
      <c r="X265" s="17"/>
      <c r="Y265" s="17"/>
      <c r="Z265" s="17"/>
      <c r="AA265" s="17"/>
      <c r="AB265" s="17"/>
    </row>
    <row r="266">
      <c r="A266" s="17"/>
      <c r="B266" s="17"/>
      <c r="C266" s="17"/>
      <c r="D266" s="17"/>
      <c r="E266" s="17"/>
      <c r="F266" s="297"/>
      <c r="G266" s="17"/>
      <c r="H266" s="17"/>
      <c r="I266" s="17"/>
      <c r="J266" s="17"/>
      <c r="K266" s="17"/>
      <c r="L266" s="17"/>
      <c r="M266" s="17"/>
      <c r="N266" s="17"/>
      <c r="O266" s="17"/>
      <c r="P266" s="17"/>
      <c r="Q266" s="17"/>
      <c r="R266" s="17"/>
      <c r="S266" s="201"/>
      <c r="T266" s="201"/>
      <c r="U266" s="201"/>
      <c r="V266" s="201"/>
      <c r="W266" s="17"/>
      <c r="X266" s="17"/>
      <c r="Y266" s="17"/>
      <c r="Z266" s="17"/>
      <c r="AA266" s="17"/>
      <c r="AB266" s="17"/>
    </row>
    <row r="267">
      <c r="A267" s="17"/>
      <c r="B267" s="17"/>
      <c r="C267" s="17"/>
      <c r="D267" s="17"/>
      <c r="E267" s="17"/>
      <c r="F267" s="297"/>
      <c r="G267" s="17"/>
      <c r="H267" s="17"/>
      <c r="I267" s="17"/>
      <c r="J267" s="17"/>
      <c r="K267" s="17"/>
      <c r="L267" s="17"/>
      <c r="M267" s="17"/>
      <c r="N267" s="17"/>
      <c r="O267" s="17"/>
      <c r="P267" s="17"/>
      <c r="Q267" s="17"/>
      <c r="R267" s="17"/>
      <c r="S267" s="201"/>
      <c r="T267" s="201"/>
      <c r="U267" s="201"/>
      <c r="V267" s="201"/>
      <c r="W267" s="17"/>
      <c r="X267" s="17"/>
      <c r="Y267" s="17"/>
      <c r="Z267" s="17"/>
      <c r="AA267" s="17"/>
      <c r="AB267" s="17"/>
    </row>
    <row r="268">
      <c r="A268" s="17"/>
      <c r="B268" s="17"/>
      <c r="C268" s="17"/>
      <c r="D268" s="17"/>
      <c r="E268" s="17"/>
      <c r="F268" s="297"/>
      <c r="G268" s="17"/>
      <c r="H268" s="17"/>
      <c r="I268" s="17"/>
      <c r="J268" s="17"/>
      <c r="K268" s="17"/>
      <c r="L268" s="17"/>
      <c r="M268" s="17"/>
      <c r="N268" s="17"/>
      <c r="O268" s="17"/>
      <c r="P268" s="17"/>
      <c r="Q268" s="17"/>
      <c r="R268" s="17"/>
      <c r="S268" s="201"/>
      <c r="T268" s="201"/>
      <c r="U268" s="201"/>
      <c r="V268" s="201"/>
      <c r="W268" s="17"/>
      <c r="X268" s="17"/>
      <c r="Y268" s="17"/>
      <c r="Z268" s="17"/>
      <c r="AA268" s="17"/>
      <c r="AB268" s="17"/>
    </row>
    <row r="269">
      <c r="A269" s="17"/>
      <c r="B269" s="17"/>
      <c r="C269" s="17"/>
      <c r="D269" s="17"/>
      <c r="E269" s="17"/>
      <c r="F269" s="297"/>
      <c r="G269" s="17"/>
      <c r="H269" s="17"/>
      <c r="I269" s="17"/>
      <c r="J269" s="17"/>
      <c r="K269" s="17"/>
      <c r="L269" s="17"/>
      <c r="M269" s="17"/>
      <c r="N269" s="17"/>
      <c r="O269" s="17"/>
      <c r="P269" s="17"/>
      <c r="Q269" s="17"/>
      <c r="R269" s="17"/>
      <c r="S269" s="201"/>
      <c r="T269" s="201"/>
      <c r="U269" s="201"/>
      <c r="V269" s="201"/>
      <c r="W269" s="17"/>
      <c r="X269" s="17"/>
      <c r="Y269" s="17"/>
      <c r="Z269" s="17"/>
      <c r="AA269" s="17"/>
      <c r="AB269" s="17"/>
    </row>
    <row r="270">
      <c r="A270" s="17"/>
      <c r="B270" s="17"/>
      <c r="C270" s="17"/>
      <c r="D270" s="17"/>
      <c r="E270" s="17"/>
      <c r="F270" s="297"/>
      <c r="G270" s="17"/>
      <c r="H270" s="17"/>
      <c r="I270" s="17"/>
      <c r="J270" s="17"/>
      <c r="K270" s="17"/>
      <c r="L270" s="17"/>
      <c r="M270" s="17"/>
      <c r="N270" s="17"/>
      <c r="O270" s="17"/>
      <c r="P270" s="17"/>
      <c r="Q270" s="17"/>
      <c r="R270" s="17"/>
      <c r="S270" s="201"/>
      <c r="T270" s="201"/>
      <c r="U270" s="201"/>
      <c r="V270" s="201"/>
      <c r="W270" s="17"/>
      <c r="X270" s="17"/>
      <c r="Y270" s="17"/>
      <c r="Z270" s="17"/>
      <c r="AA270" s="17"/>
      <c r="AB270" s="17"/>
    </row>
    <row r="271">
      <c r="A271" s="17"/>
      <c r="B271" s="17"/>
      <c r="C271" s="17"/>
      <c r="D271" s="17"/>
      <c r="E271" s="17"/>
      <c r="F271" s="297"/>
      <c r="G271" s="17"/>
      <c r="H271" s="17"/>
      <c r="I271" s="17"/>
      <c r="J271" s="17"/>
      <c r="K271" s="17"/>
      <c r="L271" s="17"/>
      <c r="M271" s="17"/>
      <c r="N271" s="17"/>
      <c r="O271" s="17"/>
      <c r="P271" s="17"/>
      <c r="Q271" s="17"/>
      <c r="R271" s="17"/>
      <c r="S271" s="201"/>
      <c r="T271" s="201"/>
      <c r="U271" s="201"/>
      <c r="V271" s="201"/>
      <c r="W271" s="17"/>
      <c r="X271" s="17"/>
      <c r="Y271" s="17"/>
      <c r="Z271" s="17"/>
      <c r="AA271" s="17"/>
      <c r="AB271" s="17"/>
    </row>
    <row r="272">
      <c r="A272" s="17"/>
      <c r="B272" s="17"/>
      <c r="C272" s="17"/>
      <c r="D272" s="17"/>
      <c r="E272" s="17"/>
      <c r="F272" s="297"/>
      <c r="G272" s="17"/>
      <c r="H272" s="17"/>
      <c r="I272" s="17"/>
      <c r="J272" s="17"/>
      <c r="K272" s="17"/>
      <c r="L272" s="17"/>
      <c r="M272" s="17"/>
      <c r="N272" s="17"/>
      <c r="O272" s="17"/>
      <c r="P272" s="17"/>
      <c r="Q272" s="17"/>
      <c r="R272" s="17"/>
      <c r="S272" s="201"/>
      <c r="T272" s="201"/>
      <c r="U272" s="201"/>
      <c r="V272" s="201"/>
      <c r="W272" s="17"/>
      <c r="X272" s="17"/>
      <c r="Y272" s="17"/>
      <c r="Z272" s="17"/>
      <c r="AA272" s="17"/>
      <c r="AB272" s="17"/>
    </row>
    <row r="273">
      <c r="A273" s="17"/>
      <c r="B273" s="17"/>
      <c r="C273" s="17"/>
      <c r="D273" s="17"/>
      <c r="E273" s="17"/>
      <c r="F273" s="297"/>
      <c r="G273" s="17"/>
      <c r="H273" s="17"/>
      <c r="I273" s="17"/>
      <c r="J273" s="17"/>
      <c r="K273" s="17"/>
      <c r="L273" s="17"/>
      <c r="M273" s="17"/>
      <c r="N273" s="17"/>
      <c r="O273" s="17"/>
      <c r="P273" s="17"/>
      <c r="Q273" s="17"/>
      <c r="R273" s="17"/>
      <c r="S273" s="201"/>
      <c r="T273" s="201"/>
      <c r="U273" s="201"/>
      <c r="V273" s="201"/>
      <c r="W273" s="17"/>
      <c r="X273" s="17"/>
      <c r="Y273" s="17"/>
      <c r="Z273" s="17"/>
      <c r="AA273" s="17"/>
      <c r="AB273" s="17"/>
    </row>
    <row r="274">
      <c r="A274" s="17"/>
      <c r="B274" s="17"/>
      <c r="C274" s="17"/>
      <c r="D274" s="17"/>
      <c r="E274" s="17"/>
      <c r="F274" s="297"/>
      <c r="G274" s="17"/>
      <c r="H274" s="17"/>
      <c r="I274" s="17"/>
      <c r="J274" s="17"/>
      <c r="K274" s="17"/>
      <c r="L274" s="17"/>
      <c r="M274" s="17"/>
      <c r="N274" s="17"/>
      <c r="O274" s="17"/>
      <c r="P274" s="17"/>
      <c r="Q274" s="17"/>
      <c r="R274" s="17"/>
      <c r="S274" s="201"/>
      <c r="T274" s="201"/>
      <c r="U274" s="201"/>
      <c r="V274" s="201"/>
      <c r="W274" s="17"/>
      <c r="X274" s="17"/>
      <c r="Y274" s="17"/>
      <c r="Z274" s="17"/>
      <c r="AA274" s="17"/>
      <c r="AB274" s="17"/>
    </row>
    <row r="275">
      <c r="A275" s="17"/>
      <c r="B275" s="17"/>
      <c r="C275" s="17"/>
      <c r="D275" s="17"/>
      <c r="E275" s="17"/>
      <c r="F275" s="297"/>
      <c r="G275" s="17"/>
      <c r="H275" s="17"/>
      <c r="I275" s="17"/>
      <c r="J275" s="17"/>
      <c r="K275" s="17"/>
      <c r="L275" s="17"/>
      <c r="M275" s="17"/>
      <c r="N275" s="17"/>
      <c r="O275" s="17"/>
      <c r="P275" s="17"/>
      <c r="Q275" s="17"/>
      <c r="R275" s="17"/>
      <c r="S275" s="201"/>
      <c r="T275" s="201"/>
      <c r="U275" s="201"/>
      <c r="V275" s="201"/>
      <c r="W275" s="17"/>
      <c r="X275" s="17"/>
      <c r="Y275" s="17"/>
      <c r="Z275" s="17"/>
      <c r="AA275" s="17"/>
      <c r="AB275" s="17"/>
    </row>
    <row r="276">
      <c r="A276" s="17"/>
      <c r="B276" s="17"/>
      <c r="C276" s="17"/>
      <c r="D276" s="17"/>
      <c r="E276" s="17"/>
      <c r="F276" s="297"/>
      <c r="G276" s="17"/>
      <c r="H276" s="17"/>
      <c r="I276" s="17"/>
      <c r="J276" s="17"/>
      <c r="K276" s="17"/>
      <c r="L276" s="17"/>
      <c r="M276" s="17"/>
      <c r="N276" s="17"/>
      <c r="O276" s="17"/>
      <c r="P276" s="17"/>
      <c r="Q276" s="17"/>
      <c r="R276" s="17"/>
      <c r="S276" s="201"/>
      <c r="T276" s="201"/>
      <c r="U276" s="201"/>
      <c r="V276" s="201"/>
      <c r="W276" s="17"/>
      <c r="X276" s="17"/>
      <c r="Y276" s="17"/>
      <c r="Z276" s="17"/>
      <c r="AA276" s="17"/>
      <c r="AB276" s="17"/>
    </row>
    <row r="277">
      <c r="A277" s="17"/>
      <c r="B277" s="17"/>
      <c r="C277" s="17"/>
      <c r="D277" s="17"/>
      <c r="E277" s="17"/>
      <c r="F277" s="297"/>
      <c r="G277" s="17"/>
      <c r="H277" s="17"/>
      <c r="I277" s="17"/>
      <c r="J277" s="17"/>
      <c r="K277" s="17"/>
      <c r="L277" s="17"/>
      <c r="M277" s="17"/>
      <c r="N277" s="17"/>
      <c r="O277" s="17"/>
      <c r="P277" s="17"/>
      <c r="Q277" s="17"/>
      <c r="R277" s="17"/>
      <c r="S277" s="201"/>
      <c r="T277" s="201"/>
      <c r="U277" s="201"/>
      <c r="V277" s="201"/>
      <c r="W277" s="17"/>
      <c r="X277" s="17"/>
      <c r="Y277" s="17"/>
      <c r="Z277" s="17"/>
      <c r="AA277" s="17"/>
      <c r="AB277" s="17"/>
    </row>
    <row r="278">
      <c r="A278" s="17"/>
      <c r="B278" s="17"/>
      <c r="C278" s="17"/>
      <c r="D278" s="17"/>
      <c r="E278" s="17"/>
      <c r="F278" s="297"/>
      <c r="G278" s="17"/>
      <c r="H278" s="17"/>
      <c r="I278" s="17"/>
      <c r="J278" s="17"/>
      <c r="K278" s="17"/>
      <c r="L278" s="17"/>
      <c r="M278" s="17"/>
      <c r="N278" s="17"/>
      <c r="O278" s="17"/>
      <c r="P278" s="17"/>
      <c r="Q278" s="17"/>
      <c r="R278" s="17"/>
      <c r="S278" s="201"/>
      <c r="T278" s="201"/>
      <c r="U278" s="201"/>
      <c r="V278" s="201"/>
      <c r="W278" s="17"/>
      <c r="X278" s="17"/>
      <c r="Y278" s="17"/>
      <c r="Z278" s="17"/>
      <c r="AA278" s="17"/>
      <c r="AB278" s="17"/>
    </row>
    <row r="279">
      <c r="A279" s="17"/>
      <c r="B279" s="17"/>
      <c r="C279" s="17"/>
      <c r="D279" s="17"/>
      <c r="E279" s="17"/>
      <c r="F279" s="297"/>
      <c r="G279" s="17"/>
      <c r="H279" s="17"/>
      <c r="I279" s="17"/>
      <c r="J279" s="17"/>
      <c r="K279" s="17"/>
      <c r="L279" s="17"/>
      <c r="M279" s="17"/>
      <c r="N279" s="17"/>
      <c r="O279" s="17"/>
      <c r="P279" s="17"/>
      <c r="Q279" s="17"/>
      <c r="R279" s="17"/>
      <c r="S279" s="201"/>
      <c r="T279" s="201"/>
      <c r="U279" s="201"/>
      <c r="V279" s="201"/>
      <c r="W279" s="17"/>
      <c r="X279" s="17"/>
      <c r="Y279" s="17"/>
      <c r="Z279" s="17"/>
      <c r="AA279" s="17"/>
      <c r="AB279" s="17"/>
    </row>
    <row r="280">
      <c r="A280" s="17"/>
      <c r="B280" s="17"/>
      <c r="C280" s="17"/>
      <c r="D280" s="17"/>
      <c r="E280" s="17"/>
      <c r="F280" s="297"/>
      <c r="G280" s="17"/>
      <c r="H280" s="17"/>
      <c r="I280" s="17"/>
      <c r="J280" s="17"/>
      <c r="K280" s="17"/>
      <c r="L280" s="17"/>
      <c r="M280" s="17"/>
      <c r="N280" s="17"/>
      <c r="O280" s="17"/>
      <c r="P280" s="17"/>
      <c r="Q280" s="17"/>
      <c r="R280" s="17"/>
      <c r="S280" s="201"/>
      <c r="T280" s="201"/>
      <c r="U280" s="201"/>
      <c r="V280" s="201"/>
      <c r="W280" s="17"/>
      <c r="X280" s="17"/>
      <c r="Y280" s="17"/>
      <c r="Z280" s="17"/>
      <c r="AA280" s="17"/>
      <c r="AB280" s="17"/>
    </row>
    <row r="281">
      <c r="A281" s="17"/>
      <c r="B281" s="17"/>
      <c r="C281" s="17"/>
      <c r="D281" s="17"/>
      <c r="E281" s="17"/>
      <c r="F281" s="297"/>
      <c r="G281" s="17"/>
      <c r="H281" s="17"/>
      <c r="I281" s="17"/>
      <c r="J281" s="17"/>
      <c r="K281" s="17"/>
      <c r="L281" s="17"/>
      <c r="M281" s="17"/>
      <c r="N281" s="17"/>
      <c r="O281" s="17"/>
      <c r="P281" s="17"/>
      <c r="Q281" s="17"/>
      <c r="R281" s="17"/>
      <c r="S281" s="201"/>
      <c r="T281" s="201"/>
      <c r="U281" s="201"/>
      <c r="V281" s="201"/>
      <c r="W281" s="17"/>
      <c r="X281" s="17"/>
      <c r="Y281" s="17"/>
      <c r="Z281" s="17"/>
      <c r="AA281" s="17"/>
      <c r="AB281" s="17"/>
    </row>
    <row r="282">
      <c r="A282" s="17"/>
      <c r="B282" s="17"/>
      <c r="C282" s="17"/>
      <c r="D282" s="17"/>
      <c r="E282" s="17"/>
      <c r="F282" s="297"/>
      <c r="G282" s="17"/>
      <c r="H282" s="17"/>
      <c r="I282" s="17"/>
      <c r="J282" s="17"/>
      <c r="K282" s="17"/>
      <c r="L282" s="17"/>
      <c r="M282" s="17"/>
      <c r="N282" s="17"/>
      <c r="O282" s="17"/>
      <c r="P282" s="17"/>
      <c r="Q282" s="17"/>
      <c r="R282" s="17"/>
      <c r="S282" s="201"/>
      <c r="T282" s="201"/>
      <c r="U282" s="201"/>
      <c r="V282" s="201"/>
      <c r="W282" s="17"/>
      <c r="X282" s="17"/>
      <c r="Y282" s="17"/>
      <c r="Z282" s="17"/>
      <c r="AA282" s="17"/>
      <c r="AB282" s="17"/>
    </row>
    <row r="283">
      <c r="A283" s="17"/>
      <c r="B283" s="17"/>
      <c r="C283" s="17"/>
      <c r="D283" s="17"/>
      <c r="E283" s="17"/>
      <c r="F283" s="297"/>
      <c r="G283" s="17"/>
      <c r="H283" s="17"/>
      <c r="I283" s="17"/>
      <c r="J283" s="17"/>
      <c r="K283" s="17"/>
      <c r="L283" s="17"/>
      <c r="M283" s="17"/>
      <c r="N283" s="17"/>
      <c r="O283" s="17"/>
      <c r="P283" s="17"/>
      <c r="Q283" s="17"/>
      <c r="R283" s="17"/>
      <c r="S283" s="201"/>
      <c r="T283" s="201"/>
      <c r="U283" s="201"/>
      <c r="V283" s="201"/>
      <c r="W283" s="17"/>
      <c r="X283" s="17"/>
      <c r="Y283" s="17"/>
      <c r="Z283" s="17"/>
      <c r="AA283" s="17"/>
      <c r="AB283" s="17"/>
    </row>
    <row r="284">
      <c r="A284" s="17"/>
      <c r="B284" s="17"/>
      <c r="C284" s="17"/>
      <c r="D284" s="17"/>
      <c r="E284" s="17"/>
      <c r="F284" s="297"/>
      <c r="G284" s="17"/>
      <c r="H284" s="17"/>
      <c r="I284" s="17"/>
      <c r="J284" s="17"/>
      <c r="K284" s="17"/>
      <c r="L284" s="17"/>
      <c r="M284" s="17"/>
      <c r="N284" s="17"/>
      <c r="O284" s="17"/>
      <c r="P284" s="17"/>
      <c r="Q284" s="17"/>
      <c r="R284" s="17"/>
      <c r="S284" s="201"/>
      <c r="T284" s="201"/>
      <c r="U284" s="201"/>
      <c r="V284" s="201"/>
      <c r="W284" s="17"/>
      <c r="X284" s="17"/>
      <c r="Y284" s="17"/>
      <c r="Z284" s="17"/>
      <c r="AA284" s="17"/>
      <c r="AB284" s="17"/>
    </row>
    <row r="285">
      <c r="A285" s="17"/>
      <c r="B285" s="17"/>
      <c r="C285" s="17"/>
      <c r="D285" s="17"/>
      <c r="E285" s="17"/>
      <c r="F285" s="297"/>
      <c r="G285" s="17"/>
      <c r="H285" s="17"/>
      <c r="I285" s="17"/>
      <c r="J285" s="17"/>
      <c r="K285" s="17"/>
      <c r="L285" s="17"/>
      <c r="M285" s="17"/>
      <c r="N285" s="17"/>
      <c r="O285" s="17"/>
      <c r="P285" s="17"/>
      <c r="Q285" s="17"/>
      <c r="R285" s="17"/>
      <c r="S285" s="201"/>
      <c r="T285" s="201"/>
      <c r="U285" s="201"/>
      <c r="V285" s="201"/>
      <c r="W285" s="17"/>
      <c r="X285" s="17"/>
      <c r="Y285" s="17"/>
      <c r="Z285" s="17"/>
      <c r="AA285" s="17"/>
      <c r="AB285" s="17"/>
    </row>
    <row r="286">
      <c r="A286" s="17"/>
      <c r="B286" s="17"/>
      <c r="C286" s="17"/>
      <c r="D286" s="17"/>
      <c r="E286" s="17"/>
      <c r="F286" s="297"/>
      <c r="G286" s="17"/>
      <c r="H286" s="17"/>
      <c r="I286" s="17"/>
      <c r="J286" s="17"/>
      <c r="K286" s="17"/>
      <c r="L286" s="17"/>
      <c r="M286" s="17"/>
      <c r="N286" s="17"/>
      <c r="O286" s="17"/>
      <c r="P286" s="17"/>
      <c r="Q286" s="17"/>
      <c r="R286" s="17"/>
      <c r="S286" s="201"/>
      <c r="T286" s="201"/>
      <c r="U286" s="201"/>
      <c r="V286" s="201"/>
      <c r="W286" s="17"/>
      <c r="X286" s="17"/>
      <c r="Y286" s="17"/>
      <c r="Z286" s="17"/>
      <c r="AA286" s="17"/>
      <c r="AB286" s="17"/>
    </row>
    <row r="287">
      <c r="A287" s="17"/>
      <c r="B287" s="17"/>
      <c r="C287" s="17"/>
      <c r="D287" s="17"/>
      <c r="E287" s="17"/>
      <c r="F287" s="297"/>
      <c r="G287" s="17"/>
      <c r="H287" s="17"/>
      <c r="I287" s="17"/>
      <c r="J287" s="17"/>
      <c r="K287" s="17"/>
      <c r="L287" s="17"/>
      <c r="M287" s="17"/>
      <c r="N287" s="17"/>
      <c r="O287" s="17"/>
      <c r="P287" s="17"/>
      <c r="Q287" s="17"/>
      <c r="R287" s="17"/>
      <c r="S287" s="201"/>
      <c r="T287" s="201"/>
      <c r="U287" s="201"/>
      <c r="V287" s="201"/>
      <c r="W287" s="17"/>
      <c r="X287" s="17"/>
      <c r="Y287" s="17"/>
      <c r="Z287" s="17"/>
      <c r="AA287" s="17"/>
      <c r="AB287" s="17"/>
    </row>
    <row r="288">
      <c r="A288" s="17"/>
      <c r="B288" s="17"/>
      <c r="C288" s="17"/>
      <c r="D288" s="17"/>
      <c r="E288" s="17"/>
      <c r="F288" s="297"/>
      <c r="G288" s="17"/>
      <c r="H288" s="17"/>
      <c r="I288" s="17"/>
      <c r="J288" s="17"/>
      <c r="K288" s="17"/>
      <c r="L288" s="17"/>
      <c r="M288" s="17"/>
      <c r="N288" s="17"/>
      <c r="O288" s="17"/>
      <c r="P288" s="17"/>
      <c r="Q288" s="17"/>
      <c r="R288" s="17"/>
      <c r="S288" s="201"/>
      <c r="T288" s="201"/>
      <c r="U288" s="201"/>
      <c r="V288" s="201"/>
      <c r="W288" s="17"/>
      <c r="X288" s="17"/>
      <c r="Y288" s="17"/>
      <c r="Z288" s="17"/>
      <c r="AA288" s="17"/>
      <c r="AB288" s="17"/>
    </row>
    <row r="289">
      <c r="A289" s="17"/>
      <c r="B289" s="17"/>
      <c r="C289" s="17"/>
      <c r="D289" s="17"/>
      <c r="E289" s="17"/>
      <c r="F289" s="297"/>
      <c r="G289" s="17"/>
      <c r="H289" s="17"/>
      <c r="I289" s="17"/>
      <c r="J289" s="17"/>
      <c r="K289" s="17"/>
      <c r="L289" s="17"/>
      <c r="M289" s="17"/>
      <c r="N289" s="17"/>
      <c r="O289" s="17"/>
      <c r="P289" s="17"/>
      <c r="Q289" s="17"/>
      <c r="R289" s="17"/>
      <c r="S289" s="201"/>
      <c r="T289" s="201"/>
      <c r="U289" s="201"/>
      <c r="V289" s="201"/>
      <c r="W289" s="17"/>
      <c r="X289" s="17"/>
      <c r="Y289" s="17"/>
      <c r="Z289" s="17"/>
      <c r="AA289" s="17"/>
      <c r="AB289" s="17"/>
    </row>
    <row r="290">
      <c r="A290" s="17"/>
      <c r="B290" s="17"/>
      <c r="C290" s="17"/>
      <c r="D290" s="17"/>
      <c r="E290" s="17"/>
      <c r="F290" s="297"/>
      <c r="G290" s="17"/>
      <c r="H290" s="17"/>
      <c r="I290" s="17"/>
      <c r="J290" s="17"/>
      <c r="K290" s="17"/>
      <c r="L290" s="17"/>
      <c r="M290" s="17"/>
      <c r="N290" s="17"/>
      <c r="O290" s="17"/>
      <c r="P290" s="17"/>
      <c r="Q290" s="17"/>
      <c r="R290" s="17"/>
      <c r="S290" s="201"/>
      <c r="T290" s="201"/>
      <c r="U290" s="201"/>
      <c r="V290" s="201"/>
      <c r="W290" s="17"/>
      <c r="X290" s="17"/>
      <c r="Y290" s="17"/>
      <c r="Z290" s="17"/>
      <c r="AA290" s="17"/>
      <c r="AB290" s="17"/>
    </row>
    <row r="291">
      <c r="A291" s="17"/>
      <c r="B291" s="17"/>
      <c r="C291" s="17"/>
      <c r="D291" s="17"/>
      <c r="E291" s="17"/>
      <c r="F291" s="297"/>
      <c r="G291" s="17"/>
      <c r="H291" s="17"/>
      <c r="I291" s="17"/>
      <c r="J291" s="17"/>
      <c r="K291" s="17"/>
      <c r="L291" s="17"/>
      <c r="M291" s="17"/>
      <c r="N291" s="17"/>
      <c r="O291" s="17"/>
      <c r="P291" s="17"/>
      <c r="Q291" s="17"/>
      <c r="R291" s="17"/>
      <c r="S291" s="201"/>
      <c r="T291" s="201"/>
      <c r="U291" s="201"/>
      <c r="V291" s="201"/>
      <c r="W291" s="17"/>
      <c r="X291" s="17"/>
      <c r="Y291" s="17"/>
      <c r="Z291" s="17"/>
      <c r="AA291" s="17"/>
      <c r="AB291" s="17"/>
    </row>
    <row r="292">
      <c r="A292" s="17"/>
      <c r="B292" s="17"/>
      <c r="C292" s="17"/>
      <c r="D292" s="17"/>
      <c r="E292" s="17"/>
      <c r="F292" s="297"/>
      <c r="G292" s="17"/>
      <c r="H292" s="17"/>
      <c r="I292" s="17"/>
      <c r="J292" s="17"/>
      <c r="K292" s="17"/>
      <c r="L292" s="17"/>
      <c r="M292" s="17"/>
      <c r="N292" s="17"/>
      <c r="O292" s="17"/>
      <c r="P292" s="17"/>
      <c r="Q292" s="17"/>
      <c r="R292" s="17"/>
      <c r="S292" s="201"/>
      <c r="T292" s="201"/>
      <c r="U292" s="201"/>
      <c r="V292" s="201"/>
      <c r="W292" s="17"/>
      <c r="X292" s="17"/>
      <c r="Y292" s="17"/>
      <c r="Z292" s="17"/>
      <c r="AA292" s="17"/>
      <c r="AB292" s="17"/>
    </row>
    <row r="293">
      <c r="A293" s="17"/>
      <c r="B293" s="17"/>
      <c r="C293" s="17"/>
      <c r="D293" s="17"/>
      <c r="E293" s="17"/>
      <c r="F293" s="297"/>
      <c r="G293" s="17"/>
      <c r="H293" s="17"/>
      <c r="I293" s="17"/>
      <c r="J293" s="17"/>
      <c r="K293" s="17"/>
      <c r="L293" s="17"/>
      <c r="M293" s="17"/>
      <c r="N293" s="17"/>
      <c r="O293" s="17"/>
      <c r="P293" s="17"/>
      <c r="Q293" s="17"/>
      <c r="R293" s="17"/>
      <c r="S293" s="201"/>
      <c r="T293" s="201"/>
      <c r="U293" s="201"/>
      <c r="V293" s="201"/>
      <c r="W293" s="17"/>
      <c r="X293" s="17"/>
      <c r="Y293" s="17"/>
      <c r="Z293" s="17"/>
      <c r="AA293" s="17"/>
      <c r="AB293" s="17"/>
    </row>
    <row r="294">
      <c r="A294" s="17"/>
      <c r="B294" s="17"/>
      <c r="C294" s="17"/>
      <c r="D294" s="17"/>
      <c r="E294" s="17"/>
      <c r="F294" s="297"/>
      <c r="G294" s="17"/>
      <c r="H294" s="17"/>
      <c r="I294" s="17"/>
      <c r="J294" s="17"/>
      <c r="K294" s="17"/>
      <c r="L294" s="17"/>
      <c r="M294" s="17"/>
      <c r="N294" s="17"/>
      <c r="O294" s="17"/>
      <c r="P294" s="17"/>
      <c r="Q294" s="17"/>
      <c r="R294" s="17"/>
      <c r="S294" s="201"/>
      <c r="T294" s="201"/>
      <c r="U294" s="201"/>
      <c r="V294" s="201"/>
      <c r="W294" s="17"/>
      <c r="X294" s="17"/>
      <c r="Y294" s="17"/>
      <c r="Z294" s="17"/>
      <c r="AA294" s="17"/>
      <c r="AB294" s="17"/>
    </row>
    <row r="295">
      <c r="A295" s="17"/>
      <c r="B295" s="17"/>
      <c r="C295" s="17"/>
      <c r="D295" s="17"/>
      <c r="E295" s="17"/>
      <c r="F295" s="297"/>
      <c r="G295" s="17"/>
      <c r="H295" s="17"/>
      <c r="I295" s="17"/>
      <c r="J295" s="17"/>
      <c r="K295" s="17"/>
      <c r="L295" s="17"/>
      <c r="M295" s="17"/>
      <c r="N295" s="17"/>
      <c r="O295" s="17"/>
      <c r="P295" s="17"/>
      <c r="Q295" s="17"/>
      <c r="R295" s="17"/>
      <c r="S295" s="201"/>
      <c r="T295" s="201"/>
      <c r="U295" s="201"/>
      <c r="V295" s="201"/>
      <c r="W295" s="17"/>
      <c r="X295" s="17"/>
      <c r="Y295" s="17"/>
      <c r="Z295" s="17"/>
      <c r="AA295" s="17"/>
      <c r="AB295" s="17"/>
    </row>
    <row r="296">
      <c r="A296" s="17"/>
      <c r="B296" s="17"/>
      <c r="C296" s="17"/>
      <c r="D296" s="17"/>
      <c r="E296" s="17"/>
      <c r="F296" s="297"/>
      <c r="G296" s="17"/>
      <c r="H296" s="17"/>
      <c r="I296" s="17"/>
      <c r="J296" s="17"/>
      <c r="K296" s="17"/>
      <c r="L296" s="17"/>
      <c r="M296" s="17"/>
      <c r="N296" s="17"/>
      <c r="O296" s="17"/>
      <c r="P296" s="17"/>
      <c r="Q296" s="17"/>
      <c r="R296" s="17"/>
      <c r="S296" s="201"/>
      <c r="T296" s="201"/>
      <c r="U296" s="201"/>
      <c r="V296" s="201"/>
      <c r="W296" s="17"/>
      <c r="X296" s="17"/>
      <c r="Y296" s="17"/>
      <c r="Z296" s="17"/>
      <c r="AA296" s="17"/>
      <c r="AB296" s="17"/>
    </row>
    <row r="297">
      <c r="A297" s="17"/>
      <c r="B297" s="17"/>
      <c r="C297" s="17"/>
      <c r="D297" s="17"/>
      <c r="E297" s="17"/>
      <c r="F297" s="297"/>
      <c r="G297" s="17"/>
      <c r="H297" s="17"/>
      <c r="I297" s="17"/>
      <c r="J297" s="17"/>
      <c r="K297" s="17"/>
      <c r="L297" s="17"/>
      <c r="M297" s="17"/>
      <c r="N297" s="17"/>
      <c r="O297" s="17"/>
      <c r="P297" s="17"/>
      <c r="Q297" s="17"/>
      <c r="R297" s="17"/>
      <c r="S297" s="201"/>
      <c r="T297" s="201"/>
      <c r="U297" s="201"/>
      <c r="V297" s="201"/>
      <c r="W297" s="17"/>
      <c r="X297" s="17"/>
      <c r="Y297" s="17"/>
      <c r="Z297" s="17"/>
      <c r="AA297" s="17"/>
      <c r="AB297" s="17"/>
    </row>
    <row r="298">
      <c r="A298" s="17"/>
      <c r="B298" s="17"/>
      <c r="C298" s="17"/>
      <c r="D298" s="17"/>
      <c r="E298" s="17"/>
      <c r="F298" s="297"/>
      <c r="G298" s="17"/>
      <c r="H298" s="17"/>
      <c r="I298" s="17"/>
      <c r="J298" s="17"/>
      <c r="K298" s="17"/>
      <c r="L298" s="17"/>
      <c r="M298" s="17"/>
      <c r="N298" s="17"/>
      <c r="O298" s="17"/>
      <c r="P298" s="17"/>
      <c r="Q298" s="17"/>
      <c r="R298" s="17"/>
      <c r="S298" s="201"/>
      <c r="T298" s="201"/>
      <c r="U298" s="201"/>
      <c r="V298" s="201"/>
      <c r="W298" s="17"/>
      <c r="X298" s="17"/>
      <c r="Y298" s="17"/>
      <c r="Z298" s="17"/>
      <c r="AA298" s="17"/>
      <c r="AB298" s="17"/>
    </row>
    <row r="299">
      <c r="A299" s="17"/>
      <c r="B299" s="17"/>
      <c r="C299" s="17"/>
      <c r="D299" s="17"/>
      <c r="E299" s="17"/>
      <c r="F299" s="297"/>
      <c r="G299" s="17"/>
      <c r="H299" s="17"/>
      <c r="I299" s="17"/>
      <c r="J299" s="17"/>
      <c r="K299" s="17"/>
      <c r="L299" s="17"/>
      <c r="M299" s="17"/>
      <c r="N299" s="17"/>
      <c r="O299" s="17"/>
      <c r="P299" s="17"/>
      <c r="Q299" s="17"/>
      <c r="R299" s="17"/>
      <c r="S299" s="201"/>
      <c r="T299" s="201"/>
      <c r="U299" s="201"/>
      <c r="V299" s="201"/>
      <c r="W299" s="17"/>
      <c r="X299" s="17"/>
      <c r="Y299" s="17"/>
      <c r="Z299" s="17"/>
      <c r="AA299" s="17"/>
      <c r="AB299" s="17"/>
    </row>
    <row r="300">
      <c r="A300" s="17"/>
      <c r="B300" s="17"/>
      <c r="C300" s="17"/>
      <c r="D300" s="17"/>
      <c r="E300" s="17"/>
      <c r="F300" s="297"/>
      <c r="G300" s="17"/>
      <c r="H300" s="17"/>
      <c r="I300" s="17"/>
      <c r="J300" s="17"/>
      <c r="K300" s="17"/>
      <c r="L300" s="17"/>
      <c r="M300" s="17"/>
      <c r="N300" s="17"/>
      <c r="O300" s="17"/>
      <c r="P300" s="17"/>
      <c r="Q300" s="17"/>
      <c r="R300" s="17"/>
      <c r="S300" s="201"/>
      <c r="T300" s="201"/>
      <c r="U300" s="201"/>
      <c r="V300" s="201"/>
      <c r="W300" s="17"/>
      <c r="X300" s="17"/>
      <c r="Y300" s="17"/>
      <c r="Z300" s="17"/>
      <c r="AA300" s="17"/>
      <c r="AB300" s="17"/>
    </row>
    <row r="301">
      <c r="A301" s="17"/>
      <c r="B301" s="17"/>
      <c r="C301" s="17"/>
      <c r="D301" s="17"/>
      <c r="E301" s="17"/>
      <c r="F301" s="297"/>
      <c r="G301" s="17"/>
      <c r="H301" s="17"/>
      <c r="I301" s="17"/>
      <c r="J301" s="17"/>
      <c r="K301" s="17"/>
      <c r="L301" s="17"/>
      <c r="M301" s="17"/>
      <c r="N301" s="17"/>
      <c r="O301" s="17"/>
      <c r="P301" s="17"/>
      <c r="Q301" s="17"/>
      <c r="R301" s="17"/>
      <c r="S301" s="201"/>
      <c r="T301" s="201"/>
      <c r="U301" s="201"/>
      <c r="V301" s="201"/>
      <c r="W301" s="17"/>
      <c r="X301" s="17"/>
      <c r="Y301" s="17"/>
      <c r="Z301" s="17"/>
      <c r="AA301" s="17"/>
      <c r="AB301" s="17"/>
    </row>
    <row r="302">
      <c r="A302" s="17"/>
      <c r="B302" s="17"/>
      <c r="C302" s="17"/>
      <c r="D302" s="17"/>
      <c r="E302" s="17"/>
      <c r="F302" s="297"/>
      <c r="G302" s="17"/>
      <c r="H302" s="17"/>
      <c r="I302" s="17"/>
      <c r="J302" s="17"/>
      <c r="K302" s="17"/>
      <c r="L302" s="17"/>
      <c r="M302" s="17"/>
      <c r="N302" s="17"/>
      <c r="O302" s="17"/>
      <c r="P302" s="17"/>
      <c r="Q302" s="17"/>
      <c r="R302" s="17"/>
      <c r="S302" s="201"/>
      <c r="T302" s="201"/>
      <c r="U302" s="201"/>
      <c r="V302" s="201"/>
      <c r="W302" s="17"/>
      <c r="X302" s="17"/>
      <c r="Y302" s="17"/>
      <c r="Z302" s="17"/>
      <c r="AA302" s="17"/>
      <c r="AB302" s="17"/>
    </row>
    <row r="303">
      <c r="A303" s="17"/>
      <c r="B303" s="17"/>
      <c r="C303" s="17"/>
      <c r="D303" s="17"/>
      <c r="E303" s="17"/>
      <c r="F303" s="297"/>
      <c r="G303" s="17"/>
      <c r="H303" s="17"/>
      <c r="I303" s="17"/>
      <c r="J303" s="17"/>
      <c r="K303" s="17"/>
      <c r="L303" s="17"/>
      <c r="M303" s="17"/>
      <c r="N303" s="17"/>
      <c r="O303" s="17"/>
      <c r="P303" s="17"/>
      <c r="Q303" s="17"/>
      <c r="R303" s="17"/>
      <c r="S303" s="201"/>
      <c r="T303" s="201"/>
      <c r="U303" s="201"/>
      <c r="V303" s="201"/>
      <c r="W303" s="17"/>
      <c r="X303" s="17"/>
      <c r="Y303" s="17"/>
      <c r="Z303" s="17"/>
      <c r="AA303" s="17"/>
      <c r="AB303" s="17"/>
    </row>
    <row r="304">
      <c r="A304" s="17"/>
      <c r="B304" s="17"/>
      <c r="C304" s="17"/>
      <c r="D304" s="17"/>
      <c r="E304" s="17"/>
      <c r="F304" s="297"/>
      <c r="G304" s="17"/>
      <c r="H304" s="17"/>
      <c r="I304" s="17"/>
      <c r="J304" s="17"/>
      <c r="K304" s="17"/>
      <c r="L304" s="17"/>
      <c r="M304" s="17"/>
      <c r="N304" s="17"/>
      <c r="O304" s="17"/>
      <c r="P304" s="17"/>
      <c r="Q304" s="17"/>
      <c r="R304" s="17"/>
      <c r="S304" s="201"/>
      <c r="T304" s="201"/>
      <c r="U304" s="201"/>
      <c r="V304" s="201"/>
      <c r="W304" s="17"/>
      <c r="X304" s="17"/>
      <c r="Y304" s="17"/>
      <c r="Z304" s="17"/>
      <c r="AA304" s="17"/>
      <c r="AB304" s="17"/>
    </row>
    <row r="305">
      <c r="A305" s="17"/>
      <c r="B305" s="17"/>
      <c r="C305" s="17"/>
      <c r="D305" s="17"/>
      <c r="E305" s="17"/>
      <c r="F305" s="297"/>
      <c r="G305" s="17"/>
      <c r="H305" s="17"/>
      <c r="I305" s="17"/>
      <c r="J305" s="17"/>
      <c r="K305" s="17"/>
      <c r="L305" s="17"/>
      <c r="M305" s="17"/>
      <c r="N305" s="17"/>
      <c r="O305" s="17"/>
      <c r="P305" s="17"/>
      <c r="Q305" s="17"/>
      <c r="R305" s="17"/>
      <c r="S305" s="201"/>
      <c r="T305" s="201"/>
      <c r="U305" s="201"/>
      <c r="V305" s="201"/>
      <c r="W305" s="17"/>
      <c r="X305" s="17"/>
      <c r="Y305" s="17"/>
      <c r="Z305" s="17"/>
      <c r="AA305" s="17"/>
      <c r="AB305" s="17"/>
    </row>
    <row r="306">
      <c r="A306" s="17"/>
      <c r="B306" s="17"/>
      <c r="C306" s="17"/>
      <c r="D306" s="17"/>
      <c r="E306" s="17"/>
      <c r="F306" s="297"/>
      <c r="G306" s="17"/>
      <c r="H306" s="17"/>
      <c r="I306" s="17"/>
      <c r="J306" s="17"/>
      <c r="K306" s="17"/>
      <c r="L306" s="17"/>
      <c r="M306" s="17"/>
      <c r="N306" s="17"/>
      <c r="O306" s="17"/>
      <c r="P306" s="17"/>
      <c r="Q306" s="17"/>
      <c r="R306" s="17"/>
      <c r="S306" s="201"/>
      <c r="T306" s="201"/>
      <c r="U306" s="201"/>
      <c r="V306" s="201"/>
      <c r="W306" s="17"/>
      <c r="X306" s="17"/>
      <c r="Y306" s="17"/>
      <c r="Z306" s="17"/>
      <c r="AA306" s="17"/>
      <c r="AB306" s="17"/>
    </row>
    <row r="307">
      <c r="A307" s="17"/>
      <c r="B307" s="17"/>
      <c r="C307" s="17"/>
      <c r="D307" s="17"/>
      <c r="E307" s="17"/>
      <c r="F307" s="297"/>
      <c r="G307" s="17"/>
      <c r="H307" s="17"/>
      <c r="I307" s="17"/>
      <c r="J307" s="17"/>
      <c r="K307" s="17"/>
      <c r="L307" s="17"/>
      <c r="M307" s="17"/>
      <c r="N307" s="17"/>
      <c r="O307" s="17"/>
      <c r="P307" s="17"/>
      <c r="Q307" s="17"/>
      <c r="R307" s="17"/>
      <c r="S307" s="201"/>
      <c r="T307" s="201"/>
      <c r="U307" s="201"/>
      <c r="V307" s="201"/>
      <c r="W307" s="17"/>
      <c r="X307" s="17"/>
      <c r="Y307" s="17"/>
      <c r="Z307" s="17"/>
      <c r="AA307" s="17"/>
      <c r="AB307" s="17"/>
    </row>
    <row r="308">
      <c r="A308" s="17"/>
      <c r="B308" s="17"/>
      <c r="C308" s="17"/>
      <c r="D308" s="17"/>
      <c r="E308" s="17"/>
      <c r="F308" s="297"/>
      <c r="G308" s="17"/>
      <c r="H308" s="17"/>
      <c r="I308" s="17"/>
      <c r="J308" s="17"/>
      <c r="K308" s="17"/>
      <c r="L308" s="17"/>
      <c r="M308" s="17"/>
      <c r="N308" s="17"/>
      <c r="O308" s="17"/>
      <c r="P308" s="17"/>
      <c r="Q308" s="17"/>
      <c r="R308" s="17"/>
      <c r="S308" s="201"/>
      <c r="T308" s="201"/>
      <c r="U308" s="201"/>
      <c r="V308" s="201"/>
      <c r="W308" s="17"/>
      <c r="X308" s="17"/>
      <c r="Y308" s="17"/>
      <c r="Z308" s="17"/>
      <c r="AA308" s="17"/>
      <c r="AB308" s="17"/>
    </row>
    <row r="309">
      <c r="A309" s="17"/>
      <c r="B309" s="17"/>
      <c r="C309" s="17"/>
      <c r="D309" s="17"/>
      <c r="E309" s="17"/>
      <c r="F309" s="297"/>
      <c r="G309" s="17"/>
      <c r="H309" s="17"/>
      <c r="I309" s="17"/>
      <c r="J309" s="17"/>
      <c r="K309" s="17"/>
      <c r="L309" s="17"/>
      <c r="M309" s="17"/>
      <c r="N309" s="17"/>
      <c r="O309" s="17"/>
      <c r="P309" s="17"/>
      <c r="Q309" s="17"/>
      <c r="R309" s="17"/>
      <c r="S309" s="201"/>
      <c r="T309" s="201"/>
      <c r="U309" s="201"/>
      <c r="V309" s="201"/>
      <c r="W309" s="17"/>
      <c r="X309" s="17"/>
      <c r="Y309" s="17"/>
      <c r="Z309" s="17"/>
      <c r="AA309" s="17"/>
      <c r="AB309" s="17"/>
    </row>
    <row r="310">
      <c r="A310" s="17"/>
      <c r="B310" s="17"/>
      <c r="C310" s="17"/>
      <c r="D310" s="17"/>
      <c r="E310" s="17"/>
      <c r="F310" s="297"/>
      <c r="G310" s="17"/>
      <c r="H310" s="17"/>
      <c r="I310" s="17"/>
      <c r="J310" s="17"/>
      <c r="K310" s="17"/>
      <c r="L310" s="17"/>
      <c r="M310" s="17"/>
      <c r="N310" s="17"/>
      <c r="O310" s="17"/>
      <c r="P310" s="17"/>
      <c r="Q310" s="17"/>
      <c r="R310" s="17"/>
      <c r="S310" s="201"/>
      <c r="T310" s="201"/>
      <c r="U310" s="201"/>
      <c r="V310" s="201"/>
      <c r="W310" s="17"/>
      <c r="X310" s="17"/>
      <c r="Y310" s="17"/>
      <c r="Z310" s="17"/>
      <c r="AA310" s="17"/>
      <c r="AB310" s="17"/>
    </row>
    <row r="311">
      <c r="A311" s="17"/>
      <c r="B311" s="17"/>
      <c r="C311" s="17"/>
      <c r="D311" s="17"/>
      <c r="E311" s="17"/>
      <c r="F311" s="297"/>
      <c r="G311" s="17"/>
      <c r="H311" s="17"/>
      <c r="I311" s="17"/>
      <c r="J311" s="17"/>
      <c r="K311" s="17"/>
      <c r="L311" s="17"/>
      <c r="M311" s="17"/>
      <c r="N311" s="17"/>
      <c r="O311" s="17"/>
      <c r="P311" s="17"/>
      <c r="Q311" s="17"/>
      <c r="R311" s="17"/>
      <c r="S311" s="201"/>
      <c r="T311" s="201"/>
      <c r="U311" s="201"/>
      <c r="V311" s="201"/>
      <c r="W311" s="17"/>
      <c r="X311" s="17"/>
      <c r="Y311" s="17"/>
      <c r="Z311" s="17"/>
      <c r="AA311" s="17"/>
      <c r="AB311" s="17"/>
    </row>
    <row r="312">
      <c r="A312" s="17"/>
      <c r="B312" s="17"/>
      <c r="C312" s="17"/>
      <c r="D312" s="17"/>
      <c r="E312" s="17"/>
      <c r="F312" s="297"/>
      <c r="G312" s="17"/>
      <c r="H312" s="17"/>
      <c r="I312" s="17"/>
      <c r="J312" s="17"/>
      <c r="K312" s="17"/>
      <c r="L312" s="17"/>
      <c r="M312" s="17"/>
      <c r="N312" s="17"/>
      <c r="O312" s="17"/>
      <c r="P312" s="17"/>
      <c r="Q312" s="17"/>
      <c r="R312" s="17"/>
      <c r="S312" s="201"/>
      <c r="T312" s="201"/>
      <c r="U312" s="201"/>
      <c r="V312" s="201"/>
      <c r="W312" s="17"/>
      <c r="X312" s="17"/>
      <c r="Y312" s="17"/>
      <c r="Z312" s="17"/>
      <c r="AA312" s="17"/>
      <c r="AB312" s="17"/>
    </row>
    <row r="313">
      <c r="A313" s="17"/>
      <c r="B313" s="17"/>
      <c r="C313" s="17"/>
      <c r="D313" s="17"/>
      <c r="E313" s="17"/>
      <c r="F313" s="297"/>
      <c r="G313" s="17"/>
      <c r="H313" s="17"/>
      <c r="I313" s="17"/>
      <c r="J313" s="17"/>
      <c r="K313" s="17"/>
      <c r="L313" s="17"/>
      <c r="M313" s="17"/>
      <c r="N313" s="17"/>
      <c r="O313" s="17"/>
      <c r="P313" s="17"/>
      <c r="Q313" s="17"/>
      <c r="R313" s="17"/>
      <c r="S313" s="201"/>
      <c r="T313" s="201"/>
      <c r="U313" s="201"/>
      <c r="V313" s="201"/>
      <c r="W313" s="17"/>
      <c r="X313" s="17"/>
      <c r="Y313" s="17"/>
      <c r="Z313" s="17"/>
      <c r="AA313" s="17"/>
      <c r="AB313" s="17"/>
    </row>
    <row r="314">
      <c r="A314" s="17"/>
      <c r="B314" s="17"/>
      <c r="C314" s="17"/>
      <c r="D314" s="17"/>
      <c r="E314" s="17"/>
      <c r="F314" s="297"/>
      <c r="G314" s="17"/>
      <c r="H314" s="17"/>
      <c r="I314" s="17"/>
      <c r="J314" s="17"/>
      <c r="K314" s="17"/>
      <c r="L314" s="17"/>
      <c r="M314" s="17"/>
      <c r="N314" s="17"/>
      <c r="O314" s="17"/>
      <c r="P314" s="17"/>
      <c r="Q314" s="17"/>
      <c r="R314" s="17"/>
      <c r="S314" s="201"/>
      <c r="T314" s="201"/>
      <c r="U314" s="201"/>
      <c r="V314" s="201"/>
      <c r="W314" s="17"/>
      <c r="X314" s="17"/>
      <c r="Y314" s="17"/>
      <c r="Z314" s="17"/>
      <c r="AA314" s="17"/>
      <c r="AB314" s="17"/>
    </row>
    <row r="315">
      <c r="A315" s="17"/>
      <c r="B315" s="17"/>
      <c r="C315" s="17"/>
      <c r="D315" s="17"/>
      <c r="E315" s="17"/>
      <c r="F315" s="297"/>
      <c r="G315" s="17"/>
      <c r="H315" s="17"/>
      <c r="I315" s="17"/>
      <c r="J315" s="17"/>
      <c r="K315" s="17"/>
      <c r="L315" s="17"/>
      <c r="M315" s="17"/>
      <c r="N315" s="17"/>
      <c r="O315" s="17"/>
      <c r="P315" s="17"/>
      <c r="Q315" s="17"/>
      <c r="R315" s="17"/>
      <c r="S315" s="201"/>
      <c r="T315" s="201"/>
      <c r="U315" s="201"/>
      <c r="V315" s="201"/>
      <c r="W315" s="17"/>
      <c r="X315" s="17"/>
      <c r="Y315" s="17"/>
      <c r="Z315" s="17"/>
      <c r="AA315" s="17"/>
      <c r="AB315" s="17"/>
    </row>
    <row r="316">
      <c r="A316" s="17"/>
      <c r="B316" s="17"/>
      <c r="C316" s="17"/>
      <c r="D316" s="17"/>
      <c r="E316" s="17"/>
      <c r="F316" s="297"/>
      <c r="G316" s="17"/>
      <c r="H316" s="17"/>
      <c r="I316" s="17"/>
      <c r="J316" s="17"/>
      <c r="K316" s="17"/>
      <c r="L316" s="17"/>
      <c r="M316" s="17"/>
      <c r="N316" s="17"/>
      <c r="O316" s="17"/>
      <c r="P316" s="17"/>
      <c r="Q316" s="17"/>
      <c r="R316" s="17"/>
      <c r="S316" s="201"/>
      <c r="T316" s="201"/>
      <c r="U316" s="201"/>
      <c r="V316" s="201"/>
      <c r="W316" s="17"/>
      <c r="X316" s="17"/>
      <c r="Y316" s="17"/>
      <c r="Z316" s="17"/>
      <c r="AA316" s="17"/>
      <c r="AB316" s="17"/>
    </row>
    <row r="317">
      <c r="A317" s="17"/>
      <c r="B317" s="17"/>
      <c r="C317" s="17"/>
      <c r="D317" s="17"/>
      <c r="E317" s="17"/>
      <c r="F317" s="297"/>
      <c r="G317" s="17"/>
      <c r="H317" s="17"/>
      <c r="I317" s="17"/>
      <c r="J317" s="17"/>
      <c r="K317" s="17"/>
      <c r="L317" s="17"/>
      <c r="M317" s="17"/>
      <c r="N317" s="17"/>
      <c r="O317" s="17"/>
      <c r="P317" s="17"/>
      <c r="Q317" s="17"/>
      <c r="R317" s="17"/>
      <c r="S317" s="201"/>
      <c r="T317" s="201"/>
      <c r="U317" s="201"/>
      <c r="V317" s="201"/>
      <c r="W317" s="17"/>
      <c r="X317" s="17"/>
      <c r="Y317" s="17"/>
      <c r="Z317" s="17"/>
      <c r="AA317" s="17"/>
      <c r="AB317" s="17"/>
    </row>
    <row r="318">
      <c r="A318" s="17"/>
      <c r="B318" s="17"/>
      <c r="C318" s="17"/>
      <c r="D318" s="17"/>
      <c r="E318" s="17"/>
      <c r="F318" s="297"/>
      <c r="G318" s="17"/>
      <c r="H318" s="17"/>
      <c r="I318" s="17"/>
      <c r="J318" s="17"/>
      <c r="K318" s="17"/>
      <c r="L318" s="17"/>
      <c r="M318" s="17"/>
      <c r="N318" s="17"/>
      <c r="O318" s="17"/>
      <c r="P318" s="17"/>
      <c r="Q318" s="17"/>
      <c r="R318" s="17"/>
      <c r="S318" s="201"/>
      <c r="T318" s="201"/>
      <c r="U318" s="201"/>
      <c r="V318" s="201"/>
      <c r="W318" s="17"/>
      <c r="X318" s="17"/>
      <c r="Y318" s="17"/>
      <c r="Z318" s="17"/>
      <c r="AA318" s="17"/>
      <c r="AB318" s="17"/>
    </row>
    <row r="319">
      <c r="A319" s="17"/>
      <c r="B319" s="17"/>
      <c r="C319" s="17"/>
      <c r="D319" s="17"/>
      <c r="E319" s="17"/>
      <c r="F319" s="297"/>
      <c r="G319" s="17"/>
      <c r="H319" s="17"/>
      <c r="I319" s="17"/>
      <c r="J319" s="17"/>
      <c r="K319" s="17"/>
      <c r="L319" s="17"/>
      <c r="M319" s="17"/>
      <c r="N319" s="17"/>
      <c r="O319" s="17"/>
      <c r="P319" s="17"/>
      <c r="Q319" s="17"/>
      <c r="R319" s="17"/>
      <c r="S319" s="201"/>
      <c r="T319" s="201"/>
      <c r="U319" s="201"/>
      <c r="V319" s="201"/>
      <c r="W319" s="17"/>
      <c r="X319" s="17"/>
      <c r="Y319" s="17"/>
      <c r="Z319" s="17"/>
      <c r="AA319" s="17"/>
      <c r="AB319" s="17"/>
    </row>
    <row r="320">
      <c r="A320" s="17"/>
      <c r="B320" s="17"/>
      <c r="C320" s="17"/>
      <c r="D320" s="17"/>
      <c r="E320" s="17"/>
      <c r="F320" s="297"/>
      <c r="G320" s="17"/>
      <c r="H320" s="17"/>
      <c r="I320" s="17"/>
      <c r="J320" s="17"/>
      <c r="K320" s="17"/>
      <c r="L320" s="17"/>
      <c r="M320" s="17"/>
      <c r="N320" s="17"/>
      <c r="O320" s="17"/>
      <c r="P320" s="17"/>
      <c r="Q320" s="17"/>
      <c r="R320" s="17"/>
      <c r="S320" s="201"/>
      <c r="T320" s="201"/>
      <c r="U320" s="201"/>
      <c r="V320" s="201"/>
      <c r="W320" s="17"/>
      <c r="X320" s="17"/>
      <c r="Y320" s="17"/>
      <c r="Z320" s="17"/>
      <c r="AA320" s="17"/>
      <c r="AB320" s="17"/>
    </row>
    <row r="321">
      <c r="A321" s="17"/>
      <c r="B321" s="17"/>
      <c r="C321" s="17"/>
      <c r="D321" s="17"/>
      <c r="E321" s="17"/>
      <c r="F321" s="297"/>
      <c r="G321" s="17"/>
      <c r="H321" s="17"/>
      <c r="I321" s="17"/>
      <c r="J321" s="17"/>
      <c r="K321" s="17"/>
      <c r="L321" s="17"/>
      <c r="M321" s="17"/>
      <c r="N321" s="17"/>
      <c r="O321" s="17"/>
      <c r="P321" s="17"/>
      <c r="Q321" s="17"/>
      <c r="R321" s="17"/>
      <c r="S321" s="201"/>
      <c r="T321" s="201"/>
      <c r="U321" s="201"/>
      <c r="V321" s="201"/>
      <c r="W321" s="17"/>
      <c r="X321" s="17"/>
      <c r="Y321" s="17"/>
      <c r="Z321" s="17"/>
      <c r="AA321" s="17"/>
      <c r="AB321" s="17"/>
    </row>
    <row r="322">
      <c r="A322" s="17"/>
      <c r="B322" s="17"/>
      <c r="C322" s="17"/>
      <c r="D322" s="17"/>
      <c r="E322" s="17"/>
      <c r="F322" s="297"/>
      <c r="G322" s="17"/>
      <c r="H322" s="17"/>
      <c r="I322" s="17"/>
      <c r="J322" s="17"/>
      <c r="K322" s="17"/>
      <c r="L322" s="17"/>
      <c r="M322" s="17"/>
      <c r="N322" s="17"/>
      <c r="O322" s="17"/>
      <c r="P322" s="17"/>
      <c r="Q322" s="17"/>
      <c r="R322" s="17"/>
      <c r="S322" s="201"/>
      <c r="T322" s="201"/>
      <c r="U322" s="201"/>
      <c r="V322" s="201"/>
      <c r="W322" s="17"/>
      <c r="X322" s="17"/>
      <c r="Y322" s="17"/>
      <c r="Z322" s="17"/>
      <c r="AA322" s="17"/>
      <c r="AB322" s="17"/>
    </row>
    <row r="323">
      <c r="A323" s="17"/>
      <c r="B323" s="17"/>
      <c r="C323" s="17"/>
      <c r="D323" s="17"/>
      <c r="E323" s="17"/>
      <c r="F323" s="297"/>
      <c r="G323" s="17"/>
      <c r="H323" s="17"/>
      <c r="I323" s="17"/>
      <c r="J323" s="17"/>
      <c r="K323" s="17"/>
      <c r="L323" s="17"/>
      <c r="M323" s="17"/>
      <c r="N323" s="17"/>
      <c r="O323" s="17"/>
      <c r="P323" s="17"/>
      <c r="Q323" s="17"/>
      <c r="R323" s="17"/>
      <c r="S323" s="201"/>
      <c r="T323" s="201"/>
      <c r="U323" s="201"/>
      <c r="V323" s="201"/>
      <c r="W323" s="17"/>
      <c r="X323" s="17"/>
      <c r="Y323" s="17"/>
      <c r="Z323" s="17"/>
      <c r="AA323" s="17"/>
      <c r="AB323" s="17"/>
    </row>
    <row r="324">
      <c r="A324" s="17"/>
      <c r="B324" s="17"/>
      <c r="C324" s="17"/>
      <c r="D324" s="17"/>
      <c r="E324" s="17"/>
      <c r="F324" s="297"/>
      <c r="G324" s="17"/>
      <c r="H324" s="17"/>
      <c r="I324" s="17"/>
      <c r="J324" s="17"/>
      <c r="K324" s="17"/>
      <c r="L324" s="17"/>
      <c r="M324" s="17"/>
      <c r="N324" s="17"/>
      <c r="O324" s="17"/>
      <c r="P324" s="17"/>
      <c r="Q324" s="17"/>
      <c r="R324" s="17"/>
      <c r="S324" s="201"/>
      <c r="T324" s="201"/>
      <c r="U324" s="201"/>
      <c r="V324" s="201"/>
      <c r="W324" s="17"/>
      <c r="X324" s="17"/>
      <c r="Y324" s="17"/>
      <c r="Z324" s="17"/>
      <c r="AA324" s="17"/>
      <c r="AB324" s="17"/>
    </row>
    <row r="325">
      <c r="A325" s="17"/>
      <c r="B325" s="17"/>
      <c r="C325" s="17"/>
      <c r="D325" s="17"/>
      <c r="E325" s="17"/>
      <c r="F325" s="297"/>
      <c r="G325" s="17"/>
      <c r="H325" s="17"/>
      <c r="I325" s="17"/>
      <c r="J325" s="17"/>
      <c r="K325" s="17"/>
      <c r="L325" s="17"/>
      <c r="M325" s="17"/>
      <c r="N325" s="17"/>
      <c r="O325" s="17"/>
      <c r="P325" s="17"/>
      <c r="Q325" s="17"/>
      <c r="R325" s="17"/>
      <c r="S325" s="201"/>
      <c r="T325" s="201"/>
      <c r="U325" s="201"/>
      <c r="V325" s="201"/>
      <c r="W325" s="17"/>
      <c r="X325" s="17"/>
      <c r="Y325" s="17"/>
      <c r="Z325" s="17"/>
      <c r="AA325" s="17"/>
      <c r="AB325" s="17"/>
    </row>
    <row r="326">
      <c r="A326" s="17"/>
      <c r="B326" s="17"/>
      <c r="C326" s="17"/>
      <c r="D326" s="17"/>
      <c r="E326" s="17"/>
      <c r="F326" s="297"/>
      <c r="G326" s="17"/>
      <c r="H326" s="17"/>
      <c r="I326" s="17"/>
      <c r="J326" s="17"/>
      <c r="K326" s="17"/>
      <c r="L326" s="17"/>
      <c r="M326" s="17"/>
      <c r="N326" s="17"/>
      <c r="O326" s="17"/>
      <c r="P326" s="17"/>
      <c r="Q326" s="17"/>
      <c r="R326" s="17"/>
      <c r="S326" s="201"/>
      <c r="T326" s="201"/>
      <c r="U326" s="201"/>
      <c r="V326" s="201"/>
      <c r="W326" s="17"/>
      <c r="X326" s="17"/>
      <c r="Y326" s="17"/>
      <c r="Z326" s="17"/>
      <c r="AA326" s="17"/>
      <c r="AB326" s="17"/>
    </row>
    <row r="327">
      <c r="A327" s="17"/>
      <c r="B327" s="17"/>
      <c r="C327" s="17"/>
      <c r="D327" s="17"/>
      <c r="E327" s="17"/>
      <c r="F327" s="297"/>
      <c r="G327" s="17"/>
      <c r="H327" s="17"/>
      <c r="I327" s="17"/>
      <c r="J327" s="17"/>
      <c r="K327" s="17"/>
      <c r="L327" s="17"/>
      <c r="M327" s="17"/>
      <c r="N327" s="17"/>
      <c r="O327" s="17"/>
      <c r="P327" s="17"/>
      <c r="Q327" s="17"/>
      <c r="R327" s="17"/>
      <c r="S327" s="201"/>
      <c r="T327" s="201"/>
      <c r="U327" s="201"/>
      <c r="V327" s="201"/>
      <c r="W327" s="17"/>
      <c r="X327" s="17"/>
      <c r="Y327" s="17"/>
      <c r="Z327" s="17"/>
      <c r="AA327" s="17"/>
      <c r="AB327" s="17"/>
    </row>
    <row r="328">
      <c r="A328" s="17"/>
      <c r="B328" s="17"/>
      <c r="C328" s="17"/>
      <c r="D328" s="17"/>
      <c r="E328" s="17"/>
      <c r="F328" s="297"/>
      <c r="G328" s="17"/>
      <c r="H328" s="17"/>
      <c r="I328" s="17"/>
      <c r="J328" s="17"/>
      <c r="K328" s="17"/>
      <c r="L328" s="17"/>
      <c r="M328" s="17"/>
      <c r="N328" s="17"/>
      <c r="O328" s="17"/>
      <c r="P328" s="17"/>
      <c r="Q328" s="17"/>
      <c r="R328" s="17"/>
      <c r="S328" s="201"/>
      <c r="T328" s="201"/>
      <c r="U328" s="201"/>
      <c r="V328" s="201"/>
      <c r="W328" s="17"/>
      <c r="X328" s="17"/>
      <c r="Y328" s="17"/>
      <c r="Z328" s="17"/>
      <c r="AA328" s="17"/>
      <c r="AB328" s="17"/>
    </row>
    <row r="329">
      <c r="A329" s="17"/>
      <c r="B329" s="17"/>
      <c r="C329" s="17"/>
      <c r="D329" s="17"/>
      <c r="E329" s="17"/>
      <c r="F329" s="297"/>
      <c r="G329" s="17"/>
      <c r="H329" s="17"/>
      <c r="I329" s="17"/>
      <c r="J329" s="17"/>
      <c r="K329" s="17"/>
      <c r="L329" s="17"/>
      <c r="M329" s="17"/>
      <c r="N329" s="17"/>
      <c r="O329" s="17"/>
      <c r="P329" s="17"/>
      <c r="Q329" s="17"/>
      <c r="R329" s="17"/>
      <c r="S329" s="201"/>
      <c r="T329" s="201"/>
      <c r="U329" s="201"/>
      <c r="V329" s="201"/>
      <c r="W329" s="17"/>
      <c r="X329" s="17"/>
      <c r="Y329" s="17"/>
      <c r="Z329" s="17"/>
      <c r="AA329" s="17"/>
      <c r="AB329" s="17"/>
    </row>
    <row r="330">
      <c r="A330" s="17"/>
      <c r="B330" s="17"/>
      <c r="C330" s="17"/>
      <c r="D330" s="17"/>
      <c r="E330" s="17"/>
      <c r="F330" s="297"/>
      <c r="G330" s="17"/>
      <c r="H330" s="17"/>
      <c r="I330" s="17"/>
      <c r="J330" s="17"/>
      <c r="K330" s="17"/>
      <c r="L330" s="17"/>
      <c r="M330" s="17"/>
      <c r="N330" s="17"/>
      <c r="O330" s="17"/>
      <c r="P330" s="17"/>
      <c r="Q330" s="17"/>
      <c r="R330" s="17"/>
      <c r="S330" s="201"/>
      <c r="T330" s="201"/>
      <c r="U330" s="201"/>
      <c r="V330" s="201"/>
      <c r="W330" s="17"/>
      <c r="X330" s="17"/>
      <c r="Y330" s="17"/>
      <c r="Z330" s="17"/>
      <c r="AA330" s="17"/>
      <c r="AB330" s="17"/>
    </row>
    <row r="331">
      <c r="A331" s="17"/>
      <c r="B331" s="17"/>
      <c r="C331" s="17"/>
      <c r="D331" s="17"/>
      <c r="E331" s="17"/>
      <c r="F331" s="297"/>
      <c r="G331" s="17"/>
      <c r="H331" s="17"/>
      <c r="I331" s="17"/>
      <c r="J331" s="17"/>
      <c r="K331" s="17"/>
      <c r="L331" s="17"/>
      <c r="M331" s="17"/>
      <c r="N331" s="17"/>
      <c r="O331" s="17"/>
      <c r="P331" s="17"/>
      <c r="Q331" s="17"/>
      <c r="R331" s="17"/>
      <c r="S331" s="201"/>
      <c r="T331" s="201"/>
      <c r="U331" s="201"/>
      <c r="V331" s="201"/>
      <c r="W331" s="17"/>
      <c r="X331" s="17"/>
      <c r="Y331" s="17"/>
      <c r="Z331" s="17"/>
      <c r="AA331" s="17"/>
      <c r="AB331" s="17"/>
    </row>
    <row r="332">
      <c r="A332" s="17"/>
      <c r="B332" s="17"/>
      <c r="C332" s="17"/>
      <c r="D332" s="17"/>
      <c r="E332" s="17"/>
      <c r="F332" s="297"/>
      <c r="G332" s="17"/>
      <c r="H332" s="17"/>
      <c r="I332" s="17"/>
      <c r="J332" s="17"/>
      <c r="K332" s="17"/>
      <c r="L332" s="17"/>
      <c r="M332" s="17"/>
      <c r="N332" s="17"/>
      <c r="O332" s="17"/>
      <c r="P332" s="17"/>
      <c r="Q332" s="17"/>
      <c r="R332" s="17"/>
      <c r="S332" s="201"/>
      <c r="T332" s="201"/>
      <c r="U332" s="201"/>
      <c r="V332" s="201"/>
      <c r="W332" s="17"/>
      <c r="X332" s="17"/>
      <c r="Y332" s="17"/>
      <c r="Z332" s="17"/>
      <c r="AA332" s="17"/>
      <c r="AB332" s="17"/>
    </row>
    <row r="333">
      <c r="A333" s="17"/>
      <c r="B333" s="17"/>
      <c r="C333" s="17"/>
      <c r="D333" s="17"/>
      <c r="E333" s="17"/>
      <c r="F333" s="297"/>
      <c r="G333" s="17"/>
      <c r="H333" s="17"/>
      <c r="I333" s="17"/>
      <c r="J333" s="17"/>
      <c r="K333" s="17"/>
      <c r="L333" s="17"/>
      <c r="M333" s="17"/>
      <c r="N333" s="17"/>
      <c r="O333" s="17"/>
      <c r="P333" s="17"/>
      <c r="Q333" s="17"/>
      <c r="R333" s="17"/>
      <c r="S333" s="201"/>
      <c r="T333" s="201"/>
      <c r="U333" s="201"/>
      <c r="V333" s="201"/>
      <c r="W333" s="17"/>
      <c r="X333" s="17"/>
      <c r="Y333" s="17"/>
      <c r="Z333" s="17"/>
      <c r="AA333" s="17"/>
      <c r="AB333" s="17"/>
    </row>
    <row r="334">
      <c r="A334" s="17"/>
      <c r="B334" s="17"/>
      <c r="C334" s="17"/>
      <c r="D334" s="17"/>
      <c r="E334" s="17"/>
      <c r="F334" s="297"/>
      <c r="G334" s="17"/>
      <c r="H334" s="17"/>
      <c r="I334" s="17"/>
      <c r="J334" s="17"/>
      <c r="K334" s="17"/>
      <c r="L334" s="17"/>
      <c r="M334" s="17"/>
      <c r="N334" s="17"/>
      <c r="O334" s="17"/>
      <c r="P334" s="17"/>
      <c r="Q334" s="17"/>
      <c r="R334" s="17"/>
      <c r="S334" s="201"/>
      <c r="T334" s="201"/>
      <c r="U334" s="201"/>
      <c r="V334" s="201"/>
      <c r="W334" s="17"/>
      <c r="X334" s="17"/>
      <c r="Y334" s="17"/>
      <c r="Z334" s="17"/>
      <c r="AA334" s="17"/>
      <c r="AB334" s="17"/>
    </row>
    <row r="335">
      <c r="A335" s="17"/>
      <c r="B335" s="17"/>
      <c r="C335" s="17"/>
      <c r="D335" s="17"/>
      <c r="E335" s="17"/>
      <c r="F335" s="297"/>
      <c r="G335" s="17"/>
      <c r="H335" s="17"/>
      <c r="I335" s="17"/>
      <c r="J335" s="17"/>
      <c r="K335" s="17"/>
      <c r="L335" s="17"/>
      <c r="M335" s="17"/>
      <c r="N335" s="17"/>
      <c r="O335" s="17"/>
      <c r="P335" s="17"/>
      <c r="Q335" s="17"/>
      <c r="R335" s="17"/>
      <c r="S335" s="201"/>
      <c r="T335" s="201"/>
      <c r="U335" s="201"/>
      <c r="V335" s="201"/>
      <c r="W335" s="17"/>
      <c r="X335" s="17"/>
      <c r="Y335" s="17"/>
      <c r="Z335" s="17"/>
      <c r="AA335" s="17"/>
      <c r="AB335" s="17"/>
    </row>
    <row r="336">
      <c r="A336" s="17"/>
      <c r="B336" s="17"/>
      <c r="C336" s="17"/>
      <c r="D336" s="17"/>
      <c r="E336" s="17"/>
      <c r="F336" s="297"/>
      <c r="G336" s="17"/>
      <c r="H336" s="17"/>
      <c r="I336" s="17"/>
      <c r="J336" s="17"/>
      <c r="K336" s="17"/>
      <c r="L336" s="17"/>
      <c r="M336" s="17"/>
      <c r="N336" s="17"/>
      <c r="O336" s="17"/>
      <c r="P336" s="17"/>
      <c r="Q336" s="17"/>
      <c r="R336" s="17"/>
      <c r="S336" s="201"/>
      <c r="T336" s="201"/>
      <c r="U336" s="201"/>
      <c r="V336" s="201"/>
      <c r="W336" s="17"/>
      <c r="X336" s="17"/>
      <c r="Y336" s="17"/>
      <c r="Z336" s="17"/>
      <c r="AA336" s="17"/>
      <c r="AB336" s="17"/>
    </row>
    <row r="337">
      <c r="A337" s="17"/>
      <c r="B337" s="17"/>
      <c r="C337" s="17"/>
      <c r="D337" s="17"/>
      <c r="E337" s="17"/>
      <c r="F337" s="297"/>
      <c r="G337" s="17"/>
      <c r="H337" s="17"/>
      <c r="I337" s="17"/>
      <c r="J337" s="17"/>
      <c r="K337" s="17"/>
      <c r="L337" s="17"/>
      <c r="M337" s="17"/>
      <c r="N337" s="17"/>
      <c r="O337" s="17"/>
      <c r="P337" s="17"/>
      <c r="Q337" s="17"/>
      <c r="R337" s="17"/>
      <c r="S337" s="201"/>
      <c r="T337" s="201"/>
      <c r="U337" s="201"/>
      <c r="V337" s="201"/>
      <c r="W337" s="17"/>
      <c r="X337" s="17"/>
      <c r="Y337" s="17"/>
      <c r="Z337" s="17"/>
      <c r="AA337" s="17"/>
      <c r="AB337" s="17"/>
    </row>
    <row r="338">
      <c r="A338" s="17"/>
      <c r="B338" s="17"/>
      <c r="C338" s="17"/>
      <c r="D338" s="17"/>
      <c r="E338" s="17"/>
      <c r="F338" s="297"/>
      <c r="G338" s="17"/>
      <c r="H338" s="17"/>
      <c r="I338" s="17"/>
      <c r="J338" s="17"/>
      <c r="K338" s="17"/>
      <c r="L338" s="17"/>
      <c r="M338" s="17"/>
      <c r="N338" s="17"/>
      <c r="O338" s="17"/>
      <c r="P338" s="17"/>
      <c r="Q338" s="17"/>
      <c r="R338" s="17"/>
      <c r="S338" s="201"/>
      <c r="T338" s="201"/>
      <c r="U338" s="201"/>
      <c r="V338" s="201"/>
      <c r="W338" s="17"/>
      <c r="X338" s="17"/>
      <c r="Y338" s="17"/>
      <c r="Z338" s="17"/>
      <c r="AA338" s="17"/>
      <c r="AB338" s="17"/>
    </row>
    <row r="339">
      <c r="A339" s="17"/>
      <c r="B339" s="17"/>
      <c r="C339" s="17"/>
      <c r="D339" s="17"/>
      <c r="E339" s="17"/>
      <c r="F339" s="297"/>
      <c r="G339" s="17"/>
      <c r="H339" s="17"/>
      <c r="I339" s="17"/>
      <c r="J339" s="17"/>
      <c r="K339" s="17"/>
      <c r="L339" s="17"/>
      <c r="M339" s="17"/>
      <c r="N339" s="17"/>
      <c r="O339" s="17"/>
      <c r="P339" s="17"/>
      <c r="Q339" s="17"/>
      <c r="R339" s="17"/>
      <c r="S339" s="201"/>
      <c r="T339" s="201"/>
      <c r="U339" s="201"/>
      <c r="V339" s="201"/>
      <c r="W339" s="17"/>
      <c r="X339" s="17"/>
      <c r="Y339" s="17"/>
      <c r="Z339" s="17"/>
      <c r="AA339" s="17"/>
      <c r="AB339" s="17"/>
    </row>
    <row r="340">
      <c r="A340" s="17"/>
      <c r="B340" s="17"/>
      <c r="C340" s="17"/>
      <c r="D340" s="17"/>
      <c r="E340" s="17"/>
      <c r="F340" s="297"/>
      <c r="G340" s="17"/>
      <c r="H340" s="17"/>
      <c r="I340" s="17"/>
      <c r="J340" s="17"/>
      <c r="K340" s="17"/>
      <c r="L340" s="17"/>
      <c r="M340" s="17"/>
      <c r="N340" s="17"/>
      <c r="O340" s="17"/>
      <c r="P340" s="17"/>
      <c r="Q340" s="17"/>
      <c r="R340" s="17"/>
      <c r="S340" s="201"/>
      <c r="T340" s="201"/>
      <c r="U340" s="201"/>
      <c r="V340" s="201"/>
      <c r="W340" s="17"/>
      <c r="X340" s="17"/>
      <c r="Y340" s="17"/>
      <c r="Z340" s="17"/>
      <c r="AA340" s="17"/>
      <c r="AB340" s="17"/>
    </row>
    <row r="341">
      <c r="A341" s="17"/>
      <c r="B341" s="17"/>
      <c r="C341" s="17"/>
      <c r="D341" s="17"/>
      <c r="E341" s="17"/>
      <c r="F341" s="297"/>
      <c r="G341" s="17"/>
      <c r="H341" s="17"/>
      <c r="I341" s="17"/>
      <c r="J341" s="17"/>
      <c r="K341" s="17"/>
      <c r="L341" s="17"/>
      <c r="M341" s="17"/>
      <c r="N341" s="17"/>
      <c r="O341" s="17"/>
      <c r="P341" s="17"/>
      <c r="Q341" s="17"/>
      <c r="R341" s="17"/>
      <c r="S341" s="201"/>
      <c r="T341" s="201"/>
      <c r="U341" s="201"/>
      <c r="V341" s="201"/>
      <c r="W341" s="17"/>
      <c r="X341" s="17"/>
      <c r="Y341" s="17"/>
      <c r="Z341" s="17"/>
      <c r="AA341" s="17"/>
      <c r="AB341" s="17"/>
    </row>
    <row r="342">
      <c r="A342" s="17"/>
      <c r="B342" s="17"/>
      <c r="C342" s="17"/>
      <c r="D342" s="17"/>
      <c r="E342" s="17"/>
      <c r="F342" s="297"/>
      <c r="G342" s="17"/>
      <c r="H342" s="17"/>
      <c r="I342" s="17"/>
      <c r="J342" s="17"/>
      <c r="K342" s="17"/>
      <c r="L342" s="17"/>
      <c r="M342" s="17"/>
      <c r="N342" s="17"/>
      <c r="O342" s="17"/>
      <c r="P342" s="17"/>
      <c r="Q342" s="17"/>
      <c r="R342" s="17"/>
      <c r="S342" s="201"/>
      <c r="T342" s="201"/>
      <c r="U342" s="201"/>
      <c r="V342" s="201"/>
      <c r="W342" s="17"/>
      <c r="X342" s="17"/>
      <c r="Y342" s="17"/>
      <c r="Z342" s="17"/>
      <c r="AA342" s="17"/>
      <c r="AB342" s="17"/>
    </row>
    <row r="343">
      <c r="A343" s="17"/>
      <c r="B343" s="17"/>
      <c r="C343" s="17"/>
      <c r="D343" s="17"/>
      <c r="E343" s="17"/>
      <c r="F343" s="297"/>
      <c r="G343" s="17"/>
      <c r="H343" s="17"/>
      <c r="I343" s="17"/>
      <c r="J343" s="17"/>
      <c r="K343" s="17"/>
      <c r="L343" s="17"/>
      <c r="M343" s="17"/>
      <c r="N343" s="17"/>
      <c r="O343" s="17"/>
      <c r="P343" s="17"/>
      <c r="Q343" s="17"/>
      <c r="R343" s="17"/>
      <c r="S343" s="201"/>
      <c r="T343" s="201"/>
      <c r="U343" s="201"/>
      <c r="V343" s="201"/>
      <c r="W343" s="17"/>
      <c r="X343" s="17"/>
      <c r="Y343" s="17"/>
      <c r="Z343" s="17"/>
      <c r="AA343" s="17"/>
      <c r="AB343" s="17"/>
    </row>
    <row r="344">
      <c r="A344" s="17"/>
      <c r="B344" s="17"/>
      <c r="C344" s="17"/>
      <c r="D344" s="17"/>
      <c r="E344" s="17"/>
      <c r="F344" s="297"/>
      <c r="G344" s="17"/>
      <c r="H344" s="17"/>
      <c r="I344" s="17"/>
      <c r="J344" s="17"/>
      <c r="K344" s="17"/>
      <c r="L344" s="17"/>
      <c r="M344" s="17"/>
      <c r="N344" s="17"/>
      <c r="O344" s="17"/>
      <c r="P344" s="17"/>
      <c r="Q344" s="17"/>
      <c r="R344" s="17"/>
      <c r="S344" s="201"/>
      <c r="T344" s="201"/>
      <c r="U344" s="201"/>
      <c r="V344" s="201"/>
      <c r="W344" s="17"/>
      <c r="X344" s="17"/>
      <c r="Y344" s="17"/>
      <c r="Z344" s="17"/>
      <c r="AA344" s="17"/>
      <c r="AB344" s="17"/>
    </row>
    <row r="345">
      <c r="A345" s="17"/>
      <c r="B345" s="17"/>
      <c r="C345" s="17"/>
      <c r="D345" s="17"/>
      <c r="E345" s="17"/>
      <c r="F345" s="297"/>
      <c r="G345" s="17"/>
      <c r="H345" s="17"/>
      <c r="I345" s="17"/>
      <c r="J345" s="17"/>
      <c r="K345" s="17"/>
      <c r="L345" s="17"/>
      <c r="M345" s="17"/>
      <c r="N345" s="17"/>
      <c r="O345" s="17"/>
      <c r="P345" s="17"/>
      <c r="Q345" s="17"/>
      <c r="R345" s="17"/>
      <c r="S345" s="201"/>
      <c r="T345" s="201"/>
      <c r="U345" s="201"/>
      <c r="V345" s="201"/>
      <c r="W345" s="17"/>
      <c r="X345" s="17"/>
      <c r="Y345" s="17"/>
      <c r="Z345" s="17"/>
      <c r="AA345" s="17"/>
      <c r="AB345" s="17"/>
    </row>
    <row r="346">
      <c r="A346" s="17"/>
      <c r="B346" s="17"/>
      <c r="C346" s="17"/>
      <c r="D346" s="17"/>
      <c r="E346" s="17"/>
      <c r="F346" s="297"/>
      <c r="G346" s="17"/>
      <c r="H346" s="17"/>
      <c r="I346" s="17"/>
      <c r="J346" s="17"/>
      <c r="K346" s="17"/>
      <c r="L346" s="17"/>
      <c r="M346" s="17"/>
      <c r="N346" s="17"/>
      <c r="O346" s="17"/>
      <c r="P346" s="17"/>
      <c r="Q346" s="17"/>
      <c r="R346" s="17"/>
      <c r="S346" s="201"/>
      <c r="T346" s="201"/>
      <c r="U346" s="201"/>
      <c r="V346" s="201"/>
      <c r="W346" s="17"/>
      <c r="X346" s="17"/>
      <c r="Y346" s="17"/>
      <c r="Z346" s="17"/>
      <c r="AA346" s="17"/>
      <c r="AB346" s="17"/>
    </row>
    <row r="347">
      <c r="A347" s="17"/>
      <c r="B347" s="17"/>
      <c r="C347" s="17"/>
      <c r="D347" s="17"/>
      <c r="E347" s="17"/>
      <c r="F347" s="297"/>
      <c r="G347" s="17"/>
      <c r="H347" s="17"/>
      <c r="I347" s="17"/>
      <c r="J347" s="17"/>
      <c r="K347" s="17"/>
      <c r="L347" s="17"/>
      <c r="M347" s="17"/>
      <c r="N347" s="17"/>
      <c r="O347" s="17"/>
      <c r="P347" s="17"/>
      <c r="Q347" s="17"/>
      <c r="R347" s="17"/>
      <c r="S347" s="201"/>
      <c r="T347" s="201"/>
      <c r="U347" s="201"/>
      <c r="V347" s="201"/>
      <c r="W347" s="17"/>
      <c r="X347" s="17"/>
      <c r="Y347" s="17"/>
      <c r="Z347" s="17"/>
      <c r="AA347" s="17"/>
      <c r="AB347" s="17"/>
    </row>
    <row r="348">
      <c r="A348" s="17"/>
      <c r="B348" s="17"/>
      <c r="C348" s="17"/>
      <c r="D348" s="17"/>
      <c r="E348" s="17"/>
      <c r="F348" s="297"/>
      <c r="G348" s="17"/>
      <c r="H348" s="17"/>
      <c r="I348" s="17"/>
      <c r="J348" s="17"/>
      <c r="K348" s="17"/>
      <c r="L348" s="17"/>
      <c r="M348" s="17"/>
      <c r="N348" s="17"/>
      <c r="O348" s="17"/>
      <c r="P348" s="17"/>
      <c r="Q348" s="17"/>
      <c r="R348" s="17"/>
      <c r="S348" s="201"/>
      <c r="T348" s="201"/>
      <c r="U348" s="201"/>
      <c r="V348" s="201"/>
      <c r="W348" s="17"/>
      <c r="X348" s="17"/>
      <c r="Y348" s="17"/>
      <c r="Z348" s="17"/>
      <c r="AA348" s="17"/>
      <c r="AB348" s="17"/>
    </row>
    <row r="349">
      <c r="A349" s="17"/>
      <c r="B349" s="17"/>
      <c r="C349" s="17"/>
      <c r="D349" s="17"/>
      <c r="E349" s="17"/>
      <c r="F349" s="297"/>
      <c r="G349" s="17"/>
      <c r="H349" s="17"/>
      <c r="I349" s="17"/>
      <c r="J349" s="17"/>
      <c r="K349" s="17"/>
      <c r="L349" s="17"/>
      <c r="M349" s="17"/>
      <c r="N349" s="17"/>
      <c r="O349" s="17"/>
      <c r="P349" s="17"/>
      <c r="Q349" s="17"/>
      <c r="R349" s="17"/>
      <c r="S349" s="201"/>
      <c r="T349" s="201"/>
      <c r="U349" s="201"/>
      <c r="V349" s="201"/>
      <c r="W349" s="17"/>
      <c r="X349" s="17"/>
      <c r="Y349" s="17"/>
      <c r="Z349" s="17"/>
      <c r="AA349" s="17"/>
      <c r="AB349" s="17"/>
    </row>
    <row r="350">
      <c r="A350" s="17"/>
      <c r="B350" s="17"/>
      <c r="C350" s="17"/>
      <c r="D350" s="17"/>
      <c r="E350" s="17"/>
      <c r="F350" s="297"/>
      <c r="G350" s="17"/>
      <c r="H350" s="17"/>
      <c r="I350" s="17"/>
      <c r="J350" s="17"/>
      <c r="K350" s="17"/>
      <c r="L350" s="17"/>
      <c r="M350" s="17"/>
      <c r="N350" s="17"/>
      <c r="O350" s="17"/>
      <c r="P350" s="17"/>
      <c r="Q350" s="17"/>
      <c r="R350" s="17"/>
      <c r="S350" s="201"/>
      <c r="T350" s="201"/>
      <c r="U350" s="201"/>
      <c r="V350" s="201"/>
      <c r="W350" s="17"/>
      <c r="X350" s="17"/>
      <c r="Y350" s="17"/>
      <c r="Z350" s="17"/>
      <c r="AA350" s="17"/>
      <c r="AB350" s="17"/>
    </row>
    <row r="351">
      <c r="A351" s="17"/>
      <c r="B351" s="17"/>
      <c r="C351" s="17"/>
      <c r="D351" s="17"/>
      <c r="E351" s="17"/>
      <c r="F351" s="297"/>
      <c r="G351" s="17"/>
      <c r="H351" s="17"/>
      <c r="I351" s="17"/>
      <c r="J351" s="17"/>
      <c r="K351" s="17"/>
      <c r="L351" s="17"/>
      <c r="M351" s="17"/>
      <c r="N351" s="17"/>
      <c r="O351" s="17"/>
      <c r="P351" s="17"/>
      <c r="Q351" s="17"/>
      <c r="R351" s="17"/>
      <c r="S351" s="201"/>
      <c r="T351" s="201"/>
      <c r="U351" s="201"/>
      <c r="V351" s="201"/>
      <c r="W351" s="17"/>
      <c r="X351" s="17"/>
      <c r="Y351" s="17"/>
      <c r="Z351" s="17"/>
      <c r="AA351" s="17"/>
      <c r="AB351" s="17"/>
    </row>
    <row r="352">
      <c r="A352" s="17"/>
      <c r="B352" s="17"/>
      <c r="C352" s="17"/>
      <c r="D352" s="17"/>
      <c r="E352" s="17"/>
      <c r="F352" s="297"/>
      <c r="G352" s="17"/>
      <c r="H352" s="17"/>
      <c r="I352" s="17"/>
      <c r="J352" s="17"/>
      <c r="K352" s="17"/>
      <c r="L352" s="17"/>
      <c r="M352" s="17"/>
      <c r="N352" s="17"/>
      <c r="O352" s="17"/>
      <c r="P352" s="17"/>
      <c r="Q352" s="17"/>
      <c r="R352" s="17"/>
      <c r="S352" s="201"/>
      <c r="T352" s="201"/>
      <c r="U352" s="201"/>
      <c r="V352" s="201"/>
      <c r="W352" s="17"/>
      <c r="X352" s="17"/>
      <c r="Y352" s="17"/>
      <c r="Z352" s="17"/>
      <c r="AA352" s="17"/>
      <c r="AB352" s="17"/>
    </row>
    <row r="353">
      <c r="A353" s="17"/>
      <c r="B353" s="17"/>
      <c r="C353" s="17"/>
      <c r="D353" s="17"/>
      <c r="E353" s="17"/>
      <c r="F353" s="297"/>
      <c r="G353" s="17"/>
      <c r="H353" s="17"/>
      <c r="I353" s="17"/>
      <c r="J353" s="17"/>
      <c r="K353" s="17"/>
      <c r="L353" s="17"/>
      <c r="M353" s="17"/>
      <c r="N353" s="17"/>
      <c r="O353" s="17"/>
      <c r="P353" s="17"/>
      <c r="Q353" s="17"/>
      <c r="R353" s="17"/>
      <c r="S353" s="201"/>
      <c r="T353" s="201"/>
      <c r="U353" s="201"/>
      <c r="V353" s="201"/>
      <c r="W353" s="17"/>
      <c r="X353" s="17"/>
      <c r="Y353" s="17"/>
      <c r="Z353" s="17"/>
      <c r="AA353" s="17"/>
      <c r="AB353" s="17"/>
    </row>
    <row r="354">
      <c r="A354" s="17"/>
      <c r="B354" s="17"/>
      <c r="C354" s="17"/>
      <c r="D354" s="17"/>
      <c r="E354" s="17"/>
      <c r="F354" s="297"/>
      <c r="G354" s="17"/>
      <c r="H354" s="17"/>
      <c r="I354" s="17"/>
      <c r="J354" s="17"/>
      <c r="K354" s="17"/>
      <c r="L354" s="17"/>
      <c r="M354" s="17"/>
      <c r="N354" s="17"/>
      <c r="O354" s="17"/>
      <c r="P354" s="17"/>
      <c r="Q354" s="17"/>
      <c r="R354" s="17"/>
      <c r="S354" s="201"/>
      <c r="T354" s="201"/>
      <c r="U354" s="201"/>
      <c r="V354" s="201"/>
      <c r="W354" s="17"/>
      <c r="X354" s="17"/>
      <c r="Y354" s="17"/>
      <c r="Z354" s="17"/>
      <c r="AA354" s="17"/>
      <c r="AB354" s="17"/>
    </row>
    <row r="355">
      <c r="A355" s="17"/>
      <c r="B355" s="17"/>
      <c r="C355" s="17"/>
      <c r="D355" s="17"/>
      <c r="E355" s="17"/>
      <c r="F355" s="297"/>
      <c r="G355" s="17"/>
      <c r="H355" s="17"/>
      <c r="I355" s="17"/>
      <c r="J355" s="17"/>
      <c r="K355" s="17"/>
      <c r="L355" s="17"/>
      <c r="M355" s="17"/>
      <c r="N355" s="17"/>
      <c r="O355" s="17"/>
      <c r="P355" s="17"/>
      <c r="Q355" s="17"/>
      <c r="R355" s="17"/>
      <c r="S355" s="201"/>
      <c r="T355" s="201"/>
      <c r="U355" s="201"/>
      <c r="V355" s="201"/>
      <c r="W355" s="17"/>
      <c r="X355" s="17"/>
      <c r="Y355" s="17"/>
      <c r="Z355" s="17"/>
      <c r="AA355" s="17"/>
      <c r="AB355" s="17"/>
    </row>
    <row r="356">
      <c r="A356" s="17"/>
      <c r="B356" s="17"/>
      <c r="C356" s="17"/>
      <c r="D356" s="17"/>
      <c r="E356" s="17"/>
      <c r="F356" s="297"/>
      <c r="G356" s="17"/>
      <c r="H356" s="17"/>
      <c r="I356" s="17"/>
      <c r="J356" s="17"/>
      <c r="K356" s="17"/>
      <c r="L356" s="17"/>
      <c r="M356" s="17"/>
      <c r="N356" s="17"/>
      <c r="O356" s="17"/>
      <c r="P356" s="17"/>
      <c r="Q356" s="17"/>
      <c r="R356" s="17"/>
      <c r="S356" s="201"/>
      <c r="T356" s="201"/>
      <c r="U356" s="201"/>
      <c r="V356" s="201"/>
      <c r="W356" s="17"/>
      <c r="X356" s="17"/>
      <c r="Y356" s="17"/>
      <c r="Z356" s="17"/>
      <c r="AA356" s="17"/>
      <c r="AB356" s="17"/>
    </row>
    <row r="357">
      <c r="A357" s="17"/>
      <c r="B357" s="17"/>
      <c r="C357" s="17"/>
      <c r="D357" s="17"/>
      <c r="E357" s="17"/>
      <c r="F357" s="297"/>
      <c r="G357" s="17"/>
      <c r="H357" s="17"/>
      <c r="I357" s="17"/>
      <c r="J357" s="17"/>
      <c r="K357" s="17"/>
      <c r="L357" s="17"/>
      <c r="M357" s="17"/>
      <c r="N357" s="17"/>
      <c r="O357" s="17"/>
      <c r="P357" s="17"/>
      <c r="Q357" s="17"/>
      <c r="R357" s="17"/>
      <c r="S357" s="201"/>
      <c r="T357" s="201"/>
      <c r="U357" s="201"/>
      <c r="V357" s="201"/>
      <c r="W357" s="17"/>
      <c r="X357" s="17"/>
      <c r="Y357" s="17"/>
      <c r="Z357" s="17"/>
      <c r="AA357" s="17"/>
      <c r="AB357" s="17"/>
    </row>
    <row r="358">
      <c r="A358" s="17"/>
      <c r="B358" s="17"/>
      <c r="C358" s="17"/>
      <c r="D358" s="17"/>
      <c r="E358" s="17"/>
      <c r="F358" s="297"/>
      <c r="G358" s="17"/>
      <c r="H358" s="17"/>
      <c r="I358" s="17"/>
      <c r="J358" s="17"/>
      <c r="K358" s="17"/>
      <c r="L358" s="17"/>
      <c r="M358" s="17"/>
      <c r="N358" s="17"/>
      <c r="O358" s="17"/>
      <c r="P358" s="17"/>
      <c r="Q358" s="17"/>
      <c r="R358" s="17"/>
      <c r="S358" s="201"/>
      <c r="T358" s="201"/>
      <c r="U358" s="201"/>
      <c r="V358" s="201"/>
      <c r="W358" s="17"/>
      <c r="X358" s="17"/>
      <c r="Y358" s="17"/>
      <c r="Z358" s="17"/>
      <c r="AA358" s="17"/>
      <c r="AB358" s="17"/>
    </row>
    <row r="359">
      <c r="A359" s="17"/>
      <c r="B359" s="17"/>
      <c r="C359" s="17"/>
      <c r="D359" s="17"/>
      <c r="E359" s="17"/>
      <c r="F359" s="297"/>
      <c r="G359" s="17"/>
      <c r="H359" s="17"/>
      <c r="I359" s="17"/>
      <c r="J359" s="17"/>
      <c r="K359" s="17"/>
      <c r="L359" s="17"/>
      <c r="M359" s="17"/>
      <c r="N359" s="17"/>
      <c r="O359" s="17"/>
      <c r="P359" s="17"/>
      <c r="Q359" s="17"/>
      <c r="R359" s="17"/>
      <c r="S359" s="201"/>
      <c r="T359" s="201"/>
      <c r="U359" s="201"/>
      <c r="V359" s="201"/>
      <c r="W359" s="17"/>
      <c r="X359" s="17"/>
      <c r="Y359" s="17"/>
      <c r="Z359" s="17"/>
      <c r="AA359" s="17"/>
      <c r="AB359" s="17"/>
    </row>
    <row r="360">
      <c r="A360" s="17"/>
      <c r="B360" s="17"/>
      <c r="C360" s="17"/>
      <c r="D360" s="17"/>
      <c r="E360" s="17"/>
      <c r="F360" s="297"/>
      <c r="G360" s="17"/>
      <c r="H360" s="17"/>
      <c r="I360" s="17"/>
      <c r="J360" s="17"/>
      <c r="K360" s="17"/>
      <c r="L360" s="17"/>
      <c r="M360" s="17"/>
      <c r="N360" s="17"/>
      <c r="O360" s="17"/>
      <c r="P360" s="17"/>
      <c r="Q360" s="17"/>
      <c r="R360" s="17"/>
      <c r="S360" s="201"/>
      <c r="T360" s="201"/>
      <c r="U360" s="201"/>
      <c r="V360" s="201"/>
      <c r="W360" s="17"/>
      <c r="X360" s="17"/>
      <c r="Y360" s="17"/>
      <c r="Z360" s="17"/>
      <c r="AA360" s="17"/>
      <c r="AB360" s="17"/>
    </row>
    <row r="361">
      <c r="A361" s="17"/>
      <c r="B361" s="17"/>
      <c r="C361" s="17"/>
      <c r="D361" s="17"/>
      <c r="E361" s="17"/>
      <c r="F361" s="297"/>
      <c r="G361" s="17"/>
      <c r="H361" s="17"/>
      <c r="I361" s="17"/>
      <c r="J361" s="17"/>
      <c r="K361" s="17"/>
      <c r="L361" s="17"/>
      <c r="M361" s="17"/>
      <c r="N361" s="17"/>
      <c r="O361" s="17"/>
      <c r="P361" s="17"/>
      <c r="Q361" s="17"/>
      <c r="R361" s="17"/>
      <c r="S361" s="201"/>
      <c r="T361" s="201"/>
      <c r="U361" s="201"/>
      <c r="V361" s="201"/>
      <c r="W361" s="17"/>
      <c r="X361" s="17"/>
      <c r="Y361" s="17"/>
      <c r="Z361" s="17"/>
      <c r="AA361" s="17"/>
      <c r="AB361" s="17"/>
    </row>
    <row r="362">
      <c r="A362" s="17"/>
      <c r="B362" s="17"/>
      <c r="C362" s="17"/>
      <c r="D362" s="17"/>
      <c r="E362" s="17"/>
      <c r="F362" s="297"/>
      <c r="G362" s="17"/>
      <c r="H362" s="17"/>
      <c r="I362" s="17"/>
      <c r="J362" s="17"/>
      <c r="K362" s="17"/>
      <c r="L362" s="17"/>
      <c r="M362" s="17"/>
      <c r="N362" s="17"/>
      <c r="O362" s="17"/>
      <c r="P362" s="17"/>
      <c r="Q362" s="17"/>
      <c r="R362" s="17"/>
      <c r="S362" s="201"/>
      <c r="T362" s="201"/>
      <c r="U362" s="201"/>
      <c r="V362" s="201"/>
      <c r="W362" s="17"/>
      <c r="X362" s="17"/>
      <c r="Y362" s="17"/>
      <c r="Z362" s="17"/>
      <c r="AA362" s="17"/>
      <c r="AB362" s="17"/>
    </row>
    <row r="363">
      <c r="A363" s="17"/>
      <c r="B363" s="17"/>
      <c r="C363" s="17"/>
      <c r="D363" s="17"/>
      <c r="E363" s="17"/>
      <c r="F363" s="297"/>
      <c r="G363" s="17"/>
      <c r="H363" s="17"/>
      <c r="I363" s="17"/>
      <c r="J363" s="17"/>
      <c r="K363" s="17"/>
      <c r="L363" s="17"/>
      <c r="M363" s="17"/>
      <c r="N363" s="17"/>
      <c r="O363" s="17"/>
      <c r="P363" s="17"/>
      <c r="Q363" s="17"/>
      <c r="R363" s="17"/>
      <c r="S363" s="201"/>
      <c r="T363" s="201"/>
      <c r="U363" s="201"/>
      <c r="V363" s="201"/>
      <c r="W363" s="17"/>
      <c r="X363" s="17"/>
      <c r="Y363" s="17"/>
      <c r="Z363" s="17"/>
      <c r="AA363" s="17"/>
      <c r="AB363" s="17"/>
    </row>
    <row r="364">
      <c r="A364" s="17"/>
      <c r="B364" s="17"/>
      <c r="C364" s="17"/>
      <c r="D364" s="17"/>
      <c r="E364" s="17"/>
      <c r="F364" s="297"/>
      <c r="G364" s="17"/>
      <c r="H364" s="17"/>
      <c r="I364" s="17"/>
      <c r="J364" s="17"/>
      <c r="K364" s="17"/>
      <c r="L364" s="17"/>
      <c r="M364" s="17"/>
      <c r="N364" s="17"/>
      <c r="O364" s="17"/>
      <c r="P364" s="17"/>
      <c r="Q364" s="17"/>
      <c r="R364" s="17"/>
      <c r="S364" s="201"/>
      <c r="T364" s="201"/>
      <c r="U364" s="201"/>
      <c r="V364" s="201"/>
      <c r="W364" s="17"/>
      <c r="X364" s="17"/>
      <c r="Y364" s="17"/>
      <c r="Z364" s="17"/>
      <c r="AA364" s="17"/>
      <c r="AB364" s="17"/>
    </row>
    <row r="365">
      <c r="A365" s="17"/>
      <c r="B365" s="17"/>
      <c r="C365" s="17"/>
      <c r="D365" s="17"/>
      <c r="E365" s="17"/>
      <c r="F365" s="297"/>
      <c r="G365" s="17"/>
      <c r="H365" s="17"/>
      <c r="I365" s="17"/>
      <c r="J365" s="17"/>
      <c r="K365" s="17"/>
      <c r="L365" s="17"/>
      <c r="M365" s="17"/>
      <c r="N365" s="17"/>
      <c r="O365" s="17"/>
      <c r="P365" s="17"/>
      <c r="Q365" s="17"/>
      <c r="R365" s="17"/>
      <c r="S365" s="201"/>
      <c r="T365" s="201"/>
      <c r="U365" s="201"/>
      <c r="V365" s="201"/>
      <c r="W365" s="17"/>
      <c r="X365" s="17"/>
      <c r="Y365" s="17"/>
      <c r="Z365" s="17"/>
      <c r="AA365" s="17"/>
      <c r="AB365" s="17"/>
    </row>
    <row r="366">
      <c r="A366" s="17"/>
      <c r="B366" s="17"/>
      <c r="C366" s="17"/>
      <c r="D366" s="17"/>
      <c r="E366" s="17"/>
      <c r="F366" s="297"/>
      <c r="G366" s="17"/>
      <c r="H366" s="17"/>
      <c r="I366" s="17"/>
      <c r="J366" s="17"/>
      <c r="K366" s="17"/>
      <c r="L366" s="17"/>
      <c r="M366" s="17"/>
      <c r="N366" s="17"/>
      <c r="O366" s="17"/>
      <c r="P366" s="17"/>
      <c r="Q366" s="17"/>
      <c r="R366" s="17"/>
      <c r="S366" s="201"/>
      <c r="T366" s="201"/>
      <c r="U366" s="201"/>
      <c r="V366" s="201"/>
      <c r="W366" s="17"/>
      <c r="X366" s="17"/>
      <c r="Y366" s="17"/>
      <c r="Z366" s="17"/>
      <c r="AA366" s="17"/>
      <c r="AB366" s="17"/>
    </row>
    <row r="367">
      <c r="A367" s="17"/>
      <c r="B367" s="17"/>
      <c r="C367" s="17"/>
      <c r="D367" s="17"/>
      <c r="E367" s="17"/>
      <c r="F367" s="297"/>
      <c r="G367" s="17"/>
      <c r="H367" s="17"/>
      <c r="I367" s="17"/>
      <c r="J367" s="17"/>
      <c r="K367" s="17"/>
      <c r="L367" s="17"/>
      <c r="M367" s="17"/>
      <c r="N367" s="17"/>
      <c r="O367" s="17"/>
      <c r="P367" s="17"/>
      <c r="Q367" s="17"/>
      <c r="R367" s="17"/>
      <c r="S367" s="201"/>
      <c r="T367" s="201"/>
      <c r="U367" s="201"/>
      <c r="V367" s="201"/>
      <c r="W367" s="17"/>
      <c r="X367" s="17"/>
      <c r="Y367" s="17"/>
      <c r="Z367" s="17"/>
      <c r="AA367" s="17"/>
      <c r="AB367" s="17"/>
    </row>
    <row r="368">
      <c r="A368" s="17"/>
      <c r="B368" s="17"/>
      <c r="C368" s="17"/>
      <c r="D368" s="17"/>
      <c r="E368" s="17"/>
      <c r="F368" s="297"/>
      <c r="G368" s="17"/>
      <c r="H368" s="17"/>
      <c r="I368" s="17"/>
      <c r="J368" s="17"/>
      <c r="K368" s="17"/>
      <c r="L368" s="17"/>
      <c r="M368" s="17"/>
      <c r="N368" s="17"/>
      <c r="O368" s="17"/>
      <c r="P368" s="17"/>
      <c r="Q368" s="17"/>
      <c r="R368" s="17"/>
      <c r="S368" s="201"/>
      <c r="T368" s="201"/>
      <c r="U368" s="201"/>
      <c r="V368" s="201"/>
      <c r="W368" s="17"/>
      <c r="X368" s="17"/>
      <c r="Y368" s="17"/>
      <c r="Z368" s="17"/>
      <c r="AA368" s="17"/>
      <c r="AB368" s="17"/>
    </row>
    <row r="369">
      <c r="A369" s="17"/>
      <c r="B369" s="17"/>
      <c r="C369" s="17"/>
      <c r="D369" s="17"/>
      <c r="E369" s="17"/>
      <c r="F369" s="297"/>
      <c r="G369" s="17"/>
      <c r="H369" s="17"/>
      <c r="I369" s="17"/>
      <c r="J369" s="17"/>
      <c r="K369" s="17"/>
      <c r="L369" s="17"/>
      <c r="M369" s="17"/>
      <c r="N369" s="17"/>
      <c r="O369" s="17"/>
      <c r="P369" s="17"/>
      <c r="Q369" s="17"/>
      <c r="R369" s="17"/>
      <c r="S369" s="201"/>
      <c r="T369" s="201"/>
      <c r="U369" s="201"/>
      <c r="V369" s="201"/>
      <c r="W369" s="17"/>
      <c r="X369" s="17"/>
      <c r="Y369" s="17"/>
      <c r="Z369" s="17"/>
      <c r="AA369" s="17"/>
      <c r="AB369" s="17"/>
    </row>
    <row r="370">
      <c r="A370" s="17"/>
      <c r="B370" s="17"/>
      <c r="C370" s="17"/>
      <c r="D370" s="17"/>
      <c r="E370" s="17"/>
      <c r="F370" s="297"/>
      <c r="G370" s="17"/>
      <c r="H370" s="17"/>
      <c r="I370" s="17"/>
      <c r="J370" s="17"/>
      <c r="K370" s="17"/>
      <c r="L370" s="17"/>
      <c r="M370" s="17"/>
      <c r="N370" s="17"/>
      <c r="O370" s="17"/>
      <c r="P370" s="17"/>
      <c r="Q370" s="17"/>
      <c r="R370" s="17"/>
      <c r="S370" s="201"/>
      <c r="T370" s="201"/>
      <c r="U370" s="201"/>
      <c r="V370" s="201"/>
      <c r="W370" s="17"/>
      <c r="X370" s="17"/>
      <c r="Y370" s="17"/>
      <c r="Z370" s="17"/>
      <c r="AA370" s="17"/>
      <c r="AB370" s="17"/>
    </row>
    <row r="371">
      <c r="A371" s="17"/>
      <c r="B371" s="17"/>
      <c r="C371" s="17"/>
      <c r="D371" s="17"/>
      <c r="E371" s="17"/>
      <c r="F371" s="297"/>
      <c r="G371" s="17"/>
      <c r="H371" s="17"/>
      <c r="I371" s="17"/>
      <c r="J371" s="17"/>
      <c r="K371" s="17"/>
      <c r="L371" s="17"/>
      <c r="M371" s="17"/>
      <c r="N371" s="17"/>
      <c r="O371" s="17"/>
      <c r="P371" s="17"/>
      <c r="Q371" s="17"/>
      <c r="R371" s="17"/>
      <c r="S371" s="201"/>
      <c r="T371" s="201"/>
      <c r="U371" s="201"/>
      <c r="V371" s="201"/>
      <c r="W371" s="17"/>
      <c r="X371" s="17"/>
      <c r="Y371" s="17"/>
      <c r="Z371" s="17"/>
      <c r="AA371" s="17"/>
      <c r="AB371" s="17"/>
    </row>
    <row r="372">
      <c r="A372" s="17"/>
      <c r="B372" s="17"/>
      <c r="C372" s="17"/>
      <c r="D372" s="17"/>
      <c r="E372" s="17"/>
      <c r="F372" s="297"/>
      <c r="G372" s="17"/>
      <c r="H372" s="17"/>
      <c r="I372" s="17"/>
      <c r="J372" s="17"/>
      <c r="K372" s="17"/>
      <c r="L372" s="17"/>
      <c r="M372" s="17"/>
      <c r="N372" s="17"/>
      <c r="O372" s="17"/>
      <c r="P372" s="17"/>
      <c r="Q372" s="17"/>
      <c r="R372" s="17"/>
      <c r="S372" s="201"/>
      <c r="T372" s="201"/>
      <c r="U372" s="201"/>
      <c r="V372" s="201"/>
      <c r="W372" s="17"/>
      <c r="X372" s="17"/>
      <c r="Y372" s="17"/>
      <c r="Z372" s="17"/>
      <c r="AA372" s="17"/>
      <c r="AB372" s="17"/>
    </row>
    <row r="373">
      <c r="A373" s="17"/>
      <c r="B373" s="17"/>
      <c r="C373" s="17"/>
      <c r="D373" s="17"/>
      <c r="E373" s="17"/>
      <c r="F373" s="297"/>
      <c r="G373" s="17"/>
      <c r="H373" s="17"/>
      <c r="I373" s="17"/>
      <c r="J373" s="17"/>
      <c r="K373" s="17"/>
      <c r="L373" s="17"/>
      <c r="M373" s="17"/>
      <c r="N373" s="17"/>
      <c r="O373" s="17"/>
      <c r="P373" s="17"/>
      <c r="Q373" s="17"/>
      <c r="R373" s="17"/>
      <c r="S373" s="201"/>
      <c r="T373" s="201"/>
      <c r="U373" s="201"/>
      <c r="V373" s="201"/>
      <c r="W373" s="17"/>
      <c r="X373" s="17"/>
      <c r="Y373" s="17"/>
      <c r="Z373" s="17"/>
      <c r="AA373" s="17"/>
      <c r="AB373" s="17"/>
    </row>
    <row r="374">
      <c r="A374" s="17"/>
      <c r="B374" s="17"/>
      <c r="C374" s="17"/>
      <c r="D374" s="17"/>
      <c r="E374" s="17"/>
      <c r="F374" s="297"/>
      <c r="G374" s="17"/>
      <c r="H374" s="17"/>
      <c r="I374" s="17"/>
      <c r="J374" s="17"/>
      <c r="K374" s="17"/>
      <c r="L374" s="17"/>
      <c r="M374" s="17"/>
      <c r="N374" s="17"/>
      <c r="O374" s="17"/>
      <c r="P374" s="17"/>
      <c r="Q374" s="17"/>
      <c r="R374" s="17"/>
      <c r="S374" s="201"/>
      <c r="T374" s="201"/>
      <c r="U374" s="201"/>
      <c r="V374" s="201"/>
      <c r="W374" s="17"/>
      <c r="X374" s="17"/>
      <c r="Y374" s="17"/>
      <c r="Z374" s="17"/>
      <c r="AA374" s="17"/>
      <c r="AB374" s="17"/>
    </row>
    <row r="375">
      <c r="A375" s="17"/>
      <c r="B375" s="17"/>
      <c r="C375" s="17"/>
      <c r="D375" s="17"/>
      <c r="E375" s="17"/>
      <c r="F375" s="297"/>
      <c r="G375" s="17"/>
      <c r="H375" s="17"/>
      <c r="I375" s="17"/>
      <c r="J375" s="17"/>
      <c r="K375" s="17"/>
      <c r="L375" s="17"/>
      <c r="M375" s="17"/>
      <c r="N375" s="17"/>
      <c r="O375" s="17"/>
      <c r="P375" s="17"/>
      <c r="Q375" s="17"/>
      <c r="R375" s="17"/>
      <c r="S375" s="201"/>
      <c r="T375" s="201"/>
      <c r="U375" s="201"/>
      <c r="V375" s="201"/>
      <c r="W375" s="17"/>
      <c r="X375" s="17"/>
      <c r="Y375" s="17"/>
      <c r="Z375" s="17"/>
      <c r="AA375" s="17"/>
      <c r="AB375" s="17"/>
    </row>
    <row r="376">
      <c r="A376" s="17"/>
      <c r="B376" s="17"/>
      <c r="C376" s="17"/>
      <c r="D376" s="17"/>
      <c r="E376" s="17"/>
      <c r="F376" s="297"/>
      <c r="G376" s="17"/>
      <c r="H376" s="17"/>
      <c r="I376" s="17"/>
      <c r="J376" s="17"/>
      <c r="K376" s="17"/>
      <c r="L376" s="17"/>
      <c r="M376" s="17"/>
      <c r="N376" s="17"/>
      <c r="O376" s="17"/>
      <c r="P376" s="17"/>
      <c r="Q376" s="17"/>
      <c r="R376" s="17"/>
      <c r="S376" s="201"/>
      <c r="T376" s="201"/>
      <c r="U376" s="201"/>
      <c r="V376" s="201"/>
      <c r="W376" s="17"/>
      <c r="X376" s="17"/>
      <c r="Y376" s="17"/>
      <c r="Z376" s="17"/>
      <c r="AA376" s="17"/>
      <c r="AB376" s="17"/>
    </row>
    <row r="377">
      <c r="A377" s="17"/>
      <c r="B377" s="17"/>
      <c r="C377" s="17"/>
      <c r="D377" s="17"/>
      <c r="E377" s="17"/>
      <c r="F377" s="297"/>
      <c r="G377" s="17"/>
      <c r="H377" s="17"/>
      <c r="I377" s="17"/>
      <c r="J377" s="17"/>
      <c r="K377" s="17"/>
      <c r="L377" s="17"/>
      <c r="M377" s="17"/>
      <c r="N377" s="17"/>
      <c r="O377" s="17"/>
      <c r="P377" s="17"/>
      <c r="Q377" s="17"/>
      <c r="R377" s="17"/>
      <c r="S377" s="201"/>
      <c r="T377" s="201"/>
      <c r="U377" s="201"/>
      <c r="V377" s="201"/>
      <c r="W377" s="17"/>
      <c r="X377" s="17"/>
      <c r="Y377" s="17"/>
      <c r="Z377" s="17"/>
      <c r="AA377" s="17"/>
      <c r="AB377" s="17"/>
    </row>
    <row r="378">
      <c r="A378" s="17"/>
      <c r="B378" s="17"/>
      <c r="C378" s="17"/>
      <c r="D378" s="17"/>
      <c r="E378" s="17"/>
      <c r="F378" s="297"/>
      <c r="G378" s="17"/>
      <c r="H378" s="17"/>
      <c r="I378" s="17"/>
      <c r="J378" s="17"/>
      <c r="K378" s="17"/>
      <c r="L378" s="17"/>
      <c r="M378" s="17"/>
      <c r="N378" s="17"/>
      <c r="O378" s="17"/>
      <c r="P378" s="17"/>
      <c r="Q378" s="17"/>
      <c r="R378" s="17"/>
      <c r="S378" s="201"/>
      <c r="T378" s="201"/>
      <c r="U378" s="201"/>
      <c r="V378" s="201"/>
      <c r="W378" s="17"/>
      <c r="X378" s="17"/>
      <c r="Y378" s="17"/>
      <c r="Z378" s="17"/>
      <c r="AA378" s="17"/>
      <c r="AB378" s="17"/>
    </row>
    <row r="379">
      <c r="A379" s="17"/>
      <c r="B379" s="17"/>
      <c r="C379" s="17"/>
      <c r="D379" s="17"/>
      <c r="E379" s="17"/>
      <c r="F379" s="297"/>
      <c r="G379" s="17"/>
      <c r="H379" s="17"/>
      <c r="I379" s="17"/>
      <c r="J379" s="17"/>
      <c r="K379" s="17"/>
      <c r="L379" s="17"/>
      <c r="M379" s="17"/>
      <c r="N379" s="17"/>
      <c r="O379" s="17"/>
      <c r="P379" s="17"/>
      <c r="Q379" s="17"/>
      <c r="R379" s="17"/>
      <c r="S379" s="201"/>
      <c r="T379" s="201"/>
      <c r="U379" s="201"/>
      <c r="V379" s="201"/>
      <c r="W379" s="17"/>
      <c r="X379" s="17"/>
      <c r="Y379" s="17"/>
      <c r="Z379" s="17"/>
      <c r="AA379" s="17"/>
      <c r="AB379" s="17"/>
    </row>
    <row r="380">
      <c r="A380" s="17"/>
      <c r="B380" s="17"/>
      <c r="C380" s="17"/>
      <c r="D380" s="17"/>
      <c r="E380" s="17"/>
      <c r="F380" s="297"/>
      <c r="G380" s="17"/>
      <c r="H380" s="17"/>
      <c r="I380" s="17"/>
      <c r="J380" s="17"/>
      <c r="K380" s="17"/>
      <c r="L380" s="17"/>
      <c r="M380" s="17"/>
      <c r="N380" s="17"/>
      <c r="O380" s="17"/>
      <c r="P380" s="17"/>
      <c r="Q380" s="17"/>
      <c r="R380" s="17"/>
      <c r="S380" s="201"/>
      <c r="T380" s="201"/>
      <c r="U380" s="201"/>
      <c r="V380" s="201"/>
      <c r="W380" s="17"/>
      <c r="X380" s="17"/>
      <c r="Y380" s="17"/>
      <c r="Z380" s="17"/>
      <c r="AA380" s="17"/>
      <c r="AB380" s="17"/>
    </row>
    <row r="381">
      <c r="A381" s="17"/>
      <c r="B381" s="17"/>
      <c r="C381" s="17"/>
      <c r="D381" s="17"/>
      <c r="E381" s="17"/>
      <c r="F381" s="297"/>
      <c r="G381" s="17"/>
      <c r="H381" s="17"/>
      <c r="I381" s="17"/>
      <c r="J381" s="17"/>
      <c r="K381" s="17"/>
      <c r="L381" s="17"/>
      <c r="M381" s="17"/>
      <c r="N381" s="17"/>
      <c r="O381" s="17"/>
      <c r="P381" s="17"/>
      <c r="Q381" s="17"/>
      <c r="R381" s="17"/>
      <c r="S381" s="201"/>
      <c r="T381" s="201"/>
      <c r="U381" s="201"/>
      <c r="V381" s="201"/>
      <c r="W381" s="17"/>
      <c r="X381" s="17"/>
      <c r="Y381" s="17"/>
      <c r="Z381" s="17"/>
      <c r="AA381" s="17"/>
      <c r="AB381" s="17"/>
    </row>
    <row r="382">
      <c r="A382" s="17"/>
      <c r="B382" s="17"/>
      <c r="C382" s="17"/>
      <c r="D382" s="17"/>
      <c r="E382" s="17"/>
      <c r="F382" s="297"/>
      <c r="G382" s="17"/>
      <c r="H382" s="17"/>
      <c r="I382" s="17"/>
      <c r="J382" s="17"/>
      <c r="K382" s="17"/>
      <c r="L382" s="17"/>
      <c r="M382" s="17"/>
      <c r="N382" s="17"/>
      <c r="O382" s="17"/>
      <c r="P382" s="17"/>
      <c r="Q382" s="17"/>
      <c r="R382" s="17"/>
      <c r="S382" s="201"/>
      <c r="T382" s="201"/>
      <c r="U382" s="201"/>
      <c r="V382" s="201"/>
      <c r="W382" s="17"/>
      <c r="X382" s="17"/>
      <c r="Y382" s="17"/>
      <c r="Z382" s="17"/>
      <c r="AA382" s="17"/>
      <c r="AB382" s="17"/>
    </row>
    <row r="383">
      <c r="A383" s="17"/>
      <c r="B383" s="17"/>
      <c r="C383" s="17"/>
      <c r="D383" s="17"/>
      <c r="E383" s="17"/>
      <c r="F383" s="297"/>
      <c r="G383" s="17"/>
      <c r="H383" s="17"/>
      <c r="I383" s="17"/>
      <c r="J383" s="17"/>
      <c r="K383" s="17"/>
      <c r="L383" s="17"/>
      <c r="M383" s="17"/>
      <c r="N383" s="17"/>
      <c r="O383" s="17"/>
      <c r="P383" s="17"/>
      <c r="Q383" s="17"/>
      <c r="R383" s="17"/>
      <c r="S383" s="201"/>
      <c r="T383" s="201"/>
      <c r="U383" s="201"/>
      <c r="V383" s="201"/>
      <c r="W383" s="17"/>
      <c r="X383" s="17"/>
      <c r="Y383" s="17"/>
      <c r="Z383" s="17"/>
      <c r="AA383" s="17"/>
      <c r="AB383" s="17"/>
    </row>
    <row r="384">
      <c r="A384" s="17"/>
      <c r="B384" s="17"/>
      <c r="C384" s="17"/>
      <c r="D384" s="17"/>
      <c r="E384" s="17"/>
      <c r="F384" s="297"/>
      <c r="G384" s="17"/>
      <c r="H384" s="17"/>
      <c r="I384" s="17"/>
      <c r="J384" s="17"/>
      <c r="K384" s="17"/>
      <c r="L384" s="17"/>
      <c r="M384" s="17"/>
      <c r="N384" s="17"/>
      <c r="O384" s="17"/>
      <c r="P384" s="17"/>
      <c r="Q384" s="17"/>
      <c r="R384" s="17"/>
      <c r="S384" s="201"/>
      <c r="T384" s="201"/>
      <c r="U384" s="201"/>
      <c r="V384" s="201"/>
      <c r="W384" s="17"/>
      <c r="X384" s="17"/>
      <c r="Y384" s="17"/>
      <c r="Z384" s="17"/>
      <c r="AA384" s="17"/>
      <c r="AB384" s="17"/>
    </row>
    <row r="385">
      <c r="A385" s="17"/>
      <c r="B385" s="17"/>
      <c r="C385" s="17"/>
      <c r="D385" s="17"/>
      <c r="E385" s="17"/>
      <c r="F385" s="297"/>
      <c r="G385" s="17"/>
      <c r="H385" s="17"/>
      <c r="I385" s="17"/>
      <c r="J385" s="17"/>
      <c r="K385" s="17"/>
      <c r="L385" s="17"/>
      <c r="M385" s="17"/>
      <c r="N385" s="17"/>
      <c r="O385" s="17"/>
      <c r="P385" s="17"/>
      <c r="Q385" s="17"/>
      <c r="R385" s="17"/>
      <c r="S385" s="201"/>
      <c r="T385" s="201"/>
      <c r="U385" s="201"/>
      <c r="V385" s="201"/>
      <c r="W385" s="17"/>
      <c r="X385" s="17"/>
      <c r="Y385" s="17"/>
      <c r="Z385" s="17"/>
      <c r="AA385" s="17"/>
      <c r="AB385" s="17"/>
    </row>
    <row r="386">
      <c r="A386" s="17"/>
      <c r="B386" s="17"/>
      <c r="C386" s="17"/>
      <c r="D386" s="17"/>
      <c r="E386" s="17"/>
      <c r="F386" s="297"/>
      <c r="G386" s="17"/>
      <c r="H386" s="17"/>
      <c r="I386" s="17"/>
      <c r="J386" s="17"/>
      <c r="K386" s="17"/>
      <c r="L386" s="17"/>
      <c r="M386" s="17"/>
      <c r="N386" s="17"/>
      <c r="O386" s="17"/>
      <c r="P386" s="17"/>
      <c r="Q386" s="17"/>
      <c r="R386" s="17"/>
      <c r="S386" s="201"/>
      <c r="T386" s="201"/>
      <c r="U386" s="201"/>
      <c r="V386" s="201"/>
      <c r="W386" s="17"/>
      <c r="X386" s="17"/>
      <c r="Y386" s="17"/>
      <c r="Z386" s="17"/>
      <c r="AA386" s="17"/>
      <c r="AB386" s="17"/>
    </row>
    <row r="387">
      <c r="A387" s="17"/>
      <c r="B387" s="17"/>
      <c r="C387" s="17"/>
      <c r="D387" s="17"/>
      <c r="E387" s="17"/>
      <c r="F387" s="297"/>
      <c r="G387" s="17"/>
      <c r="H387" s="17"/>
      <c r="I387" s="17"/>
      <c r="J387" s="17"/>
      <c r="K387" s="17"/>
      <c r="L387" s="17"/>
      <c r="M387" s="17"/>
      <c r="N387" s="17"/>
      <c r="O387" s="17"/>
      <c r="P387" s="17"/>
      <c r="Q387" s="17"/>
      <c r="R387" s="17"/>
      <c r="S387" s="201"/>
      <c r="T387" s="201"/>
      <c r="U387" s="201"/>
      <c r="V387" s="201"/>
      <c r="W387" s="17"/>
      <c r="X387" s="17"/>
      <c r="Y387" s="17"/>
      <c r="Z387" s="17"/>
      <c r="AA387" s="17"/>
      <c r="AB387" s="17"/>
    </row>
    <row r="388">
      <c r="A388" s="17"/>
      <c r="B388" s="17"/>
      <c r="C388" s="17"/>
      <c r="D388" s="17"/>
      <c r="E388" s="17"/>
      <c r="F388" s="297"/>
      <c r="G388" s="17"/>
      <c r="H388" s="17"/>
      <c r="I388" s="17"/>
      <c r="J388" s="17"/>
      <c r="K388" s="17"/>
      <c r="L388" s="17"/>
      <c r="M388" s="17"/>
      <c r="N388" s="17"/>
      <c r="O388" s="17"/>
      <c r="P388" s="17"/>
      <c r="Q388" s="17"/>
      <c r="R388" s="17"/>
      <c r="S388" s="201"/>
      <c r="T388" s="201"/>
      <c r="U388" s="201"/>
      <c r="V388" s="201"/>
      <c r="W388" s="17"/>
      <c r="X388" s="17"/>
      <c r="Y388" s="17"/>
      <c r="Z388" s="17"/>
      <c r="AA388" s="17"/>
      <c r="AB388" s="17"/>
    </row>
    <row r="389">
      <c r="A389" s="17"/>
      <c r="B389" s="17"/>
      <c r="C389" s="17"/>
      <c r="D389" s="17"/>
      <c r="E389" s="17"/>
      <c r="F389" s="297"/>
      <c r="G389" s="17"/>
      <c r="H389" s="17"/>
      <c r="I389" s="17"/>
      <c r="J389" s="17"/>
      <c r="K389" s="17"/>
      <c r="L389" s="17"/>
      <c r="M389" s="17"/>
      <c r="N389" s="17"/>
      <c r="O389" s="17"/>
      <c r="P389" s="17"/>
      <c r="Q389" s="17"/>
      <c r="R389" s="17"/>
      <c r="S389" s="201"/>
      <c r="T389" s="201"/>
      <c r="U389" s="201"/>
      <c r="V389" s="201"/>
      <c r="W389" s="17"/>
      <c r="X389" s="17"/>
      <c r="Y389" s="17"/>
      <c r="Z389" s="17"/>
      <c r="AA389" s="17"/>
      <c r="AB389" s="17"/>
    </row>
    <row r="390">
      <c r="A390" s="17"/>
      <c r="B390" s="17"/>
      <c r="C390" s="17"/>
      <c r="D390" s="17"/>
      <c r="E390" s="17"/>
      <c r="F390" s="297"/>
      <c r="G390" s="17"/>
      <c r="H390" s="17"/>
      <c r="I390" s="17"/>
      <c r="J390" s="17"/>
      <c r="K390" s="17"/>
      <c r="L390" s="17"/>
      <c r="M390" s="17"/>
      <c r="N390" s="17"/>
      <c r="O390" s="17"/>
      <c r="P390" s="17"/>
      <c r="Q390" s="17"/>
      <c r="R390" s="17"/>
      <c r="S390" s="201"/>
      <c r="T390" s="201"/>
      <c r="U390" s="201"/>
      <c r="V390" s="201"/>
      <c r="W390" s="17"/>
      <c r="X390" s="17"/>
      <c r="Y390" s="17"/>
      <c r="Z390" s="17"/>
      <c r="AA390" s="17"/>
      <c r="AB390" s="17"/>
    </row>
    <row r="391">
      <c r="A391" s="17"/>
      <c r="B391" s="17"/>
      <c r="C391" s="17"/>
      <c r="D391" s="17"/>
      <c r="E391" s="17"/>
      <c r="F391" s="297"/>
      <c r="G391" s="17"/>
      <c r="H391" s="17"/>
      <c r="I391" s="17"/>
      <c r="J391" s="17"/>
      <c r="K391" s="17"/>
      <c r="L391" s="17"/>
      <c r="M391" s="17"/>
      <c r="N391" s="17"/>
      <c r="O391" s="17"/>
      <c r="P391" s="17"/>
      <c r="Q391" s="17"/>
      <c r="R391" s="17"/>
      <c r="S391" s="201"/>
      <c r="T391" s="201"/>
      <c r="U391" s="201"/>
      <c r="V391" s="201"/>
      <c r="W391" s="17"/>
      <c r="X391" s="17"/>
      <c r="Y391" s="17"/>
      <c r="Z391" s="17"/>
      <c r="AA391" s="17"/>
      <c r="AB391" s="17"/>
    </row>
    <row r="392">
      <c r="A392" s="17"/>
      <c r="B392" s="17"/>
      <c r="C392" s="17"/>
      <c r="D392" s="17"/>
      <c r="E392" s="17"/>
      <c r="F392" s="297"/>
      <c r="G392" s="17"/>
      <c r="H392" s="17"/>
      <c r="I392" s="17"/>
      <c r="J392" s="17"/>
      <c r="K392" s="17"/>
      <c r="L392" s="17"/>
      <c r="M392" s="17"/>
      <c r="N392" s="17"/>
      <c r="O392" s="17"/>
      <c r="P392" s="17"/>
      <c r="Q392" s="17"/>
      <c r="R392" s="17"/>
      <c r="S392" s="201"/>
      <c r="T392" s="201"/>
      <c r="U392" s="201"/>
      <c r="V392" s="201"/>
      <c r="W392" s="17"/>
      <c r="X392" s="17"/>
      <c r="Y392" s="17"/>
      <c r="Z392" s="17"/>
      <c r="AA392" s="17"/>
      <c r="AB392" s="17"/>
    </row>
    <row r="393">
      <c r="A393" s="17"/>
      <c r="B393" s="17"/>
      <c r="C393" s="17"/>
      <c r="D393" s="17"/>
      <c r="E393" s="17"/>
      <c r="F393" s="297"/>
      <c r="G393" s="17"/>
      <c r="H393" s="17"/>
      <c r="I393" s="17"/>
      <c r="J393" s="17"/>
      <c r="K393" s="17"/>
      <c r="L393" s="17"/>
      <c r="M393" s="17"/>
      <c r="N393" s="17"/>
      <c r="O393" s="17"/>
      <c r="P393" s="17"/>
      <c r="Q393" s="17"/>
      <c r="R393" s="17"/>
      <c r="S393" s="201"/>
      <c r="T393" s="201"/>
      <c r="U393" s="201"/>
      <c r="V393" s="201"/>
      <c r="W393" s="17"/>
      <c r="X393" s="17"/>
      <c r="Y393" s="17"/>
      <c r="Z393" s="17"/>
      <c r="AA393" s="17"/>
      <c r="AB393" s="17"/>
    </row>
    <row r="394">
      <c r="A394" s="17"/>
      <c r="B394" s="17"/>
      <c r="C394" s="17"/>
      <c r="D394" s="17"/>
      <c r="E394" s="17"/>
      <c r="F394" s="297"/>
      <c r="G394" s="17"/>
      <c r="H394" s="17"/>
      <c r="I394" s="17"/>
      <c r="J394" s="17"/>
      <c r="K394" s="17"/>
      <c r="L394" s="17"/>
      <c r="M394" s="17"/>
      <c r="N394" s="17"/>
      <c r="O394" s="17"/>
      <c r="P394" s="17"/>
      <c r="Q394" s="17"/>
      <c r="R394" s="17"/>
      <c r="S394" s="201"/>
      <c r="T394" s="201"/>
      <c r="U394" s="201"/>
      <c r="V394" s="201"/>
      <c r="W394" s="17"/>
      <c r="X394" s="17"/>
      <c r="Y394" s="17"/>
      <c r="Z394" s="17"/>
      <c r="AA394" s="17"/>
      <c r="AB394" s="17"/>
    </row>
    <row r="395">
      <c r="A395" s="17"/>
      <c r="B395" s="17"/>
      <c r="C395" s="17"/>
      <c r="D395" s="17"/>
      <c r="E395" s="17"/>
      <c r="F395" s="297"/>
      <c r="G395" s="17"/>
      <c r="H395" s="17"/>
      <c r="I395" s="17"/>
      <c r="J395" s="17"/>
      <c r="K395" s="17"/>
      <c r="L395" s="17"/>
      <c r="M395" s="17"/>
      <c r="N395" s="17"/>
      <c r="O395" s="17"/>
      <c r="P395" s="17"/>
      <c r="Q395" s="17"/>
      <c r="R395" s="17"/>
      <c r="S395" s="201"/>
      <c r="T395" s="201"/>
      <c r="U395" s="201"/>
      <c r="V395" s="201"/>
      <c r="W395" s="17"/>
      <c r="X395" s="17"/>
      <c r="Y395" s="17"/>
      <c r="Z395" s="17"/>
      <c r="AA395" s="17"/>
      <c r="AB395" s="17"/>
    </row>
    <row r="396">
      <c r="A396" s="17"/>
      <c r="B396" s="17"/>
      <c r="C396" s="17"/>
      <c r="D396" s="17"/>
      <c r="E396" s="17"/>
      <c r="F396" s="297"/>
      <c r="G396" s="17"/>
      <c r="H396" s="17"/>
      <c r="I396" s="17"/>
      <c r="J396" s="17"/>
      <c r="K396" s="17"/>
      <c r="L396" s="17"/>
      <c r="M396" s="17"/>
      <c r="N396" s="17"/>
      <c r="O396" s="17"/>
      <c r="P396" s="17"/>
      <c r="Q396" s="17"/>
      <c r="R396" s="17"/>
      <c r="S396" s="201"/>
      <c r="T396" s="201"/>
      <c r="U396" s="201"/>
      <c r="V396" s="201"/>
      <c r="W396" s="17"/>
      <c r="X396" s="17"/>
      <c r="Y396" s="17"/>
      <c r="Z396" s="17"/>
      <c r="AA396" s="17"/>
      <c r="AB396" s="17"/>
    </row>
    <row r="397">
      <c r="A397" s="17"/>
      <c r="B397" s="17"/>
      <c r="C397" s="17"/>
      <c r="D397" s="17"/>
      <c r="E397" s="17"/>
      <c r="F397" s="297"/>
      <c r="G397" s="17"/>
      <c r="H397" s="17"/>
      <c r="I397" s="17"/>
      <c r="J397" s="17"/>
      <c r="K397" s="17"/>
      <c r="L397" s="17"/>
      <c r="M397" s="17"/>
      <c r="N397" s="17"/>
      <c r="O397" s="17"/>
      <c r="P397" s="17"/>
      <c r="Q397" s="17"/>
      <c r="R397" s="17"/>
      <c r="S397" s="201"/>
      <c r="T397" s="201"/>
      <c r="U397" s="201"/>
      <c r="V397" s="201"/>
      <c r="W397" s="17"/>
      <c r="X397" s="17"/>
      <c r="Y397" s="17"/>
      <c r="Z397" s="17"/>
      <c r="AA397" s="17"/>
      <c r="AB397" s="17"/>
    </row>
    <row r="398">
      <c r="A398" s="17"/>
      <c r="B398" s="17"/>
      <c r="C398" s="17"/>
      <c r="D398" s="17"/>
      <c r="E398" s="17"/>
      <c r="F398" s="297"/>
      <c r="G398" s="17"/>
      <c r="H398" s="17"/>
      <c r="I398" s="17"/>
      <c r="J398" s="17"/>
      <c r="K398" s="17"/>
      <c r="L398" s="17"/>
      <c r="M398" s="17"/>
      <c r="N398" s="17"/>
      <c r="O398" s="17"/>
      <c r="P398" s="17"/>
      <c r="Q398" s="17"/>
      <c r="R398" s="17"/>
      <c r="S398" s="201"/>
      <c r="T398" s="201"/>
      <c r="U398" s="201"/>
      <c r="V398" s="201"/>
      <c r="W398" s="17"/>
      <c r="X398" s="17"/>
      <c r="Y398" s="17"/>
      <c r="Z398" s="17"/>
      <c r="AA398" s="17"/>
      <c r="AB398" s="17"/>
    </row>
    <row r="399">
      <c r="A399" s="17"/>
      <c r="B399" s="17"/>
      <c r="C399" s="17"/>
      <c r="D399" s="17"/>
      <c r="E399" s="17"/>
      <c r="F399" s="297"/>
      <c r="G399" s="17"/>
      <c r="H399" s="17"/>
      <c r="I399" s="17"/>
      <c r="J399" s="17"/>
      <c r="K399" s="17"/>
      <c r="L399" s="17"/>
      <c r="M399" s="17"/>
      <c r="N399" s="17"/>
      <c r="O399" s="17"/>
      <c r="P399" s="17"/>
      <c r="Q399" s="17"/>
      <c r="R399" s="17"/>
      <c r="S399" s="201"/>
      <c r="T399" s="201"/>
      <c r="U399" s="201"/>
      <c r="V399" s="201"/>
      <c r="W399" s="17"/>
      <c r="X399" s="17"/>
      <c r="Y399" s="17"/>
      <c r="Z399" s="17"/>
      <c r="AA399" s="17"/>
      <c r="AB399" s="17"/>
    </row>
    <row r="400">
      <c r="A400" s="17"/>
      <c r="B400" s="17"/>
      <c r="C400" s="17"/>
      <c r="D400" s="17"/>
      <c r="E400" s="17"/>
      <c r="F400" s="297"/>
      <c r="G400" s="17"/>
      <c r="H400" s="17"/>
      <c r="I400" s="17"/>
      <c r="J400" s="17"/>
      <c r="K400" s="17"/>
      <c r="L400" s="17"/>
      <c r="M400" s="17"/>
      <c r="N400" s="17"/>
      <c r="O400" s="17"/>
      <c r="P400" s="17"/>
      <c r="Q400" s="17"/>
      <c r="R400" s="17"/>
      <c r="S400" s="201"/>
      <c r="T400" s="201"/>
      <c r="U400" s="201"/>
      <c r="V400" s="201"/>
      <c r="W400" s="17"/>
      <c r="X400" s="17"/>
      <c r="Y400" s="17"/>
      <c r="Z400" s="17"/>
      <c r="AA400" s="17"/>
      <c r="AB400" s="17"/>
    </row>
    <row r="401">
      <c r="A401" s="17"/>
      <c r="B401" s="17"/>
      <c r="C401" s="17"/>
      <c r="D401" s="17"/>
      <c r="E401" s="17"/>
      <c r="F401" s="297"/>
      <c r="G401" s="17"/>
      <c r="H401" s="17"/>
      <c r="I401" s="17"/>
      <c r="J401" s="17"/>
      <c r="K401" s="17"/>
      <c r="L401" s="17"/>
      <c r="M401" s="17"/>
      <c r="N401" s="17"/>
      <c r="O401" s="17"/>
      <c r="P401" s="17"/>
      <c r="Q401" s="17"/>
      <c r="R401" s="17"/>
      <c r="S401" s="201"/>
      <c r="T401" s="201"/>
      <c r="U401" s="201"/>
      <c r="V401" s="201"/>
      <c r="W401" s="17"/>
      <c r="X401" s="17"/>
      <c r="Y401" s="17"/>
      <c r="Z401" s="17"/>
      <c r="AA401" s="17"/>
      <c r="AB401" s="17"/>
    </row>
    <row r="402">
      <c r="A402" s="17"/>
      <c r="B402" s="17"/>
      <c r="C402" s="17"/>
      <c r="D402" s="17"/>
      <c r="E402" s="17"/>
      <c r="F402" s="297"/>
      <c r="G402" s="17"/>
      <c r="H402" s="17"/>
      <c r="I402" s="17"/>
      <c r="J402" s="17"/>
      <c r="K402" s="17"/>
      <c r="L402" s="17"/>
      <c r="M402" s="17"/>
      <c r="N402" s="17"/>
      <c r="O402" s="17"/>
      <c r="P402" s="17"/>
      <c r="Q402" s="17"/>
      <c r="R402" s="17"/>
      <c r="S402" s="201"/>
      <c r="T402" s="201"/>
      <c r="U402" s="201"/>
      <c r="V402" s="201"/>
      <c r="W402" s="17"/>
      <c r="X402" s="17"/>
      <c r="Y402" s="17"/>
      <c r="Z402" s="17"/>
      <c r="AA402" s="17"/>
      <c r="AB402" s="17"/>
    </row>
    <row r="403">
      <c r="A403" s="17"/>
      <c r="B403" s="17"/>
      <c r="C403" s="17"/>
      <c r="D403" s="17"/>
      <c r="E403" s="17"/>
      <c r="F403" s="297"/>
      <c r="G403" s="17"/>
      <c r="H403" s="17"/>
      <c r="I403" s="17"/>
      <c r="J403" s="17"/>
      <c r="K403" s="17"/>
      <c r="L403" s="17"/>
      <c r="M403" s="17"/>
      <c r="N403" s="17"/>
      <c r="O403" s="17"/>
      <c r="P403" s="17"/>
      <c r="Q403" s="17"/>
      <c r="R403" s="17"/>
      <c r="S403" s="201"/>
      <c r="T403" s="201"/>
      <c r="U403" s="201"/>
      <c r="V403" s="201"/>
      <c r="W403" s="17"/>
      <c r="X403" s="17"/>
      <c r="Y403" s="17"/>
      <c r="Z403" s="17"/>
      <c r="AA403" s="17"/>
      <c r="AB403" s="17"/>
    </row>
    <row r="404">
      <c r="A404" s="17"/>
      <c r="B404" s="17"/>
      <c r="C404" s="17"/>
      <c r="D404" s="17"/>
      <c r="E404" s="17"/>
      <c r="F404" s="297"/>
      <c r="G404" s="17"/>
      <c r="H404" s="17"/>
      <c r="I404" s="17"/>
      <c r="J404" s="17"/>
      <c r="K404" s="17"/>
      <c r="L404" s="17"/>
      <c r="M404" s="17"/>
      <c r="N404" s="17"/>
      <c r="O404" s="17"/>
      <c r="P404" s="17"/>
      <c r="Q404" s="17"/>
      <c r="R404" s="17"/>
      <c r="S404" s="201"/>
      <c r="T404" s="201"/>
      <c r="U404" s="201"/>
      <c r="V404" s="201"/>
      <c r="W404" s="17"/>
      <c r="X404" s="17"/>
      <c r="Y404" s="17"/>
      <c r="Z404" s="17"/>
      <c r="AA404" s="17"/>
      <c r="AB404" s="17"/>
    </row>
    <row r="405">
      <c r="A405" s="17"/>
      <c r="B405" s="17"/>
      <c r="C405" s="17"/>
      <c r="D405" s="17"/>
      <c r="E405" s="17"/>
      <c r="F405" s="297"/>
      <c r="G405" s="17"/>
      <c r="H405" s="17"/>
      <c r="I405" s="17"/>
      <c r="J405" s="17"/>
      <c r="K405" s="17"/>
      <c r="L405" s="17"/>
      <c r="M405" s="17"/>
      <c r="N405" s="17"/>
      <c r="O405" s="17"/>
      <c r="P405" s="17"/>
      <c r="Q405" s="17"/>
      <c r="R405" s="17"/>
      <c r="S405" s="201"/>
      <c r="T405" s="201"/>
      <c r="U405" s="201"/>
      <c r="V405" s="201"/>
      <c r="W405" s="17"/>
      <c r="X405" s="17"/>
      <c r="Y405" s="17"/>
      <c r="Z405" s="17"/>
      <c r="AA405" s="17"/>
      <c r="AB405" s="17"/>
    </row>
    <row r="406">
      <c r="A406" s="17"/>
      <c r="B406" s="17"/>
      <c r="C406" s="17"/>
      <c r="D406" s="17"/>
      <c r="E406" s="17"/>
      <c r="F406" s="297"/>
      <c r="G406" s="17"/>
      <c r="H406" s="17"/>
      <c r="I406" s="17"/>
      <c r="J406" s="17"/>
      <c r="K406" s="17"/>
      <c r="L406" s="17"/>
      <c r="M406" s="17"/>
      <c r="N406" s="17"/>
      <c r="O406" s="17"/>
      <c r="P406" s="17"/>
      <c r="Q406" s="17"/>
      <c r="R406" s="17"/>
      <c r="S406" s="201"/>
      <c r="T406" s="201"/>
      <c r="U406" s="201"/>
      <c r="V406" s="201"/>
      <c r="W406" s="17"/>
      <c r="X406" s="17"/>
      <c r="Y406" s="17"/>
      <c r="Z406" s="17"/>
      <c r="AA406" s="17"/>
      <c r="AB406" s="17"/>
    </row>
    <row r="407">
      <c r="A407" s="17"/>
      <c r="B407" s="17"/>
      <c r="C407" s="17"/>
      <c r="D407" s="17"/>
      <c r="E407" s="17"/>
      <c r="F407" s="297"/>
      <c r="G407" s="17"/>
      <c r="H407" s="17"/>
      <c r="I407" s="17"/>
      <c r="J407" s="17"/>
      <c r="K407" s="17"/>
      <c r="L407" s="17"/>
      <c r="M407" s="17"/>
      <c r="N407" s="17"/>
      <c r="O407" s="17"/>
      <c r="P407" s="17"/>
      <c r="Q407" s="17"/>
      <c r="R407" s="17"/>
      <c r="S407" s="201"/>
      <c r="T407" s="201"/>
      <c r="U407" s="201"/>
      <c r="V407" s="201"/>
      <c r="W407" s="17"/>
      <c r="X407" s="17"/>
      <c r="Y407" s="17"/>
      <c r="Z407" s="17"/>
      <c r="AA407" s="17"/>
      <c r="AB407" s="17"/>
    </row>
    <row r="408">
      <c r="A408" s="17"/>
      <c r="B408" s="17"/>
      <c r="C408" s="17"/>
      <c r="D408" s="17"/>
      <c r="E408" s="17"/>
      <c r="F408" s="297"/>
      <c r="G408" s="17"/>
      <c r="H408" s="17"/>
      <c r="I408" s="17"/>
      <c r="J408" s="17"/>
      <c r="K408" s="17"/>
      <c r="L408" s="17"/>
      <c r="M408" s="17"/>
      <c r="N408" s="17"/>
      <c r="O408" s="17"/>
      <c r="P408" s="17"/>
      <c r="Q408" s="17"/>
      <c r="R408" s="17"/>
      <c r="S408" s="201"/>
      <c r="T408" s="201"/>
      <c r="U408" s="201"/>
      <c r="V408" s="201"/>
      <c r="W408" s="17"/>
      <c r="X408" s="17"/>
      <c r="Y408" s="17"/>
      <c r="Z408" s="17"/>
      <c r="AA408" s="17"/>
      <c r="AB408" s="17"/>
    </row>
    <row r="409">
      <c r="A409" s="17"/>
      <c r="B409" s="17"/>
      <c r="C409" s="17"/>
      <c r="D409" s="17"/>
      <c r="E409" s="17"/>
      <c r="F409" s="297"/>
      <c r="G409" s="17"/>
      <c r="H409" s="17"/>
      <c r="I409" s="17"/>
      <c r="J409" s="17"/>
      <c r="K409" s="17"/>
      <c r="L409" s="17"/>
      <c r="M409" s="17"/>
      <c r="N409" s="17"/>
      <c r="O409" s="17"/>
      <c r="P409" s="17"/>
      <c r="Q409" s="17"/>
      <c r="R409" s="17"/>
      <c r="S409" s="201"/>
      <c r="T409" s="201"/>
      <c r="U409" s="201"/>
      <c r="V409" s="201"/>
      <c r="W409" s="17"/>
      <c r="X409" s="17"/>
      <c r="Y409" s="17"/>
      <c r="Z409" s="17"/>
      <c r="AA409" s="17"/>
      <c r="AB409" s="17"/>
    </row>
    <row r="410">
      <c r="A410" s="17"/>
      <c r="B410" s="17"/>
      <c r="C410" s="17"/>
      <c r="D410" s="17"/>
      <c r="E410" s="17"/>
      <c r="F410" s="297"/>
      <c r="G410" s="17"/>
      <c r="H410" s="17"/>
      <c r="I410" s="17"/>
      <c r="J410" s="17"/>
      <c r="K410" s="17"/>
      <c r="L410" s="17"/>
      <c r="M410" s="17"/>
      <c r="N410" s="17"/>
      <c r="O410" s="17"/>
      <c r="P410" s="17"/>
      <c r="Q410" s="17"/>
      <c r="R410" s="17"/>
      <c r="S410" s="201"/>
      <c r="T410" s="201"/>
      <c r="U410" s="201"/>
      <c r="V410" s="201"/>
      <c r="W410" s="17"/>
      <c r="X410" s="17"/>
      <c r="Y410" s="17"/>
      <c r="Z410" s="17"/>
      <c r="AA410" s="17"/>
      <c r="AB410" s="17"/>
    </row>
    <row r="411">
      <c r="A411" s="17"/>
      <c r="B411" s="17"/>
      <c r="C411" s="17"/>
      <c r="D411" s="17"/>
      <c r="E411" s="17"/>
      <c r="F411" s="297"/>
      <c r="G411" s="17"/>
      <c r="H411" s="17"/>
      <c r="I411" s="17"/>
      <c r="J411" s="17"/>
      <c r="K411" s="17"/>
      <c r="L411" s="17"/>
      <c r="M411" s="17"/>
      <c r="N411" s="17"/>
      <c r="O411" s="17"/>
      <c r="P411" s="17"/>
      <c r="Q411" s="17"/>
      <c r="R411" s="17"/>
      <c r="S411" s="201"/>
      <c r="T411" s="201"/>
      <c r="U411" s="201"/>
      <c r="V411" s="201"/>
      <c r="W411" s="17"/>
      <c r="X411" s="17"/>
      <c r="Y411" s="17"/>
      <c r="Z411" s="17"/>
      <c r="AA411" s="17"/>
      <c r="AB411" s="17"/>
    </row>
    <row r="412">
      <c r="A412" s="17"/>
      <c r="B412" s="17"/>
      <c r="C412" s="17"/>
      <c r="D412" s="17"/>
      <c r="E412" s="17"/>
      <c r="F412" s="297"/>
      <c r="G412" s="17"/>
      <c r="H412" s="17"/>
      <c r="I412" s="17"/>
      <c r="J412" s="17"/>
      <c r="K412" s="17"/>
      <c r="L412" s="17"/>
      <c r="M412" s="17"/>
      <c r="N412" s="17"/>
      <c r="O412" s="17"/>
      <c r="P412" s="17"/>
      <c r="Q412" s="17"/>
      <c r="R412" s="17"/>
      <c r="S412" s="201"/>
      <c r="T412" s="201"/>
      <c r="U412" s="201"/>
      <c r="V412" s="201"/>
      <c r="W412" s="17"/>
      <c r="X412" s="17"/>
      <c r="Y412" s="17"/>
      <c r="Z412" s="17"/>
      <c r="AA412" s="17"/>
      <c r="AB412" s="17"/>
    </row>
    <row r="413">
      <c r="A413" s="17"/>
      <c r="B413" s="17"/>
      <c r="C413" s="17"/>
      <c r="D413" s="17"/>
      <c r="E413" s="17"/>
      <c r="F413" s="297"/>
      <c r="G413" s="17"/>
      <c r="H413" s="17"/>
      <c r="I413" s="17"/>
      <c r="J413" s="17"/>
      <c r="K413" s="17"/>
      <c r="L413" s="17"/>
      <c r="M413" s="17"/>
      <c r="N413" s="17"/>
      <c r="O413" s="17"/>
      <c r="P413" s="17"/>
      <c r="Q413" s="17"/>
      <c r="R413" s="17"/>
      <c r="S413" s="201"/>
      <c r="T413" s="201"/>
      <c r="U413" s="201"/>
      <c r="V413" s="201"/>
      <c r="W413" s="17"/>
      <c r="X413" s="17"/>
      <c r="Y413" s="17"/>
      <c r="Z413" s="17"/>
      <c r="AA413" s="17"/>
      <c r="AB413" s="17"/>
    </row>
    <row r="414">
      <c r="A414" s="17"/>
      <c r="B414" s="17"/>
      <c r="C414" s="17"/>
      <c r="D414" s="17"/>
      <c r="E414" s="17"/>
      <c r="F414" s="297"/>
      <c r="G414" s="17"/>
      <c r="H414" s="17"/>
      <c r="I414" s="17"/>
      <c r="J414" s="17"/>
      <c r="K414" s="17"/>
      <c r="L414" s="17"/>
      <c r="M414" s="17"/>
      <c r="N414" s="17"/>
      <c r="O414" s="17"/>
      <c r="P414" s="17"/>
      <c r="Q414" s="17"/>
      <c r="R414" s="17"/>
      <c r="S414" s="201"/>
      <c r="T414" s="201"/>
      <c r="U414" s="201"/>
      <c r="V414" s="201"/>
      <c r="W414" s="17"/>
      <c r="X414" s="17"/>
      <c r="Y414" s="17"/>
      <c r="Z414" s="17"/>
      <c r="AA414" s="17"/>
      <c r="AB414" s="17"/>
    </row>
    <row r="415">
      <c r="A415" s="17"/>
      <c r="B415" s="17"/>
      <c r="C415" s="17"/>
      <c r="D415" s="17"/>
      <c r="E415" s="17"/>
      <c r="F415" s="297"/>
      <c r="G415" s="17"/>
      <c r="H415" s="17"/>
      <c r="I415" s="17"/>
      <c r="J415" s="17"/>
      <c r="K415" s="17"/>
      <c r="L415" s="17"/>
      <c r="M415" s="17"/>
      <c r="N415" s="17"/>
      <c r="O415" s="17"/>
      <c r="P415" s="17"/>
      <c r="Q415" s="17"/>
      <c r="R415" s="17"/>
      <c r="S415" s="201"/>
      <c r="T415" s="201"/>
      <c r="U415" s="201"/>
      <c r="V415" s="201"/>
      <c r="W415" s="17"/>
      <c r="X415" s="17"/>
      <c r="Y415" s="17"/>
      <c r="Z415" s="17"/>
      <c r="AA415" s="17"/>
      <c r="AB415" s="17"/>
    </row>
    <row r="416">
      <c r="A416" s="17"/>
      <c r="B416" s="17"/>
      <c r="C416" s="17"/>
      <c r="D416" s="17"/>
      <c r="E416" s="17"/>
      <c r="F416" s="297"/>
      <c r="G416" s="17"/>
      <c r="H416" s="17"/>
      <c r="I416" s="17"/>
      <c r="J416" s="17"/>
      <c r="K416" s="17"/>
      <c r="L416" s="17"/>
      <c r="M416" s="17"/>
      <c r="N416" s="17"/>
      <c r="O416" s="17"/>
      <c r="P416" s="17"/>
      <c r="Q416" s="17"/>
      <c r="R416" s="17"/>
      <c r="S416" s="201"/>
      <c r="T416" s="201"/>
      <c r="U416" s="201"/>
      <c r="V416" s="201"/>
      <c r="W416" s="17"/>
      <c r="X416" s="17"/>
      <c r="Y416" s="17"/>
      <c r="Z416" s="17"/>
      <c r="AA416" s="17"/>
      <c r="AB416" s="17"/>
    </row>
    <row r="417">
      <c r="A417" s="17"/>
      <c r="B417" s="17"/>
      <c r="C417" s="17"/>
      <c r="D417" s="17"/>
      <c r="E417" s="17"/>
      <c r="F417" s="297"/>
      <c r="G417" s="17"/>
      <c r="H417" s="17"/>
      <c r="I417" s="17"/>
      <c r="J417" s="17"/>
      <c r="K417" s="17"/>
      <c r="L417" s="17"/>
      <c r="M417" s="17"/>
      <c r="N417" s="17"/>
      <c r="O417" s="17"/>
      <c r="P417" s="17"/>
      <c r="Q417" s="17"/>
      <c r="R417" s="17"/>
      <c r="S417" s="201"/>
      <c r="T417" s="201"/>
      <c r="U417" s="201"/>
      <c r="V417" s="201"/>
      <c r="W417" s="17"/>
      <c r="X417" s="17"/>
      <c r="Y417" s="17"/>
      <c r="Z417" s="17"/>
      <c r="AA417" s="17"/>
      <c r="AB417" s="17"/>
    </row>
    <row r="418">
      <c r="A418" s="17"/>
      <c r="B418" s="17"/>
      <c r="C418" s="17"/>
      <c r="D418" s="17"/>
      <c r="E418" s="17"/>
      <c r="F418" s="297"/>
      <c r="G418" s="17"/>
      <c r="H418" s="17"/>
      <c r="I418" s="17"/>
      <c r="J418" s="17"/>
      <c r="K418" s="17"/>
      <c r="L418" s="17"/>
      <c r="M418" s="17"/>
      <c r="N418" s="17"/>
      <c r="O418" s="17"/>
      <c r="P418" s="17"/>
      <c r="Q418" s="17"/>
      <c r="R418" s="17"/>
      <c r="S418" s="201"/>
      <c r="T418" s="201"/>
      <c r="U418" s="201"/>
      <c r="V418" s="201"/>
      <c r="W418" s="17"/>
      <c r="X418" s="17"/>
      <c r="Y418" s="17"/>
      <c r="Z418" s="17"/>
      <c r="AA418" s="17"/>
      <c r="AB418" s="17"/>
    </row>
    <row r="419">
      <c r="A419" s="17"/>
      <c r="B419" s="17"/>
      <c r="C419" s="17"/>
      <c r="D419" s="17"/>
      <c r="E419" s="17"/>
      <c r="F419" s="297"/>
      <c r="G419" s="17"/>
      <c r="H419" s="17"/>
      <c r="I419" s="17"/>
      <c r="J419" s="17"/>
      <c r="K419" s="17"/>
      <c r="L419" s="17"/>
      <c r="M419" s="17"/>
      <c r="N419" s="17"/>
      <c r="O419" s="17"/>
      <c r="P419" s="17"/>
      <c r="Q419" s="17"/>
      <c r="R419" s="17"/>
      <c r="S419" s="201"/>
      <c r="T419" s="201"/>
      <c r="U419" s="201"/>
      <c r="V419" s="201"/>
      <c r="W419" s="17"/>
      <c r="X419" s="17"/>
      <c r="Y419" s="17"/>
      <c r="Z419" s="17"/>
      <c r="AA419" s="17"/>
      <c r="AB419" s="17"/>
    </row>
    <row r="420">
      <c r="A420" s="17"/>
      <c r="B420" s="17"/>
      <c r="C420" s="17"/>
      <c r="D420" s="17"/>
      <c r="E420" s="17"/>
      <c r="F420" s="297"/>
      <c r="G420" s="17"/>
      <c r="H420" s="17"/>
      <c r="I420" s="17"/>
      <c r="J420" s="17"/>
      <c r="K420" s="17"/>
      <c r="L420" s="17"/>
      <c r="M420" s="17"/>
      <c r="N420" s="17"/>
      <c r="O420" s="17"/>
      <c r="P420" s="17"/>
      <c r="Q420" s="17"/>
      <c r="R420" s="17"/>
      <c r="S420" s="201"/>
      <c r="T420" s="201"/>
      <c r="U420" s="201"/>
      <c r="V420" s="201"/>
      <c r="W420" s="17"/>
      <c r="X420" s="17"/>
      <c r="Y420" s="17"/>
      <c r="Z420" s="17"/>
      <c r="AA420" s="17"/>
      <c r="AB420" s="17"/>
    </row>
    <row r="421">
      <c r="A421" s="17"/>
      <c r="B421" s="17"/>
      <c r="C421" s="17"/>
      <c r="D421" s="17"/>
      <c r="E421" s="17"/>
      <c r="F421" s="297"/>
      <c r="G421" s="17"/>
      <c r="H421" s="17"/>
      <c r="I421" s="17"/>
      <c r="J421" s="17"/>
      <c r="K421" s="17"/>
      <c r="L421" s="17"/>
      <c r="M421" s="17"/>
      <c r="N421" s="17"/>
      <c r="O421" s="17"/>
      <c r="P421" s="17"/>
      <c r="Q421" s="17"/>
      <c r="R421" s="17"/>
      <c r="S421" s="201"/>
      <c r="T421" s="201"/>
      <c r="U421" s="201"/>
      <c r="V421" s="201"/>
      <c r="W421" s="17"/>
      <c r="X421" s="17"/>
      <c r="Y421" s="17"/>
      <c r="Z421" s="17"/>
      <c r="AA421" s="17"/>
      <c r="AB421" s="17"/>
    </row>
    <row r="422">
      <c r="A422" s="17"/>
      <c r="B422" s="17"/>
      <c r="C422" s="17"/>
      <c r="D422" s="17"/>
      <c r="E422" s="17"/>
      <c r="F422" s="297"/>
      <c r="G422" s="17"/>
      <c r="H422" s="17"/>
      <c r="I422" s="17"/>
      <c r="J422" s="17"/>
      <c r="K422" s="17"/>
      <c r="L422" s="17"/>
      <c r="M422" s="17"/>
      <c r="N422" s="17"/>
      <c r="O422" s="17"/>
      <c r="P422" s="17"/>
      <c r="Q422" s="17"/>
      <c r="R422" s="17"/>
      <c r="S422" s="201"/>
      <c r="T422" s="201"/>
      <c r="U422" s="201"/>
      <c r="V422" s="201"/>
      <c r="W422" s="17"/>
      <c r="X422" s="17"/>
      <c r="Y422" s="17"/>
      <c r="Z422" s="17"/>
      <c r="AA422" s="17"/>
      <c r="AB422" s="17"/>
    </row>
    <row r="423">
      <c r="A423" s="17"/>
      <c r="B423" s="17"/>
      <c r="C423" s="17"/>
      <c r="D423" s="17"/>
      <c r="E423" s="17"/>
      <c r="F423" s="297"/>
      <c r="G423" s="17"/>
      <c r="H423" s="17"/>
      <c r="I423" s="17"/>
      <c r="J423" s="17"/>
      <c r="K423" s="17"/>
      <c r="L423" s="17"/>
      <c r="M423" s="17"/>
      <c r="N423" s="17"/>
      <c r="O423" s="17"/>
      <c r="P423" s="17"/>
      <c r="Q423" s="17"/>
      <c r="R423" s="17"/>
      <c r="S423" s="201"/>
      <c r="T423" s="201"/>
      <c r="U423" s="201"/>
      <c r="V423" s="201"/>
      <c r="W423" s="17"/>
      <c r="X423" s="17"/>
      <c r="Y423" s="17"/>
      <c r="Z423" s="17"/>
      <c r="AA423" s="17"/>
      <c r="AB423" s="17"/>
    </row>
    <row r="424">
      <c r="A424" s="17"/>
      <c r="B424" s="17"/>
      <c r="C424" s="17"/>
      <c r="D424" s="17"/>
      <c r="E424" s="17"/>
      <c r="F424" s="297"/>
      <c r="G424" s="17"/>
      <c r="H424" s="17"/>
      <c r="I424" s="17"/>
      <c r="J424" s="17"/>
      <c r="K424" s="17"/>
      <c r="L424" s="17"/>
      <c r="M424" s="17"/>
      <c r="N424" s="17"/>
      <c r="O424" s="17"/>
      <c r="P424" s="17"/>
      <c r="Q424" s="17"/>
      <c r="R424" s="17"/>
      <c r="S424" s="201"/>
      <c r="T424" s="201"/>
      <c r="U424" s="201"/>
      <c r="V424" s="201"/>
      <c r="W424" s="17"/>
      <c r="X424" s="17"/>
      <c r="Y424" s="17"/>
      <c r="Z424" s="17"/>
      <c r="AA424" s="17"/>
      <c r="AB424" s="17"/>
    </row>
    <row r="425">
      <c r="A425" s="17"/>
      <c r="B425" s="17"/>
      <c r="C425" s="17"/>
      <c r="D425" s="17"/>
      <c r="E425" s="17"/>
      <c r="F425" s="297"/>
      <c r="G425" s="17"/>
      <c r="H425" s="17"/>
      <c r="I425" s="17"/>
      <c r="J425" s="17"/>
      <c r="K425" s="17"/>
      <c r="L425" s="17"/>
      <c r="M425" s="17"/>
      <c r="N425" s="17"/>
      <c r="O425" s="17"/>
      <c r="P425" s="17"/>
      <c r="Q425" s="17"/>
      <c r="R425" s="17"/>
      <c r="S425" s="201"/>
      <c r="T425" s="201"/>
      <c r="U425" s="201"/>
      <c r="V425" s="201"/>
      <c r="W425" s="17"/>
      <c r="X425" s="17"/>
      <c r="Y425" s="17"/>
      <c r="Z425" s="17"/>
      <c r="AA425" s="17"/>
      <c r="AB425" s="17"/>
    </row>
    <row r="426">
      <c r="A426" s="17"/>
      <c r="B426" s="17"/>
      <c r="C426" s="17"/>
      <c r="D426" s="17"/>
      <c r="E426" s="17"/>
      <c r="F426" s="297"/>
      <c r="G426" s="17"/>
      <c r="H426" s="17"/>
      <c r="I426" s="17"/>
      <c r="J426" s="17"/>
      <c r="K426" s="17"/>
      <c r="L426" s="17"/>
      <c r="M426" s="17"/>
      <c r="N426" s="17"/>
      <c r="O426" s="17"/>
      <c r="P426" s="17"/>
      <c r="Q426" s="17"/>
      <c r="R426" s="17"/>
      <c r="S426" s="201"/>
      <c r="T426" s="201"/>
      <c r="U426" s="201"/>
      <c r="V426" s="201"/>
      <c r="W426" s="17"/>
      <c r="X426" s="17"/>
      <c r="Y426" s="17"/>
      <c r="Z426" s="17"/>
      <c r="AA426" s="17"/>
      <c r="AB426" s="17"/>
    </row>
    <row r="427">
      <c r="A427" s="17"/>
      <c r="B427" s="17"/>
      <c r="C427" s="17"/>
      <c r="D427" s="17"/>
      <c r="E427" s="17"/>
      <c r="F427" s="297"/>
      <c r="G427" s="17"/>
      <c r="H427" s="17"/>
      <c r="I427" s="17"/>
      <c r="J427" s="17"/>
      <c r="K427" s="17"/>
      <c r="L427" s="17"/>
      <c r="M427" s="17"/>
      <c r="N427" s="17"/>
      <c r="O427" s="17"/>
      <c r="P427" s="17"/>
      <c r="Q427" s="17"/>
      <c r="R427" s="17"/>
      <c r="S427" s="201"/>
      <c r="T427" s="201"/>
      <c r="U427" s="201"/>
      <c r="V427" s="201"/>
      <c r="W427" s="17"/>
      <c r="X427" s="17"/>
      <c r="Y427" s="17"/>
      <c r="Z427" s="17"/>
      <c r="AA427" s="17"/>
      <c r="AB427" s="17"/>
    </row>
    <row r="428">
      <c r="A428" s="17"/>
      <c r="B428" s="17"/>
      <c r="C428" s="17"/>
      <c r="D428" s="17"/>
      <c r="E428" s="17"/>
      <c r="F428" s="297"/>
      <c r="G428" s="17"/>
      <c r="H428" s="17"/>
      <c r="I428" s="17"/>
      <c r="J428" s="17"/>
      <c r="K428" s="17"/>
      <c r="L428" s="17"/>
      <c r="M428" s="17"/>
      <c r="N428" s="17"/>
      <c r="O428" s="17"/>
      <c r="P428" s="17"/>
      <c r="Q428" s="17"/>
      <c r="R428" s="17"/>
      <c r="S428" s="201"/>
      <c r="T428" s="201"/>
      <c r="U428" s="201"/>
      <c r="V428" s="201"/>
      <c r="W428" s="17"/>
      <c r="X428" s="17"/>
      <c r="Y428" s="17"/>
      <c r="Z428" s="17"/>
      <c r="AA428" s="17"/>
      <c r="AB428" s="17"/>
    </row>
    <row r="429">
      <c r="A429" s="17"/>
      <c r="B429" s="17"/>
      <c r="C429" s="17"/>
      <c r="D429" s="17"/>
      <c r="E429" s="17"/>
      <c r="F429" s="297"/>
      <c r="G429" s="17"/>
      <c r="H429" s="17"/>
      <c r="I429" s="17"/>
      <c r="J429" s="17"/>
      <c r="K429" s="17"/>
      <c r="L429" s="17"/>
      <c r="M429" s="17"/>
      <c r="N429" s="17"/>
      <c r="O429" s="17"/>
      <c r="P429" s="17"/>
      <c r="Q429" s="17"/>
      <c r="R429" s="17"/>
      <c r="S429" s="201"/>
      <c r="T429" s="201"/>
      <c r="U429" s="201"/>
      <c r="V429" s="201"/>
      <c r="W429" s="17"/>
      <c r="X429" s="17"/>
      <c r="Y429" s="17"/>
      <c r="Z429" s="17"/>
      <c r="AA429" s="17"/>
      <c r="AB429" s="17"/>
    </row>
    <row r="430">
      <c r="A430" s="17"/>
      <c r="B430" s="17"/>
      <c r="C430" s="17"/>
      <c r="D430" s="17"/>
      <c r="E430" s="17"/>
      <c r="F430" s="297"/>
      <c r="G430" s="17"/>
      <c r="H430" s="17"/>
      <c r="I430" s="17"/>
      <c r="J430" s="17"/>
      <c r="K430" s="17"/>
      <c r="L430" s="17"/>
      <c r="M430" s="17"/>
      <c r="N430" s="17"/>
      <c r="O430" s="17"/>
      <c r="P430" s="17"/>
      <c r="Q430" s="17"/>
      <c r="R430" s="17"/>
      <c r="S430" s="201"/>
      <c r="T430" s="201"/>
      <c r="U430" s="201"/>
      <c r="V430" s="201"/>
      <c r="W430" s="17"/>
      <c r="X430" s="17"/>
      <c r="Y430" s="17"/>
      <c r="Z430" s="17"/>
      <c r="AA430" s="17"/>
      <c r="AB430" s="17"/>
    </row>
    <row r="431">
      <c r="A431" s="17"/>
      <c r="B431" s="17"/>
      <c r="C431" s="17"/>
      <c r="D431" s="17"/>
      <c r="E431" s="17"/>
      <c r="F431" s="297"/>
      <c r="G431" s="17"/>
      <c r="H431" s="17"/>
      <c r="I431" s="17"/>
      <c r="J431" s="17"/>
      <c r="K431" s="17"/>
      <c r="L431" s="17"/>
      <c r="M431" s="17"/>
      <c r="N431" s="17"/>
      <c r="O431" s="17"/>
      <c r="P431" s="17"/>
      <c r="Q431" s="17"/>
      <c r="R431" s="17"/>
      <c r="S431" s="201"/>
      <c r="T431" s="201"/>
      <c r="U431" s="201"/>
      <c r="V431" s="201"/>
      <c r="W431" s="17"/>
      <c r="X431" s="17"/>
      <c r="Y431" s="17"/>
      <c r="Z431" s="17"/>
      <c r="AA431" s="17"/>
      <c r="AB431" s="17"/>
    </row>
    <row r="432">
      <c r="A432" s="17"/>
      <c r="B432" s="17"/>
      <c r="C432" s="17"/>
      <c r="D432" s="17"/>
      <c r="E432" s="17"/>
      <c r="F432" s="297"/>
      <c r="G432" s="17"/>
      <c r="H432" s="17"/>
      <c r="I432" s="17"/>
      <c r="J432" s="17"/>
      <c r="K432" s="17"/>
      <c r="L432" s="17"/>
      <c r="M432" s="17"/>
      <c r="N432" s="17"/>
      <c r="O432" s="17"/>
      <c r="P432" s="17"/>
      <c r="Q432" s="17"/>
      <c r="R432" s="17"/>
      <c r="S432" s="201"/>
      <c r="T432" s="201"/>
      <c r="U432" s="201"/>
      <c r="V432" s="201"/>
      <c r="W432" s="17"/>
      <c r="X432" s="17"/>
      <c r="Y432" s="17"/>
      <c r="Z432" s="17"/>
      <c r="AA432" s="17"/>
      <c r="AB432" s="17"/>
    </row>
    <row r="433">
      <c r="A433" s="17"/>
      <c r="B433" s="17"/>
      <c r="C433" s="17"/>
      <c r="D433" s="17"/>
      <c r="E433" s="17"/>
      <c r="F433" s="297"/>
      <c r="G433" s="17"/>
      <c r="H433" s="17"/>
      <c r="I433" s="17"/>
      <c r="J433" s="17"/>
      <c r="K433" s="17"/>
      <c r="L433" s="17"/>
      <c r="M433" s="17"/>
      <c r="N433" s="17"/>
      <c r="O433" s="17"/>
      <c r="P433" s="17"/>
      <c r="Q433" s="17"/>
      <c r="R433" s="17"/>
      <c r="S433" s="201"/>
      <c r="T433" s="201"/>
      <c r="U433" s="201"/>
      <c r="V433" s="201"/>
      <c r="W433" s="17"/>
      <c r="X433" s="17"/>
      <c r="Y433" s="17"/>
      <c r="Z433" s="17"/>
      <c r="AA433" s="17"/>
      <c r="AB433" s="17"/>
    </row>
    <row r="434">
      <c r="A434" s="17"/>
      <c r="B434" s="17"/>
      <c r="C434" s="17"/>
      <c r="D434" s="17"/>
      <c r="E434" s="17"/>
      <c r="F434" s="297"/>
      <c r="G434" s="17"/>
      <c r="H434" s="17"/>
      <c r="I434" s="17"/>
      <c r="J434" s="17"/>
      <c r="K434" s="17"/>
      <c r="L434" s="17"/>
      <c r="M434" s="17"/>
      <c r="N434" s="17"/>
      <c r="O434" s="17"/>
      <c r="P434" s="17"/>
      <c r="Q434" s="17"/>
      <c r="R434" s="17"/>
      <c r="S434" s="201"/>
      <c r="T434" s="201"/>
      <c r="U434" s="201"/>
      <c r="V434" s="201"/>
      <c r="W434" s="17"/>
      <c r="X434" s="17"/>
      <c r="Y434" s="17"/>
      <c r="Z434" s="17"/>
      <c r="AA434" s="17"/>
      <c r="AB434" s="17"/>
    </row>
    <row r="435">
      <c r="A435" s="17"/>
      <c r="B435" s="17"/>
      <c r="C435" s="17"/>
      <c r="D435" s="17"/>
      <c r="E435" s="17"/>
      <c r="F435" s="297"/>
      <c r="G435" s="17"/>
      <c r="H435" s="17"/>
      <c r="I435" s="17"/>
      <c r="J435" s="17"/>
      <c r="K435" s="17"/>
      <c r="L435" s="17"/>
      <c r="M435" s="17"/>
      <c r="N435" s="17"/>
      <c r="O435" s="17"/>
      <c r="P435" s="17"/>
      <c r="Q435" s="17"/>
      <c r="R435" s="17"/>
      <c r="S435" s="201"/>
      <c r="T435" s="201"/>
      <c r="U435" s="201"/>
      <c r="V435" s="201"/>
      <c r="W435" s="17"/>
      <c r="X435" s="17"/>
      <c r="Y435" s="17"/>
      <c r="Z435" s="17"/>
      <c r="AA435" s="17"/>
      <c r="AB435" s="17"/>
    </row>
    <row r="436">
      <c r="A436" s="17"/>
      <c r="B436" s="17"/>
      <c r="C436" s="17"/>
      <c r="D436" s="17"/>
      <c r="E436" s="17"/>
      <c r="F436" s="297"/>
      <c r="G436" s="17"/>
      <c r="H436" s="17"/>
      <c r="I436" s="17"/>
      <c r="J436" s="17"/>
      <c r="K436" s="17"/>
      <c r="L436" s="17"/>
      <c r="M436" s="17"/>
      <c r="N436" s="17"/>
      <c r="O436" s="17"/>
      <c r="P436" s="17"/>
      <c r="Q436" s="17"/>
      <c r="R436" s="17"/>
      <c r="S436" s="201"/>
      <c r="T436" s="201"/>
      <c r="U436" s="201"/>
      <c r="V436" s="201"/>
      <c r="W436" s="17"/>
      <c r="X436" s="17"/>
      <c r="Y436" s="17"/>
      <c r="Z436" s="17"/>
      <c r="AA436" s="17"/>
      <c r="AB436" s="17"/>
    </row>
    <row r="437">
      <c r="A437" s="17"/>
      <c r="B437" s="17"/>
      <c r="C437" s="17"/>
      <c r="D437" s="17"/>
      <c r="E437" s="17"/>
      <c r="F437" s="297"/>
      <c r="G437" s="17"/>
      <c r="H437" s="17"/>
      <c r="I437" s="17"/>
      <c r="J437" s="17"/>
      <c r="K437" s="17"/>
      <c r="L437" s="17"/>
      <c r="M437" s="17"/>
      <c r="N437" s="17"/>
      <c r="O437" s="17"/>
      <c r="P437" s="17"/>
      <c r="Q437" s="17"/>
      <c r="R437" s="17"/>
      <c r="S437" s="201"/>
      <c r="T437" s="201"/>
      <c r="U437" s="201"/>
      <c r="V437" s="201"/>
      <c r="W437" s="17"/>
      <c r="X437" s="17"/>
      <c r="Y437" s="17"/>
      <c r="Z437" s="17"/>
      <c r="AA437" s="17"/>
      <c r="AB437" s="17"/>
    </row>
    <row r="438">
      <c r="A438" s="17"/>
      <c r="B438" s="17"/>
      <c r="C438" s="17"/>
      <c r="D438" s="17"/>
      <c r="E438" s="17"/>
      <c r="F438" s="297"/>
      <c r="G438" s="17"/>
      <c r="H438" s="17"/>
      <c r="I438" s="17"/>
      <c r="J438" s="17"/>
      <c r="K438" s="17"/>
      <c r="L438" s="17"/>
      <c r="M438" s="17"/>
      <c r="N438" s="17"/>
      <c r="O438" s="17"/>
      <c r="P438" s="17"/>
      <c r="Q438" s="17"/>
      <c r="R438" s="17"/>
      <c r="S438" s="201"/>
      <c r="T438" s="201"/>
      <c r="U438" s="201"/>
      <c r="V438" s="201"/>
      <c r="W438" s="17"/>
      <c r="X438" s="17"/>
      <c r="Y438" s="17"/>
      <c r="Z438" s="17"/>
      <c r="AA438" s="17"/>
      <c r="AB438" s="17"/>
    </row>
    <row r="439">
      <c r="A439" s="17"/>
      <c r="B439" s="17"/>
      <c r="C439" s="17"/>
      <c r="D439" s="17"/>
      <c r="E439" s="17"/>
      <c r="F439" s="297"/>
      <c r="G439" s="17"/>
      <c r="H439" s="17"/>
      <c r="I439" s="17"/>
      <c r="J439" s="17"/>
      <c r="K439" s="17"/>
      <c r="L439" s="17"/>
      <c r="M439" s="17"/>
      <c r="N439" s="17"/>
      <c r="O439" s="17"/>
      <c r="P439" s="17"/>
      <c r="Q439" s="17"/>
      <c r="R439" s="17"/>
      <c r="S439" s="201"/>
      <c r="T439" s="201"/>
      <c r="U439" s="201"/>
      <c r="V439" s="201"/>
      <c r="W439" s="17"/>
      <c r="X439" s="17"/>
      <c r="Y439" s="17"/>
      <c r="Z439" s="17"/>
      <c r="AA439" s="17"/>
      <c r="AB439" s="17"/>
    </row>
    <row r="440">
      <c r="A440" s="17"/>
      <c r="B440" s="17"/>
      <c r="C440" s="17"/>
      <c r="D440" s="17"/>
      <c r="E440" s="17"/>
      <c r="F440" s="297"/>
      <c r="G440" s="17"/>
      <c r="H440" s="17"/>
      <c r="I440" s="17"/>
      <c r="J440" s="17"/>
      <c r="K440" s="17"/>
      <c r="L440" s="17"/>
      <c r="M440" s="17"/>
      <c r="N440" s="17"/>
      <c r="O440" s="17"/>
      <c r="P440" s="17"/>
      <c r="Q440" s="17"/>
      <c r="R440" s="17"/>
      <c r="S440" s="201"/>
      <c r="T440" s="201"/>
      <c r="U440" s="201"/>
      <c r="V440" s="201"/>
      <c r="W440" s="17"/>
      <c r="X440" s="17"/>
      <c r="Y440" s="17"/>
      <c r="Z440" s="17"/>
      <c r="AA440" s="17"/>
      <c r="AB440" s="17"/>
    </row>
    <row r="441">
      <c r="A441" s="17"/>
      <c r="B441" s="17"/>
      <c r="C441" s="17"/>
      <c r="D441" s="17"/>
      <c r="E441" s="17"/>
      <c r="F441" s="297"/>
      <c r="G441" s="17"/>
      <c r="H441" s="17"/>
      <c r="I441" s="17"/>
      <c r="J441" s="17"/>
      <c r="K441" s="17"/>
      <c r="L441" s="17"/>
      <c r="M441" s="17"/>
      <c r="N441" s="17"/>
      <c r="O441" s="17"/>
      <c r="P441" s="17"/>
      <c r="Q441" s="17"/>
      <c r="R441" s="17"/>
      <c r="S441" s="201"/>
      <c r="T441" s="201"/>
      <c r="U441" s="201"/>
      <c r="V441" s="201"/>
      <c r="W441" s="17"/>
      <c r="X441" s="17"/>
      <c r="Y441" s="17"/>
      <c r="Z441" s="17"/>
      <c r="AA441" s="17"/>
      <c r="AB441" s="17"/>
    </row>
    <row r="442">
      <c r="A442" s="17"/>
      <c r="B442" s="17"/>
      <c r="C442" s="17"/>
      <c r="D442" s="17"/>
      <c r="E442" s="17"/>
      <c r="F442" s="297"/>
      <c r="G442" s="17"/>
      <c r="H442" s="17"/>
      <c r="I442" s="17"/>
      <c r="J442" s="17"/>
      <c r="K442" s="17"/>
      <c r="L442" s="17"/>
      <c r="M442" s="17"/>
      <c r="N442" s="17"/>
      <c r="O442" s="17"/>
      <c r="P442" s="17"/>
      <c r="Q442" s="17"/>
      <c r="R442" s="17"/>
      <c r="S442" s="201"/>
      <c r="T442" s="201"/>
      <c r="U442" s="201"/>
      <c r="V442" s="201"/>
      <c r="W442" s="17"/>
      <c r="X442" s="17"/>
      <c r="Y442" s="17"/>
      <c r="Z442" s="17"/>
      <c r="AA442" s="17"/>
      <c r="AB442" s="17"/>
    </row>
    <row r="443">
      <c r="A443" s="17"/>
      <c r="B443" s="17"/>
      <c r="C443" s="17"/>
      <c r="D443" s="17"/>
      <c r="E443" s="17"/>
      <c r="F443" s="297"/>
      <c r="G443" s="17"/>
      <c r="H443" s="17"/>
      <c r="I443" s="17"/>
      <c r="J443" s="17"/>
      <c r="K443" s="17"/>
      <c r="L443" s="17"/>
      <c r="M443" s="17"/>
      <c r="N443" s="17"/>
      <c r="O443" s="17"/>
      <c r="P443" s="17"/>
      <c r="Q443" s="17"/>
      <c r="R443" s="17"/>
      <c r="S443" s="201"/>
      <c r="T443" s="201"/>
      <c r="U443" s="201"/>
      <c r="V443" s="201"/>
      <c r="W443" s="17"/>
      <c r="X443" s="17"/>
      <c r="Y443" s="17"/>
      <c r="Z443" s="17"/>
      <c r="AA443" s="17"/>
      <c r="AB443" s="17"/>
    </row>
    <row r="444">
      <c r="A444" s="17"/>
      <c r="B444" s="17"/>
      <c r="C444" s="17"/>
      <c r="D444" s="17"/>
      <c r="E444" s="17"/>
      <c r="F444" s="297"/>
      <c r="G444" s="17"/>
      <c r="H444" s="17"/>
      <c r="I444" s="17"/>
      <c r="J444" s="17"/>
      <c r="K444" s="17"/>
      <c r="L444" s="17"/>
      <c r="M444" s="17"/>
      <c r="N444" s="17"/>
      <c r="O444" s="17"/>
      <c r="P444" s="17"/>
      <c r="Q444" s="17"/>
      <c r="R444" s="17"/>
      <c r="S444" s="201"/>
      <c r="T444" s="201"/>
      <c r="U444" s="201"/>
      <c r="V444" s="201"/>
      <c r="W444" s="17"/>
      <c r="X444" s="17"/>
      <c r="Y444" s="17"/>
      <c r="Z444" s="17"/>
      <c r="AA444" s="17"/>
      <c r="AB444" s="17"/>
    </row>
    <row r="445">
      <c r="A445" s="17"/>
      <c r="B445" s="17"/>
      <c r="C445" s="17"/>
      <c r="D445" s="17"/>
      <c r="E445" s="17"/>
      <c r="F445" s="297"/>
      <c r="G445" s="17"/>
      <c r="H445" s="17"/>
      <c r="I445" s="17"/>
      <c r="J445" s="17"/>
      <c r="K445" s="17"/>
      <c r="L445" s="17"/>
      <c r="M445" s="17"/>
      <c r="N445" s="17"/>
      <c r="O445" s="17"/>
      <c r="P445" s="17"/>
      <c r="Q445" s="17"/>
      <c r="R445" s="17"/>
      <c r="S445" s="201"/>
      <c r="T445" s="201"/>
      <c r="U445" s="201"/>
      <c r="V445" s="201"/>
      <c r="W445" s="17"/>
      <c r="X445" s="17"/>
      <c r="Y445" s="17"/>
      <c r="Z445" s="17"/>
      <c r="AA445" s="17"/>
      <c r="AB445" s="17"/>
    </row>
    <row r="446">
      <c r="A446" s="17"/>
      <c r="B446" s="17"/>
      <c r="C446" s="17"/>
      <c r="D446" s="17"/>
      <c r="E446" s="17"/>
      <c r="F446" s="297"/>
      <c r="G446" s="17"/>
      <c r="H446" s="17"/>
      <c r="I446" s="17"/>
      <c r="J446" s="17"/>
      <c r="K446" s="17"/>
      <c r="L446" s="17"/>
      <c r="M446" s="17"/>
      <c r="N446" s="17"/>
      <c r="O446" s="17"/>
      <c r="P446" s="17"/>
      <c r="Q446" s="17"/>
      <c r="R446" s="17"/>
      <c r="S446" s="201"/>
      <c r="T446" s="201"/>
      <c r="U446" s="201"/>
      <c r="V446" s="201"/>
      <c r="W446" s="17"/>
      <c r="X446" s="17"/>
      <c r="Y446" s="17"/>
      <c r="Z446" s="17"/>
      <c r="AA446" s="17"/>
      <c r="AB446" s="17"/>
    </row>
    <row r="447">
      <c r="A447" s="17"/>
      <c r="B447" s="17"/>
      <c r="C447" s="17"/>
      <c r="D447" s="17"/>
      <c r="E447" s="17"/>
      <c r="F447" s="297"/>
      <c r="G447" s="17"/>
      <c r="H447" s="17"/>
      <c r="I447" s="17"/>
      <c r="J447" s="17"/>
      <c r="K447" s="17"/>
      <c r="L447" s="17"/>
      <c r="M447" s="17"/>
      <c r="N447" s="17"/>
      <c r="O447" s="17"/>
      <c r="P447" s="17"/>
      <c r="Q447" s="17"/>
      <c r="R447" s="17"/>
      <c r="S447" s="201"/>
      <c r="T447" s="201"/>
      <c r="U447" s="201"/>
      <c r="V447" s="201"/>
      <c r="W447" s="17"/>
      <c r="X447" s="17"/>
      <c r="Y447" s="17"/>
      <c r="Z447" s="17"/>
      <c r="AA447" s="17"/>
      <c r="AB447" s="17"/>
    </row>
    <row r="448">
      <c r="A448" s="17"/>
      <c r="B448" s="17"/>
      <c r="C448" s="17"/>
      <c r="D448" s="17"/>
      <c r="E448" s="17"/>
      <c r="F448" s="297"/>
      <c r="G448" s="17"/>
      <c r="H448" s="17"/>
      <c r="I448" s="17"/>
      <c r="J448" s="17"/>
      <c r="K448" s="17"/>
      <c r="L448" s="17"/>
      <c r="M448" s="17"/>
      <c r="N448" s="17"/>
      <c r="O448" s="17"/>
      <c r="P448" s="17"/>
      <c r="Q448" s="17"/>
      <c r="R448" s="17"/>
      <c r="S448" s="201"/>
      <c r="T448" s="201"/>
      <c r="U448" s="201"/>
      <c r="V448" s="201"/>
      <c r="W448" s="17"/>
      <c r="X448" s="17"/>
      <c r="Y448" s="17"/>
      <c r="Z448" s="17"/>
      <c r="AA448" s="17"/>
      <c r="AB448" s="17"/>
    </row>
    <row r="449">
      <c r="A449" s="17"/>
      <c r="B449" s="17"/>
      <c r="C449" s="17"/>
      <c r="D449" s="17"/>
      <c r="E449" s="17"/>
      <c r="F449" s="297"/>
      <c r="G449" s="17"/>
      <c r="H449" s="17"/>
      <c r="I449" s="17"/>
      <c r="J449" s="17"/>
      <c r="K449" s="17"/>
      <c r="L449" s="17"/>
      <c r="M449" s="17"/>
      <c r="N449" s="17"/>
      <c r="O449" s="17"/>
      <c r="P449" s="17"/>
      <c r="Q449" s="17"/>
      <c r="R449" s="17"/>
      <c r="S449" s="201"/>
      <c r="T449" s="201"/>
      <c r="U449" s="201"/>
      <c r="V449" s="201"/>
      <c r="W449" s="17"/>
      <c r="X449" s="17"/>
      <c r="Y449" s="17"/>
      <c r="Z449" s="17"/>
      <c r="AA449" s="17"/>
      <c r="AB449" s="17"/>
    </row>
    <row r="450">
      <c r="A450" s="17"/>
      <c r="B450" s="17"/>
      <c r="C450" s="17"/>
      <c r="D450" s="17"/>
      <c r="E450" s="17"/>
      <c r="F450" s="297"/>
      <c r="G450" s="17"/>
      <c r="H450" s="17"/>
      <c r="I450" s="17"/>
      <c r="J450" s="17"/>
      <c r="K450" s="17"/>
      <c r="L450" s="17"/>
      <c r="M450" s="17"/>
      <c r="N450" s="17"/>
      <c r="O450" s="17"/>
      <c r="P450" s="17"/>
      <c r="Q450" s="17"/>
      <c r="R450" s="17"/>
      <c r="S450" s="201"/>
      <c r="T450" s="201"/>
      <c r="U450" s="201"/>
      <c r="V450" s="201"/>
      <c r="W450" s="17"/>
      <c r="X450" s="17"/>
      <c r="Y450" s="17"/>
      <c r="Z450" s="17"/>
      <c r="AA450" s="17"/>
      <c r="AB450" s="17"/>
    </row>
    <row r="451">
      <c r="A451" s="17"/>
      <c r="B451" s="17"/>
      <c r="C451" s="17"/>
      <c r="D451" s="17"/>
      <c r="E451" s="17"/>
      <c r="F451" s="297"/>
      <c r="G451" s="17"/>
      <c r="H451" s="17"/>
      <c r="I451" s="17"/>
      <c r="J451" s="17"/>
      <c r="K451" s="17"/>
      <c r="L451" s="17"/>
      <c r="M451" s="17"/>
      <c r="N451" s="17"/>
      <c r="O451" s="17"/>
      <c r="P451" s="17"/>
      <c r="Q451" s="17"/>
      <c r="R451" s="17"/>
      <c r="S451" s="201"/>
      <c r="T451" s="201"/>
      <c r="U451" s="201"/>
      <c r="V451" s="201"/>
      <c r="W451" s="17"/>
      <c r="X451" s="17"/>
      <c r="Y451" s="17"/>
      <c r="Z451" s="17"/>
      <c r="AA451" s="17"/>
      <c r="AB451" s="17"/>
    </row>
    <row r="452">
      <c r="A452" s="17"/>
      <c r="B452" s="17"/>
      <c r="C452" s="17"/>
      <c r="D452" s="17"/>
      <c r="E452" s="17"/>
      <c r="F452" s="297"/>
      <c r="G452" s="17"/>
      <c r="H452" s="17"/>
      <c r="I452" s="17"/>
      <c r="J452" s="17"/>
      <c r="K452" s="17"/>
      <c r="L452" s="17"/>
      <c r="M452" s="17"/>
      <c r="N452" s="17"/>
      <c r="O452" s="17"/>
      <c r="P452" s="17"/>
      <c r="Q452" s="17"/>
      <c r="R452" s="17"/>
      <c r="S452" s="201"/>
      <c r="T452" s="201"/>
      <c r="U452" s="201"/>
      <c r="V452" s="201"/>
      <c r="W452" s="17"/>
      <c r="X452" s="17"/>
      <c r="Y452" s="17"/>
      <c r="Z452" s="17"/>
      <c r="AA452" s="17"/>
      <c r="AB452" s="17"/>
    </row>
    <row r="453">
      <c r="A453" s="17"/>
      <c r="B453" s="17"/>
      <c r="C453" s="17"/>
      <c r="D453" s="17"/>
      <c r="E453" s="17"/>
      <c r="F453" s="297"/>
      <c r="G453" s="17"/>
      <c r="H453" s="17"/>
      <c r="I453" s="17"/>
      <c r="J453" s="17"/>
      <c r="K453" s="17"/>
      <c r="L453" s="17"/>
      <c r="M453" s="17"/>
      <c r="N453" s="17"/>
      <c r="O453" s="17"/>
      <c r="P453" s="17"/>
      <c r="Q453" s="17"/>
      <c r="R453" s="17"/>
      <c r="S453" s="201"/>
      <c r="T453" s="201"/>
      <c r="U453" s="201"/>
      <c r="V453" s="201"/>
      <c r="W453" s="17"/>
      <c r="X453" s="17"/>
      <c r="Y453" s="17"/>
      <c r="Z453" s="17"/>
      <c r="AA453" s="17"/>
      <c r="AB453" s="17"/>
    </row>
    <row r="454">
      <c r="A454" s="17"/>
      <c r="B454" s="17"/>
      <c r="C454" s="17"/>
      <c r="D454" s="17"/>
      <c r="E454" s="17"/>
      <c r="F454" s="297"/>
      <c r="G454" s="17"/>
      <c r="H454" s="17"/>
      <c r="I454" s="17"/>
      <c r="J454" s="17"/>
      <c r="K454" s="17"/>
      <c r="L454" s="17"/>
      <c r="M454" s="17"/>
      <c r="N454" s="17"/>
      <c r="O454" s="17"/>
      <c r="P454" s="17"/>
      <c r="Q454" s="17"/>
      <c r="R454" s="17"/>
      <c r="S454" s="201"/>
      <c r="T454" s="201"/>
      <c r="U454" s="201"/>
      <c r="V454" s="201"/>
      <c r="W454" s="17"/>
      <c r="X454" s="17"/>
      <c r="Y454" s="17"/>
      <c r="Z454" s="17"/>
      <c r="AA454" s="17"/>
      <c r="AB454" s="17"/>
    </row>
    <row r="455">
      <c r="A455" s="17"/>
      <c r="B455" s="17"/>
      <c r="C455" s="17"/>
      <c r="D455" s="17"/>
      <c r="E455" s="17"/>
      <c r="F455" s="297"/>
      <c r="G455" s="17"/>
      <c r="H455" s="17"/>
      <c r="I455" s="17"/>
      <c r="J455" s="17"/>
      <c r="K455" s="17"/>
      <c r="L455" s="17"/>
      <c r="M455" s="17"/>
      <c r="N455" s="17"/>
      <c r="O455" s="17"/>
      <c r="P455" s="17"/>
      <c r="Q455" s="17"/>
      <c r="R455" s="17"/>
      <c r="S455" s="201"/>
      <c r="T455" s="201"/>
      <c r="U455" s="201"/>
      <c r="V455" s="201"/>
      <c r="W455" s="17"/>
      <c r="X455" s="17"/>
      <c r="Y455" s="17"/>
      <c r="Z455" s="17"/>
      <c r="AA455" s="17"/>
      <c r="AB455" s="17"/>
    </row>
    <row r="456">
      <c r="A456" s="17"/>
      <c r="B456" s="17"/>
      <c r="C456" s="17"/>
      <c r="D456" s="17"/>
      <c r="E456" s="17"/>
      <c r="F456" s="297"/>
      <c r="G456" s="17"/>
      <c r="H456" s="17"/>
      <c r="I456" s="17"/>
      <c r="J456" s="17"/>
      <c r="K456" s="17"/>
      <c r="L456" s="17"/>
      <c r="M456" s="17"/>
      <c r="N456" s="17"/>
      <c r="O456" s="17"/>
      <c r="P456" s="17"/>
      <c r="Q456" s="17"/>
      <c r="R456" s="17"/>
      <c r="S456" s="201"/>
      <c r="T456" s="201"/>
      <c r="U456" s="201"/>
      <c r="V456" s="201"/>
      <c r="W456" s="17"/>
      <c r="X456" s="17"/>
      <c r="Y456" s="17"/>
      <c r="Z456" s="17"/>
      <c r="AA456" s="17"/>
      <c r="AB456" s="17"/>
    </row>
    <row r="457">
      <c r="A457" s="17"/>
      <c r="B457" s="17"/>
      <c r="C457" s="17"/>
      <c r="D457" s="17"/>
      <c r="E457" s="17"/>
      <c r="F457" s="297"/>
      <c r="G457" s="17"/>
      <c r="H457" s="17"/>
      <c r="I457" s="17"/>
      <c r="J457" s="17"/>
      <c r="K457" s="17"/>
      <c r="L457" s="17"/>
      <c r="M457" s="17"/>
      <c r="N457" s="17"/>
      <c r="O457" s="17"/>
      <c r="P457" s="17"/>
      <c r="Q457" s="17"/>
      <c r="R457" s="17"/>
      <c r="S457" s="201"/>
      <c r="T457" s="201"/>
      <c r="U457" s="201"/>
      <c r="V457" s="201"/>
      <c r="W457" s="17"/>
      <c r="X457" s="17"/>
      <c r="Y457" s="17"/>
      <c r="Z457" s="17"/>
      <c r="AA457" s="17"/>
      <c r="AB457" s="17"/>
    </row>
    <row r="458">
      <c r="A458" s="17"/>
      <c r="B458" s="17"/>
      <c r="C458" s="17"/>
      <c r="D458" s="17"/>
      <c r="E458" s="17"/>
      <c r="F458" s="297"/>
      <c r="G458" s="17"/>
      <c r="H458" s="17"/>
      <c r="I458" s="17"/>
      <c r="J458" s="17"/>
      <c r="K458" s="17"/>
      <c r="L458" s="17"/>
      <c r="M458" s="17"/>
      <c r="N458" s="17"/>
      <c r="O458" s="17"/>
      <c r="P458" s="17"/>
      <c r="Q458" s="17"/>
      <c r="R458" s="17"/>
      <c r="S458" s="201"/>
      <c r="T458" s="201"/>
      <c r="U458" s="201"/>
      <c r="V458" s="201"/>
      <c r="W458" s="17"/>
      <c r="X458" s="17"/>
      <c r="Y458" s="17"/>
      <c r="Z458" s="17"/>
      <c r="AA458" s="17"/>
      <c r="AB458" s="17"/>
    </row>
    <row r="459">
      <c r="A459" s="17"/>
      <c r="B459" s="17"/>
      <c r="C459" s="17"/>
      <c r="D459" s="17"/>
      <c r="E459" s="17"/>
      <c r="F459" s="297"/>
      <c r="G459" s="17"/>
      <c r="H459" s="17"/>
      <c r="I459" s="17"/>
      <c r="J459" s="17"/>
      <c r="K459" s="17"/>
      <c r="L459" s="17"/>
      <c r="M459" s="17"/>
      <c r="N459" s="17"/>
      <c r="O459" s="17"/>
      <c r="P459" s="17"/>
      <c r="Q459" s="17"/>
      <c r="R459" s="17"/>
      <c r="S459" s="201"/>
      <c r="T459" s="201"/>
      <c r="U459" s="201"/>
      <c r="V459" s="201"/>
      <c r="W459" s="17"/>
      <c r="X459" s="17"/>
      <c r="Y459" s="17"/>
      <c r="Z459" s="17"/>
      <c r="AA459" s="17"/>
      <c r="AB459" s="17"/>
    </row>
    <row r="460">
      <c r="A460" s="17"/>
      <c r="B460" s="17"/>
      <c r="C460" s="17"/>
      <c r="D460" s="17"/>
      <c r="E460" s="17"/>
      <c r="F460" s="297"/>
      <c r="G460" s="17"/>
      <c r="H460" s="17"/>
      <c r="I460" s="17"/>
      <c r="J460" s="17"/>
      <c r="K460" s="17"/>
      <c r="L460" s="17"/>
      <c r="M460" s="17"/>
      <c r="N460" s="17"/>
      <c r="O460" s="17"/>
      <c r="P460" s="17"/>
      <c r="Q460" s="17"/>
      <c r="R460" s="17"/>
      <c r="S460" s="201"/>
      <c r="T460" s="201"/>
      <c r="U460" s="201"/>
      <c r="V460" s="201"/>
      <c r="W460" s="17"/>
      <c r="X460" s="17"/>
      <c r="Y460" s="17"/>
      <c r="Z460" s="17"/>
      <c r="AA460" s="17"/>
      <c r="AB460" s="17"/>
    </row>
    <row r="461">
      <c r="A461" s="17"/>
      <c r="B461" s="17"/>
      <c r="C461" s="17"/>
      <c r="D461" s="17"/>
      <c r="E461" s="17"/>
      <c r="F461" s="297"/>
      <c r="G461" s="17"/>
      <c r="H461" s="17"/>
      <c r="I461" s="17"/>
      <c r="J461" s="17"/>
      <c r="K461" s="17"/>
      <c r="L461" s="17"/>
      <c r="M461" s="17"/>
      <c r="N461" s="17"/>
      <c r="O461" s="17"/>
      <c r="P461" s="17"/>
      <c r="Q461" s="17"/>
      <c r="R461" s="17"/>
      <c r="S461" s="201"/>
      <c r="T461" s="201"/>
      <c r="U461" s="201"/>
      <c r="V461" s="201"/>
      <c r="W461" s="17"/>
      <c r="X461" s="17"/>
      <c r="Y461" s="17"/>
      <c r="Z461" s="17"/>
      <c r="AA461" s="17"/>
      <c r="AB461" s="17"/>
    </row>
    <row r="462">
      <c r="A462" s="17"/>
      <c r="B462" s="17"/>
      <c r="C462" s="17"/>
      <c r="D462" s="17"/>
      <c r="E462" s="17"/>
      <c r="F462" s="297"/>
      <c r="G462" s="17"/>
      <c r="H462" s="17"/>
      <c r="I462" s="17"/>
      <c r="J462" s="17"/>
      <c r="K462" s="17"/>
      <c r="L462" s="17"/>
      <c r="M462" s="17"/>
      <c r="N462" s="17"/>
      <c r="O462" s="17"/>
      <c r="P462" s="17"/>
      <c r="Q462" s="17"/>
      <c r="R462" s="17"/>
      <c r="S462" s="201"/>
      <c r="T462" s="201"/>
      <c r="U462" s="201"/>
      <c r="V462" s="201"/>
      <c r="W462" s="17"/>
      <c r="X462" s="17"/>
      <c r="Y462" s="17"/>
      <c r="Z462" s="17"/>
      <c r="AA462" s="17"/>
      <c r="AB462" s="17"/>
    </row>
    <row r="463">
      <c r="A463" s="17"/>
      <c r="B463" s="17"/>
      <c r="C463" s="17"/>
      <c r="D463" s="17"/>
      <c r="E463" s="17"/>
      <c r="F463" s="297"/>
      <c r="G463" s="17"/>
      <c r="H463" s="17"/>
      <c r="I463" s="17"/>
      <c r="J463" s="17"/>
      <c r="K463" s="17"/>
      <c r="L463" s="17"/>
      <c r="M463" s="17"/>
      <c r="N463" s="17"/>
      <c r="O463" s="17"/>
      <c r="P463" s="17"/>
      <c r="Q463" s="17"/>
      <c r="R463" s="17"/>
      <c r="S463" s="201"/>
      <c r="T463" s="201"/>
      <c r="U463" s="201"/>
      <c r="V463" s="201"/>
      <c r="W463" s="17"/>
      <c r="X463" s="17"/>
      <c r="Y463" s="17"/>
      <c r="Z463" s="17"/>
      <c r="AA463" s="17"/>
      <c r="AB463" s="17"/>
    </row>
    <row r="464">
      <c r="A464" s="17"/>
      <c r="B464" s="17"/>
      <c r="C464" s="17"/>
      <c r="D464" s="17"/>
      <c r="E464" s="17"/>
      <c r="F464" s="297"/>
      <c r="G464" s="17"/>
      <c r="H464" s="17"/>
      <c r="I464" s="17"/>
      <c r="J464" s="17"/>
      <c r="K464" s="17"/>
      <c r="L464" s="17"/>
      <c r="M464" s="17"/>
      <c r="N464" s="17"/>
      <c r="O464" s="17"/>
      <c r="P464" s="17"/>
      <c r="Q464" s="17"/>
      <c r="R464" s="17"/>
      <c r="S464" s="201"/>
      <c r="T464" s="201"/>
      <c r="U464" s="201"/>
      <c r="V464" s="201"/>
      <c r="W464" s="17"/>
      <c r="X464" s="17"/>
      <c r="Y464" s="17"/>
      <c r="Z464" s="17"/>
      <c r="AA464" s="17"/>
      <c r="AB464" s="17"/>
    </row>
    <row r="465">
      <c r="A465" s="17"/>
      <c r="B465" s="17"/>
      <c r="C465" s="17"/>
      <c r="D465" s="17"/>
      <c r="E465" s="17"/>
      <c r="F465" s="297"/>
      <c r="G465" s="17"/>
      <c r="H465" s="17"/>
      <c r="I465" s="17"/>
      <c r="J465" s="17"/>
      <c r="K465" s="17"/>
      <c r="L465" s="17"/>
      <c r="M465" s="17"/>
      <c r="N465" s="17"/>
      <c r="O465" s="17"/>
      <c r="P465" s="17"/>
      <c r="Q465" s="17"/>
      <c r="R465" s="17"/>
      <c r="S465" s="201"/>
      <c r="T465" s="201"/>
      <c r="U465" s="201"/>
      <c r="V465" s="201"/>
      <c r="W465" s="17"/>
      <c r="X465" s="17"/>
      <c r="Y465" s="17"/>
      <c r="Z465" s="17"/>
      <c r="AA465" s="17"/>
      <c r="AB465" s="17"/>
    </row>
    <row r="466">
      <c r="A466" s="17"/>
      <c r="B466" s="17"/>
      <c r="C466" s="17"/>
      <c r="D466" s="17"/>
      <c r="E466" s="17"/>
      <c r="F466" s="297"/>
      <c r="G466" s="17"/>
      <c r="H466" s="17"/>
      <c r="I466" s="17"/>
      <c r="J466" s="17"/>
      <c r="K466" s="17"/>
      <c r="L466" s="17"/>
      <c r="M466" s="17"/>
      <c r="N466" s="17"/>
      <c r="O466" s="17"/>
      <c r="P466" s="17"/>
      <c r="Q466" s="17"/>
      <c r="R466" s="17"/>
      <c r="S466" s="201"/>
      <c r="T466" s="201"/>
      <c r="U466" s="201"/>
      <c r="V466" s="201"/>
      <c r="W466" s="17"/>
      <c r="X466" s="17"/>
      <c r="Y466" s="17"/>
      <c r="Z466" s="17"/>
      <c r="AA466" s="17"/>
      <c r="AB466" s="17"/>
    </row>
    <row r="467">
      <c r="A467" s="17"/>
      <c r="B467" s="17"/>
      <c r="C467" s="17"/>
      <c r="D467" s="17"/>
      <c r="E467" s="17"/>
      <c r="F467" s="297"/>
      <c r="G467" s="17"/>
      <c r="H467" s="17"/>
      <c r="I467" s="17"/>
      <c r="J467" s="17"/>
      <c r="K467" s="17"/>
      <c r="L467" s="17"/>
      <c r="M467" s="17"/>
      <c r="N467" s="17"/>
      <c r="O467" s="17"/>
      <c r="P467" s="17"/>
      <c r="Q467" s="17"/>
      <c r="R467" s="17"/>
      <c r="S467" s="201"/>
      <c r="T467" s="201"/>
      <c r="U467" s="201"/>
      <c r="V467" s="201"/>
      <c r="W467" s="17"/>
      <c r="X467" s="17"/>
      <c r="Y467" s="17"/>
      <c r="Z467" s="17"/>
      <c r="AA467" s="17"/>
      <c r="AB467" s="17"/>
    </row>
    <row r="468">
      <c r="A468" s="17"/>
      <c r="B468" s="17"/>
      <c r="C468" s="17"/>
      <c r="D468" s="17"/>
      <c r="E468" s="17"/>
      <c r="F468" s="297"/>
      <c r="G468" s="17"/>
      <c r="H468" s="17"/>
      <c r="I468" s="17"/>
      <c r="J468" s="17"/>
      <c r="K468" s="17"/>
      <c r="L468" s="17"/>
      <c r="M468" s="17"/>
      <c r="N468" s="17"/>
      <c r="O468" s="17"/>
      <c r="P468" s="17"/>
      <c r="Q468" s="17"/>
      <c r="R468" s="17"/>
      <c r="S468" s="201"/>
      <c r="T468" s="201"/>
      <c r="U468" s="201"/>
      <c r="V468" s="201"/>
      <c r="W468" s="17"/>
      <c r="X468" s="17"/>
      <c r="Y468" s="17"/>
      <c r="Z468" s="17"/>
      <c r="AA468" s="17"/>
      <c r="AB468" s="17"/>
    </row>
    <row r="469">
      <c r="A469" s="17"/>
      <c r="B469" s="17"/>
      <c r="C469" s="17"/>
      <c r="D469" s="17"/>
      <c r="E469" s="17"/>
      <c r="F469" s="297"/>
      <c r="G469" s="17"/>
      <c r="H469" s="17"/>
      <c r="I469" s="17"/>
      <c r="J469" s="17"/>
      <c r="K469" s="17"/>
      <c r="L469" s="17"/>
      <c r="M469" s="17"/>
      <c r="N469" s="17"/>
      <c r="O469" s="17"/>
      <c r="P469" s="17"/>
      <c r="Q469" s="17"/>
      <c r="R469" s="17"/>
      <c r="S469" s="201"/>
      <c r="T469" s="201"/>
      <c r="U469" s="201"/>
      <c r="V469" s="201"/>
      <c r="W469" s="17"/>
      <c r="X469" s="17"/>
      <c r="Y469" s="17"/>
      <c r="Z469" s="17"/>
      <c r="AA469" s="17"/>
      <c r="AB469" s="17"/>
    </row>
    <row r="470">
      <c r="A470" s="17"/>
      <c r="B470" s="17"/>
      <c r="C470" s="17"/>
      <c r="D470" s="17"/>
      <c r="E470" s="17"/>
      <c r="F470" s="297"/>
      <c r="G470" s="17"/>
      <c r="H470" s="17"/>
      <c r="I470" s="17"/>
      <c r="J470" s="17"/>
      <c r="K470" s="17"/>
      <c r="L470" s="17"/>
      <c r="M470" s="17"/>
      <c r="N470" s="17"/>
      <c r="O470" s="17"/>
      <c r="P470" s="17"/>
      <c r="Q470" s="17"/>
      <c r="R470" s="17"/>
      <c r="S470" s="201"/>
      <c r="T470" s="201"/>
      <c r="U470" s="201"/>
      <c r="V470" s="201"/>
      <c r="W470" s="17"/>
      <c r="X470" s="17"/>
      <c r="Y470" s="17"/>
      <c r="Z470" s="17"/>
      <c r="AA470" s="17"/>
      <c r="AB470" s="17"/>
    </row>
    <row r="471">
      <c r="A471" s="17"/>
      <c r="B471" s="17"/>
      <c r="C471" s="17"/>
      <c r="D471" s="17"/>
      <c r="E471" s="17"/>
      <c r="F471" s="297"/>
      <c r="G471" s="17"/>
      <c r="H471" s="17"/>
      <c r="I471" s="17"/>
      <c r="J471" s="17"/>
      <c r="K471" s="17"/>
      <c r="L471" s="17"/>
      <c r="M471" s="17"/>
      <c r="N471" s="17"/>
      <c r="O471" s="17"/>
      <c r="P471" s="17"/>
      <c r="Q471" s="17"/>
      <c r="R471" s="17"/>
      <c r="S471" s="201"/>
      <c r="T471" s="201"/>
      <c r="U471" s="201"/>
      <c r="V471" s="201"/>
      <c r="W471" s="17"/>
      <c r="X471" s="17"/>
      <c r="Y471" s="17"/>
      <c r="Z471" s="17"/>
      <c r="AA471" s="17"/>
      <c r="AB471" s="17"/>
    </row>
    <row r="472">
      <c r="A472" s="17"/>
      <c r="B472" s="17"/>
      <c r="C472" s="17"/>
      <c r="D472" s="17"/>
      <c r="E472" s="17"/>
      <c r="F472" s="297"/>
      <c r="G472" s="17"/>
      <c r="H472" s="17"/>
      <c r="I472" s="17"/>
      <c r="J472" s="17"/>
      <c r="K472" s="17"/>
      <c r="L472" s="17"/>
      <c r="M472" s="17"/>
      <c r="N472" s="17"/>
      <c r="O472" s="17"/>
      <c r="P472" s="17"/>
      <c r="Q472" s="17"/>
      <c r="R472" s="17"/>
      <c r="S472" s="201"/>
      <c r="T472" s="201"/>
      <c r="U472" s="201"/>
      <c r="V472" s="201"/>
      <c r="W472" s="17"/>
      <c r="X472" s="17"/>
      <c r="Y472" s="17"/>
      <c r="Z472" s="17"/>
      <c r="AA472" s="17"/>
      <c r="AB472" s="17"/>
    </row>
    <row r="473">
      <c r="A473" s="17"/>
      <c r="B473" s="17"/>
      <c r="C473" s="17"/>
      <c r="D473" s="17"/>
      <c r="E473" s="17"/>
      <c r="F473" s="297"/>
      <c r="G473" s="17"/>
      <c r="H473" s="17"/>
      <c r="I473" s="17"/>
      <c r="J473" s="17"/>
      <c r="K473" s="17"/>
      <c r="L473" s="17"/>
      <c r="M473" s="17"/>
      <c r="N473" s="17"/>
      <c r="O473" s="17"/>
      <c r="P473" s="17"/>
      <c r="Q473" s="17"/>
      <c r="R473" s="17"/>
      <c r="S473" s="201"/>
      <c r="T473" s="201"/>
      <c r="U473" s="201"/>
      <c r="V473" s="201"/>
      <c r="W473" s="17"/>
      <c r="X473" s="17"/>
      <c r="Y473" s="17"/>
      <c r="Z473" s="17"/>
      <c r="AA473" s="17"/>
      <c r="AB473" s="17"/>
    </row>
    <row r="474">
      <c r="A474" s="17"/>
      <c r="B474" s="17"/>
      <c r="C474" s="17"/>
      <c r="D474" s="17"/>
      <c r="E474" s="17"/>
      <c r="F474" s="297"/>
      <c r="G474" s="17"/>
      <c r="H474" s="17"/>
      <c r="I474" s="17"/>
      <c r="J474" s="17"/>
      <c r="K474" s="17"/>
      <c r="L474" s="17"/>
      <c r="M474" s="17"/>
      <c r="N474" s="17"/>
      <c r="O474" s="17"/>
      <c r="P474" s="17"/>
      <c r="Q474" s="17"/>
      <c r="R474" s="17"/>
      <c r="S474" s="201"/>
      <c r="T474" s="201"/>
      <c r="U474" s="201"/>
      <c r="V474" s="201"/>
      <c r="W474" s="17"/>
      <c r="X474" s="17"/>
      <c r="Y474" s="17"/>
      <c r="Z474" s="17"/>
      <c r="AA474" s="17"/>
      <c r="AB474" s="17"/>
    </row>
    <row r="475">
      <c r="A475" s="17"/>
      <c r="B475" s="17"/>
      <c r="C475" s="17"/>
      <c r="D475" s="17"/>
      <c r="E475" s="17"/>
      <c r="F475" s="297"/>
      <c r="G475" s="17"/>
      <c r="H475" s="17"/>
      <c r="I475" s="17"/>
      <c r="J475" s="17"/>
      <c r="K475" s="17"/>
      <c r="L475" s="17"/>
      <c r="M475" s="17"/>
      <c r="N475" s="17"/>
      <c r="O475" s="17"/>
      <c r="P475" s="17"/>
      <c r="Q475" s="17"/>
      <c r="R475" s="17"/>
      <c r="S475" s="201"/>
      <c r="T475" s="201"/>
      <c r="U475" s="201"/>
      <c r="V475" s="201"/>
      <c r="W475" s="17"/>
      <c r="X475" s="17"/>
      <c r="Y475" s="17"/>
      <c r="Z475" s="17"/>
      <c r="AA475" s="17"/>
      <c r="AB475" s="17"/>
    </row>
    <row r="476">
      <c r="A476" s="17"/>
      <c r="B476" s="17"/>
      <c r="C476" s="17"/>
      <c r="D476" s="17"/>
      <c r="E476" s="17"/>
      <c r="F476" s="297"/>
      <c r="G476" s="17"/>
      <c r="H476" s="17"/>
      <c r="I476" s="17"/>
      <c r="J476" s="17"/>
      <c r="K476" s="17"/>
      <c r="L476" s="17"/>
      <c r="M476" s="17"/>
      <c r="N476" s="17"/>
      <c r="O476" s="17"/>
      <c r="P476" s="17"/>
      <c r="Q476" s="17"/>
      <c r="R476" s="17"/>
      <c r="S476" s="201"/>
      <c r="T476" s="201"/>
      <c r="U476" s="201"/>
      <c r="V476" s="201"/>
      <c r="W476" s="17"/>
      <c r="X476" s="17"/>
      <c r="Y476" s="17"/>
      <c r="Z476" s="17"/>
      <c r="AA476" s="17"/>
      <c r="AB476" s="17"/>
    </row>
    <row r="477">
      <c r="A477" s="17"/>
      <c r="B477" s="17"/>
      <c r="C477" s="17"/>
      <c r="D477" s="17"/>
      <c r="E477" s="17"/>
      <c r="F477" s="297"/>
      <c r="G477" s="17"/>
      <c r="H477" s="17"/>
      <c r="I477" s="17"/>
      <c r="J477" s="17"/>
      <c r="K477" s="17"/>
      <c r="L477" s="17"/>
      <c r="M477" s="17"/>
      <c r="N477" s="17"/>
      <c r="O477" s="17"/>
      <c r="P477" s="17"/>
      <c r="Q477" s="17"/>
      <c r="R477" s="17"/>
      <c r="S477" s="201"/>
      <c r="T477" s="201"/>
      <c r="U477" s="201"/>
      <c r="V477" s="201"/>
      <c r="W477" s="17"/>
      <c r="X477" s="17"/>
      <c r="Y477" s="17"/>
      <c r="Z477" s="17"/>
      <c r="AA477" s="17"/>
      <c r="AB477" s="17"/>
    </row>
    <row r="478">
      <c r="A478" s="17"/>
      <c r="B478" s="17"/>
      <c r="C478" s="17"/>
      <c r="D478" s="17"/>
      <c r="E478" s="17"/>
      <c r="F478" s="297"/>
      <c r="G478" s="17"/>
      <c r="H478" s="17"/>
      <c r="I478" s="17"/>
      <c r="J478" s="17"/>
      <c r="K478" s="17"/>
      <c r="L478" s="17"/>
      <c r="M478" s="17"/>
      <c r="N478" s="17"/>
      <c r="O478" s="17"/>
      <c r="P478" s="17"/>
      <c r="Q478" s="17"/>
      <c r="R478" s="17"/>
      <c r="S478" s="201"/>
      <c r="T478" s="201"/>
      <c r="U478" s="201"/>
      <c r="V478" s="201"/>
      <c r="W478" s="17"/>
      <c r="X478" s="17"/>
      <c r="Y478" s="17"/>
      <c r="Z478" s="17"/>
      <c r="AA478" s="17"/>
      <c r="AB478" s="17"/>
    </row>
    <row r="479">
      <c r="A479" s="17"/>
      <c r="B479" s="17"/>
      <c r="C479" s="17"/>
      <c r="D479" s="17"/>
      <c r="E479" s="17"/>
      <c r="F479" s="297"/>
      <c r="G479" s="17"/>
      <c r="H479" s="17"/>
      <c r="I479" s="17"/>
      <c r="J479" s="17"/>
      <c r="K479" s="17"/>
      <c r="L479" s="17"/>
      <c r="M479" s="17"/>
      <c r="N479" s="17"/>
      <c r="O479" s="17"/>
      <c r="P479" s="17"/>
      <c r="Q479" s="17"/>
      <c r="R479" s="17"/>
      <c r="S479" s="201"/>
      <c r="T479" s="201"/>
      <c r="U479" s="201"/>
      <c r="V479" s="201"/>
      <c r="W479" s="17"/>
      <c r="X479" s="17"/>
      <c r="Y479" s="17"/>
      <c r="Z479" s="17"/>
      <c r="AA479" s="17"/>
      <c r="AB479" s="17"/>
    </row>
    <row r="480">
      <c r="A480" s="17"/>
      <c r="B480" s="17"/>
      <c r="C480" s="17"/>
      <c r="D480" s="17"/>
      <c r="E480" s="17"/>
      <c r="F480" s="297"/>
      <c r="G480" s="17"/>
      <c r="H480" s="17"/>
      <c r="I480" s="17"/>
      <c r="J480" s="17"/>
      <c r="K480" s="17"/>
      <c r="L480" s="17"/>
      <c r="M480" s="17"/>
      <c r="N480" s="17"/>
      <c r="O480" s="17"/>
      <c r="P480" s="17"/>
      <c r="Q480" s="17"/>
      <c r="R480" s="17"/>
      <c r="S480" s="201"/>
      <c r="T480" s="201"/>
      <c r="U480" s="201"/>
      <c r="V480" s="201"/>
      <c r="W480" s="17"/>
      <c r="X480" s="17"/>
      <c r="Y480" s="17"/>
      <c r="Z480" s="17"/>
      <c r="AA480" s="17"/>
      <c r="AB480" s="17"/>
    </row>
    <row r="481">
      <c r="A481" s="17"/>
      <c r="B481" s="17"/>
      <c r="C481" s="17"/>
      <c r="D481" s="17"/>
      <c r="E481" s="17"/>
      <c r="F481" s="297"/>
      <c r="G481" s="17"/>
      <c r="H481" s="17"/>
      <c r="I481" s="17"/>
      <c r="J481" s="17"/>
      <c r="K481" s="17"/>
      <c r="L481" s="17"/>
      <c r="M481" s="17"/>
      <c r="N481" s="17"/>
      <c r="O481" s="17"/>
      <c r="P481" s="17"/>
      <c r="Q481" s="17"/>
      <c r="R481" s="17"/>
      <c r="S481" s="201"/>
      <c r="T481" s="201"/>
      <c r="U481" s="201"/>
      <c r="V481" s="201"/>
      <c r="W481" s="17"/>
      <c r="X481" s="17"/>
      <c r="Y481" s="17"/>
      <c r="Z481" s="17"/>
      <c r="AA481" s="17"/>
      <c r="AB481" s="17"/>
    </row>
    <row r="482">
      <c r="A482" s="17"/>
      <c r="B482" s="17"/>
      <c r="C482" s="17"/>
      <c r="D482" s="17"/>
      <c r="E482" s="17"/>
      <c r="F482" s="297"/>
      <c r="G482" s="17"/>
      <c r="H482" s="17"/>
      <c r="I482" s="17"/>
      <c r="J482" s="17"/>
      <c r="K482" s="17"/>
      <c r="L482" s="17"/>
      <c r="M482" s="17"/>
      <c r="N482" s="17"/>
      <c r="O482" s="17"/>
      <c r="P482" s="17"/>
      <c r="Q482" s="17"/>
      <c r="R482" s="17"/>
      <c r="S482" s="201"/>
      <c r="T482" s="201"/>
      <c r="U482" s="201"/>
      <c r="V482" s="201"/>
      <c r="W482" s="17"/>
      <c r="X482" s="17"/>
      <c r="Y482" s="17"/>
      <c r="Z482" s="17"/>
      <c r="AA482" s="17"/>
      <c r="AB482" s="17"/>
    </row>
    <row r="483">
      <c r="A483" s="17"/>
      <c r="B483" s="17"/>
      <c r="C483" s="17"/>
      <c r="D483" s="17"/>
      <c r="E483" s="17"/>
      <c r="F483" s="297"/>
      <c r="G483" s="17"/>
      <c r="H483" s="17"/>
      <c r="I483" s="17"/>
      <c r="J483" s="17"/>
      <c r="K483" s="17"/>
      <c r="L483" s="17"/>
      <c r="M483" s="17"/>
      <c r="N483" s="17"/>
      <c r="O483" s="17"/>
      <c r="P483" s="17"/>
      <c r="Q483" s="17"/>
      <c r="R483" s="17"/>
      <c r="S483" s="201"/>
      <c r="T483" s="201"/>
      <c r="U483" s="201"/>
      <c r="V483" s="201"/>
      <c r="W483" s="17"/>
      <c r="X483" s="17"/>
      <c r="Y483" s="17"/>
      <c r="Z483" s="17"/>
      <c r="AA483" s="17"/>
      <c r="AB483" s="17"/>
    </row>
    <row r="484">
      <c r="A484" s="17"/>
      <c r="B484" s="17"/>
      <c r="C484" s="17"/>
      <c r="D484" s="17"/>
      <c r="E484" s="17"/>
      <c r="F484" s="297"/>
      <c r="G484" s="17"/>
      <c r="H484" s="17"/>
      <c r="I484" s="17"/>
      <c r="J484" s="17"/>
      <c r="K484" s="17"/>
      <c r="L484" s="17"/>
      <c r="M484" s="17"/>
      <c r="N484" s="17"/>
      <c r="O484" s="17"/>
      <c r="P484" s="17"/>
      <c r="Q484" s="17"/>
      <c r="R484" s="17"/>
      <c r="S484" s="201"/>
      <c r="T484" s="201"/>
      <c r="U484" s="201"/>
      <c r="V484" s="201"/>
      <c r="W484" s="17"/>
      <c r="X484" s="17"/>
      <c r="Y484" s="17"/>
      <c r="Z484" s="17"/>
      <c r="AA484" s="17"/>
      <c r="AB484" s="17"/>
    </row>
    <row r="485">
      <c r="A485" s="17"/>
      <c r="B485" s="17"/>
      <c r="C485" s="17"/>
      <c r="D485" s="17"/>
      <c r="E485" s="17"/>
      <c r="F485" s="297"/>
      <c r="G485" s="17"/>
      <c r="H485" s="17"/>
      <c r="I485" s="17"/>
      <c r="J485" s="17"/>
      <c r="K485" s="17"/>
      <c r="L485" s="17"/>
      <c r="M485" s="17"/>
      <c r="N485" s="17"/>
      <c r="O485" s="17"/>
      <c r="P485" s="17"/>
      <c r="Q485" s="17"/>
      <c r="R485" s="17"/>
      <c r="S485" s="201"/>
      <c r="T485" s="201"/>
      <c r="U485" s="201"/>
      <c r="V485" s="201"/>
      <c r="W485" s="17"/>
      <c r="X485" s="17"/>
      <c r="Y485" s="17"/>
      <c r="Z485" s="17"/>
      <c r="AA485" s="17"/>
      <c r="AB485" s="17"/>
    </row>
    <row r="486">
      <c r="A486" s="17"/>
      <c r="B486" s="17"/>
      <c r="C486" s="17"/>
      <c r="D486" s="17"/>
      <c r="E486" s="17"/>
      <c r="F486" s="297"/>
      <c r="G486" s="17"/>
      <c r="H486" s="17"/>
      <c r="I486" s="17"/>
      <c r="J486" s="17"/>
      <c r="K486" s="17"/>
      <c r="L486" s="17"/>
      <c r="M486" s="17"/>
      <c r="N486" s="17"/>
      <c r="O486" s="17"/>
      <c r="P486" s="17"/>
      <c r="Q486" s="17"/>
      <c r="R486" s="17"/>
      <c r="S486" s="201"/>
      <c r="T486" s="201"/>
      <c r="U486" s="201"/>
      <c r="V486" s="201"/>
      <c r="W486" s="17"/>
      <c r="X486" s="17"/>
      <c r="Y486" s="17"/>
      <c r="Z486" s="17"/>
      <c r="AA486" s="17"/>
      <c r="AB486" s="17"/>
    </row>
    <row r="487">
      <c r="A487" s="17"/>
      <c r="B487" s="17"/>
      <c r="C487" s="17"/>
      <c r="D487" s="17"/>
      <c r="E487" s="17"/>
      <c r="F487" s="297"/>
      <c r="G487" s="17"/>
      <c r="H487" s="17"/>
      <c r="I487" s="17"/>
      <c r="J487" s="17"/>
      <c r="K487" s="17"/>
      <c r="L487" s="17"/>
      <c r="M487" s="17"/>
      <c r="N487" s="17"/>
      <c r="O487" s="17"/>
      <c r="P487" s="17"/>
      <c r="Q487" s="17"/>
      <c r="R487" s="17"/>
      <c r="S487" s="201"/>
      <c r="T487" s="201"/>
      <c r="U487" s="201"/>
      <c r="V487" s="201"/>
      <c r="W487" s="17"/>
      <c r="X487" s="17"/>
      <c r="Y487" s="17"/>
      <c r="Z487" s="17"/>
      <c r="AA487" s="17"/>
      <c r="AB487" s="17"/>
    </row>
    <row r="488">
      <c r="A488" s="17"/>
      <c r="B488" s="17"/>
      <c r="C488" s="17"/>
      <c r="D488" s="17"/>
      <c r="E488" s="17"/>
      <c r="F488" s="297"/>
      <c r="G488" s="17"/>
      <c r="H488" s="17"/>
      <c r="I488" s="17"/>
      <c r="J488" s="17"/>
      <c r="K488" s="17"/>
      <c r="L488" s="17"/>
      <c r="M488" s="17"/>
      <c r="N488" s="17"/>
      <c r="O488" s="17"/>
      <c r="P488" s="17"/>
      <c r="Q488" s="17"/>
      <c r="R488" s="17"/>
      <c r="S488" s="201"/>
      <c r="T488" s="201"/>
      <c r="U488" s="201"/>
      <c r="V488" s="201"/>
      <c r="W488" s="17"/>
      <c r="X488" s="17"/>
      <c r="Y488" s="17"/>
      <c r="Z488" s="17"/>
      <c r="AA488" s="17"/>
      <c r="AB488" s="17"/>
    </row>
    <row r="489">
      <c r="A489" s="17"/>
      <c r="B489" s="17"/>
      <c r="C489" s="17"/>
      <c r="D489" s="17"/>
      <c r="E489" s="17"/>
      <c r="F489" s="297"/>
      <c r="G489" s="17"/>
      <c r="H489" s="17"/>
      <c r="I489" s="17"/>
      <c r="J489" s="17"/>
      <c r="K489" s="17"/>
      <c r="L489" s="17"/>
      <c r="M489" s="17"/>
      <c r="N489" s="17"/>
      <c r="O489" s="17"/>
      <c r="P489" s="17"/>
      <c r="Q489" s="17"/>
      <c r="R489" s="17"/>
      <c r="S489" s="201"/>
      <c r="T489" s="201"/>
      <c r="U489" s="201"/>
      <c r="V489" s="201"/>
      <c r="W489" s="17"/>
      <c r="X489" s="17"/>
      <c r="Y489" s="17"/>
      <c r="Z489" s="17"/>
      <c r="AA489" s="17"/>
      <c r="AB489" s="17"/>
    </row>
    <row r="490">
      <c r="A490" s="17"/>
      <c r="B490" s="17"/>
      <c r="C490" s="17"/>
      <c r="D490" s="17"/>
      <c r="E490" s="17"/>
      <c r="F490" s="297"/>
      <c r="G490" s="17"/>
      <c r="H490" s="17"/>
      <c r="I490" s="17"/>
      <c r="J490" s="17"/>
      <c r="K490" s="17"/>
      <c r="L490" s="17"/>
      <c r="M490" s="17"/>
      <c r="N490" s="17"/>
      <c r="O490" s="17"/>
      <c r="P490" s="17"/>
      <c r="Q490" s="17"/>
      <c r="R490" s="17"/>
      <c r="S490" s="201"/>
      <c r="T490" s="201"/>
      <c r="U490" s="201"/>
      <c r="V490" s="201"/>
      <c r="W490" s="17"/>
      <c r="X490" s="17"/>
      <c r="Y490" s="17"/>
      <c r="Z490" s="17"/>
      <c r="AA490" s="17"/>
      <c r="AB490" s="17"/>
    </row>
    <row r="491">
      <c r="A491" s="17"/>
      <c r="B491" s="17"/>
      <c r="C491" s="17"/>
      <c r="D491" s="17"/>
      <c r="E491" s="17"/>
      <c r="F491" s="297"/>
      <c r="G491" s="17"/>
      <c r="H491" s="17"/>
      <c r="I491" s="17"/>
      <c r="J491" s="17"/>
      <c r="K491" s="17"/>
      <c r="L491" s="17"/>
      <c r="M491" s="17"/>
      <c r="N491" s="17"/>
      <c r="O491" s="17"/>
      <c r="P491" s="17"/>
      <c r="Q491" s="17"/>
      <c r="R491" s="17"/>
      <c r="S491" s="201"/>
      <c r="T491" s="201"/>
      <c r="U491" s="201"/>
      <c r="V491" s="201"/>
      <c r="W491" s="17"/>
      <c r="X491" s="17"/>
      <c r="Y491" s="17"/>
      <c r="Z491" s="17"/>
      <c r="AA491" s="17"/>
      <c r="AB491" s="17"/>
    </row>
    <row r="492">
      <c r="A492" s="17"/>
      <c r="B492" s="17"/>
      <c r="C492" s="17"/>
      <c r="D492" s="17"/>
      <c r="E492" s="17"/>
      <c r="F492" s="297"/>
      <c r="G492" s="17"/>
      <c r="H492" s="17"/>
      <c r="I492" s="17"/>
      <c r="J492" s="17"/>
      <c r="K492" s="17"/>
      <c r="L492" s="17"/>
      <c r="M492" s="17"/>
      <c r="N492" s="17"/>
      <c r="O492" s="17"/>
      <c r="P492" s="17"/>
      <c r="Q492" s="17"/>
      <c r="R492" s="17"/>
      <c r="S492" s="201"/>
      <c r="T492" s="201"/>
      <c r="U492" s="201"/>
      <c r="V492" s="201"/>
      <c r="W492" s="17"/>
      <c r="X492" s="17"/>
      <c r="Y492" s="17"/>
      <c r="Z492" s="17"/>
      <c r="AA492" s="17"/>
      <c r="AB492" s="17"/>
    </row>
    <row r="493">
      <c r="A493" s="17"/>
      <c r="B493" s="17"/>
      <c r="C493" s="17"/>
      <c r="D493" s="17"/>
      <c r="E493" s="17"/>
      <c r="F493" s="297"/>
      <c r="G493" s="17"/>
      <c r="H493" s="17"/>
      <c r="I493" s="17"/>
      <c r="J493" s="17"/>
      <c r="K493" s="17"/>
      <c r="L493" s="17"/>
      <c r="M493" s="17"/>
      <c r="N493" s="17"/>
      <c r="O493" s="17"/>
      <c r="P493" s="17"/>
      <c r="Q493" s="17"/>
      <c r="R493" s="17"/>
      <c r="S493" s="201"/>
      <c r="T493" s="201"/>
      <c r="U493" s="201"/>
      <c r="V493" s="201"/>
      <c r="W493" s="17"/>
      <c r="X493" s="17"/>
      <c r="Y493" s="17"/>
      <c r="Z493" s="17"/>
      <c r="AA493" s="17"/>
      <c r="AB493" s="17"/>
    </row>
    <row r="494">
      <c r="A494" s="17"/>
      <c r="B494" s="17"/>
      <c r="C494" s="17"/>
      <c r="D494" s="17"/>
      <c r="E494" s="17"/>
      <c r="F494" s="297"/>
      <c r="G494" s="17"/>
      <c r="H494" s="17"/>
      <c r="I494" s="17"/>
      <c r="J494" s="17"/>
      <c r="K494" s="17"/>
      <c r="L494" s="17"/>
      <c r="M494" s="17"/>
      <c r="N494" s="17"/>
      <c r="O494" s="17"/>
      <c r="P494" s="17"/>
      <c r="Q494" s="17"/>
      <c r="R494" s="17"/>
      <c r="S494" s="201"/>
      <c r="T494" s="201"/>
      <c r="U494" s="201"/>
      <c r="V494" s="201"/>
      <c r="W494" s="17"/>
      <c r="X494" s="17"/>
      <c r="Y494" s="17"/>
      <c r="Z494" s="17"/>
      <c r="AA494" s="17"/>
      <c r="AB494" s="17"/>
    </row>
    <row r="495">
      <c r="A495" s="17"/>
      <c r="B495" s="17"/>
      <c r="C495" s="17"/>
      <c r="D495" s="17"/>
      <c r="E495" s="17"/>
      <c r="F495" s="297"/>
      <c r="G495" s="17"/>
      <c r="H495" s="17"/>
      <c r="I495" s="17"/>
      <c r="J495" s="17"/>
      <c r="K495" s="17"/>
      <c r="L495" s="17"/>
      <c r="M495" s="17"/>
      <c r="N495" s="17"/>
      <c r="O495" s="17"/>
      <c r="P495" s="17"/>
      <c r="Q495" s="17"/>
      <c r="R495" s="17"/>
      <c r="S495" s="201"/>
      <c r="T495" s="201"/>
      <c r="U495" s="201"/>
      <c r="V495" s="201"/>
      <c r="W495" s="17"/>
      <c r="X495" s="17"/>
      <c r="Y495" s="17"/>
      <c r="Z495" s="17"/>
      <c r="AA495" s="17"/>
      <c r="AB495" s="17"/>
    </row>
    <row r="496">
      <c r="A496" s="17"/>
      <c r="B496" s="17"/>
      <c r="C496" s="17"/>
      <c r="D496" s="17"/>
      <c r="E496" s="17"/>
      <c r="F496" s="297"/>
      <c r="G496" s="17"/>
      <c r="H496" s="17"/>
      <c r="I496" s="17"/>
      <c r="J496" s="17"/>
      <c r="K496" s="17"/>
      <c r="L496" s="17"/>
      <c r="M496" s="17"/>
      <c r="N496" s="17"/>
      <c r="O496" s="17"/>
      <c r="P496" s="17"/>
      <c r="Q496" s="17"/>
      <c r="R496" s="17"/>
      <c r="S496" s="201"/>
      <c r="T496" s="201"/>
      <c r="U496" s="201"/>
      <c r="V496" s="201"/>
      <c r="W496" s="17"/>
      <c r="X496" s="17"/>
      <c r="Y496" s="17"/>
      <c r="Z496" s="17"/>
      <c r="AA496" s="17"/>
      <c r="AB496" s="17"/>
    </row>
    <row r="497">
      <c r="A497" s="17"/>
      <c r="B497" s="17"/>
      <c r="C497" s="17"/>
      <c r="D497" s="17"/>
      <c r="E497" s="17"/>
      <c r="F497" s="297"/>
      <c r="G497" s="17"/>
      <c r="H497" s="17"/>
      <c r="I497" s="17"/>
      <c r="J497" s="17"/>
      <c r="K497" s="17"/>
      <c r="L497" s="17"/>
      <c r="M497" s="17"/>
      <c r="N497" s="17"/>
      <c r="O497" s="17"/>
      <c r="P497" s="17"/>
      <c r="Q497" s="17"/>
      <c r="R497" s="17"/>
      <c r="S497" s="201"/>
      <c r="T497" s="201"/>
      <c r="U497" s="201"/>
      <c r="V497" s="201"/>
      <c r="W497" s="17"/>
      <c r="X497" s="17"/>
      <c r="Y497" s="17"/>
      <c r="Z497" s="17"/>
      <c r="AA497" s="17"/>
      <c r="AB497" s="17"/>
    </row>
    <row r="498">
      <c r="A498" s="17"/>
      <c r="B498" s="17"/>
      <c r="C498" s="17"/>
      <c r="D498" s="17"/>
      <c r="E498" s="17"/>
      <c r="F498" s="297"/>
      <c r="G498" s="17"/>
      <c r="H498" s="17"/>
      <c r="I498" s="17"/>
      <c r="J498" s="17"/>
      <c r="K498" s="17"/>
      <c r="L498" s="17"/>
      <c r="M498" s="17"/>
      <c r="N498" s="17"/>
      <c r="O498" s="17"/>
      <c r="P498" s="17"/>
      <c r="Q498" s="17"/>
      <c r="R498" s="17"/>
      <c r="S498" s="201"/>
      <c r="T498" s="201"/>
      <c r="U498" s="201"/>
      <c r="V498" s="201"/>
      <c r="W498" s="17"/>
      <c r="X498" s="17"/>
      <c r="Y498" s="17"/>
      <c r="Z498" s="17"/>
      <c r="AA498" s="17"/>
      <c r="AB498" s="17"/>
    </row>
    <row r="499">
      <c r="A499" s="17"/>
      <c r="B499" s="17"/>
      <c r="C499" s="17"/>
      <c r="D499" s="17"/>
      <c r="E499" s="17"/>
      <c r="F499" s="297"/>
      <c r="G499" s="17"/>
      <c r="H499" s="17"/>
      <c r="I499" s="17"/>
      <c r="J499" s="17"/>
      <c r="K499" s="17"/>
      <c r="L499" s="17"/>
      <c r="M499" s="17"/>
      <c r="N499" s="17"/>
      <c r="O499" s="17"/>
      <c r="P499" s="17"/>
      <c r="Q499" s="17"/>
      <c r="R499" s="17"/>
      <c r="S499" s="201"/>
      <c r="T499" s="201"/>
      <c r="U499" s="201"/>
      <c r="V499" s="201"/>
      <c r="W499" s="17"/>
      <c r="X499" s="17"/>
      <c r="Y499" s="17"/>
      <c r="Z499" s="17"/>
      <c r="AA499" s="17"/>
      <c r="AB499" s="17"/>
    </row>
    <row r="500">
      <c r="A500" s="17"/>
      <c r="B500" s="17"/>
      <c r="C500" s="17"/>
      <c r="D500" s="17"/>
      <c r="E500" s="17"/>
      <c r="F500" s="297"/>
      <c r="G500" s="17"/>
      <c r="H500" s="17"/>
      <c r="I500" s="17"/>
      <c r="J500" s="17"/>
      <c r="K500" s="17"/>
      <c r="L500" s="17"/>
      <c r="M500" s="17"/>
      <c r="N500" s="17"/>
      <c r="O500" s="17"/>
      <c r="P500" s="17"/>
      <c r="Q500" s="17"/>
      <c r="R500" s="17"/>
      <c r="S500" s="201"/>
      <c r="T500" s="201"/>
      <c r="U500" s="201"/>
      <c r="V500" s="201"/>
      <c r="W500" s="17"/>
      <c r="X500" s="17"/>
      <c r="Y500" s="17"/>
      <c r="Z500" s="17"/>
      <c r="AA500" s="17"/>
      <c r="AB500" s="17"/>
    </row>
    <row r="501">
      <c r="A501" s="17"/>
      <c r="B501" s="17"/>
      <c r="C501" s="17"/>
      <c r="D501" s="17"/>
      <c r="E501" s="17"/>
      <c r="F501" s="297"/>
      <c r="G501" s="17"/>
      <c r="H501" s="17"/>
      <c r="I501" s="17"/>
      <c r="J501" s="17"/>
      <c r="K501" s="17"/>
      <c r="L501" s="17"/>
      <c r="M501" s="17"/>
      <c r="N501" s="17"/>
      <c r="O501" s="17"/>
      <c r="P501" s="17"/>
      <c r="Q501" s="17"/>
      <c r="R501" s="17"/>
      <c r="S501" s="201"/>
      <c r="T501" s="201"/>
      <c r="U501" s="201"/>
      <c r="V501" s="201"/>
      <c r="W501" s="17"/>
      <c r="X501" s="17"/>
      <c r="Y501" s="17"/>
      <c r="Z501" s="17"/>
      <c r="AA501" s="17"/>
      <c r="AB501" s="17"/>
    </row>
    <row r="502">
      <c r="A502" s="17"/>
      <c r="B502" s="17"/>
      <c r="C502" s="17"/>
      <c r="D502" s="17"/>
      <c r="E502" s="17"/>
      <c r="F502" s="297"/>
      <c r="G502" s="17"/>
      <c r="H502" s="17"/>
      <c r="I502" s="17"/>
      <c r="J502" s="17"/>
      <c r="K502" s="17"/>
      <c r="L502" s="17"/>
      <c r="M502" s="17"/>
      <c r="N502" s="17"/>
      <c r="O502" s="17"/>
      <c r="P502" s="17"/>
      <c r="Q502" s="17"/>
      <c r="R502" s="17"/>
      <c r="S502" s="201"/>
      <c r="T502" s="201"/>
      <c r="U502" s="201"/>
      <c r="V502" s="201"/>
      <c r="W502" s="17"/>
      <c r="X502" s="17"/>
      <c r="Y502" s="17"/>
      <c r="Z502" s="17"/>
      <c r="AA502" s="17"/>
      <c r="AB502" s="17"/>
    </row>
    <row r="503">
      <c r="A503" s="17"/>
      <c r="B503" s="17"/>
      <c r="C503" s="17"/>
      <c r="D503" s="17"/>
      <c r="E503" s="17"/>
      <c r="F503" s="297"/>
      <c r="G503" s="17"/>
      <c r="H503" s="17"/>
      <c r="I503" s="17"/>
      <c r="J503" s="17"/>
      <c r="K503" s="17"/>
      <c r="L503" s="17"/>
      <c r="M503" s="17"/>
      <c r="N503" s="17"/>
      <c r="O503" s="17"/>
      <c r="P503" s="17"/>
      <c r="Q503" s="17"/>
      <c r="R503" s="17"/>
      <c r="S503" s="201"/>
      <c r="T503" s="201"/>
      <c r="U503" s="201"/>
      <c r="V503" s="201"/>
      <c r="W503" s="17"/>
      <c r="X503" s="17"/>
      <c r="Y503" s="17"/>
      <c r="Z503" s="17"/>
      <c r="AA503" s="17"/>
      <c r="AB503" s="17"/>
    </row>
    <row r="504">
      <c r="A504" s="17"/>
      <c r="B504" s="17"/>
      <c r="C504" s="17"/>
      <c r="D504" s="17"/>
      <c r="E504" s="17"/>
      <c r="F504" s="297"/>
      <c r="G504" s="17"/>
      <c r="H504" s="17"/>
      <c r="I504" s="17"/>
      <c r="J504" s="17"/>
      <c r="K504" s="17"/>
      <c r="L504" s="17"/>
      <c r="M504" s="17"/>
      <c r="N504" s="17"/>
      <c r="O504" s="17"/>
      <c r="P504" s="17"/>
      <c r="Q504" s="17"/>
      <c r="R504" s="17"/>
      <c r="S504" s="201"/>
      <c r="T504" s="201"/>
      <c r="U504" s="201"/>
      <c r="V504" s="201"/>
      <c r="W504" s="17"/>
      <c r="X504" s="17"/>
      <c r="Y504" s="17"/>
      <c r="Z504" s="17"/>
      <c r="AA504" s="17"/>
      <c r="AB504" s="17"/>
    </row>
    <row r="505">
      <c r="A505" s="17"/>
      <c r="B505" s="17"/>
      <c r="C505" s="17"/>
      <c r="D505" s="17"/>
      <c r="E505" s="17"/>
      <c r="F505" s="297"/>
      <c r="G505" s="17"/>
      <c r="H505" s="17"/>
      <c r="I505" s="17"/>
      <c r="J505" s="17"/>
      <c r="K505" s="17"/>
      <c r="L505" s="17"/>
      <c r="M505" s="17"/>
      <c r="N505" s="17"/>
      <c r="O505" s="17"/>
      <c r="P505" s="17"/>
      <c r="Q505" s="17"/>
      <c r="R505" s="17"/>
      <c r="S505" s="201"/>
      <c r="T505" s="201"/>
      <c r="U505" s="201"/>
      <c r="V505" s="201"/>
      <c r="W505" s="17"/>
      <c r="X505" s="17"/>
      <c r="Y505" s="17"/>
      <c r="Z505" s="17"/>
      <c r="AA505" s="17"/>
      <c r="AB505" s="17"/>
    </row>
    <row r="506">
      <c r="A506" s="17"/>
      <c r="B506" s="17"/>
      <c r="C506" s="17"/>
      <c r="D506" s="17"/>
      <c r="E506" s="17"/>
      <c r="F506" s="297"/>
      <c r="G506" s="17"/>
      <c r="H506" s="17"/>
      <c r="I506" s="17"/>
      <c r="J506" s="17"/>
      <c r="K506" s="17"/>
      <c r="L506" s="17"/>
      <c r="M506" s="17"/>
      <c r="N506" s="17"/>
      <c r="O506" s="17"/>
      <c r="P506" s="17"/>
      <c r="Q506" s="17"/>
      <c r="R506" s="17"/>
      <c r="S506" s="201"/>
      <c r="T506" s="201"/>
      <c r="U506" s="201"/>
      <c r="V506" s="201"/>
      <c r="W506" s="17"/>
      <c r="X506" s="17"/>
      <c r="Y506" s="17"/>
      <c r="Z506" s="17"/>
      <c r="AA506" s="17"/>
      <c r="AB506" s="17"/>
    </row>
    <row r="507">
      <c r="A507" s="17"/>
      <c r="B507" s="17"/>
      <c r="C507" s="17"/>
      <c r="D507" s="17"/>
      <c r="E507" s="17"/>
      <c r="F507" s="297"/>
      <c r="G507" s="17"/>
      <c r="H507" s="17"/>
      <c r="I507" s="17"/>
      <c r="J507" s="17"/>
      <c r="K507" s="17"/>
      <c r="L507" s="17"/>
      <c r="M507" s="17"/>
      <c r="N507" s="17"/>
      <c r="O507" s="17"/>
      <c r="P507" s="17"/>
      <c r="Q507" s="17"/>
      <c r="R507" s="17"/>
      <c r="S507" s="201"/>
      <c r="T507" s="201"/>
      <c r="U507" s="201"/>
      <c r="V507" s="201"/>
      <c r="W507" s="17"/>
      <c r="X507" s="17"/>
      <c r="Y507" s="17"/>
      <c r="Z507" s="17"/>
      <c r="AA507" s="17"/>
      <c r="AB507" s="17"/>
    </row>
    <row r="508">
      <c r="A508" s="17"/>
      <c r="B508" s="17"/>
      <c r="C508" s="17"/>
      <c r="D508" s="17"/>
      <c r="E508" s="17"/>
      <c r="F508" s="297"/>
      <c r="G508" s="17"/>
      <c r="H508" s="17"/>
      <c r="I508" s="17"/>
      <c r="J508" s="17"/>
      <c r="K508" s="17"/>
      <c r="L508" s="17"/>
      <c r="M508" s="17"/>
      <c r="N508" s="17"/>
      <c r="O508" s="17"/>
      <c r="P508" s="17"/>
      <c r="Q508" s="17"/>
      <c r="R508" s="17"/>
      <c r="S508" s="201"/>
      <c r="T508" s="201"/>
      <c r="U508" s="201"/>
      <c r="V508" s="201"/>
      <c r="W508" s="17"/>
      <c r="X508" s="17"/>
      <c r="Y508" s="17"/>
      <c r="Z508" s="17"/>
      <c r="AA508" s="17"/>
      <c r="AB508" s="17"/>
    </row>
    <row r="509">
      <c r="A509" s="17"/>
      <c r="B509" s="17"/>
      <c r="C509" s="17"/>
      <c r="D509" s="17"/>
      <c r="E509" s="17"/>
      <c r="F509" s="297"/>
      <c r="G509" s="17"/>
      <c r="H509" s="17"/>
      <c r="I509" s="17"/>
      <c r="J509" s="17"/>
      <c r="K509" s="17"/>
      <c r="L509" s="17"/>
      <c r="M509" s="17"/>
      <c r="N509" s="17"/>
      <c r="O509" s="17"/>
      <c r="P509" s="17"/>
      <c r="Q509" s="17"/>
      <c r="R509" s="17"/>
      <c r="S509" s="201"/>
      <c r="T509" s="201"/>
      <c r="U509" s="201"/>
      <c r="V509" s="201"/>
      <c r="W509" s="17"/>
      <c r="X509" s="17"/>
      <c r="Y509" s="17"/>
      <c r="Z509" s="17"/>
      <c r="AA509" s="17"/>
      <c r="AB509" s="17"/>
    </row>
    <row r="510">
      <c r="A510" s="17"/>
      <c r="B510" s="17"/>
      <c r="C510" s="17"/>
      <c r="D510" s="17"/>
      <c r="E510" s="17"/>
      <c r="F510" s="297"/>
      <c r="G510" s="17"/>
      <c r="H510" s="17"/>
      <c r="I510" s="17"/>
      <c r="J510" s="17"/>
      <c r="K510" s="17"/>
      <c r="L510" s="17"/>
      <c r="M510" s="17"/>
      <c r="N510" s="17"/>
      <c r="O510" s="17"/>
      <c r="P510" s="17"/>
      <c r="Q510" s="17"/>
      <c r="R510" s="17"/>
      <c r="S510" s="201"/>
      <c r="T510" s="201"/>
      <c r="U510" s="201"/>
      <c r="V510" s="201"/>
      <c r="W510" s="17"/>
      <c r="X510" s="17"/>
      <c r="Y510" s="17"/>
      <c r="Z510" s="17"/>
      <c r="AA510" s="17"/>
      <c r="AB510" s="17"/>
    </row>
    <row r="511">
      <c r="A511" s="17"/>
      <c r="B511" s="17"/>
      <c r="C511" s="17"/>
      <c r="D511" s="17"/>
      <c r="E511" s="17"/>
      <c r="F511" s="297"/>
      <c r="G511" s="17"/>
      <c r="H511" s="17"/>
      <c r="I511" s="17"/>
      <c r="J511" s="17"/>
      <c r="K511" s="17"/>
      <c r="L511" s="17"/>
      <c r="M511" s="17"/>
      <c r="N511" s="17"/>
      <c r="O511" s="17"/>
      <c r="P511" s="17"/>
      <c r="Q511" s="17"/>
      <c r="R511" s="17"/>
      <c r="S511" s="201"/>
      <c r="T511" s="201"/>
      <c r="U511" s="201"/>
      <c r="V511" s="201"/>
      <c r="W511" s="17"/>
      <c r="X511" s="17"/>
      <c r="Y511" s="17"/>
      <c r="Z511" s="17"/>
      <c r="AA511" s="17"/>
      <c r="AB511" s="17"/>
    </row>
    <row r="512">
      <c r="A512" s="17"/>
      <c r="B512" s="17"/>
      <c r="C512" s="17"/>
      <c r="D512" s="17"/>
      <c r="E512" s="17"/>
      <c r="F512" s="297"/>
      <c r="G512" s="17"/>
      <c r="H512" s="17"/>
      <c r="I512" s="17"/>
      <c r="J512" s="17"/>
      <c r="K512" s="17"/>
      <c r="L512" s="17"/>
      <c r="M512" s="17"/>
      <c r="N512" s="17"/>
      <c r="O512" s="17"/>
      <c r="P512" s="17"/>
      <c r="Q512" s="17"/>
      <c r="R512" s="17"/>
      <c r="S512" s="201"/>
      <c r="T512" s="201"/>
      <c r="U512" s="201"/>
      <c r="V512" s="201"/>
      <c r="W512" s="17"/>
      <c r="X512" s="17"/>
      <c r="Y512" s="17"/>
      <c r="Z512" s="17"/>
      <c r="AA512" s="17"/>
      <c r="AB512" s="17"/>
    </row>
    <row r="513">
      <c r="A513" s="17"/>
      <c r="B513" s="17"/>
      <c r="C513" s="17"/>
      <c r="D513" s="17"/>
      <c r="E513" s="17"/>
      <c r="F513" s="297"/>
      <c r="G513" s="17"/>
      <c r="H513" s="17"/>
      <c r="I513" s="17"/>
      <c r="J513" s="17"/>
      <c r="K513" s="17"/>
      <c r="L513" s="17"/>
      <c r="M513" s="17"/>
      <c r="N513" s="17"/>
      <c r="O513" s="17"/>
      <c r="P513" s="17"/>
      <c r="Q513" s="17"/>
      <c r="R513" s="17"/>
      <c r="S513" s="201"/>
      <c r="T513" s="201"/>
      <c r="U513" s="201"/>
      <c r="V513" s="201"/>
      <c r="W513" s="17"/>
      <c r="X513" s="17"/>
      <c r="Y513" s="17"/>
      <c r="Z513" s="17"/>
      <c r="AA513" s="17"/>
      <c r="AB513" s="17"/>
    </row>
    <row r="514">
      <c r="A514" s="17"/>
      <c r="B514" s="17"/>
      <c r="C514" s="17"/>
      <c r="D514" s="17"/>
      <c r="E514" s="17"/>
      <c r="F514" s="297"/>
      <c r="G514" s="17"/>
      <c r="H514" s="17"/>
      <c r="I514" s="17"/>
      <c r="J514" s="17"/>
      <c r="K514" s="17"/>
      <c r="L514" s="17"/>
      <c r="M514" s="17"/>
      <c r="N514" s="17"/>
      <c r="O514" s="17"/>
      <c r="P514" s="17"/>
      <c r="Q514" s="17"/>
      <c r="R514" s="17"/>
      <c r="S514" s="201"/>
      <c r="T514" s="201"/>
      <c r="U514" s="201"/>
      <c r="V514" s="201"/>
      <c r="W514" s="17"/>
      <c r="X514" s="17"/>
      <c r="Y514" s="17"/>
      <c r="Z514" s="17"/>
      <c r="AA514" s="17"/>
      <c r="AB514" s="17"/>
    </row>
    <row r="515">
      <c r="A515" s="17"/>
      <c r="B515" s="17"/>
      <c r="C515" s="17"/>
      <c r="D515" s="17"/>
      <c r="E515" s="17"/>
      <c r="F515" s="297"/>
      <c r="G515" s="17"/>
      <c r="H515" s="17"/>
      <c r="I515" s="17"/>
      <c r="J515" s="17"/>
      <c r="K515" s="17"/>
      <c r="L515" s="17"/>
      <c r="M515" s="17"/>
      <c r="N515" s="17"/>
      <c r="O515" s="17"/>
      <c r="P515" s="17"/>
      <c r="Q515" s="17"/>
      <c r="R515" s="17"/>
      <c r="S515" s="201"/>
      <c r="T515" s="201"/>
      <c r="U515" s="201"/>
      <c r="V515" s="201"/>
      <c r="W515" s="17"/>
      <c r="X515" s="17"/>
      <c r="Y515" s="17"/>
      <c r="Z515" s="17"/>
      <c r="AA515" s="17"/>
      <c r="AB515" s="17"/>
    </row>
    <row r="516">
      <c r="A516" s="17"/>
      <c r="B516" s="17"/>
      <c r="C516" s="17"/>
      <c r="D516" s="17"/>
      <c r="E516" s="17"/>
      <c r="F516" s="297"/>
      <c r="G516" s="17"/>
      <c r="H516" s="17"/>
      <c r="I516" s="17"/>
      <c r="J516" s="17"/>
      <c r="K516" s="17"/>
      <c r="L516" s="17"/>
      <c r="M516" s="17"/>
      <c r="N516" s="17"/>
      <c r="O516" s="17"/>
      <c r="P516" s="17"/>
      <c r="Q516" s="17"/>
      <c r="R516" s="17"/>
      <c r="S516" s="201"/>
      <c r="T516" s="201"/>
      <c r="U516" s="201"/>
      <c r="V516" s="201"/>
      <c r="W516" s="17"/>
      <c r="X516" s="17"/>
      <c r="Y516" s="17"/>
      <c r="Z516" s="17"/>
      <c r="AA516" s="17"/>
      <c r="AB516" s="17"/>
    </row>
    <row r="517">
      <c r="A517" s="17"/>
      <c r="B517" s="17"/>
      <c r="C517" s="17"/>
      <c r="D517" s="17"/>
      <c r="E517" s="17"/>
      <c r="F517" s="297"/>
      <c r="G517" s="17"/>
      <c r="H517" s="17"/>
      <c r="I517" s="17"/>
      <c r="J517" s="17"/>
      <c r="K517" s="17"/>
      <c r="L517" s="17"/>
      <c r="M517" s="17"/>
      <c r="N517" s="17"/>
      <c r="O517" s="17"/>
      <c r="P517" s="17"/>
      <c r="Q517" s="17"/>
      <c r="R517" s="17"/>
      <c r="S517" s="201"/>
      <c r="T517" s="201"/>
      <c r="U517" s="201"/>
      <c r="V517" s="201"/>
      <c r="W517" s="17"/>
      <c r="X517" s="17"/>
      <c r="Y517" s="17"/>
      <c r="Z517" s="17"/>
      <c r="AA517" s="17"/>
      <c r="AB517" s="17"/>
    </row>
    <row r="518">
      <c r="A518" s="17"/>
      <c r="B518" s="17"/>
      <c r="C518" s="17"/>
      <c r="D518" s="17"/>
      <c r="E518" s="17"/>
      <c r="F518" s="297"/>
      <c r="G518" s="17"/>
      <c r="H518" s="17"/>
      <c r="I518" s="17"/>
      <c r="J518" s="17"/>
      <c r="K518" s="17"/>
      <c r="L518" s="17"/>
      <c r="M518" s="17"/>
      <c r="N518" s="17"/>
      <c r="O518" s="17"/>
      <c r="P518" s="17"/>
      <c r="Q518" s="17"/>
      <c r="R518" s="17"/>
      <c r="S518" s="201"/>
      <c r="T518" s="201"/>
      <c r="U518" s="201"/>
      <c r="V518" s="201"/>
      <c r="W518" s="17"/>
      <c r="X518" s="17"/>
      <c r="Y518" s="17"/>
      <c r="Z518" s="17"/>
      <c r="AA518" s="17"/>
      <c r="AB518" s="17"/>
    </row>
    <row r="519">
      <c r="A519" s="17"/>
      <c r="B519" s="17"/>
      <c r="C519" s="17"/>
      <c r="D519" s="17"/>
      <c r="E519" s="17"/>
      <c r="F519" s="297"/>
      <c r="G519" s="17"/>
      <c r="H519" s="17"/>
      <c r="I519" s="17"/>
      <c r="J519" s="17"/>
      <c r="K519" s="17"/>
      <c r="L519" s="17"/>
      <c r="M519" s="17"/>
      <c r="N519" s="17"/>
      <c r="O519" s="17"/>
      <c r="P519" s="17"/>
      <c r="Q519" s="17"/>
      <c r="R519" s="17"/>
      <c r="S519" s="201"/>
      <c r="T519" s="201"/>
      <c r="U519" s="201"/>
      <c r="V519" s="201"/>
      <c r="W519" s="17"/>
      <c r="X519" s="17"/>
      <c r="Y519" s="17"/>
      <c r="Z519" s="17"/>
      <c r="AA519" s="17"/>
      <c r="AB519" s="17"/>
    </row>
    <row r="520">
      <c r="A520" s="17"/>
      <c r="B520" s="17"/>
      <c r="C520" s="17"/>
      <c r="D520" s="17"/>
      <c r="E520" s="17"/>
      <c r="F520" s="297"/>
      <c r="G520" s="17"/>
      <c r="H520" s="17"/>
      <c r="I520" s="17"/>
      <c r="J520" s="17"/>
      <c r="K520" s="17"/>
      <c r="L520" s="17"/>
      <c r="M520" s="17"/>
      <c r="N520" s="17"/>
      <c r="O520" s="17"/>
      <c r="P520" s="17"/>
      <c r="Q520" s="17"/>
      <c r="R520" s="17"/>
      <c r="S520" s="201"/>
      <c r="T520" s="201"/>
      <c r="U520" s="201"/>
      <c r="V520" s="201"/>
      <c r="W520" s="17"/>
      <c r="X520" s="17"/>
      <c r="Y520" s="17"/>
      <c r="Z520" s="17"/>
      <c r="AA520" s="17"/>
      <c r="AB520" s="17"/>
    </row>
    <row r="521">
      <c r="A521" s="17"/>
      <c r="B521" s="17"/>
      <c r="C521" s="17"/>
      <c r="D521" s="17"/>
      <c r="E521" s="17"/>
      <c r="F521" s="297"/>
      <c r="G521" s="17"/>
      <c r="H521" s="17"/>
      <c r="I521" s="17"/>
      <c r="J521" s="17"/>
      <c r="K521" s="17"/>
      <c r="L521" s="17"/>
      <c r="M521" s="17"/>
      <c r="N521" s="17"/>
      <c r="O521" s="17"/>
      <c r="P521" s="17"/>
      <c r="Q521" s="17"/>
      <c r="R521" s="17"/>
      <c r="S521" s="201"/>
      <c r="T521" s="201"/>
      <c r="U521" s="201"/>
      <c r="V521" s="201"/>
      <c r="W521" s="17"/>
      <c r="X521" s="17"/>
      <c r="Y521" s="17"/>
      <c r="Z521" s="17"/>
      <c r="AA521" s="17"/>
      <c r="AB521" s="17"/>
    </row>
    <row r="522">
      <c r="A522" s="17"/>
      <c r="B522" s="17"/>
      <c r="C522" s="17"/>
      <c r="D522" s="17"/>
      <c r="E522" s="17"/>
      <c r="F522" s="297"/>
      <c r="G522" s="17"/>
      <c r="H522" s="17"/>
      <c r="I522" s="17"/>
      <c r="J522" s="17"/>
      <c r="K522" s="17"/>
      <c r="L522" s="17"/>
      <c r="M522" s="17"/>
      <c r="N522" s="17"/>
      <c r="O522" s="17"/>
      <c r="P522" s="17"/>
      <c r="Q522" s="17"/>
      <c r="R522" s="17"/>
      <c r="S522" s="201"/>
      <c r="T522" s="201"/>
      <c r="U522" s="201"/>
      <c r="V522" s="201"/>
      <c r="W522" s="17"/>
      <c r="X522" s="17"/>
      <c r="Y522" s="17"/>
      <c r="Z522" s="17"/>
      <c r="AA522" s="17"/>
      <c r="AB522" s="17"/>
    </row>
    <row r="523">
      <c r="A523" s="17"/>
      <c r="B523" s="17"/>
      <c r="C523" s="17"/>
      <c r="D523" s="17"/>
      <c r="E523" s="17"/>
      <c r="F523" s="297"/>
      <c r="G523" s="17"/>
      <c r="H523" s="17"/>
      <c r="I523" s="17"/>
      <c r="J523" s="17"/>
      <c r="K523" s="17"/>
      <c r="L523" s="17"/>
      <c r="M523" s="17"/>
      <c r="N523" s="17"/>
      <c r="O523" s="17"/>
      <c r="P523" s="17"/>
      <c r="Q523" s="17"/>
      <c r="R523" s="17"/>
      <c r="S523" s="201"/>
      <c r="T523" s="201"/>
      <c r="U523" s="201"/>
      <c r="V523" s="201"/>
      <c r="W523" s="17"/>
      <c r="X523" s="17"/>
      <c r="Y523" s="17"/>
      <c r="Z523" s="17"/>
      <c r="AA523" s="17"/>
      <c r="AB523" s="17"/>
    </row>
    <row r="524">
      <c r="A524" s="17"/>
      <c r="B524" s="17"/>
      <c r="C524" s="17"/>
      <c r="D524" s="17"/>
      <c r="E524" s="17"/>
      <c r="F524" s="297"/>
      <c r="G524" s="17"/>
      <c r="H524" s="17"/>
      <c r="I524" s="17"/>
      <c r="J524" s="17"/>
      <c r="K524" s="17"/>
      <c r="L524" s="17"/>
      <c r="M524" s="17"/>
      <c r="N524" s="17"/>
      <c r="O524" s="17"/>
      <c r="P524" s="17"/>
      <c r="Q524" s="17"/>
      <c r="R524" s="17"/>
      <c r="S524" s="201"/>
      <c r="T524" s="201"/>
      <c r="U524" s="201"/>
      <c r="V524" s="201"/>
      <c r="W524" s="17"/>
      <c r="X524" s="17"/>
      <c r="Y524" s="17"/>
      <c r="Z524" s="17"/>
      <c r="AA524" s="17"/>
      <c r="AB524" s="17"/>
    </row>
    <row r="525">
      <c r="A525" s="17"/>
      <c r="B525" s="17"/>
      <c r="C525" s="17"/>
      <c r="D525" s="17"/>
      <c r="E525" s="17"/>
      <c r="F525" s="297"/>
      <c r="G525" s="17"/>
      <c r="H525" s="17"/>
      <c r="I525" s="17"/>
      <c r="J525" s="17"/>
      <c r="K525" s="17"/>
      <c r="L525" s="17"/>
      <c r="M525" s="17"/>
      <c r="N525" s="17"/>
      <c r="O525" s="17"/>
      <c r="P525" s="17"/>
      <c r="Q525" s="17"/>
      <c r="R525" s="17"/>
      <c r="S525" s="201"/>
      <c r="T525" s="201"/>
      <c r="U525" s="201"/>
      <c r="V525" s="201"/>
      <c r="W525" s="17"/>
      <c r="X525" s="17"/>
      <c r="Y525" s="17"/>
      <c r="Z525" s="17"/>
      <c r="AA525" s="17"/>
      <c r="AB525" s="17"/>
    </row>
    <row r="526">
      <c r="A526" s="17"/>
      <c r="B526" s="17"/>
      <c r="C526" s="17"/>
      <c r="D526" s="17"/>
      <c r="E526" s="17"/>
      <c r="F526" s="297"/>
      <c r="G526" s="17"/>
      <c r="H526" s="17"/>
      <c r="I526" s="17"/>
      <c r="J526" s="17"/>
      <c r="K526" s="17"/>
      <c r="L526" s="17"/>
      <c r="M526" s="17"/>
      <c r="N526" s="17"/>
      <c r="O526" s="17"/>
      <c r="P526" s="17"/>
      <c r="Q526" s="17"/>
      <c r="R526" s="17"/>
      <c r="S526" s="201"/>
      <c r="T526" s="201"/>
      <c r="U526" s="201"/>
      <c r="V526" s="201"/>
      <c r="W526" s="17"/>
      <c r="X526" s="17"/>
      <c r="Y526" s="17"/>
      <c r="Z526" s="17"/>
      <c r="AA526" s="17"/>
      <c r="AB526" s="17"/>
    </row>
    <row r="527">
      <c r="A527" s="17"/>
      <c r="B527" s="17"/>
      <c r="C527" s="17"/>
      <c r="D527" s="17"/>
      <c r="E527" s="17"/>
      <c r="F527" s="297"/>
      <c r="G527" s="17"/>
      <c r="H527" s="17"/>
      <c r="I527" s="17"/>
      <c r="J527" s="17"/>
      <c r="K527" s="17"/>
      <c r="L527" s="17"/>
      <c r="M527" s="17"/>
      <c r="N527" s="17"/>
      <c r="O527" s="17"/>
      <c r="P527" s="17"/>
      <c r="Q527" s="17"/>
      <c r="R527" s="17"/>
      <c r="S527" s="201"/>
      <c r="T527" s="201"/>
      <c r="U527" s="201"/>
      <c r="V527" s="201"/>
      <c r="W527" s="17"/>
      <c r="X527" s="17"/>
      <c r="Y527" s="17"/>
      <c r="Z527" s="17"/>
      <c r="AA527" s="17"/>
      <c r="AB527" s="17"/>
    </row>
    <row r="528">
      <c r="A528" s="17"/>
      <c r="B528" s="17"/>
      <c r="C528" s="17"/>
      <c r="D528" s="17"/>
      <c r="E528" s="17"/>
      <c r="F528" s="297"/>
      <c r="G528" s="17"/>
      <c r="H528" s="17"/>
      <c r="I528" s="17"/>
      <c r="J528" s="17"/>
      <c r="K528" s="17"/>
      <c r="L528" s="17"/>
      <c r="M528" s="17"/>
      <c r="N528" s="17"/>
      <c r="O528" s="17"/>
      <c r="P528" s="17"/>
      <c r="Q528" s="17"/>
      <c r="R528" s="17"/>
      <c r="S528" s="201"/>
      <c r="T528" s="201"/>
      <c r="U528" s="201"/>
      <c r="V528" s="201"/>
      <c r="W528" s="17"/>
      <c r="X528" s="17"/>
      <c r="Y528" s="17"/>
      <c r="Z528" s="17"/>
      <c r="AA528" s="17"/>
      <c r="AB528" s="17"/>
    </row>
    <row r="529">
      <c r="A529" s="17"/>
      <c r="B529" s="17"/>
      <c r="C529" s="17"/>
      <c r="D529" s="17"/>
      <c r="E529" s="17"/>
      <c r="F529" s="297"/>
      <c r="G529" s="17"/>
      <c r="H529" s="17"/>
      <c r="I529" s="17"/>
      <c r="J529" s="17"/>
      <c r="K529" s="17"/>
      <c r="L529" s="17"/>
      <c r="M529" s="17"/>
      <c r="N529" s="17"/>
      <c r="O529" s="17"/>
      <c r="P529" s="17"/>
      <c r="Q529" s="17"/>
      <c r="R529" s="17"/>
      <c r="S529" s="201"/>
      <c r="T529" s="201"/>
      <c r="U529" s="201"/>
      <c r="V529" s="201"/>
      <c r="W529" s="17"/>
      <c r="X529" s="17"/>
      <c r="Y529" s="17"/>
      <c r="Z529" s="17"/>
      <c r="AA529" s="17"/>
      <c r="AB529" s="17"/>
    </row>
    <row r="530">
      <c r="A530" s="17"/>
      <c r="B530" s="17"/>
      <c r="C530" s="17"/>
      <c r="D530" s="17"/>
      <c r="E530" s="17"/>
      <c r="F530" s="297"/>
      <c r="G530" s="17"/>
      <c r="H530" s="17"/>
      <c r="I530" s="17"/>
      <c r="J530" s="17"/>
      <c r="K530" s="17"/>
      <c r="L530" s="17"/>
      <c r="M530" s="17"/>
      <c r="N530" s="17"/>
      <c r="O530" s="17"/>
      <c r="P530" s="17"/>
      <c r="Q530" s="17"/>
      <c r="R530" s="17"/>
      <c r="S530" s="201"/>
      <c r="T530" s="201"/>
      <c r="U530" s="201"/>
      <c r="V530" s="201"/>
      <c r="W530" s="17"/>
      <c r="X530" s="17"/>
      <c r="Y530" s="17"/>
      <c r="Z530" s="17"/>
      <c r="AA530" s="17"/>
      <c r="AB530" s="17"/>
    </row>
    <row r="531">
      <c r="A531" s="17"/>
      <c r="B531" s="17"/>
      <c r="C531" s="17"/>
      <c r="D531" s="17"/>
      <c r="E531" s="17"/>
      <c r="F531" s="297"/>
      <c r="G531" s="17"/>
      <c r="H531" s="17"/>
      <c r="I531" s="17"/>
      <c r="J531" s="17"/>
      <c r="K531" s="17"/>
      <c r="L531" s="17"/>
      <c r="M531" s="17"/>
      <c r="N531" s="17"/>
      <c r="O531" s="17"/>
      <c r="P531" s="17"/>
      <c r="Q531" s="17"/>
      <c r="R531" s="17"/>
      <c r="S531" s="201"/>
      <c r="T531" s="201"/>
      <c r="U531" s="201"/>
      <c r="V531" s="201"/>
      <c r="W531" s="17"/>
      <c r="X531" s="17"/>
      <c r="Y531" s="17"/>
      <c r="Z531" s="17"/>
      <c r="AA531" s="17"/>
      <c r="AB531" s="17"/>
    </row>
    <row r="532">
      <c r="A532" s="17"/>
      <c r="B532" s="17"/>
      <c r="C532" s="17"/>
      <c r="D532" s="17"/>
      <c r="E532" s="17"/>
      <c r="F532" s="297"/>
      <c r="G532" s="17"/>
      <c r="H532" s="17"/>
      <c r="I532" s="17"/>
      <c r="J532" s="17"/>
      <c r="K532" s="17"/>
      <c r="L532" s="17"/>
      <c r="M532" s="17"/>
      <c r="N532" s="17"/>
      <c r="O532" s="17"/>
      <c r="P532" s="17"/>
      <c r="Q532" s="17"/>
      <c r="R532" s="17"/>
      <c r="S532" s="201"/>
      <c r="T532" s="201"/>
      <c r="U532" s="201"/>
      <c r="V532" s="201"/>
      <c r="W532" s="17"/>
      <c r="X532" s="17"/>
      <c r="Y532" s="17"/>
      <c r="Z532" s="17"/>
      <c r="AA532" s="17"/>
      <c r="AB532" s="17"/>
    </row>
    <row r="533">
      <c r="A533" s="17"/>
      <c r="B533" s="17"/>
      <c r="C533" s="17"/>
      <c r="D533" s="17"/>
      <c r="E533" s="17"/>
      <c r="F533" s="297"/>
      <c r="G533" s="17"/>
      <c r="H533" s="17"/>
      <c r="I533" s="17"/>
      <c r="J533" s="17"/>
      <c r="K533" s="17"/>
      <c r="L533" s="17"/>
      <c r="M533" s="17"/>
      <c r="N533" s="17"/>
      <c r="O533" s="17"/>
      <c r="P533" s="17"/>
      <c r="Q533" s="17"/>
      <c r="R533" s="17"/>
      <c r="S533" s="201"/>
      <c r="T533" s="201"/>
      <c r="U533" s="201"/>
      <c r="V533" s="201"/>
      <c r="W533" s="17"/>
      <c r="X533" s="17"/>
      <c r="Y533" s="17"/>
      <c r="Z533" s="17"/>
      <c r="AA533" s="17"/>
      <c r="AB533" s="17"/>
    </row>
    <row r="534">
      <c r="A534" s="17"/>
      <c r="B534" s="17"/>
      <c r="C534" s="17"/>
      <c r="D534" s="17"/>
      <c r="E534" s="17"/>
      <c r="F534" s="297"/>
      <c r="G534" s="17"/>
      <c r="H534" s="17"/>
      <c r="I534" s="17"/>
      <c r="J534" s="17"/>
      <c r="K534" s="17"/>
      <c r="L534" s="17"/>
      <c r="M534" s="17"/>
      <c r="N534" s="17"/>
      <c r="O534" s="17"/>
      <c r="P534" s="17"/>
      <c r="Q534" s="17"/>
      <c r="R534" s="17"/>
      <c r="S534" s="201"/>
      <c r="T534" s="201"/>
      <c r="U534" s="201"/>
      <c r="V534" s="201"/>
      <c r="W534" s="17"/>
      <c r="X534" s="17"/>
      <c r="Y534" s="17"/>
      <c r="Z534" s="17"/>
      <c r="AA534" s="17"/>
      <c r="AB534" s="17"/>
    </row>
    <row r="535">
      <c r="A535" s="17"/>
      <c r="B535" s="17"/>
      <c r="C535" s="17"/>
      <c r="D535" s="17"/>
      <c r="E535" s="17"/>
      <c r="F535" s="297"/>
      <c r="G535" s="17"/>
      <c r="H535" s="17"/>
      <c r="I535" s="17"/>
      <c r="J535" s="17"/>
      <c r="K535" s="17"/>
      <c r="L535" s="17"/>
      <c r="M535" s="17"/>
      <c r="N535" s="17"/>
      <c r="O535" s="17"/>
      <c r="P535" s="17"/>
      <c r="Q535" s="17"/>
      <c r="R535" s="17"/>
      <c r="S535" s="201"/>
      <c r="T535" s="201"/>
      <c r="U535" s="201"/>
      <c r="V535" s="201"/>
      <c r="W535" s="17"/>
      <c r="X535" s="17"/>
      <c r="Y535" s="17"/>
      <c r="Z535" s="17"/>
      <c r="AA535" s="17"/>
      <c r="AB535" s="17"/>
    </row>
    <row r="536">
      <c r="A536" s="17"/>
      <c r="B536" s="17"/>
      <c r="C536" s="17"/>
      <c r="D536" s="17"/>
      <c r="E536" s="17"/>
      <c r="F536" s="297"/>
      <c r="G536" s="17"/>
      <c r="H536" s="17"/>
      <c r="I536" s="17"/>
      <c r="J536" s="17"/>
      <c r="K536" s="17"/>
      <c r="L536" s="17"/>
      <c r="M536" s="17"/>
      <c r="N536" s="17"/>
      <c r="O536" s="17"/>
      <c r="P536" s="17"/>
      <c r="Q536" s="17"/>
      <c r="R536" s="17"/>
      <c r="S536" s="201"/>
      <c r="T536" s="201"/>
      <c r="U536" s="201"/>
      <c r="V536" s="201"/>
      <c r="W536" s="17"/>
      <c r="X536" s="17"/>
      <c r="Y536" s="17"/>
      <c r="Z536" s="17"/>
      <c r="AA536" s="17"/>
      <c r="AB536" s="17"/>
    </row>
    <row r="537">
      <c r="A537" s="17"/>
      <c r="B537" s="17"/>
      <c r="C537" s="17"/>
      <c r="D537" s="17"/>
      <c r="E537" s="17"/>
      <c r="F537" s="297"/>
      <c r="G537" s="17"/>
      <c r="H537" s="17"/>
      <c r="I537" s="17"/>
      <c r="J537" s="17"/>
      <c r="K537" s="17"/>
      <c r="L537" s="17"/>
      <c r="M537" s="17"/>
      <c r="N537" s="17"/>
      <c r="O537" s="17"/>
      <c r="P537" s="17"/>
      <c r="Q537" s="17"/>
      <c r="R537" s="17"/>
      <c r="S537" s="201"/>
      <c r="T537" s="201"/>
      <c r="U537" s="201"/>
      <c r="V537" s="201"/>
      <c r="W537" s="17"/>
      <c r="X537" s="17"/>
      <c r="Y537" s="17"/>
      <c r="Z537" s="17"/>
      <c r="AA537" s="17"/>
      <c r="AB537" s="17"/>
    </row>
    <row r="538">
      <c r="A538" s="17"/>
      <c r="B538" s="17"/>
      <c r="C538" s="17"/>
      <c r="D538" s="17"/>
      <c r="E538" s="17"/>
      <c r="F538" s="297"/>
      <c r="G538" s="17"/>
      <c r="H538" s="17"/>
      <c r="I538" s="17"/>
      <c r="J538" s="17"/>
      <c r="K538" s="17"/>
      <c r="L538" s="17"/>
      <c r="M538" s="17"/>
      <c r="N538" s="17"/>
      <c r="O538" s="17"/>
      <c r="P538" s="17"/>
      <c r="Q538" s="17"/>
      <c r="R538" s="17"/>
      <c r="S538" s="201"/>
      <c r="T538" s="201"/>
      <c r="U538" s="201"/>
      <c r="V538" s="201"/>
      <c r="W538" s="17"/>
      <c r="X538" s="17"/>
      <c r="Y538" s="17"/>
      <c r="Z538" s="17"/>
      <c r="AA538" s="17"/>
      <c r="AB538" s="17"/>
    </row>
    <row r="539">
      <c r="A539" s="17"/>
      <c r="B539" s="17"/>
      <c r="C539" s="17"/>
      <c r="D539" s="17"/>
      <c r="E539" s="17"/>
      <c r="F539" s="297"/>
      <c r="G539" s="17"/>
      <c r="H539" s="17"/>
      <c r="I539" s="17"/>
      <c r="J539" s="17"/>
      <c r="K539" s="17"/>
      <c r="L539" s="17"/>
      <c r="M539" s="17"/>
      <c r="N539" s="17"/>
      <c r="O539" s="17"/>
      <c r="P539" s="17"/>
      <c r="Q539" s="17"/>
      <c r="R539" s="17"/>
      <c r="S539" s="201"/>
      <c r="T539" s="201"/>
      <c r="U539" s="201"/>
      <c r="V539" s="201"/>
      <c r="W539" s="17"/>
      <c r="X539" s="17"/>
      <c r="Y539" s="17"/>
      <c r="Z539" s="17"/>
      <c r="AA539" s="17"/>
      <c r="AB539" s="17"/>
    </row>
    <row r="540">
      <c r="A540" s="17"/>
      <c r="B540" s="17"/>
      <c r="C540" s="17"/>
      <c r="D540" s="17"/>
      <c r="E540" s="17"/>
      <c r="F540" s="297"/>
      <c r="G540" s="17"/>
      <c r="H540" s="17"/>
      <c r="I540" s="17"/>
      <c r="J540" s="17"/>
      <c r="K540" s="17"/>
      <c r="L540" s="17"/>
      <c r="M540" s="17"/>
      <c r="N540" s="17"/>
      <c r="O540" s="17"/>
      <c r="P540" s="17"/>
      <c r="Q540" s="17"/>
      <c r="R540" s="17"/>
      <c r="S540" s="201"/>
      <c r="T540" s="201"/>
      <c r="U540" s="201"/>
      <c r="V540" s="201"/>
      <c r="W540" s="17"/>
      <c r="X540" s="17"/>
      <c r="Y540" s="17"/>
      <c r="Z540" s="17"/>
      <c r="AA540" s="17"/>
      <c r="AB540" s="17"/>
    </row>
    <row r="541">
      <c r="A541" s="17"/>
      <c r="B541" s="17"/>
      <c r="C541" s="17"/>
      <c r="D541" s="17"/>
      <c r="E541" s="17"/>
      <c r="F541" s="297"/>
      <c r="G541" s="17"/>
      <c r="H541" s="17"/>
      <c r="I541" s="17"/>
      <c r="J541" s="17"/>
      <c r="K541" s="17"/>
      <c r="L541" s="17"/>
      <c r="M541" s="17"/>
      <c r="N541" s="17"/>
      <c r="O541" s="17"/>
      <c r="P541" s="17"/>
      <c r="Q541" s="17"/>
      <c r="R541" s="17"/>
      <c r="S541" s="201"/>
      <c r="T541" s="201"/>
      <c r="U541" s="201"/>
      <c r="V541" s="201"/>
      <c r="W541" s="17"/>
      <c r="X541" s="17"/>
      <c r="Y541" s="17"/>
      <c r="Z541" s="17"/>
      <c r="AA541" s="17"/>
      <c r="AB541" s="17"/>
    </row>
    <row r="542">
      <c r="A542" s="17"/>
      <c r="B542" s="17"/>
      <c r="C542" s="17"/>
      <c r="D542" s="17"/>
      <c r="E542" s="17"/>
      <c r="F542" s="297"/>
      <c r="G542" s="17"/>
      <c r="H542" s="17"/>
      <c r="I542" s="17"/>
      <c r="J542" s="17"/>
      <c r="K542" s="17"/>
      <c r="L542" s="17"/>
      <c r="M542" s="17"/>
      <c r="N542" s="17"/>
      <c r="O542" s="17"/>
      <c r="P542" s="17"/>
      <c r="Q542" s="17"/>
      <c r="R542" s="17"/>
      <c r="S542" s="201"/>
      <c r="T542" s="201"/>
      <c r="U542" s="201"/>
      <c r="V542" s="201"/>
      <c r="W542" s="17"/>
      <c r="X542" s="17"/>
      <c r="Y542" s="17"/>
      <c r="Z542" s="17"/>
      <c r="AA542" s="17"/>
      <c r="AB542" s="17"/>
    </row>
    <row r="543">
      <c r="A543" s="17"/>
      <c r="B543" s="17"/>
      <c r="C543" s="17"/>
      <c r="D543" s="17"/>
      <c r="E543" s="17"/>
      <c r="F543" s="297"/>
      <c r="G543" s="17"/>
      <c r="H543" s="17"/>
      <c r="I543" s="17"/>
      <c r="J543" s="17"/>
      <c r="K543" s="17"/>
      <c r="L543" s="17"/>
      <c r="M543" s="17"/>
      <c r="N543" s="17"/>
      <c r="O543" s="17"/>
      <c r="P543" s="17"/>
      <c r="Q543" s="17"/>
      <c r="R543" s="17"/>
      <c r="S543" s="201"/>
      <c r="T543" s="201"/>
      <c r="U543" s="201"/>
      <c r="V543" s="201"/>
      <c r="W543" s="17"/>
      <c r="X543" s="17"/>
      <c r="Y543" s="17"/>
      <c r="Z543" s="17"/>
      <c r="AA543" s="17"/>
      <c r="AB543" s="17"/>
    </row>
    <row r="544">
      <c r="A544" s="17"/>
      <c r="B544" s="17"/>
      <c r="C544" s="17"/>
      <c r="D544" s="17"/>
      <c r="E544" s="17"/>
      <c r="F544" s="297"/>
      <c r="G544" s="17"/>
      <c r="H544" s="17"/>
      <c r="I544" s="17"/>
      <c r="J544" s="17"/>
      <c r="K544" s="17"/>
      <c r="L544" s="17"/>
      <c r="M544" s="17"/>
      <c r="N544" s="17"/>
      <c r="O544" s="17"/>
      <c r="P544" s="17"/>
      <c r="Q544" s="17"/>
      <c r="R544" s="17"/>
      <c r="S544" s="201"/>
      <c r="T544" s="201"/>
      <c r="U544" s="201"/>
      <c r="V544" s="201"/>
      <c r="W544" s="17"/>
      <c r="X544" s="17"/>
      <c r="Y544" s="17"/>
      <c r="Z544" s="17"/>
      <c r="AA544" s="17"/>
      <c r="AB544" s="17"/>
    </row>
    <row r="545">
      <c r="A545" s="17"/>
      <c r="B545" s="17"/>
      <c r="C545" s="17"/>
      <c r="D545" s="17"/>
      <c r="E545" s="17"/>
      <c r="F545" s="297"/>
      <c r="G545" s="17"/>
      <c r="H545" s="17"/>
      <c r="I545" s="17"/>
      <c r="J545" s="17"/>
      <c r="K545" s="17"/>
      <c r="L545" s="17"/>
      <c r="M545" s="17"/>
      <c r="N545" s="17"/>
      <c r="O545" s="17"/>
      <c r="P545" s="17"/>
      <c r="Q545" s="17"/>
      <c r="R545" s="17"/>
      <c r="S545" s="201"/>
      <c r="T545" s="201"/>
      <c r="U545" s="201"/>
      <c r="V545" s="201"/>
      <c r="W545" s="17"/>
      <c r="X545" s="17"/>
      <c r="Y545" s="17"/>
      <c r="Z545" s="17"/>
      <c r="AA545" s="17"/>
      <c r="AB545" s="17"/>
    </row>
    <row r="546">
      <c r="A546" s="17"/>
      <c r="B546" s="17"/>
      <c r="C546" s="17"/>
      <c r="D546" s="17"/>
      <c r="E546" s="17"/>
      <c r="F546" s="297"/>
      <c r="G546" s="17"/>
      <c r="H546" s="17"/>
      <c r="I546" s="17"/>
      <c r="J546" s="17"/>
      <c r="K546" s="17"/>
      <c r="L546" s="17"/>
      <c r="M546" s="17"/>
      <c r="N546" s="17"/>
      <c r="O546" s="17"/>
      <c r="P546" s="17"/>
      <c r="Q546" s="17"/>
      <c r="R546" s="17"/>
      <c r="S546" s="201"/>
      <c r="T546" s="201"/>
      <c r="U546" s="201"/>
      <c r="V546" s="201"/>
      <c r="W546" s="17"/>
      <c r="X546" s="17"/>
      <c r="Y546" s="17"/>
      <c r="Z546" s="17"/>
      <c r="AA546" s="17"/>
      <c r="AB546" s="17"/>
    </row>
    <row r="547">
      <c r="A547" s="17"/>
      <c r="B547" s="17"/>
      <c r="C547" s="17"/>
      <c r="D547" s="17"/>
      <c r="E547" s="17"/>
      <c r="F547" s="297"/>
      <c r="G547" s="17"/>
      <c r="H547" s="17"/>
      <c r="I547" s="17"/>
      <c r="J547" s="17"/>
      <c r="K547" s="17"/>
      <c r="L547" s="17"/>
      <c r="M547" s="17"/>
      <c r="N547" s="17"/>
      <c r="O547" s="17"/>
      <c r="P547" s="17"/>
      <c r="Q547" s="17"/>
      <c r="R547" s="17"/>
      <c r="S547" s="201"/>
      <c r="T547" s="201"/>
      <c r="U547" s="201"/>
      <c r="V547" s="201"/>
      <c r="W547" s="17"/>
      <c r="X547" s="17"/>
      <c r="Y547" s="17"/>
      <c r="Z547" s="17"/>
      <c r="AA547" s="17"/>
      <c r="AB547" s="17"/>
    </row>
    <row r="548">
      <c r="A548" s="17"/>
      <c r="B548" s="17"/>
      <c r="C548" s="17"/>
      <c r="D548" s="17"/>
      <c r="E548" s="17"/>
      <c r="F548" s="297"/>
      <c r="G548" s="17"/>
      <c r="H548" s="17"/>
      <c r="I548" s="17"/>
      <c r="J548" s="17"/>
      <c r="K548" s="17"/>
      <c r="L548" s="17"/>
      <c r="M548" s="17"/>
      <c r="N548" s="17"/>
      <c r="O548" s="17"/>
      <c r="P548" s="17"/>
      <c r="Q548" s="17"/>
      <c r="R548" s="17"/>
      <c r="S548" s="201"/>
      <c r="T548" s="201"/>
      <c r="U548" s="201"/>
      <c r="V548" s="201"/>
      <c r="W548" s="17"/>
      <c r="X548" s="17"/>
      <c r="Y548" s="17"/>
      <c r="Z548" s="17"/>
      <c r="AA548" s="17"/>
      <c r="AB548" s="17"/>
    </row>
    <row r="549">
      <c r="A549" s="17"/>
      <c r="B549" s="17"/>
      <c r="C549" s="17"/>
      <c r="D549" s="17"/>
      <c r="E549" s="17"/>
      <c r="F549" s="297"/>
      <c r="G549" s="17"/>
      <c r="H549" s="17"/>
      <c r="I549" s="17"/>
      <c r="J549" s="17"/>
      <c r="K549" s="17"/>
      <c r="L549" s="17"/>
      <c r="M549" s="17"/>
      <c r="N549" s="17"/>
      <c r="O549" s="17"/>
      <c r="P549" s="17"/>
      <c r="Q549" s="17"/>
      <c r="R549" s="17"/>
      <c r="S549" s="201"/>
      <c r="T549" s="201"/>
      <c r="U549" s="201"/>
      <c r="V549" s="201"/>
      <c r="W549" s="17"/>
      <c r="X549" s="17"/>
      <c r="Y549" s="17"/>
      <c r="Z549" s="17"/>
      <c r="AA549" s="17"/>
      <c r="AB549" s="17"/>
    </row>
    <row r="550">
      <c r="A550" s="17"/>
      <c r="B550" s="17"/>
      <c r="C550" s="17"/>
      <c r="D550" s="17"/>
      <c r="E550" s="17"/>
      <c r="F550" s="297"/>
      <c r="G550" s="17"/>
      <c r="H550" s="17"/>
      <c r="I550" s="17"/>
      <c r="J550" s="17"/>
      <c r="K550" s="17"/>
      <c r="L550" s="17"/>
      <c r="M550" s="17"/>
      <c r="N550" s="17"/>
      <c r="O550" s="17"/>
      <c r="P550" s="17"/>
      <c r="Q550" s="17"/>
      <c r="R550" s="17"/>
      <c r="S550" s="201"/>
      <c r="T550" s="201"/>
      <c r="U550" s="201"/>
      <c r="V550" s="201"/>
      <c r="W550" s="17"/>
      <c r="X550" s="17"/>
      <c r="Y550" s="17"/>
      <c r="Z550" s="17"/>
      <c r="AA550" s="17"/>
      <c r="AB550" s="17"/>
    </row>
    <row r="551">
      <c r="A551" s="17"/>
      <c r="B551" s="17"/>
      <c r="C551" s="17"/>
      <c r="D551" s="17"/>
      <c r="E551" s="17"/>
      <c r="F551" s="297"/>
      <c r="G551" s="17"/>
      <c r="H551" s="17"/>
      <c r="I551" s="17"/>
      <c r="J551" s="17"/>
      <c r="K551" s="17"/>
      <c r="L551" s="17"/>
      <c r="M551" s="17"/>
      <c r="N551" s="17"/>
      <c r="O551" s="17"/>
      <c r="P551" s="17"/>
      <c r="Q551" s="17"/>
      <c r="R551" s="17"/>
      <c r="S551" s="201"/>
      <c r="T551" s="201"/>
      <c r="U551" s="201"/>
      <c r="V551" s="201"/>
      <c r="W551" s="17"/>
      <c r="X551" s="17"/>
      <c r="Y551" s="17"/>
      <c r="Z551" s="17"/>
      <c r="AA551" s="17"/>
      <c r="AB551" s="17"/>
    </row>
    <row r="552">
      <c r="A552" s="17"/>
      <c r="B552" s="17"/>
      <c r="C552" s="17"/>
      <c r="D552" s="17"/>
      <c r="E552" s="17"/>
      <c r="F552" s="297"/>
      <c r="G552" s="17"/>
      <c r="H552" s="17"/>
      <c r="I552" s="17"/>
      <c r="J552" s="17"/>
      <c r="K552" s="17"/>
      <c r="L552" s="17"/>
      <c r="M552" s="17"/>
      <c r="N552" s="17"/>
      <c r="O552" s="17"/>
      <c r="P552" s="17"/>
      <c r="Q552" s="17"/>
      <c r="R552" s="17"/>
      <c r="S552" s="201"/>
      <c r="T552" s="201"/>
      <c r="U552" s="201"/>
      <c r="V552" s="201"/>
      <c r="W552" s="17"/>
      <c r="X552" s="17"/>
      <c r="Y552" s="17"/>
      <c r="Z552" s="17"/>
      <c r="AA552" s="17"/>
      <c r="AB552" s="17"/>
    </row>
    <row r="553">
      <c r="A553" s="17"/>
      <c r="B553" s="17"/>
      <c r="C553" s="17"/>
      <c r="D553" s="17"/>
      <c r="E553" s="17"/>
      <c r="F553" s="297"/>
      <c r="G553" s="17"/>
      <c r="H553" s="17"/>
      <c r="I553" s="17"/>
      <c r="J553" s="17"/>
      <c r="K553" s="17"/>
      <c r="L553" s="17"/>
      <c r="M553" s="17"/>
      <c r="N553" s="17"/>
      <c r="O553" s="17"/>
      <c r="P553" s="17"/>
      <c r="Q553" s="17"/>
      <c r="R553" s="17"/>
      <c r="S553" s="201"/>
      <c r="T553" s="201"/>
      <c r="U553" s="201"/>
      <c r="V553" s="201"/>
      <c r="W553" s="17"/>
      <c r="X553" s="17"/>
      <c r="Y553" s="17"/>
      <c r="Z553" s="17"/>
      <c r="AA553" s="17"/>
      <c r="AB553" s="17"/>
    </row>
    <row r="554">
      <c r="A554" s="17"/>
      <c r="B554" s="17"/>
      <c r="C554" s="17"/>
      <c r="D554" s="17"/>
      <c r="E554" s="17"/>
      <c r="F554" s="297"/>
      <c r="G554" s="17"/>
      <c r="H554" s="17"/>
      <c r="I554" s="17"/>
      <c r="J554" s="17"/>
      <c r="K554" s="17"/>
      <c r="L554" s="17"/>
      <c r="M554" s="17"/>
      <c r="N554" s="17"/>
      <c r="O554" s="17"/>
      <c r="P554" s="17"/>
      <c r="Q554" s="17"/>
      <c r="R554" s="17"/>
      <c r="S554" s="201"/>
      <c r="T554" s="201"/>
      <c r="U554" s="201"/>
      <c r="V554" s="201"/>
      <c r="W554" s="17"/>
      <c r="X554" s="17"/>
      <c r="Y554" s="17"/>
      <c r="Z554" s="17"/>
      <c r="AA554" s="17"/>
      <c r="AB554" s="17"/>
    </row>
    <row r="555">
      <c r="A555" s="17"/>
      <c r="B555" s="17"/>
      <c r="C555" s="17"/>
      <c r="D555" s="17"/>
      <c r="E555" s="17"/>
      <c r="F555" s="297"/>
      <c r="G555" s="17"/>
      <c r="H555" s="17"/>
      <c r="I555" s="17"/>
      <c r="J555" s="17"/>
      <c r="K555" s="17"/>
      <c r="L555" s="17"/>
      <c r="M555" s="17"/>
      <c r="N555" s="17"/>
      <c r="O555" s="17"/>
      <c r="P555" s="17"/>
      <c r="Q555" s="17"/>
      <c r="R555" s="17"/>
      <c r="S555" s="201"/>
      <c r="T555" s="201"/>
      <c r="U555" s="201"/>
      <c r="V555" s="201"/>
      <c r="W555" s="17"/>
      <c r="X555" s="17"/>
      <c r="Y555" s="17"/>
      <c r="Z555" s="17"/>
      <c r="AA555" s="17"/>
      <c r="AB555" s="17"/>
    </row>
    <row r="556">
      <c r="A556" s="17"/>
      <c r="B556" s="17"/>
      <c r="C556" s="17"/>
      <c r="D556" s="17"/>
      <c r="E556" s="17"/>
      <c r="F556" s="297"/>
      <c r="G556" s="17"/>
      <c r="H556" s="17"/>
      <c r="I556" s="17"/>
      <c r="J556" s="17"/>
      <c r="K556" s="17"/>
      <c r="L556" s="17"/>
      <c r="M556" s="17"/>
      <c r="N556" s="17"/>
      <c r="O556" s="17"/>
      <c r="P556" s="17"/>
      <c r="Q556" s="17"/>
      <c r="R556" s="17"/>
      <c r="S556" s="201"/>
      <c r="T556" s="201"/>
      <c r="U556" s="201"/>
      <c r="V556" s="201"/>
      <c r="W556" s="17"/>
      <c r="X556" s="17"/>
      <c r="Y556" s="17"/>
      <c r="Z556" s="17"/>
      <c r="AA556" s="17"/>
      <c r="AB556" s="17"/>
    </row>
    <row r="557">
      <c r="A557" s="17"/>
      <c r="B557" s="17"/>
      <c r="C557" s="17"/>
      <c r="D557" s="17"/>
      <c r="E557" s="17"/>
      <c r="F557" s="297"/>
      <c r="G557" s="17"/>
      <c r="H557" s="17"/>
      <c r="I557" s="17"/>
      <c r="J557" s="17"/>
      <c r="K557" s="17"/>
      <c r="L557" s="17"/>
      <c r="M557" s="17"/>
      <c r="N557" s="17"/>
      <c r="O557" s="17"/>
      <c r="P557" s="17"/>
      <c r="Q557" s="17"/>
      <c r="R557" s="17"/>
      <c r="S557" s="201"/>
      <c r="T557" s="201"/>
      <c r="U557" s="201"/>
      <c r="V557" s="201"/>
      <c r="W557" s="17"/>
      <c r="X557" s="17"/>
      <c r="Y557" s="17"/>
      <c r="Z557" s="17"/>
      <c r="AA557" s="17"/>
      <c r="AB557" s="17"/>
    </row>
    <row r="558">
      <c r="A558" s="17"/>
      <c r="B558" s="17"/>
      <c r="C558" s="17"/>
      <c r="D558" s="17"/>
      <c r="E558" s="17"/>
      <c r="F558" s="297"/>
      <c r="G558" s="17"/>
      <c r="H558" s="17"/>
      <c r="I558" s="17"/>
      <c r="J558" s="17"/>
      <c r="K558" s="17"/>
      <c r="L558" s="17"/>
      <c r="M558" s="17"/>
      <c r="N558" s="17"/>
      <c r="O558" s="17"/>
      <c r="P558" s="17"/>
      <c r="Q558" s="17"/>
      <c r="R558" s="17"/>
      <c r="S558" s="201"/>
      <c r="T558" s="201"/>
      <c r="U558" s="201"/>
      <c r="V558" s="201"/>
      <c r="W558" s="17"/>
      <c r="X558" s="17"/>
      <c r="Y558" s="17"/>
      <c r="Z558" s="17"/>
      <c r="AA558" s="17"/>
      <c r="AB558" s="17"/>
    </row>
    <row r="559">
      <c r="A559" s="17"/>
      <c r="B559" s="17"/>
      <c r="C559" s="17"/>
      <c r="D559" s="17"/>
      <c r="E559" s="17"/>
      <c r="F559" s="297"/>
      <c r="G559" s="17"/>
      <c r="H559" s="17"/>
      <c r="I559" s="17"/>
      <c r="J559" s="17"/>
      <c r="K559" s="17"/>
      <c r="L559" s="17"/>
      <c r="M559" s="17"/>
      <c r="N559" s="17"/>
      <c r="O559" s="17"/>
      <c r="P559" s="17"/>
      <c r="Q559" s="17"/>
      <c r="R559" s="17"/>
      <c r="S559" s="201"/>
      <c r="T559" s="201"/>
      <c r="U559" s="201"/>
      <c r="V559" s="201"/>
      <c r="W559" s="17"/>
      <c r="X559" s="17"/>
      <c r="Y559" s="17"/>
      <c r="Z559" s="17"/>
      <c r="AA559" s="17"/>
      <c r="AB559" s="17"/>
    </row>
    <row r="560">
      <c r="A560" s="17"/>
      <c r="B560" s="17"/>
      <c r="C560" s="17"/>
      <c r="D560" s="17"/>
      <c r="E560" s="17"/>
      <c r="F560" s="297"/>
      <c r="G560" s="17"/>
      <c r="H560" s="17"/>
      <c r="I560" s="17"/>
      <c r="J560" s="17"/>
      <c r="K560" s="17"/>
      <c r="L560" s="17"/>
      <c r="M560" s="17"/>
      <c r="N560" s="17"/>
      <c r="O560" s="17"/>
      <c r="P560" s="17"/>
      <c r="Q560" s="17"/>
      <c r="R560" s="17"/>
      <c r="S560" s="201"/>
      <c r="T560" s="201"/>
      <c r="U560" s="201"/>
      <c r="V560" s="201"/>
      <c r="W560" s="17"/>
      <c r="X560" s="17"/>
      <c r="Y560" s="17"/>
      <c r="Z560" s="17"/>
      <c r="AA560" s="17"/>
      <c r="AB560" s="17"/>
    </row>
    <row r="561">
      <c r="A561" s="17"/>
      <c r="B561" s="17"/>
      <c r="C561" s="17"/>
      <c r="D561" s="17"/>
      <c r="E561" s="17"/>
      <c r="F561" s="297"/>
      <c r="G561" s="17"/>
      <c r="H561" s="17"/>
      <c r="I561" s="17"/>
      <c r="J561" s="17"/>
      <c r="K561" s="17"/>
      <c r="L561" s="17"/>
      <c r="M561" s="17"/>
      <c r="N561" s="17"/>
      <c r="O561" s="17"/>
      <c r="P561" s="17"/>
      <c r="Q561" s="17"/>
      <c r="R561" s="17"/>
      <c r="S561" s="201"/>
      <c r="T561" s="201"/>
      <c r="U561" s="201"/>
      <c r="V561" s="201"/>
      <c r="W561" s="17"/>
      <c r="X561" s="17"/>
      <c r="Y561" s="17"/>
      <c r="Z561" s="17"/>
      <c r="AA561" s="17"/>
      <c r="AB561" s="17"/>
    </row>
    <row r="562">
      <c r="A562" s="17"/>
      <c r="B562" s="17"/>
      <c r="C562" s="17"/>
      <c r="D562" s="17"/>
      <c r="E562" s="17"/>
      <c r="F562" s="297"/>
      <c r="G562" s="17"/>
      <c r="H562" s="17"/>
      <c r="I562" s="17"/>
      <c r="J562" s="17"/>
      <c r="K562" s="17"/>
      <c r="L562" s="17"/>
      <c r="M562" s="17"/>
      <c r="N562" s="17"/>
      <c r="O562" s="17"/>
      <c r="P562" s="17"/>
      <c r="Q562" s="17"/>
      <c r="R562" s="17"/>
      <c r="S562" s="201"/>
      <c r="T562" s="201"/>
      <c r="U562" s="201"/>
      <c r="V562" s="201"/>
      <c r="W562" s="17"/>
      <c r="X562" s="17"/>
      <c r="Y562" s="17"/>
      <c r="Z562" s="17"/>
      <c r="AA562" s="17"/>
      <c r="AB562" s="17"/>
    </row>
    <row r="563">
      <c r="A563" s="17"/>
      <c r="B563" s="17"/>
      <c r="C563" s="17"/>
      <c r="D563" s="17"/>
      <c r="E563" s="17"/>
      <c r="F563" s="297"/>
      <c r="G563" s="17"/>
      <c r="H563" s="17"/>
      <c r="I563" s="17"/>
      <c r="J563" s="17"/>
      <c r="K563" s="17"/>
      <c r="L563" s="17"/>
      <c r="M563" s="17"/>
      <c r="N563" s="17"/>
      <c r="O563" s="17"/>
      <c r="P563" s="17"/>
      <c r="Q563" s="17"/>
      <c r="R563" s="17"/>
      <c r="S563" s="201"/>
      <c r="T563" s="201"/>
      <c r="U563" s="201"/>
      <c r="V563" s="201"/>
      <c r="W563" s="17"/>
      <c r="X563" s="17"/>
      <c r="Y563" s="17"/>
      <c r="Z563" s="17"/>
      <c r="AA563" s="17"/>
      <c r="AB563" s="17"/>
    </row>
    <row r="564">
      <c r="A564" s="17"/>
      <c r="B564" s="17"/>
      <c r="C564" s="17"/>
      <c r="D564" s="17"/>
      <c r="E564" s="17"/>
      <c r="F564" s="297"/>
      <c r="G564" s="17"/>
      <c r="H564" s="17"/>
      <c r="I564" s="17"/>
      <c r="J564" s="17"/>
      <c r="K564" s="17"/>
      <c r="L564" s="17"/>
      <c r="M564" s="17"/>
      <c r="N564" s="17"/>
      <c r="O564" s="17"/>
      <c r="P564" s="17"/>
      <c r="Q564" s="17"/>
      <c r="R564" s="17"/>
      <c r="S564" s="201"/>
      <c r="T564" s="201"/>
      <c r="U564" s="201"/>
      <c r="V564" s="201"/>
      <c r="W564" s="17"/>
      <c r="X564" s="17"/>
      <c r="Y564" s="17"/>
      <c r="Z564" s="17"/>
      <c r="AA564" s="17"/>
      <c r="AB564" s="17"/>
    </row>
    <row r="565">
      <c r="A565" s="17"/>
      <c r="B565" s="17"/>
      <c r="C565" s="17"/>
      <c r="D565" s="17"/>
      <c r="E565" s="17"/>
      <c r="F565" s="297"/>
      <c r="G565" s="17"/>
      <c r="H565" s="17"/>
      <c r="I565" s="17"/>
      <c r="J565" s="17"/>
      <c r="K565" s="17"/>
      <c r="L565" s="17"/>
      <c r="M565" s="17"/>
      <c r="N565" s="17"/>
      <c r="O565" s="17"/>
      <c r="P565" s="17"/>
      <c r="Q565" s="17"/>
      <c r="R565" s="17"/>
      <c r="S565" s="201"/>
      <c r="T565" s="201"/>
      <c r="U565" s="201"/>
      <c r="V565" s="201"/>
      <c r="W565" s="17"/>
      <c r="X565" s="17"/>
      <c r="Y565" s="17"/>
      <c r="Z565" s="17"/>
      <c r="AA565" s="17"/>
      <c r="AB565" s="17"/>
    </row>
    <row r="566">
      <c r="A566" s="17"/>
      <c r="B566" s="17"/>
      <c r="C566" s="17"/>
      <c r="D566" s="17"/>
      <c r="E566" s="17"/>
      <c r="F566" s="297"/>
      <c r="G566" s="17"/>
      <c r="H566" s="17"/>
      <c r="I566" s="17"/>
      <c r="J566" s="17"/>
      <c r="K566" s="17"/>
      <c r="L566" s="17"/>
      <c r="M566" s="17"/>
      <c r="N566" s="17"/>
      <c r="O566" s="17"/>
      <c r="P566" s="17"/>
      <c r="Q566" s="17"/>
      <c r="R566" s="17"/>
      <c r="S566" s="201"/>
      <c r="T566" s="201"/>
      <c r="U566" s="201"/>
      <c r="V566" s="201"/>
      <c r="W566" s="17"/>
      <c r="X566" s="17"/>
      <c r="Y566" s="17"/>
      <c r="Z566" s="17"/>
      <c r="AA566" s="17"/>
      <c r="AB566" s="17"/>
    </row>
    <row r="567">
      <c r="A567" s="17"/>
      <c r="B567" s="17"/>
      <c r="C567" s="17"/>
      <c r="D567" s="17"/>
      <c r="E567" s="17"/>
      <c r="F567" s="297"/>
      <c r="G567" s="17"/>
      <c r="H567" s="17"/>
      <c r="I567" s="17"/>
      <c r="J567" s="17"/>
      <c r="K567" s="17"/>
      <c r="L567" s="17"/>
      <c r="M567" s="17"/>
      <c r="N567" s="17"/>
      <c r="O567" s="17"/>
      <c r="P567" s="17"/>
      <c r="Q567" s="17"/>
      <c r="R567" s="17"/>
      <c r="S567" s="201"/>
      <c r="T567" s="201"/>
      <c r="U567" s="201"/>
      <c r="V567" s="201"/>
      <c r="W567" s="17"/>
      <c r="X567" s="17"/>
      <c r="Y567" s="17"/>
      <c r="Z567" s="17"/>
      <c r="AA567" s="17"/>
      <c r="AB567" s="17"/>
    </row>
    <row r="568">
      <c r="A568" s="17"/>
      <c r="B568" s="17"/>
      <c r="C568" s="17"/>
      <c r="D568" s="17"/>
      <c r="E568" s="17"/>
      <c r="F568" s="297"/>
      <c r="G568" s="17"/>
      <c r="H568" s="17"/>
      <c r="I568" s="17"/>
      <c r="J568" s="17"/>
      <c r="K568" s="17"/>
      <c r="L568" s="17"/>
      <c r="M568" s="17"/>
      <c r="N568" s="17"/>
      <c r="O568" s="17"/>
      <c r="P568" s="17"/>
      <c r="Q568" s="17"/>
      <c r="R568" s="17"/>
      <c r="S568" s="201"/>
      <c r="T568" s="201"/>
      <c r="U568" s="201"/>
      <c r="V568" s="201"/>
      <c r="W568" s="17"/>
      <c r="X568" s="17"/>
      <c r="Y568" s="17"/>
      <c r="Z568" s="17"/>
      <c r="AA568" s="17"/>
      <c r="AB568" s="17"/>
    </row>
    <row r="569">
      <c r="A569" s="17"/>
      <c r="B569" s="17"/>
      <c r="C569" s="17"/>
      <c r="D569" s="17"/>
      <c r="E569" s="17"/>
      <c r="F569" s="297"/>
      <c r="G569" s="17"/>
      <c r="H569" s="17"/>
      <c r="I569" s="17"/>
      <c r="J569" s="17"/>
      <c r="K569" s="17"/>
      <c r="L569" s="17"/>
      <c r="M569" s="17"/>
      <c r="N569" s="17"/>
      <c r="O569" s="17"/>
      <c r="P569" s="17"/>
      <c r="Q569" s="17"/>
      <c r="R569" s="17"/>
      <c r="S569" s="201"/>
      <c r="T569" s="201"/>
      <c r="U569" s="201"/>
      <c r="V569" s="201"/>
      <c r="W569" s="17"/>
      <c r="X569" s="17"/>
      <c r="Y569" s="17"/>
      <c r="Z569" s="17"/>
      <c r="AA569" s="17"/>
      <c r="AB569" s="17"/>
    </row>
    <row r="570">
      <c r="A570" s="17"/>
      <c r="B570" s="17"/>
      <c r="C570" s="17"/>
      <c r="D570" s="17"/>
      <c r="E570" s="17"/>
      <c r="F570" s="297"/>
      <c r="G570" s="17"/>
      <c r="H570" s="17"/>
      <c r="I570" s="17"/>
      <c r="J570" s="17"/>
      <c r="K570" s="17"/>
      <c r="L570" s="17"/>
      <c r="M570" s="17"/>
      <c r="N570" s="17"/>
      <c r="O570" s="17"/>
      <c r="P570" s="17"/>
      <c r="Q570" s="17"/>
      <c r="R570" s="17"/>
      <c r="S570" s="201"/>
      <c r="T570" s="201"/>
      <c r="U570" s="201"/>
      <c r="V570" s="201"/>
      <c r="W570" s="17"/>
      <c r="X570" s="17"/>
      <c r="Y570" s="17"/>
      <c r="Z570" s="17"/>
      <c r="AA570" s="17"/>
      <c r="AB570" s="17"/>
    </row>
    <row r="571">
      <c r="A571" s="17"/>
      <c r="B571" s="17"/>
      <c r="C571" s="17"/>
      <c r="D571" s="17"/>
      <c r="E571" s="17"/>
      <c r="F571" s="297"/>
      <c r="G571" s="17"/>
      <c r="H571" s="17"/>
      <c r="I571" s="17"/>
      <c r="J571" s="17"/>
      <c r="K571" s="17"/>
      <c r="L571" s="17"/>
      <c r="M571" s="17"/>
      <c r="N571" s="17"/>
      <c r="O571" s="17"/>
      <c r="P571" s="17"/>
      <c r="Q571" s="17"/>
      <c r="R571" s="17"/>
      <c r="S571" s="201"/>
      <c r="T571" s="201"/>
      <c r="U571" s="201"/>
      <c r="V571" s="201"/>
      <c r="W571" s="17"/>
      <c r="X571" s="17"/>
      <c r="Y571" s="17"/>
      <c r="Z571" s="17"/>
      <c r="AA571" s="17"/>
      <c r="AB571" s="17"/>
    </row>
    <row r="572">
      <c r="A572" s="17"/>
      <c r="B572" s="17"/>
      <c r="C572" s="17"/>
      <c r="D572" s="17"/>
      <c r="E572" s="17"/>
      <c r="F572" s="297"/>
      <c r="G572" s="17"/>
      <c r="H572" s="17"/>
      <c r="I572" s="17"/>
      <c r="J572" s="17"/>
      <c r="K572" s="17"/>
      <c r="L572" s="17"/>
      <c r="M572" s="17"/>
      <c r="N572" s="17"/>
      <c r="O572" s="17"/>
      <c r="P572" s="17"/>
      <c r="Q572" s="17"/>
      <c r="R572" s="17"/>
      <c r="S572" s="201"/>
      <c r="T572" s="201"/>
      <c r="U572" s="201"/>
      <c r="V572" s="201"/>
      <c r="W572" s="17"/>
      <c r="X572" s="17"/>
      <c r="Y572" s="17"/>
      <c r="Z572" s="17"/>
      <c r="AA572" s="17"/>
      <c r="AB572" s="17"/>
    </row>
    <row r="573">
      <c r="A573" s="17"/>
      <c r="B573" s="17"/>
      <c r="C573" s="17"/>
      <c r="D573" s="17"/>
      <c r="E573" s="17"/>
      <c r="F573" s="297"/>
      <c r="G573" s="17"/>
      <c r="H573" s="17"/>
      <c r="I573" s="17"/>
      <c r="J573" s="17"/>
      <c r="K573" s="17"/>
      <c r="L573" s="17"/>
      <c r="M573" s="17"/>
      <c r="N573" s="17"/>
      <c r="O573" s="17"/>
      <c r="P573" s="17"/>
      <c r="Q573" s="17"/>
      <c r="R573" s="17"/>
      <c r="S573" s="201"/>
      <c r="T573" s="201"/>
      <c r="U573" s="201"/>
      <c r="V573" s="201"/>
      <c r="W573" s="17"/>
      <c r="X573" s="17"/>
      <c r="Y573" s="17"/>
      <c r="Z573" s="17"/>
      <c r="AA573" s="17"/>
      <c r="AB573" s="17"/>
    </row>
    <row r="574">
      <c r="A574" s="17"/>
      <c r="B574" s="17"/>
      <c r="C574" s="17"/>
      <c r="D574" s="17"/>
      <c r="E574" s="17"/>
      <c r="F574" s="297"/>
      <c r="G574" s="17"/>
      <c r="H574" s="17"/>
      <c r="I574" s="17"/>
      <c r="J574" s="17"/>
      <c r="K574" s="17"/>
      <c r="L574" s="17"/>
      <c r="M574" s="17"/>
      <c r="N574" s="17"/>
      <c r="O574" s="17"/>
      <c r="P574" s="17"/>
      <c r="Q574" s="17"/>
      <c r="R574" s="17"/>
      <c r="S574" s="201"/>
      <c r="T574" s="201"/>
      <c r="U574" s="201"/>
      <c r="V574" s="201"/>
      <c r="W574" s="17"/>
      <c r="X574" s="17"/>
      <c r="Y574" s="17"/>
      <c r="Z574" s="17"/>
      <c r="AA574" s="17"/>
      <c r="AB574" s="17"/>
    </row>
    <row r="575">
      <c r="A575" s="17"/>
      <c r="B575" s="17"/>
      <c r="C575" s="17"/>
      <c r="D575" s="17"/>
      <c r="E575" s="17"/>
      <c r="F575" s="297"/>
      <c r="G575" s="17"/>
      <c r="H575" s="17"/>
      <c r="I575" s="17"/>
      <c r="J575" s="17"/>
      <c r="K575" s="17"/>
      <c r="L575" s="17"/>
      <c r="M575" s="17"/>
      <c r="N575" s="17"/>
      <c r="O575" s="17"/>
      <c r="P575" s="17"/>
      <c r="Q575" s="17"/>
      <c r="R575" s="17"/>
      <c r="S575" s="201"/>
      <c r="T575" s="201"/>
      <c r="U575" s="201"/>
      <c r="V575" s="201"/>
      <c r="W575" s="17"/>
      <c r="X575" s="17"/>
      <c r="Y575" s="17"/>
      <c r="Z575" s="17"/>
      <c r="AA575" s="17"/>
      <c r="AB575" s="17"/>
    </row>
    <row r="576">
      <c r="A576" s="17"/>
      <c r="B576" s="17"/>
      <c r="C576" s="17"/>
      <c r="D576" s="17"/>
      <c r="E576" s="17"/>
      <c r="F576" s="297"/>
      <c r="G576" s="17"/>
      <c r="H576" s="17"/>
      <c r="I576" s="17"/>
      <c r="J576" s="17"/>
      <c r="K576" s="17"/>
      <c r="L576" s="17"/>
      <c r="M576" s="17"/>
      <c r="N576" s="17"/>
      <c r="O576" s="17"/>
      <c r="P576" s="17"/>
      <c r="Q576" s="17"/>
      <c r="R576" s="17"/>
      <c r="S576" s="201"/>
      <c r="T576" s="201"/>
      <c r="U576" s="201"/>
      <c r="V576" s="201"/>
      <c r="W576" s="17"/>
      <c r="X576" s="17"/>
      <c r="Y576" s="17"/>
      <c r="Z576" s="17"/>
      <c r="AA576" s="17"/>
      <c r="AB576" s="17"/>
    </row>
    <row r="577">
      <c r="A577" s="17"/>
      <c r="B577" s="17"/>
      <c r="C577" s="17"/>
      <c r="D577" s="17"/>
      <c r="E577" s="17"/>
      <c r="F577" s="297"/>
      <c r="G577" s="17"/>
      <c r="H577" s="17"/>
      <c r="I577" s="17"/>
      <c r="J577" s="17"/>
      <c r="K577" s="17"/>
      <c r="L577" s="17"/>
      <c r="M577" s="17"/>
      <c r="N577" s="17"/>
      <c r="O577" s="17"/>
      <c r="P577" s="17"/>
      <c r="Q577" s="17"/>
      <c r="R577" s="17"/>
      <c r="S577" s="201"/>
      <c r="T577" s="201"/>
      <c r="U577" s="201"/>
      <c r="V577" s="201"/>
      <c r="W577" s="17"/>
      <c r="X577" s="17"/>
      <c r="Y577" s="17"/>
      <c r="Z577" s="17"/>
      <c r="AA577" s="17"/>
      <c r="AB577" s="17"/>
    </row>
    <row r="578">
      <c r="A578" s="17"/>
      <c r="B578" s="17"/>
      <c r="C578" s="17"/>
      <c r="D578" s="17"/>
      <c r="E578" s="17"/>
      <c r="F578" s="297"/>
      <c r="G578" s="17"/>
      <c r="H578" s="17"/>
      <c r="I578" s="17"/>
      <c r="J578" s="17"/>
      <c r="K578" s="17"/>
      <c r="L578" s="17"/>
      <c r="M578" s="17"/>
      <c r="N578" s="17"/>
      <c r="O578" s="17"/>
      <c r="P578" s="17"/>
      <c r="Q578" s="17"/>
      <c r="R578" s="17"/>
      <c r="S578" s="201"/>
      <c r="T578" s="201"/>
      <c r="U578" s="201"/>
      <c r="V578" s="201"/>
      <c r="W578" s="17"/>
      <c r="X578" s="17"/>
      <c r="Y578" s="17"/>
      <c r="Z578" s="17"/>
      <c r="AA578" s="17"/>
      <c r="AB578" s="17"/>
    </row>
    <row r="579">
      <c r="A579" s="17"/>
      <c r="B579" s="17"/>
      <c r="C579" s="17"/>
      <c r="D579" s="17"/>
      <c r="E579" s="17"/>
      <c r="F579" s="297"/>
      <c r="G579" s="17"/>
      <c r="H579" s="17"/>
      <c r="I579" s="17"/>
      <c r="J579" s="17"/>
      <c r="K579" s="17"/>
      <c r="L579" s="17"/>
      <c r="M579" s="17"/>
      <c r="N579" s="17"/>
      <c r="O579" s="17"/>
      <c r="P579" s="17"/>
      <c r="Q579" s="17"/>
      <c r="R579" s="17"/>
      <c r="S579" s="201"/>
      <c r="T579" s="201"/>
      <c r="U579" s="201"/>
      <c r="V579" s="201"/>
      <c r="W579" s="17"/>
      <c r="X579" s="17"/>
      <c r="Y579" s="17"/>
      <c r="Z579" s="17"/>
      <c r="AA579" s="17"/>
      <c r="AB579" s="17"/>
    </row>
    <row r="580">
      <c r="A580" s="17"/>
      <c r="B580" s="17"/>
      <c r="C580" s="17"/>
      <c r="D580" s="17"/>
      <c r="E580" s="17"/>
      <c r="F580" s="297"/>
      <c r="G580" s="17"/>
      <c r="H580" s="17"/>
      <c r="I580" s="17"/>
      <c r="J580" s="17"/>
      <c r="K580" s="17"/>
      <c r="L580" s="17"/>
      <c r="M580" s="17"/>
      <c r="N580" s="17"/>
      <c r="O580" s="17"/>
      <c r="P580" s="17"/>
      <c r="Q580" s="17"/>
      <c r="R580" s="17"/>
      <c r="S580" s="201"/>
      <c r="T580" s="201"/>
      <c r="U580" s="201"/>
      <c r="V580" s="201"/>
      <c r="W580" s="17"/>
      <c r="X580" s="17"/>
      <c r="Y580" s="17"/>
      <c r="Z580" s="17"/>
      <c r="AA580" s="17"/>
      <c r="AB580" s="17"/>
    </row>
    <row r="581">
      <c r="A581" s="17"/>
      <c r="B581" s="17"/>
      <c r="C581" s="17"/>
      <c r="D581" s="17"/>
      <c r="E581" s="17"/>
      <c r="F581" s="297"/>
      <c r="G581" s="17"/>
      <c r="H581" s="17"/>
      <c r="I581" s="17"/>
      <c r="J581" s="17"/>
      <c r="K581" s="17"/>
      <c r="L581" s="17"/>
      <c r="M581" s="17"/>
      <c r="N581" s="17"/>
      <c r="O581" s="17"/>
      <c r="P581" s="17"/>
      <c r="Q581" s="17"/>
      <c r="R581" s="17"/>
      <c r="S581" s="201"/>
      <c r="T581" s="201"/>
      <c r="U581" s="201"/>
      <c r="V581" s="201"/>
      <c r="W581" s="17"/>
      <c r="X581" s="17"/>
      <c r="Y581" s="17"/>
      <c r="Z581" s="17"/>
      <c r="AA581" s="17"/>
      <c r="AB581" s="17"/>
    </row>
    <row r="582">
      <c r="A582" s="17"/>
      <c r="B582" s="17"/>
      <c r="C582" s="17"/>
      <c r="D582" s="17"/>
      <c r="E582" s="17"/>
      <c r="F582" s="297"/>
      <c r="G582" s="17"/>
      <c r="H582" s="17"/>
      <c r="I582" s="17"/>
      <c r="J582" s="17"/>
      <c r="K582" s="17"/>
      <c r="L582" s="17"/>
      <c r="M582" s="17"/>
      <c r="N582" s="17"/>
      <c r="O582" s="17"/>
      <c r="P582" s="17"/>
      <c r="Q582" s="17"/>
      <c r="R582" s="17"/>
      <c r="S582" s="201"/>
      <c r="T582" s="201"/>
      <c r="U582" s="201"/>
      <c r="V582" s="201"/>
      <c r="W582" s="17"/>
      <c r="X582" s="17"/>
      <c r="Y582" s="17"/>
      <c r="Z582" s="17"/>
      <c r="AA582" s="17"/>
      <c r="AB582" s="17"/>
    </row>
    <row r="583">
      <c r="A583" s="17"/>
      <c r="B583" s="17"/>
      <c r="C583" s="17"/>
      <c r="D583" s="17"/>
      <c r="E583" s="17"/>
      <c r="F583" s="297"/>
      <c r="G583" s="17"/>
      <c r="H583" s="17"/>
      <c r="I583" s="17"/>
      <c r="J583" s="17"/>
      <c r="K583" s="17"/>
      <c r="L583" s="17"/>
      <c r="M583" s="17"/>
      <c r="N583" s="17"/>
      <c r="O583" s="17"/>
      <c r="P583" s="17"/>
      <c r="Q583" s="17"/>
      <c r="R583" s="17"/>
      <c r="S583" s="201"/>
      <c r="T583" s="201"/>
      <c r="U583" s="201"/>
      <c r="V583" s="201"/>
      <c r="W583" s="17"/>
      <c r="X583" s="17"/>
      <c r="Y583" s="17"/>
      <c r="Z583" s="17"/>
      <c r="AA583" s="17"/>
      <c r="AB583" s="17"/>
    </row>
    <row r="584">
      <c r="A584" s="17"/>
      <c r="B584" s="17"/>
      <c r="C584" s="17"/>
      <c r="D584" s="17"/>
      <c r="E584" s="17"/>
      <c r="F584" s="297"/>
      <c r="G584" s="17"/>
      <c r="H584" s="17"/>
      <c r="I584" s="17"/>
      <c r="J584" s="17"/>
      <c r="K584" s="17"/>
      <c r="L584" s="17"/>
      <c r="M584" s="17"/>
      <c r="N584" s="17"/>
      <c r="O584" s="17"/>
      <c r="P584" s="17"/>
      <c r="Q584" s="17"/>
      <c r="R584" s="17"/>
      <c r="S584" s="201"/>
      <c r="T584" s="201"/>
      <c r="U584" s="201"/>
      <c r="V584" s="201"/>
      <c r="W584" s="17"/>
      <c r="X584" s="17"/>
      <c r="Y584" s="17"/>
      <c r="Z584" s="17"/>
      <c r="AA584" s="17"/>
      <c r="AB584" s="17"/>
    </row>
    <row r="585">
      <c r="A585" s="17"/>
      <c r="B585" s="17"/>
      <c r="C585" s="17"/>
      <c r="D585" s="17"/>
      <c r="E585" s="17"/>
      <c r="F585" s="297"/>
      <c r="G585" s="17"/>
      <c r="H585" s="17"/>
      <c r="I585" s="17"/>
      <c r="J585" s="17"/>
      <c r="K585" s="17"/>
      <c r="L585" s="17"/>
      <c r="M585" s="17"/>
      <c r="N585" s="17"/>
      <c r="O585" s="17"/>
      <c r="P585" s="17"/>
      <c r="Q585" s="17"/>
      <c r="R585" s="17"/>
      <c r="S585" s="201"/>
      <c r="T585" s="201"/>
      <c r="U585" s="201"/>
      <c r="V585" s="201"/>
      <c r="W585" s="17"/>
      <c r="X585" s="17"/>
      <c r="Y585" s="17"/>
      <c r="Z585" s="17"/>
      <c r="AA585" s="17"/>
      <c r="AB585" s="17"/>
    </row>
    <row r="586">
      <c r="A586" s="17"/>
      <c r="B586" s="17"/>
      <c r="C586" s="17"/>
      <c r="D586" s="17"/>
      <c r="E586" s="17"/>
      <c r="F586" s="297"/>
      <c r="G586" s="17"/>
      <c r="H586" s="17"/>
      <c r="I586" s="17"/>
      <c r="J586" s="17"/>
      <c r="K586" s="17"/>
      <c r="L586" s="17"/>
      <c r="M586" s="17"/>
      <c r="N586" s="17"/>
      <c r="O586" s="17"/>
      <c r="P586" s="17"/>
      <c r="Q586" s="17"/>
      <c r="R586" s="17"/>
      <c r="S586" s="201"/>
      <c r="T586" s="201"/>
      <c r="U586" s="201"/>
      <c r="V586" s="201"/>
      <c r="W586" s="17"/>
      <c r="X586" s="17"/>
      <c r="Y586" s="17"/>
      <c r="Z586" s="17"/>
      <c r="AA586" s="17"/>
      <c r="AB586" s="17"/>
    </row>
    <row r="587">
      <c r="A587" s="17"/>
      <c r="B587" s="17"/>
      <c r="C587" s="17"/>
      <c r="D587" s="17"/>
      <c r="E587" s="17"/>
      <c r="F587" s="297"/>
      <c r="G587" s="17"/>
      <c r="H587" s="17"/>
      <c r="I587" s="17"/>
      <c r="J587" s="17"/>
      <c r="K587" s="17"/>
      <c r="L587" s="17"/>
      <c r="M587" s="17"/>
      <c r="N587" s="17"/>
      <c r="O587" s="17"/>
      <c r="P587" s="17"/>
      <c r="Q587" s="17"/>
      <c r="R587" s="17"/>
      <c r="S587" s="201"/>
      <c r="T587" s="201"/>
      <c r="U587" s="201"/>
      <c r="V587" s="201"/>
      <c r="W587" s="17"/>
      <c r="X587" s="17"/>
      <c r="Y587" s="17"/>
      <c r="Z587" s="17"/>
      <c r="AA587" s="17"/>
      <c r="AB587" s="17"/>
    </row>
    <row r="588">
      <c r="A588" s="17"/>
      <c r="B588" s="17"/>
      <c r="C588" s="17"/>
      <c r="D588" s="17"/>
      <c r="E588" s="17"/>
      <c r="F588" s="297"/>
      <c r="G588" s="17"/>
      <c r="H588" s="17"/>
      <c r="I588" s="17"/>
      <c r="J588" s="17"/>
      <c r="K588" s="17"/>
      <c r="L588" s="17"/>
      <c r="M588" s="17"/>
      <c r="N588" s="17"/>
      <c r="O588" s="17"/>
      <c r="P588" s="17"/>
      <c r="Q588" s="17"/>
      <c r="R588" s="17"/>
      <c r="S588" s="201"/>
      <c r="T588" s="201"/>
      <c r="U588" s="201"/>
      <c r="V588" s="201"/>
      <c r="W588" s="17"/>
      <c r="X588" s="17"/>
      <c r="Y588" s="17"/>
      <c r="Z588" s="17"/>
      <c r="AA588" s="17"/>
      <c r="AB588" s="17"/>
    </row>
    <row r="589">
      <c r="A589" s="17"/>
      <c r="B589" s="17"/>
      <c r="C589" s="17"/>
      <c r="D589" s="17"/>
      <c r="E589" s="17"/>
      <c r="F589" s="297"/>
      <c r="G589" s="17"/>
      <c r="H589" s="17"/>
      <c r="I589" s="17"/>
      <c r="J589" s="17"/>
      <c r="K589" s="17"/>
      <c r="L589" s="17"/>
      <c r="M589" s="17"/>
      <c r="N589" s="17"/>
      <c r="O589" s="17"/>
      <c r="P589" s="17"/>
      <c r="Q589" s="17"/>
      <c r="R589" s="17"/>
      <c r="S589" s="201"/>
      <c r="T589" s="201"/>
      <c r="U589" s="201"/>
      <c r="V589" s="201"/>
      <c r="W589" s="17"/>
      <c r="X589" s="17"/>
      <c r="Y589" s="17"/>
      <c r="Z589" s="17"/>
      <c r="AA589" s="17"/>
      <c r="AB589" s="17"/>
    </row>
    <row r="590">
      <c r="A590" s="17"/>
      <c r="B590" s="17"/>
      <c r="C590" s="17"/>
      <c r="D590" s="17"/>
      <c r="E590" s="17"/>
      <c r="F590" s="297"/>
      <c r="G590" s="17"/>
      <c r="H590" s="17"/>
      <c r="I590" s="17"/>
      <c r="J590" s="17"/>
      <c r="K590" s="17"/>
      <c r="L590" s="17"/>
      <c r="M590" s="17"/>
      <c r="N590" s="17"/>
      <c r="O590" s="17"/>
      <c r="P590" s="17"/>
      <c r="Q590" s="17"/>
      <c r="R590" s="17"/>
      <c r="S590" s="201"/>
      <c r="T590" s="201"/>
      <c r="U590" s="201"/>
      <c r="V590" s="201"/>
      <c r="W590" s="17"/>
      <c r="X590" s="17"/>
      <c r="Y590" s="17"/>
      <c r="Z590" s="17"/>
      <c r="AA590" s="17"/>
      <c r="AB590" s="17"/>
    </row>
    <row r="591">
      <c r="A591" s="17"/>
      <c r="B591" s="17"/>
      <c r="C591" s="17"/>
      <c r="D591" s="17"/>
      <c r="E591" s="17"/>
      <c r="F591" s="297"/>
      <c r="G591" s="17"/>
      <c r="H591" s="17"/>
      <c r="I591" s="17"/>
      <c r="J591" s="17"/>
      <c r="K591" s="17"/>
      <c r="L591" s="17"/>
      <c r="M591" s="17"/>
      <c r="N591" s="17"/>
      <c r="O591" s="17"/>
      <c r="P591" s="17"/>
      <c r="Q591" s="17"/>
      <c r="R591" s="17"/>
      <c r="S591" s="201"/>
      <c r="T591" s="201"/>
      <c r="U591" s="201"/>
      <c r="V591" s="201"/>
      <c r="W591" s="17"/>
      <c r="X591" s="17"/>
      <c r="Y591" s="17"/>
      <c r="Z591" s="17"/>
      <c r="AA591" s="17"/>
      <c r="AB591" s="17"/>
    </row>
    <row r="592">
      <c r="A592" s="17"/>
      <c r="B592" s="17"/>
      <c r="C592" s="17"/>
      <c r="D592" s="17"/>
      <c r="E592" s="17"/>
      <c r="F592" s="297"/>
      <c r="G592" s="17"/>
      <c r="H592" s="17"/>
      <c r="I592" s="17"/>
      <c r="J592" s="17"/>
      <c r="K592" s="17"/>
      <c r="L592" s="17"/>
      <c r="M592" s="17"/>
      <c r="N592" s="17"/>
      <c r="O592" s="17"/>
      <c r="P592" s="17"/>
      <c r="Q592" s="17"/>
      <c r="R592" s="17"/>
      <c r="S592" s="201"/>
      <c r="T592" s="201"/>
      <c r="U592" s="201"/>
      <c r="V592" s="201"/>
      <c r="W592" s="17"/>
      <c r="X592" s="17"/>
      <c r="Y592" s="17"/>
      <c r="Z592" s="17"/>
      <c r="AA592" s="17"/>
      <c r="AB592" s="17"/>
    </row>
    <row r="593">
      <c r="A593" s="17"/>
      <c r="B593" s="17"/>
      <c r="C593" s="17"/>
      <c r="D593" s="17"/>
      <c r="E593" s="17"/>
      <c r="F593" s="297"/>
      <c r="G593" s="17"/>
      <c r="H593" s="17"/>
      <c r="I593" s="17"/>
      <c r="J593" s="17"/>
      <c r="K593" s="17"/>
      <c r="L593" s="17"/>
      <c r="M593" s="17"/>
      <c r="N593" s="17"/>
      <c r="O593" s="17"/>
      <c r="P593" s="17"/>
      <c r="Q593" s="17"/>
      <c r="R593" s="17"/>
      <c r="S593" s="201"/>
      <c r="T593" s="201"/>
      <c r="U593" s="201"/>
      <c r="V593" s="201"/>
      <c r="W593" s="17"/>
      <c r="X593" s="17"/>
      <c r="Y593" s="17"/>
      <c r="Z593" s="17"/>
      <c r="AA593" s="17"/>
      <c r="AB593" s="17"/>
    </row>
    <row r="594">
      <c r="A594" s="17"/>
      <c r="B594" s="17"/>
      <c r="C594" s="17"/>
      <c r="D594" s="17"/>
      <c r="E594" s="17"/>
      <c r="F594" s="297"/>
      <c r="G594" s="17"/>
      <c r="H594" s="17"/>
      <c r="I594" s="17"/>
      <c r="J594" s="17"/>
      <c r="K594" s="17"/>
      <c r="L594" s="17"/>
      <c r="M594" s="17"/>
      <c r="N594" s="17"/>
      <c r="O594" s="17"/>
      <c r="P594" s="17"/>
      <c r="Q594" s="17"/>
      <c r="R594" s="17"/>
      <c r="S594" s="201"/>
      <c r="T594" s="201"/>
      <c r="U594" s="201"/>
      <c r="V594" s="201"/>
      <c r="W594" s="17"/>
      <c r="X594" s="17"/>
      <c r="Y594" s="17"/>
      <c r="Z594" s="17"/>
      <c r="AA594" s="17"/>
      <c r="AB594" s="17"/>
    </row>
    <row r="595">
      <c r="A595" s="17"/>
      <c r="B595" s="17"/>
      <c r="C595" s="17"/>
      <c r="D595" s="17"/>
      <c r="E595" s="17"/>
      <c r="F595" s="297"/>
      <c r="G595" s="17"/>
      <c r="H595" s="17"/>
      <c r="I595" s="17"/>
      <c r="J595" s="17"/>
      <c r="K595" s="17"/>
      <c r="L595" s="17"/>
      <c r="M595" s="17"/>
      <c r="N595" s="17"/>
      <c r="O595" s="17"/>
      <c r="P595" s="17"/>
      <c r="Q595" s="17"/>
      <c r="R595" s="17"/>
      <c r="S595" s="201"/>
      <c r="T595" s="201"/>
      <c r="U595" s="201"/>
      <c r="V595" s="201"/>
      <c r="W595" s="17"/>
      <c r="X595" s="17"/>
      <c r="Y595" s="17"/>
      <c r="Z595" s="17"/>
      <c r="AA595" s="17"/>
      <c r="AB595" s="17"/>
    </row>
    <row r="596">
      <c r="A596" s="17"/>
      <c r="B596" s="17"/>
      <c r="C596" s="17"/>
      <c r="D596" s="17"/>
      <c r="E596" s="17"/>
      <c r="F596" s="297"/>
      <c r="G596" s="17"/>
      <c r="H596" s="17"/>
      <c r="I596" s="17"/>
      <c r="J596" s="17"/>
      <c r="K596" s="17"/>
      <c r="L596" s="17"/>
      <c r="M596" s="17"/>
      <c r="N596" s="17"/>
      <c r="O596" s="17"/>
      <c r="P596" s="17"/>
      <c r="Q596" s="17"/>
      <c r="R596" s="17"/>
      <c r="S596" s="201"/>
      <c r="T596" s="201"/>
      <c r="U596" s="201"/>
      <c r="V596" s="201"/>
      <c r="W596" s="17"/>
      <c r="X596" s="17"/>
      <c r="Y596" s="17"/>
      <c r="Z596" s="17"/>
      <c r="AA596" s="17"/>
      <c r="AB596" s="17"/>
    </row>
    <row r="597">
      <c r="A597" s="17"/>
      <c r="B597" s="17"/>
      <c r="C597" s="17"/>
      <c r="D597" s="17"/>
      <c r="E597" s="17"/>
      <c r="F597" s="297"/>
      <c r="G597" s="17"/>
      <c r="H597" s="17"/>
      <c r="I597" s="17"/>
      <c r="J597" s="17"/>
      <c r="K597" s="17"/>
      <c r="L597" s="17"/>
      <c r="M597" s="17"/>
      <c r="N597" s="17"/>
      <c r="O597" s="17"/>
      <c r="P597" s="17"/>
      <c r="Q597" s="17"/>
      <c r="R597" s="17"/>
      <c r="S597" s="201"/>
      <c r="T597" s="201"/>
      <c r="U597" s="201"/>
      <c r="V597" s="201"/>
      <c r="W597" s="17"/>
      <c r="X597" s="17"/>
      <c r="Y597" s="17"/>
      <c r="Z597" s="17"/>
      <c r="AA597" s="17"/>
      <c r="AB597" s="17"/>
    </row>
    <row r="598">
      <c r="A598" s="17"/>
      <c r="B598" s="17"/>
      <c r="C598" s="17"/>
      <c r="D598" s="17"/>
      <c r="E598" s="17"/>
      <c r="F598" s="297"/>
      <c r="G598" s="17"/>
      <c r="H598" s="17"/>
      <c r="I598" s="17"/>
      <c r="J598" s="17"/>
      <c r="K598" s="17"/>
      <c r="L598" s="17"/>
      <c r="M598" s="17"/>
      <c r="N598" s="17"/>
      <c r="O598" s="17"/>
      <c r="P598" s="17"/>
      <c r="Q598" s="17"/>
      <c r="R598" s="17"/>
      <c r="S598" s="201"/>
      <c r="T598" s="201"/>
      <c r="U598" s="201"/>
      <c r="V598" s="201"/>
      <c r="W598" s="17"/>
      <c r="X598" s="17"/>
      <c r="Y598" s="17"/>
      <c r="Z598" s="17"/>
      <c r="AA598" s="17"/>
      <c r="AB598" s="17"/>
    </row>
    <row r="599">
      <c r="A599" s="17"/>
      <c r="B599" s="17"/>
      <c r="C599" s="17"/>
      <c r="D599" s="17"/>
      <c r="E599" s="17"/>
      <c r="F599" s="297"/>
      <c r="G599" s="17"/>
      <c r="H599" s="17"/>
      <c r="I599" s="17"/>
      <c r="J599" s="17"/>
      <c r="K599" s="17"/>
      <c r="L599" s="17"/>
      <c r="M599" s="17"/>
      <c r="N599" s="17"/>
      <c r="O599" s="17"/>
      <c r="P599" s="17"/>
      <c r="Q599" s="17"/>
      <c r="R599" s="17"/>
      <c r="S599" s="201"/>
      <c r="T599" s="201"/>
      <c r="U599" s="201"/>
      <c r="V599" s="201"/>
      <c r="W599" s="17"/>
      <c r="X599" s="17"/>
      <c r="Y599" s="17"/>
      <c r="Z599" s="17"/>
      <c r="AA599" s="17"/>
      <c r="AB599" s="17"/>
    </row>
    <row r="600">
      <c r="A600" s="17"/>
      <c r="B600" s="17"/>
      <c r="C600" s="17"/>
      <c r="D600" s="17"/>
      <c r="E600" s="17"/>
      <c r="F600" s="297"/>
      <c r="G600" s="17"/>
      <c r="H600" s="17"/>
      <c r="I600" s="17"/>
      <c r="J600" s="17"/>
      <c r="K600" s="17"/>
      <c r="L600" s="17"/>
      <c r="M600" s="17"/>
      <c r="N600" s="17"/>
      <c r="O600" s="17"/>
      <c r="P600" s="17"/>
      <c r="Q600" s="17"/>
      <c r="R600" s="17"/>
      <c r="S600" s="201"/>
      <c r="T600" s="201"/>
      <c r="U600" s="201"/>
      <c r="V600" s="201"/>
      <c r="W600" s="17"/>
      <c r="X600" s="17"/>
      <c r="Y600" s="17"/>
      <c r="Z600" s="17"/>
      <c r="AA600" s="17"/>
      <c r="AB600" s="17"/>
    </row>
    <row r="601">
      <c r="A601" s="17"/>
      <c r="B601" s="17"/>
      <c r="C601" s="17"/>
      <c r="D601" s="17"/>
      <c r="E601" s="17"/>
      <c r="F601" s="297"/>
      <c r="G601" s="17"/>
      <c r="H601" s="17"/>
      <c r="I601" s="17"/>
      <c r="J601" s="17"/>
      <c r="K601" s="17"/>
      <c r="L601" s="17"/>
      <c r="M601" s="17"/>
      <c r="N601" s="17"/>
      <c r="O601" s="17"/>
      <c r="P601" s="17"/>
      <c r="Q601" s="17"/>
      <c r="R601" s="17"/>
      <c r="S601" s="201"/>
      <c r="T601" s="201"/>
      <c r="U601" s="201"/>
      <c r="V601" s="201"/>
      <c r="W601" s="17"/>
      <c r="X601" s="17"/>
      <c r="Y601" s="17"/>
      <c r="Z601" s="17"/>
      <c r="AA601" s="17"/>
      <c r="AB601" s="17"/>
    </row>
    <row r="602">
      <c r="A602" s="17"/>
      <c r="B602" s="17"/>
      <c r="C602" s="17"/>
      <c r="D602" s="17"/>
      <c r="E602" s="17"/>
      <c r="F602" s="297"/>
      <c r="G602" s="17"/>
      <c r="H602" s="17"/>
      <c r="I602" s="17"/>
      <c r="J602" s="17"/>
      <c r="K602" s="17"/>
      <c r="L602" s="17"/>
      <c r="M602" s="17"/>
      <c r="N602" s="17"/>
      <c r="O602" s="17"/>
      <c r="P602" s="17"/>
      <c r="Q602" s="17"/>
      <c r="R602" s="17"/>
      <c r="S602" s="201"/>
      <c r="T602" s="201"/>
      <c r="U602" s="201"/>
      <c r="V602" s="201"/>
      <c r="W602" s="17"/>
      <c r="X602" s="17"/>
      <c r="Y602" s="17"/>
      <c r="Z602" s="17"/>
      <c r="AA602" s="17"/>
      <c r="AB602" s="17"/>
    </row>
    <row r="603">
      <c r="A603" s="17"/>
      <c r="B603" s="17"/>
      <c r="C603" s="17"/>
      <c r="D603" s="17"/>
      <c r="E603" s="17"/>
      <c r="F603" s="297"/>
      <c r="G603" s="17"/>
      <c r="H603" s="17"/>
      <c r="I603" s="17"/>
      <c r="J603" s="17"/>
      <c r="K603" s="17"/>
      <c r="L603" s="17"/>
      <c r="M603" s="17"/>
      <c r="N603" s="17"/>
      <c r="O603" s="17"/>
      <c r="P603" s="17"/>
      <c r="Q603" s="17"/>
      <c r="R603" s="17"/>
      <c r="S603" s="201"/>
      <c r="T603" s="201"/>
      <c r="U603" s="201"/>
      <c r="V603" s="201"/>
      <c r="W603" s="17"/>
      <c r="X603" s="17"/>
      <c r="Y603" s="17"/>
      <c r="Z603" s="17"/>
      <c r="AA603" s="17"/>
      <c r="AB603" s="17"/>
    </row>
    <row r="604">
      <c r="A604" s="17"/>
      <c r="B604" s="17"/>
      <c r="C604" s="17"/>
      <c r="D604" s="17"/>
      <c r="E604" s="17"/>
      <c r="F604" s="297"/>
      <c r="G604" s="17"/>
      <c r="H604" s="17"/>
      <c r="I604" s="17"/>
      <c r="J604" s="17"/>
      <c r="K604" s="17"/>
      <c r="L604" s="17"/>
      <c r="M604" s="17"/>
      <c r="N604" s="17"/>
      <c r="O604" s="17"/>
      <c r="P604" s="17"/>
      <c r="Q604" s="17"/>
      <c r="R604" s="17"/>
      <c r="S604" s="201"/>
      <c r="T604" s="201"/>
      <c r="U604" s="201"/>
      <c r="V604" s="201"/>
      <c r="W604" s="17"/>
      <c r="X604" s="17"/>
      <c r="Y604" s="17"/>
      <c r="Z604" s="17"/>
      <c r="AA604" s="17"/>
      <c r="AB604" s="17"/>
    </row>
    <row r="605">
      <c r="A605" s="17"/>
      <c r="B605" s="17"/>
      <c r="C605" s="17"/>
      <c r="D605" s="17"/>
      <c r="E605" s="17"/>
      <c r="F605" s="297"/>
      <c r="G605" s="17"/>
      <c r="H605" s="17"/>
      <c r="I605" s="17"/>
      <c r="J605" s="17"/>
      <c r="K605" s="17"/>
      <c r="L605" s="17"/>
      <c r="M605" s="17"/>
      <c r="N605" s="17"/>
      <c r="O605" s="17"/>
      <c r="P605" s="17"/>
      <c r="Q605" s="17"/>
      <c r="R605" s="17"/>
      <c r="S605" s="201"/>
      <c r="T605" s="201"/>
      <c r="U605" s="201"/>
      <c r="V605" s="201"/>
      <c r="W605" s="17"/>
      <c r="X605" s="17"/>
      <c r="Y605" s="17"/>
      <c r="Z605" s="17"/>
      <c r="AA605" s="17"/>
      <c r="AB605" s="17"/>
    </row>
    <row r="606">
      <c r="A606" s="17"/>
      <c r="B606" s="17"/>
      <c r="C606" s="17"/>
      <c r="D606" s="17"/>
      <c r="E606" s="17"/>
      <c r="F606" s="297"/>
      <c r="G606" s="17"/>
      <c r="H606" s="17"/>
      <c r="I606" s="17"/>
      <c r="J606" s="17"/>
      <c r="K606" s="17"/>
      <c r="L606" s="17"/>
      <c r="M606" s="17"/>
      <c r="N606" s="17"/>
      <c r="O606" s="17"/>
      <c r="P606" s="17"/>
      <c r="Q606" s="17"/>
      <c r="R606" s="17"/>
      <c r="S606" s="201"/>
      <c r="T606" s="201"/>
      <c r="U606" s="201"/>
      <c r="V606" s="201"/>
      <c r="W606" s="17"/>
      <c r="X606" s="17"/>
      <c r="Y606" s="17"/>
      <c r="Z606" s="17"/>
      <c r="AA606" s="17"/>
      <c r="AB606" s="17"/>
    </row>
    <row r="607">
      <c r="A607" s="17"/>
      <c r="B607" s="17"/>
      <c r="C607" s="17"/>
      <c r="D607" s="17"/>
      <c r="E607" s="17"/>
      <c r="F607" s="297"/>
      <c r="G607" s="17"/>
      <c r="H607" s="17"/>
      <c r="I607" s="17"/>
      <c r="J607" s="17"/>
      <c r="K607" s="17"/>
      <c r="L607" s="17"/>
      <c r="M607" s="17"/>
      <c r="N607" s="17"/>
      <c r="O607" s="17"/>
      <c r="P607" s="17"/>
      <c r="Q607" s="17"/>
      <c r="R607" s="17"/>
      <c r="S607" s="201"/>
      <c r="T607" s="201"/>
      <c r="U607" s="201"/>
      <c r="V607" s="201"/>
      <c r="W607" s="17"/>
      <c r="X607" s="17"/>
      <c r="Y607" s="17"/>
      <c r="Z607" s="17"/>
      <c r="AA607" s="17"/>
      <c r="AB607" s="17"/>
    </row>
    <row r="608">
      <c r="A608" s="17"/>
      <c r="B608" s="17"/>
      <c r="C608" s="17"/>
      <c r="D608" s="17"/>
      <c r="E608" s="17"/>
      <c r="F608" s="297"/>
      <c r="G608" s="17"/>
      <c r="H608" s="17"/>
      <c r="I608" s="17"/>
      <c r="J608" s="17"/>
      <c r="K608" s="17"/>
      <c r="L608" s="17"/>
      <c r="M608" s="17"/>
      <c r="N608" s="17"/>
      <c r="O608" s="17"/>
      <c r="P608" s="17"/>
      <c r="Q608" s="17"/>
      <c r="R608" s="17"/>
      <c r="S608" s="201"/>
      <c r="T608" s="201"/>
      <c r="U608" s="201"/>
      <c r="V608" s="201"/>
      <c r="W608" s="17"/>
      <c r="X608" s="17"/>
      <c r="Y608" s="17"/>
      <c r="Z608" s="17"/>
      <c r="AA608" s="17"/>
      <c r="AB608" s="17"/>
    </row>
    <row r="609">
      <c r="A609" s="17"/>
      <c r="B609" s="17"/>
      <c r="C609" s="17"/>
      <c r="D609" s="17"/>
      <c r="E609" s="17"/>
      <c r="F609" s="297"/>
      <c r="G609" s="17"/>
      <c r="H609" s="17"/>
      <c r="I609" s="17"/>
      <c r="J609" s="17"/>
      <c r="K609" s="17"/>
      <c r="L609" s="17"/>
      <c r="M609" s="17"/>
      <c r="N609" s="17"/>
      <c r="O609" s="17"/>
      <c r="P609" s="17"/>
      <c r="Q609" s="17"/>
      <c r="R609" s="17"/>
      <c r="S609" s="201"/>
      <c r="T609" s="201"/>
      <c r="U609" s="201"/>
      <c r="V609" s="201"/>
      <c r="W609" s="17"/>
      <c r="X609" s="17"/>
      <c r="Y609" s="17"/>
      <c r="Z609" s="17"/>
      <c r="AA609" s="17"/>
      <c r="AB609" s="17"/>
    </row>
    <row r="610">
      <c r="A610" s="17"/>
      <c r="B610" s="17"/>
      <c r="C610" s="17"/>
      <c r="D610" s="17"/>
      <c r="E610" s="17"/>
      <c r="F610" s="297"/>
      <c r="G610" s="17"/>
      <c r="H610" s="17"/>
      <c r="I610" s="17"/>
      <c r="J610" s="17"/>
      <c r="K610" s="17"/>
      <c r="L610" s="17"/>
      <c r="M610" s="17"/>
      <c r="N610" s="17"/>
      <c r="O610" s="17"/>
      <c r="P610" s="17"/>
      <c r="Q610" s="17"/>
      <c r="R610" s="17"/>
      <c r="S610" s="201"/>
      <c r="T610" s="201"/>
      <c r="U610" s="201"/>
      <c r="V610" s="201"/>
      <c r="W610" s="17"/>
      <c r="X610" s="17"/>
      <c r="Y610" s="17"/>
      <c r="Z610" s="17"/>
      <c r="AA610" s="17"/>
      <c r="AB610" s="17"/>
    </row>
    <row r="611">
      <c r="A611" s="17"/>
      <c r="B611" s="17"/>
      <c r="C611" s="17"/>
      <c r="D611" s="17"/>
      <c r="E611" s="17"/>
      <c r="F611" s="297"/>
      <c r="G611" s="17"/>
      <c r="H611" s="17"/>
      <c r="I611" s="17"/>
      <c r="J611" s="17"/>
      <c r="K611" s="17"/>
      <c r="L611" s="17"/>
      <c r="M611" s="17"/>
      <c r="N611" s="17"/>
      <c r="O611" s="17"/>
      <c r="P611" s="17"/>
      <c r="Q611" s="17"/>
      <c r="R611" s="17"/>
      <c r="S611" s="201"/>
      <c r="T611" s="201"/>
      <c r="U611" s="201"/>
      <c r="V611" s="201"/>
      <c r="W611" s="17"/>
      <c r="X611" s="17"/>
      <c r="Y611" s="17"/>
      <c r="Z611" s="17"/>
      <c r="AA611" s="17"/>
      <c r="AB611" s="17"/>
    </row>
    <row r="612">
      <c r="A612" s="17"/>
      <c r="B612" s="17"/>
      <c r="C612" s="17"/>
      <c r="D612" s="17"/>
      <c r="E612" s="17"/>
      <c r="F612" s="297"/>
      <c r="G612" s="17"/>
      <c r="H612" s="17"/>
      <c r="I612" s="17"/>
      <c r="J612" s="17"/>
      <c r="K612" s="17"/>
      <c r="L612" s="17"/>
      <c r="M612" s="17"/>
      <c r="N612" s="17"/>
      <c r="O612" s="17"/>
      <c r="P612" s="17"/>
      <c r="Q612" s="17"/>
      <c r="R612" s="17"/>
      <c r="S612" s="201"/>
      <c r="T612" s="201"/>
      <c r="U612" s="201"/>
      <c r="V612" s="201"/>
      <c r="W612" s="17"/>
      <c r="X612" s="17"/>
      <c r="Y612" s="17"/>
      <c r="Z612" s="17"/>
      <c r="AA612" s="17"/>
      <c r="AB612" s="17"/>
    </row>
    <row r="613">
      <c r="A613" s="17"/>
      <c r="B613" s="17"/>
      <c r="C613" s="17"/>
      <c r="D613" s="17"/>
      <c r="E613" s="17"/>
      <c r="F613" s="297"/>
      <c r="G613" s="17"/>
      <c r="H613" s="17"/>
      <c r="I613" s="17"/>
      <c r="J613" s="17"/>
      <c r="K613" s="17"/>
      <c r="L613" s="17"/>
      <c r="M613" s="17"/>
      <c r="N613" s="17"/>
      <c r="O613" s="17"/>
      <c r="P613" s="17"/>
      <c r="Q613" s="17"/>
      <c r="R613" s="17"/>
      <c r="S613" s="201"/>
      <c r="T613" s="201"/>
      <c r="U613" s="201"/>
      <c r="V613" s="201"/>
      <c r="W613" s="17"/>
      <c r="X613" s="17"/>
      <c r="Y613" s="17"/>
      <c r="Z613" s="17"/>
      <c r="AA613" s="17"/>
      <c r="AB613" s="17"/>
    </row>
    <row r="614">
      <c r="A614" s="17"/>
      <c r="B614" s="17"/>
      <c r="C614" s="17"/>
      <c r="D614" s="17"/>
      <c r="E614" s="17"/>
      <c r="F614" s="297"/>
      <c r="G614" s="17"/>
      <c r="H614" s="17"/>
      <c r="I614" s="17"/>
      <c r="J614" s="17"/>
      <c r="K614" s="17"/>
      <c r="L614" s="17"/>
      <c r="M614" s="17"/>
      <c r="N614" s="17"/>
      <c r="O614" s="17"/>
      <c r="P614" s="17"/>
      <c r="Q614" s="17"/>
      <c r="R614" s="17"/>
      <c r="S614" s="201"/>
      <c r="T614" s="201"/>
      <c r="U614" s="201"/>
      <c r="V614" s="201"/>
      <c r="W614" s="17"/>
      <c r="X614" s="17"/>
      <c r="Y614" s="17"/>
      <c r="Z614" s="17"/>
      <c r="AA614" s="17"/>
      <c r="AB614" s="17"/>
    </row>
    <row r="615">
      <c r="A615" s="17"/>
      <c r="B615" s="17"/>
      <c r="C615" s="17"/>
      <c r="D615" s="17"/>
      <c r="E615" s="17"/>
      <c r="F615" s="297"/>
      <c r="G615" s="17"/>
      <c r="H615" s="17"/>
      <c r="I615" s="17"/>
      <c r="J615" s="17"/>
      <c r="K615" s="17"/>
      <c r="L615" s="17"/>
      <c r="M615" s="17"/>
      <c r="N615" s="17"/>
      <c r="O615" s="17"/>
      <c r="P615" s="17"/>
      <c r="Q615" s="17"/>
      <c r="R615" s="17"/>
      <c r="S615" s="201"/>
      <c r="T615" s="201"/>
      <c r="U615" s="201"/>
      <c r="V615" s="201"/>
      <c r="W615" s="17"/>
      <c r="X615" s="17"/>
      <c r="Y615" s="17"/>
      <c r="Z615" s="17"/>
      <c r="AA615" s="17"/>
      <c r="AB615" s="17"/>
    </row>
    <row r="616">
      <c r="A616" s="17"/>
      <c r="B616" s="17"/>
      <c r="C616" s="17"/>
      <c r="D616" s="17"/>
      <c r="E616" s="17"/>
      <c r="F616" s="297"/>
      <c r="G616" s="17"/>
      <c r="H616" s="17"/>
      <c r="I616" s="17"/>
      <c r="J616" s="17"/>
      <c r="K616" s="17"/>
      <c r="L616" s="17"/>
      <c r="M616" s="17"/>
      <c r="N616" s="17"/>
      <c r="O616" s="17"/>
      <c r="P616" s="17"/>
      <c r="Q616" s="17"/>
      <c r="R616" s="17"/>
      <c r="S616" s="201"/>
      <c r="T616" s="201"/>
      <c r="U616" s="201"/>
      <c r="V616" s="201"/>
      <c r="W616" s="17"/>
      <c r="X616" s="17"/>
      <c r="Y616" s="17"/>
      <c r="Z616" s="17"/>
      <c r="AA616" s="17"/>
      <c r="AB616" s="17"/>
    </row>
    <row r="617">
      <c r="A617" s="17"/>
      <c r="B617" s="17"/>
      <c r="C617" s="17"/>
      <c r="D617" s="17"/>
      <c r="E617" s="17"/>
      <c r="F617" s="297"/>
      <c r="G617" s="17"/>
      <c r="H617" s="17"/>
      <c r="I617" s="17"/>
      <c r="J617" s="17"/>
      <c r="K617" s="17"/>
      <c r="L617" s="17"/>
      <c r="M617" s="17"/>
      <c r="N617" s="17"/>
      <c r="O617" s="17"/>
      <c r="P617" s="17"/>
      <c r="Q617" s="17"/>
      <c r="R617" s="17"/>
      <c r="S617" s="201"/>
      <c r="T617" s="201"/>
      <c r="U617" s="201"/>
      <c r="V617" s="201"/>
      <c r="W617" s="17"/>
      <c r="X617" s="17"/>
      <c r="Y617" s="17"/>
      <c r="Z617" s="17"/>
      <c r="AA617" s="17"/>
      <c r="AB617" s="17"/>
    </row>
    <row r="618">
      <c r="A618" s="17"/>
      <c r="B618" s="17"/>
      <c r="C618" s="17"/>
      <c r="D618" s="17"/>
      <c r="E618" s="17"/>
      <c r="F618" s="297"/>
      <c r="G618" s="17"/>
      <c r="H618" s="17"/>
      <c r="I618" s="17"/>
      <c r="J618" s="17"/>
      <c r="K618" s="17"/>
      <c r="L618" s="17"/>
      <c r="M618" s="17"/>
      <c r="N618" s="17"/>
      <c r="O618" s="17"/>
      <c r="P618" s="17"/>
      <c r="Q618" s="17"/>
      <c r="R618" s="17"/>
      <c r="S618" s="201"/>
      <c r="T618" s="201"/>
      <c r="U618" s="201"/>
      <c r="V618" s="201"/>
      <c r="W618" s="17"/>
      <c r="X618" s="17"/>
      <c r="Y618" s="17"/>
      <c r="Z618" s="17"/>
      <c r="AA618" s="17"/>
      <c r="AB618" s="17"/>
    </row>
    <row r="619">
      <c r="A619" s="17"/>
      <c r="B619" s="17"/>
      <c r="C619" s="17"/>
      <c r="D619" s="17"/>
      <c r="E619" s="17"/>
      <c r="F619" s="297"/>
      <c r="G619" s="17"/>
      <c r="H619" s="17"/>
      <c r="I619" s="17"/>
      <c r="J619" s="17"/>
      <c r="K619" s="17"/>
      <c r="L619" s="17"/>
      <c r="M619" s="17"/>
      <c r="N619" s="17"/>
      <c r="O619" s="17"/>
      <c r="P619" s="17"/>
      <c r="Q619" s="17"/>
      <c r="R619" s="17"/>
      <c r="S619" s="201"/>
      <c r="T619" s="201"/>
      <c r="U619" s="201"/>
      <c r="V619" s="201"/>
      <c r="W619" s="17"/>
      <c r="X619" s="17"/>
      <c r="Y619" s="17"/>
      <c r="Z619" s="17"/>
      <c r="AA619" s="17"/>
      <c r="AB619" s="17"/>
    </row>
    <row r="620">
      <c r="A620" s="17"/>
      <c r="B620" s="17"/>
      <c r="C620" s="17"/>
      <c r="D620" s="17"/>
      <c r="E620" s="17"/>
      <c r="F620" s="297"/>
      <c r="G620" s="17"/>
      <c r="H620" s="17"/>
      <c r="I620" s="17"/>
      <c r="J620" s="17"/>
      <c r="K620" s="17"/>
      <c r="L620" s="17"/>
      <c r="M620" s="17"/>
      <c r="N620" s="17"/>
      <c r="O620" s="17"/>
      <c r="P620" s="17"/>
      <c r="Q620" s="17"/>
      <c r="R620" s="17"/>
      <c r="S620" s="201"/>
      <c r="T620" s="201"/>
      <c r="U620" s="201"/>
      <c r="V620" s="201"/>
      <c r="W620" s="17"/>
      <c r="X620" s="17"/>
      <c r="Y620" s="17"/>
      <c r="Z620" s="17"/>
      <c r="AA620" s="17"/>
      <c r="AB620" s="17"/>
    </row>
    <row r="621">
      <c r="A621" s="17"/>
      <c r="B621" s="17"/>
      <c r="C621" s="17"/>
      <c r="D621" s="17"/>
      <c r="E621" s="17"/>
      <c r="F621" s="297"/>
      <c r="G621" s="17"/>
      <c r="H621" s="17"/>
      <c r="I621" s="17"/>
      <c r="J621" s="17"/>
      <c r="K621" s="17"/>
      <c r="L621" s="17"/>
      <c r="M621" s="17"/>
      <c r="N621" s="17"/>
      <c r="O621" s="17"/>
      <c r="P621" s="17"/>
      <c r="Q621" s="17"/>
      <c r="R621" s="17"/>
      <c r="S621" s="201"/>
      <c r="T621" s="201"/>
      <c r="U621" s="201"/>
      <c r="V621" s="201"/>
      <c r="W621" s="17"/>
      <c r="X621" s="17"/>
      <c r="Y621" s="17"/>
      <c r="Z621" s="17"/>
      <c r="AA621" s="17"/>
      <c r="AB621" s="17"/>
    </row>
    <row r="622">
      <c r="A622" s="17"/>
      <c r="B622" s="17"/>
      <c r="C622" s="17"/>
      <c r="D622" s="17"/>
      <c r="E622" s="17"/>
      <c r="F622" s="297"/>
      <c r="G622" s="17"/>
      <c r="H622" s="17"/>
      <c r="I622" s="17"/>
      <c r="J622" s="17"/>
      <c r="K622" s="17"/>
      <c r="L622" s="17"/>
      <c r="M622" s="17"/>
      <c r="N622" s="17"/>
      <c r="O622" s="17"/>
      <c r="P622" s="17"/>
      <c r="Q622" s="17"/>
      <c r="R622" s="17"/>
      <c r="S622" s="201"/>
      <c r="T622" s="201"/>
      <c r="U622" s="201"/>
      <c r="V622" s="201"/>
      <c r="W622" s="17"/>
      <c r="X622" s="17"/>
      <c r="Y622" s="17"/>
      <c r="Z622" s="17"/>
      <c r="AA622" s="17"/>
      <c r="AB622" s="17"/>
    </row>
    <row r="623">
      <c r="A623" s="17"/>
      <c r="B623" s="17"/>
      <c r="C623" s="17"/>
      <c r="D623" s="17"/>
      <c r="E623" s="17"/>
      <c r="F623" s="297"/>
      <c r="G623" s="17"/>
      <c r="H623" s="17"/>
      <c r="I623" s="17"/>
      <c r="J623" s="17"/>
      <c r="K623" s="17"/>
      <c r="L623" s="17"/>
      <c r="M623" s="17"/>
      <c r="N623" s="17"/>
      <c r="O623" s="17"/>
      <c r="P623" s="17"/>
      <c r="Q623" s="17"/>
      <c r="R623" s="17"/>
      <c r="S623" s="201"/>
      <c r="T623" s="201"/>
      <c r="U623" s="201"/>
      <c r="V623" s="201"/>
      <c r="W623" s="17"/>
      <c r="X623" s="17"/>
      <c r="Y623" s="17"/>
      <c r="Z623" s="17"/>
      <c r="AA623" s="17"/>
      <c r="AB623" s="17"/>
    </row>
    <row r="624">
      <c r="A624" s="17"/>
      <c r="B624" s="17"/>
      <c r="C624" s="17"/>
      <c r="D624" s="17"/>
      <c r="E624" s="17"/>
      <c r="F624" s="297"/>
      <c r="G624" s="17"/>
      <c r="H624" s="17"/>
      <c r="I624" s="17"/>
      <c r="J624" s="17"/>
      <c r="K624" s="17"/>
      <c r="L624" s="17"/>
      <c r="M624" s="17"/>
      <c r="N624" s="17"/>
      <c r="O624" s="17"/>
      <c r="P624" s="17"/>
      <c r="Q624" s="17"/>
      <c r="R624" s="17"/>
      <c r="S624" s="201"/>
      <c r="T624" s="201"/>
      <c r="U624" s="201"/>
      <c r="V624" s="201"/>
      <c r="W624" s="17"/>
      <c r="X624" s="17"/>
      <c r="Y624" s="17"/>
      <c r="Z624" s="17"/>
      <c r="AA624" s="17"/>
      <c r="AB624" s="17"/>
    </row>
    <row r="625">
      <c r="A625" s="17"/>
      <c r="B625" s="17"/>
      <c r="C625" s="17"/>
      <c r="D625" s="17"/>
      <c r="E625" s="17"/>
      <c r="F625" s="297"/>
      <c r="G625" s="17"/>
      <c r="H625" s="17"/>
      <c r="I625" s="17"/>
      <c r="J625" s="17"/>
      <c r="K625" s="17"/>
      <c r="L625" s="17"/>
      <c r="M625" s="17"/>
      <c r="N625" s="17"/>
      <c r="O625" s="17"/>
      <c r="P625" s="17"/>
      <c r="Q625" s="17"/>
      <c r="R625" s="17"/>
      <c r="S625" s="201"/>
      <c r="T625" s="201"/>
      <c r="U625" s="201"/>
      <c r="V625" s="201"/>
      <c r="W625" s="17"/>
      <c r="X625" s="17"/>
      <c r="Y625" s="17"/>
      <c r="Z625" s="17"/>
      <c r="AA625" s="17"/>
      <c r="AB625" s="17"/>
    </row>
    <row r="626">
      <c r="A626" s="17"/>
      <c r="B626" s="17"/>
      <c r="C626" s="17"/>
      <c r="D626" s="17"/>
      <c r="E626" s="17"/>
      <c r="F626" s="297"/>
      <c r="G626" s="17"/>
      <c r="H626" s="17"/>
      <c r="I626" s="17"/>
      <c r="J626" s="17"/>
      <c r="K626" s="17"/>
      <c r="L626" s="17"/>
      <c r="M626" s="17"/>
      <c r="N626" s="17"/>
      <c r="O626" s="17"/>
      <c r="P626" s="17"/>
      <c r="Q626" s="17"/>
      <c r="R626" s="17"/>
      <c r="S626" s="201"/>
      <c r="T626" s="201"/>
      <c r="U626" s="201"/>
      <c r="V626" s="201"/>
      <c r="W626" s="17"/>
      <c r="X626" s="17"/>
      <c r="Y626" s="17"/>
      <c r="Z626" s="17"/>
      <c r="AA626" s="17"/>
      <c r="AB626" s="17"/>
    </row>
    <row r="627">
      <c r="A627" s="17"/>
      <c r="B627" s="17"/>
      <c r="C627" s="17"/>
      <c r="D627" s="17"/>
      <c r="E627" s="17"/>
      <c r="F627" s="297"/>
      <c r="G627" s="17"/>
      <c r="H627" s="17"/>
      <c r="I627" s="17"/>
      <c r="J627" s="17"/>
      <c r="K627" s="17"/>
      <c r="L627" s="17"/>
      <c r="M627" s="17"/>
      <c r="N627" s="17"/>
      <c r="O627" s="17"/>
      <c r="P627" s="17"/>
      <c r="Q627" s="17"/>
      <c r="R627" s="17"/>
      <c r="S627" s="201"/>
      <c r="T627" s="201"/>
      <c r="U627" s="201"/>
      <c r="V627" s="201"/>
      <c r="W627" s="17"/>
      <c r="X627" s="17"/>
      <c r="Y627" s="17"/>
      <c r="Z627" s="17"/>
      <c r="AA627" s="17"/>
      <c r="AB627" s="17"/>
    </row>
    <row r="628">
      <c r="A628" s="17"/>
      <c r="B628" s="17"/>
      <c r="C628" s="17"/>
      <c r="D628" s="17"/>
      <c r="E628" s="17"/>
      <c r="F628" s="297"/>
      <c r="G628" s="17"/>
      <c r="H628" s="17"/>
      <c r="I628" s="17"/>
      <c r="J628" s="17"/>
      <c r="K628" s="17"/>
      <c r="L628" s="17"/>
      <c r="M628" s="17"/>
      <c r="N628" s="17"/>
      <c r="O628" s="17"/>
      <c r="P628" s="17"/>
      <c r="Q628" s="17"/>
      <c r="R628" s="17"/>
      <c r="S628" s="201"/>
      <c r="T628" s="201"/>
      <c r="U628" s="201"/>
      <c r="V628" s="201"/>
      <c r="W628" s="17"/>
      <c r="X628" s="17"/>
      <c r="Y628" s="17"/>
      <c r="Z628" s="17"/>
      <c r="AA628" s="17"/>
      <c r="AB628" s="17"/>
    </row>
    <row r="629">
      <c r="A629" s="17"/>
      <c r="B629" s="17"/>
      <c r="C629" s="17"/>
      <c r="D629" s="17"/>
      <c r="E629" s="17"/>
      <c r="F629" s="297"/>
      <c r="G629" s="17"/>
      <c r="H629" s="17"/>
      <c r="I629" s="17"/>
      <c r="J629" s="17"/>
      <c r="K629" s="17"/>
      <c r="L629" s="17"/>
      <c r="M629" s="17"/>
      <c r="N629" s="17"/>
      <c r="O629" s="17"/>
      <c r="P629" s="17"/>
      <c r="Q629" s="17"/>
      <c r="R629" s="17"/>
      <c r="S629" s="201"/>
      <c r="T629" s="201"/>
      <c r="U629" s="201"/>
      <c r="V629" s="201"/>
      <c r="W629" s="17"/>
      <c r="X629" s="17"/>
      <c r="Y629" s="17"/>
      <c r="Z629" s="17"/>
      <c r="AA629" s="17"/>
      <c r="AB629" s="17"/>
    </row>
    <row r="630">
      <c r="A630" s="17"/>
      <c r="B630" s="17"/>
      <c r="C630" s="17"/>
      <c r="D630" s="17"/>
      <c r="E630" s="17"/>
      <c r="F630" s="297"/>
      <c r="G630" s="17"/>
      <c r="H630" s="17"/>
      <c r="I630" s="17"/>
      <c r="J630" s="17"/>
      <c r="K630" s="17"/>
      <c r="L630" s="17"/>
      <c r="M630" s="17"/>
      <c r="N630" s="17"/>
      <c r="O630" s="17"/>
      <c r="P630" s="17"/>
      <c r="Q630" s="17"/>
      <c r="R630" s="17"/>
      <c r="S630" s="201"/>
      <c r="T630" s="201"/>
      <c r="U630" s="201"/>
      <c r="V630" s="201"/>
      <c r="W630" s="17"/>
      <c r="X630" s="17"/>
      <c r="Y630" s="17"/>
      <c r="Z630" s="17"/>
      <c r="AA630" s="17"/>
      <c r="AB630" s="17"/>
    </row>
    <row r="631">
      <c r="A631" s="17"/>
      <c r="B631" s="17"/>
      <c r="C631" s="17"/>
      <c r="D631" s="17"/>
      <c r="E631" s="17"/>
      <c r="F631" s="297"/>
      <c r="G631" s="17"/>
      <c r="H631" s="17"/>
      <c r="I631" s="17"/>
      <c r="J631" s="17"/>
      <c r="K631" s="17"/>
      <c r="L631" s="17"/>
      <c r="M631" s="17"/>
      <c r="N631" s="17"/>
      <c r="O631" s="17"/>
      <c r="P631" s="17"/>
      <c r="Q631" s="17"/>
      <c r="R631" s="17"/>
      <c r="S631" s="201"/>
      <c r="T631" s="201"/>
      <c r="U631" s="201"/>
      <c r="V631" s="201"/>
      <c r="W631" s="17"/>
      <c r="X631" s="17"/>
      <c r="Y631" s="17"/>
      <c r="Z631" s="17"/>
      <c r="AA631" s="17"/>
      <c r="AB631" s="17"/>
    </row>
    <row r="632">
      <c r="A632" s="17"/>
      <c r="B632" s="17"/>
      <c r="C632" s="17"/>
      <c r="D632" s="17"/>
      <c r="E632" s="17"/>
      <c r="F632" s="297"/>
      <c r="G632" s="17"/>
      <c r="H632" s="17"/>
      <c r="I632" s="17"/>
      <c r="J632" s="17"/>
      <c r="K632" s="17"/>
      <c r="L632" s="17"/>
      <c r="M632" s="17"/>
      <c r="N632" s="17"/>
      <c r="O632" s="17"/>
      <c r="P632" s="17"/>
      <c r="Q632" s="17"/>
      <c r="R632" s="17"/>
      <c r="S632" s="201"/>
      <c r="T632" s="201"/>
      <c r="U632" s="201"/>
      <c r="V632" s="201"/>
      <c r="W632" s="17"/>
      <c r="X632" s="17"/>
      <c r="Y632" s="17"/>
      <c r="Z632" s="17"/>
      <c r="AA632" s="17"/>
      <c r="AB632" s="17"/>
    </row>
    <row r="633">
      <c r="A633" s="17"/>
      <c r="B633" s="17"/>
      <c r="C633" s="17"/>
      <c r="D633" s="17"/>
      <c r="E633" s="17"/>
      <c r="F633" s="297"/>
      <c r="G633" s="17"/>
      <c r="H633" s="17"/>
      <c r="I633" s="17"/>
      <c r="J633" s="17"/>
      <c r="K633" s="17"/>
      <c r="L633" s="17"/>
      <c r="M633" s="17"/>
      <c r="N633" s="17"/>
      <c r="O633" s="17"/>
      <c r="P633" s="17"/>
      <c r="Q633" s="17"/>
      <c r="R633" s="17"/>
      <c r="S633" s="201"/>
      <c r="T633" s="201"/>
      <c r="U633" s="201"/>
      <c r="V633" s="201"/>
      <c r="W633" s="17"/>
      <c r="X633" s="17"/>
      <c r="Y633" s="17"/>
      <c r="Z633" s="17"/>
      <c r="AA633" s="17"/>
      <c r="AB633" s="17"/>
    </row>
    <row r="634">
      <c r="A634" s="17"/>
      <c r="B634" s="17"/>
      <c r="C634" s="17"/>
      <c r="D634" s="17"/>
      <c r="E634" s="17"/>
      <c r="F634" s="297"/>
      <c r="G634" s="17"/>
      <c r="H634" s="17"/>
      <c r="I634" s="17"/>
      <c r="J634" s="17"/>
      <c r="K634" s="17"/>
      <c r="L634" s="17"/>
      <c r="M634" s="17"/>
      <c r="N634" s="17"/>
      <c r="O634" s="17"/>
      <c r="P634" s="17"/>
      <c r="Q634" s="17"/>
      <c r="R634" s="17"/>
      <c r="S634" s="201"/>
      <c r="T634" s="201"/>
      <c r="U634" s="201"/>
      <c r="V634" s="201"/>
      <c r="W634" s="17"/>
      <c r="X634" s="17"/>
      <c r="Y634" s="17"/>
      <c r="Z634" s="17"/>
      <c r="AA634" s="17"/>
      <c r="AB634" s="17"/>
    </row>
    <row r="635">
      <c r="A635" s="17"/>
      <c r="B635" s="17"/>
      <c r="C635" s="17"/>
      <c r="D635" s="17"/>
      <c r="E635" s="17"/>
      <c r="F635" s="297"/>
      <c r="G635" s="17"/>
      <c r="H635" s="17"/>
      <c r="I635" s="17"/>
      <c r="J635" s="17"/>
      <c r="K635" s="17"/>
      <c r="L635" s="17"/>
      <c r="M635" s="17"/>
      <c r="N635" s="17"/>
      <c r="O635" s="17"/>
      <c r="P635" s="17"/>
      <c r="Q635" s="17"/>
      <c r="R635" s="17"/>
      <c r="S635" s="201"/>
      <c r="T635" s="201"/>
      <c r="U635" s="201"/>
      <c r="V635" s="201"/>
      <c r="W635" s="17"/>
      <c r="X635" s="17"/>
      <c r="Y635" s="17"/>
      <c r="Z635" s="17"/>
      <c r="AA635" s="17"/>
      <c r="AB635" s="17"/>
    </row>
    <row r="636">
      <c r="A636" s="17"/>
      <c r="B636" s="17"/>
      <c r="C636" s="17"/>
      <c r="D636" s="17"/>
      <c r="E636" s="17"/>
      <c r="F636" s="297"/>
      <c r="G636" s="17"/>
      <c r="H636" s="17"/>
      <c r="I636" s="17"/>
      <c r="J636" s="17"/>
      <c r="K636" s="17"/>
      <c r="L636" s="17"/>
      <c r="M636" s="17"/>
      <c r="N636" s="17"/>
      <c r="O636" s="17"/>
      <c r="P636" s="17"/>
      <c r="Q636" s="17"/>
      <c r="R636" s="17"/>
      <c r="S636" s="201"/>
      <c r="T636" s="201"/>
      <c r="U636" s="201"/>
      <c r="V636" s="201"/>
      <c r="W636" s="17"/>
      <c r="X636" s="17"/>
      <c r="Y636" s="17"/>
      <c r="Z636" s="17"/>
      <c r="AA636" s="17"/>
      <c r="AB636" s="17"/>
    </row>
    <row r="637">
      <c r="A637" s="17"/>
      <c r="B637" s="17"/>
      <c r="C637" s="17"/>
      <c r="D637" s="17"/>
      <c r="E637" s="17"/>
      <c r="F637" s="297"/>
      <c r="G637" s="17"/>
      <c r="H637" s="17"/>
      <c r="I637" s="17"/>
      <c r="J637" s="17"/>
      <c r="K637" s="17"/>
      <c r="L637" s="17"/>
      <c r="M637" s="17"/>
      <c r="N637" s="17"/>
      <c r="O637" s="17"/>
      <c r="P637" s="17"/>
      <c r="Q637" s="17"/>
      <c r="R637" s="17"/>
      <c r="S637" s="201"/>
      <c r="T637" s="201"/>
      <c r="U637" s="201"/>
      <c r="V637" s="201"/>
      <c r="W637" s="17"/>
      <c r="X637" s="17"/>
      <c r="Y637" s="17"/>
      <c r="Z637" s="17"/>
      <c r="AA637" s="17"/>
      <c r="AB637" s="17"/>
    </row>
    <row r="638">
      <c r="A638" s="17"/>
      <c r="B638" s="17"/>
      <c r="C638" s="17"/>
      <c r="D638" s="17"/>
      <c r="E638" s="17"/>
      <c r="F638" s="297"/>
      <c r="G638" s="17"/>
      <c r="H638" s="17"/>
      <c r="I638" s="17"/>
      <c r="J638" s="17"/>
      <c r="K638" s="17"/>
      <c r="L638" s="17"/>
      <c r="M638" s="17"/>
      <c r="N638" s="17"/>
      <c r="O638" s="17"/>
      <c r="P638" s="17"/>
      <c r="Q638" s="17"/>
      <c r="R638" s="17"/>
      <c r="S638" s="201"/>
      <c r="T638" s="201"/>
      <c r="U638" s="201"/>
      <c r="V638" s="201"/>
      <c r="W638" s="17"/>
      <c r="X638" s="17"/>
      <c r="Y638" s="17"/>
      <c r="Z638" s="17"/>
      <c r="AA638" s="17"/>
      <c r="AB638" s="17"/>
    </row>
    <row r="639">
      <c r="A639" s="17"/>
      <c r="B639" s="17"/>
      <c r="C639" s="17"/>
      <c r="D639" s="17"/>
      <c r="E639" s="17"/>
      <c r="F639" s="297"/>
      <c r="G639" s="17"/>
      <c r="H639" s="17"/>
      <c r="I639" s="17"/>
      <c r="J639" s="17"/>
      <c r="K639" s="17"/>
      <c r="L639" s="17"/>
      <c r="M639" s="17"/>
      <c r="N639" s="17"/>
      <c r="O639" s="17"/>
      <c r="P639" s="17"/>
      <c r="Q639" s="17"/>
      <c r="R639" s="17"/>
      <c r="S639" s="201"/>
      <c r="T639" s="201"/>
      <c r="U639" s="201"/>
      <c r="V639" s="201"/>
      <c r="W639" s="17"/>
      <c r="X639" s="17"/>
      <c r="Y639" s="17"/>
      <c r="Z639" s="17"/>
      <c r="AA639" s="17"/>
      <c r="AB639" s="17"/>
    </row>
    <row r="640">
      <c r="A640" s="17"/>
      <c r="B640" s="17"/>
      <c r="C640" s="17"/>
      <c r="D640" s="17"/>
      <c r="E640" s="17"/>
      <c r="F640" s="297"/>
      <c r="G640" s="17"/>
      <c r="H640" s="17"/>
      <c r="I640" s="17"/>
      <c r="J640" s="17"/>
      <c r="K640" s="17"/>
      <c r="L640" s="17"/>
      <c r="M640" s="17"/>
      <c r="N640" s="17"/>
      <c r="O640" s="17"/>
      <c r="P640" s="17"/>
      <c r="Q640" s="17"/>
      <c r="R640" s="17"/>
      <c r="S640" s="201"/>
      <c r="T640" s="201"/>
      <c r="U640" s="201"/>
      <c r="V640" s="201"/>
      <c r="W640" s="17"/>
      <c r="X640" s="17"/>
      <c r="Y640" s="17"/>
      <c r="Z640" s="17"/>
      <c r="AA640" s="17"/>
      <c r="AB640" s="17"/>
    </row>
    <row r="641">
      <c r="A641" s="17"/>
      <c r="B641" s="17"/>
      <c r="C641" s="17"/>
      <c r="D641" s="17"/>
      <c r="E641" s="17"/>
      <c r="F641" s="297"/>
      <c r="G641" s="17"/>
      <c r="H641" s="17"/>
      <c r="I641" s="17"/>
      <c r="J641" s="17"/>
      <c r="K641" s="17"/>
      <c r="L641" s="17"/>
      <c r="M641" s="17"/>
      <c r="N641" s="17"/>
      <c r="O641" s="17"/>
      <c r="P641" s="17"/>
      <c r="Q641" s="17"/>
      <c r="R641" s="17"/>
      <c r="S641" s="201"/>
      <c r="T641" s="201"/>
      <c r="U641" s="201"/>
      <c r="V641" s="201"/>
      <c r="W641" s="17"/>
      <c r="X641" s="17"/>
      <c r="Y641" s="17"/>
      <c r="Z641" s="17"/>
      <c r="AA641" s="17"/>
      <c r="AB641" s="17"/>
    </row>
    <row r="642">
      <c r="A642" s="17"/>
      <c r="B642" s="17"/>
      <c r="C642" s="17"/>
      <c r="D642" s="17"/>
      <c r="E642" s="17"/>
      <c r="F642" s="297"/>
      <c r="G642" s="17"/>
      <c r="H642" s="17"/>
      <c r="I642" s="17"/>
      <c r="J642" s="17"/>
      <c r="K642" s="17"/>
      <c r="L642" s="17"/>
      <c r="M642" s="17"/>
      <c r="N642" s="17"/>
      <c r="O642" s="17"/>
      <c r="P642" s="17"/>
      <c r="Q642" s="17"/>
      <c r="R642" s="17"/>
      <c r="S642" s="201"/>
      <c r="T642" s="201"/>
      <c r="U642" s="201"/>
      <c r="V642" s="201"/>
      <c r="W642" s="17"/>
      <c r="X642" s="17"/>
      <c r="Y642" s="17"/>
      <c r="Z642" s="17"/>
      <c r="AA642" s="17"/>
      <c r="AB642" s="17"/>
    </row>
    <row r="643">
      <c r="A643" s="17"/>
      <c r="B643" s="17"/>
      <c r="C643" s="17"/>
      <c r="D643" s="17"/>
      <c r="E643" s="17"/>
      <c r="F643" s="297"/>
      <c r="G643" s="17"/>
      <c r="H643" s="17"/>
      <c r="I643" s="17"/>
      <c r="J643" s="17"/>
      <c r="K643" s="17"/>
      <c r="L643" s="17"/>
      <c r="M643" s="17"/>
      <c r="N643" s="17"/>
      <c r="O643" s="17"/>
      <c r="P643" s="17"/>
      <c r="Q643" s="17"/>
      <c r="R643" s="17"/>
      <c r="S643" s="201"/>
      <c r="T643" s="201"/>
      <c r="U643" s="201"/>
      <c r="V643" s="201"/>
      <c r="W643" s="17"/>
      <c r="X643" s="17"/>
      <c r="Y643" s="17"/>
      <c r="Z643" s="17"/>
      <c r="AA643" s="17"/>
      <c r="AB643" s="17"/>
    </row>
    <row r="644">
      <c r="A644" s="17"/>
      <c r="B644" s="17"/>
      <c r="C644" s="17"/>
      <c r="D644" s="17"/>
      <c r="E644" s="17"/>
      <c r="F644" s="297"/>
      <c r="G644" s="17"/>
      <c r="H644" s="17"/>
      <c r="I644" s="17"/>
      <c r="J644" s="17"/>
      <c r="K644" s="17"/>
      <c r="L644" s="17"/>
      <c r="M644" s="17"/>
      <c r="N644" s="17"/>
      <c r="O644" s="17"/>
      <c r="P644" s="17"/>
      <c r="Q644" s="17"/>
      <c r="R644" s="17"/>
      <c r="S644" s="201"/>
      <c r="T644" s="201"/>
      <c r="U644" s="201"/>
      <c r="V644" s="201"/>
      <c r="W644" s="17"/>
      <c r="X644" s="17"/>
      <c r="Y644" s="17"/>
      <c r="Z644" s="17"/>
      <c r="AA644" s="17"/>
      <c r="AB644" s="17"/>
    </row>
    <row r="645">
      <c r="A645" s="17"/>
      <c r="B645" s="17"/>
      <c r="C645" s="17"/>
      <c r="D645" s="17"/>
      <c r="E645" s="17"/>
      <c r="F645" s="297"/>
      <c r="G645" s="17"/>
      <c r="H645" s="17"/>
      <c r="I645" s="17"/>
      <c r="J645" s="17"/>
      <c r="K645" s="17"/>
      <c r="L645" s="17"/>
      <c r="M645" s="17"/>
      <c r="N645" s="17"/>
      <c r="O645" s="17"/>
      <c r="P645" s="17"/>
      <c r="Q645" s="17"/>
      <c r="R645" s="17"/>
      <c r="S645" s="201"/>
      <c r="T645" s="201"/>
      <c r="U645" s="201"/>
      <c r="V645" s="201"/>
      <c r="W645" s="17"/>
      <c r="X645" s="17"/>
      <c r="Y645" s="17"/>
      <c r="Z645" s="17"/>
      <c r="AA645" s="17"/>
      <c r="AB645" s="17"/>
    </row>
    <row r="646">
      <c r="A646" s="17"/>
      <c r="B646" s="17"/>
      <c r="C646" s="17"/>
      <c r="D646" s="17"/>
      <c r="E646" s="17"/>
      <c r="F646" s="297"/>
      <c r="G646" s="17"/>
      <c r="H646" s="17"/>
      <c r="I646" s="17"/>
      <c r="J646" s="17"/>
      <c r="K646" s="17"/>
      <c r="L646" s="17"/>
      <c r="M646" s="17"/>
      <c r="N646" s="17"/>
      <c r="O646" s="17"/>
      <c r="P646" s="17"/>
      <c r="Q646" s="17"/>
      <c r="R646" s="17"/>
      <c r="S646" s="201"/>
      <c r="T646" s="201"/>
      <c r="U646" s="201"/>
      <c r="V646" s="201"/>
      <c r="W646" s="17"/>
      <c r="X646" s="17"/>
      <c r="Y646" s="17"/>
      <c r="Z646" s="17"/>
      <c r="AA646" s="17"/>
      <c r="AB646" s="17"/>
    </row>
    <row r="647">
      <c r="A647" s="17"/>
      <c r="B647" s="17"/>
      <c r="C647" s="17"/>
      <c r="D647" s="17"/>
      <c r="E647" s="17"/>
      <c r="F647" s="297"/>
      <c r="G647" s="17"/>
      <c r="H647" s="17"/>
      <c r="I647" s="17"/>
      <c r="J647" s="17"/>
      <c r="K647" s="17"/>
      <c r="L647" s="17"/>
      <c r="M647" s="17"/>
      <c r="N647" s="17"/>
      <c r="O647" s="17"/>
      <c r="P647" s="17"/>
      <c r="Q647" s="17"/>
      <c r="R647" s="17"/>
      <c r="S647" s="201"/>
      <c r="T647" s="201"/>
      <c r="U647" s="201"/>
      <c r="V647" s="201"/>
      <c r="W647" s="17"/>
      <c r="X647" s="17"/>
      <c r="Y647" s="17"/>
      <c r="Z647" s="17"/>
      <c r="AA647" s="17"/>
      <c r="AB647" s="17"/>
    </row>
    <row r="648">
      <c r="A648" s="17"/>
      <c r="B648" s="17"/>
      <c r="C648" s="17"/>
      <c r="D648" s="17"/>
      <c r="E648" s="17"/>
      <c r="F648" s="297"/>
      <c r="G648" s="17"/>
      <c r="H648" s="17"/>
      <c r="I648" s="17"/>
      <c r="J648" s="17"/>
      <c r="K648" s="17"/>
      <c r="L648" s="17"/>
      <c r="M648" s="17"/>
      <c r="N648" s="17"/>
      <c r="O648" s="17"/>
      <c r="P648" s="17"/>
      <c r="Q648" s="17"/>
      <c r="R648" s="17"/>
      <c r="S648" s="201"/>
      <c r="T648" s="201"/>
      <c r="U648" s="201"/>
      <c r="V648" s="201"/>
      <c r="W648" s="17"/>
      <c r="X648" s="17"/>
      <c r="Y648" s="17"/>
      <c r="Z648" s="17"/>
      <c r="AA648" s="17"/>
      <c r="AB648" s="17"/>
    </row>
    <row r="649">
      <c r="A649" s="17"/>
      <c r="B649" s="17"/>
      <c r="C649" s="17"/>
      <c r="D649" s="17"/>
      <c r="E649" s="17"/>
      <c r="F649" s="297"/>
      <c r="G649" s="17"/>
      <c r="H649" s="17"/>
      <c r="I649" s="17"/>
      <c r="J649" s="17"/>
      <c r="K649" s="17"/>
      <c r="L649" s="17"/>
      <c r="M649" s="17"/>
      <c r="N649" s="17"/>
      <c r="O649" s="17"/>
      <c r="P649" s="17"/>
      <c r="Q649" s="17"/>
      <c r="R649" s="17"/>
      <c r="S649" s="201"/>
      <c r="T649" s="201"/>
      <c r="U649" s="201"/>
      <c r="V649" s="201"/>
      <c r="W649" s="17"/>
      <c r="X649" s="17"/>
      <c r="Y649" s="17"/>
      <c r="Z649" s="17"/>
      <c r="AA649" s="17"/>
      <c r="AB649" s="17"/>
    </row>
    <row r="650">
      <c r="A650" s="17"/>
      <c r="B650" s="17"/>
      <c r="C650" s="17"/>
      <c r="D650" s="17"/>
      <c r="E650" s="17"/>
      <c r="F650" s="297"/>
      <c r="G650" s="17"/>
      <c r="H650" s="17"/>
      <c r="I650" s="17"/>
      <c r="J650" s="17"/>
      <c r="K650" s="17"/>
      <c r="L650" s="17"/>
      <c r="M650" s="17"/>
      <c r="N650" s="17"/>
      <c r="O650" s="17"/>
      <c r="P650" s="17"/>
      <c r="Q650" s="17"/>
      <c r="R650" s="17"/>
      <c r="S650" s="201"/>
      <c r="T650" s="201"/>
      <c r="U650" s="201"/>
      <c r="V650" s="201"/>
      <c r="W650" s="17"/>
      <c r="X650" s="17"/>
      <c r="Y650" s="17"/>
      <c r="Z650" s="17"/>
      <c r="AA650" s="17"/>
      <c r="AB650" s="17"/>
    </row>
    <row r="651">
      <c r="A651" s="17"/>
      <c r="B651" s="17"/>
      <c r="C651" s="17"/>
      <c r="D651" s="17"/>
      <c r="E651" s="17"/>
      <c r="F651" s="297"/>
      <c r="G651" s="17"/>
      <c r="H651" s="17"/>
      <c r="I651" s="17"/>
      <c r="J651" s="17"/>
      <c r="K651" s="17"/>
      <c r="L651" s="17"/>
      <c r="M651" s="17"/>
      <c r="N651" s="17"/>
      <c r="O651" s="17"/>
      <c r="P651" s="17"/>
      <c r="Q651" s="17"/>
      <c r="R651" s="17"/>
      <c r="S651" s="201"/>
      <c r="T651" s="201"/>
      <c r="U651" s="201"/>
      <c r="V651" s="201"/>
      <c r="W651" s="17"/>
      <c r="X651" s="17"/>
      <c r="Y651" s="17"/>
      <c r="Z651" s="17"/>
      <c r="AA651" s="17"/>
      <c r="AB651" s="17"/>
    </row>
    <row r="652">
      <c r="A652" s="17"/>
      <c r="B652" s="17"/>
      <c r="C652" s="17"/>
      <c r="D652" s="17"/>
      <c r="E652" s="17"/>
      <c r="F652" s="297"/>
      <c r="G652" s="17"/>
      <c r="H652" s="17"/>
      <c r="I652" s="17"/>
      <c r="J652" s="17"/>
      <c r="K652" s="17"/>
      <c r="L652" s="17"/>
      <c r="M652" s="17"/>
      <c r="N652" s="17"/>
      <c r="O652" s="17"/>
      <c r="P652" s="17"/>
      <c r="Q652" s="17"/>
      <c r="R652" s="17"/>
      <c r="S652" s="201"/>
      <c r="T652" s="201"/>
      <c r="U652" s="201"/>
      <c r="V652" s="201"/>
      <c r="W652" s="17"/>
      <c r="X652" s="17"/>
      <c r="Y652" s="17"/>
      <c r="Z652" s="17"/>
      <c r="AA652" s="17"/>
      <c r="AB652" s="17"/>
    </row>
    <row r="653">
      <c r="A653" s="17"/>
      <c r="B653" s="17"/>
      <c r="C653" s="17"/>
      <c r="D653" s="17"/>
      <c r="E653" s="17"/>
      <c r="F653" s="297"/>
      <c r="G653" s="17"/>
      <c r="H653" s="17"/>
      <c r="I653" s="17"/>
      <c r="J653" s="17"/>
      <c r="K653" s="17"/>
      <c r="L653" s="17"/>
      <c r="M653" s="17"/>
      <c r="N653" s="17"/>
      <c r="O653" s="17"/>
      <c r="P653" s="17"/>
      <c r="Q653" s="17"/>
      <c r="R653" s="17"/>
      <c r="S653" s="201"/>
      <c r="T653" s="201"/>
      <c r="U653" s="201"/>
      <c r="V653" s="201"/>
      <c r="W653" s="17"/>
      <c r="X653" s="17"/>
      <c r="Y653" s="17"/>
      <c r="Z653" s="17"/>
      <c r="AA653" s="17"/>
      <c r="AB653" s="17"/>
    </row>
    <row r="654">
      <c r="A654" s="17"/>
      <c r="B654" s="17"/>
      <c r="C654" s="17"/>
      <c r="D654" s="17"/>
      <c r="E654" s="17"/>
      <c r="F654" s="297"/>
      <c r="G654" s="17"/>
      <c r="H654" s="17"/>
      <c r="I654" s="17"/>
      <c r="J654" s="17"/>
      <c r="K654" s="17"/>
      <c r="L654" s="17"/>
      <c r="M654" s="17"/>
      <c r="N654" s="17"/>
      <c r="O654" s="17"/>
      <c r="P654" s="17"/>
      <c r="Q654" s="17"/>
      <c r="R654" s="17"/>
      <c r="S654" s="201"/>
      <c r="T654" s="201"/>
      <c r="U654" s="201"/>
      <c r="V654" s="201"/>
      <c r="W654" s="17"/>
      <c r="X654" s="17"/>
      <c r="Y654" s="17"/>
      <c r="Z654" s="17"/>
      <c r="AA654" s="17"/>
      <c r="AB654" s="17"/>
    </row>
    <row r="655">
      <c r="A655" s="17"/>
      <c r="B655" s="17"/>
      <c r="C655" s="17"/>
      <c r="D655" s="17"/>
      <c r="E655" s="17"/>
      <c r="F655" s="297"/>
      <c r="G655" s="17"/>
      <c r="H655" s="17"/>
      <c r="I655" s="17"/>
      <c r="J655" s="17"/>
      <c r="K655" s="17"/>
      <c r="L655" s="17"/>
      <c r="M655" s="17"/>
      <c r="N655" s="17"/>
      <c r="O655" s="17"/>
      <c r="P655" s="17"/>
      <c r="Q655" s="17"/>
      <c r="R655" s="17"/>
      <c r="S655" s="201"/>
      <c r="T655" s="201"/>
      <c r="U655" s="201"/>
      <c r="V655" s="201"/>
      <c r="W655" s="17"/>
      <c r="X655" s="17"/>
      <c r="Y655" s="17"/>
      <c r="Z655" s="17"/>
      <c r="AA655" s="17"/>
      <c r="AB655" s="17"/>
    </row>
    <row r="656">
      <c r="A656" s="17"/>
      <c r="B656" s="17"/>
      <c r="C656" s="17"/>
      <c r="D656" s="17"/>
      <c r="E656" s="17"/>
      <c r="F656" s="297"/>
      <c r="G656" s="17"/>
      <c r="H656" s="17"/>
      <c r="I656" s="17"/>
      <c r="J656" s="17"/>
      <c r="K656" s="17"/>
      <c r="L656" s="17"/>
      <c r="M656" s="17"/>
      <c r="N656" s="17"/>
      <c r="O656" s="17"/>
      <c r="P656" s="17"/>
      <c r="Q656" s="17"/>
      <c r="R656" s="17"/>
      <c r="S656" s="201"/>
      <c r="T656" s="201"/>
      <c r="U656" s="201"/>
      <c r="V656" s="201"/>
      <c r="W656" s="17"/>
      <c r="X656" s="17"/>
      <c r="Y656" s="17"/>
      <c r="Z656" s="17"/>
      <c r="AA656" s="17"/>
      <c r="AB656" s="17"/>
    </row>
    <row r="657">
      <c r="A657" s="17"/>
      <c r="B657" s="17"/>
      <c r="C657" s="17"/>
      <c r="D657" s="17"/>
      <c r="E657" s="17"/>
      <c r="F657" s="297"/>
      <c r="G657" s="17"/>
      <c r="H657" s="17"/>
      <c r="I657" s="17"/>
      <c r="J657" s="17"/>
      <c r="K657" s="17"/>
      <c r="L657" s="17"/>
      <c r="M657" s="17"/>
      <c r="N657" s="17"/>
      <c r="O657" s="17"/>
      <c r="P657" s="17"/>
      <c r="Q657" s="17"/>
      <c r="R657" s="17"/>
      <c r="S657" s="201"/>
      <c r="T657" s="201"/>
      <c r="U657" s="201"/>
      <c r="V657" s="201"/>
      <c r="W657" s="17"/>
      <c r="X657" s="17"/>
      <c r="Y657" s="17"/>
      <c r="Z657" s="17"/>
      <c r="AA657" s="17"/>
      <c r="AB657" s="17"/>
    </row>
    <row r="658">
      <c r="A658" s="17"/>
      <c r="B658" s="17"/>
      <c r="C658" s="17"/>
      <c r="D658" s="17"/>
      <c r="E658" s="17"/>
      <c r="F658" s="297"/>
      <c r="G658" s="17"/>
      <c r="H658" s="17"/>
      <c r="I658" s="17"/>
      <c r="J658" s="17"/>
      <c r="K658" s="17"/>
      <c r="L658" s="17"/>
      <c r="M658" s="17"/>
      <c r="N658" s="17"/>
      <c r="O658" s="17"/>
      <c r="P658" s="17"/>
      <c r="Q658" s="17"/>
      <c r="R658" s="17"/>
      <c r="S658" s="201"/>
      <c r="T658" s="201"/>
      <c r="U658" s="201"/>
      <c r="V658" s="201"/>
      <c r="W658" s="17"/>
      <c r="X658" s="17"/>
      <c r="Y658" s="17"/>
      <c r="Z658" s="17"/>
      <c r="AA658" s="17"/>
      <c r="AB658" s="17"/>
    </row>
    <row r="659">
      <c r="A659" s="17"/>
      <c r="B659" s="17"/>
      <c r="C659" s="17"/>
      <c r="D659" s="17"/>
      <c r="E659" s="17"/>
      <c r="F659" s="297"/>
      <c r="G659" s="17"/>
      <c r="H659" s="17"/>
      <c r="I659" s="17"/>
      <c r="J659" s="17"/>
      <c r="K659" s="17"/>
      <c r="L659" s="17"/>
      <c r="M659" s="17"/>
      <c r="N659" s="17"/>
      <c r="O659" s="17"/>
      <c r="P659" s="17"/>
      <c r="Q659" s="17"/>
      <c r="R659" s="17"/>
      <c r="S659" s="201"/>
      <c r="T659" s="201"/>
      <c r="U659" s="201"/>
      <c r="V659" s="201"/>
      <c r="W659" s="17"/>
      <c r="X659" s="17"/>
      <c r="Y659" s="17"/>
      <c r="Z659" s="17"/>
      <c r="AA659" s="17"/>
      <c r="AB659" s="17"/>
    </row>
    <row r="660">
      <c r="A660" s="17"/>
      <c r="B660" s="17"/>
      <c r="C660" s="17"/>
      <c r="D660" s="17"/>
      <c r="E660" s="17"/>
      <c r="F660" s="297"/>
      <c r="G660" s="17"/>
      <c r="H660" s="17"/>
      <c r="I660" s="17"/>
      <c r="J660" s="17"/>
      <c r="K660" s="17"/>
      <c r="L660" s="17"/>
      <c r="M660" s="17"/>
      <c r="N660" s="17"/>
      <c r="O660" s="17"/>
      <c r="P660" s="17"/>
      <c r="Q660" s="17"/>
      <c r="R660" s="17"/>
      <c r="S660" s="201"/>
      <c r="T660" s="201"/>
      <c r="U660" s="201"/>
      <c r="V660" s="201"/>
      <c r="W660" s="17"/>
      <c r="X660" s="17"/>
      <c r="Y660" s="17"/>
      <c r="Z660" s="17"/>
      <c r="AA660" s="17"/>
      <c r="AB660" s="17"/>
    </row>
    <row r="661">
      <c r="A661" s="17"/>
      <c r="B661" s="17"/>
      <c r="C661" s="17"/>
      <c r="D661" s="17"/>
      <c r="E661" s="17"/>
      <c r="F661" s="297"/>
      <c r="G661" s="17"/>
      <c r="H661" s="17"/>
      <c r="I661" s="17"/>
      <c r="J661" s="17"/>
      <c r="K661" s="17"/>
      <c r="L661" s="17"/>
      <c r="M661" s="17"/>
      <c r="N661" s="17"/>
      <c r="O661" s="17"/>
      <c r="P661" s="17"/>
      <c r="Q661" s="17"/>
      <c r="R661" s="17"/>
      <c r="S661" s="201"/>
      <c r="T661" s="201"/>
      <c r="U661" s="201"/>
      <c r="V661" s="201"/>
      <c r="W661" s="17"/>
      <c r="X661" s="17"/>
      <c r="Y661" s="17"/>
      <c r="Z661" s="17"/>
      <c r="AA661" s="17"/>
      <c r="AB661" s="17"/>
    </row>
    <row r="662">
      <c r="A662" s="17"/>
      <c r="B662" s="17"/>
      <c r="C662" s="17"/>
      <c r="D662" s="17"/>
      <c r="E662" s="17"/>
      <c r="F662" s="297"/>
      <c r="G662" s="17"/>
      <c r="H662" s="17"/>
      <c r="I662" s="17"/>
      <c r="J662" s="17"/>
      <c r="K662" s="17"/>
      <c r="L662" s="17"/>
      <c r="M662" s="17"/>
      <c r="N662" s="17"/>
      <c r="O662" s="17"/>
      <c r="P662" s="17"/>
      <c r="Q662" s="17"/>
      <c r="R662" s="17"/>
      <c r="S662" s="201"/>
      <c r="T662" s="201"/>
      <c r="U662" s="201"/>
      <c r="V662" s="201"/>
      <c r="W662" s="17"/>
      <c r="X662" s="17"/>
      <c r="Y662" s="17"/>
      <c r="Z662" s="17"/>
      <c r="AA662" s="17"/>
      <c r="AB662" s="17"/>
    </row>
    <row r="663">
      <c r="A663" s="17"/>
      <c r="B663" s="17"/>
      <c r="C663" s="17"/>
      <c r="D663" s="17"/>
      <c r="E663" s="17"/>
      <c r="F663" s="297"/>
      <c r="G663" s="17"/>
      <c r="H663" s="17"/>
      <c r="I663" s="17"/>
      <c r="J663" s="17"/>
      <c r="K663" s="17"/>
      <c r="L663" s="17"/>
      <c r="M663" s="17"/>
      <c r="N663" s="17"/>
      <c r="O663" s="17"/>
      <c r="P663" s="17"/>
      <c r="Q663" s="17"/>
      <c r="R663" s="17"/>
      <c r="S663" s="201"/>
      <c r="T663" s="201"/>
      <c r="U663" s="201"/>
      <c r="V663" s="201"/>
      <c r="W663" s="17"/>
      <c r="X663" s="17"/>
      <c r="Y663" s="17"/>
      <c r="Z663" s="17"/>
      <c r="AA663" s="17"/>
      <c r="AB663" s="17"/>
    </row>
    <row r="664">
      <c r="A664" s="17"/>
      <c r="B664" s="17"/>
      <c r="C664" s="17"/>
      <c r="D664" s="17"/>
      <c r="E664" s="17"/>
      <c r="F664" s="297"/>
      <c r="G664" s="17"/>
      <c r="H664" s="17"/>
      <c r="I664" s="17"/>
      <c r="J664" s="17"/>
      <c r="K664" s="17"/>
      <c r="L664" s="17"/>
      <c r="M664" s="17"/>
      <c r="N664" s="17"/>
      <c r="O664" s="17"/>
      <c r="P664" s="17"/>
      <c r="Q664" s="17"/>
      <c r="R664" s="17"/>
      <c r="S664" s="201"/>
      <c r="T664" s="201"/>
      <c r="U664" s="201"/>
      <c r="V664" s="201"/>
      <c r="W664" s="17"/>
      <c r="X664" s="17"/>
      <c r="Y664" s="17"/>
      <c r="Z664" s="17"/>
      <c r="AA664" s="17"/>
      <c r="AB664" s="17"/>
    </row>
    <row r="665">
      <c r="A665" s="17"/>
      <c r="B665" s="17"/>
      <c r="C665" s="17"/>
      <c r="D665" s="17"/>
      <c r="E665" s="17"/>
      <c r="F665" s="297"/>
      <c r="G665" s="17"/>
      <c r="H665" s="17"/>
      <c r="I665" s="17"/>
      <c r="J665" s="17"/>
      <c r="K665" s="17"/>
      <c r="L665" s="17"/>
      <c r="M665" s="17"/>
      <c r="N665" s="17"/>
      <c r="O665" s="17"/>
      <c r="P665" s="17"/>
      <c r="Q665" s="17"/>
      <c r="R665" s="17"/>
      <c r="S665" s="201"/>
      <c r="T665" s="201"/>
      <c r="U665" s="201"/>
      <c r="V665" s="201"/>
      <c r="W665" s="17"/>
      <c r="X665" s="17"/>
      <c r="Y665" s="17"/>
      <c r="Z665" s="17"/>
      <c r="AA665" s="17"/>
      <c r="AB665" s="17"/>
    </row>
    <row r="666">
      <c r="A666" s="17"/>
      <c r="B666" s="17"/>
      <c r="C666" s="17"/>
      <c r="D666" s="17"/>
      <c r="E666" s="17"/>
      <c r="F666" s="297"/>
      <c r="G666" s="17"/>
      <c r="H666" s="17"/>
      <c r="I666" s="17"/>
      <c r="J666" s="17"/>
      <c r="K666" s="17"/>
      <c r="L666" s="17"/>
      <c r="M666" s="17"/>
      <c r="N666" s="17"/>
      <c r="O666" s="17"/>
      <c r="P666" s="17"/>
      <c r="Q666" s="17"/>
      <c r="R666" s="17"/>
      <c r="S666" s="201"/>
      <c r="T666" s="201"/>
      <c r="U666" s="201"/>
      <c r="V666" s="201"/>
      <c r="W666" s="17"/>
      <c r="X666" s="17"/>
      <c r="Y666" s="17"/>
      <c r="Z666" s="17"/>
      <c r="AA666" s="17"/>
      <c r="AB666" s="17"/>
    </row>
    <row r="667">
      <c r="A667" s="17"/>
      <c r="B667" s="17"/>
      <c r="C667" s="17"/>
      <c r="D667" s="17"/>
      <c r="E667" s="17"/>
      <c r="F667" s="297"/>
      <c r="G667" s="17"/>
      <c r="H667" s="17"/>
      <c r="I667" s="17"/>
      <c r="J667" s="17"/>
      <c r="K667" s="17"/>
      <c r="L667" s="17"/>
      <c r="M667" s="17"/>
      <c r="N667" s="17"/>
      <c r="O667" s="17"/>
      <c r="P667" s="17"/>
      <c r="Q667" s="17"/>
      <c r="R667" s="17"/>
      <c r="S667" s="201"/>
      <c r="T667" s="201"/>
      <c r="U667" s="201"/>
      <c r="V667" s="201"/>
      <c r="W667" s="17"/>
      <c r="X667" s="17"/>
      <c r="Y667" s="17"/>
      <c r="Z667" s="17"/>
      <c r="AA667" s="17"/>
      <c r="AB667" s="17"/>
    </row>
    <row r="668">
      <c r="A668" s="17"/>
      <c r="B668" s="17"/>
      <c r="C668" s="17"/>
      <c r="D668" s="17"/>
      <c r="E668" s="17"/>
      <c r="F668" s="297"/>
      <c r="G668" s="17"/>
      <c r="H668" s="17"/>
      <c r="I668" s="17"/>
      <c r="J668" s="17"/>
      <c r="K668" s="17"/>
      <c r="L668" s="17"/>
      <c r="M668" s="17"/>
      <c r="N668" s="17"/>
      <c r="O668" s="17"/>
      <c r="P668" s="17"/>
      <c r="Q668" s="17"/>
      <c r="R668" s="17"/>
      <c r="S668" s="201"/>
      <c r="T668" s="201"/>
      <c r="U668" s="201"/>
      <c r="V668" s="201"/>
      <c r="W668" s="17"/>
      <c r="X668" s="17"/>
      <c r="Y668" s="17"/>
      <c r="Z668" s="17"/>
      <c r="AA668" s="17"/>
      <c r="AB668" s="17"/>
    </row>
    <row r="669">
      <c r="A669" s="17"/>
      <c r="B669" s="17"/>
      <c r="C669" s="17"/>
      <c r="D669" s="17"/>
      <c r="E669" s="17"/>
      <c r="F669" s="297"/>
      <c r="G669" s="17"/>
      <c r="H669" s="17"/>
      <c r="I669" s="17"/>
      <c r="J669" s="17"/>
      <c r="K669" s="17"/>
      <c r="L669" s="17"/>
      <c r="M669" s="17"/>
      <c r="N669" s="17"/>
      <c r="O669" s="17"/>
      <c r="P669" s="17"/>
      <c r="Q669" s="17"/>
      <c r="R669" s="17"/>
      <c r="S669" s="201"/>
      <c r="T669" s="201"/>
      <c r="U669" s="201"/>
      <c r="V669" s="201"/>
      <c r="W669" s="17"/>
      <c r="X669" s="17"/>
      <c r="Y669" s="17"/>
      <c r="Z669" s="17"/>
      <c r="AA669" s="17"/>
      <c r="AB669" s="17"/>
    </row>
    <row r="670">
      <c r="A670" s="17"/>
      <c r="B670" s="17"/>
      <c r="C670" s="17"/>
      <c r="D670" s="17"/>
      <c r="E670" s="17"/>
      <c r="F670" s="297"/>
      <c r="G670" s="17"/>
      <c r="H670" s="17"/>
      <c r="I670" s="17"/>
      <c r="J670" s="17"/>
      <c r="K670" s="17"/>
      <c r="L670" s="17"/>
      <c r="M670" s="17"/>
      <c r="N670" s="17"/>
      <c r="O670" s="17"/>
      <c r="P670" s="17"/>
      <c r="Q670" s="17"/>
      <c r="R670" s="17"/>
      <c r="S670" s="201"/>
      <c r="T670" s="201"/>
      <c r="U670" s="201"/>
      <c r="V670" s="201"/>
      <c r="W670" s="17"/>
      <c r="X670" s="17"/>
      <c r="Y670" s="17"/>
      <c r="Z670" s="17"/>
      <c r="AA670" s="17"/>
      <c r="AB670" s="17"/>
    </row>
    <row r="671">
      <c r="A671" s="17"/>
      <c r="B671" s="17"/>
      <c r="C671" s="17"/>
      <c r="D671" s="17"/>
      <c r="E671" s="17"/>
      <c r="F671" s="297"/>
      <c r="G671" s="17"/>
      <c r="H671" s="17"/>
      <c r="I671" s="17"/>
      <c r="J671" s="17"/>
      <c r="K671" s="17"/>
      <c r="L671" s="17"/>
      <c r="M671" s="17"/>
      <c r="N671" s="17"/>
      <c r="O671" s="17"/>
      <c r="P671" s="17"/>
      <c r="Q671" s="17"/>
      <c r="R671" s="17"/>
      <c r="S671" s="201"/>
      <c r="T671" s="201"/>
      <c r="U671" s="201"/>
      <c r="V671" s="201"/>
      <c r="W671" s="17"/>
      <c r="X671" s="17"/>
      <c r="Y671" s="17"/>
      <c r="Z671" s="17"/>
      <c r="AA671" s="17"/>
      <c r="AB671" s="17"/>
    </row>
    <row r="672">
      <c r="A672" s="17"/>
      <c r="B672" s="17"/>
      <c r="C672" s="17"/>
      <c r="D672" s="17"/>
      <c r="E672" s="17"/>
      <c r="F672" s="297"/>
      <c r="G672" s="17"/>
      <c r="H672" s="17"/>
      <c r="I672" s="17"/>
      <c r="J672" s="17"/>
      <c r="K672" s="17"/>
      <c r="L672" s="17"/>
      <c r="M672" s="17"/>
      <c r="N672" s="17"/>
      <c r="O672" s="17"/>
      <c r="P672" s="17"/>
      <c r="Q672" s="17"/>
      <c r="R672" s="17"/>
      <c r="S672" s="201"/>
      <c r="T672" s="201"/>
      <c r="U672" s="201"/>
      <c r="V672" s="201"/>
      <c r="W672" s="17"/>
      <c r="X672" s="17"/>
      <c r="Y672" s="17"/>
      <c r="Z672" s="17"/>
      <c r="AA672" s="17"/>
      <c r="AB672" s="17"/>
    </row>
    <row r="673">
      <c r="A673" s="17"/>
      <c r="B673" s="17"/>
      <c r="C673" s="17"/>
      <c r="D673" s="17"/>
      <c r="E673" s="17"/>
      <c r="F673" s="297"/>
      <c r="G673" s="17"/>
      <c r="H673" s="17"/>
      <c r="I673" s="17"/>
      <c r="J673" s="17"/>
      <c r="K673" s="17"/>
      <c r="L673" s="17"/>
      <c r="M673" s="17"/>
      <c r="N673" s="17"/>
      <c r="O673" s="17"/>
      <c r="P673" s="17"/>
      <c r="Q673" s="17"/>
      <c r="R673" s="17"/>
      <c r="S673" s="201"/>
      <c r="T673" s="201"/>
      <c r="U673" s="201"/>
      <c r="V673" s="201"/>
      <c r="W673" s="17"/>
      <c r="X673" s="17"/>
      <c r="Y673" s="17"/>
      <c r="Z673" s="17"/>
      <c r="AA673" s="17"/>
      <c r="AB673" s="17"/>
    </row>
    <row r="674">
      <c r="A674" s="17"/>
      <c r="B674" s="17"/>
      <c r="C674" s="17"/>
      <c r="D674" s="17"/>
      <c r="E674" s="17"/>
      <c r="F674" s="297"/>
      <c r="G674" s="17"/>
      <c r="H674" s="17"/>
      <c r="I674" s="17"/>
      <c r="J674" s="17"/>
      <c r="K674" s="17"/>
      <c r="L674" s="17"/>
      <c r="M674" s="17"/>
      <c r="N674" s="17"/>
      <c r="O674" s="17"/>
      <c r="P674" s="17"/>
      <c r="Q674" s="17"/>
      <c r="R674" s="17"/>
      <c r="S674" s="201"/>
      <c r="T674" s="201"/>
      <c r="U674" s="201"/>
      <c r="V674" s="201"/>
      <c r="W674" s="17"/>
      <c r="X674" s="17"/>
      <c r="Y674" s="17"/>
      <c r="Z674" s="17"/>
      <c r="AA674" s="17"/>
      <c r="AB674" s="17"/>
    </row>
    <row r="675">
      <c r="A675" s="17"/>
      <c r="B675" s="17"/>
      <c r="C675" s="17"/>
      <c r="D675" s="17"/>
      <c r="E675" s="17"/>
      <c r="F675" s="297"/>
      <c r="G675" s="17"/>
      <c r="H675" s="17"/>
      <c r="I675" s="17"/>
      <c r="J675" s="17"/>
      <c r="K675" s="17"/>
      <c r="L675" s="17"/>
      <c r="M675" s="17"/>
      <c r="N675" s="17"/>
      <c r="O675" s="17"/>
      <c r="P675" s="17"/>
      <c r="Q675" s="17"/>
      <c r="R675" s="17"/>
      <c r="S675" s="201"/>
      <c r="T675" s="201"/>
      <c r="U675" s="201"/>
      <c r="V675" s="201"/>
      <c r="W675" s="17"/>
      <c r="X675" s="17"/>
      <c r="Y675" s="17"/>
      <c r="Z675" s="17"/>
      <c r="AA675" s="17"/>
      <c r="AB675" s="17"/>
    </row>
    <row r="676">
      <c r="A676" s="17"/>
      <c r="B676" s="17"/>
      <c r="C676" s="17"/>
      <c r="D676" s="17"/>
      <c r="E676" s="17"/>
      <c r="F676" s="297"/>
      <c r="G676" s="17"/>
      <c r="H676" s="17"/>
      <c r="I676" s="17"/>
      <c r="J676" s="17"/>
      <c r="K676" s="17"/>
      <c r="L676" s="17"/>
      <c r="M676" s="17"/>
      <c r="N676" s="17"/>
      <c r="O676" s="17"/>
      <c r="P676" s="17"/>
      <c r="Q676" s="17"/>
      <c r="R676" s="17"/>
      <c r="S676" s="201"/>
      <c r="T676" s="201"/>
      <c r="U676" s="201"/>
      <c r="V676" s="201"/>
      <c r="W676" s="17"/>
      <c r="X676" s="17"/>
      <c r="Y676" s="17"/>
      <c r="Z676" s="17"/>
      <c r="AA676" s="17"/>
      <c r="AB676" s="17"/>
    </row>
    <row r="677">
      <c r="A677" s="17"/>
      <c r="B677" s="17"/>
      <c r="C677" s="17"/>
      <c r="D677" s="17"/>
      <c r="E677" s="17"/>
      <c r="F677" s="297"/>
      <c r="G677" s="17"/>
      <c r="H677" s="17"/>
      <c r="I677" s="17"/>
      <c r="J677" s="17"/>
      <c r="K677" s="17"/>
      <c r="L677" s="17"/>
      <c r="M677" s="17"/>
      <c r="N677" s="17"/>
      <c r="O677" s="17"/>
      <c r="P677" s="17"/>
      <c r="Q677" s="17"/>
      <c r="R677" s="17"/>
      <c r="S677" s="201"/>
      <c r="T677" s="201"/>
      <c r="U677" s="201"/>
      <c r="V677" s="201"/>
      <c r="W677" s="17"/>
      <c r="X677" s="17"/>
      <c r="Y677" s="17"/>
      <c r="Z677" s="17"/>
      <c r="AA677" s="17"/>
      <c r="AB677" s="17"/>
    </row>
    <row r="678">
      <c r="A678" s="17"/>
      <c r="B678" s="17"/>
      <c r="C678" s="17"/>
      <c r="D678" s="17"/>
      <c r="E678" s="17"/>
      <c r="F678" s="297"/>
      <c r="G678" s="17"/>
      <c r="H678" s="17"/>
      <c r="I678" s="17"/>
      <c r="J678" s="17"/>
      <c r="K678" s="17"/>
      <c r="L678" s="17"/>
      <c r="M678" s="17"/>
      <c r="N678" s="17"/>
      <c r="O678" s="17"/>
      <c r="P678" s="17"/>
      <c r="Q678" s="17"/>
      <c r="R678" s="17"/>
      <c r="S678" s="201"/>
      <c r="T678" s="201"/>
      <c r="U678" s="201"/>
      <c r="V678" s="201"/>
      <c r="W678" s="17"/>
      <c r="X678" s="17"/>
      <c r="Y678" s="17"/>
      <c r="Z678" s="17"/>
      <c r="AA678" s="17"/>
      <c r="AB678" s="17"/>
    </row>
    <row r="679">
      <c r="A679" s="17"/>
      <c r="B679" s="17"/>
      <c r="C679" s="17"/>
      <c r="D679" s="17"/>
      <c r="E679" s="17"/>
      <c r="F679" s="297"/>
      <c r="G679" s="17"/>
      <c r="H679" s="17"/>
      <c r="I679" s="17"/>
      <c r="J679" s="17"/>
      <c r="K679" s="17"/>
      <c r="L679" s="17"/>
      <c r="M679" s="17"/>
      <c r="N679" s="17"/>
      <c r="O679" s="17"/>
      <c r="P679" s="17"/>
      <c r="Q679" s="17"/>
      <c r="R679" s="17"/>
      <c r="S679" s="201"/>
      <c r="T679" s="201"/>
      <c r="U679" s="201"/>
      <c r="V679" s="201"/>
      <c r="W679" s="17"/>
      <c r="X679" s="17"/>
      <c r="Y679" s="17"/>
      <c r="Z679" s="17"/>
      <c r="AA679" s="17"/>
      <c r="AB679" s="17"/>
    </row>
    <row r="680">
      <c r="A680" s="17"/>
      <c r="B680" s="17"/>
      <c r="C680" s="17"/>
      <c r="D680" s="17"/>
      <c r="E680" s="17"/>
      <c r="F680" s="297"/>
      <c r="G680" s="17"/>
      <c r="H680" s="17"/>
      <c r="I680" s="17"/>
      <c r="J680" s="17"/>
      <c r="K680" s="17"/>
      <c r="L680" s="17"/>
      <c r="M680" s="17"/>
      <c r="N680" s="17"/>
      <c r="O680" s="17"/>
      <c r="P680" s="17"/>
      <c r="Q680" s="17"/>
      <c r="R680" s="17"/>
      <c r="S680" s="201"/>
      <c r="T680" s="201"/>
      <c r="U680" s="201"/>
      <c r="V680" s="201"/>
      <c r="W680" s="17"/>
      <c r="X680" s="17"/>
      <c r="Y680" s="17"/>
      <c r="Z680" s="17"/>
      <c r="AA680" s="17"/>
      <c r="AB680" s="17"/>
    </row>
    <row r="681">
      <c r="A681" s="17"/>
      <c r="B681" s="17"/>
      <c r="C681" s="17"/>
      <c r="D681" s="17"/>
      <c r="E681" s="17"/>
      <c r="F681" s="297"/>
      <c r="G681" s="17"/>
      <c r="H681" s="17"/>
      <c r="I681" s="17"/>
      <c r="J681" s="17"/>
      <c r="K681" s="17"/>
      <c r="L681" s="17"/>
      <c r="M681" s="17"/>
      <c r="N681" s="17"/>
      <c r="O681" s="17"/>
      <c r="P681" s="17"/>
      <c r="Q681" s="17"/>
      <c r="R681" s="17"/>
      <c r="S681" s="201"/>
      <c r="T681" s="201"/>
      <c r="U681" s="201"/>
      <c r="V681" s="201"/>
      <c r="W681" s="17"/>
      <c r="X681" s="17"/>
      <c r="Y681" s="17"/>
      <c r="Z681" s="17"/>
      <c r="AA681" s="17"/>
      <c r="AB681" s="17"/>
    </row>
    <row r="682">
      <c r="A682" s="17"/>
      <c r="B682" s="17"/>
      <c r="C682" s="17"/>
      <c r="D682" s="17"/>
      <c r="E682" s="17"/>
      <c r="F682" s="297"/>
      <c r="G682" s="17"/>
      <c r="H682" s="17"/>
      <c r="I682" s="17"/>
      <c r="J682" s="17"/>
      <c r="K682" s="17"/>
      <c r="L682" s="17"/>
      <c r="M682" s="17"/>
      <c r="N682" s="17"/>
      <c r="O682" s="17"/>
      <c r="P682" s="17"/>
      <c r="Q682" s="17"/>
      <c r="R682" s="17"/>
      <c r="S682" s="201"/>
      <c r="T682" s="201"/>
      <c r="U682" s="201"/>
      <c r="V682" s="201"/>
      <c r="W682" s="17"/>
      <c r="X682" s="17"/>
      <c r="Y682" s="17"/>
      <c r="Z682" s="17"/>
      <c r="AA682" s="17"/>
      <c r="AB682" s="17"/>
    </row>
    <row r="683">
      <c r="A683" s="17"/>
      <c r="B683" s="17"/>
      <c r="C683" s="17"/>
      <c r="D683" s="17"/>
      <c r="E683" s="17"/>
      <c r="F683" s="297"/>
      <c r="G683" s="17"/>
      <c r="H683" s="17"/>
      <c r="I683" s="17"/>
      <c r="J683" s="17"/>
      <c r="K683" s="17"/>
      <c r="L683" s="17"/>
      <c r="M683" s="17"/>
      <c r="N683" s="17"/>
      <c r="O683" s="17"/>
      <c r="P683" s="17"/>
      <c r="Q683" s="17"/>
      <c r="R683" s="17"/>
      <c r="S683" s="201"/>
      <c r="T683" s="201"/>
      <c r="U683" s="201"/>
      <c r="V683" s="201"/>
      <c r="W683" s="17"/>
      <c r="X683" s="17"/>
      <c r="Y683" s="17"/>
      <c r="Z683" s="17"/>
      <c r="AA683" s="17"/>
      <c r="AB683" s="17"/>
    </row>
    <row r="684">
      <c r="A684" s="17"/>
      <c r="B684" s="17"/>
      <c r="C684" s="17"/>
      <c r="D684" s="17"/>
      <c r="E684" s="17"/>
      <c r="F684" s="297"/>
      <c r="G684" s="17"/>
      <c r="H684" s="17"/>
      <c r="I684" s="17"/>
      <c r="J684" s="17"/>
      <c r="K684" s="17"/>
      <c r="L684" s="17"/>
      <c r="M684" s="17"/>
      <c r="N684" s="17"/>
      <c r="O684" s="17"/>
      <c r="P684" s="17"/>
      <c r="Q684" s="17"/>
      <c r="R684" s="17"/>
      <c r="S684" s="201"/>
      <c r="T684" s="201"/>
      <c r="U684" s="201"/>
      <c r="V684" s="201"/>
      <c r="W684" s="17"/>
      <c r="X684" s="17"/>
      <c r="Y684" s="17"/>
      <c r="Z684" s="17"/>
      <c r="AA684" s="17"/>
      <c r="AB684" s="17"/>
    </row>
    <row r="685">
      <c r="A685" s="17"/>
      <c r="B685" s="17"/>
      <c r="C685" s="17"/>
      <c r="D685" s="17"/>
      <c r="E685" s="17"/>
      <c r="F685" s="297"/>
      <c r="G685" s="17"/>
      <c r="H685" s="17"/>
      <c r="I685" s="17"/>
      <c r="J685" s="17"/>
      <c r="K685" s="17"/>
      <c r="L685" s="17"/>
      <c r="M685" s="17"/>
      <c r="N685" s="17"/>
      <c r="O685" s="17"/>
      <c r="P685" s="17"/>
      <c r="Q685" s="17"/>
      <c r="R685" s="17"/>
      <c r="S685" s="201"/>
      <c r="T685" s="201"/>
      <c r="U685" s="201"/>
      <c r="V685" s="201"/>
      <c r="W685" s="17"/>
      <c r="X685" s="17"/>
      <c r="Y685" s="17"/>
      <c r="Z685" s="17"/>
      <c r="AA685" s="17"/>
      <c r="AB685" s="17"/>
    </row>
    <row r="686">
      <c r="A686" s="17"/>
      <c r="B686" s="17"/>
      <c r="C686" s="17"/>
      <c r="D686" s="17"/>
      <c r="E686" s="17"/>
      <c r="F686" s="297"/>
      <c r="G686" s="17"/>
      <c r="H686" s="17"/>
      <c r="I686" s="17"/>
      <c r="J686" s="17"/>
      <c r="K686" s="17"/>
      <c r="L686" s="17"/>
      <c r="M686" s="17"/>
      <c r="N686" s="17"/>
      <c r="O686" s="17"/>
      <c r="P686" s="17"/>
      <c r="Q686" s="17"/>
      <c r="R686" s="17"/>
      <c r="S686" s="201"/>
      <c r="T686" s="201"/>
      <c r="U686" s="201"/>
      <c r="V686" s="201"/>
      <c r="W686" s="17"/>
      <c r="X686" s="17"/>
      <c r="Y686" s="17"/>
      <c r="Z686" s="17"/>
      <c r="AA686" s="17"/>
      <c r="AB686" s="17"/>
    </row>
    <row r="687">
      <c r="A687" s="17"/>
      <c r="B687" s="17"/>
      <c r="C687" s="17"/>
      <c r="D687" s="17"/>
      <c r="E687" s="17"/>
      <c r="F687" s="297"/>
      <c r="G687" s="17"/>
      <c r="H687" s="17"/>
      <c r="I687" s="17"/>
      <c r="J687" s="17"/>
      <c r="K687" s="17"/>
      <c r="L687" s="17"/>
      <c r="M687" s="17"/>
      <c r="N687" s="17"/>
      <c r="O687" s="17"/>
      <c r="P687" s="17"/>
      <c r="Q687" s="17"/>
      <c r="R687" s="17"/>
      <c r="S687" s="201"/>
      <c r="T687" s="201"/>
      <c r="U687" s="201"/>
      <c r="V687" s="201"/>
      <c r="W687" s="17"/>
      <c r="X687" s="17"/>
      <c r="Y687" s="17"/>
      <c r="Z687" s="17"/>
      <c r="AA687" s="17"/>
      <c r="AB687" s="17"/>
    </row>
    <row r="688">
      <c r="A688" s="17"/>
      <c r="B688" s="17"/>
      <c r="C688" s="17"/>
      <c r="D688" s="17"/>
      <c r="E688" s="17"/>
      <c r="F688" s="297"/>
      <c r="G688" s="17"/>
      <c r="H688" s="17"/>
      <c r="I688" s="17"/>
      <c r="J688" s="17"/>
      <c r="K688" s="17"/>
      <c r="L688" s="17"/>
      <c r="M688" s="17"/>
      <c r="N688" s="17"/>
      <c r="O688" s="17"/>
      <c r="P688" s="17"/>
      <c r="Q688" s="17"/>
      <c r="R688" s="17"/>
      <c r="S688" s="201"/>
      <c r="T688" s="201"/>
      <c r="U688" s="201"/>
      <c r="V688" s="201"/>
      <c r="W688" s="17"/>
      <c r="X688" s="17"/>
      <c r="Y688" s="17"/>
      <c r="Z688" s="17"/>
      <c r="AA688" s="17"/>
      <c r="AB688" s="17"/>
    </row>
    <row r="689">
      <c r="A689" s="17"/>
      <c r="B689" s="17"/>
      <c r="C689" s="17"/>
      <c r="D689" s="17"/>
      <c r="E689" s="17"/>
      <c r="F689" s="297"/>
      <c r="G689" s="17"/>
      <c r="H689" s="17"/>
      <c r="I689" s="17"/>
      <c r="J689" s="17"/>
      <c r="K689" s="17"/>
      <c r="L689" s="17"/>
      <c r="M689" s="17"/>
      <c r="N689" s="17"/>
      <c r="O689" s="17"/>
      <c r="P689" s="17"/>
      <c r="Q689" s="17"/>
      <c r="R689" s="17"/>
      <c r="S689" s="201"/>
      <c r="T689" s="201"/>
      <c r="U689" s="201"/>
      <c r="V689" s="201"/>
      <c r="W689" s="17"/>
      <c r="X689" s="17"/>
      <c r="Y689" s="17"/>
      <c r="Z689" s="17"/>
      <c r="AA689" s="17"/>
      <c r="AB689" s="17"/>
    </row>
    <row r="690">
      <c r="A690" s="17"/>
      <c r="B690" s="17"/>
      <c r="C690" s="17"/>
      <c r="D690" s="17"/>
      <c r="E690" s="17"/>
      <c r="F690" s="297"/>
      <c r="G690" s="17"/>
      <c r="H690" s="17"/>
      <c r="I690" s="17"/>
      <c r="J690" s="17"/>
      <c r="K690" s="17"/>
      <c r="L690" s="17"/>
      <c r="M690" s="17"/>
      <c r="N690" s="17"/>
      <c r="O690" s="17"/>
      <c r="P690" s="17"/>
      <c r="Q690" s="17"/>
      <c r="R690" s="17"/>
      <c r="S690" s="201"/>
      <c r="T690" s="201"/>
      <c r="U690" s="201"/>
      <c r="V690" s="201"/>
      <c r="W690" s="17"/>
      <c r="X690" s="17"/>
      <c r="Y690" s="17"/>
      <c r="Z690" s="17"/>
      <c r="AA690" s="17"/>
      <c r="AB690" s="17"/>
    </row>
    <row r="691">
      <c r="A691" s="17"/>
      <c r="B691" s="17"/>
      <c r="C691" s="17"/>
      <c r="D691" s="17"/>
      <c r="E691" s="17"/>
      <c r="F691" s="297"/>
      <c r="G691" s="17"/>
      <c r="H691" s="17"/>
      <c r="I691" s="17"/>
      <c r="J691" s="17"/>
      <c r="K691" s="17"/>
      <c r="L691" s="17"/>
      <c r="M691" s="17"/>
      <c r="N691" s="17"/>
      <c r="O691" s="17"/>
      <c r="P691" s="17"/>
      <c r="Q691" s="17"/>
      <c r="R691" s="17"/>
      <c r="S691" s="201"/>
      <c r="T691" s="201"/>
      <c r="U691" s="201"/>
      <c r="V691" s="201"/>
      <c r="W691" s="17"/>
      <c r="X691" s="17"/>
      <c r="Y691" s="17"/>
      <c r="Z691" s="17"/>
      <c r="AA691" s="17"/>
      <c r="AB691" s="17"/>
    </row>
    <row r="692">
      <c r="A692" s="17"/>
      <c r="B692" s="17"/>
      <c r="C692" s="17"/>
      <c r="D692" s="17"/>
      <c r="E692" s="17"/>
      <c r="F692" s="297"/>
      <c r="G692" s="17"/>
      <c r="H692" s="17"/>
      <c r="I692" s="17"/>
      <c r="J692" s="17"/>
      <c r="K692" s="17"/>
      <c r="L692" s="17"/>
      <c r="M692" s="17"/>
      <c r="N692" s="17"/>
      <c r="O692" s="17"/>
      <c r="P692" s="17"/>
      <c r="Q692" s="17"/>
      <c r="R692" s="17"/>
      <c r="S692" s="201"/>
      <c r="T692" s="201"/>
      <c r="U692" s="201"/>
      <c r="V692" s="201"/>
      <c r="W692" s="17"/>
      <c r="X692" s="17"/>
      <c r="Y692" s="17"/>
      <c r="Z692" s="17"/>
      <c r="AA692" s="17"/>
      <c r="AB692" s="17"/>
    </row>
    <row r="693">
      <c r="A693" s="17"/>
      <c r="B693" s="17"/>
      <c r="C693" s="17"/>
      <c r="D693" s="17"/>
      <c r="E693" s="17"/>
      <c r="F693" s="297"/>
      <c r="G693" s="17"/>
      <c r="H693" s="17"/>
      <c r="I693" s="17"/>
      <c r="J693" s="17"/>
      <c r="K693" s="17"/>
      <c r="L693" s="17"/>
      <c r="M693" s="17"/>
      <c r="N693" s="17"/>
      <c r="O693" s="17"/>
      <c r="P693" s="17"/>
      <c r="Q693" s="17"/>
      <c r="R693" s="17"/>
      <c r="S693" s="201"/>
      <c r="T693" s="201"/>
      <c r="U693" s="201"/>
      <c r="V693" s="201"/>
      <c r="W693" s="17"/>
      <c r="X693" s="17"/>
      <c r="Y693" s="17"/>
      <c r="Z693" s="17"/>
      <c r="AA693" s="17"/>
      <c r="AB693" s="17"/>
    </row>
    <row r="694">
      <c r="A694" s="17"/>
      <c r="B694" s="17"/>
      <c r="C694" s="17"/>
      <c r="D694" s="17"/>
      <c r="E694" s="17"/>
      <c r="F694" s="297"/>
      <c r="G694" s="17"/>
      <c r="H694" s="17"/>
      <c r="I694" s="17"/>
      <c r="J694" s="17"/>
      <c r="K694" s="17"/>
      <c r="L694" s="17"/>
      <c r="M694" s="17"/>
      <c r="N694" s="17"/>
      <c r="O694" s="17"/>
      <c r="P694" s="17"/>
      <c r="Q694" s="17"/>
      <c r="R694" s="17"/>
      <c r="S694" s="201"/>
      <c r="T694" s="201"/>
      <c r="U694" s="201"/>
      <c r="V694" s="201"/>
      <c r="W694" s="17"/>
      <c r="X694" s="17"/>
      <c r="Y694" s="17"/>
      <c r="Z694" s="17"/>
      <c r="AA694" s="17"/>
      <c r="AB694" s="17"/>
    </row>
    <row r="695">
      <c r="A695" s="17"/>
      <c r="B695" s="17"/>
      <c r="C695" s="17"/>
      <c r="D695" s="17"/>
      <c r="E695" s="17"/>
      <c r="F695" s="297"/>
      <c r="G695" s="17"/>
      <c r="H695" s="17"/>
      <c r="I695" s="17"/>
      <c r="J695" s="17"/>
      <c r="K695" s="17"/>
      <c r="L695" s="17"/>
      <c r="M695" s="17"/>
      <c r="N695" s="17"/>
      <c r="O695" s="17"/>
      <c r="P695" s="17"/>
      <c r="Q695" s="17"/>
      <c r="R695" s="17"/>
      <c r="S695" s="201"/>
      <c r="T695" s="201"/>
      <c r="U695" s="201"/>
      <c r="V695" s="201"/>
      <c r="W695" s="17"/>
      <c r="X695" s="17"/>
      <c r="Y695" s="17"/>
      <c r="Z695" s="17"/>
      <c r="AA695" s="17"/>
      <c r="AB695" s="17"/>
    </row>
    <row r="696">
      <c r="A696" s="17"/>
      <c r="B696" s="17"/>
      <c r="C696" s="17"/>
      <c r="D696" s="17"/>
      <c r="E696" s="17"/>
      <c r="F696" s="297"/>
      <c r="G696" s="17"/>
      <c r="H696" s="17"/>
      <c r="I696" s="17"/>
      <c r="J696" s="17"/>
      <c r="K696" s="17"/>
      <c r="L696" s="17"/>
      <c r="M696" s="17"/>
      <c r="N696" s="17"/>
      <c r="O696" s="17"/>
      <c r="P696" s="17"/>
      <c r="Q696" s="17"/>
      <c r="R696" s="17"/>
      <c r="S696" s="201"/>
      <c r="T696" s="201"/>
      <c r="U696" s="201"/>
      <c r="V696" s="201"/>
      <c r="W696" s="17"/>
      <c r="X696" s="17"/>
      <c r="Y696" s="17"/>
      <c r="Z696" s="17"/>
      <c r="AA696" s="17"/>
      <c r="AB696" s="17"/>
    </row>
    <row r="697">
      <c r="A697" s="17"/>
      <c r="B697" s="17"/>
      <c r="C697" s="17"/>
      <c r="D697" s="17"/>
      <c r="E697" s="17"/>
      <c r="F697" s="297"/>
      <c r="G697" s="17"/>
      <c r="H697" s="17"/>
      <c r="I697" s="17"/>
      <c r="J697" s="17"/>
      <c r="K697" s="17"/>
      <c r="L697" s="17"/>
      <c r="M697" s="17"/>
      <c r="N697" s="17"/>
      <c r="O697" s="17"/>
      <c r="P697" s="17"/>
      <c r="Q697" s="17"/>
      <c r="R697" s="17"/>
      <c r="S697" s="201"/>
      <c r="T697" s="201"/>
      <c r="U697" s="201"/>
      <c r="V697" s="201"/>
      <c r="W697" s="17"/>
      <c r="X697" s="17"/>
      <c r="Y697" s="17"/>
      <c r="Z697" s="17"/>
      <c r="AA697" s="17"/>
      <c r="AB697" s="17"/>
    </row>
    <row r="698">
      <c r="A698" s="17"/>
      <c r="B698" s="17"/>
      <c r="C698" s="17"/>
      <c r="D698" s="17"/>
      <c r="E698" s="17"/>
      <c r="F698" s="297"/>
      <c r="G698" s="17"/>
      <c r="H698" s="17"/>
      <c r="I698" s="17"/>
      <c r="J698" s="17"/>
      <c r="K698" s="17"/>
      <c r="L698" s="17"/>
      <c r="M698" s="17"/>
      <c r="N698" s="17"/>
      <c r="O698" s="17"/>
      <c r="P698" s="17"/>
      <c r="Q698" s="17"/>
      <c r="R698" s="17"/>
      <c r="S698" s="201"/>
      <c r="T698" s="201"/>
      <c r="U698" s="201"/>
      <c r="V698" s="201"/>
      <c r="W698" s="17"/>
      <c r="X698" s="17"/>
      <c r="Y698" s="17"/>
      <c r="Z698" s="17"/>
      <c r="AA698" s="17"/>
      <c r="AB698" s="17"/>
    </row>
    <row r="699">
      <c r="A699" s="17"/>
      <c r="B699" s="17"/>
      <c r="C699" s="17"/>
      <c r="D699" s="17"/>
      <c r="E699" s="17"/>
      <c r="F699" s="297"/>
      <c r="G699" s="17"/>
      <c r="H699" s="17"/>
      <c r="I699" s="17"/>
      <c r="J699" s="17"/>
      <c r="K699" s="17"/>
      <c r="L699" s="17"/>
      <c r="M699" s="17"/>
      <c r="N699" s="17"/>
      <c r="O699" s="17"/>
      <c r="P699" s="17"/>
      <c r="Q699" s="17"/>
      <c r="R699" s="17"/>
      <c r="S699" s="201"/>
      <c r="T699" s="201"/>
      <c r="U699" s="201"/>
      <c r="V699" s="201"/>
      <c r="W699" s="17"/>
      <c r="X699" s="17"/>
      <c r="Y699" s="17"/>
      <c r="Z699" s="17"/>
      <c r="AA699" s="17"/>
      <c r="AB699" s="17"/>
    </row>
    <row r="700">
      <c r="A700" s="17"/>
      <c r="B700" s="17"/>
      <c r="C700" s="17"/>
      <c r="D700" s="17"/>
      <c r="E700" s="17"/>
      <c r="F700" s="297"/>
      <c r="G700" s="17"/>
      <c r="H700" s="17"/>
      <c r="I700" s="17"/>
      <c r="J700" s="17"/>
      <c r="K700" s="17"/>
      <c r="L700" s="17"/>
      <c r="M700" s="17"/>
      <c r="N700" s="17"/>
      <c r="O700" s="17"/>
      <c r="P700" s="17"/>
      <c r="Q700" s="17"/>
      <c r="R700" s="17"/>
      <c r="S700" s="201"/>
      <c r="T700" s="201"/>
      <c r="U700" s="201"/>
      <c r="V700" s="201"/>
      <c r="W700" s="17"/>
      <c r="X700" s="17"/>
      <c r="Y700" s="17"/>
      <c r="Z700" s="17"/>
      <c r="AA700" s="17"/>
      <c r="AB700" s="17"/>
    </row>
    <row r="701">
      <c r="A701" s="17"/>
      <c r="B701" s="17"/>
      <c r="C701" s="17"/>
      <c r="D701" s="17"/>
      <c r="E701" s="17"/>
      <c r="F701" s="297"/>
      <c r="G701" s="17"/>
      <c r="H701" s="17"/>
      <c r="I701" s="17"/>
      <c r="J701" s="17"/>
      <c r="K701" s="17"/>
      <c r="L701" s="17"/>
      <c r="M701" s="17"/>
      <c r="N701" s="17"/>
      <c r="O701" s="17"/>
      <c r="P701" s="17"/>
      <c r="Q701" s="17"/>
      <c r="R701" s="17"/>
      <c r="S701" s="201"/>
      <c r="T701" s="201"/>
      <c r="U701" s="201"/>
      <c r="V701" s="201"/>
      <c r="W701" s="17"/>
      <c r="X701" s="17"/>
      <c r="Y701" s="17"/>
      <c r="Z701" s="17"/>
      <c r="AA701" s="17"/>
      <c r="AB701" s="17"/>
    </row>
    <row r="702">
      <c r="A702" s="17"/>
      <c r="B702" s="17"/>
      <c r="C702" s="17"/>
      <c r="D702" s="17"/>
      <c r="E702" s="17"/>
      <c r="F702" s="297"/>
      <c r="G702" s="17"/>
      <c r="H702" s="17"/>
      <c r="I702" s="17"/>
      <c r="J702" s="17"/>
      <c r="K702" s="17"/>
      <c r="L702" s="17"/>
      <c r="M702" s="17"/>
      <c r="N702" s="17"/>
      <c r="O702" s="17"/>
      <c r="P702" s="17"/>
      <c r="Q702" s="17"/>
      <c r="R702" s="17"/>
      <c r="S702" s="201"/>
      <c r="T702" s="201"/>
      <c r="U702" s="201"/>
      <c r="V702" s="201"/>
      <c r="W702" s="17"/>
      <c r="X702" s="17"/>
      <c r="Y702" s="17"/>
      <c r="Z702" s="17"/>
      <c r="AA702" s="17"/>
      <c r="AB702" s="17"/>
    </row>
    <row r="703">
      <c r="A703" s="17"/>
      <c r="B703" s="17"/>
      <c r="C703" s="17"/>
      <c r="D703" s="17"/>
      <c r="E703" s="17"/>
      <c r="F703" s="297"/>
      <c r="G703" s="17"/>
      <c r="H703" s="17"/>
      <c r="I703" s="17"/>
      <c r="J703" s="17"/>
      <c r="K703" s="17"/>
      <c r="L703" s="17"/>
      <c r="M703" s="17"/>
      <c r="N703" s="17"/>
      <c r="O703" s="17"/>
      <c r="P703" s="17"/>
      <c r="Q703" s="17"/>
      <c r="R703" s="17"/>
      <c r="S703" s="201"/>
      <c r="T703" s="201"/>
      <c r="U703" s="201"/>
      <c r="V703" s="201"/>
      <c r="W703" s="17"/>
      <c r="X703" s="17"/>
      <c r="Y703" s="17"/>
      <c r="Z703" s="17"/>
      <c r="AA703" s="17"/>
      <c r="AB703" s="17"/>
    </row>
    <row r="704">
      <c r="A704" s="17"/>
      <c r="B704" s="17"/>
      <c r="C704" s="17"/>
      <c r="D704" s="17"/>
      <c r="E704" s="17"/>
      <c r="F704" s="297"/>
      <c r="G704" s="17"/>
      <c r="H704" s="17"/>
      <c r="I704" s="17"/>
      <c r="J704" s="17"/>
      <c r="K704" s="17"/>
      <c r="L704" s="17"/>
      <c r="M704" s="17"/>
      <c r="N704" s="17"/>
      <c r="O704" s="17"/>
      <c r="P704" s="17"/>
      <c r="Q704" s="17"/>
      <c r="R704" s="17"/>
      <c r="S704" s="201"/>
      <c r="T704" s="201"/>
      <c r="U704" s="201"/>
      <c r="V704" s="201"/>
      <c r="W704" s="17"/>
      <c r="X704" s="17"/>
      <c r="Y704" s="17"/>
      <c r="Z704" s="17"/>
      <c r="AA704" s="17"/>
      <c r="AB704" s="17"/>
    </row>
    <row r="705">
      <c r="A705" s="17"/>
      <c r="B705" s="17"/>
      <c r="C705" s="17"/>
      <c r="D705" s="17"/>
      <c r="E705" s="17"/>
      <c r="F705" s="297"/>
      <c r="G705" s="17"/>
      <c r="H705" s="17"/>
      <c r="I705" s="17"/>
      <c r="J705" s="17"/>
      <c r="K705" s="17"/>
      <c r="L705" s="17"/>
      <c r="M705" s="17"/>
      <c r="N705" s="17"/>
      <c r="O705" s="17"/>
      <c r="P705" s="17"/>
      <c r="Q705" s="17"/>
      <c r="R705" s="17"/>
      <c r="S705" s="201"/>
      <c r="T705" s="201"/>
      <c r="U705" s="201"/>
      <c r="V705" s="201"/>
      <c r="W705" s="17"/>
      <c r="X705" s="17"/>
      <c r="Y705" s="17"/>
      <c r="Z705" s="17"/>
      <c r="AA705" s="17"/>
      <c r="AB705" s="17"/>
    </row>
    <row r="706">
      <c r="A706" s="17"/>
      <c r="B706" s="17"/>
      <c r="C706" s="17"/>
      <c r="D706" s="17"/>
      <c r="E706" s="17"/>
      <c r="F706" s="297"/>
      <c r="G706" s="17"/>
      <c r="H706" s="17"/>
      <c r="I706" s="17"/>
      <c r="J706" s="17"/>
      <c r="K706" s="17"/>
      <c r="L706" s="17"/>
      <c r="M706" s="17"/>
      <c r="N706" s="17"/>
      <c r="O706" s="17"/>
      <c r="P706" s="17"/>
      <c r="Q706" s="17"/>
      <c r="R706" s="17"/>
      <c r="S706" s="201"/>
      <c r="T706" s="201"/>
      <c r="U706" s="201"/>
      <c r="V706" s="201"/>
      <c r="W706" s="17"/>
      <c r="X706" s="17"/>
      <c r="Y706" s="17"/>
      <c r="Z706" s="17"/>
      <c r="AA706" s="17"/>
      <c r="AB706" s="17"/>
    </row>
    <row r="707">
      <c r="A707" s="17"/>
      <c r="B707" s="17"/>
      <c r="C707" s="17"/>
      <c r="D707" s="17"/>
      <c r="E707" s="17"/>
      <c r="F707" s="297"/>
      <c r="G707" s="17"/>
      <c r="H707" s="17"/>
      <c r="I707" s="17"/>
      <c r="J707" s="17"/>
      <c r="K707" s="17"/>
      <c r="L707" s="17"/>
      <c r="M707" s="17"/>
      <c r="N707" s="17"/>
      <c r="O707" s="17"/>
      <c r="P707" s="17"/>
      <c r="Q707" s="17"/>
      <c r="R707" s="17"/>
      <c r="S707" s="201"/>
      <c r="T707" s="201"/>
      <c r="U707" s="201"/>
      <c r="V707" s="201"/>
      <c r="W707" s="17"/>
      <c r="X707" s="17"/>
      <c r="Y707" s="17"/>
      <c r="Z707" s="17"/>
      <c r="AA707" s="17"/>
      <c r="AB707" s="17"/>
    </row>
    <row r="708">
      <c r="A708" s="17"/>
      <c r="B708" s="17"/>
      <c r="C708" s="17"/>
      <c r="D708" s="17"/>
      <c r="E708" s="17"/>
      <c r="F708" s="297"/>
      <c r="G708" s="17"/>
      <c r="H708" s="17"/>
      <c r="I708" s="17"/>
      <c r="J708" s="17"/>
      <c r="K708" s="17"/>
      <c r="L708" s="17"/>
      <c r="M708" s="17"/>
      <c r="N708" s="17"/>
      <c r="O708" s="17"/>
      <c r="P708" s="17"/>
      <c r="Q708" s="17"/>
      <c r="R708" s="17"/>
      <c r="S708" s="201"/>
      <c r="T708" s="201"/>
      <c r="U708" s="201"/>
      <c r="V708" s="201"/>
      <c r="W708" s="17"/>
      <c r="X708" s="17"/>
      <c r="Y708" s="17"/>
      <c r="Z708" s="17"/>
      <c r="AA708" s="17"/>
      <c r="AB708" s="17"/>
    </row>
    <row r="709">
      <c r="A709" s="17"/>
      <c r="B709" s="17"/>
      <c r="C709" s="17"/>
      <c r="D709" s="17"/>
      <c r="E709" s="17"/>
      <c r="F709" s="297"/>
      <c r="G709" s="17"/>
      <c r="H709" s="17"/>
      <c r="I709" s="17"/>
      <c r="J709" s="17"/>
      <c r="K709" s="17"/>
      <c r="L709" s="17"/>
      <c r="M709" s="17"/>
      <c r="N709" s="17"/>
      <c r="O709" s="17"/>
      <c r="P709" s="17"/>
      <c r="Q709" s="17"/>
      <c r="R709" s="17"/>
      <c r="S709" s="201"/>
      <c r="T709" s="201"/>
      <c r="U709" s="201"/>
      <c r="V709" s="201"/>
      <c r="W709" s="17"/>
      <c r="X709" s="17"/>
      <c r="Y709" s="17"/>
      <c r="Z709" s="17"/>
      <c r="AA709" s="17"/>
      <c r="AB709" s="17"/>
    </row>
    <row r="710">
      <c r="A710" s="17"/>
      <c r="B710" s="17"/>
      <c r="C710" s="17"/>
      <c r="D710" s="17"/>
      <c r="E710" s="17"/>
      <c r="F710" s="297"/>
      <c r="G710" s="17"/>
      <c r="H710" s="17"/>
      <c r="I710" s="17"/>
      <c r="J710" s="17"/>
      <c r="K710" s="17"/>
      <c r="L710" s="17"/>
      <c r="M710" s="17"/>
      <c r="N710" s="17"/>
      <c r="O710" s="17"/>
      <c r="P710" s="17"/>
      <c r="Q710" s="17"/>
      <c r="R710" s="17"/>
      <c r="S710" s="201"/>
      <c r="T710" s="201"/>
      <c r="U710" s="201"/>
      <c r="V710" s="201"/>
      <c r="W710" s="17"/>
      <c r="X710" s="17"/>
      <c r="Y710" s="17"/>
      <c r="Z710" s="17"/>
      <c r="AA710" s="17"/>
      <c r="AB710" s="17"/>
    </row>
    <row r="711">
      <c r="A711" s="17"/>
      <c r="B711" s="17"/>
      <c r="C711" s="17"/>
      <c r="D711" s="17"/>
      <c r="E711" s="17"/>
      <c r="F711" s="297"/>
      <c r="G711" s="17"/>
      <c r="H711" s="17"/>
      <c r="I711" s="17"/>
      <c r="J711" s="17"/>
      <c r="K711" s="17"/>
      <c r="L711" s="17"/>
      <c r="M711" s="17"/>
      <c r="N711" s="17"/>
      <c r="O711" s="17"/>
      <c r="P711" s="17"/>
      <c r="Q711" s="17"/>
      <c r="R711" s="17"/>
      <c r="S711" s="201"/>
      <c r="T711" s="201"/>
      <c r="U711" s="201"/>
      <c r="V711" s="201"/>
      <c r="W711" s="17"/>
      <c r="X711" s="17"/>
      <c r="Y711" s="17"/>
      <c r="Z711" s="17"/>
      <c r="AA711" s="17"/>
      <c r="AB711" s="17"/>
    </row>
    <row r="712">
      <c r="A712" s="17"/>
      <c r="B712" s="17"/>
      <c r="C712" s="17"/>
      <c r="D712" s="17"/>
      <c r="E712" s="17"/>
      <c r="F712" s="297"/>
      <c r="G712" s="17"/>
      <c r="H712" s="17"/>
      <c r="I712" s="17"/>
      <c r="J712" s="17"/>
      <c r="K712" s="17"/>
      <c r="L712" s="17"/>
      <c r="M712" s="17"/>
      <c r="N712" s="17"/>
      <c r="O712" s="17"/>
      <c r="P712" s="17"/>
      <c r="Q712" s="17"/>
      <c r="R712" s="17"/>
      <c r="S712" s="201"/>
      <c r="T712" s="201"/>
      <c r="U712" s="201"/>
      <c r="V712" s="201"/>
      <c r="W712" s="17"/>
      <c r="X712" s="17"/>
      <c r="Y712" s="17"/>
      <c r="Z712" s="17"/>
      <c r="AA712" s="17"/>
      <c r="AB712" s="17"/>
    </row>
    <row r="713">
      <c r="A713" s="17"/>
      <c r="B713" s="17"/>
      <c r="C713" s="17"/>
      <c r="D713" s="17"/>
      <c r="E713" s="17"/>
      <c r="F713" s="297"/>
      <c r="G713" s="17"/>
      <c r="H713" s="17"/>
      <c r="I713" s="17"/>
      <c r="J713" s="17"/>
      <c r="K713" s="17"/>
      <c r="L713" s="17"/>
      <c r="M713" s="17"/>
      <c r="N713" s="17"/>
      <c r="O713" s="17"/>
      <c r="P713" s="17"/>
      <c r="Q713" s="17"/>
      <c r="R713" s="17"/>
      <c r="S713" s="201"/>
      <c r="T713" s="201"/>
      <c r="U713" s="201"/>
      <c r="V713" s="201"/>
      <c r="W713" s="17"/>
      <c r="X713" s="17"/>
      <c r="Y713" s="17"/>
      <c r="Z713" s="17"/>
      <c r="AA713" s="17"/>
      <c r="AB713" s="17"/>
    </row>
    <row r="714">
      <c r="A714" s="17"/>
      <c r="B714" s="17"/>
      <c r="C714" s="17"/>
      <c r="D714" s="17"/>
      <c r="E714" s="17"/>
      <c r="F714" s="297"/>
      <c r="G714" s="17"/>
      <c r="H714" s="17"/>
      <c r="I714" s="17"/>
      <c r="J714" s="17"/>
      <c r="K714" s="17"/>
      <c r="L714" s="17"/>
      <c r="M714" s="17"/>
      <c r="N714" s="17"/>
      <c r="O714" s="17"/>
      <c r="P714" s="17"/>
      <c r="Q714" s="17"/>
      <c r="R714" s="17"/>
      <c r="S714" s="201"/>
      <c r="T714" s="201"/>
      <c r="U714" s="201"/>
      <c r="V714" s="201"/>
      <c r="W714" s="17"/>
      <c r="X714" s="17"/>
      <c r="Y714" s="17"/>
      <c r="Z714" s="17"/>
      <c r="AA714" s="17"/>
      <c r="AB714" s="17"/>
    </row>
    <row r="715">
      <c r="A715" s="17"/>
      <c r="B715" s="17"/>
      <c r="C715" s="17"/>
      <c r="D715" s="17"/>
      <c r="E715" s="17"/>
      <c r="F715" s="297"/>
      <c r="G715" s="17"/>
      <c r="H715" s="17"/>
      <c r="I715" s="17"/>
      <c r="J715" s="17"/>
      <c r="K715" s="17"/>
      <c r="L715" s="17"/>
      <c r="M715" s="17"/>
      <c r="N715" s="17"/>
      <c r="O715" s="17"/>
      <c r="P715" s="17"/>
      <c r="Q715" s="17"/>
      <c r="R715" s="17"/>
      <c r="S715" s="201"/>
      <c r="T715" s="201"/>
      <c r="U715" s="201"/>
      <c r="V715" s="201"/>
      <c r="W715" s="17"/>
      <c r="X715" s="17"/>
      <c r="Y715" s="17"/>
      <c r="Z715" s="17"/>
      <c r="AA715" s="17"/>
      <c r="AB715" s="17"/>
    </row>
    <row r="716">
      <c r="A716" s="17"/>
      <c r="B716" s="17"/>
      <c r="C716" s="17"/>
      <c r="D716" s="17"/>
      <c r="E716" s="17"/>
      <c r="F716" s="297"/>
      <c r="G716" s="17"/>
      <c r="H716" s="17"/>
      <c r="I716" s="17"/>
      <c r="J716" s="17"/>
      <c r="K716" s="17"/>
      <c r="L716" s="17"/>
      <c r="M716" s="17"/>
      <c r="N716" s="17"/>
      <c r="O716" s="17"/>
      <c r="P716" s="17"/>
      <c r="Q716" s="17"/>
      <c r="R716" s="17"/>
      <c r="S716" s="201"/>
      <c r="T716" s="201"/>
      <c r="U716" s="201"/>
      <c r="V716" s="201"/>
      <c r="W716" s="17"/>
      <c r="X716" s="17"/>
      <c r="Y716" s="17"/>
      <c r="Z716" s="17"/>
      <c r="AA716" s="17"/>
      <c r="AB716" s="17"/>
    </row>
    <row r="717">
      <c r="A717" s="17"/>
      <c r="B717" s="17"/>
      <c r="C717" s="17"/>
      <c r="D717" s="17"/>
      <c r="E717" s="17"/>
      <c r="F717" s="297"/>
      <c r="G717" s="17"/>
      <c r="H717" s="17"/>
      <c r="I717" s="17"/>
      <c r="J717" s="17"/>
      <c r="K717" s="17"/>
      <c r="L717" s="17"/>
      <c r="M717" s="17"/>
      <c r="N717" s="17"/>
      <c r="O717" s="17"/>
      <c r="P717" s="17"/>
      <c r="Q717" s="17"/>
      <c r="R717" s="17"/>
      <c r="S717" s="201"/>
      <c r="T717" s="201"/>
      <c r="U717" s="201"/>
      <c r="V717" s="201"/>
      <c r="W717" s="17"/>
      <c r="X717" s="17"/>
      <c r="Y717" s="17"/>
      <c r="Z717" s="17"/>
      <c r="AA717" s="17"/>
      <c r="AB717" s="17"/>
    </row>
    <row r="718">
      <c r="A718" s="17"/>
      <c r="B718" s="17"/>
      <c r="C718" s="17"/>
      <c r="D718" s="17"/>
      <c r="E718" s="17"/>
      <c r="F718" s="297"/>
      <c r="G718" s="17"/>
      <c r="H718" s="17"/>
      <c r="I718" s="17"/>
      <c r="J718" s="17"/>
      <c r="K718" s="17"/>
      <c r="L718" s="17"/>
      <c r="M718" s="17"/>
      <c r="N718" s="17"/>
      <c r="O718" s="17"/>
      <c r="P718" s="17"/>
      <c r="Q718" s="17"/>
      <c r="R718" s="17"/>
      <c r="S718" s="201"/>
      <c r="T718" s="201"/>
      <c r="U718" s="201"/>
      <c r="V718" s="201"/>
      <c r="W718" s="17"/>
      <c r="X718" s="17"/>
      <c r="Y718" s="17"/>
      <c r="Z718" s="17"/>
      <c r="AA718" s="17"/>
      <c r="AB718" s="17"/>
    </row>
    <row r="719">
      <c r="A719" s="17"/>
      <c r="B719" s="17"/>
      <c r="C719" s="17"/>
      <c r="D719" s="17"/>
      <c r="E719" s="17"/>
      <c r="F719" s="297"/>
      <c r="G719" s="17"/>
      <c r="H719" s="17"/>
      <c r="I719" s="17"/>
      <c r="J719" s="17"/>
      <c r="K719" s="17"/>
      <c r="L719" s="17"/>
      <c r="M719" s="17"/>
      <c r="N719" s="17"/>
      <c r="O719" s="17"/>
      <c r="P719" s="17"/>
      <c r="Q719" s="17"/>
      <c r="R719" s="17"/>
      <c r="S719" s="201"/>
      <c r="T719" s="201"/>
      <c r="U719" s="201"/>
      <c r="V719" s="201"/>
      <c r="W719" s="17"/>
      <c r="X719" s="17"/>
      <c r="Y719" s="17"/>
      <c r="Z719" s="17"/>
      <c r="AA719" s="17"/>
      <c r="AB719" s="17"/>
    </row>
    <row r="720">
      <c r="A720" s="17"/>
      <c r="B720" s="17"/>
      <c r="C720" s="17"/>
      <c r="D720" s="17"/>
      <c r="E720" s="17"/>
      <c r="F720" s="297"/>
      <c r="G720" s="17"/>
      <c r="H720" s="17"/>
      <c r="I720" s="17"/>
      <c r="J720" s="17"/>
      <c r="K720" s="17"/>
      <c r="L720" s="17"/>
      <c r="M720" s="17"/>
      <c r="N720" s="17"/>
      <c r="O720" s="17"/>
      <c r="P720" s="17"/>
      <c r="Q720" s="17"/>
      <c r="R720" s="17"/>
      <c r="S720" s="201"/>
      <c r="T720" s="201"/>
      <c r="U720" s="201"/>
      <c r="V720" s="201"/>
      <c r="W720" s="17"/>
      <c r="X720" s="17"/>
      <c r="Y720" s="17"/>
      <c r="Z720" s="17"/>
      <c r="AA720" s="17"/>
      <c r="AB720" s="17"/>
    </row>
    <row r="721">
      <c r="A721" s="17"/>
      <c r="B721" s="17"/>
      <c r="C721" s="17"/>
      <c r="D721" s="17"/>
      <c r="E721" s="17"/>
      <c r="F721" s="297"/>
      <c r="G721" s="17"/>
      <c r="H721" s="17"/>
      <c r="I721" s="17"/>
      <c r="J721" s="17"/>
      <c r="K721" s="17"/>
      <c r="L721" s="17"/>
      <c r="M721" s="17"/>
      <c r="N721" s="17"/>
      <c r="O721" s="17"/>
      <c r="P721" s="17"/>
      <c r="Q721" s="17"/>
      <c r="R721" s="17"/>
      <c r="S721" s="201"/>
      <c r="T721" s="201"/>
      <c r="U721" s="201"/>
      <c r="V721" s="201"/>
      <c r="W721" s="17"/>
      <c r="X721" s="17"/>
      <c r="Y721" s="17"/>
      <c r="Z721" s="17"/>
      <c r="AA721" s="17"/>
      <c r="AB721" s="17"/>
    </row>
    <row r="722">
      <c r="A722" s="17"/>
      <c r="B722" s="17"/>
      <c r="C722" s="17"/>
      <c r="D722" s="17"/>
      <c r="E722" s="17"/>
      <c r="F722" s="297"/>
      <c r="G722" s="17"/>
      <c r="H722" s="17"/>
      <c r="I722" s="17"/>
      <c r="J722" s="17"/>
      <c r="K722" s="17"/>
      <c r="L722" s="17"/>
      <c r="M722" s="17"/>
      <c r="N722" s="17"/>
      <c r="O722" s="17"/>
      <c r="P722" s="17"/>
      <c r="Q722" s="17"/>
      <c r="R722" s="17"/>
      <c r="S722" s="201"/>
      <c r="T722" s="201"/>
      <c r="U722" s="201"/>
      <c r="V722" s="201"/>
      <c r="W722" s="17"/>
      <c r="X722" s="17"/>
      <c r="Y722" s="17"/>
      <c r="Z722" s="17"/>
      <c r="AA722" s="17"/>
      <c r="AB722" s="17"/>
    </row>
    <row r="723">
      <c r="A723" s="17"/>
      <c r="B723" s="17"/>
      <c r="C723" s="17"/>
      <c r="D723" s="17"/>
      <c r="E723" s="17"/>
      <c r="F723" s="297"/>
      <c r="G723" s="17"/>
      <c r="H723" s="17"/>
      <c r="I723" s="17"/>
      <c r="J723" s="17"/>
      <c r="K723" s="17"/>
      <c r="L723" s="17"/>
      <c r="M723" s="17"/>
      <c r="N723" s="17"/>
      <c r="O723" s="17"/>
      <c r="P723" s="17"/>
      <c r="Q723" s="17"/>
      <c r="R723" s="17"/>
      <c r="S723" s="201"/>
      <c r="T723" s="201"/>
      <c r="U723" s="201"/>
      <c r="V723" s="201"/>
      <c r="W723" s="17"/>
      <c r="X723" s="17"/>
      <c r="Y723" s="17"/>
      <c r="Z723" s="17"/>
      <c r="AA723" s="17"/>
      <c r="AB723" s="17"/>
    </row>
    <row r="724">
      <c r="A724" s="17"/>
      <c r="B724" s="17"/>
      <c r="C724" s="17"/>
      <c r="D724" s="17"/>
      <c r="E724" s="17"/>
      <c r="F724" s="297"/>
      <c r="G724" s="17"/>
      <c r="H724" s="17"/>
      <c r="I724" s="17"/>
      <c r="J724" s="17"/>
      <c r="K724" s="17"/>
      <c r="L724" s="17"/>
      <c r="M724" s="17"/>
      <c r="N724" s="17"/>
      <c r="O724" s="17"/>
      <c r="P724" s="17"/>
      <c r="Q724" s="17"/>
      <c r="R724" s="17"/>
      <c r="S724" s="201"/>
      <c r="T724" s="201"/>
      <c r="U724" s="201"/>
      <c r="V724" s="201"/>
      <c r="W724" s="17"/>
      <c r="X724" s="17"/>
      <c r="Y724" s="17"/>
      <c r="Z724" s="17"/>
      <c r="AA724" s="17"/>
      <c r="AB724" s="17"/>
    </row>
    <row r="725">
      <c r="A725" s="17"/>
      <c r="B725" s="17"/>
      <c r="C725" s="17"/>
      <c r="D725" s="17"/>
      <c r="E725" s="17"/>
      <c r="F725" s="297"/>
      <c r="G725" s="17"/>
      <c r="H725" s="17"/>
      <c r="I725" s="17"/>
      <c r="J725" s="17"/>
      <c r="K725" s="17"/>
      <c r="L725" s="17"/>
      <c r="M725" s="17"/>
      <c r="N725" s="17"/>
      <c r="O725" s="17"/>
      <c r="P725" s="17"/>
      <c r="Q725" s="17"/>
      <c r="R725" s="17"/>
      <c r="S725" s="201"/>
      <c r="T725" s="201"/>
      <c r="U725" s="201"/>
      <c r="V725" s="201"/>
      <c r="W725" s="17"/>
      <c r="X725" s="17"/>
      <c r="Y725" s="17"/>
      <c r="Z725" s="17"/>
      <c r="AA725" s="17"/>
      <c r="AB725" s="17"/>
    </row>
    <row r="726">
      <c r="A726" s="17"/>
      <c r="B726" s="17"/>
      <c r="C726" s="17"/>
      <c r="D726" s="17"/>
      <c r="E726" s="17"/>
      <c r="F726" s="297"/>
      <c r="G726" s="17"/>
      <c r="H726" s="17"/>
      <c r="I726" s="17"/>
      <c r="J726" s="17"/>
      <c r="K726" s="17"/>
      <c r="L726" s="17"/>
      <c r="M726" s="17"/>
      <c r="N726" s="17"/>
      <c r="O726" s="17"/>
      <c r="P726" s="17"/>
      <c r="Q726" s="17"/>
      <c r="R726" s="17"/>
      <c r="S726" s="201"/>
      <c r="T726" s="201"/>
      <c r="U726" s="201"/>
      <c r="V726" s="201"/>
      <c r="W726" s="17"/>
      <c r="X726" s="17"/>
      <c r="Y726" s="17"/>
      <c r="Z726" s="17"/>
      <c r="AA726" s="17"/>
      <c r="AB726" s="17"/>
    </row>
    <row r="727">
      <c r="A727" s="17"/>
      <c r="B727" s="17"/>
      <c r="C727" s="17"/>
      <c r="D727" s="17"/>
      <c r="E727" s="17"/>
      <c r="F727" s="297"/>
      <c r="G727" s="17"/>
      <c r="H727" s="17"/>
      <c r="I727" s="17"/>
      <c r="J727" s="17"/>
      <c r="K727" s="17"/>
      <c r="L727" s="17"/>
      <c r="M727" s="17"/>
      <c r="N727" s="17"/>
      <c r="O727" s="17"/>
      <c r="P727" s="17"/>
      <c r="Q727" s="17"/>
      <c r="R727" s="17"/>
      <c r="S727" s="201"/>
      <c r="T727" s="201"/>
      <c r="U727" s="201"/>
      <c r="V727" s="201"/>
      <c r="W727" s="17"/>
      <c r="X727" s="17"/>
      <c r="Y727" s="17"/>
      <c r="Z727" s="17"/>
      <c r="AA727" s="17"/>
      <c r="AB727" s="17"/>
    </row>
    <row r="728">
      <c r="A728" s="17"/>
      <c r="B728" s="17"/>
      <c r="C728" s="17"/>
      <c r="D728" s="17"/>
      <c r="E728" s="17"/>
      <c r="F728" s="297"/>
      <c r="G728" s="17"/>
      <c r="H728" s="17"/>
      <c r="I728" s="17"/>
      <c r="J728" s="17"/>
      <c r="K728" s="17"/>
      <c r="L728" s="17"/>
      <c r="M728" s="17"/>
      <c r="N728" s="17"/>
      <c r="O728" s="17"/>
      <c r="P728" s="17"/>
      <c r="Q728" s="17"/>
      <c r="R728" s="17"/>
      <c r="S728" s="201"/>
      <c r="T728" s="201"/>
      <c r="U728" s="201"/>
      <c r="V728" s="201"/>
      <c r="W728" s="17"/>
      <c r="X728" s="17"/>
      <c r="Y728" s="17"/>
      <c r="Z728" s="17"/>
      <c r="AA728" s="17"/>
      <c r="AB728" s="17"/>
    </row>
    <row r="729">
      <c r="A729" s="17"/>
      <c r="B729" s="17"/>
      <c r="C729" s="17"/>
      <c r="D729" s="17"/>
      <c r="E729" s="17"/>
      <c r="F729" s="297"/>
      <c r="G729" s="17"/>
      <c r="H729" s="17"/>
      <c r="I729" s="17"/>
      <c r="J729" s="17"/>
      <c r="K729" s="17"/>
      <c r="L729" s="17"/>
      <c r="M729" s="17"/>
      <c r="N729" s="17"/>
      <c r="O729" s="17"/>
      <c r="P729" s="17"/>
      <c r="Q729" s="17"/>
      <c r="R729" s="17"/>
      <c r="S729" s="201"/>
      <c r="T729" s="201"/>
      <c r="U729" s="201"/>
      <c r="V729" s="201"/>
      <c r="W729" s="17"/>
      <c r="X729" s="17"/>
      <c r="Y729" s="17"/>
      <c r="Z729" s="17"/>
      <c r="AA729" s="17"/>
      <c r="AB729" s="17"/>
    </row>
    <row r="730">
      <c r="A730" s="17"/>
      <c r="B730" s="17"/>
      <c r="C730" s="17"/>
      <c r="D730" s="17"/>
      <c r="E730" s="17"/>
      <c r="F730" s="297"/>
      <c r="G730" s="17"/>
      <c r="H730" s="17"/>
      <c r="I730" s="17"/>
      <c r="J730" s="17"/>
      <c r="K730" s="17"/>
      <c r="L730" s="17"/>
      <c r="M730" s="17"/>
      <c r="N730" s="17"/>
      <c r="O730" s="17"/>
      <c r="P730" s="17"/>
      <c r="Q730" s="17"/>
      <c r="R730" s="17"/>
      <c r="S730" s="201"/>
      <c r="T730" s="201"/>
      <c r="U730" s="201"/>
      <c r="V730" s="201"/>
      <c r="W730" s="17"/>
      <c r="X730" s="17"/>
      <c r="Y730" s="17"/>
      <c r="Z730" s="17"/>
      <c r="AA730" s="17"/>
      <c r="AB730" s="17"/>
    </row>
    <row r="731">
      <c r="A731" s="17"/>
      <c r="B731" s="17"/>
      <c r="C731" s="17"/>
      <c r="D731" s="17"/>
      <c r="E731" s="17"/>
      <c r="F731" s="297"/>
      <c r="G731" s="17"/>
      <c r="H731" s="17"/>
      <c r="I731" s="17"/>
      <c r="J731" s="17"/>
      <c r="K731" s="17"/>
      <c r="L731" s="17"/>
      <c r="M731" s="17"/>
      <c r="N731" s="17"/>
      <c r="O731" s="17"/>
      <c r="P731" s="17"/>
      <c r="Q731" s="17"/>
      <c r="R731" s="17"/>
      <c r="S731" s="201"/>
      <c r="T731" s="201"/>
      <c r="U731" s="201"/>
      <c r="V731" s="201"/>
      <c r="W731" s="17"/>
      <c r="X731" s="17"/>
      <c r="Y731" s="17"/>
      <c r="Z731" s="17"/>
      <c r="AA731" s="17"/>
      <c r="AB731" s="17"/>
    </row>
    <row r="732">
      <c r="A732" s="17"/>
      <c r="B732" s="17"/>
      <c r="C732" s="17"/>
      <c r="D732" s="17"/>
      <c r="E732" s="17"/>
      <c r="F732" s="297"/>
      <c r="G732" s="17"/>
      <c r="H732" s="17"/>
      <c r="I732" s="17"/>
      <c r="J732" s="17"/>
      <c r="K732" s="17"/>
      <c r="L732" s="17"/>
      <c r="M732" s="17"/>
      <c r="N732" s="17"/>
      <c r="O732" s="17"/>
      <c r="P732" s="17"/>
      <c r="Q732" s="17"/>
      <c r="R732" s="17"/>
      <c r="S732" s="201"/>
      <c r="T732" s="201"/>
      <c r="U732" s="201"/>
      <c r="V732" s="201"/>
      <c r="W732" s="17"/>
      <c r="X732" s="17"/>
      <c r="Y732" s="17"/>
      <c r="Z732" s="17"/>
      <c r="AA732" s="17"/>
      <c r="AB732" s="17"/>
    </row>
    <row r="733">
      <c r="A733" s="17"/>
      <c r="B733" s="17"/>
      <c r="C733" s="17"/>
      <c r="D733" s="17"/>
      <c r="E733" s="17"/>
      <c r="F733" s="297"/>
      <c r="G733" s="17"/>
      <c r="H733" s="17"/>
      <c r="I733" s="17"/>
      <c r="J733" s="17"/>
      <c r="K733" s="17"/>
      <c r="L733" s="17"/>
      <c r="M733" s="17"/>
      <c r="N733" s="17"/>
      <c r="O733" s="17"/>
      <c r="P733" s="17"/>
      <c r="Q733" s="17"/>
      <c r="R733" s="17"/>
      <c r="S733" s="201"/>
      <c r="T733" s="201"/>
      <c r="U733" s="201"/>
      <c r="V733" s="201"/>
      <c r="W733" s="17"/>
      <c r="X733" s="17"/>
      <c r="Y733" s="17"/>
      <c r="Z733" s="17"/>
      <c r="AA733" s="17"/>
      <c r="AB733" s="17"/>
    </row>
    <row r="734">
      <c r="A734" s="17"/>
      <c r="B734" s="17"/>
      <c r="C734" s="17"/>
      <c r="D734" s="17"/>
      <c r="E734" s="17"/>
      <c r="F734" s="297"/>
      <c r="G734" s="17"/>
      <c r="H734" s="17"/>
      <c r="I734" s="17"/>
      <c r="J734" s="17"/>
      <c r="K734" s="17"/>
      <c r="L734" s="17"/>
      <c r="M734" s="17"/>
      <c r="N734" s="17"/>
      <c r="O734" s="17"/>
      <c r="P734" s="17"/>
      <c r="Q734" s="17"/>
      <c r="R734" s="17"/>
      <c r="S734" s="201"/>
      <c r="T734" s="201"/>
      <c r="U734" s="201"/>
      <c r="V734" s="201"/>
      <c r="W734" s="17"/>
      <c r="X734" s="17"/>
      <c r="Y734" s="17"/>
      <c r="Z734" s="17"/>
      <c r="AA734" s="17"/>
      <c r="AB734" s="17"/>
    </row>
    <row r="735">
      <c r="A735" s="17"/>
      <c r="B735" s="17"/>
      <c r="C735" s="17"/>
      <c r="D735" s="17"/>
      <c r="E735" s="17"/>
      <c r="F735" s="297"/>
      <c r="G735" s="17"/>
      <c r="H735" s="17"/>
      <c r="I735" s="17"/>
      <c r="J735" s="17"/>
      <c r="K735" s="17"/>
      <c r="L735" s="17"/>
      <c r="M735" s="17"/>
      <c r="N735" s="17"/>
      <c r="O735" s="17"/>
      <c r="P735" s="17"/>
      <c r="Q735" s="17"/>
      <c r="R735" s="17"/>
      <c r="S735" s="201"/>
      <c r="T735" s="201"/>
      <c r="U735" s="201"/>
      <c r="V735" s="201"/>
      <c r="W735" s="17"/>
      <c r="X735" s="17"/>
      <c r="Y735" s="17"/>
      <c r="Z735" s="17"/>
      <c r="AA735" s="17"/>
      <c r="AB735" s="17"/>
    </row>
    <row r="736">
      <c r="A736" s="17"/>
      <c r="B736" s="17"/>
      <c r="C736" s="17"/>
      <c r="D736" s="17"/>
      <c r="E736" s="17"/>
      <c r="F736" s="297"/>
      <c r="G736" s="17"/>
      <c r="H736" s="17"/>
      <c r="I736" s="17"/>
      <c r="J736" s="17"/>
      <c r="K736" s="17"/>
      <c r="L736" s="17"/>
      <c r="M736" s="17"/>
      <c r="N736" s="17"/>
      <c r="O736" s="17"/>
      <c r="P736" s="17"/>
      <c r="Q736" s="17"/>
      <c r="R736" s="17"/>
      <c r="S736" s="201"/>
      <c r="T736" s="201"/>
      <c r="U736" s="201"/>
      <c r="V736" s="201"/>
      <c r="W736" s="17"/>
      <c r="X736" s="17"/>
      <c r="Y736" s="17"/>
      <c r="Z736" s="17"/>
      <c r="AA736" s="17"/>
      <c r="AB736" s="17"/>
    </row>
    <row r="737">
      <c r="A737" s="17"/>
      <c r="B737" s="17"/>
      <c r="C737" s="17"/>
      <c r="D737" s="17"/>
      <c r="E737" s="17"/>
      <c r="F737" s="297"/>
      <c r="G737" s="17"/>
      <c r="H737" s="17"/>
      <c r="I737" s="17"/>
      <c r="J737" s="17"/>
      <c r="K737" s="17"/>
      <c r="L737" s="17"/>
      <c r="M737" s="17"/>
      <c r="N737" s="17"/>
      <c r="O737" s="17"/>
      <c r="P737" s="17"/>
      <c r="Q737" s="17"/>
      <c r="R737" s="17"/>
      <c r="S737" s="201"/>
      <c r="T737" s="201"/>
      <c r="U737" s="201"/>
      <c r="V737" s="201"/>
      <c r="W737" s="17"/>
      <c r="X737" s="17"/>
      <c r="Y737" s="17"/>
      <c r="Z737" s="17"/>
      <c r="AA737" s="17"/>
      <c r="AB737" s="17"/>
    </row>
    <row r="738">
      <c r="A738" s="17"/>
      <c r="B738" s="17"/>
      <c r="C738" s="17"/>
      <c r="D738" s="17"/>
      <c r="E738" s="17"/>
      <c r="F738" s="297"/>
      <c r="G738" s="17"/>
      <c r="H738" s="17"/>
      <c r="I738" s="17"/>
      <c r="J738" s="17"/>
      <c r="K738" s="17"/>
      <c r="L738" s="17"/>
      <c r="M738" s="17"/>
      <c r="N738" s="17"/>
      <c r="O738" s="17"/>
      <c r="P738" s="17"/>
      <c r="Q738" s="17"/>
      <c r="R738" s="17"/>
      <c r="S738" s="201"/>
      <c r="T738" s="201"/>
      <c r="U738" s="201"/>
      <c r="V738" s="201"/>
      <c r="W738" s="17"/>
      <c r="X738" s="17"/>
      <c r="Y738" s="17"/>
      <c r="Z738" s="17"/>
      <c r="AA738" s="17"/>
      <c r="AB738" s="17"/>
    </row>
    <row r="739">
      <c r="A739" s="17"/>
      <c r="B739" s="17"/>
      <c r="C739" s="17"/>
      <c r="D739" s="17"/>
      <c r="E739" s="17"/>
      <c r="F739" s="297"/>
      <c r="G739" s="17"/>
      <c r="H739" s="17"/>
      <c r="I739" s="17"/>
      <c r="J739" s="17"/>
      <c r="K739" s="17"/>
      <c r="L739" s="17"/>
      <c r="M739" s="17"/>
      <c r="N739" s="17"/>
      <c r="O739" s="17"/>
      <c r="P739" s="17"/>
      <c r="Q739" s="17"/>
      <c r="R739" s="17"/>
      <c r="S739" s="201"/>
      <c r="T739" s="201"/>
      <c r="U739" s="201"/>
      <c r="V739" s="201"/>
      <c r="W739" s="17"/>
      <c r="X739" s="17"/>
      <c r="Y739" s="17"/>
      <c r="Z739" s="17"/>
      <c r="AA739" s="17"/>
      <c r="AB739" s="17"/>
    </row>
    <row r="740">
      <c r="A740" s="17"/>
      <c r="B740" s="17"/>
      <c r="C740" s="17"/>
      <c r="D740" s="17"/>
      <c r="E740" s="17"/>
      <c r="F740" s="297"/>
      <c r="G740" s="17"/>
      <c r="H740" s="17"/>
      <c r="I740" s="17"/>
      <c r="J740" s="17"/>
      <c r="K740" s="17"/>
      <c r="L740" s="17"/>
      <c r="M740" s="17"/>
      <c r="N740" s="17"/>
      <c r="O740" s="17"/>
      <c r="P740" s="17"/>
      <c r="Q740" s="17"/>
      <c r="R740" s="17"/>
      <c r="S740" s="201"/>
      <c r="T740" s="201"/>
      <c r="U740" s="201"/>
      <c r="V740" s="201"/>
      <c r="W740" s="17"/>
      <c r="X740" s="17"/>
      <c r="Y740" s="17"/>
      <c r="Z740" s="17"/>
      <c r="AA740" s="17"/>
      <c r="AB740" s="17"/>
    </row>
    <row r="741">
      <c r="A741" s="17"/>
      <c r="B741" s="17"/>
      <c r="C741" s="17"/>
      <c r="D741" s="17"/>
      <c r="E741" s="17"/>
      <c r="F741" s="297"/>
      <c r="G741" s="17"/>
      <c r="H741" s="17"/>
      <c r="I741" s="17"/>
      <c r="J741" s="17"/>
      <c r="K741" s="17"/>
      <c r="L741" s="17"/>
      <c r="M741" s="17"/>
      <c r="N741" s="17"/>
      <c r="O741" s="17"/>
      <c r="P741" s="17"/>
      <c r="Q741" s="17"/>
      <c r="R741" s="17"/>
      <c r="S741" s="201"/>
      <c r="T741" s="201"/>
      <c r="U741" s="201"/>
      <c r="V741" s="201"/>
      <c r="W741" s="17"/>
      <c r="X741" s="17"/>
      <c r="Y741" s="17"/>
      <c r="Z741" s="17"/>
      <c r="AA741" s="17"/>
      <c r="AB741" s="17"/>
    </row>
    <row r="742">
      <c r="A742" s="17"/>
      <c r="B742" s="17"/>
      <c r="C742" s="17"/>
      <c r="D742" s="17"/>
      <c r="E742" s="17"/>
      <c r="F742" s="297"/>
      <c r="G742" s="17"/>
      <c r="H742" s="17"/>
      <c r="I742" s="17"/>
      <c r="J742" s="17"/>
      <c r="K742" s="17"/>
      <c r="L742" s="17"/>
      <c r="M742" s="17"/>
      <c r="N742" s="17"/>
      <c r="O742" s="17"/>
      <c r="P742" s="17"/>
      <c r="Q742" s="17"/>
      <c r="R742" s="17"/>
      <c r="S742" s="201"/>
      <c r="T742" s="201"/>
      <c r="U742" s="201"/>
      <c r="V742" s="201"/>
      <c r="W742" s="17"/>
      <c r="X742" s="17"/>
      <c r="Y742" s="17"/>
      <c r="Z742" s="17"/>
      <c r="AA742" s="17"/>
      <c r="AB742" s="17"/>
    </row>
    <row r="743">
      <c r="A743" s="17"/>
      <c r="B743" s="17"/>
      <c r="C743" s="17"/>
      <c r="D743" s="17"/>
      <c r="E743" s="17"/>
      <c r="F743" s="297"/>
      <c r="G743" s="17"/>
      <c r="H743" s="17"/>
      <c r="I743" s="17"/>
      <c r="J743" s="17"/>
      <c r="K743" s="17"/>
      <c r="L743" s="17"/>
      <c r="M743" s="17"/>
      <c r="N743" s="17"/>
      <c r="O743" s="17"/>
      <c r="P743" s="17"/>
      <c r="Q743" s="17"/>
      <c r="R743" s="17"/>
      <c r="S743" s="201"/>
      <c r="T743" s="201"/>
      <c r="U743" s="201"/>
      <c r="V743" s="201"/>
      <c r="W743" s="17"/>
      <c r="X743" s="17"/>
      <c r="Y743" s="17"/>
      <c r="Z743" s="17"/>
      <c r="AA743" s="17"/>
      <c r="AB743" s="17"/>
    </row>
    <row r="744">
      <c r="A744" s="17"/>
      <c r="B744" s="17"/>
      <c r="C744" s="17"/>
      <c r="D744" s="17"/>
      <c r="E744" s="17"/>
      <c r="F744" s="297"/>
      <c r="G744" s="17"/>
      <c r="H744" s="17"/>
      <c r="I744" s="17"/>
      <c r="J744" s="17"/>
      <c r="K744" s="17"/>
      <c r="L744" s="17"/>
      <c r="M744" s="17"/>
      <c r="N744" s="17"/>
      <c r="O744" s="17"/>
      <c r="P744" s="17"/>
      <c r="Q744" s="17"/>
      <c r="R744" s="17"/>
      <c r="S744" s="201"/>
      <c r="T744" s="201"/>
      <c r="U744" s="201"/>
      <c r="V744" s="201"/>
      <c r="W744" s="17"/>
      <c r="X744" s="17"/>
      <c r="Y744" s="17"/>
      <c r="Z744" s="17"/>
      <c r="AA744" s="17"/>
      <c r="AB744" s="17"/>
    </row>
    <row r="745">
      <c r="A745" s="17"/>
      <c r="B745" s="17"/>
      <c r="C745" s="17"/>
      <c r="D745" s="17"/>
      <c r="E745" s="17"/>
      <c r="F745" s="297"/>
      <c r="G745" s="17"/>
      <c r="H745" s="17"/>
      <c r="I745" s="17"/>
      <c r="J745" s="17"/>
      <c r="K745" s="17"/>
      <c r="L745" s="17"/>
      <c r="M745" s="17"/>
      <c r="N745" s="17"/>
      <c r="O745" s="17"/>
      <c r="P745" s="17"/>
      <c r="Q745" s="17"/>
      <c r="R745" s="17"/>
      <c r="S745" s="201"/>
      <c r="T745" s="201"/>
      <c r="U745" s="201"/>
      <c r="V745" s="201"/>
      <c r="W745" s="17"/>
      <c r="X745" s="17"/>
      <c r="Y745" s="17"/>
      <c r="Z745" s="17"/>
      <c r="AA745" s="17"/>
      <c r="AB745" s="17"/>
    </row>
    <row r="746">
      <c r="A746" s="17"/>
      <c r="B746" s="17"/>
      <c r="C746" s="17"/>
      <c r="D746" s="17"/>
      <c r="E746" s="17"/>
      <c r="F746" s="297"/>
      <c r="G746" s="17"/>
      <c r="H746" s="17"/>
      <c r="I746" s="17"/>
      <c r="J746" s="17"/>
      <c r="K746" s="17"/>
      <c r="L746" s="17"/>
      <c r="M746" s="17"/>
      <c r="N746" s="17"/>
      <c r="O746" s="17"/>
      <c r="P746" s="17"/>
      <c r="Q746" s="17"/>
      <c r="R746" s="17"/>
      <c r="S746" s="201"/>
      <c r="T746" s="201"/>
      <c r="U746" s="201"/>
      <c r="V746" s="201"/>
      <c r="W746" s="17"/>
      <c r="X746" s="17"/>
      <c r="Y746" s="17"/>
      <c r="Z746" s="17"/>
      <c r="AA746" s="17"/>
      <c r="AB746" s="17"/>
    </row>
    <row r="747">
      <c r="A747" s="17"/>
      <c r="B747" s="17"/>
      <c r="C747" s="17"/>
      <c r="D747" s="17"/>
      <c r="E747" s="17"/>
      <c r="F747" s="297"/>
      <c r="G747" s="17"/>
      <c r="H747" s="17"/>
      <c r="I747" s="17"/>
      <c r="J747" s="17"/>
      <c r="K747" s="17"/>
      <c r="L747" s="17"/>
      <c r="M747" s="17"/>
      <c r="N747" s="17"/>
      <c r="O747" s="17"/>
      <c r="P747" s="17"/>
      <c r="Q747" s="17"/>
      <c r="R747" s="17"/>
      <c r="S747" s="201"/>
      <c r="T747" s="201"/>
      <c r="U747" s="201"/>
      <c r="V747" s="201"/>
      <c r="W747" s="17"/>
      <c r="X747" s="17"/>
      <c r="Y747" s="17"/>
      <c r="Z747" s="17"/>
      <c r="AA747" s="17"/>
      <c r="AB747" s="17"/>
    </row>
    <row r="748">
      <c r="A748" s="17"/>
      <c r="B748" s="17"/>
      <c r="C748" s="17"/>
      <c r="D748" s="17"/>
      <c r="E748" s="17"/>
      <c r="F748" s="297"/>
      <c r="G748" s="17"/>
      <c r="H748" s="17"/>
      <c r="I748" s="17"/>
      <c r="J748" s="17"/>
      <c r="K748" s="17"/>
      <c r="L748" s="17"/>
      <c r="M748" s="17"/>
      <c r="N748" s="17"/>
      <c r="O748" s="17"/>
      <c r="P748" s="17"/>
      <c r="Q748" s="17"/>
      <c r="R748" s="17"/>
      <c r="S748" s="201"/>
      <c r="T748" s="201"/>
      <c r="U748" s="201"/>
      <c r="V748" s="201"/>
      <c r="W748" s="17"/>
      <c r="X748" s="17"/>
      <c r="Y748" s="17"/>
      <c r="Z748" s="17"/>
      <c r="AA748" s="17"/>
      <c r="AB748" s="17"/>
    </row>
    <row r="749">
      <c r="A749" s="17"/>
      <c r="B749" s="17"/>
      <c r="C749" s="17"/>
      <c r="D749" s="17"/>
      <c r="E749" s="17"/>
      <c r="F749" s="297"/>
      <c r="G749" s="17"/>
      <c r="H749" s="17"/>
      <c r="I749" s="17"/>
      <c r="J749" s="17"/>
      <c r="K749" s="17"/>
      <c r="L749" s="17"/>
      <c r="M749" s="17"/>
      <c r="N749" s="17"/>
      <c r="O749" s="17"/>
      <c r="P749" s="17"/>
      <c r="Q749" s="17"/>
      <c r="R749" s="17"/>
      <c r="S749" s="201"/>
      <c r="T749" s="201"/>
      <c r="U749" s="201"/>
      <c r="V749" s="201"/>
      <c r="W749" s="17"/>
      <c r="X749" s="17"/>
      <c r="Y749" s="17"/>
      <c r="Z749" s="17"/>
      <c r="AA749" s="17"/>
      <c r="AB749" s="17"/>
    </row>
    <row r="750">
      <c r="A750" s="17"/>
      <c r="B750" s="17"/>
      <c r="C750" s="17"/>
      <c r="D750" s="17"/>
      <c r="E750" s="17"/>
      <c r="F750" s="297"/>
      <c r="G750" s="17"/>
      <c r="H750" s="17"/>
      <c r="I750" s="17"/>
      <c r="J750" s="17"/>
      <c r="K750" s="17"/>
      <c r="L750" s="17"/>
      <c r="M750" s="17"/>
      <c r="N750" s="17"/>
      <c r="O750" s="17"/>
      <c r="P750" s="17"/>
      <c r="Q750" s="17"/>
      <c r="R750" s="17"/>
      <c r="S750" s="201"/>
      <c r="T750" s="201"/>
      <c r="U750" s="201"/>
      <c r="V750" s="201"/>
      <c r="W750" s="17"/>
      <c r="X750" s="17"/>
      <c r="Y750" s="17"/>
      <c r="Z750" s="17"/>
      <c r="AA750" s="17"/>
      <c r="AB750" s="17"/>
    </row>
    <row r="751">
      <c r="A751" s="17"/>
      <c r="B751" s="17"/>
      <c r="C751" s="17"/>
      <c r="D751" s="17"/>
      <c r="E751" s="17"/>
      <c r="F751" s="297"/>
      <c r="G751" s="17"/>
      <c r="H751" s="17"/>
      <c r="I751" s="17"/>
      <c r="J751" s="17"/>
      <c r="K751" s="17"/>
      <c r="L751" s="17"/>
      <c r="M751" s="17"/>
      <c r="N751" s="17"/>
      <c r="O751" s="17"/>
      <c r="P751" s="17"/>
      <c r="Q751" s="17"/>
      <c r="R751" s="17"/>
      <c r="S751" s="201"/>
      <c r="T751" s="201"/>
      <c r="U751" s="201"/>
      <c r="V751" s="201"/>
      <c r="W751" s="17"/>
      <c r="X751" s="17"/>
      <c r="Y751" s="17"/>
      <c r="Z751" s="17"/>
      <c r="AA751" s="17"/>
      <c r="AB751" s="17"/>
    </row>
    <row r="752">
      <c r="A752" s="17"/>
      <c r="B752" s="17"/>
      <c r="C752" s="17"/>
      <c r="D752" s="17"/>
      <c r="E752" s="17"/>
      <c r="F752" s="297"/>
      <c r="G752" s="17"/>
      <c r="H752" s="17"/>
      <c r="I752" s="17"/>
      <c r="J752" s="17"/>
      <c r="K752" s="17"/>
      <c r="L752" s="17"/>
      <c r="M752" s="17"/>
      <c r="N752" s="17"/>
      <c r="O752" s="17"/>
      <c r="P752" s="17"/>
      <c r="Q752" s="17"/>
      <c r="R752" s="17"/>
      <c r="S752" s="201"/>
      <c r="T752" s="201"/>
      <c r="U752" s="201"/>
      <c r="V752" s="201"/>
      <c r="W752" s="17"/>
      <c r="X752" s="17"/>
      <c r="Y752" s="17"/>
      <c r="Z752" s="17"/>
      <c r="AA752" s="17"/>
      <c r="AB752" s="17"/>
    </row>
    <row r="753">
      <c r="A753" s="17"/>
      <c r="B753" s="17"/>
      <c r="C753" s="17"/>
      <c r="D753" s="17"/>
      <c r="E753" s="17"/>
      <c r="F753" s="297"/>
      <c r="G753" s="17"/>
      <c r="H753" s="17"/>
      <c r="I753" s="17"/>
      <c r="J753" s="17"/>
      <c r="K753" s="17"/>
      <c r="L753" s="17"/>
      <c r="M753" s="17"/>
      <c r="N753" s="17"/>
      <c r="O753" s="17"/>
      <c r="P753" s="17"/>
      <c r="Q753" s="17"/>
      <c r="R753" s="17"/>
      <c r="S753" s="201"/>
      <c r="T753" s="201"/>
      <c r="U753" s="201"/>
      <c r="V753" s="201"/>
      <c r="W753" s="17"/>
      <c r="X753" s="17"/>
      <c r="Y753" s="17"/>
      <c r="Z753" s="17"/>
      <c r="AA753" s="17"/>
      <c r="AB753" s="17"/>
    </row>
    <row r="754">
      <c r="A754" s="17"/>
      <c r="B754" s="17"/>
      <c r="C754" s="17"/>
      <c r="D754" s="17"/>
      <c r="E754" s="17"/>
      <c r="F754" s="297"/>
      <c r="G754" s="17"/>
      <c r="H754" s="17"/>
      <c r="I754" s="17"/>
      <c r="J754" s="17"/>
      <c r="K754" s="17"/>
      <c r="L754" s="17"/>
      <c r="M754" s="17"/>
      <c r="N754" s="17"/>
      <c r="O754" s="17"/>
      <c r="P754" s="17"/>
      <c r="Q754" s="17"/>
      <c r="R754" s="17"/>
      <c r="S754" s="201"/>
      <c r="T754" s="201"/>
      <c r="U754" s="201"/>
      <c r="V754" s="201"/>
      <c r="W754" s="17"/>
      <c r="X754" s="17"/>
      <c r="Y754" s="17"/>
      <c r="Z754" s="17"/>
      <c r="AA754" s="17"/>
      <c r="AB754" s="17"/>
    </row>
    <row r="755">
      <c r="A755" s="17"/>
      <c r="B755" s="17"/>
      <c r="C755" s="17"/>
      <c r="D755" s="17"/>
      <c r="E755" s="17"/>
      <c r="F755" s="297"/>
      <c r="G755" s="17"/>
      <c r="H755" s="17"/>
      <c r="I755" s="17"/>
      <c r="J755" s="17"/>
      <c r="K755" s="17"/>
      <c r="L755" s="17"/>
      <c r="M755" s="17"/>
      <c r="N755" s="17"/>
      <c r="O755" s="17"/>
      <c r="P755" s="17"/>
      <c r="Q755" s="17"/>
      <c r="R755" s="17"/>
      <c r="S755" s="201"/>
      <c r="T755" s="201"/>
      <c r="U755" s="201"/>
      <c r="V755" s="201"/>
      <c r="W755" s="17"/>
      <c r="X755" s="17"/>
      <c r="Y755" s="17"/>
      <c r="Z755" s="17"/>
      <c r="AA755" s="17"/>
      <c r="AB755" s="17"/>
    </row>
    <row r="756">
      <c r="A756" s="17"/>
      <c r="B756" s="17"/>
      <c r="C756" s="17"/>
      <c r="D756" s="17"/>
      <c r="E756" s="17"/>
      <c r="F756" s="297"/>
      <c r="G756" s="17"/>
      <c r="H756" s="17"/>
      <c r="I756" s="17"/>
      <c r="J756" s="17"/>
      <c r="K756" s="17"/>
      <c r="L756" s="17"/>
      <c r="M756" s="17"/>
      <c r="N756" s="17"/>
      <c r="O756" s="17"/>
      <c r="P756" s="17"/>
      <c r="Q756" s="17"/>
      <c r="R756" s="17"/>
      <c r="S756" s="201"/>
      <c r="T756" s="201"/>
      <c r="U756" s="201"/>
      <c r="V756" s="201"/>
      <c r="W756" s="17"/>
      <c r="X756" s="17"/>
      <c r="Y756" s="17"/>
      <c r="Z756" s="17"/>
      <c r="AA756" s="17"/>
      <c r="AB756" s="17"/>
    </row>
    <row r="757">
      <c r="A757" s="17"/>
      <c r="B757" s="17"/>
      <c r="C757" s="17"/>
      <c r="D757" s="17"/>
      <c r="E757" s="17"/>
      <c r="F757" s="297"/>
      <c r="G757" s="17"/>
      <c r="H757" s="17"/>
      <c r="I757" s="17"/>
      <c r="J757" s="17"/>
      <c r="K757" s="17"/>
      <c r="L757" s="17"/>
      <c r="M757" s="17"/>
      <c r="N757" s="17"/>
      <c r="O757" s="17"/>
      <c r="P757" s="17"/>
      <c r="Q757" s="17"/>
      <c r="R757" s="17"/>
      <c r="S757" s="201"/>
      <c r="T757" s="201"/>
      <c r="U757" s="201"/>
      <c r="V757" s="201"/>
      <c r="W757" s="17"/>
      <c r="X757" s="17"/>
      <c r="Y757" s="17"/>
      <c r="Z757" s="17"/>
      <c r="AA757" s="17"/>
      <c r="AB757" s="17"/>
    </row>
    <row r="758">
      <c r="A758" s="17"/>
      <c r="B758" s="17"/>
      <c r="C758" s="17"/>
      <c r="D758" s="17"/>
      <c r="E758" s="17"/>
      <c r="F758" s="297"/>
      <c r="G758" s="17"/>
      <c r="H758" s="17"/>
      <c r="I758" s="17"/>
      <c r="J758" s="17"/>
      <c r="K758" s="17"/>
      <c r="L758" s="17"/>
      <c r="M758" s="17"/>
      <c r="N758" s="17"/>
      <c r="O758" s="17"/>
      <c r="P758" s="17"/>
      <c r="Q758" s="17"/>
      <c r="R758" s="17"/>
      <c r="S758" s="201"/>
      <c r="T758" s="201"/>
      <c r="U758" s="201"/>
      <c r="V758" s="201"/>
      <c r="W758" s="17"/>
      <c r="X758" s="17"/>
      <c r="Y758" s="17"/>
      <c r="Z758" s="17"/>
      <c r="AA758" s="17"/>
      <c r="AB758" s="17"/>
    </row>
    <row r="759">
      <c r="A759" s="17"/>
      <c r="B759" s="17"/>
      <c r="C759" s="17"/>
      <c r="D759" s="17"/>
      <c r="E759" s="17"/>
      <c r="F759" s="297"/>
      <c r="G759" s="17"/>
      <c r="H759" s="17"/>
      <c r="I759" s="17"/>
      <c r="J759" s="17"/>
      <c r="K759" s="17"/>
      <c r="L759" s="17"/>
      <c r="M759" s="17"/>
      <c r="N759" s="17"/>
      <c r="O759" s="17"/>
      <c r="P759" s="17"/>
      <c r="Q759" s="17"/>
      <c r="R759" s="17"/>
      <c r="S759" s="201"/>
      <c r="T759" s="201"/>
      <c r="U759" s="201"/>
      <c r="V759" s="201"/>
      <c r="W759" s="17"/>
      <c r="X759" s="17"/>
      <c r="Y759" s="17"/>
      <c r="Z759" s="17"/>
      <c r="AA759" s="17"/>
      <c r="AB759" s="17"/>
    </row>
    <row r="760">
      <c r="A760" s="17"/>
      <c r="B760" s="17"/>
      <c r="C760" s="17"/>
      <c r="D760" s="17"/>
      <c r="E760" s="17"/>
      <c r="F760" s="297"/>
      <c r="G760" s="17"/>
      <c r="H760" s="17"/>
      <c r="I760" s="17"/>
      <c r="J760" s="17"/>
      <c r="K760" s="17"/>
      <c r="L760" s="17"/>
      <c r="M760" s="17"/>
      <c r="N760" s="17"/>
      <c r="O760" s="17"/>
      <c r="P760" s="17"/>
      <c r="Q760" s="17"/>
      <c r="R760" s="17"/>
      <c r="S760" s="201"/>
      <c r="T760" s="201"/>
      <c r="U760" s="201"/>
      <c r="V760" s="201"/>
      <c r="W760" s="17"/>
      <c r="X760" s="17"/>
      <c r="Y760" s="17"/>
      <c r="Z760" s="17"/>
      <c r="AA760" s="17"/>
      <c r="AB760" s="17"/>
    </row>
    <row r="761">
      <c r="A761" s="17"/>
      <c r="B761" s="17"/>
      <c r="C761" s="17"/>
      <c r="D761" s="17"/>
      <c r="E761" s="17"/>
      <c r="F761" s="297"/>
      <c r="G761" s="17"/>
      <c r="H761" s="17"/>
      <c r="I761" s="17"/>
      <c r="J761" s="17"/>
      <c r="K761" s="17"/>
      <c r="L761" s="17"/>
      <c r="M761" s="17"/>
      <c r="N761" s="17"/>
      <c r="O761" s="17"/>
      <c r="P761" s="17"/>
      <c r="Q761" s="17"/>
      <c r="R761" s="17"/>
      <c r="S761" s="201"/>
      <c r="T761" s="201"/>
      <c r="U761" s="201"/>
      <c r="V761" s="201"/>
      <c r="W761" s="17"/>
      <c r="X761" s="17"/>
      <c r="Y761" s="17"/>
      <c r="Z761" s="17"/>
      <c r="AA761" s="17"/>
      <c r="AB761" s="17"/>
    </row>
    <row r="762">
      <c r="A762" s="17"/>
      <c r="B762" s="17"/>
      <c r="C762" s="17"/>
      <c r="D762" s="17"/>
      <c r="E762" s="17"/>
      <c r="F762" s="297"/>
      <c r="G762" s="17"/>
      <c r="H762" s="17"/>
      <c r="I762" s="17"/>
      <c r="J762" s="17"/>
      <c r="K762" s="17"/>
      <c r="L762" s="17"/>
      <c r="M762" s="17"/>
      <c r="N762" s="17"/>
      <c r="O762" s="17"/>
      <c r="P762" s="17"/>
      <c r="Q762" s="17"/>
      <c r="R762" s="17"/>
      <c r="S762" s="201"/>
      <c r="T762" s="201"/>
      <c r="U762" s="201"/>
      <c r="V762" s="201"/>
      <c r="W762" s="17"/>
      <c r="X762" s="17"/>
      <c r="Y762" s="17"/>
      <c r="Z762" s="17"/>
      <c r="AA762" s="17"/>
      <c r="AB762" s="17"/>
    </row>
    <row r="763">
      <c r="A763" s="17"/>
      <c r="B763" s="17"/>
      <c r="C763" s="17"/>
      <c r="D763" s="17"/>
      <c r="E763" s="17"/>
      <c r="F763" s="297"/>
      <c r="G763" s="17"/>
      <c r="H763" s="17"/>
      <c r="I763" s="17"/>
      <c r="J763" s="17"/>
      <c r="K763" s="17"/>
      <c r="L763" s="17"/>
      <c r="M763" s="17"/>
      <c r="N763" s="17"/>
      <c r="O763" s="17"/>
      <c r="P763" s="17"/>
      <c r="Q763" s="17"/>
      <c r="R763" s="17"/>
      <c r="S763" s="201"/>
      <c r="T763" s="201"/>
      <c r="U763" s="201"/>
      <c r="V763" s="201"/>
      <c r="W763" s="17"/>
      <c r="X763" s="17"/>
      <c r="Y763" s="17"/>
      <c r="Z763" s="17"/>
      <c r="AA763" s="17"/>
      <c r="AB763" s="17"/>
    </row>
    <row r="764">
      <c r="A764" s="17"/>
      <c r="B764" s="17"/>
      <c r="C764" s="17"/>
      <c r="D764" s="17"/>
      <c r="E764" s="17"/>
      <c r="F764" s="297"/>
      <c r="G764" s="17"/>
      <c r="H764" s="17"/>
      <c r="I764" s="17"/>
      <c r="J764" s="17"/>
      <c r="K764" s="17"/>
      <c r="L764" s="17"/>
      <c r="M764" s="17"/>
      <c r="N764" s="17"/>
      <c r="O764" s="17"/>
      <c r="P764" s="17"/>
      <c r="Q764" s="17"/>
      <c r="R764" s="17"/>
      <c r="S764" s="201"/>
      <c r="T764" s="201"/>
      <c r="U764" s="201"/>
      <c r="V764" s="201"/>
      <c r="W764" s="17"/>
      <c r="X764" s="17"/>
      <c r="Y764" s="17"/>
      <c r="Z764" s="17"/>
      <c r="AA764" s="17"/>
      <c r="AB764" s="17"/>
    </row>
    <row r="765">
      <c r="A765" s="17"/>
      <c r="B765" s="17"/>
      <c r="C765" s="17"/>
      <c r="D765" s="17"/>
      <c r="E765" s="17"/>
      <c r="F765" s="297"/>
      <c r="G765" s="17"/>
      <c r="H765" s="17"/>
      <c r="I765" s="17"/>
      <c r="J765" s="17"/>
      <c r="K765" s="17"/>
      <c r="L765" s="17"/>
      <c r="M765" s="17"/>
      <c r="N765" s="17"/>
      <c r="O765" s="17"/>
      <c r="P765" s="17"/>
      <c r="Q765" s="17"/>
      <c r="R765" s="17"/>
      <c r="S765" s="201"/>
      <c r="T765" s="201"/>
      <c r="U765" s="201"/>
      <c r="V765" s="201"/>
      <c r="W765" s="17"/>
      <c r="X765" s="17"/>
      <c r="Y765" s="17"/>
      <c r="Z765" s="17"/>
      <c r="AA765" s="17"/>
      <c r="AB765" s="17"/>
    </row>
    <row r="766">
      <c r="A766" s="17"/>
      <c r="B766" s="17"/>
      <c r="C766" s="17"/>
      <c r="D766" s="17"/>
      <c r="E766" s="17"/>
      <c r="F766" s="297"/>
      <c r="G766" s="17"/>
      <c r="H766" s="17"/>
      <c r="I766" s="17"/>
      <c r="J766" s="17"/>
      <c r="K766" s="17"/>
      <c r="L766" s="17"/>
      <c r="M766" s="17"/>
      <c r="N766" s="17"/>
      <c r="O766" s="17"/>
      <c r="P766" s="17"/>
      <c r="Q766" s="17"/>
      <c r="R766" s="17"/>
      <c r="S766" s="201"/>
      <c r="T766" s="201"/>
      <c r="U766" s="201"/>
      <c r="V766" s="201"/>
      <c r="W766" s="17"/>
      <c r="X766" s="17"/>
      <c r="Y766" s="17"/>
      <c r="Z766" s="17"/>
      <c r="AA766" s="17"/>
      <c r="AB766" s="17"/>
    </row>
    <row r="767">
      <c r="A767" s="17"/>
      <c r="B767" s="17"/>
      <c r="C767" s="17"/>
      <c r="D767" s="17"/>
      <c r="E767" s="17"/>
      <c r="F767" s="297"/>
      <c r="G767" s="17"/>
      <c r="H767" s="17"/>
      <c r="I767" s="17"/>
      <c r="J767" s="17"/>
      <c r="K767" s="17"/>
      <c r="L767" s="17"/>
      <c r="M767" s="17"/>
      <c r="N767" s="17"/>
      <c r="O767" s="17"/>
      <c r="P767" s="17"/>
      <c r="Q767" s="17"/>
      <c r="R767" s="17"/>
      <c r="S767" s="201"/>
      <c r="T767" s="201"/>
      <c r="U767" s="201"/>
      <c r="V767" s="201"/>
      <c r="W767" s="17"/>
      <c r="X767" s="17"/>
      <c r="Y767" s="17"/>
      <c r="Z767" s="17"/>
      <c r="AA767" s="17"/>
      <c r="AB767" s="17"/>
    </row>
    <row r="768">
      <c r="A768" s="17"/>
      <c r="B768" s="17"/>
      <c r="C768" s="17"/>
      <c r="D768" s="17"/>
      <c r="E768" s="17"/>
      <c r="F768" s="297"/>
      <c r="G768" s="17"/>
      <c r="H768" s="17"/>
      <c r="I768" s="17"/>
      <c r="J768" s="17"/>
      <c r="K768" s="17"/>
      <c r="L768" s="17"/>
      <c r="M768" s="17"/>
      <c r="N768" s="17"/>
      <c r="O768" s="17"/>
      <c r="P768" s="17"/>
      <c r="Q768" s="17"/>
      <c r="R768" s="17"/>
      <c r="S768" s="201"/>
      <c r="T768" s="201"/>
      <c r="U768" s="201"/>
      <c r="V768" s="201"/>
      <c r="W768" s="17"/>
      <c r="X768" s="17"/>
      <c r="Y768" s="17"/>
      <c r="Z768" s="17"/>
      <c r="AA768" s="17"/>
      <c r="AB768" s="17"/>
    </row>
    <row r="769">
      <c r="A769" s="17"/>
      <c r="B769" s="17"/>
      <c r="C769" s="17"/>
      <c r="D769" s="17"/>
      <c r="E769" s="17"/>
      <c r="F769" s="297"/>
      <c r="G769" s="17"/>
      <c r="H769" s="17"/>
      <c r="I769" s="17"/>
      <c r="J769" s="17"/>
      <c r="K769" s="17"/>
      <c r="L769" s="17"/>
      <c r="M769" s="17"/>
      <c r="N769" s="17"/>
      <c r="O769" s="17"/>
      <c r="P769" s="17"/>
      <c r="Q769" s="17"/>
      <c r="R769" s="17"/>
      <c r="S769" s="201"/>
      <c r="T769" s="201"/>
      <c r="U769" s="201"/>
      <c r="V769" s="201"/>
      <c r="W769" s="17"/>
      <c r="X769" s="17"/>
      <c r="Y769" s="17"/>
      <c r="Z769" s="17"/>
      <c r="AA769" s="17"/>
      <c r="AB769" s="17"/>
    </row>
    <row r="770">
      <c r="A770" s="17"/>
      <c r="B770" s="17"/>
      <c r="C770" s="17"/>
      <c r="D770" s="17"/>
      <c r="E770" s="17"/>
      <c r="F770" s="297"/>
      <c r="G770" s="17"/>
      <c r="H770" s="17"/>
      <c r="I770" s="17"/>
      <c r="J770" s="17"/>
      <c r="K770" s="17"/>
      <c r="L770" s="17"/>
      <c r="M770" s="17"/>
      <c r="N770" s="17"/>
      <c r="O770" s="17"/>
      <c r="P770" s="17"/>
      <c r="Q770" s="17"/>
      <c r="R770" s="17"/>
      <c r="S770" s="201"/>
      <c r="T770" s="201"/>
      <c r="U770" s="201"/>
      <c r="V770" s="201"/>
      <c r="W770" s="17"/>
      <c r="X770" s="17"/>
      <c r="Y770" s="17"/>
      <c r="Z770" s="17"/>
      <c r="AA770" s="17"/>
      <c r="AB770" s="17"/>
    </row>
    <row r="771">
      <c r="A771" s="17"/>
      <c r="B771" s="17"/>
      <c r="C771" s="17"/>
      <c r="D771" s="17"/>
      <c r="E771" s="17"/>
      <c r="F771" s="297"/>
      <c r="G771" s="17"/>
      <c r="H771" s="17"/>
      <c r="I771" s="17"/>
      <c r="J771" s="17"/>
      <c r="K771" s="17"/>
      <c r="L771" s="17"/>
      <c r="M771" s="17"/>
      <c r="N771" s="17"/>
      <c r="O771" s="17"/>
      <c r="P771" s="17"/>
      <c r="Q771" s="17"/>
      <c r="R771" s="17"/>
      <c r="S771" s="201"/>
      <c r="T771" s="201"/>
      <c r="U771" s="201"/>
      <c r="V771" s="201"/>
      <c r="W771" s="17"/>
      <c r="X771" s="17"/>
      <c r="Y771" s="17"/>
      <c r="Z771" s="17"/>
      <c r="AA771" s="17"/>
      <c r="AB771" s="17"/>
    </row>
    <row r="772">
      <c r="A772" s="17"/>
      <c r="B772" s="17"/>
      <c r="C772" s="17"/>
      <c r="D772" s="17"/>
      <c r="E772" s="17"/>
      <c r="F772" s="297"/>
      <c r="G772" s="17"/>
      <c r="H772" s="17"/>
      <c r="I772" s="17"/>
      <c r="J772" s="17"/>
      <c r="K772" s="17"/>
      <c r="L772" s="17"/>
      <c r="M772" s="17"/>
      <c r="N772" s="17"/>
      <c r="O772" s="17"/>
      <c r="P772" s="17"/>
      <c r="Q772" s="17"/>
      <c r="R772" s="17"/>
      <c r="S772" s="201"/>
      <c r="T772" s="201"/>
      <c r="U772" s="201"/>
      <c r="V772" s="201"/>
      <c r="W772" s="17"/>
      <c r="X772" s="17"/>
      <c r="Y772" s="17"/>
      <c r="Z772" s="17"/>
      <c r="AA772" s="17"/>
      <c r="AB772" s="17"/>
    </row>
    <row r="773">
      <c r="A773" s="17"/>
      <c r="B773" s="17"/>
      <c r="C773" s="17"/>
      <c r="D773" s="17"/>
      <c r="E773" s="17"/>
      <c r="F773" s="297"/>
      <c r="G773" s="17"/>
      <c r="H773" s="17"/>
      <c r="I773" s="17"/>
      <c r="J773" s="17"/>
      <c r="K773" s="17"/>
      <c r="L773" s="17"/>
      <c r="M773" s="17"/>
      <c r="N773" s="17"/>
      <c r="O773" s="17"/>
      <c r="P773" s="17"/>
      <c r="Q773" s="17"/>
      <c r="R773" s="17"/>
      <c r="S773" s="201"/>
      <c r="T773" s="201"/>
      <c r="U773" s="201"/>
      <c r="V773" s="201"/>
      <c r="W773" s="17"/>
      <c r="X773" s="17"/>
      <c r="Y773" s="17"/>
      <c r="Z773" s="17"/>
      <c r="AA773" s="17"/>
      <c r="AB773" s="17"/>
    </row>
    <row r="774">
      <c r="A774" s="17"/>
      <c r="B774" s="17"/>
      <c r="C774" s="17"/>
      <c r="D774" s="17"/>
      <c r="E774" s="17"/>
      <c r="F774" s="297"/>
      <c r="G774" s="17"/>
      <c r="H774" s="17"/>
      <c r="I774" s="17"/>
      <c r="J774" s="17"/>
      <c r="K774" s="17"/>
      <c r="L774" s="17"/>
      <c r="M774" s="17"/>
      <c r="N774" s="17"/>
      <c r="O774" s="17"/>
      <c r="P774" s="17"/>
      <c r="Q774" s="17"/>
      <c r="R774" s="17"/>
      <c r="S774" s="201"/>
      <c r="T774" s="201"/>
      <c r="U774" s="201"/>
      <c r="V774" s="201"/>
      <c r="W774" s="17"/>
      <c r="X774" s="17"/>
      <c r="Y774" s="17"/>
      <c r="Z774" s="17"/>
      <c r="AA774" s="17"/>
      <c r="AB774" s="17"/>
    </row>
    <row r="775">
      <c r="A775" s="17"/>
      <c r="B775" s="17"/>
      <c r="C775" s="17"/>
      <c r="D775" s="17"/>
      <c r="E775" s="17"/>
      <c r="F775" s="297"/>
      <c r="G775" s="17"/>
      <c r="H775" s="17"/>
      <c r="I775" s="17"/>
      <c r="J775" s="17"/>
      <c r="K775" s="17"/>
      <c r="L775" s="17"/>
      <c r="M775" s="17"/>
      <c r="N775" s="17"/>
      <c r="O775" s="17"/>
      <c r="P775" s="17"/>
      <c r="Q775" s="17"/>
      <c r="R775" s="17"/>
      <c r="S775" s="201"/>
      <c r="T775" s="201"/>
      <c r="U775" s="201"/>
      <c r="V775" s="201"/>
      <c r="W775" s="17"/>
      <c r="X775" s="17"/>
      <c r="Y775" s="17"/>
      <c r="Z775" s="17"/>
      <c r="AA775" s="17"/>
      <c r="AB775" s="17"/>
    </row>
    <row r="776">
      <c r="A776" s="17"/>
      <c r="B776" s="17"/>
      <c r="C776" s="17"/>
      <c r="D776" s="17"/>
      <c r="E776" s="17"/>
      <c r="F776" s="297"/>
      <c r="G776" s="17"/>
      <c r="H776" s="17"/>
      <c r="I776" s="17"/>
      <c r="J776" s="17"/>
      <c r="K776" s="17"/>
      <c r="L776" s="17"/>
      <c r="M776" s="17"/>
      <c r="N776" s="17"/>
      <c r="O776" s="17"/>
      <c r="P776" s="17"/>
      <c r="Q776" s="17"/>
      <c r="R776" s="17"/>
      <c r="S776" s="201"/>
      <c r="T776" s="201"/>
      <c r="U776" s="201"/>
      <c r="V776" s="201"/>
      <c r="W776" s="17"/>
      <c r="X776" s="17"/>
      <c r="Y776" s="17"/>
      <c r="Z776" s="17"/>
      <c r="AA776" s="17"/>
      <c r="AB776" s="17"/>
    </row>
    <row r="777">
      <c r="A777" s="17"/>
      <c r="B777" s="17"/>
      <c r="C777" s="17"/>
      <c r="D777" s="17"/>
      <c r="E777" s="17"/>
      <c r="F777" s="297"/>
      <c r="G777" s="17"/>
      <c r="H777" s="17"/>
      <c r="I777" s="17"/>
      <c r="J777" s="17"/>
      <c r="K777" s="17"/>
      <c r="L777" s="17"/>
      <c r="M777" s="17"/>
      <c r="N777" s="17"/>
      <c r="O777" s="17"/>
      <c r="P777" s="17"/>
      <c r="Q777" s="17"/>
      <c r="R777" s="17"/>
      <c r="S777" s="201"/>
      <c r="T777" s="201"/>
      <c r="U777" s="201"/>
      <c r="V777" s="201"/>
      <c r="W777" s="17"/>
      <c r="X777" s="17"/>
      <c r="Y777" s="17"/>
      <c r="Z777" s="17"/>
      <c r="AA777" s="17"/>
      <c r="AB777" s="17"/>
    </row>
    <row r="778">
      <c r="A778" s="17"/>
      <c r="B778" s="17"/>
      <c r="C778" s="17"/>
      <c r="D778" s="17"/>
      <c r="E778" s="17"/>
      <c r="F778" s="297"/>
      <c r="G778" s="17"/>
      <c r="H778" s="17"/>
      <c r="I778" s="17"/>
      <c r="J778" s="17"/>
      <c r="K778" s="17"/>
      <c r="L778" s="17"/>
      <c r="M778" s="17"/>
      <c r="N778" s="17"/>
      <c r="O778" s="17"/>
      <c r="P778" s="17"/>
      <c r="Q778" s="17"/>
      <c r="R778" s="17"/>
      <c r="S778" s="201"/>
      <c r="T778" s="201"/>
      <c r="U778" s="201"/>
      <c r="V778" s="201"/>
      <c r="W778" s="17"/>
      <c r="X778" s="17"/>
      <c r="Y778" s="17"/>
      <c r="Z778" s="17"/>
      <c r="AA778" s="17"/>
      <c r="AB778" s="17"/>
    </row>
    <row r="779">
      <c r="A779" s="17"/>
      <c r="B779" s="17"/>
      <c r="C779" s="17"/>
      <c r="D779" s="17"/>
      <c r="E779" s="17"/>
      <c r="F779" s="297"/>
      <c r="G779" s="17"/>
      <c r="H779" s="17"/>
      <c r="I779" s="17"/>
      <c r="J779" s="17"/>
      <c r="K779" s="17"/>
      <c r="L779" s="17"/>
      <c r="M779" s="17"/>
      <c r="N779" s="17"/>
      <c r="O779" s="17"/>
      <c r="P779" s="17"/>
      <c r="Q779" s="17"/>
      <c r="R779" s="17"/>
      <c r="S779" s="201"/>
      <c r="T779" s="201"/>
      <c r="U779" s="201"/>
      <c r="V779" s="201"/>
      <c r="W779" s="17"/>
      <c r="X779" s="17"/>
      <c r="Y779" s="17"/>
      <c r="Z779" s="17"/>
      <c r="AA779" s="17"/>
      <c r="AB779" s="17"/>
    </row>
    <row r="780">
      <c r="A780" s="17"/>
      <c r="B780" s="17"/>
      <c r="C780" s="17"/>
      <c r="D780" s="17"/>
      <c r="E780" s="17"/>
      <c r="F780" s="297"/>
      <c r="G780" s="17"/>
      <c r="H780" s="17"/>
      <c r="I780" s="17"/>
      <c r="J780" s="17"/>
      <c r="K780" s="17"/>
      <c r="L780" s="17"/>
      <c r="M780" s="17"/>
      <c r="N780" s="17"/>
      <c r="O780" s="17"/>
      <c r="P780" s="17"/>
      <c r="Q780" s="17"/>
      <c r="R780" s="17"/>
      <c r="S780" s="201"/>
      <c r="T780" s="201"/>
      <c r="U780" s="201"/>
      <c r="V780" s="201"/>
      <c r="W780" s="17"/>
      <c r="X780" s="17"/>
      <c r="Y780" s="17"/>
      <c r="Z780" s="17"/>
      <c r="AA780" s="17"/>
      <c r="AB780" s="17"/>
    </row>
    <row r="781">
      <c r="A781" s="17"/>
      <c r="B781" s="17"/>
      <c r="C781" s="17"/>
      <c r="D781" s="17"/>
      <c r="E781" s="17"/>
      <c r="F781" s="297"/>
      <c r="G781" s="17"/>
      <c r="H781" s="17"/>
      <c r="I781" s="17"/>
      <c r="J781" s="17"/>
      <c r="K781" s="17"/>
      <c r="L781" s="17"/>
      <c r="M781" s="17"/>
      <c r="N781" s="17"/>
      <c r="O781" s="17"/>
      <c r="P781" s="17"/>
      <c r="Q781" s="17"/>
      <c r="R781" s="17"/>
      <c r="S781" s="201"/>
      <c r="T781" s="201"/>
      <c r="U781" s="201"/>
      <c r="V781" s="201"/>
      <c r="W781" s="17"/>
      <c r="X781" s="17"/>
      <c r="Y781" s="17"/>
      <c r="Z781" s="17"/>
      <c r="AA781" s="17"/>
      <c r="AB781" s="17"/>
    </row>
    <row r="782">
      <c r="A782" s="17"/>
      <c r="B782" s="17"/>
      <c r="C782" s="17"/>
      <c r="D782" s="17"/>
      <c r="E782" s="17"/>
      <c r="F782" s="297"/>
      <c r="G782" s="17"/>
      <c r="H782" s="17"/>
      <c r="I782" s="17"/>
      <c r="J782" s="17"/>
      <c r="K782" s="17"/>
      <c r="L782" s="17"/>
      <c r="M782" s="17"/>
      <c r="N782" s="17"/>
      <c r="O782" s="17"/>
      <c r="P782" s="17"/>
      <c r="Q782" s="17"/>
      <c r="R782" s="17"/>
      <c r="S782" s="201"/>
      <c r="T782" s="201"/>
      <c r="U782" s="201"/>
      <c r="V782" s="201"/>
      <c r="W782" s="17"/>
      <c r="X782" s="17"/>
      <c r="Y782" s="17"/>
      <c r="Z782" s="17"/>
      <c r="AA782" s="17"/>
      <c r="AB782" s="17"/>
    </row>
    <row r="783">
      <c r="A783" s="17"/>
      <c r="B783" s="17"/>
      <c r="C783" s="17"/>
      <c r="D783" s="17"/>
      <c r="E783" s="17"/>
      <c r="F783" s="297"/>
      <c r="G783" s="17"/>
      <c r="H783" s="17"/>
      <c r="I783" s="17"/>
      <c r="J783" s="17"/>
      <c r="K783" s="17"/>
      <c r="L783" s="17"/>
      <c r="M783" s="17"/>
      <c r="N783" s="17"/>
      <c r="O783" s="17"/>
      <c r="P783" s="17"/>
      <c r="Q783" s="17"/>
      <c r="R783" s="17"/>
      <c r="S783" s="201"/>
      <c r="T783" s="201"/>
      <c r="U783" s="201"/>
      <c r="V783" s="201"/>
      <c r="W783" s="17"/>
      <c r="X783" s="17"/>
      <c r="Y783" s="17"/>
      <c r="Z783" s="17"/>
      <c r="AA783" s="17"/>
      <c r="AB783" s="17"/>
    </row>
    <row r="784">
      <c r="A784" s="17"/>
      <c r="B784" s="17"/>
      <c r="C784" s="17"/>
      <c r="D784" s="17"/>
      <c r="E784" s="17"/>
      <c r="F784" s="297"/>
      <c r="G784" s="17"/>
      <c r="H784" s="17"/>
      <c r="I784" s="17"/>
      <c r="J784" s="17"/>
      <c r="K784" s="17"/>
      <c r="L784" s="17"/>
      <c r="M784" s="17"/>
      <c r="N784" s="17"/>
      <c r="O784" s="17"/>
      <c r="P784" s="17"/>
      <c r="Q784" s="17"/>
      <c r="R784" s="17"/>
      <c r="S784" s="201"/>
      <c r="T784" s="201"/>
      <c r="U784" s="201"/>
      <c r="V784" s="201"/>
      <c r="W784" s="17"/>
      <c r="X784" s="17"/>
      <c r="Y784" s="17"/>
      <c r="Z784" s="17"/>
      <c r="AA784" s="17"/>
      <c r="AB784" s="17"/>
    </row>
    <row r="785">
      <c r="A785" s="17"/>
      <c r="B785" s="17"/>
      <c r="C785" s="17"/>
      <c r="D785" s="17"/>
      <c r="E785" s="17"/>
      <c r="F785" s="297"/>
      <c r="G785" s="17"/>
      <c r="H785" s="17"/>
      <c r="I785" s="17"/>
      <c r="J785" s="17"/>
      <c r="K785" s="17"/>
      <c r="L785" s="17"/>
      <c r="M785" s="17"/>
      <c r="N785" s="17"/>
      <c r="O785" s="17"/>
      <c r="P785" s="17"/>
      <c r="Q785" s="17"/>
      <c r="R785" s="17"/>
      <c r="S785" s="201"/>
      <c r="T785" s="201"/>
      <c r="U785" s="201"/>
      <c r="V785" s="201"/>
      <c r="W785" s="17"/>
      <c r="X785" s="17"/>
      <c r="Y785" s="17"/>
      <c r="Z785" s="17"/>
      <c r="AA785" s="17"/>
      <c r="AB785" s="17"/>
    </row>
    <row r="786">
      <c r="A786" s="17"/>
      <c r="B786" s="17"/>
      <c r="C786" s="17"/>
      <c r="D786" s="17"/>
      <c r="E786" s="17"/>
      <c r="F786" s="297"/>
      <c r="G786" s="17"/>
      <c r="H786" s="17"/>
      <c r="I786" s="17"/>
      <c r="J786" s="17"/>
      <c r="K786" s="17"/>
      <c r="L786" s="17"/>
      <c r="M786" s="17"/>
      <c r="N786" s="17"/>
      <c r="O786" s="17"/>
      <c r="P786" s="17"/>
      <c r="Q786" s="17"/>
      <c r="R786" s="17"/>
      <c r="S786" s="201"/>
      <c r="T786" s="201"/>
      <c r="U786" s="201"/>
      <c r="V786" s="201"/>
      <c r="W786" s="17"/>
      <c r="X786" s="17"/>
      <c r="Y786" s="17"/>
      <c r="Z786" s="17"/>
      <c r="AA786" s="17"/>
      <c r="AB786" s="17"/>
    </row>
    <row r="787">
      <c r="A787" s="17"/>
      <c r="B787" s="17"/>
      <c r="C787" s="17"/>
      <c r="D787" s="17"/>
      <c r="E787" s="17"/>
      <c r="F787" s="297"/>
      <c r="G787" s="17"/>
      <c r="H787" s="17"/>
      <c r="I787" s="17"/>
      <c r="J787" s="17"/>
      <c r="K787" s="17"/>
      <c r="L787" s="17"/>
      <c r="M787" s="17"/>
      <c r="N787" s="17"/>
      <c r="O787" s="17"/>
      <c r="P787" s="17"/>
      <c r="Q787" s="17"/>
      <c r="R787" s="17"/>
      <c r="S787" s="201"/>
      <c r="T787" s="201"/>
      <c r="U787" s="201"/>
      <c r="V787" s="201"/>
      <c r="W787" s="17"/>
      <c r="X787" s="17"/>
      <c r="Y787" s="17"/>
      <c r="Z787" s="17"/>
      <c r="AA787" s="17"/>
      <c r="AB787" s="17"/>
    </row>
    <row r="788">
      <c r="A788" s="17"/>
      <c r="B788" s="17"/>
      <c r="C788" s="17"/>
      <c r="D788" s="17"/>
      <c r="E788" s="17"/>
      <c r="F788" s="297"/>
      <c r="G788" s="17"/>
      <c r="H788" s="17"/>
      <c r="I788" s="17"/>
      <c r="J788" s="17"/>
      <c r="K788" s="17"/>
      <c r="L788" s="17"/>
      <c r="M788" s="17"/>
      <c r="N788" s="17"/>
      <c r="O788" s="17"/>
      <c r="P788" s="17"/>
      <c r="Q788" s="17"/>
      <c r="R788" s="17"/>
      <c r="S788" s="201"/>
      <c r="T788" s="201"/>
      <c r="U788" s="201"/>
      <c r="V788" s="201"/>
      <c r="W788" s="17"/>
      <c r="X788" s="17"/>
      <c r="Y788" s="17"/>
      <c r="Z788" s="17"/>
      <c r="AA788" s="17"/>
      <c r="AB788" s="17"/>
    </row>
    <row r="789">
      <c r="A789" s="17"/>
      <c r="B789" s="17"/>
      <c r="C789" s="17"/>
      <c r="D789" s="17"/>
      <c r="E789" s="17"/>
      <c r="F789" s="297"/>
      <c r="G789" s="17"/>
      <c r="H789" s="17"/>
      <c r="I789" s="17"/>
      <c r="J789" s="17"/>
      <c r="K789" s="17"/>
      <c r="L789" s="17"/>
      <c r="M789" s="17"/>
      <c r="N789" s="17"/>
      <c r="O789" s="17"/>
      <c r="P789" s="17"/>
      <c r="Q789" s="17"/>
      <c r="R789" s="17"/>
      <c r="S789" s="201"/>
      <c r="T789" s="201"/>
      <c r="U789" s="201"/>
      <c r="V789" s="201"/>
      <c r="W789" s="17"/>
      <c r="X789" s="17"/>
      <c r="Y789" s="17"/>
      <c r="Z789" s="17"/>
      <c r="AA789" s="17"/>
      <c r="AB789" s="17"/>
    </row>
    <row r="790">
      <c r="A790" s="17"/>
      <c r="B790" s="17"/>
      <c r="C790" s="17"/>
      <c r="D790" s="17"/>
      <c r="E790" s="17"/>
      <c r="F790" s="297"/>
      <c r="G790" s="17"/>
      <c r="H790" s="17"/>
      <c r="I790" s="17"/>
      <c r="J790" s="17"/>
      <c r="K790" s="17"/>
      <c r="L790" s="17"/>
      <c r="M790" s="17"/>
      <c r="N790" s="17"/>
      <c r="O790" s="17"/>
      <c r="P790" s="17"/>
      <c r="Q790" s="17"/>
      <c r="R790" s="17"/>
      <c r="S790" s="201"/>
      <c r="T790" s="201"/>
      <c r="U790" s="201"/>
      <c r="V790" s="201"/>
      <c r="W790" s="17"/>
      <c r="X790" s="17"/>
      <c r="Y790" s="17"/>
      <c r="Z790" s="17"/>
      <c r="AA790" s="17"/>
      <c r="AB790" s="17"/>
    </row>
    <row r="791">
      <c r="A791" s="17"/>
      <c r="B791" s="17"/>
      <c r="C791" s="17"/>
      <c r="D791" s="17"/>
      <c r="E791" s="17"/>
      <c r="F791" s="297"/>
      <c r="G791" s="17"/>
      <c r="H791" s="17"/>
      <c r="I791" s="17"/>
      <c r="J791" s="17"/>
      <c r="K791" s="17"/>
      <c r="L791" s="17"/>
      <c r="M791" s="17"/>
      <c r="N791" s="17"/>
      <c r="O791" s="17"/>
      <c r="P791" s="17"/>
      <c r="Q791" s="17"/>
      <c r="R791" s="17"/>
      <c r="S791" s="201"/>
      <c r="T791" s="201"/>
      <c r="U791" s="201"/>
      <c r="V791" s="201"/>
      <c r="W791" s="17"/>
      <c r="X791" s="17"/>
      <c r="Y791" s="17"/>
      <c r="Z791" s="17"/>
      <c r="AA791" s="17"/>
      <c r="AB791" s="17"/>
    </row>
    <row r="792">
      <c r="A792" s="17"/>
      <c r="B792" s="17"/>
      <c r="C792" s="17"/>
      <c r="D792" s="17"/>
      <c r="E792" s="17"/>
      <c r="F792" s="297"/>
      <c r="G792" s="17"/>
      <c r="H792" s="17"/>
      <c r="I792" s="17"/>
      <c r="J792" s="17"/>
      <c r="K792" s="17"/>
      <c r="L792" s="17"/>
      <c r="M792" s="17"/>
      <c r="N792" s="17"/>
      <c r="O792" s="17"/>
      <c r="P792" s="17"/>
      <c r="Q792" s="17"/>
      <c r="R792" s="17"/>
      <c r="S792" s="201"/>
      <c r="T792" s="201"/>
      <c r="U792" s="201"/>
      <c r="V792" s="201"/>
      <c r="W792" s="17"/>
      <c r="X792" s="17"/>
      <c r="Y792" s="17"/>
      <c r="Z792" s="17"/>
      <c r="AA792" s="17"/>
      <c r="AB792" s="17"/>
    </row>
    <row r="793">
      <c r="A793" s="17"/>
      <c r="B793" s="17"/>
      <c r="C793" s="17"/>
      <c r="D793" s="17"/>
      <c r="E793" s="17"/>
      <c r="F793" s="297"/>
      <c r="G793" s="17"/>
      <c r="H793" s="17"/>
      <c r="I793" s="17"/>
      <c r="J793" s="17"/>
      <c r="K793" s="17"/>
      <c r="L793" s="17"/>
      <c r="M793" s="17"/>
      <c r="N793" s="17"/>
      <c r="O793" s="17"/>
      <c r="P793" s="17"/>
      <c r="Q793" s="17"/>
      <c r="R793" s="17"/>
      <c r="S793" s="201"/>
      <c r="T793" s="201"/>
      <c r="U793" s="201"/>
      <c r="V793" s="201"/>
      <c r="W793" s="17"/>
      <c r="X793" s="17"/>
      <c r="Y793" s="17"/>
      <c r="Z793" s="17"/>
      <c r="AA793" s="17"/>
      <c r="AB793" s="17"/>
    </row>
    <row r="794">
      <c r="A794" s="17"/>
      <c r="B794" s="17"/>
      <c r="C794" s="17"/>
      <c r="D794" s="17"/>
      <c r="E794" s="17"/>
      <c r="F794" s="297"/>
      <c r="G794" s="17"/>
      <c r="H794" s="17"/>
      <c r="I794" s="17"/>
      <c r="J794" s="17"/>
      <c r="K794" s="17"/>
      <c r="L794" s="17"/>
      <c r="M794" s="17"/>
      <c r="N794" s="17"/>
      <c r="O794" s="17"/>
      <c r="P794" s="17"/>
      <c r="Q794" s="17"/>
      <c r="R794" s="17"/>
      <c r="S794" s="201"/>
      <c r="T794" s="201"/>
      <c r="U794" s="201"/>
      <c r="V794" s="201"/>
      <c r="W794" s="17"/>
      <c r="X794" s="17"/>
      <c r="Y794" s="17"/>
      <c r="Z794" s="17"/>
      <c r="AA794" s="17"/>
      <c r="AB794" s="17"/>
    </row>
    <row r="795">
      <c r="A795" s="17"/>
      <c r="B795" s="17"/>
      <c r="C795" s="17"/>
      <c r="D795" s="17"/>
      <c r="E795" s="17"/>
      <c r="F795" s="297"/>
      <c r="G795" s="17"/>
      <c r="H795" s="17"/>
      <c r="I795" s="17"/>
      <c r="J795" s="17"/>
      <c r="K795" s="17"/>
      <c r="L795" s="17"/>
      <c r="M795" s="17"/>
      <c r="N795" s="17"/>
      <c r="O795" s="17"/>
      <c r="P795" s="17"/>
      <c r="Q795" s="17"/>
      <c r="R795" s="17"/>
      <c r="S795" s="201"/>
      <c r="T795" s="201"/>
      <c r="U795" s="201"/>
      <c r="V795" s="201"/>
      <c r="W795" s="17"/>
      <c r="X795" s="17"/>
      <c r="Y795" s="17"/>
      <c r="Z795" s="17"/>
      <c r="AA795" s="17"/>
      <c r="AB795" s="17"/>
    </row>
    <row r="796">
      <c r="A796" s="17"/>
      <c r="B796" s="17"/>
      <c r="C796" s="17"/>
      <c r="D796" s="17"/>
      <c r="E796" s="17"/>
      <c r="F796" s="297"/>
      <c r="G796" s="17"/>
      <c r="H796" s="17"/>
      <c r="I796" s="17"/>
      <c r="J796" s="17"/>
      <c r="K796" s="17"/>
      <c r="L796" s="17"/>
      <c r="M796" s="17"/>
      <c r="N796" s="17"/>
      <c r="O796" s="17"/>
      <c r="P796" s="17"/>
      <c r="Q796" s="17"/>
      <c r="R796" s="17"/>
      <c r="S796" s="201"/>
      <c r="T796" s="201"/>
      <c r="U796" s="201"/>
      <c r="V796" s="201"/>
      <c r="W796" s="17"/>
      <c r="X796" s="17"/>
      <c r="Y796" s="17"/>
      <c r="Z796" s="17"/>
      <c r="AA796" s="17"/>
      <c r="AB796" s="17"/>
    </row>
    <row r="797">
      <c r="A797" s="17"/>
      <c r="B797" s="17"/>
      <c r="C797" s="17"/>
      <c r="D797" s="17"/>
      <c r="E797" s="17"/>
      <c r="F797" s="297"/>
      <c r="G797" s="17"/>
      <c r="H797" s="17"/>
      <c r="I797" s="17"/>
      <c r="J797" s="17"/>
      <c r="K797" s="17"/>
      <c r="L797" s="17"/>
      <c r="M797" s="17"/>
      <c r="N797" s="17"/>
      <c r="O797" s="17"/>
      <c r="P797" s="17"/>
      <c r="Q797" s="17"/>
      <c r="R797" s="17"/>
      <c r="S797" s="201"/>
      <c r="T797" s="201"/>
      <c r="U797" s="201"/>
      <c r="V797" s="201"/>
      <c r="W797" s="17"/>
      <c r="X797" s="17"/>
      <c r="Y797" s="17"/>
      <c r="Z797" s="17"/>
      <c r="AA797" s="17"/>
      <c r="AB797" s="17"/>
    </row>
    <row r="798">
      <c r="A798" s="17"/>
      <c r="B798" s="17"/>
      <c r="C798" s="17"/>
      <c r="D798" s="17"/>
      <c r="E798" s="17"/>
      <c r="F798" s="297"/>
      <c r="G798" s="17"/>
      <c r="H798" s="17"/>
      <c r="I798" s="17"/>
      <c r="J798" s="17"/>
      <c r="K798" s="17"/>
      <c r="L798" s="17"/>
      <c r="M798" s="17"/>
      <c r="N798" s="17"/>
      <c r="O798" s="17"/>
      <c r="P798" s="17"/>
      <c r="Q798" s="17"/>
      <c r="R798" s="17"/>
      <c r="S798" s="201"/>
      <c r="T798" s="201"/>
      <c r="U798" s="201"/>
      <c r="V798" s="201"/>
      <c r="W798" s="17"/>
      <c r="X798" s="17"/>
      <c r="Y798" s="17"/>
      <c r="Z798" s="17"/>
      <c r="AA798" s="17"/>
      <c r="AB798" s="17"/>
    </row>
    <row r="799">
      <c r="A799" s="17"/>
      <c r="B799" s="17"/>
      <c r="C799" s="17"/>
      <c r="D799" s="17"/>
      <c r="E799" s="17"/>
      <c r="F799" s="297"/>
      <c r="G799" s="17"/>
      <c r="H799" s="17"/>
      <c r="I799" s="17"/>
      <c r="J799" s="17"/>
      <c r="K799" s="17"/>
      <c r="L799" s="17"/>
      <c r="M799" s="17"/>
      <c r="N799" s="17"/>
      <c r="O799" s="17"/>
      <c r="P799" s="17"/>
      <c r="Q799" s="17"/>
      <c r="R799" s="17"/>
      <c r="S799" s="201"/>
      <c r="T799" s="201"/>
      <c r="U799" s="201"/>
      <c r="V799" s="201"/>
      <c r="W799" s="17"/>
      <c r="X799" s="17"/>
      <c r="Y799" s="17"/>
      <c r="Z799" s="17"/>
      <c r="AA799" s="17"/>
      <c r="AB799" s="17"/>
    </row>
    <row r="800">
      <c r="A800" s="17"/>
      <c r="B800" s="17"/>
      <c r="C800" s="17"/>
      <c r="D800" s="17"/>
      <c r="E800" s="17"/>
      <c r="F800" s="297"/>
      <c r="G800" s="17"/>
      <c r="H800" s="17"/>
      <c r="I800" s="17"/>
      <c r="J800" s="17"/>
      <c r="K800" s="17"/>
      <c r="L800" s="17"/>
      <c r="M800" s="17"/>
      <c r="N800" s="17"/>
      <c r="O800" s="17"/>
      <c r="P800" s="17"/>
      <c r="Q800" s="17"/>
      <c r="R800" s="17"/>
      <c r="S800" s="201"/>
      <c r="T800" s="201"/>
      <c r="U800" s="201"/>
      <c r="V800" s="201"/>
      <c r="W800" s="17"/>
      <c r="X800" s="17"/>
      <c r="Y800" s="17"/>
      <c r="Z800" s="17"/>
      <c r="AA800" s="17"/>
      <c r="AB800" s="17"/>
    </row>
    <row r="801">
      <c r="A801" s="17"/>
      <c r="B801" s="17"/>
      <c r="C801" s="17"/>
      <c r="D801" s="17"/>
      <c r="E801" s="17"/>
      <c r="F801" s="297"/>
      <c r="G801" s="17"/>
      <c r="H801" s="17"/>
      <c r="I801" s="17"/>
      <c r="J801" s="17"/>
      <c r="K801" s="17"/>
      <c r="L801" s="17"/>
      <c r="M801" s="17"/>
      <c r="N801" s="17"/>
      <c r="O801" s="17"/>
      <c r="P801" s="17"/>
      <c r="Q801" s="17"/>
      <c r="R801" s="17"/>
      <c r="S801" s="201"/>
      <c r="T801" s="201"/>
      <c r="U801" s="201"/>
      <c r="V801" s="201"/>
      <c r="W801" s="17"/>
      <c r="X801" s="17"/>
      <c r="Y801" s="17"/>
      <c r="Z801" s="17"/>
      <c r="AA801" s="17"/>
      <c r="AB801" s="17"/>
    </row>
    <row r="802">
      <c r="A802" s="17"/>
      <c r="B802" s="17"/>
      <c r="C802" s="17"/>
      <c r="D802" s="17"/>
      <c r="E802" s="17"/>
      <c r="F802" s="297"/>
      <c r="G802" s="17"/>
      <c r="H802" s="17"/>
      <c r="I802" s="17"/>
      <c r="J802" s="17"/>
      <c r="K802" s="17"/>
      <c r="L802" s="17"/>
      <c r="M802" s="17"/>
      <c r="N802" s="17"/>
      <c r="O802" s="17"/>
      <c r="P802" s="17"/>
      <c r="Q802" s="17"/>
      <c r="R802" s="17"/>
      <c r="S802" s="201"/>
      <c r="T802" s="201"/>
      <c r="U802" s="201"/>
      <c r="V802" s="201"/>
      <c r="W802" s="17"/>
      <c r="X802" s="17"/>
      <c r="Y802" s="17"/>
      <c r="Z802" s="17"/>
      <c r="AA802" s="17"/>
      <c r="AB802" s="17"/>
    </row>
    <row r="803">
      <c r="A803" s="17"/>
      <c r="B803" s="17"/>
      <c r="C803" s="17"/>
      <c r="D803" s="17"/>
      <c r="E803" s="17"/>
      <c r="F803" s="297"/>
      <c r="G803" s="17"/>
      <c r="H803" s="17"/>
      <c r="I803" s="17"/>
      <c r="J803" s="17"/>
      <c r="K803" s="17"/>
      <c r="L803" s="17"/>
      <c r="M803" s="17"/>
      <c r="N803" s="17"/>
      <c r="O803" s="17"/>
      <c r="P803" s="17"/>
      <c r="Q803" s="17"/>
      <c r="R803" s="17"/>
      <c r="S803" s="201"/>
      <c r="T803" s="201"/>
      <c r="U803" s="201"/>
      <c r="V803" s="201"/>
      <c r="W803" s="17"/>
      <c r="X803" s="17"/>
      <c r="Y803" s="17"/>
      <c r="Z803" s="17"/>
      <c r="AA803" s="17"/>
      <c r="AB803" s="17"/>
    </row>
    <row r="804">
      <c r="A804" s="17"/>
      <c r="B804" s="17"/>
      <c r="C804" s="17"/>
      <c r="D804" s="17"/>
      <c r="E804" s="17"/>
      <c r="F804" s="297"/>
      <c r="G804" s="17"/>
      <c r="H804" s="17"/>
      <c r="I804" s="17"/>
      <c r="J804" s="17"/>
      <c r="K804" s="17"/>
      <c r="L804" s="17"/>
      <c r="M804" s="17"/>
      <c r="N804" s="17"/>
      <c r="O804" s="17"/>
      <c r="P804" s="17"/>
      <c r="Q804" s="17"/>
      <c r="R804" s="17"/>
      <c r="S804" s="201"/>
      <c r="T804" s="201"/>
      <c r="U804" s="201"/>
      <c r="V804" s="201"/>
      <c r="W804" s="17"/>
      <c r="X804" s="17"/>
      <c r="Y804" s="17"/>
      <c r="Z804" s="17"/>
      <c r="AA804" s="17"/>
      <c r="AB804" s="17"/>
    </row>
    <row r="805">
      <c r="A805" s="17"/>
      <c r="B805" s="17"/>
      <c r="C805" s="17"/>
      <c r="D805" s="17"/>
      <c r="E805" s="17"/>
      <c r="F805" s="297"/>
      <c r="G805" s="17"/>
      <c r="H805" s="17"/>
      <c r="I805" s="17"/>
      <c r="J805" s="17"/>
      <c r="K805" s="17"/>
      <c r="L805" s="17"/>
      <c r="M805" s="17"/>
      <c r="N805" s="17"/>
      <c r="O805" s="17"/>
      <c r="P805" s="17"/>
      <c r="Q805" s="17"/>
      <c r="R805" s="17"/>
      <c r="S805" s="201"/>
      <c r="T805" s="201"/>
      <c r="U805" s="201"/>
      <c r="V805" s="201"/>
      <c r="W805" s="17"/>
      <c r="X805" s="17"/>
      <c r="Y805" s="17"/>
      <c r="Z805" s="17"/>
      <c r="AA805" s="17"/>
      <c r="AB805" s="17"/>
    </row>
    <row r="806">
      <c r="A806" s="17"/>
      <c r="B806" s="17"/>
      <c r="C806" s="17"/>
      <c r="D806" s="17"/>
      <c r="E806" s="17"/>
      <c r="F806" s="297"/>
      <c r="G806" s="17"/>
      <c r="H806" s="17"/>
      <c r="I806" s="17"/>
      <c r="J806" s="17"/>
      <c r="K806" s="17"/>
      <c r="L806" s="17"/>
      <c r="M806" s="17"/>
      <c r="N806" s="17"/>
      <c r="O806" s="17"/>
      <c r="P806" s="17"/>
      <c r="Q806" s="17"/>
      <c r="R806" s="17"/>
      <c r="S806" s="201"/>
      <c r="T806" s="201"/>
      <c r="U806" s="201"/>
      <c r="V806" s="201"/>
      <c r="W806" s="17"/>
      <c r="X806" s="17"/>
      <c r="Y806" s="17"/>
      <c r="Z806" s="17"/>
      <c r="AA806" s="17"/>
      <c r="AB806" s="17"/>
    </row>
    <row r="807">
      <c r="A807" s="17"/>
      <c r="B807" s="17"/>
      <c r="C807" s="17"/>
      <c r="D807" s="17"/>
      <c r="E807" s="17"/>
      <c r="F807" s="297"/>
      <c r="G807" s="17"/>
      <c r="H807" s="17"/>
      <c r="I807" s="17"/>
      <c r="J807" s="17"/>
      <c r="K807" s="17"/>
      <c r="L807" s="17"/>
      <c r="M807" s="17"/>
      <c r="N807" s="17"/>
      <c r="O807" s="17"/>
      <c r="P807" s="17"/>
      <c r="Q807" s="17"/>
      <c r="R807" s="17"/>
      <c r="S807" s="201"/>
      <c r="T807" s="201"/>
      <c r="U807" s="201"/>
      <c r="V807" s="201"/>
      <c r="W807" s="17"/>
      <c r="X807" s="17"/>
      <c r="Y807" s="17"/>
      <c r="Z807" s="17"/>
      <c r="AA807" s="17"/>
      <c r="AB807" s="17"/>
    </row>
    <row r="808">
      <c r="A808" s="17"/>
      <c r="B808" s="17"/>
      <c r="C808" s="17"/>
      <c r="D808" s="17"/>
      <c r="E808" s="17"/>
      <c r="F808" s="297"/>
      <c r="G808" s="17"/>
      <c r="H808" s="17"/>
      <c r="I808" s="17"/>
      <c r="J808" s="17"/>
      <c r="K808" s="17"/>
      <c r="L808" s="17"/>
      <c r="M808" s="17"/>
      <c r="N808" s="17"/>
      <c r="O808" s="17"/>
      <c r="P808" s="17"/>
      <c r="Q808" s="17"/>
      <c r="R808" s="17"/>
      <c r="S808" s="201"/>
      <c r="T808" s="201"/>
      <c r="U808" s="201"/>
      <c r="V808" s="201"/>
      <c r="W808" s="17"/>
      <c r="X808" s="17"/>
      <c r="Y808" s="17"/>
      <c r="Z808" s="17"/>
      <c r="AA808" s="17"/>
      <c r="AB808" s="17"/>
    </row>
    <row r="809">
      <c r="A809" s="17"/>
      <c r="B809" s="17"/>
      <c r="C809" s="17"/>
      <c r="D809" s="17"/>
      <c r="E809" s="17"/>
      <c r="F809" s="297"/>
      <c r="G809" s="17"/>
      <c r="H809" s="17"/>
      <c r="I809" s="17"/>
      <c r="J809" s="17"/>
      <c r="K809" s="17"/>
      <c r="L809" s="17"/>
      <c r="M809" s="17"/>
      <c r="N809" s="17"/>
      <c r="O809" s="17"/>
      <c r="P809" s="17"/>
      <c r="Q809" s="17"/>
      <c r="R809" s="17"/>
      <c r="S809" s="201"/>
      <c r="T809" s="201"/>
      <c r="U809" s="201"/>
      <c r="V809" s="201"/>
      <c r="W809" s="17"/>
      <c r="X809" s="17"/>
      <c r="Y809" s="17"/>
      <c r="Z809" s="17"/>
      <c r="AA809" s="17"/>
      <c r="AB809" s="17"/>
    </row>
    <row r="810">
      <c r="A810" s="17"/>
      <c r="B810" s="17"/>
      <c r="C810" s="17"/>
      <c r="D810" s="17"/>
      <c r="E810" s="17"/>
      <c r="F810" s="297"/>
      <c r="G810" s="17"/>
      <c r="H810" s="17"/>
      <c r="I810" s="17"/>
      <c r="J810" s="17"/>
      <c r="K810" s="17"/>
      <c r="L810" s="17"/>
      <c r="M810" s="17"/>
      <c r="N810" s="17"/>
      <c r="O810" s="17"/>
      <c r="P810" s="17"/>
      <c r="Q810" s="17"/>
      <c r="R810" s="17"/>
      <c r="S810" s="201"/>
      <c r="T810" s="201"/>
      <c r="U810" s="201"/>
      <c r="V810" s="201"/>
      <c r="W810" s="17"/>
      <c r="X810" s="17"/>
      <c r="Y810" s="17"/>
      <c r="Z810" s="17"/>
      <c r="AA810" s="17"/>
      <c r="AB810" s="17"/>
    </row>
    <row r="811">
      <c r="A811" s="17"/>
      <c r="B811" s="17"/>
      <c r="C811" s="17"/>
      <c r="D811" s="17"/>
      <c r="E811" s="17"/>
      <c r="F811" s="297"/>
      <c r="G811" s="17"/>
      <c r="H811" s="17"/>
      <c r="I811" s="17"/>
      <c r="J811" s="17"/>
      <c r="K811" s="17"/>
      <c r="L811" s="17"/>
      <c r="M811" s="17"/>
      <c r="N811" s="17"/>
      <c r="O811" s="17"/>
      <c r="P811" s="17"/>
      <c r="Q811" s="17"/>
      <c r="R811" s="17"/>
      <c r="S811" s="201"/>
      <c r="T811" s="201"/>
      <c r="U811" s="201"/>
      <c r="V811" s="201"/>
      <c r="W811" s="17"/>
      <c r="X811" s="17"/>
      <c r="Y811" s="17"/>
      <c r="Z811" s="17"/>
      <c r="AA811" s="17"/>
      <c r="AB811" s="17"/>
    </row>
    <row r="812">
      <c r="A812" s="17"/>
      <c r="B812" s="17"/>
      <c r="C812" s="17"/>
      <c r="D812" s="17"/>
      <c r="E812" s="17"/>
      <c r="F812" s="297"/>
      <c r="G812" s="17"/>
      <c r="H812" s="17"/>
      <c r="I812" s="17"/>
      <c r="J812" s="17"/>
      <c r="K812" s="17"/>
      <c r="L812" s="17"/>
      <c r="M812" s="17"/>
      <c r="N812" s="17"/>
      <c r="O812" s="17"/>
      <c r="P812" s="17"/>
      <c r="Q812" s="17"/>
      <c r="R812" s="17"/>
      <c r="S812" s="201"/>
      <c r="T812" s="201"/>
      <c r="U812" s="201"/>
      <c r="V812" s="201"/>
      <c r="W812" s="17"/>
      <c r="X812" s="17"/>
      <c r="Y812" s="17"/>
      <c r="Z812" s="17"/>
      <c r="AA812" s="17"/>
      <c r="AB812" s="17"/>
    </row>
    <row r="813">
      <c r="A813" s="17"/>
      <c r="B813" s="17"/>
      <c r="C813" s="17"/>
      <c r="D813" s="17"/>
      <c r="E813" s="17"/>
      <c r="F813" s="297"/>
      <c r="G813" s="17"/>
      <c r="H813" s="17"/>
      <c r="I813" s="17"/>
      <c r="J813" s="17"/>
      <c r="K813" s="17"/>
      <c r="L813" s="17"/>
      <c r="M813" s="17"/>
      <c r="N813" s="17"/>
      <c r="O813" s="17"/>
      <c r="P813" s="17"/>
      <c r="Q813" s="17"/>
      <c r="R813" s="17"/>
      <c r="S813" s="201"/>
      <c r="T813" s="201"/>
      <c r="U813" s="201"/>
      <c r="V813" s="201"/>
      <c r="W813" s="17"/>
      <c r="X813" s="17"/>
      <c r="Y813" s="17"/>
      <c r="Z813" s="17"/>
      <c r="AA813" s="17"/>
      <c r="AB813" s="17"/>
    </row>
    <row r="814">
      <c r="A814" s="17"/>
      <c r="B814" s="17"/>
      <c r="C814" s="17"/>
      <c r="D814" s="17"/>
      <c r="E814" s="17"/>
      <c r="F814" s="297"/>
      <c r="G814" s="17"/>
      <c r="H814" s="17"/>
      <c r="I814" s="17"/>
      <c r="J814" s="17"/>
      <c r="K814" s="17"/>
      <c r="L814" s="17"/>
      <c r="M814" s="17"/>
      <c r="N814" s="17"/>
      <c r="O814" s="17"/>
      <c r="P814" s="17"/>
      <c r="Q814" s="17"/>
      <c r="R814" s="17"/>
      <c r="S814" s="201"/>
      <c r="T814" s="201"/>
      <c r="U814" s="201"/>
      <c r="V814" s="201"/>
      <c r="W814" s="17"/>
      <c r="X814" s="17"/>
      <c r="Y814" s="17"/>
      <c r="Z814" s="17"/>
      <c r="AA814" s="17"/>
      <c r="AB814" s="17"/>
    </row>
    <row r="815">
      <c r="A815" s="17"/>
      <c r="B815" s="17"/>
      <c r="C815" s="17"/>
      <c r="D815" s="17"/>
      <c r="E815" s="17"/>
      <c r="F815" s="297"/>
      <c r="G815" s="17"/>
      <c r="H815" s="17"/>
      <c r="I815" s="17"/>
      <c r="J815" s="17"/>
      <c r="K815" s="17"/>
      <c r="L815" s="17"/>
      <c r="M815" s="17"/>
      <c r="N815" s="17"/>
      <c r="O815" s="17"/>
      <c r="P815" s="17"/>
      <c r="Q815" s="17"/>
      <c r="R815" s="17"/>
      <c r="S815" s="201"/>
      <c r="T815" s="201"/>
      <c r="U815" s="201"/>
      <c r="V815" s="201"/>
      <c r="W815" s="17"/>
      <c r="X815" s="17"/>
      <c r="Y815" s="17"/>
      <c r="Z815" s="17"/>
      <c r="AA815" s="17"/>
      <c r="AB815" s="17"/>
    </row>
    <row r="816">
      <c r="A816" s="17"/>
      <c r="B816" s="17"/>
      <c r="C816" s="17"/>
      <c r="D816" s="17"/>
      <c r="E816" s="17"/>
      <c r="F816" s="297"/>
      <c r="G816" s="17"/>
      <c r="H816" s="17"/>
      <c r="I816" s="17"/>
      <c r="J816" s="17"/>
      <c r="K816" s="17"/>
      <c r="L816" s="17"/>
      <c r="M816" s="17"/>
      <c r="N816" s="17"/>
      <c r="O816" s="17"/>
      <c r="P816" s="17"/>
      <c r="Q816" s="17"/>
      <c r="R816" s="17"/>
      <c r="S816" s="201"/>
      <c r="T816" s="201"/>
      <c r="U816" s="201"/>
      <c r="V816" s="201"/>
      <c r="W816" s="17"/>
      <c r="X816" s="17"/>
      <c r="Y816" s="17"/>
      <c r="Z816" s="17"/>
      <c r="AA816" s="17"/>
      <c r="AB816" s="17"/>
    </row>
    <row r="817">
      <c r="A817" s="17"/>
      <c r="B817" s="17"/>
      <c r="C817" s="17"/>
      <c r="D817" s="17"/>
      <c r="E817" s="17"/>
      <c r="F817" s="297"/>
      <c r="G817" s="17"/>
      <c r="H817" s="17"/>
      <c r="I817" s="17"/>
      <c r="J817" s="17"/>
      <c r="K817" s="17"/>
      <c r="L817" s="17"/>
      <c r="M817" s="17"/>
      <c r="N817" s="17"/>
      <c r="O817" s="17"/>
      <c r="P817" s="17"/>
      <c r="Q817" s="17"/>
      <c r="R817" s="17"/>
      <c r="S817" s="201"/>
      <c r="T817" s="201"/>
      <c r="U817" s="201"/>
      <c r="V817" s="201"/>
      <c r="W817" s="17"/>
      <c r="X817" s="17"/>
      <c r="Y817" s="17"/>
      <c r="Z817" s="17"/>
      <c r="AA817" s="17"/>
      <c r="AB817" s="17"/>
    </row>
    <row r="818">
      <c r="A818" s="17"/>
      <c r="B818" s="17"/>
      <c r="C818" s="17"/>
      <c r="D818" s="17"/>
      <c r="E818" s="17"/>
      <c r="F818" s="297"/>
      <c r="G818" s="17"/>
      <c r="H818" s="17"/>
      <c r="I818" s="17"/>
      <c r="J818" s="17"/>
      <c r="K818" s="17"/>
      <c r="L818" s="17"/>
      <c r="M818" s="17"/>
      <c r="N818" s="17"/>
      <c r="O818" s="17"/>
      <c r="P818" s="17"/>
      <c r="Q818" s="17"/>
      <c r="R818" s="17"/>
      <c r="S818" s="201"/>
      <c r="T818" s="201"/>
      <c r="U818" s="201"/>
      <c r="V818" s="201"/>
      <c r="W818" s="17"/>
      <c r="X818" s="17"/>
      <c r="Y818" s="17"/>
      <c r="Z818" s="17"/>
      <c r="AA818" s="17"/>
      <c r="AB818" s="17"/>
    </row>
    <row r="819">
      <c r="A819" s="17"/>
      <c r="B819" s="17"/>
      <c r="C819" s="17"/>
      <c r="D819" s="17"/>
      <c r="E819" s="17"/>
      <c r="F819" s="297"/>
      <c r="G819" s="17"/>
      <c r="H819" s="17"/>
      <c r="I819" s="17"/>
      <c r="J819" s="17"/>
      <c r="K819" s="17"/>
      <c r="L819" s="17"/>
      <c r="M819" s="17"/>
      <c r="N819" s="17"/>
      <c r="O819" s="17"/>
      <c r="P819" s="17"/>
      <c r="Q819" s="17"/>
      <c r="R819" s="17"/>
      <c r="S819" s="201"/>
      <c r="T819" s="201"/>
      <c r="U819" s="201"/>
      <c r="V819" s="201"/>
      <c r="W819" s="17"/>
      <c r="X819" s="17"/>
      <c r="Y819" s="17"/>
      <c r="Z819" s="17"/>
      <c r="AA819" s="17"/>
      <c r="AB819" s="17"/>
    </row>
    <row r="820">
      <c r="A820" s="17"/>
      <c r="B820" s="17"/>
      <c r="C820" s="17"/>
      <c r="D820" s="17"/>
      <c r="E820" s="17"/>
      <c r="F820" s="297"/>
      <c r="G820" s="17"/>
      <c r="H820" s="17"/>
      <c r="I820" s="17"/>
      <c r="J820" s="17"/>
      <c r="K820" s="17"/>
      <c r="L820" s="17"/>
      <c r="M820" s="17"/>
      <c r="N820" s="17"/>
      <c r="O820" s="17"/>
      <c r="P820" s="17"/>
      <c r="Q820" s="17"/>
      <c r="R820" s="17"/>
      <c r="S820" s="201"/>
      <c r="T820" s="201"/>
      <c r="U820" s="201"/>
      <c r="V820" s="201"/>
      <c r="W820" s="17"/>
      <c r="X820" s="17"/>
      <c r="Y820" s="17"/>
      <c r="Z820" s="17"/>
      <c r="AA820" s="17"/>
      <c r="AB820" s="17"/>
    </row>
    <row r="821">
      <c r="A821" s="17"/>
      <c r="B821" s="17"/>
      <c r="C821" s="17"/>
      <c r="D821" s="17"/>
      <c r="E821" s="17"/>
      <c r="F821" s="297"/>
      <c r="G821" s="17"/>
      <c r="H821" s="17"/>
      <c r="I821" s="17"/>
      <c r="J821" s="17"/>
      <c r="K821" s="17"/>
      <c r="L821" s="17"/>
      <c r="M821" s="17"/>
      <c r="N821" s="17"/>
      <c r="O821" s="17"/>
      <c r="P821" s="17"/>
      <c r="Q821" s="17"/>
      <c r="R821" s="17"/>
      <c r="S821" s="201"/>
      <c r="T821" s="201"/>
      <c r="U821" s="201"/>
      <c r="V821" s="201"/>
      <c r="W821" s="17"/>
      <c r="X821" s="17"/>
      <c r="Y821" s="17"/>
      <c r="Z821" s="17"/>
      <c r="AA821" s="17"/>
      <c r="AB821" s="17"/>
    </row>
    <row r="822">
      <c r="A822" s="17"/>
      <c r="B822" s="17"/>
      <c r="C822" s="17"/>
      <c r="D822" s="17"/>
      <c r="E822" s="17"/>
      <c r="F822" s="297"/>
      <c r="G822" s="17"/>
      <c r="H822" s="17"/>
      <c r="I822" s="17"/>
      <c r="J822" s="17"/>
      <c r="K822" s="17"/>
      <c r="L822" s="17"/>
      <c r="M822" s="17"/>
      <c r="N822" s="17"/>
      <c r="O822" s="17"/>
      <c r="P822" s="17"/>
      <c r="Q822" s="17"/>
      <c r="R822" s="17"/>
      <c r="S822" s="201"/>
      <c r="T822" s="201"/>
      <c r="U822" s="201"/>
      <c r="V822" s="201"/>
      <c r="W822" s="17"/>
      <c r="X822" s="17"/>
      <c r="Y822" s="17"/>
      <c r="Z822" s="17"/>
      <c r="AA822" s="17"/>
      <c r="AB822" s="17"/>
    </row>
    <row r="823">
      <c r="A823" s="17"/>
      <c r="B823" s="17"/>
      <c r="C823" s="17"/>
      <c r="D823" s="17"/>
      <c r="E823" s="17"/>
      <c r="F823" s="297"/>
      <c r="G823" s="17"/>
      <c r="H823" s="17"/>
      <c r="I823" s="17"/>
      <c r="J823" s="17"/>
      <c r="K823" s="17"/>
      <c r="L823" s="17"/>
      <c r="M823" s="17"/>
      <c r="N823" s="17"/>
      <c r="O823" s="17"/>
      <c r="P823" s="17"/>
      <c r="Q823" s="17"/>
      <c r="R823" s="17"/>
      <c r="S823" s="201"/>
      <c r="T823" s="201"/>
      <c r="U823" s="201"/>
      <c r="V823" s="201"/>
      <c r="W823" s="17"/>
      <c r="X823" s="17"/>
      <c r="Y823" s="17"/>
      <c r="Z823" s="17"/>
      <c r="AA823" s="17"/>
      <c r="AB823" s="17"/>
    </row>
    <row r="824">
      <c r="A824" s="17"/>
      <c r="B824" s="17"/>
      <c r="C824" s="17"/>
      <c r="D824" s="17"/>
      <c r="E824" s="17"/>
      <c r="F824" s="297"/>
      <c r="G824" s="17"/>
      <c r="H824" s="17"/>
      <c r="I824" s="17"/>
      <c r="J824" s="17"/>
      <c r="K824" s="17"/>
      <c r="L824" s="17"/>
      <c r="M824" s="17"/>
      <c r="N824" s="17"/>
      <c r="O824" s="17"/>
      <c r="P824" s="17"/>
      <c r="Q824" s="17"/>
      <c r="R824" s="17"/>
      <c r="S824" s="201"/>
      <c r="T824" s="201"/>
      <c r="U824" s="201"/>
      <c r="V824" s="201"/>
      <c r="W824" s="17"/>
      <c r="X824" s="17"/>
      <c r="Y824" s="17"/>
      <c r="Z824" s="17"/>
      <c r="AA824" s="17"/>
      <c r="AB824" s="17"/>
    </row>
    <row r="825">
      <c r="A825" s="17"/>
      <c r="B825" s="17"/>
      <c r="C825" s="17"/>
      <c r="D825" s="17"/>
      <c r="E825" s="17"/>
      <c r="F825" s="297"/>
      <c r="G825" s="17"/>
      <c r="H825" s="17"/>
      <c r="I825" s="17"/>
      <c r="J825" s="17"/>
      <c r="K825" s="17"/>
      <c r="L825" s="17"/>
      <c r="M825" s="17"/>
      <c r="N825" s="17"/>
      <c r="O825" s="17"/>
      <c r="P825" s="17"/>
      <c r="Q825" s="17"/>
      <c r="R825" s="17"/>
      <c r="S825" s="201"/>
      <c r="T825" s="201"/>
      <c r="U825" s="201"/>
      <c r="V825" s="201"/>
      <c r="W825" s="17"/>
      <c r="X825" s="17"/>
      <c r="Y825" s="17"/>
      <c r="Z825" s="17"/>
      <c r="AA825" s="17"/>
      <c r="AB825" s="17"/>
    </row>
    <row r="826">
      <c r="A826" s="17"/>
      <c r="B826" s="17"/>
      <c r="C826" s="17"/>
      <c r="D826" s="17"/>
      <c r="E826" s="17"/>
      <c r="F826" s="297"/>
      <c r="G826" s="17"/>
      <c r="H826" s="17"/>
      <c r="I826" s="17"/>
      <c r="J826" s="17"/>
      <c r="K826" s="17"/>
      <c r="L826" s="17"/>
      <c r="M826" s="17"/>
      <c r="N826" s="17"/>
      <c r="O826" s="17"/>
      <c r="P826" s="17"/>
      <c r="Q826" s="17"/>
      <c r="R826" s="17"/>
      <c r="S826" s="201"/>
      <c r="T826" s="201"/>
      <c r="U826" s="201"/>
      <c r="V826" s="201"/>
      <c r="W826" s="17"/>
      <c r="X826" s="17"/>
      <c r="Y826" s="17"/>
      <c r="Z826" s="17"/>
      <c r="AA826" s="17"/>
      <c r="AB826" s="17"/>
    </row>
    <row r="827">
      <c r="A827" s="17"/>
      <c r="B827" s="17"/>
      <c r="C827" s="17"/>
      <c r="D827" s="17"/>
      <c r="E827" s="17"/>
      <c r="F827" s="297"/>
      <c r="G827" s="17"/>
      <c r="H827" s="17"/>
      <c r="I827" s="17"/>
      <c r="J827" s="17"/>
      <c r="K827" s="17"/>
      <c r="L827" s="17"/>
      <c r="M827" s="17"/>
      <c r="N827" s="17"/>
      <c r="O827" s="17"/>
      <c r="P827" s="17"/>
      <c r="Q827" s="17"/>
      <c r="R827" s="17"/>
      <c r="S827" s="201"/>
      <c r="T827" s="201"/>
      <c r="U827" s="201"/>
      <c r="V827" s="201"/>
      <c r="W827" s="17"/>
      <c r="X827" s="17"/>
      <c r="Y827" s="17"/>
      <c r="Z827" s="17"/>
      <c r="AA827" s="17"/>
      <c r="AB827" s="17"/>
    </row>
    <row r="828">
      <c r="A828" s="17"/>
      <c r="B828" s="17"/>
      <c r="C828" s="17"/>
      <c r="D828" s="17"/>
      <c r="E828" s="17"/>
      <c r="F828" s="297"/>
      <c r="G828" s="17"/>
      <c r="H828" s="17"/>
      <c r="I828" s="17"/>
      <c r="J828" s="17"/>
      <c r="K828" s="17"/>
      <c r="L828" s="17"/>
      <c r="M828" s="17"/>
      <c r="N828" s="17"/>
      <c r="O828" s="17"/>
      <c r="P828" s="17"/>
      <c r="Q828" s="17"/>
      <c r="R828" s="17"/>
      <c r="S828" s="201"/>
      <c r="T828" s="201"/>
      <c r="U828" s="201"/>
      <c r="V828" s="201"/>
      <c r="W828" s="17"/>
      <c r="X828" s="17"/>
      <c r="Y828" s="17"/>
      <c r="Z828" s="17"/>
      <c r="AA828" s="17"/>
      <c r="AB828" s="17"/>
    </row>
    <row r="829">
      <c r="A829" s="17"/>
      <c r="B829" s="17"/>
      <c r="C829" s="17"/>
      <c r="D829" s="17"/>
      <c r="E829" s="17"/>
      <c r="F829" s="297"/>
      <c r="G829" s="17"/>
      <c r="H829" s="17"/>
      <c r="I829" s="17"/>
      <c r="J829" s="17"/>
      <c r="K829" s="17"/>
      <c r="L829" s="17"/>
      <c r="M829" s="17"/>
      <c r="N829" s="17"/>
      <c r="O829" s="17"/>
      <c r="P829" s="17"/>
      <c r="Q829" s="17"/>
      <c r="R829" s="17"/>
      <c r="S829" s="201"/>
      <c r="T829" s="201"/>
      <c r="U829" s="201"/>
      <c r="V829" s="201"/>
      <c r="W829" s="17"/>
      <c r="X829" s="17"/>
      <c r="Y829" s="17"/>
      <c r="Z829" s="17"/>
      <c r="AA829" s="17"/>
      <c r="AB829" s="17"/>
    </row>
    <row r="830">
      <c r="A830" s="17"/>
      <c r="B830" s="17"/>
      <c r="C830" s="17"/>
      <c r="D830" s="17"/>
      <c r="E830" s="17"/>
      <c r="F830" s="297"/>
      <c r="G830" s="17"/>
      <c r="H830" s="17"/>
      <c r="I830" s="17"/>
      <c r="J830" s="17"/>
      <c r="K830" s="17"/>
      <c r="L830" s="17"/>
      <c r="M830" s="17"/>
      <c r="N830" s="17"/>
      <c r="O830" s="17"/>
      <c r="P830" s="17"/>
      <c r="Q830" s="17"/>
      <c r="R830" s="17"/>
      <c r="S830" s="201"/>
      <c r="T830" s="201"/>
      <c r="U830" s="201"/>
      <c r="V830" s="201"/>
      <c r="W830" s="17"/>
      <c r="X830" s="17"/>
      <c r="Y830" s="17"/>
      <c r="Z830" s="17"/>
      <c r="AA830" s="17"/>
      <c r="AB830" s="17"/>
    </row>
    <row r="831">
      <c r="A831" s="17"/>
      <c r="B831" s="17"/>
      <c r="C831" s="17"/>
      <c r="D831" s="17"/>
      <c r="E831" s="17"/>
      <c r="F831" s="297"/>
      <c r="G831" s="17"/>
      <c r="H831" s="17"/>
      <c r="I831" s="17"/>
      <c r="J831" s="17"/>
      <c r="K831" s="17"/>
      <c r="L831" s="17"/>
      <c r="M831" s="17"/>
      <c r="N831" s="17"/>
      <c r="O831" s="17"/>
      <c r="P831" s="17"/>
      <c r="Q831" s="17"/>
      <c r="R831" s="17"/>
      <c r="S831" s="201"/>
      <c r="T831" s="201"/>
      <c r="U831" s="201"/>
      <c r="V831" s="201"/>
      <c r="W831" s="17"/>
      <c r="X831" s="17"/>
      <c r="Y831" s="17"/>
      <c r="Z831" s="17"/>
      <c r="AA831" s="17"/>
      <c r="AB831" s="17"/>
    </row>
    <row r="832">
      <c r="A832" s="17"/>
      <c r="B832" s="17"/>
      <c r="C832" s="17"/>
      <c r="D832" s="17"/>
      <c r="E832" s="17"/>
      <c r="F832" s="297"/>
      <c r="G832" s="17"/>
      <c r="H832" s="17"/>
      <c r="I832" s="17"/>
      <c r="J832" s="17"/>
      <c r="K832" s="17"/>
      <c r="L832" s="17"/>
      <c r="M832" s="17"/>
      <c r="N832" s="17"/>
      <c r="O832" s="17"/>
      <c r="P832" s="17"/>
      <c r="Q832" s="17"/>
      <c r="R832" s="17"/>
      <c r="S832" s="201"/>
      <c r="T832" s="201"/>
      <c r="U832" s="201"/>
      <c r="V832" s="201"/>
      <c r="W832" s="17"/>
      <c r="X832" s="17"/>
      <c r="Y832" s="17"/>
      <c r="Z832" s="17"/>
      <c r="AA832" s="17"/>
      <c r="AB832" s="17"/>
    </row>
    <row r="833">
      <c r="A833" s="17"/>
      <c r="B833" s="17"/>
      <c r="C833" s="17"/>
      <c r="D833" s="17"/>
      <c r="E833" s="17"/>
      <c r="F833" s="297"/>
      <c r="G833" s="17"/>
      <c r="H833" s="17"/>
      <c r="I833" s="17"/>
      <c r="J833" s="17"/>
      <c r="K833" s="17"/>
      <c r="L833" s="17"/>
      <c r="M833" s="17"/>
      <c r="N833" s="17"/>
      <c r="O833" s="17"/>
      <c r="P833" s="17"/>
      <c r="Q833" s="17"/>
      <c r="R833" s="17"/>
      <c r="S833" s="201"/>
      <c r="T833" s="201"/>
      <c r="U833" s="201"/>
      <c r="V833" s="201"/>
      <c r="W833" s="17"/>
      <c r="X833" s="17"/>
      <c r="Y833" s="17"/>
      <c r="Z833" s="17"/>
      <c r="AA833" s="17"/>
      <c r="AB833" s="17"/>
    </row>
    <row r="834">
      <c r="A834" s="17"/>
      <c r="B834" s="17"/>
      <c r="C834" s="17"/>
      <c r="D834" s="17"/>
      <c r="E834" s="17"/>
      <c r="F834" s="297"/>
      <c r="G834" s="17"/>
      <c r="H834" s="17"/>
      <c r="I834" s="17"/>
      <c r="J834" s="17"/>
      <c r="K834" s="17"/>
      <c r="L834" s="17"/>
      <c r="M834" s="17"/>
      <c r="N834" s="17"/>
      <c r="O834" s="17"/>
      <c r="P834" s="17"/>
      <c r="Q834" s="17"/>
      <c r="R834" s="17"/>
      <c r="S834" s="201"/>
      <c r="T834" s="201"/>
      <c r="U834" s="201"/>
      <c r="V834" s="201"/>
      <c r="W834" s="17"/>
      <c r="X834" s="17"/>
      <c r="Y834" s="17"/>
      <c r="Z834" s="17"/>
      <c r="AA834" s="17"/>
      <c r="AB834" s="17"/>
    </row>
    <row r="835">
      <c r="A835" s="17"/>
      <c r="B835" s="17"/>
      <c r="C835" s="17"/>
      <c r="D835" s="17"/>
      <c r="E835" s="17"/>
      <c r="F835" s="297"/>
      <c r="G835" s="17"/>
      <c r="H835" s="17"/>
      <c r="I835" s="17"/>
      <c r="J835" s="17"/>
      <c r="K835" s="17"/>
      <c r="L835" s="17"/>
      <c r="M835" s="17"/>
      <c r="N835" s="17"/>
      <c r="O835" s="17"/>
      <c r="P835" s="17"/>
      <c r="Q835" s="17"/>
      <c r="R835" s="17"/>
      <c r="S835" s="201"/>
      <c r="T835" s="201"/>
      <c r="U835" s="201"/>
      <c r="V835" s="201"/>
      <c r="W835" s="17"/>
      <c r="X835" s="17"/>
      <c r="Y835" s="17"/>
      <c r="Z835" s="17"/>
      <c r="AA835" s="17"/>
      <c r="AB835" s="17"/>
    </row>
    <row r="836">
      <c r="A836" s="17"/>
      <c r="B836" s="17"/>
      <c r="C836" s="17"/>
      <c r="D836" s="17"/>
      <c r="E836" s="17"/>
      <c r="F836" s="297"/>
      <c r="G836" s="17"/>
      <c r="H836" s="17"/>
      <c r="I836" s="17"/>
      <c r="J836" s="17"/>
      <c r="K836" s="17"/>
      <c r="L836" s="17"/>
      <c r="M836" s="17"/>
      <c r="N836" s="17"/>
      <c r="O836" s="17"/>
      <c r="P836" s="17"/>
      <c r="Q836" s="17"/>
      <c r="R836" s="17"/>
      <c r="S836" s="201"/>
      <c r="T836" s="201"/>
      <c r="U836" s="201"/>
      <c r="V836" s="201"/>
      <c r="W836" s="17"/>
      <c r="X836" s="17"/>
      <c r="Y836" s="17"/>
      <c r="Z836" s="17"/>
      <c r="AA836" s="17"/>
      <c r="AB836" s="17"/>
    </row>
    <row r="837">
      <c r="A837" s="17"/>
      <c r="B837" s="17"/>
      <c r="C837" s="17"/>
      <c r="D837" s="17"/>
      <c r="E837" s="17"/>
      <c r="F837" s="297"/>
      <c r="G837" s="17"/>
      <c r="H837" s="17"/>
      <c r="I837" s="17"/>
      <c r="J837" s="17"/>
      <c r="K837" s="17"/>
      <c r="L837" s="17"/>
      <c r="M837" s="17"/>
      <c r="N837" s="17"/>
      <c r="O837" s="17"/>
      <c r="P837" s="17"/>
      <c r="Q837" s="17"/>
      <c r="R837" s="17"/>
      <c r="S837" s="201"/>
      <c r="T837" s="201"/>
      <c r="U837" s="201"/>
      <c r="V837" s="201"/>
      <c r="W837" s="17"/>
      <c r="X837" s="17"/>
      <c r="Y837" s="17"/>
      <c r="Z837" s="17"/>
      <c r="AA837" s="17"/>
      <c r="AB837" s="17"/>
    </row>
    <row r="838">
      <c r="A838" s="17"/>
      <c r="B838" s="17"/>
      <c r="C838" s="17"/>
      <c r="D838" s="17"/>
      <c r="E838" s="17"/>
      <c r="F838" s="297"/>
      <c r="G838" s="17"/>
      <c r="H838" s="17"/>
      <c r="I838" s="17"/>
      <c r="J838" s="17"/>
      <c r="K838" s="17"/>
      <c r="L838" s="17"/>
      <c r="M838" s="17"/>
      <c r="N838" s="17"/>
      <c r="O838" s="17"/>
      <c r="P838" s="17"/>
      <c r="Q838" s="17"/>
      <c r="R838" s="17"/>
      <c r="S838" s="201"/>
      <c r="T838" s="201"/>
      <c r="U838" s="201"/>
      <c r="V838" s="201"/>
      <c r="W838" s="17"/>
      <c r="X838" s="17"/>
      <c r="Y838" s="17"/>
      <c r="Z838" s="17"/>
      <c r="AA838" s="17"/>
      <c r="AB838" s="17"/>
    </row>
    <row r="839">
      <c r="A839" s="17"/>
      <c r="B839" s="17"/>
      <c r="C839" s="17"/>
      <c r="D839" s="17"/>
      <c r="E839" s="17"/>
      <c r="F839" s="297"/>
      <c r="G839" s="17"/>
      <c r="H839" s="17"/>
      <c r="I839" s="17"/>
      <c r="J839" s="17"/>
      <c r="K839" s="17"/>
      <c r="L839" s="17"/>
      <c r="M839" s="17"/>
      <c r="N839" s="17"/>
      <c r="O839" s="17"/>
      <c r="P839" s="17"/>
      <c r="Q839" s="17"/>
      <c r="R839" s="17"/>
      <c r="S839" s="201"/>
      <c r="T839" s="201"/>
      <c r="U839" s="201"/>
      <c r="V839" s="201"/>
      <c r="W839" s="17"/>
      <c r="X839" s="17"/>
      <c r="Y839" s="17"/>
      <c r="Z839" s="17"/>
      <c r="AA839" s="17"/>
      <c r="AB839" s="17"/>
    </row>
    <row r="840">
      <c r="A840" s="17"/>
      <c r="B840" s="17"/>
      <c r="C840" s="17"/>
      <c r="D840" s="17"/>
      <c r="E840" s="17"/>
      <c r="F840" s="297"/>
      <c r="G840" s="17"/>
      <c r="H840" s="17"/>
      <c r="I840" s="17"/>
      <c r="J840" s="17"/>
      <c r="K840" s="17"/>
      <c r="L840" s="17"/>
      <c r="M840" s="17"/>
      <c r="N840" s="17"/>
      <c r="O840" s="17"/>
      <c r="P840" s="17"/>
      <c r="Q840" s="17"/>
      <c r="R840" s="17"/>
      <c r="S840" s="201"/>
      <c r="T840" s="201"/>
      <c r="U840" s="201"/>
      <c r="V840" s="201"/>
      <c r="W840" s="17"/>
      <c r="X840" s="17"/>
      <c r="Y840" s="17"/>
      <c r="Z840" s="17"/>
      <c r="AA840" s="17"/>
      <c r="AB840" s="17"/>
    </row>
    <row r="841">
      <c r="A841" s="17"/>
      <c r="B841" s="17"/>
      <c r="C841" s="17"/>
      <c r="D841" s="17"/>
      <c r="E841" s="17"/>
      <c r="F841" s="297"/>
      <c r="G841" s="17"/>
      <c r="H841" s="17"/>
      <c r="I841" s="17"/>
      <c r="J841" s="17"/>
      <c r="K841" s="17"/>
      <c r="L841" s="17"/>
      <c r="M841" s="17"/>
      <c r="N841" s="17"/>
      <c r="O841" s="17"/>
      <c r="P841" s="17"/>
      <c r="Q841" s="17"/>
      <c r="R841" s="17"/>
      <c r="S841" s="201"/>
      <c r="T841" s="201"/>
      <c r="U841" s="201"/>
      <c r="V841" s="201"/>
      <c r="W841" s="17"/>
      <c r="X841" s="17"/>
      <c r="Y841" s="17"/>
      <c r="Z841" s="17"/>
      <c r="AA841" s="17"/>
      <c r="AB841" s="17"/>
    </row>
    <row r="842">
      <c r="A842" s="17"/>
      <c r="B842" s="17"/>
      <c r="C842" s="17"/>
      <c r="D842" s="17"/>
      <c r="E842" s="17"/>
      <c r="F842" s="297"/>
      <c r="G842" s="17"/>
      <c r="H842" s="17"/>
      <c r="I842" s="17"/>
      <c r="J842" s="17"/>
      <c r="K842" s="17"/>
      <c r="L842" s="17"/>
      <c r="M842" s="17"/>
      <c r="N842" s="17"/>
      <c r="O842" s="17"/>
      <c r="P842" s="17"/>
      <c r="Q842" s="17"/>
      <c r="R842" s="17"/>
      <c r="S842" s="201"/>
      <c r="T842" s="201"/>
      <c r="U842" s="201"/>
      <c r="V842" s="201"/>
      <c r="W842" s="17"/>
      <c r="X842" s="17"/>
      <c r="Y842" s="17"/>
      <c r="Z842" s="17"/>
      <c r="AA842" s="17"/>
      <c r="AB842" s="17"/>
    </row>
    <row r="843">
      <c r="A843" s="17"/>
      <c r="B843" s="17"/>
      <c r="C843" s="17"/>
      <c r="D843" s="17"/>
      <c r="E843" s="17"/>
      <c r="F843" s="297"/>
      <c r="G843" s="17"/>
      <c r="H843" s="17"/>
      <c r="I843" s="17"/>
      <c r="J843" s="17"/>
      <c r="K843" s="17"/>
      <c r="L843" s="17"/>
      <c r="M843" s="17"/>
      <c r="N843" s="17"/>
      <c r="O843" s="17"/>
      <c r="P843" s="17"/>
      <c r="Q843" s="17"/>
      <c r="R843" s="17"/>
      <c r="S843" s="201"/>
      <c r="T843" s="201"/>
      <c r="U843" s="201"/>
      <c r="V843" s="201"/>
      <c r="W843" s="17"/>
      <c r="X843" s="17"/>
      <c r="Y843" s="17"/>
      <c r="Z843" s="17"/>
      <c r="AA843" s="17"/>
      <c r="AB843" s="17"/>
    </row>
    <row r="844">
      <c r="A844" s="17"/>
      <c r="B844" s="17"/>
      <c r="C844" s="17"/>
      <c r="D844" s="17"/>
      <c r="E844" s="17"/>
      <c r="F844" s="297"/>
      <c r="G844" s="17"/>
      <c r="H844" s="17"/>
      <c r="I844" s="17"/>
      <c r="J844" s="17"/>
      <c r="K844" s="17"/>
      <c r="L844" s="17"/>
      <c r="M844" s="17"/>
      <c r="N844" s="17"/>
      <c r="O844" s="17"/>
      <c r="P844" s="17"/>
      <c r="Q844" s="17"/>
      <c r="R844" s="17"/>
      <c r="S844" s="201"/>
      <c r="T844" s="201"/>
      <c r="U844" s="201"/>
      <c r="V844" s="201"/>
      <c r="W844" s="17"/>
      <c r="X844" s="17"/>
      <c r="Y844" s="17"/>
      <c r="Z844" s="17"/>
      <c r="AA844" s="17"/>
      <c r="AB844" s="17"/>
    </row>
    <row r="845">
      <c r="A845" s="17"/>
      <c r="B845" s="17"/>
      <c r="C845" s="17"/>
      <c r="D845" s="17"/>
      <c r="E845" s="17"/>
      <c r="F845" s="297"/>
      <c r="G845" s="17"/>
      <c r="H845" s="17"/>
      <c r="I845" s="17"/>
      <c r="J845" s="17"/>
      <c r="K845" s="17"/>
      <c r="L845" s="17"/>
      <c r="M845" s="17"/>
      <c r="N845" s="17"/>
      <c r="O845" s="17"/>
      <c r="P845" s="17"/>
      <c r="Q845" s="17"/>
      <c r="R845" s="17"/>
      <c r="S845" s="201"/>
      <c r="T845" s="201"/>
      <c r="U845" s="201"/>
      <c r="V845" s="201"/>
      <c r="W845" s="17"/>
      <c r="X845" s="17"/>
      <c r="Y845" s="17"/>
      <c r="Z845" s="17"/>
      <c r="AA845" s="17"/>
      <c r="AB845" s="17"/>
    </row>
    <row r="846">
      <c r="A846" s="17"/>
      <c r="B846" s="17"/>
      <c r="C846" s="17"/>
      <c r="D846" s="17"/>
      <c r="E846" s="17"/>
      <c r="F846" s="297"/>
      <c r="G846" s="17"/>
      <c r="H846" s="17"/>
      <c r="I846" s="17"/>
      <c r="J846" s="17"/>
      <c r="K846" s="17"/>
      <c r="L846" s="17"/>
      <c r="M846" s="17"/>
      <c r="N846" s="17"/>
      <c r="O846" s="17"/>
      <c r="P846" s="17"/>
      <c r="Q846" s="17"/>
      <c r="R846" s="17"/>
      <c r="S846" s="201"/>
      <c r="T846" s="201"/>
      <c r="U846" s="201"/>
      <c r="V846" s="201"/>
      <c r="W846" s="17"/>
      <c r="X846" s="17"/>
      <c r="Y846" s="17"/>
      <c r="Z846" s="17"/>
      <c r="AA846" s="17"/>
      <c r="AB846" s="17"/>
    </row>
    <row r="847">
      <c r="A847" s="17"/>
      <c r="B847" s="17"/>
      <c r="C847" s="17"/>
      <c r="D847" s="17"/>
      <c r="E847" s="17"/>
      <c r="F847" s="297"/>
      <c r="G847" s="17"/>
      <c r="H847" s="17"/>
      <c r="I847" s="17"/>
      <c r="J847" s="17"/>
      <c r="K847" s="17"/>
      <c r="L847" s="17"/>
      <c r="M847" s="17"/>
      <c r="N847" s="17"/>
      <c r="O847" s="17"/>
      <c r="P847" s="17"/>
      <c r="Q847" s="17"/>
      <c r="R847" s="17"/>
      <c r="S847" s="201"/>
      <c r="T847" s="201"/>
      <c r="U847" s="201"/>
      <c r="V847" s="201"/>
      <c r="W847" s="17"/>
      <c r="X847" s="17"/>
      <c r="Y847" s="17"/>
      <c r="Z847" s="17"/>
      <c r="AA847" s="17"/>
      <c r="AB847" s="17"/>
    </row>
    <row r="848">
      <c r="A848" s="17"/>
      <c r="B848" s="17"/>
      <c r="C848" s="17"/>
      <c r="D848" s="17"/>
      <c r="E848" s="17"/>
      <c r="F848" s="297"/>
      <c r="G848" s="17"/>
      <c r="H848" s="17"/>
      <c r="I848" s="17"/>
      <c r="J848" s="17"/>
      <c r="K848" s="17"/>
      <c r="L848" s="17"/>
      <c r="M848" s="17"/>
      <c r="N848" s="17"/>
      <c r="O848" s="17"/>
      <c r="P848" s="17"/>
      <c r="Q848" s="17"/>
      <c r="R848" s="17"/>
      <c r="S848" s="201"/>
      <c r="T848" s="201"/>
      <c r="U848" s="201"/>
      <c r="V848" s="201"/>
      <c r="W848" s="17"/>
      <c r="X848" s="17"/>
      <c r="Y848" s="17"/>
      <c r="Z848" s="17"/>
      <c r="AA848" s="17"/>
      <c r="AB848" s="17"/>
    </row>
    <row r="849">
      <c r="A849" s="17"/>
      <c r="B849" s="17"/>
      <c r="C849" s="17"/>
      <c r="D849" s="17"/>
      <c r="E849" s="17"/>
      <c r="F849" s="297"/>
      <c r="G849" s="17"/>
      <c r="H849" s="17"/>
      <c r="I849" s="17"/>
      <c r="J849" s="17"/>
      <c r="K849" s="17"/>
      <c r="L849" s="17"/>
      <c r="M849" s="17"/>
      <c r="N849" s="17"/>
      <c r="O849" s="17"/>
      <c r="P849" s="17"/>
      <c r="Q849" s="17"/>
      <c r="R849" s="17"/>
      <c r="S849" s="201"/>
      <c r="T849" s="201"/>
      <c r="U849" s="201"/>
      <c r="V849" s="201"/>
      <c r="W849" s="17"/>
      <c r="X849" s="17"/>
      <c r="Y849" s="17"/>
      <c r="Z849" s="17"/>
      <c r="AA849" s="17"/>
      <c r="AB849" s="17"/>
    </row>
    <row r="850">
      <c r="A850" s="17"/>
      <c r="B850" s="17"/>
      <c r="C850" s="17"/>
      <c r="D850" s="17"/>
      <c r="E850" s="17"/>
      <c r="F850" s="297"/>
      <c r="G850" s="17"/>
      <c r="H850" s="17"/>
      <c r="I850" s="17"/>
      <c r="J850" s="17"/>
      <c r="K850" s="17"/>
      <c r="L850" s="17"/>
      <c r="M850" s="17"/>
      <c r="N850" s="17"/>
      <c r="O850" s="17"/>
      <c r="P850" s="17"/>
      <c r="Q850" s="17"/>
      <c r="R850" s="17"/>
      <c r="S850" s="201"/>
      <c r="T850" s="201"/>
      <c r="U850" s="201"/>
      <c r="V850" s="201"/>
      <c r="W850" s="17"/>
      <c r="X850" s="17"/>
      <c r="Y850" s="17"/>
      <c r="Z850" s="17"/>
      <c r="AA850" s="17"/>
      <c r="AB850" s="17"/>
    </row>
    <row r="851">
      <c r="A851" s="17"/>
      <c r="B851" s="17"/>
      <c r="C851" s="17"/>
      <c r="D851" s="17"/>
      <c r="E851" s="17"/>
      <c r="F851" s="297"/>
      <c r="G851" s="17"/>
      <c r="H851" s="17"/>
      <c r="I851" s="17"/>
      <c r="J851" s="17"/>
      <c r="K851" s="17"/>
      <c r="L851" s="17"/>
      <c r="M851" s="17"/>
      <c r="N851" s="17"/>
      <c r="O851" s="17"/>
      <c r="P851" s="17"/>
      <c r="Q851" s="17"/>
      <c r="R851" s="17"/>
      <c r="S851" s="201"/>
      <c r="T851" s="201"/>
      <c r="U851" s="201"/>
      <c r="V851" s="201"/>
      <c r="W851" s="17"/>
      <c r="X851" s="17"/>
      <c r="Y851" s="17"/>
      <c r="Z851" s="17"/>
      <c r="AA851" s="17"/>
      <c r="AB851" s="17"/>
    </row>
    <row r="852">
      <c r="A852" s="17"/>
      <c r="B852" s="17"/>
      <c r="C852" s="17"/>
      <c r="D852" s="17"/>
      <c r="E852" s="17"/>
      <c r="F852" s="297"/>
      <c r="G852" s="17"/>
      <c r="H852" s="17"/>
      <c r="I852" s="17"/>
      <c r="J852" s="17"/>
      <c r="K852" s="17"/>
      <c r="L852" s="17"/>
      <c r="M852" s="17"/>
      <c r="N852" s="17"/>
      <c r="O852" s="17"/>
      <c r="P852" s="17"/>
      <c r="Q852" s="17"/>
      <c r="R852" s="17"/>
      <c r="S852" s="201"/>
      <c r="T852" s="201"/>
      <c r="U852" s="201"/>
      <c r="V852" s="201"/>
      <c r="W852" s="17"/>
      <c r="X852" s="17"/>
      <c r="Y852" s="17"/>
      <c r="Z852" s="17"/>
      <c r="AA852" s="17"/>
      <c r="AB852" s="17"/>
    </row>
    <row r="853">
      <c r="A853" s="17"/>
      <c r="B853" s="17"/>
      <c r="C853" s="17"/>
      <c r="D853" s="17"/>
      <c r="E853" s="17"/>
      <c r="F853" s="297"/>
      <c r="G853" s="17"/>
      <c r="H853" s="17"/>
      <c r="I853" s="17"/>
      <c r="J853" s="17"/>
      <c r="K853" s="17"/>
      <c r="L853" s="17"/>
      <c r="M853" s="17"/>
      <c r="N853" s="17"/>
      <c r="O853" s="17"/>
      <c r="P853" s="17"/>
      <c r="Q853" s="17"/>
      <c r="R853" s="17"/>
      <c r="S853" s="201"/>
      <c r="T853" s="201"/>
      <c r="U853" s="201"/>
      <c r="V853" s="201"/>
      <c r="W853" s="17"/>
      <c r="X853" s="17"/>
      <c r="Y853" s="17"/>
      <c r="Z853" s="17"/>
      <c r="AA853" s="17"/>
      <c r="AB853" s="17"/>
    </row>
    <row r="854">
      <c r="A854" s="17"/>
      <c r="B854" s="17"/>
      <c r="C854" s="17"/>
      <c r="D854" s="17"/>
      <c r="E854" s="17"/>
      <c r="F854" s="297"/>
      <c r="G854" s="17"/>
      <c r="H854" s="17"/>
      <c r="I854" s="17"/>
      <c r="J854" s="17"/>
      <c r="K854" s="17"/>
      <c r="L854" s="17"/>
      <c r="M854" s="17"/>
      <c r="N854" s="17"/>
      <c r="O854" s="17"/>
      <c r="P854" s="17"/>
      <c r="Q854" s="17"/>
      <c r="R854" s="17"/>
      <c r="S854" s="201"/>
      <c r="T854" s="201"/>
      <c r="U854" s="201"/>
      <c r="V854" s="201"/>
      <c r="W854" s="17"/>
      <c r="X854" s="17"/>
      <c r="Y854" s="17"/>
      <c r="Z854" s="17"/>
      <c r="AA854" s="17"/>
      <c r="AB854" s="17"/>
    </row>
    <row r="855">
      <c r="A855" s="17"/>
      <c r="B855" s="17"/>
      <c r="C855" s="17"/>
      <c r="D855" s="17"/>
      <c r="E855" s="17"/>
      <c r="F855" s="297"/>
      <c r="G855" s="17"/>
      <c r="H855" s="17"/>
      <c r="I855" s="17"/>
      <c r="J855" s="17"/>
      <c r="K855" s="17"/>
      <c r="L855" s="17"/>
      <c r="M855" s="17"/>
      <c r="N855" s="17"/>
      <c r="O855" s="17"/>
      <c r="P855" s="17"/>
      <c r="Q855" s="17"/>
      <c r="R855" s="17"/>
      <c r="S855" s="201"/>
      <c r="T855" s="201"/>
      <c r="U855" s="201"/>
      <c r="V855" s="201"/>
      <c r="W855" s="17"/>
      <c r="X855" s="17"/>
      <c r="Y855" s="17"/>
      <c r="Z855" s="17"/>
      <c r="AA855" s="17"/>
      <c r="AB855" s="17"/>
    </row>
    <row r="856">
      <c r="A856" s="17"/>
      <c r="B856" s="17"/>
      <c r="C856" s="17"/>
      <c r="D856" s="17"/>
      <c r="E856" s="17"/>
      <c r="F856" s="297"/>
      <c r="G856" s="17"/>
      <c r="H856" s="17"/>
      <c r="I856" s="17"/>
      <c r="J856" s="17"/>
      <c r="K856" s="17"/>
      <c r="L856" s="17"/>
      <c r="M856" s="17"/>
      <c r="N856" s="17"/>
      <c r="O856" s="17"/>
      <c r="P856" s="17"/>
      <c r="Q856" s="17"/>
      <c r="R856" s="17"/>
      <c r="S856" s="201"/>
      <c r="T856" s="201"/>
      <c r="U856" s="201"/>
      <c r="V856" s="201"/>
      <c r="W856" s="17"/>
      <c r="X856" s="17"/>
      <c r="Y856" s="17"/>
      <c r="Z856" s="17"/>
      <c r="AA856" s="17"/>
      <c r="AB856" s="17"/>
    </row>
    <row r="857">
      <c r="A857" s="17"/>
      <c r="B857" s="17"/>
      <c r="C857" s="17"/>
      <c r="D857" s="17"/>
      <c r="E857" s="17"/>
      <c r="F857" s="297"/>
      <c r="G857" s="17"/>
      <c r="H857" s="17"/>
      <c r="I857" s="17"/>
      <c r="J857" s="17"/>
      <c r="K857" s="17"/>
      <c r="L857" s="17"/>
      <c r="M857" s="17"/>
      <c r="N857" s="17"/>
      <c r="O857" s="17"/>
      <c r="P857" s="17"/>
      <c r="Q857" s="17"/>
      <c r="R857" s="17"/>
      <c r="S857" s="201"/>
      <c r="T857" s="201"/>
      <c r="U857" s="201"/>
      <c r="V857" s="201"/>
      <c r="W857" s="17"/>
      <c r="X857" s="17"/>
      <c r="Y857" s="17"/>
      <c r="Z857" s="17"/>
      <c r="AA857" s="17"/>
      <c r="AB857" s="17"/>
    </row>
    <row r="858">
      <c r="A858" s="17"/>
      <c r="B858" s="17"/>
      <c r="C858" s="17"/>
      <c r="D858" s="17"/>
      <c r="E858" s="17"/>
      <c r="F858" s="297"/>
      <c r="G858" s="17"/>
      <c r="H858" s="17"/>
      <c r="I858" s="17"/>
      <c r="J858" s="17"/>
      <c r="K858" s="17"/>
      <c r="L858" s="17"/>
      <c r="M858" s="17"/>
      <c r="N858" s="17"/>
      <c r="O858" s="17"/>
      <c r="P858" s="17"/>
      <c r="Q858" s="17"/>
      <c r="R858" s="17"/>
      <c r="S858" s="201"/>
      <c r="T858" s="201"/>
      <c r="U858" s="201"/>
      <c r="V858" s="201"/>
      <c r="W858" s="17"/>
      <c r="X858" s="17"/>
      <c r="Y858" s="17"/>
      <c r="Z858" s="17"/>
      <c r="AA858" s="17"/>
      <c r="AB858" s="17"/>
    </row>
    <row r="859">
      <c r="A859" s="17"/>
      <c r="B859" s="17"/>
      <c r="C859" s="17"/>
      <c r="D859" s="17"/>
      <c r="E859" s="17"/>
      <c r="F859" s="297"/>
      <c r="G859" s="17"/>
      <c r="H859" s="17"/>
      <c r="I859" s="17"/>
      <c r="J859" s="17"/>
      <c r="K859" s="17"/>
      <c r="L859" s="17"/>
      <c r="M859" s="17"/>
      <c r="N859" s="17"/>
      <c r="O859" s="17"/>
      <c r="P859" s="17"/>
      <c r="Q859" s="17"/>
      <c r="R859" s="17"/>
      <c r="S859" s="201"/>
      <c r="T859" s="201"/>
      <c r="U859" s="201"/>
      <c r="V859" s="201"/>
      <c r="W859" s="17"/>
      <c r="X859" s="17"/>
      <c r="Y859" s="17"/>
      <c r="Z859" s="17"/>
      <c r="AA859" s="17"/>
      <c r="AB859" s="17"/>
    </row>
    <row r="860">
      <c r="A860" s="17"/>
      <c r="B860" s="17"/>
      <c r="C860" s="17"/>
      <c r="D860" s="17"/>
      <c r="E860" s="17"/>
      <c r="F860" s="297"/>
      <c r="G860" s="17"/>
      <c r="H860" s="17"/>
      <c r="I860" s="17"/>
      <c r="J860" s="17"/>
      <c r="K860" s="17"/>
      <c r="L860" s="17"/>
      <c r="M860" s="17"/>
      <c r="N860" s="17"/>
      <c r="O860" s="17"/>
      <c r="P860" s="17"/>
      <c r="Q860" s="17"/>
      <c r="R860" s="17"/>
      <c r="S860" s="201"/>
      <c r="T860" s="201"/>
      <c r="U860" s="201"/>
      <c r="V860" s="201"/>
      <c r="W860" s="17"/>
      <c r="X860" s="17"/>
      <c r="Y860" s="17"/>
      <c r="Z860" s="17"/>
      <c r="AA860" s="17"/>
      <c r="AB860" s="17"/>
    </row>
    <row r="861">
      <c r="A861" s="17"/>
      <c r="B861" s="17"/>
      <c r="C861" s="17"/>
      <c r="D861" s="17"/>
      <c r="E861" s="17"/>
      <c r="F861" s="297"/>
      <c r="G861" s="17"/>
      <c r="H861" s="17"/>
      <c r="I861" s="17"/>
      <c r="J861" s="17"/>
      <c r="K861" s="17"/>
      <c r="L861" s="17"/>
      <c r="M861" s="17"/>
      <c r="N861" s="17"/>
      <c r="O861" s="17"/>
      <c r="P861" s="17"/>
      <c r="Q861" s="17"/>
      <c r="R861" s="17"/>
      <c r="S861" s="201"/>
      <c r="T861" s="201"/>
      <c r="U861" s="201"/>
      <c r="V861" s="201"/>
      <c r="W861" s="17"/>
      <c r="X861" s="17"/>
      <c r="Y861" s="17"/>
      <c r="Z861" s="17"/>
      <c r="AA861" s="17"/>
      <c r="AB861" s="17"/>
    </row>
    <row r="862">
      <c r="A862" s="17"/>
      <c r="B862" s="17"/>
      <c r="C862" s="17"/>
      <c r="D862" s="17"/>
      <c r="E862" s="17"/>
      <c r="F862" s="297"/>
      <c r="G862" s="17"/>
      <c r="H862" s="17"/>
      <c r="I862" s="17"/>
      <c r="J862" s="17"/>
      <c r="K862" s="17"/>
      <c r="L862" s="17"/>
      <c r="M862" s="17"/>
      <c r="N862" s="17"/>
      <c r="O862" s="17"/>
      <c r="P862" s="17"/>
      <c r="Q862" s="17"/>
      <c r="R862" s="17"/>
      <c r="S862" s="201"/>
      <c r="T862" s="201"/>
      <c r="U862" s="201"/>
      <c r="V862" s="201"/>
      <c r="W862" s="17"/>
      <c r="X862" s="17"/>
      <c r="Y862" s="17"/>
      <c r="Z862" s="17"/>
      <c r="AA862" s="17"/>
      <c r="AB862" s="17"/>
    </row>
    <row r="863">
      <c r="A863" s="17"/>
      <c r="B863" s="17"/>
      <c r="C863" s="17"/>
      <c r="D863" s="17"/>
      <c r="E863" s="17"/>
      <c r="F863" s="297"/>
      <c r="G863" s="17"/>
      <c r="H863" s="17"/>
      <c r="I863" s="17"/>
      <c r="J863" s="17"/>
      <c r="K863" s="17"/>
      <c r="L863" s="17"/>
      <c r="M863" s="17"/>
      <c r="N863" s="17"/>
      <c r="O863" s="17"/>
      <c r="P863" s="17"/>
      <c r="Q863" s="17"/>
      <c r="R863" s="17"/>
      <c r="S863" s="201"/>
      <c r="T863" s="201"/>
      <c r="U863" s="201"/>
      <c r="V863" s="201"/>
      <c r="W863" s="17"/>
      <c r="X863" s="17"/>
      <c r="Y863" s="17"/>
      <c r="Z863" s="17"/>
      <c r="AA863" s="17"/>
      <c r="AB863" s="17"/>
    </row>
    <row r="864">
      <c r="A864" s="17"/>
      <c r="B864" s="17"/>
      <c r="C864" s="17"/>
      <c r="D864" s="17"/>
      <c r="E864" s="17"/>
      <c r="F864" s="297"/>
      <c r="G864" s="17"/>
      <c r="H864" s="17"/>
      <c r="I864" s="17"/>
      <c r="J864" s="17"/>
      <c r="K864" s="17"/>
      <c r="L864" s="17"/>
      <c r="M864" s="17"/>
      <c r="N864" s="17"/>
      <c r="O864" s="17"/>
      <c r="P864" s="17"/>
      <c r="Q864" s="17"/>
      <c r="R864" s="17"/>
      <c r="S864" s="201"/>
      <c r="T864" s="201"/>
      <c r="U864" s="201"/>
      <c r="V864" s="201"/>
      <c r="W864" s="17"/>
      <c r="X864" s="17"/>
      <c r="Y864" s="17"/>
      <c r="Z864" s="17"/>
      <c r="AA864" s="17"/>
      <c r="AB864" s="17"/>
    </row>
    <row r="865">
      <c r="A865" s="17"/>
      <c r="B865" s="17"/>
      <c r="C865" s="17"/>
      <c r="D865" s="17"/>
      <c r="E865" s="17"/>
      <c r="F865" s="297"/>
      <c r="G865" s="17"/>
      <c r="H865" s="17"/>
      <c r="I865" s="17"/>
      <c r="J865" s="17"/>
      <c r="K865" s="17"/>
      <c r="L865" s="17"/>
      <c r="M865" s="17"/>
      <c r="N865" s="17"/>
      <c r="O865" s="17"/>
      <c r="P865" s="17"/>
      <c r="Q865" s="17"/>
      <c r="R865" s="17"/>
      <c r="S865" s="201"/>
      <c r="T865" s="201"/>
      <c r="U865" s="201"/>
      <c r="V865" s="201"/>
      <c r="W865" s="17"/>
      <c r="X865" s="17"/>
      <c r="Y865" s="17"/>
      <c r="Z865" s="17"/>
      <c r="AA865" s="17"/>
      <c r="AB865" s="17"/>
    </row>
    <row r="866">
      <c r="A866" s="17"/>
      <c r="B866" s="17"/>
      <c r="C866" s="17"/>
      <c r="D866" s="17"/>
      <c r="E866" s="17"/>
      <c r="F866" s="297"/>
      <c r="G866" s="17"/>
      <c r="H866" s="17"/>
      <c r="I866" s="17"/>
      <c r="J866" s="17"/>
      <c r="K866" s="17"/>
      <c r="L866" s="17"/>
      <c r="M866" s="17"/>
      <c r="N866" s="17"/>
      <c r="O866" s="17"/>
      <c r="P866" s="17"/>
      <c r="Q866" s="17"/>
      <c r="R866" s="17"/>
      <c r="S866" s="201"/>
      <c r="T866" s="201"/>
      <c r="U866" s="201"/>
      <c r="V866" s="201"/>
      <c r="W866" s="17"/>
      <c r="X866" s="17"/>
      <c r="Y866" s="17"/>
      <c r="Z866" s="17"/>
      <c r="AA866" s="17"/>
      <c r="AB866" s="17"/>
    </row>
    <row r="867">
      <c r="A867" s="17"/>
      <c r="B867" s="17"/>
      <c r="C867" s="17"/>
      <c r="D867" s="17"/>
      <c r="E867" s="17"/>
      <c r="F867" s="297"/>
      <c r="G867" s="17"/>
      <c r="H867" s="17"/>
      <c r="I867" s="17"/>
      <c r="J867" s="17"/>
      <c r="K867" s="17"/>
      <c r="L867" s="17"/>
      <c r="M867" s="17"/>
      <c r="N867" s="17"/>
      <c r="O867" s="17"/>
      <c r="P867" s="17"/>
      <c r="Q867" s="17"/>
      <c r="R867" s="17"/>
      <c r="S867" s="201"/>
      <c r="T867" s="201"/>
      <c r="U867" s="201"/>
      <c r="V867" s="201"/>
      <c r="W867" s="17"/>
      <c r="X867" s="17"/>
      <c r="Y867" s="17"/>
      <c r="Z867" s="17"/>
      <c r="AA867" s="17"/>
      <c r="AB867" s="17"/>
    </row>
    <row r="868">
      <c r="A868" s="17"/>
      <c r="B868" s="17"/>
      <c r="C868" s="17"/>
      <c r="D868" s="17"/>
      <c r="E868" s="17"/>
      <c r="F868" s="297"/>
      <c r="G868" s="17"/>
      <c r="H868" s="17"/>
      <c r="I868" s="17"/>
      <c r="J868" s="17"/>
      <c r="K868" s="17"/>
      <c r="L868" s="17"/>
      <c r="M868" s="17"/>
      <c r="N868" s="17"/>
      <c r="O868" s="17"/>
      <c r="P868" s="17"/>
      <c r="Q868" s="17"/>
      <c r="R868" s="17"/>
      <c r="S868" s="201"/>
      <c r="T868" s="201"/>
      <c r="U868" s="201"/>
      <c r="V868" s="201"/>
      <c r="W868" s="17"/>
      <c r="X868" s="17"/>
      <c r="Y868" s="17"/>
      <c r="Z868" s="17"/>
      <c r="AA868" s="17"/>
      <c r="AB868" s="17"/>
    </row>
    <row r="869">
      <c r="A869" s="17"/>
      <c r="B869" s="17"/>
      <c r="C869" s="17"/>
      <c r="D869" s="17"/>
      <c r="E869" s="17"/>
      <c r="F869" s="297"/>
      <c r="G869" s="17"/>
      <c r="H869" s="17"/>
      <c r="I869" s="17"/>
      <c r="J869" s="17"/>
      <c r="K869" s="17"/>
      <c r="L869" s="17"/>
      <c r="M869" s="17"/>
      <c r="N869" s="17"/>
      <c r="O869" s="17"/>
      <c r="P869" s="17"/>
      <c r="Q869" s="17"/>
      <c r="R869" s="17"/>
      <c r="S869" s="201"/>
      <c r="T869" s="201"/>
      <c r="U869" s="201"/>
      <c r="V869" s="201"/>
      <c r="W869" s="17"/>
      <c r="X869" s="17"/>
      <c r="Y869" s="17"/>
      <c r="Z869" s="17"/>
      <c r="AA869" s="17"/>
      <c r="AB869" s="17"/>
    </row>
    <row r="870">
      <c r="A870" s="17"/>
      <c r="B870" s="17"/>
      <c r="C870" s="17"/>
      <c r="D870" s="17"/>
      <c r="E870" s="17"/>
      <c r="F870" s="297"/>
      <c r="G870" s="17"/>
      <c r="H870" s="17"/>
      <c r="I870" s="17"/>
      <c r="J870" s="17"/>
      <c r="K870" s="17"/>
      <c r="L870" s="17"/>
      <c r="M870" s="17"/>
      <c r="N870" s="17"/>
      <c r="O870" s="17"/>
      <c r="P870" s="17"/>
      <c r="Q870" s="17"/>
      <c r="R870" s="17"/>
      <c r="S870" s="201"/>
      <c r="T870" s="201"/>
      <c r="U870" s="201"/>
      <c r="V870" s="201"/>
      <c r="W870" s="17"/>
      <c r="X870" s="17"/>
      <c r="Y870" s="17"/>
      <c r="Z870" s="17"/>
      <c r="AA870" s="17"/>
      <c r="AB870" s="17"/>
    </row>
    <row r="871">
      <c r="A871" s="17"/>
      <c r="B871" s="17"/>
      <c r="C871" s="17"/>
      <c r="D871" s="17"/>
      <c r="E871" s="17"/>
      <c r="F871" s="297"/>
      <c r="G871" s="17"/>
      <c r="H871" s="17"/>
      <c r="I871" s="17"/>
      <c r="J871" s="17"/>
      <c r="K871" s="17"/>
      <c r="L871" s="17"/>
      <c r="M871" s="17"/>
      <c r="N871" s="17"/>
      <c r="O871" s="17"/>
      <c r="P871" s="17"/>
      <c r="Q871" s="17"/>
      <c r="R871" s="17"/>
      <c r="S871" s="201"/>
      <c r="T871" s="201"/>
      <c r="U871" s="201"/>
      <c r="V871" s="201"/>
      <c r="W871" s="17"/>
      <c r="X871" s="17"/>
      <c r="Y871" s="17"/>
      <c r="Z871" s="17"/>
      <c r="AA871" s="17"/>
      <c r="AB871" s="17"/>
    </row>
    <row r="872">
      <c r="A872" s="17"/>
      <c r="B872" s="17"/>
      <c r="C872" s="17"/>
      <c r="D872" s="17"/>
      <c r="E872" s="17"/>
      <c r="F872" s="297"/>
      <c r="G872" s="17"/>
      <c r="H872" s="17"/>
      <c r="I872" s="17"/>
      <c r="J872" s="17"/>
      <c r="K872" s="17"/>
      <c r="L872" s="17"/>
      <c r="M872" s="17"/>
      <c r="N872" s="17"/>
      <c r="O872" s="17"/>
      <c r="P872" s="17"/>
      <c r="Q872" s="17"/>
      <c r="R872" s="17"/>
      <c r="S872" s="201"/>
      <c r="T872" s="201"/>
      <c r="U872" s="201"/>
      <c r="V872" s="201"/>
      <c r="W872" s="17"/>
      <c r="X872" s="17"/>
      <c r="Y872" s="17"/>
      <c r="Z872" s="17"/>
      <c r="AA872" s="17"/>
      <c r="AB872" s="17"/>
    </row>
    <row r="873">
      <c r="A873" s="17"/>
      <c r="B873" s="17"/>
      <c r="C873" s="17"/>
      <c r="D873" s="17"/>
      <c r="E873" s="17"/>
      <c r="F873" s="297"/>
      <c r="G873" s="17"/>
      <c r="H873" s="17"/>
      <c r="I873" s="17"/>
      <c r="J873" s="17"/>
      <c r="K873" s="17"/>
      <c r="L873" s="17"/>
      <c r="M873" s="17"/>
      <c r="N873" s="17"/>
      <c r="O873" s="17"/>
      <c r="P873" s="17"/>
      <c r="Q873" s="17"/>
      <c r="R873" s="17"/>
      <c r="S873" s="201"/>
      <c r="T873" s="201"/>
      <c r="U873" s="201"/>
      <c r="V873" s="201"/>
      <c r="W873" s="17"/>
      <c r="X873" s="17"/>
      <c r="Y873" s="17"/>
      <c r="Z873" s="17"/>
      <c r="AA873" s="17"/>
      <c r="AB873" s="17"/>
    </row>
    <row r="874">
      <c r="A874" s="17"/>
      <c r="B874" s="17"/>
      <c r="C874" s="17"/>
      <c r="D874" s="17"/>
      <c r="E874" s="17"/>
      <c r="F874" s="297"/>
      <c r="G874" s="17"/>
      <c r="H874" s="17"/>
      <c r="I874" s="17"/>
      <c r="J874" s="17"/>
      <c r="K874" s="17"/>
      <c r="L874" s="17"/>
      <c r="M874" s="17"/>
      <c r="N874" s="17"/>
      <c r="O874" s="17"/>
      <c r="P874" s="17"/>
      <c r="Q874" s="17"/>
      <c r="R874" s="17"/>
      <c r="S874" s="201"/>
      <c r="T874" s="201"/>
      <c r="U874" s="201"/>
      <c r="V874" s="201"/>
      <c r="W874" s="17"/>
      <c r="X874" s="17"/>
      <c r="Y874" s="17"/>
      <c r="Z874" s="17"/>
      <c r="AA874" s="17"/>
      <c r="AB874" s="17"/>
    </row>
    <row r="875">
      <c r="A875" s="17"/>
      <c r="B875" s="17"/>
      <c r="C875" s="17"/>
      <c r="D875" s="17"/>
      <c r="E875" s="17"/>
      <c r="F875" s="297"/>
      <c r="G875" s="17"/>
      <c r="H875" s="17"/>
      <c r="I875" s="17"/>
      <c r="J875" s="17"/>
      <c r="K875" s="17"/>
      <c r="L875" s="17"/>
      <c r="M875" s="17"/>
      <c r="N875" s="17"/>
      <c r="O875" s="17"/>
      <c r="P875" s="17"/>
      <c r="Q875" s="17"/>
      <c r="R875" s="17"/>
      <c r="S875" s="201"/>
      <c r="T875" s="201"/>
      <c r="U875" s="201"/>
      <c r="V875" s="201"/>
      <c r="W875" s="17"/>
      <c r="X875" s="17"/>
      <c r="Y875" s="17"/>
      <c r="Z875" s="17"/>
      <c r="AA875" s="17"/>
      <c r="AB875" s="17"/>
    </row>
    <row r="876">
      <c r="A876" s="17"/>
      <c r="B876" s="17"/>
      <c r="C876" s="17"/>
      <c r="D876" s="17"/>
      <c r="E876" s="17"/>
      <c r="F876" s="297"/>
      <c r="G876" s="17"/>
      <c r="H876" s="17"/>
      <c r="I876" s="17"/>
      <c r="J876" s="17"/>
      <c r="K876" s="17"/>
      <c r="L876" s="17"/>
      <c r="M876" s="17"/>
      <c r="N876" s="17"/>
      <c r="O876" s="17"/>
      <c r="P876" s="17"/>
      <c r="Q876" s="17"/>
      <c r="R876" s="17"/>
      <c r="S876" s="201"/>
      <c r="T876" s="201"/>
      <c r="U876" s="201"/>
      <c r="V876" s="201"/>
      <c r="W876" s="17"/>
      <c r="X876" s="17"/>
      <c r="Y876" s="17"/>
      <c r="Z876" s="17"/>
      <c r="AA876" s="17"/>
      <c r="AB876" s="17"/>
    </row>
    <row r="877">
      <c r="A877" s="17"/>
      <c r="B877" s="17"/>
      <c r="C877" s="17"/>
      <c r="D877" s="17"/>
      <c r="E877" s="17"/>
      <c r="F877" s="297"/>
      <c r="G877" s="17"/>
      <c r="H877" s="17"/>
      <c r="I877" s="17"/>
      <c r="J877" s="17"/>
      <c r="K877" s="17"/>
      <c r="L877" s="17"/>
      <c r="M877" s="17"/>
      <c r="N877" s="17"/>
      <c r="O877" s="17"/>
      <c r="P877" s="17"/>
      <c r="Q877" s="17"/>
      <c r="R877" s="17"/>
      <c r="S877" s="201"/>
      <c r="T877" s="201"/>
      <c r="U877" s="201"/>
      <c r="V877" s="201"/>
      <c r="W877" s="17"/>
      <c r="X877" s="17"/>
      <c r="Y877" s="17"/>
      <c r="Z877" s="17"/>
      <c r="AA877" s="17"/>
      <c r="AB877" s="17"/>
    </row>
    <row r="878">
      <c r="A878" s="17"/>
      <c r="B878" s="17"/>
      <c r="C878" s="17"/>
      <c r="D878" s="17"/>
      <c r="E878" s="17"/>
      <c r="F878" s="297"/>
      <c r="G878" s="17"/>
      <c r="H878" s="17"/>
      <c r="I878" s="17"/>
      <c r="J878" s="17"/>
      <c r="K878" s="17"/>
      <c r="L878" s="17"/>
      <c r="M878" s="17"/>
      <c r="N878" s="17"/>
      <c r="O878" s="17"/>
      <c r="P878" s="17"/>
      <c r="Q878" s="17"/>
      <c r="R878" s="17"/>
      <c r="S878" s="201"/>
      <c r="T878" s="201"/>
      <c r="U878" s="201"/>
      <c r="V878" s="201"/>
      <c r="W878" s="17"/>
      <c r="X878" s="17"/>
      <c r="Y878" s="17"/>
      <c r="Z878" s="17"/>
      <c r="AA878" s="17"/>
      <c r="AB878" s="17"/>
    </row>
    <row r="879">
      <c r="A879" s="17"/>
      <c r="B879" s="17"/>
      <c r="C879" s="17"/>
      <c r="D879" s="17"/>
      <c r="E879" s="17"/>
      <c r="F879" s="297"/>
      <c r="G879" s="17"/>
      <c r="H879" s="17"/>
      <c r="I879" s="17"/>
      <c r="J879" s="17"/>
      <c r="K879" s="17"/>
      <c r="L879" s="17"/>
      <c r="M879" s="17"/>
      <c r="N879" s="17"/>
      <c r="O879" s="17"/>
      <c r="P879" s="17"/>
      <c r="Q879" s="17"/>
      <c r="R879" s="17"/>
      <c r="S879" s="201"/>
      <c r="T879" s="201"/>
      <c r="U879" s="201"/>
      <c r="V879" s="201"/>
      <c r="W879" s="17"/>
      <c r="X879" s="17"/>
      <c r="Y879" s="17"/>
      <c r="Z879" s="17"/>
      <c r="AA879" s="17"/>
      <c r="AB879" s="17"/>
    </row>
    <row r="880">
      <c r="A880" s="17"/>
      <c r="B880" s="17"/>
      <c r="C880" s="17"/>
      <c r="D880" s="17"/>
      <c r="E880" s="17"/>
      <c r="F880" s="297"/>
      <c r="G880" s="17"/>
      <c r="H880" s="17"/>
      <c r="I880" s="17"/>
      <c r="J880" s="17"/>
      <c r="K880" s="17"/>
      <c r="L880" s="17"/>
      <c r="M880" s="17"/>
      <c r="N880" s="17"/>
      <c r="O880" s="17"/>
      <c r="P880" s="17"/>
      <c r="Q880" s="17"/>
      <c r="R880" s="17"/>
      <c r="S880" s="201"/>
      <c r="T880" s="201"/>
      <c r="U880" s="201"/>
      <c r="V880" s="201"/>
      <c r="W880" s="17"/>
      <c r="X880" s="17"/>
      <c r="Y880" s="17"/>
      <c r="Z880" s="17"/>
      <c r="AA880" s="17"/>
      <c r="AB880" s="17"/>
    </row>
    <row r="881">
      <c r="A881" s="17"/>
      <c r="B881" s="17"/>
      <c r="C881" s="17"/>
      <c r="D881" s="17"/>
      <c r="E881" s="17"/>
      <c r="F881" s="297"/>
      <c r="G881" s="17"/>
      <c r="H881" s="17"/>
      <c r="I881" s="17"/>
      <c r="J881" s="17"/>
      <c r="K881" s="17"/>
      <c r="L881" s="17"/>
      <c r="M881" s="17"/>
      <c r="N881" s="17"/>
      <c r="O881" s="17"/>
      <c r="P881" s="17"/>
      <c r="Q881" s="17"/>
      <c r="R881" s="17"/>
      <c r="S881" s="201"/>
      <c r="T881" s="201"/>
      <c r="U881" s="201"/>
      <c r="V881" s="201"/>
      <c r="W881" s="17"/>
      <c r="X881" s="17"/>
      <c r="Y881" s="17"/>
      <c r="Z881" s="17"/>
      <c r="AA881" s="17"/>
      <c r="AB881" s="17"/>
    </row>
    <row r="882">
      <c r="A882" s="17"/>
      <c r="B882" s="17"/>
      <c r="C882" s="17"/>
      <c r="D882" s="17"/>
      <c r="E882" s="17"/>
      <c r="F882" s="297"/>
      <c r="G882" s="17"/>
      <c r="H882" s="17"/>
      <c r="I882" s="17"/>
      <c r="J882" s="17"/>
      <c r="K882" s="17"/>
      <c r="L882" s="17"/>
      <c r="M882" s="17"/>
      <c r="N882" s="17"/>
      <c r="O882" s="17"/>
      <c r="P882" s="17"/>
      <c r="Q882" s="17"/>
      <c r="R882" s="17"/>
      <c r="S882" s="201"/>
      <c r="T882" s="201"/>
      <c r="U882" s="201"/>
      <c r="V882" s="201"/>
      <c r="W882" s="17"/>
      <c r="X882" s="17"/>
      <c r="Y882" s="17"/>
      <c r="Z882" s="17"/>
      <c r="AA882" s="17"/>
      <c r="AB882" s="17"/>
    </row>
    <row r="883">
      <c r="A883" s="17"/>
      <c r="B883" s="17"/>
      <c r="C883" s="17"/>
      <c r="D883" s="17"/>
      <c r="E883" s="17"/>
      <c r="F883" s="297"/>
      <c r="G883" s="17"/>
      <c r="H883" s="17"/>
      <c r="I883" s="17"/>
      <c r="J883" s="17"/>
      <c r="K883" s="17"/>
      <c r="L883" s="17"/>
      <c r="M883" s="17"/>
      <c r="N883" s="17"/>
      <c r="O883" s="17"/>
      <c r="P883" s="17"/>
      <c r="Q883" s="17"/>
      <c r="R883" s="17"/>
      <c r="S883" s="201"/>
      <c r="T883" s="201"/>
      <c r="U883" s="201"/>
      <c r="V883" s="201"/>
      <c r="W883" s="17"/>
      <c r="X883" s="17"/>
      <c r="Y883" s="17"/>
      <c r="Z883" s="17"/>
      <c r="AA883" s="17"/>
      <c r="AB883" s="17"/>
    </row>
    <row r="884">
      <c r="A884" s="17"/>
      <c r="B884" s="17"/>
      <c r="C884" s="17"/>
      <c r="D884" s="17"/>
      <c r="E884" s="17"/>
      <c r="F884" s="297"/>
      <c r="G884" s="17"/>
      <c r="H884" s="17"/>
      <c r="I884" s="17"/>
      <c r="J884" s="17"/>
      <c r="K884" s="17"/>
      <c r="L884" s="17"/>
      <c r="M884" s="17"/>
      <c r="N884" s="17"/>
      <c r="O884" s="17"/>
      <c r="P884" s="17"/>
      <c r="Q884" s="17"/>
      <c r="R884" s="17"/>
      <c r="S884" s="201"/>
      <c r="T884" s="201"/>
      <c r="U884" s="201"/>
      <c r="V884" s="201"/>
      <c r="W884" s="17"/>
      <c r="X884" s="17"/>
      <c r="Y884" s="17"/>
      <c r="Z884" s="17"/>
      <c r="AA884" s="17"/>
      <c r="AB884" s="17"/>
    </row>
    <row r="885">
      <c r="A885" s="17"/>
      <c r="B885" s="17"/>
      <c r="C885" s="17"/>
      <c r="D885" s="17"/>
      <c r="E885" s="17"/>
      <c r="F885" s="297"/>
      <c r="G885" s="17"/>
      <c r="H885" s="17"/>
      <c r="I885" s="17"/>
      <c r="J885" s="17"/>
      <c r="K885" s="17"/>
      <c r="L885" s="17"/>
      <c r="M885" s="17"/>
      <c r="N885" s="17"/>
      <c r="O885" s="17"/>
      <c r="P885" s="17"/>
      <c r="Q885" s="17"/>
      <c r="R885" s="17"/>
      <c r="S885" s="201"/>
      <c r="T885" s="201"/>
      <c r="U885" s="201"/>
      <c r="V885" s="201"/>
      <c r="W885" s="17"/>
      <c r="X885" s="17"/>
      <c r="Y885" s="17"/>
      <c r="Z885" s="17"/>
      <c r="AA885" s="17"/>
      <c r="AB885" s="17"/>
    </row>
    <row r="886">
      <c r="A886" s="17"/>
      <c r="B886" s="17"/>
      <c r="C886" s="17"/>
      <c r="D886" s="17"/>
      <c r="E886" s="17"/>
      <c r="F886" s="297"/>
      <c r="G886" s="17"/>
      <c r="H886" s="17"/>
      <c r="I886" s="17"/>
      <c r="J886" s="17"/>
      <c r="K886" s="17"/>
      <c r="L886" s="17"/>
      <c r="M886" s="17"/>
      <c r="N886" s="17"/>
      <c r="O886" s="17"/>
      <c r="P886" s="17"/>
      <c r="Q886" s="17"/>
      <c r="R886" s="17"/>
      <c r="S886" s="201"/>
      <c r="T886" s="201"/>
      <c r="U886" s="201"/>
      <c r="V886" s="201"/>
      <c r="W886" s="17"/>
      <c r="X886" s="17"/>
      <c r="Y886" s="17"/>
      <c r="Z886" s="17"/>
      <c r="AA886" s="17"/>
      <c r="AB886" s="17"/>
    </row>
    <row r="887">
      <c r="A887" s="17"/>
      <c r="B887" s="17"/>
      <c r="C887" s="17"/>
      <c r="D887" s="17"/>
      <c r="E887" s="17"/>
      <c r="F887" s="297"/>
      <c r="G887" s="17"/>
      <c r="H887" s="17"/>
      <c r="I887" s="17"/>
      <c r="J887" s="17"/>
      <c r="K887" s="17"/>
      <c r="L887" s="17"/>
      <c r="M887" s="17"/>
      <c r="N887" s="17"/>
      <c r="O887" s="17"/>
      <c r="P887" s="17"/>
      <c r="Q887" s="17"/>
      <c r="R887" s="17"/>
      <c r="S887" s="201"/>
      <c r="T887" s="201"/>
      <c r="U887" s="201"/>
      <c r="V887" s="201"/>
      <c r="W887" s="17"/>
      <c r="X887" s="17"/>
      <c r="Y887" s="17"/>
      <c r="Z887" s="17"/>
      <c r="AA887" s="17"/>
      <c r="AB887" s="17"/>
    </row>
    <row r="888">
      <c r="A888" s="17"/>
      <c r="B888" s="17"/>
      <c r="C888" s="17"/>
      <c r="D888" s="17"/>
      <c r="E888" s="17"/>
      <c r="F888" s="297"/>
      <c r="G888" s="17"/>
      <c r="H888" s="17"/>
      <c r="I888" s="17"/>
      <c r="J888" s="17"/>
      <c r="K888" s="17"/>
      <c r="L888" s="17"/>
      <c r="M888" s="17"/>
      <c r="N888" s="17"/>
      <c r="O888" s="17"/>
      <c r="P888" s="17"/>
      <c r="Q888" s="17"/>
      <c r="R888" s="17"/>
      <c r="S888" s="201"/>
      <c r="T888" s="201"/>
      <c r="U888" s="201"/>
      <c r="V888" s="201"/>
      <c r="W888" s="17"/>
      <c r="X888" s="17"/>
      <c r="Y888" s="17"/>
      <c r="Z888" s="17"/>
      <c r="AA888" s="17"/>
      <c r="AB888" s="17"/>
    </row>
    <row r="889">
      <c r="A889" s="17"/>
      <c r="B889" s="17"/>
      <c r="C889" s="17"/>
      <c r="D889" s="17"/>
      <c r="E889" s="17"/>
      <c r="F889" s="297"/>
      <c r="G889" s="17"/>
      <c r="H889" s="17"/>
      <c r="I889" s="17"/>
      <c r="J889" s="17"/>
      <c r="K889" s="17"/>
      <c r="L889" s="17"/>
      <c r="M889" s="17"/>
      <c r="N889" s="17"/>
      <c r="O889" s="17"/>
      <c r="P889" s="17"/>
      <c r="Q889" s="17"/>
      <c r="R889" s="17"/>
      <c r="S889" s="201"/>
      <c r="T889" s="201"/>
      <c r="U889" s="201"/>
      <c r="V889" s="201"/>
      <c r="W889" s="17"/>
      <c r="X889" s="17"/>
      <c r="Y889" s="17"/>
      <c r="Z889" s="17"/>
      <c r="AA889" s="17"/>
      <c r="AB889" s="17"/>
    </row>
    <row r="890">
      <c r="A890" s="17"/>
      <c r="B890" s="17"/>
      <c r="C890" s="17"/>
      <c r="D890" s="17"/>
      <c r="E890" s="17"/>
      <c r="F890" s="297"/>
      <c r="G890" s="17"/>
      <c r="H890" s="17"/>
      <c r="I890" s="17"/>
      <c r="J890" s="17"/>
      <c r="K890" s="17"/>
      <c r="L890" s="17"/>
      <c r="M890" s="17"/>
      <c r="N890" s="17"/>
      <c r="O890" s="17"/>
      <c r="P890" s="17"/>
      <c r="Q890" s="17"/>
      <c r="R890" s="17"/>
      <c r="S890" s="201"/>
      <c r="T890" s="201"/>
      <c r="U890" s="201"/>
      <c r="V890" s="201"/>
      <c r="W890" s="17"/>
      <c r="X890" s="17"/>
      <c r="Y890" s="17"/>
      <c r="Z890" s="17"/>
      <c r="AA890" s="17"/>
      <c r="AB890" s="17"/>
    </row>
    <row r="891">
      <c r="A891" s="17"/>
      <c r="B891" s="17"/>
      <c r="C891" s="17"/>
      <c r="D891" s="17"/>
      <c r="E891" s="17"/>
      <c r="F891" s="297"/>
      <c r="G891" s="17"/>
      <c r="H891" s="17"/>
      <c r="I891" s="17"/>
      <c r="J891" s="17"/>
      <c r="K891" s="17"/>
      <c r="L891" s="17"/>
      <c r="M891" s="17"/>
      <c r="N891" s="17"/>
      <c r="O891" s="17"/>
      <c r="P891" s="17"/>
      <c r="Q891" s="17"/>
      <c r="R891" s="17"/>
      <c r="S891" s="201"/>
      <c r="T891" s="201"/>
      <c r="U891" s="201"/>
      <c r="V891" s="201"/>
      <c r="W891" s="17"/>
      <c r="X891" s="17"/>
      <c r="Y891" s="17"/>
      <c r="Z891" s="17"/>
      <c r="AA891" s="17"/>
      <c r="AB891" s="17"/>
    </row>
    <row r="892">
      <c r="A892" s="17"/>
      <c r="B892" s="17"/>
      <c r="C892" s="17"/>
      <c r="D892" s="17"/>
      <c r="E892" s="17"/>
      <c r="F892" s="297"/>
      <c r="G892" s="17"/>
      <c r="H892" s="17"/>
      <c r="I892" s="17"/>
      <c r="J892" s="17"/>
      <c r="K892" s="17"/>
      <c r="L892" s="17"/>
      <c r="M892" s="17"/>
      <c r="N892" s="17"/>
      <c r="O892" s="17"/>
      <c r="P892" s="17"/>
      <c r="Q892" s="17"/>
      <c r="R892" s="17"/>
      <c r="S892" s="201"/>
      <c r="T892" s="201"/>
      <c r="U892" s="201"/>
      <c r="V892" s="201"/>
      <c r="W892" s="17"/>
      <c r="X892" s="17"/>
      <c r="Y892" s="17"/>
      <c r="Z892" s="17"/>
      <c r="AA892" s="17"/>
      <c r="AB892" s="17"/>
    </row>
    <row r="893">
      <c r="A893" s="17"/>
      <c r="B893" s="17"/>
      <c r="C893" s="17"/>
      <c r="D893" s="17"/>
      <c r="E893" s="17"/>
      <c r="F893" s="297"/>
      <c r="G893" s="17"/>
      <c r="H893" s="17"/>
      <c r="I893" s="17"/>
      <c r="J893" s="17"/>
      <c r="K893" s="17"/>
      <c r="L893" s="17"/>
      <c r="M893" s="17"/>
      <c r="N893" s="17"/>
      <c r="O893" s="17"/>
      <c r="P893" s="17"/>
      <c r="Q893" s="17"/>
      <c r="R893" s="17"/>
      <c r="S893" s="201"/>
      <c r="T893" s="201"/>
      <c r="U893" s="201"/>
      <c r="V893" s="201"/>
      <c r="W893" s="17"/>
      <c r="X893" s="17"/>
      <c r="Y893" s="17"/>
      <c r="Z893" s="17"/>
      <c r="AA893" s="17"/>
      <c r="AB893" s="17"/>
    </row>
    <row r="894">
      <c r="A894" s="17"/>
      <c r="B894" s="17"/>
      <c r="C894" s="17"/>
      <c r="D894" s="17"/>
      <c r="E894" s="17"/>
      <c r="F894" s="297"/>
      <c r="G894" s="17"/>
      <c r="H894" s="17"/>
      <c r="I894" s="17"/>
      <c r="J894" s="17"/>
      <c r="K894" s="17"/>
      <c r="L894" s="17"/>
      <c r="M894" s="17"/>
      <c r="N894" s="17"/>
      <c r="O894" s="17"/>
      <c r="P894" s="17"/>
      <c r="Q894" s="17"/>
      <c r="R894" s="17"/>
      <c r="S894" s="201"/>
      <c r="T894" s="201"/>
      <c r="U894" s="201"/>
      <c r="V894" s="201"/>
      <c r="W894" s="17"/>
      <c r="X894" s="17"/>
      <c r="Y894" s="17"/>
      <c r="Z894" s="17"/>
      <c r="AA894" s="17"/>
      <c r="AB894" s="17"/>
    </row>
    <row r="895">
      <c r="A895" s="17"/>
      <c r="B895" s="17"/>
      <c r="C895" s="17"/>
      <c r="D895" s="17"/>
      <c r="E895" s="17"/>
      <c r="F895" s="297"/>
      <c r="G895" s="17"/>
      <c r="H895" s="17"/>
      <c r="I895" s="17"/>
      <c r="J895" s="17"/>
      <c r="K895" s="17"/>
      <c r="L895" s="17"/>
      <c r="M895" s="17"/>
      <c r="N895" s="17"/>
      <c r="O895" s="17"/>
      <c r="P895" s="17"/>
      <c r="Q895" s="17"/>
      <c r="R895" s="17"/>
      <c r="S895" s="201"/>
      <c r="T895" s="201"/>
      <c r="U895" s="201"/>
      <c r="V895" s="201"/>
      <c r="W895" s="17"/>
      <c r="X895" s="17"/>
      <c r="Y895" s="17"/>
      <c r="Z895" s="17"/>
      <c r="AA895" s="17"/>
      <c r="AB895" s="17"/>
    </row>
    <row r="896">
      <c r="A896" s="17"/>
      <c r="B896" s="17"/>
      <c r="C896" s="17"/>
      <c r="D896" s="17"/>
      <c r="E896" s="17"/>
      <c r="F896" s="297"/>
      <c r="G896" s="17"/>
      <c r="H896" s="17"/>
      <c r="I896" s="17"/>
      <c r="J896" s="17"/>
      <c r="K896" s="17"/>
      <c r="L896" s="17"/>
      <c r="M896" s="17"/>
      <c r="N896" s="17"/>
      <c r="O896" s="17"/>
      <c r="P896" s="17"/>
      <c r="Q896" s="17"/>
      <c r="R896" s="17"/>
      <c r="S896" s="201"/>
      <c r="T896" s="201"/>
      <c r="U896" s="201"/>
      <c r="V896" s="201"/>
      <c r="W896" s="17"/>
      <c r="X896" s="17"/>
      <c r="Y896" s="17"/>
      <c r="Z896" s="17"/>
      <c r="AA896" s="17"/>
      <c r="AB896" s="17"/>
    </row>
    <row r="897">
      <c r="A897" s="17"/>
      <c r="B897" s="17"/>
      <c r="C897" s="17"/>
      <c r="D897" s="17"/>
      <c r="E897" s="17"/>
      <c r="F897" s="297"/>
      <c r="G897" s="17"/>
      <c r="H897" s="17"/>
      <c r="I897" s="17"/>
      <c r="J897" s="17"/>
      <c r="K897" s="17"/>
      <c r="L897" s="17"/>
      <c r="M897" s="17"/>
      <c r="N897" s="17"/>
      <c r="O897" s="17"/>
      <c r="P897" s="17"/>
      <c r="Q897" s="17"/>
      <c r="R897" s="17"/>
      <c r="S897" s="201"/>
      <c r="T897" s="201"/>
      <c r="U897" s="201"/>
      <c r="V897" s="201"/>
      <c r="W897" s="17"/>
      <c r="X897" s="17"/>
      <c r="Y897" s="17"/>
      <c r="Z897" s="17"/>
      <c r="AA897" s="17"/>
      <c r="AB897" s="17"/>
    </row>
    <row r="898">
      <c r="A898" s="17"/>
      <c r="B898" s="17"/>
      <c r="C898" s="17"/>
      <c r="D898" s="17"/>
      <c r="E898" s="17"/>
      <c r="F898" s="297"/>
      <c r="G898" s="17"/>
      <c r="H898" s="17"/>
      <c r="I898" s="17"/>
      <c r="J898" s="17"/>
      <c r="K898" s="17"/>
      <c r="L898" s="17"/>
      <c r="M898" s="17"/>
      <c r="N898" s="17"/>
      <c r="O898" s="17"/>
      <c r="P898" s="17"/>
      <c r="Q898" s="17"/>
      <c r="R898" s="17"/>
      <c r="S898" s="201"/>
      <c r="T898" s="201"/>
      <c r="U898" s="201"/>
      <c r="V898" s="201"/>
      <c r="W898" s="17"/>
      <c r="X898" s="17"/>
      <c r="Y898" s="17"/>
      <c r="Z898" s="17"/>
      <c r="AA898" s="17"/>
      <c r="AB898" s="17"/>
    </row>
    <row r="899">
      <c r="A899" s="17"/>
      <c r="B899" s="17"/>
      <c r="C899" s="17"/>
      <c r="D899" s="17"/>
      <c r="E899" s="17"/>
      <c r="F899" s="297"/>
      <c r="G899" s="17"/>
      <c r="H899" s="17"/>
      <c r="I899" s="17"/>
      <c r="J899" s="17"/>
      <c r="K899" s="17"/>
      <c r="L899" s="17"/>
      <c r="M899" s="17"/>
      <c r="N899" s="17"/>
      <c r="O899" s="17"/>
      <c r="P899" s="17"/>
      <c r="Q899" s="17"/>
      <c r="R899" s="17"/>
      <c r="S899" s="201"/>
      <c r="T899" s="201"/>
      <c r="U899" s="201"/>
      <c r="V899" s="201"/>
      <c r="W899" s="17"/>
      <c r="X899" s="17"/>
      <c r="Y899" s="17"/>
      <c r="Z899" s="17"/>
      <c r="AA899" s="17"/>
      <c r="AB899" s="17"/>
    </row>
    <row r="900">
      <c r="A900" s="17"/>
      <c r="B900" s="17"/>
      <c r="C900" s="17"/>
      <c r="D900" s="17"/>
      <c r="E900" s="17"/>
      <c r="F900" s="297"/>
      <c r="G900" s="17"/>
      <c r="H900" s="17"/>
      <c r="I900" s="17"/>
      <c r="J900" s="17"/>
      <c r="K900" s="17"/>
      <c r="L900" s="17"/>
      <c r="M900" s="17"/>
      <c r="N900" s="17"/>
      <c r="O900" s="17"/>
      <c r="P900" s="17"/>
      <c r="Q900" s="17"/>
      <c r="R900" s="17"/>
      <c r="S900" s="201"/>
      <c r="T900" s="201"/>
      <c r="U900" s="201"/>
      <c r="V900" s="201"/>
      <c r="W900" s="17"/>
      <c r="X900" s="17"/>
      <c r="Y900" s="17"/>
      <c r="Z900" s="17"/>
      <c r="AA900" s="17"/>
      <c r="AB900" s="17"/>
    </row>
    <row r="901">
      <c r="A901" s="17"/>
      <c r="B901" s="17"/>
      <c r="C901" s="17"/>
      <c r="D901" s="17"/>
      <c r="E901" s="17"/>
      <c r="F901" s="297"/>
      <c r="G901" s="17"/>
      <c r="H901" s="17"/>
      <c r="I901" s="17"/>
      <c r="J901" s="17"/>
      <c r="K901" s="17"/>
      <c r="L901" s="17"/>
      <c r="M901" s="17"/>
      <c r="N901" s="17"/>
      <c r="O901" s="17"/>
      <c r="P901" s="17"/>
      <c r="Q901" s="17"/>
      <c r="R901" s="17"/>
      <c r="S901" s="201"/>
      <c r="T901" s="201"/>
      <c r="U901" s="201"/>
      <c r="V901" s="201"/>
      <c r="W901" s="17"/>
      <c r="X901" s="17"/>
      <c r="Y901" s="17"/>
      <c r="Z901" s="17"/>
      <c r="AA901" s="17"/>
      <c r="AB901" s="17"/>
    </row>
    <row r="902">
      <c r="A902" s="17"/>
      <c r="B902" s="17"/>
      <c r="C902" s="17"/>
      <c r="D902" s="17"/>
      <c r="E902" s="17"/>
      <c r="F902" s="297"/>
      <c r="G902" s="17"/>
      <c r="H902" s="17"/>
      <c r="I902" s="17"/>
      <c r="J902" s="17"/>
      <c r="K902" s="17"/>
      <c r="L902" s="17"/>
      <c r="M902" s="17"/>
      <c r="N902" s="17"/>
      <c r="O902" s="17"/>
      <c r="P902" s="17"/>
      <c r="Q902" s="17"/>
      <c r="R902" s="17"/>
      <c r="S902" s="201"/>
      <c r="T902" s="201"/>
      <c r="U902" s="201"/>
      <c r="V902" s="201"/>
      <c r="W902" s="17"/>
      <c r="X902" s="17"/>
      <c r="Y902" s="17"/>
      <c r="Z902" s="17"/>
      <c r="AA902" s="17"/>
      <c r="AB902" s="17"/>
    </row>
    <row r="903">
      <c r="A903" s="17"/>
      <c r="B903" s="17"/>
      <c r="C903" s="17"/>
      <c r="D903" s="17"/>
      <c r="E903" s="17"/>
      <c r="F903" s="297"/>
      <c r="G903" s="17"/>
      <c r="H903" s="17"/>
      <c r="I903" s="17"/>
      <c r="J903" s="17"/>
      <c r="K903" s="17"/>
      <c r="L903" s="17"/>
      <c r="M903" s="17"/>
      <c r="N903" s="17"/>
      <c r="O903" s="17"/>
      <c r="P903" s="17"/>
      <c r="Q903" s="17"/>
      <c r="R903" s="17"/>
      <c r="S903" s="201"/>
      <c r="T903" s="201"/>
      <c r="U903" s="201"/>
      <c r="V903" s="201"/>
      <c r="W903" s="17"/>
      <c r="X903" s="17"/>
      <c r="Y903" s="17"/>
      <c r="Z903" s="17"/>
      <c r="AA903" s="17"/>
      <c r="AB903" s="17"/>
    </row>
    <row r="904">
      <c r="A904" s="17"/>
      <c r="B904" s="17"/>
      <c r="C904" s="17"/>
      <c r="D904" s="17"/>
      <c r="E904" s="17"/>
      <c r="F904" s="297"/>
      <c r="G904" s="17"/>
      <c r="H904" s="17"/>
      <c r="I904" s="17"/>
      <c r="J904" s="17"/>
      <c r="K904" s="17"/>
      <c r="L904" s="17"/>
      <c r="M904" s="17"/>
      <c r="N904" s="17"/>
      <c r="O904" s="17"/>
      <c r="P904" s="17"/>
      <c r="Q904" s="17"/>
      <c r="R904" s="17"/>
      <c r="S904" s="201"/>
      <c r="T904" s="201"/>
      <c r="U904" s="201"/>
      <c r="V904" s="201"/>
      <c r="W904" s="17"/>
      <c r="X904" s="17"/>
      <c r="Y904" s="17"/>
      <c r="Z904" s="17"/>
      <c r="AA904" s="17"/>
      <c r="AB904" s="17"/>
    </row>
    <row r="905">
      <c r="A905" s="17"/>
      <c r="B905" s="17"/>
      <c r="C905" s="17"/>
      <c r="D905" s="17"/>
      <c r="E905" s="17"/>
      <c r="F905" s="297"/>
      <c r="G905" s="17"/>
      <c r="H905" s="17"/>
      <c r="I905" s="17"/>
      <c r="J905" s="17"/>
      <c r="K905" s="17"/>
      <c r="L905" s="17"/>
      <c r="M905" s="17"/>
      <c r="N905" s="17"/>
      <c r="O905" s="17"/>
      <c r="P905" s="17"/>
      <c r="Q905" s="17"/>
      <c r="R905" s="17"/>
      <c r="S905" s="201"/>
      <c r="T905" s="201"/>
      <c r="U905" s="201"/>
      <c r="V905" s="201"/>
      <c r="W905" s="17"/>
      <c r="X905" s="17"/>
      <c r="Y905" s="17"/>
      <c r="Z905" s="17"/>
      <c r="AA905" s="17"/>
      <c r="AB905" s="17"/>
    </row>
    <row r="906">
      <c r="A906" s="17"/>
      <c r="B906" s="17"/>
      <c r="C906" s="17"/>
      <c r="D906" s="17"/>
      <c r="E906" s="17"/>
      <c r="F906" s="297"/>
      <c r="G906" s="17"/>
      <c r="H906" s="17"/>
      <c r="I906" s="17"/>
      <c r="J906" s="17"/>
      <c r="K906" s="17"/>
      <c r="L906" s="17"/>
      <c r="M906" s="17"/>
      <c r="N906" s="17"/>
      <c r="O906" s="17"/>
      <c r="P906" s="17"/>
      <c r="Q906" s="17"/>
      <c r="R906" s="17"/>
      <c r="S906" s="201"/>
      <c r="T906" s="201"/>
      <c r="U906" s="201"/>
      <c r="V906" s="201"/>
      <c r="W906" s="17"/>
      <c r="X906" s="17"/>
      <c r="Y906" s="17"/>
      <c r="Z906" s="17"/>
      <c r="AA906" s="17"/>
      <c r="AB906" s="17"/>
    </row>
    <row r="907">
      <c r="A907" s="17"/>
      <c r="B907" s="17"/>
      <c r="C907" s="17"/>
      <c r="D907" s="17"/>
      <c r="E907" s="17"/>
      <c r="F907" s="297"/>
      <c r="G907" s="17"/>
      <c r="H907" s="17"/>
      <c r="I907" s="17"/>
      <c r="J907" s="17"/>
      <c r="K907" s="17"/>
      <c r="L907" s="17"/>
      <c r="M907" s="17"/>
      <c r="N907" s="17"/>
      <c r="O907" s="17"/>
      <c r="P907" s="17"/>
      <c r="Q907" s="17"/>
      <c r="R907" s="17"/>
      <c r="S907" s="201"/>
      <c r="T907" s="201"/>
      <c r="U907" s="201"/>
      <c r="V907" s="201"/>
      <c r="W907" s="17"/>
      <c r="X907" s="17"/>
      <c r="Y907" s="17"/>
      <c r="Z907" s="17"/>
      <c r="AA907" s="17"/>
      <c r="AB907" s="17"/>
    </row>
    <row r="908">
      <c r="A908" s="17"/>
      <c r="B908" s="17"/>
      <c r="C908" s="17"/>
      <c r="D908" s="17"/>
      <c r="E908" s="17"/>
      <c r="F908" s="297"/>
      <c r="G908" s="17"/>
      <c r="H908" s="17"/>
      <c r="I908" s="17"/>
      <c r="J908" s="17"/>
      <c r="K908" s="17"/>
      <c r="L908" s="17"/>
      <c r="M908" s="17"/>
      <c r="N908" s="17"/>
      <c r="O908" s="17"/>
      <c r="P908" s="17"/>
      <c r="Q908" s="17"/>
      <c r="R908" s="17"/>
      <c r="S908" s="201"/>
      <c r="T908" s="201"/>
      <c r="U908" s="201"/>
      <c r="V908" s="201"/>
      <c r="W908" s="17"/>
      <c r="X908" s="17"/>
      <c r="Y908" s="17"/>
      <c r="Z908" s="17"/>
      <c r="AA908" s="17"/>
      <c r="AB908" s="17"/>
    </row>
    <row r="909">
      <c r="A909" s="17"/>
      <c r="B909" s="17"/>
      <c r="C909" s="17"/>
      <c r="D909" s="17"/>
      <c r="E909" s="17"/>
      <c r="F909" s="297"/>
      <c r="G909" s="17"/>
      <c r="H909" s="17"/>
      <c r="I909" s="17"/>
      <c r="J909" s="17"/>
      <c r="K909" s="17"/>
      <c r="L909" s="17"/>
      <c r="M909" s="17"/>
      <c r="N909" s="17"/>
      <c r="O909" s="17"/>
      <c r="P909" s="17"/>
      <c r="Q909" s="17"/>
      <c r="R909" s="17"/>
      <c r="S909" s="201"/>
      <c r="T909" s="201"/>
      <c r="U909" s="201"/>
      <c r="V909" s="201"/>
      <c r="W909" s="17"/>
      <c r="X909" s="17"/>
      <c r="Y909" s="17"/>
      <c r="Z909" s="17"/>
      <c r="AA909" s="17"/>
      <c r="AB909" s="17"/>
    </row>
    <row r="910">
      <c r="A910" s="17"/>
      <c r="B910" s="17"/>
      <c r="C910" s="17"/>
      <c r="D910" s="17"/>
      <c r="E910" s="17"/>
      <c r="F910" s="297"/>
      <c r="G910" s="17"/>
      <c r="H910" s="17"/>
      <c r="I910" s="17"/>
      <c r="J910" s="17"/>
      <c r="K910" s="17"/>
      <c r="L910" s="17"/>
      <c r="M910" s="17"/>
      <c r="N910" s="17"/>
      <c r="O910" s="17"/>
      <c r="P910" s="17"/>
      <c r="Q910" s="17"/>
      <c r="R910" s="17"/>
      <c r="S910" s="201"/>
      <c r="T910" s="201"/>
      <c r="U910" s="201"/>
      <c r="V910" s="201"/>
      <c r="W910" s="17"/>
      <c r="X910" s="17"/>
      <c r="Y910" s="17"/>
      <c r="Z910" s="17"/>
      <c r="AA910" s="17"/>
      <c r="AB910" s="17"/>
    </row>
    <row r="911">
      <c r="A911" s="17"/>
      <c r="B911" s="17"/>
      <c r="C911" s="17"/>
      <c r="D911" s="17"/>
      <c r="E911" s="17"/>
      <c r="F911" s="297"/>
      <c r="G911" s="17"/>
      <c r="H911" s="17"/>
      <c r="I911" s="17"/>
      <c r="J911" s="17"/>
      <c r="K911" s="17"/>
      <c r="L911" s="17"/>
      <c r="M911" s="17"/>
      <c r="N911" s="17"/>
      <c r="O911" s="17"/>
      <c r="P911" s="17"/>
      <c r="Q911" s="17"/>
      <c r="R911" s="17"/>
      <c r="S911" s="201"/>
      <c r="T911" s="201"/>
      <c r="U911" s="201"/>
      <c r="V911" s="201"/>
      <c r="W911" s="17"/>
      <c r="X911" s="17"/>
      <c r="Y911" s="17"/>
      <c r="Z911" s="17"/>
      <c r="AA911" s="17"/>
      <c r="AB911" s="17"/>
    </row>
    <row r="912">
      <c r="A912" s="17"/>
      <c r="B912" s="17"/>
      <c r="C912" s="17"/>
      <c r="D912" s="17"/>
      <c r="E912" s="17"/>
      <c r="F912" s="297"/>
      <c r="G912" s="17"/>
      <c r="H912" s="17"/>
      <c r="I912" s="17"/>
      <c r="J912" s="17"/>
      <c r="K912" s="17"/>
      <c r="L912" s="17"/>
      <c r="M912" s="17"/>
      <c r="N912" s="17"/>
      <c r="O912" s="17"/>
      <c r="P912" s="17"/>
      <c r="Q912" s="17"/>
      <c r="R912" s="17"/>
      <c r="S912" s="201"/>
      <c r="T912" s="201"/>
      <c r="U912" s="201"/>
      <c r="V912" s="201"/>
      <c r="W912" s="17"/>
      <c r="X912" s="17"/>
      <c r="Y912" s="17"/>
      <c r="Z912" s="17"/>
      <c r="AA912" s="17"/>
      <c r="AB912" s="17"/>
    </row>
    <row r="913">
      <c r="A913" s="17"/>
      <c r="B913" s="17"/>
      <c r="C913" s="17"/>
      <c r="D913" s="17"/>
      <c r="E913" s="17"/>
      <c r="F913" s="297"/>
      <c r="G913" s="17"/>
      <c r="H913" s="17"/>
      <c r="I913" s="17"/>
      <c r="J913" s="17"/>
      <c r="K913" s="17"/>
      <c r="L913" s="17"/>
      <c r="M913" s="17"/>
      <c r="N913" s="17"/>
      <c r="O913" s="17"/>
      <c r="P913" s="17"/>
      <c r="Q913" s="17"/>
      <c r="R913" s="17"/>
      <c r="S913" s="201"/>
      <c r="T913" s="201"/>
      <c r="U913" s="201"/>
      <c r="V913" s="201"/>
      <c r="W913" s="17"/>
      <c r="X913" s="17"/>
      <c r="Y913" s="17"/>
      <c r="Z913" s="17"/>
      <c r="AA913" s="17"/>
      <c r="AB913" s="17"/>
    </row>
    <row r="914">
      <c r="A914" s="17"/>
      <c r="B914" s="17"/>
      <c r="C914" s="17"/>
      <c r="D914" s="17"/>
      <c r="E914" s="17"/>
      <c r="F914" s="297"/>
      <c r="G914" s="17"/>
      <c r="H914" s="17"/>
      <c r="I914" s="17"/>
      <c r="J914" s="17"/>
      <c r="K914" s="17"/>
      <c r="L914" s="17"/>
      <c r="M914" s="17"/>
      <c r="N914" s="17"/>
      <c r="O914" s="17"/>
      <c r="P914" s="17"/>
      <c r="Q914" s="17"/>
      <c r="R914" s="17"/>
      <c r="S914" s="201"/>
      <c r="T914" s="201"/>
      <c r="U914" s="201"/>
      <c r="V914" s="201"/>
      <c r="W914" s="17"/>
      <c r="X914" s="17"/>
      <c r="Y914" s="17"/>
      <c r="Z914" s="17"/>
      <c r="AA914" s="17"/>
      <c r="AB914" s="17"/>
    </row>
    <row r="915">
      <c r="A915" s="17"/>
      <c r="B915" s="17"/>
      <c r="C915" s="17"/>
      <c r="D915" s="17"/>
      <c r="E915" s="17"/>
      <c r="F915" s="297"/>
      <c r="G915" s="17"/>
      <c r="H915" s="17"/>
      <c r="I915" s="17"/>
      <c r="J915" s="17"/>
      <c r="K915" s="17"/>
      <c r="L915" s="17"/>
      <c r="M915" s="17"/>
      <c r="N915" s="17"/>
      <c r="O915" s="17"/>
      <c r="P915" s="17"/>
      <c r="Q915" s="17"/>
      <c r="R915" s="17"/>
      <c r="S915" s="201"/>
      <c r="T915" s="201"/>
      <c r="U915" s="201"/>
      <c r="V915" s="201"/>
      <c r="W915" s="17"/>
      <c r="X915" s="17"/>
      <c r="Y915" s="17"/>
      <c r="Z915" s="17"/>
      <c r="AA915" s="17"/>
      <c r="AB915" s="17"/>
    </row>
    <row r="916">
      <c r="A916" s="17"/>
      <c r="B916" s="17"/>
      <c r="C916" s="17"/>
      <c r="D916" s="17"/>
      <c r="E916" s="17"/>
      <c r="F916" s="297"/>
      <c r="G916" s="17"/>
      <c r="H916" s="17"/>
      <c r="I916" s="17"/>
      <c r="J916" s="17"/>
      <c r="K916" s="17"/>
      <c r="L916" s="17"/>
      <c r="M916" s="17"/>
      <c r="N916" s="17"/>
      <c r="O916" s="17"/>
      <c r="P916" s="17"/>
      <c r="Q916" s="17"/>
      <c r="R916" s="17"/>
      <c r="S916" s="201"/>
      <c r="T916" s="201"/>
      <c r="U916" s="201"/>
      <c r="V916" s="201"/>
      <c r="W916" s="17"/>
      <c r="X916" s="17"/>
      <c r="Y916" s="17"/>
      <c r="Z916" s="17"/>
      <c r="AA916" s="17"/>
      <c r="AB916" s="17"/>
    </row>
    <row r="917">
      <c r="A917" s="17"/>
      <c r="B917" s="17"/>
      <c r="C917" s="17"/>
      <c r="D917" s="17"/>
      <c r="E917" s="17"/>
      <c r="F917" s="297"/>
      <c r="G917" s="17"/>
      <c r="H917" s="17"/>
      <c r="I917" s="17"/>
      <c r="J917" s="17"/>
      <c r="K917" s="17"/>
      <c r="L917" s="17"/>
      <c r="M917" s="17"/>
      <c r="N917" s="17"/>
      <c r="O917" s="17"/>
      <c r="P917" s="17"/>
      <c r="Q917" s="17"/>
      <c r="R917" s="17"/>
      <c r="S917" s="201"/>
      <c r="T917" s="201"/>
      <c r="U917" s="201"/>
      <c r="V917" s="201"/>
      <c r="W917" s="17"/>
      <c r="X917" s="17"/>
      <c r="Y917" s="17"/>
      <c r="Z917" s="17"/>
      <c r="AA917" s="17"/>
      <c r="AB917" s="17"/>
    </row>
    <row r="918">
      <c r="A918" s="17"/>
      <c r="B918" s="17"/>
      <c r="C918" s="17"/>
      <c r="D918" s="17"/>
      <c r="E918" s="17"/>
      <c r="F918" s="297"/>
      <c r="G918" s="17"/>
      <c r="H918" s="17"/>
      <c r="I918" s="17"/>
      <c r="J918" s="17"/>
      <c r="K918" s="17"/>
      <c r="L918" s="17"/>
      <c r="M918" s="17"/>
      <c r="N918" s="17"/>
      <c r="O918" s="17"/>
      <c r="P918" s="17"/>
      <c r="Q918" s="17"/>
      <c r="R918" s="17"/>
      <c r="S918" s="201"/>
      <c r="T918" s="201"/>
      <c r="U918" s="201"/>
      <c r="V918" s="201"/>
      <c r="W918" s="17"/>
      <c r="X918" s="17"/>
      <c r="Y918" s="17"/>
      <c r="Z918" s="17"/>
      <c r="AA918" s="17"/>
      <c r="AB918" s="17"/>
    </row>
    <row r="919">
      <c r="A919" s="17"/>
      <c r="B919" s="17"/>
      <c r="C919" s="17"/>
      <c r="D919" s="17"/>
      <c r="E919" s="17"/>
      <c r="F919" s="297"/>
      <c r="G919" s="17"/>
      <c r="H919" s="17"/>
      <c r="I919" s="17"/>
      <c r="J919" s="17"/>
      <c r="K919" s="17"/>
      <c r="L919" s="17"/>
      <c r="M919" s="17"/>
      <c r="N919" s="17"/>
      <c r="O919" s="17"/>
      <c r="P919" s="17"/>
      <c r="Q919" s="17"/>
      <c r="R919" s="17"/>
      <c r="S919" s="201"/>
      <c r="T919" s="201"/>
      <c r="U919" s="201"/>
      <c r="V919" s="201"/>
      <c r="W919" s="17"/>
      <c r="X919" s="17"/>
      <c r="Y919" s="17"/>
      <c r="Z919" s="17"/>
      <c r="AA919" s="17"/>
      <c r="AB919" s="17"/>
    </row>
    <row r="920">
      <c r="A920" s="17"/>
      <c r="B920" s="17"/>
      <c r="C920" s="17"/>
      <c r="D920" s="17"/>
      <c r="E920" s="17"/>
      <c r="F920" s="297"/>
      <c r="G920" s="17"/>
      <c r="H920" s="17"/>
      <c r="I920" s="17"/>
      <c r="J920" s="17"/>
      <c r="K920" s="17"/>
      <c r="L920" s="17"/>
      <c r="M920" s="17"/>
      <c r="N920" s="17"/>
      <c r="O920" s="17"/>
      <c r="P920" s="17"/>
      <c r="Q920" s="17"/>
      <c r="R920" s="17"/>
      <c r="S920" s="201"/>
      <c r="T920" s="201"/>
      <c r="U920" s="201"/>
      <c r="V920" s="201"/>
      <c r="W920" s="17"/>
      <c r="X920" s="17"/>
      <c r="Y920" s="17"/>
      <c r="Z920" s="17"/>
      <c r="AA920" s="17"/>
      <c r="AB920" s="17"/>
    </row>
    <row r="921">
      <c r="A921" s="17"/>
      <c r="B921" s="17"/>
      <c r="C921" s="17"/>
      <c r="D921" s="17"/>
      <c r="E921" s="17"/>
      <c r="F921" s="297"/>
      <c r="G921" s="17"/>
      <c r="H921" s="17"/>
      <c r="I921" s="17"/>
      <c r="J921" s="17"/>
      <c r="K921" s="17"/>
      <c r="L921" s="17"/>
      <c r="M921" s="17"/>
      <c r="N921" s="17"/>
      <c r="O921" s="17"/>
      <c r="P921" s="17"/>
      <c r="Q921" s="17"/>
      <c r="R921" s="17"/>
      <c r="S921" s="201"/>
      <c r="T921" s="201"/>
      <c r="U921" s="201"/>
      <c r="V921" s="201"/>
      <c r="W921" s="17"/>
      <c r="X921" s="17"/>
      <c r="Y921" s="17"/>
      <c r="Z921" s="17"/>
      <c r="AA921" s="17"/>
      <c r="AB921" s="17"/>
    </row>
    <row r="922">
      <c r="A922" s="17"/>
      <c r="B922" s="17"/>
      <c r="C922" s="17"/>
      <c r="D922" s="17"/>
      <c r="E922" s="17"/>
      <c r="F922" s="297"/>
      <c r="G922" s="17"/>
      <c r="H922" s="17"/>
      <c r="I922" s="17"/>
      <c r="J922" s="17"/>
      <c r="K922" s="17"/>
      <c r="L922" s="17"/>
      <c r="M922" s="17"/>
      <c r="N922" s="17"/>
      <c r="O922" s="17"/>
      <c r="P922" s="17"/>
      <c r="Q922" s="17"/>
      <c r="R922" s="17"/>
      <c r="S922" s="201"/>
      <c r="T922" s="201"/>
      <c r="U922" s="201"/>
      <c r="V922" s="201"/>
      <c r="W922" s="17"/>
      <c r="X922" s="17"/>
      <c r="Y922" s="17"/>
      <c r="Z922" s="17"/>
      <c r="AA922" s="17"/>
      <c r="AB922" s="17"/>
    </row>
    <row r="923">
      <c r="A923" s="17"/>
      <c r="B923" s="17"/>
      <c r="C923" s="17"/>
      <c r="D923" s="17"/>
      <c r="E923" s="17"/>
      <c r="F923" s="297"/>
      <c r="G923" s="17"/>
      <c r="H923" s="17"/>
      <c r="I923" s="17"/>
      <c r="J923" s="17"/>
      <c r="K923" s="17"/>
      <c r="L923" s="17"/>
      <c r="M923" s="17"/>
      <c r="N923" s="17"/>
      <c r="O923" s="17"/>
      <c r="P923" s="17"/>
      <c r="Q923" s="17"/>
      <c r="R923" s="17"/>
      <c r="S923" s="201"/>
      <c r="T923" s="201"/>
      <c r="U923" s="201"/>
      <c r="V923" s="201"/>
      <c r="W923" s="17"/>
      <c r="X923" s="17"/>
      <c r="Y923" s="17"/>
      <c r="Z923" s="17"/>
      <c r="AA923" s="17"/>
      <c r="AB923" s="17"/>
    </row>
    <row r="924">
      <c r="A924" s="17"/>
      <c r="B924" s="17"/>
      <c r="C924" s="17"/>
      <c r="D924" s="17"/>
      <c r="E924" s="17"/>
      <c r="F924" s="297"/>
      <c r="G924" s="17"/>
      <c r="H924" s="17"/>
      <c r="I924" s="17"/>
      <c r="J924" s="17"/>
      <c r="K924" s="17"/>
      <c r="L924" s="17"/>
      <c r="M924" s="17"/>
      <c r="N924" s="17"/>
      <c r="O924" s="17"/>
      <c r="P924" s="17"/>
      <c r="Q924" s="17"/>
      <c r="R924" s="17"/>
      <c r="S924" s="201"/>
      <c r="T924" s="201"/>
      <c r="U924" s="201"/>
      <c r="V924" s="201"/>
      <c r="W924" s="17"/>
      <c r="X924" s="17"/>
      <c r="Y924" s="17"/>
      <c r="Z924" s="17"/>
      <c r="AA924" s="17"/>
      <c r="AB924" s="17"/>
    </row>
    <row r="925">
      <c r="A925" s="17"/>
      <c r="B925" s="17"/>
      <c r="C925" s="17"/>
      <c r="D925" s="17"/>
      <c r="E925" s="17"/>
      <c r="F925" s="297"/>
      <c r="G925" s="17"/>
      <c r="H925" s="17"/>
      <c r="I925" s="17"/>
      <c r="J925" s="17"/>
      <c r="K925" s="17"/>
      <c r="L925" s="17"/>
      <c r="M925" s="17"/>
      <c r="N925" s="17"/>
      <c r="O925" s="17"/>
      <c r="P925" s="17"/>
      <c r="Q925" s="17"/>
      <c r="R925" s="17"/>
      <c r="S925" s="201"/>
      <c r="T925" s="201"/>
      <c r="U925" s="201"/>
      <c r="V925" s="201"/>
      <c r="W925" s="17"/>
      <c r="X925" s="17"/>
      <c r="Y925" s="17"/>
      <c r="Z925" s="17"/>
      <c r="AA925" s="17"/>
      <c r="AB925" s="17"/>
    </row>
    <row r="926">
      <c r="A926" s="17"/>
      <c r="B926" s="17"/>
      <c r="C926" s="17"/>
      <c r="D926" s="17"/>
      <c r="E926" s="17"/>
      <c r="F926" s="297"/>
      <c r="G926" s="17"/>
      <c r="H926" s="17"/>
      <c r="I926" s="17"/>
      <c r="J926" s="17"/>
      <c r="K926" s="17"/>
      <c r="L926" s="17"/>
      <c r="M926" s="17"/>
      <c r="N926" s="17"/>
      <c r="O926" s="17"/>
      <c r="P926" s="17"/>
      <c r="Q926" s="17"/>
      <c r="R926" s="17"/>
      <c r="S926" s="201"/>
      <c r="T926" s="201"/>
      <c r="U926" s="201"/>
      <c r="V926" s="201"/>
      <c r="W926" s="17"/>
      <c r="X926" s="17"/>
      <c r="Y926" s="17"/>
      <c r="Z926" s="17"/>
      <c r="AA926" s="17"/>
      <c r="AB926" s="17"/>
    </row>
    <row r="927">
      <c r="A927" s="17"/>
      <c r="B927" s="17"/>
      <c r="C927" s="17"/>
      <c r="D927" s="17"/>
      <c r="E927" s="17"/>
      <c r="F927" s="297"/>
      <c r="G927" s="17"/>
      <c r="H927" s="17"/>
      <c r="I927" s="17"/>
      <c r="J927" s="17"/>
      <c r="K927" s="17"/>
      <c r="L927" s="17"/>
      <c r="M927" s="17"/>
      <c r="N927" s="17"/>
      <c r="O927" s="17"/>
      <c r="P927" s="17"/>
      <c r="Q927" s="17"/>
      <c r="R927" s="17"/>
      <c r="S927" s="201"/>
      <c r="T927" s="201"/>
      <c r="U927" s="201"/>
      <c r="V927" s="201"/>
      <c r="W927" s="17"/>
      <c r="X927" s="17"/>
      <c r="Y927" s="17"/>
      <c r="Z927" s="17"/>
      <c r="AA927" s="17"/>
      <c r="AB927" s="17"/>
    </row>
    <row r="928">
      <c r="A928" s="17"/>
      <c r="B928" s="17"/>
      <c r="C928" s="17"/>
      <c r="D928" s="17"/>
      <c r="E928" s="17"/>
      <c r="F928" s="297"/>
      <c r="G928" s="17"/>
      <c r="H928" s="17"/>
      <c r="I928" s="17"/>
      <c r="J928" s="17"/>
      <c r="K928" s="17"/>
      <c r="L928" s="17"/>
      <c r="M928" s="17"/>
      <c r="N928" s="17"/>
      <c r="O928" s="17"/>
      <c r="P928" s="17"/>
      <c r="Q928" s="17"/>
      <c r="R928" s="17"/>
      <c r="S928" s="201"/>
      <c r="T928" s="201"/>
      <c r="U928" s="201"/>
      <c r="V928" s="201"/>
      <c r="W928" s="17"/>
      <c r="X928" s="17"/>
      <c r="Y928" s="17"/>
      <c r="Z928" s="17"/>
      <c r="AA928" s="17"/>
      <c r="AB928" s="17"/>
    </row>
    <row r="929">
      <c r="A929" s="17"/>
      <c r="B929" s="17"/>
      <c r="C929" s="17"/>
      <c r="D929" s="17"/>
      <c r="E929" s="17"/>
      <c r="F929" s="297"/>
      <c r="G929" s="17"/>
      <c r="H929" s="17"/>
      <c r="I929" s="17"/>
      <c r="J929" s="17"/>
      <c r="K929" s="17"/>
      <c r="L929" s="17"/>
      <c r="M929" s="17"/>
      <c r="N929" s="17"/>
      <c r="O929" s="17"/>
      <c r="P929" s="17"/>
      <c r="Q929" s="17"/>
      <c r="R929" s="17"/>
      <c r="S929" s="201"/>
      <c r="T929" s="201"/>
      <c r="U929" s="201"/>
      <c r="V929" s="201"/>
      <c r="W929" s="17"/>
      <c r="X929" s="17"/>
      <c r="Y929" s="17"/>
      <c r="Z929" s="17"/>
      <c r="AA929" s="17"/>
      <c r="AB929" s="17"/>
    </row>
    <row r="930">
      <c r="A930" s="17"/>
      <c r="B930" s="17"/>
      <c r="C930" s="17"/>
      <c r="D930" s="17"/>
      <c r="E930" s="17"/>
      <c r="F930" s="297"/>
      <c r="G930" s="17"/>
      <c r="H930" s="17"/>
      <c r="I930" s="17"/>
      <c r="J930" s="17"/>
      <c r="K930" s="17"/>
      <c r="L930" s="17"/>
      <c r="M930" s="17"/>
      <c r="N930" s="17"/>
      <c r="O930" s="17"/>
      <c r="P930" s="17"/>
      <c r="Q930" s="17"/>
      <c r="R930" s="17"/>
      <c r="S930" s="201"/>
      <c r="T930" s="201"/>
      <c r="U930" s="201"/>
      <c r="V930" s="201"/>
      <c r="W930" s="17"/>
      <c r="X930" s="17"/>
      <c r="Y930" s="17"/>
      <c r="Z930" s="17"/>
      <c r="AA930" s="17"/>
      <c r="AB930" s="17"/>
    </row>
    <row r="931">
      <c r="A931" s="17"/>
      <c r="B931" s="17"/>
      <c r="C931" s="17"/>
      <c r="D931" s="17"/>
      <c r="E931" s="17"/>
      <c r="F931" s="297"/>
      <c r="G931" s="17"/>
      <c r="H931" s="17"/>
      <c r="I931" s="17"/>
      <c r="J931" s="17"/>
      <c r="K931" s="17"/>
      <c r="L931" s="17"/>
      <c r="M931" s="17"/>
      <c r="N931" s="17"/>
      <c r="O931" s="17"/>
      <c r="P931" s="17"/>
      <c r="Q931" s="17"/>
      <c r="R931" s="17"/>
      <c r="S931" s="201"/>
      <c r="T931" s="201"/>
      <c r="U931" s="201"/>
      <c r="V931" s="201"/>
      <c r="W931" s="17"/>
      <c r="X931" s="17"/>
      <c r="Y931" s="17"/>
      <c r="Z931" s="17"/>
      <c r="AA931" s="17"/>
      <c r="AB931" s="17"/>
    </row>
    <row r="932">
      <c r="A932" s="17"/>
      <c r="B932" s="17"/>
      <c r="C932" s="17"/>
      <c r="D932" s="17"/>
      <c r="E932" s="17"/>
      <c r="F932" s="297"/>
      <c r="G932" s="17"/>
      <c r="H932" s="17"/>
      <c r="I932" s="17"/>
      <c r="J932" s="17"/>
      <c r="K932" s="17"/>
      <c r="L932" s="17"/>
      <c r="M932" s="17"/>
      <c r="N932" s="17"/>
      <c r="O932" s="17"/>
      <c r="P932" s="17"/>
      <c r="Q932" s="17"/>
      <c r="R932" s="17"/>
      <c r="S932" s="201"/>
      <c r="T932" s="201"/>
      <c r="U932" s="201"/>
      <c r="V932" s="201"/>
      <c r="W932" s="17"/>
      <c r="X932" s="17"/>
      <c r="Y932" s="17"/>
      <c r="Z932" s="17"/>
      <c r="AA932" s="17"/>
      <c r="AB932" s="17"/>
    </row>
    <row r="933">
      <c r="A933" s="17"/>
      <c r="B933" s="17"/>
      <c r="C933" s="17"/>
      <c r="D933" s="17"/>
      <c r="E933" s="17"/>
      <c r="F933" s="297"/>
      <c r="G933" s="17"/>
      <c r="H933" s="17"/>
      <c r="I933" s="17"/>
      <c r="J933" s="17"/>
      <c r="K933" s="17"/>
      <c r="L933" s="17"/>
      <c r="M933" s="17"/>
      <c r="N933" s="17"/>
      <c r="O933" s="17"/>
      <c r="P933" s="17"/>
      <c r="Q933" s="17"/>
      <c r="R933" s="17"/>
      <c r="S933" s="201"/>
      <c r="T933" s="201"/>
      <c r="U933" s="201"/>
      <c r="V933" s="201"/>
      <c r="W933" s="17"/>
      <c r="X933" s="17"/>
      <c r="Y933" s="17"/>
      <c r="Z933" s="17"/>
      <c r="AA933" s="17"/>
      <c r="AB933" s="17"/>
    </row>
    <row r="934">
      <c r="A934" s="17"/>
      <c r="B934" s="17"/>
      <c r="C934" s="17"/>
      <c r="D934" s="17"/>
      <c r="E934" s="17"/>
      <c r="F934" s="297"/>
      <c r="G934" s="17"/>
      <c r="H934" s="17"/>
      <c r="I934" s="17"/>
      <c r="J934" s="17"/>
      <c r="K934" s="17"/>
      <c r="L934" s="17"/>
      <c r="M934" s="17"/>
      <c r="N934" s="17"/>
      <c r="O934" s="17"/>
      <c r="P934" s="17"/>
      <c r="Q934" s="17"/>
      <c r="R934" s="17"/>
      <c r="S934" s="201"/>
      <c r="T934" s="201"/>
      <c r="U934" s="201"/>
      <c r="V934" s="201"/>
      <c r="W934" s="17"/>
      <c r="X934" s="17"/>
      <c r="Y934" s="17"/>
      <c r="Z934" s="17"/>
      <c r="AA934" s="17"/>
      <c r="AB934" s="17"/>
    </row>
    <row r="935">
      <c r="A935" s="17"/>
      <c r="B935" s="17"/>
      <c r="C935" s="17"/>
      <c r="D935" s="17"/>
      <c r="E935" s="17"/>
      <c r="F935" s="297"/>
      <c r="G935" s="17"/>
      <c r="H935" s="17"/>
      <c r="I935" s="17"/>
      <c r="J935" s="17"/>
      <c r="K935" s="17"/>
      <c r="L935" s="17"/>
      <c r="M935" s="17"/>
      <c r="N935" s="17"/>
      <c r="O935" s="17"/>
      <c r="P935" s="17"/>
      <c r="Q935" s="17"/>
      <c r="R935" s="17"/>
      <c r="S935" s="201"/>
      <c r="T935" s="201"/>
      <c r="U935" s="201"/>
      <c r="V935" s="201"/>
      <c r="W935" s="17"/>
      <c r="X935" s="17"/>
      <c r="Y935" s="17"/>
      <c r="Z935" s="17"/>
      <c r="AA935" s="17"/>
      <c r="AB935" s="17"/>
    </row>
    <row r="936">
      <c r="A936" s="17"/>
      <c r="B936" s="17"/>
      <c r="C936" s="17"/>
      <c r="D936" s="17"/>
      <c r="E936" s="17"/>
      <c r="F936" s="297"/>
      <c r="G936" s="17"/>
      <c r="H936" s="17"/>
      <c r="I936" s="17"/>
      <c r="J936" s="17"/>
      <c r="K936" s="17"/>
      <c r="L936" s="17"/>
      <c r="M936" s="17"/>
      <c r="N936" s="17"/>
      <c r="O936" s="17"/>
      <c r="P936" s="17"/>
      <c r="Q936" s="17"/>
      <c r="R936" s="17"/>
      <c r="S936" s="201"/>
      <c r="T936" s="201"/>
      <c r="U936" s="201"/>
      <c r="V936" s="201"/>
      <c r="W936" s="17"/>
      <c r="X936" s="17"/>
      <c r="Y936" s="17"/>
      <c r="Z936" s="17"/>
      <c r="AA936" s="17"/>
      <c r="AB936" s="17"/>
    </row>
    <row r="937">
      <c r="A937" s="17"/>
      <c r="B937" s="17"/>
      <c r="C937" s="17"/>
      <c r="D937" s="17"/>
      <c r="E937" s="17"/>
      <c r="F937" s="297"/>
      <c r="G937" s="17"/>
      <c r="H937" s="17"/>
      <c r="I937" s="17"/>
      <c r="J937" s="17"/>
      <c r="K937" s="17"/>
      <c r="L937" s="17"/>
      <c r="M937" s="17"/>
      <c r="N937" s="17"/>
      <c r="O937" s="17"/>
      <c r="P937" s="17"/>
      <c r="Q937" s="17"/>
      <c r="R937" s="17"/>
      <c r="S937" s="201"/>
      <c r="T937" s="201"/>
      <c r="U937" s="201"/>
      <c r="V937" s="201"/>
      <c r="W937" s="17"/>
      <c r="X937" s="17"/>
      <c r="Y937" s="17"/>
      <c r="Z937" s="17"/>
      <c r="AA937" s="17"/>
      <c r="AB937" s="17"/>
    </row>
    <row r="938">
      <c r="A938" s="17"/>
      <c r="B938" s="17"/>
      <c r="C938" s="17"/>
      <c r="D938" s="17"/>
      <c r="E938" s="17"/>
      <c r="F938" s="297"/>
      <c r="G938" s="17"/>
      <c r="H938" s="17"/>
      <c r="I938" s="17"/>
      <c r="J938" s="17"/>
      <c r="K938" s="17"/>
      <c r="L938" s="17"/>
      <c r="M938" s="17"/>
      <c r="N938" s="17"/>
      <c r="O938" s="17"/>
      <c r="P938" s="17"/>
      <c r="Q938" s="17"/>
      <c r="R938" s="17"/>
      <c r="S938" s="201"/>
      <c r="T938" s="201"/>
      <c r="U938" s="201"/>
      <c r="V938" s="201"/>
      <c r="W938" s="17"/>
      <c r="X938" s="17"/>
      <c r="Y938" s="17"/>
      <c r="Z938" s="17"/>
      <c r="AA938" s="17"/>
      <c r="AB938" s="17"/>
    </row>
    <row r="939">
      <c r="A939" s="17"/>
      <c r="B939" s="17"/>
      <c r="C939" s="17"/>
      <c r="D939" s="17"/>
      <c r="E939" s="17"/>
      <c r="F939" s="297"/>
      <c r="G939" s="17"/>
      <c r="H939" s="17"/>
      <c r="I939" s="17"/>
      <c r="J939" s="17"/>
      <c r="K939" s="17"/>
      <c r="L939" s="17"/>
      <c r="M939" s="17"/>
      <c r="N939" s="17"/>
      <c r="O939" s="17"/>
      <c r="P939" s="17"/>
      <c r="Q939" s="17"/>
      <c r="R939" s="17"/>
      <c r="S939" s="201"/>
      <c r="T939" s="201"/>
      <c r="U939" s="201"/>
      <c r="V939" s="201"/>
      <c r="W939" s="17"/>
      <c r="X939" s="17"/>
      <c r="Y939" s="17"/>
      <c r="Z939" s="17"/>
      <c r="AA939" s="17"/>
      <c r="AB939" s="17"/>
    </row>
    <row r="940">
      <c r="A940" s="17"/>
      <c r="B940" s="17"/>
      <c r="C940" s="17"/>
      <c r="D940" s="17"/>
      <c r="E940" s="17"/>
      <c r="F940" s="297"/>
      <c r="G940" s="17"/>
      <c r="H940" s="17"/>
      <c r="I940" s="17"/>
      <c r="J940" s="17"/>
      <c r="K940" s="17"/>
      <c r="L940" s="17"/>
      <c r="M940" s="17"/>
      <c r="N940" s="17"/>
      <c r="O940" s="17"/>
      <c r="P940" s="17"/>
      <c r="Q940" s="17"/>
      <c r="R940" s="17"/>
      <c r="S940" s="201"/>
      <c r="T940" s="201"/>
      <c r="U940" s="201"/>
      <c r="V940" s="201"/>
      <c r="W940" s="17"/>
      <c r="X940" s="17"/>
      <c r="Y940" s="17"/>
      <c r="Z940" s="17"/>
      <c r="AA940" s="17"/>
      <c r="AB940" s="17"/>
    </row>
    <row r="941">
      <c r="A941" s="17"/>
      <c r="B941" s="17"/>
      <c r="C941" s="17"/>
      <c r="D941" s="17"/>
      <c r="E941" s="17"/>
      <c r="F941" s="297"/>
      <c r="G941" s="17"/>
      <c r="H941" s="17"/>
      <c r="I941" s="17"/>
      <c r="J941" s="17"/>
      <c r="K941" s="17"/>
      <c r="L941" s="17"/>
      <c r="M941" s="17"/>
      <c r="N941" s="17"/>
      <c r="O941" s="17"/>
      <c r="P941" s="17"/>
      <c r="Q941" s="17"/>
      <c r="R941" s="17"/>
      <c r="S941" s="201"/>
      <c r="T941" s="201"/>
      <c r="U941" s="201"/>
      <c r="V941" s="201"/>
      <c r="W941" s="17"/>
      <c r="X941" s="17"/>
      <c r="Y941" s="17"/>
      <c r="Z941" s="17"/>
      <c r="AA941" s="17"/>
      <c r="AB941" s="17"/>
    </row>
    <row r="942">
      <c r="A942" s="17"/>
      <c r="B942" s="17"/>
      <c r="C942" s="17"/>
      <c r="D942" s="17"/>
      <c r="E942" s="17"/>
      <c r="F942" s="297"/>
      <c r="G942" s="17"/>
      <c r="H942" s="17"/>
      <c r="I942" s="17"/>
      <c r="J942" s="17"/>
      <c r="K942" s="17"/>
      <c r="L942" s="17"/>
      <c r="M942" s="17"/>
      <c r="N942" s="17"/>
      <c r="O942" s="17"/>
      <c r="P942" s="17"/>
      <c r="Q942" s="17"/>
      <c r="R942" s="17"/>
      <c r="S942" s="201"/>
      <c r="T942" s="201"/>
      <c r="U942" s="201"/>
      <c r="V942" s="201"/>
      <c r="W942" s="17"/>
      <c r="X942" s="17"/>
      <c r="Y942" s="17"/>
      <c r="Z942" s="17"/>
      <c r="AA942" s="17"/>
      <c r="AB942" s="17"/>
    </row>
    <row r="943">
      <c r="A943" s="17"/>
      <c r="B943" s="17"/>
      <c r="C943" s="17"/>
      <c r="D943" s="17"/>
      <c r="E943" s="17"/>
      <c r="F943" s="297"/>
      <c r="G943" s="17"/>
      <c r="H943" s="17"/>
      <c r="I943" s="17"/>
      <c r="J943" s="17"/>
      <c r="K943" s="17"/>
      <c r="L943" s="17"/>
      <c r="M943" s="17"/>
      <c r="N943" s="17"/>
      <c r="O943" s="17"/>
      <c r="P943" s="17"/>
      <c r="Q943" s="17"/>
      <c r="R943" s="17"/>
      <c r="S943" s="201"/>
      <c r="T943" s="201"/>
      <c r="U943" s="201"/>
      <c r="V943" s="201"/>
      <c r="W943" s="17"/>
      <c r="X943" s="17"/>
      <c r="Y943" s="17"/>
      <c r="Z943" s="17"/>
      <c r="AA943" s="17"/>
      <c r="AB943" s="17"/>
    </row>
    <row r="944">
      <c r="A944" s="17"/>
      <c r="B944" s="17"/>
      <c r="C944" s="17"/>
      <c r="D944" s="17"/>
      <c r="E944" s="17"/>
      <c r="F944" s="297"/>
      <c r="G944" s="17"/>
      <c r="H944" s="17"/>
      <c r="I944" s="17"/>
      <c r="J944" s="17"/>
      <c r="K944" s="17"/>
      <c r="L944" s="17"/>
      <c r="M944" s="17"/>
      <c r="N944" s="17"/>
      <c r="O944" s="17"/>
      <c r="P944" s="17"/>
      <c r="Q944" s="17"/>
      <c r="R944" s="17"/>
      <c r="S944" s="201"/>
      <c r="T944" s="201"/>
      <c r="U944" s="201"/>
      <c r="V944" s="201"/>
      <c r="W944" s="17"/>
      <c r="X944" s="17"/>
      <c r="Y944" s="17"/>
      <c r="Z944" s="17"/>
      <c r="AA944" s="17"/>
      <c r="AB944" s="17"/>
    </row>
    <row r="945">
      <c r="A945" s="17"/>
      <c r="B945" s="17"/>
      <c r="C945" s="17"/>
      <c r="D945" s="17"/>
      <c r="E945" s="17"/>
      <c r="F945" s="297"/>
      <c r="G945" s="17"/>
      <c r="H945" s="17"/>
      <c r="I945" s="17"/>
      <c r="J945" s="17"/>
      <c r="K945" s="17"/>
      <c r="L945" s="17"/>
      <c r="M945" s="17"/>
      <c r="N945" s="17"/>
      <c r="O945" s="17"/>
      <c r="P945" s="17"/>
      <c r="Q945" s="17"/>
      <c r="R945" s="17"/>
      <c r="S945" s="201"/>
      <c r="T945" s="201"/>
      <c r="U945" s="201"/>
      <c r="V945" s="201"/>
      <c r="W945" s="17"/>
      <c r="X945" s="17"/>
      <c r="Y945" s="17"/>
      <c r="Z945" s="17"/>
      <c r="AA945" s="17"/>
      <c r="AB945" s="17"/>
    </row>
    <row r="946">
      <c r="A946" s="17"/>
      <c r="B946" s="17"/>
      <c r="C946" s="17"/>
      <c r="D946" s="17"/>
      <c r="E946" s="17"/>
      <c r="F946" s="297"/>
      <c r="G946" s="17"/>
      <c r="H946" s="17"/>
      <c r="I946" s="17"/>
      <c r="J946" s="17"/>
      <c r="K946" s="17"/>
      <c r="L946" s="17"/>
      <c r="M946" s="17"/>
      <c r="N946" s="17"/>
      <c r="O946" s="17"/>
      <c r="P946" s="17"/>
      <c r="Q946" s="17"/>
      <c r="R946" s="17"/>
      <c r="S946" s="201"/>
      <c r="T946" s="201"/>
      <c r="U946" s="201"/>
      <c r="V946" s="201"/>
      <c r="W946" s="17"/>
      <c r="X946" s="17"/>
      <c r="Y946" s="17"/>
      <c r="Z946" s="17"/>
      <c r="AA946" s="17"/>
      <c r="AB946" s="17"/>
    </row>
    <row r="947">
      <c r="A947" s="17"/>
      <c r="B947" s="17"/>
      <c r="C947" s="17"/>
      <c r="D947" s="17"/>
      <c r="E947" s="17"/>
      <c r="F947" s="297"/>
      <c r="G947" s="17"/>
      <c r="H947" s="17"/>
      <c r="I947" s="17"/>
      <c r="J947" s="17"/>
      <c r="K947" s="17"/>
      <c r="L947" s="17"/>
      <c r="M947" s="17"/>
      <c r="N947" s="17"/>
      <c r="O947" s="17"/>
      <c r="P947" s="17"/>
      <c r="Q947" s="17"/>
      <c r="R947" s="17"/>
      <c r="S947" s="201"/>
      <c r="T947" s="201"/>
      <c r="U947" s="201"/>
      <c r="V947" s="201"/>
      <c r="W947" s="17"/>
      <c r="X947" s="17"/>
      <c r="Y947" s="17"/>
      <c r="Z947" s="17"/>
      <c r="AA947" s="17"/>
      <c r="AB947" s="17"/>
    </row>
    <row r="948">
      <c r="A948" s="17"/>
      <c r="B948" s="17"/>
      <c r="C948" s="17"/>
      <c r="D948" s="17"/>
      <c r="E948" s="17"/>
      <c r="F948" s="297"/>
      <c r="G948" s="17"/>
      <c r="H948" s="17"/>
      <c r="I948" s="17"/>
      <c r="J948" s="17"/>
      <c r="K948" s="17"/>
      <c r="L948" s="17"/>
      <c r="M948" s="17"/>
      <c r="N948" s="17"/>
      <c r="O948" s="17"/>
      <c r="P948" s="17"/>
      <c r="Q948" s="17"/>
      <c r="R948" s="17"/>
      <c r="S948" s="201"/>
      <c r="T948" s="201"/>
      <c r="U948" s="201"/>
      <c r="V948" s="201"/>
      <c r="W948" s="17"/>
      <c r="X948" s="17"/>
      <c r="Y948" s="17"/>
      <c r="Z948" s="17"/>
      <c r="AA948" s="17"/>
      <c r="AB948" s="17"/>
    </row>
    <row r="949">
      <c r="A949" s="17"/>
      <c r="B949" s="17"/>
      <c r="C949" s="17"/>
      <c r="D949" s="17"/>
      <c r="E949" s="17"/>
      <c r="F949" s="297"/>
      <c r="G949" s="17"/>
      <c r="H949" s="17"/>
      <c r="I949" s="17"/>
      <c r="J949" s="17"/>
      <c r="K949" s="17"/>
      <c r="L949" s="17"/>
      <c r="M949" s="17"/>
      <c r="N949" s="17"/>
      <c r="O949" s="17"/>
      <c r="P949" s="17"/>
      <c r="Q949" s="17"/>
      <c r="R949" s="17"/>
      <c r="S949" s="201"/>
      <c r="T949" s="201"/>
      <c r="U949" s="201"/>
      <c r="V949" s="201"/>
      <c r="W949" s="17"/>
      <c r="X949" s="17"/>
      <c r="Y949" s="17"/>
      <c r="Z949" s="17"/>
      <c r="AA949" s="17"/>
      <c r="AB949" s="17"/>
    </row>
    <row r="950">
      <c r="A950" s="17"/>
      <c r="B950" s="17"/>
      <c r="C950" s="17"/>
      <c r="D950" s="17"/>
      <c r="E950" s="17"/>
      <c r="F950" s="297"/>
      <c r="G950" s="17"/>
      <c r="H950" s="17"/>
      <c r="I950" s="17"/>
      <c r="J950" s="17"/>
      <c r="K950" s="17"/>
      <c r="L950" s="17"/>
      <c r="M950" s="17"/>
      <c r="N950" s="17"/>
      <c r="O950" s="17"/>
      <c r="P950" s="17"/>
      <c r="Q950" s="17"/>
      <c r="R950" s="17"/>
      <c r="S950" s="201"/>
      <c r="T950" s="201"/>
      <c r="U950" s="201"/>
      <c r="V950" s="201"/>
      <c r="W950" s="17"/>
      <c r="X950" s="17"/>
      <c r="Y950" s="17"/>
      <c r="Z950" s="17"/>
      <c r="AA950" s="17"/>
      <c r="AB950" s="17"/>
    </row>
    <row r="951">
      <c r="A951" s="17"/>
      <c r="B951" s="17"/>
      <c r="C951" s="17"/>
      <c r="D951" s="17"/>
      <c r="E951" s="17"/>
      <c r="F951" s="297"/>
      <c r="G951" s="17"/>
      <c r="H951" s="17"/>
      <c r="I951" s="17"/>
      <c r="J951" s="17"/>
      <c r="K951" s="17"/>
      <c r="L951" s="17"/>
      <c r="M951" s="17"/>
      <c r="N951" s="17"/>
      <c r="O951" s="17"/>
      <c r="P951" s="17"/>
      <c r="Q951" s="17"/>
      <c r="R951" s="17"/>
      <c r="S951" s="201"/>
      <c r="T951" s="201"/>
      <c r="U951" s="201"/>
      <c r="V951" s="201"/>
      <c r="W951" s="17"/>
      <c r="X951" s="17"/>
      <c r="Y951" s="17"/>
      <c r="Z951" s="17"/>
      <c r="AA951" s="17"/>
      <c r="AB951" s="17"/>
    </row>
    <row r="952">
      <c r="A952" s="17"/>
      <c r="B952" s="17"/>
      <c r="C952" s="17"/>
      <c r="D952" s="17"/>
      <c r="E952" s="17"/>
      <c r="F952" s="297"/>
      <c r="G952" s="17"/>
      <c r="H952" s="17"/>
      <c r="I952" s="17"/>
      <c r="J952" s="17"/>
      <c r="K952" s="17"/>
      <c r="L952" s="17"/>
      <c r="M952" s="17"/>
      <c r="N952" s="17"/>
      <c r="O952" s="17"/>
      <c r="P952" s="17"/>
      <c r="Q952" s="17"/>
      <c r="R952" s="17"/>
      <c r="S952" s="201"/>
      <c r="T952" s="201"/>
      <c r="U952" s="201"/>
      <c r="V952" s="201"/>
      <c r="W952" s="17"/>
      <c r="X952" s="17"/>
      <c r="Y952" s="17"/>
      <c r="Z952" s="17"/>
      <c r="AA952" s="17"/>
      <c r="AB952" s="17"/>
    </row>
    <row r="953">
      <c r="A953" s="17"/>
      <c r="B953" s="17"/>
      <c r="C953" s="17"/>
      <c r="D953" s="17"/>
      <c r="E953" s="17"/>
      <c r="F953" s="297"/>
      <c r="G953" s="17"/>
      <c r="H953" s="17"/>
      <c r="I953" s="17"/>
      <c r="J953" s="17"/>
      <c r="K953" s="17"/>
      <c r="L953" s="17"/>
      <c r="M953" s="17"/>
      <c r="N953" s="17"/>
      <c r="O953" s="17"/>
      <c r="P953" s="17"/>
      <c r="Q953" s="17"/>
      <c r="R953" s="17"/>
      <c r="S953" s="201"/>
      <c r="T953" s="201"/>
      <c r="U953" s="201"/>
      <c r="V953" s="201"/>
      <c r="W953" s="17"/>
      <c r="X953" s="17"/>
      <c r="Y953" s="17"/>
      <c r="Z953" s="17"/>
      <c r="AA953" s="17"/>
      <c r="AB953" s="17"/>
    </row>
    <row r="954">
      <c r="A954" s="17"/>
      <c r="B954" s="17"/>
      <c r="C954" s="17"/>
      <c r="D954" s="17"/>
      <c r="E954" s="17"/>
      <c r="F954" s="297"/>
      <c r="G954" s="17"/>
      <c r="H954" s="17"/>
      <c r="I954" s="17"/>
      <c r="J954" s="17"/>
      <c r="K954" s="17"/>
      <c r="L954" s="17"/>
      <c r="M954" s="17"/>
      <c r="N954" s="17"/>
      <c r="O954" s="17"/>
      <c r="P954" s="17"/>
      <c r="Q954" s="17"/>
      <c r="R954" s="17"/>
      <c r="S954" s="201"/>
      <c r="T954" s="201"/>
      <c r="U954" s="201"/>
      <c r="V954" s="201"/>
      <c r="W954" s="17"/>
      <c r="X954" s="17"/>
      <c r="Y954" s="17"/>
      <c r="Z954" s="17"/>
      <c r="AA954" s="17"/>
      <c r="AB954" s="17"/>
    </row>
    <row r="955">
      <c r="A955" s="17"/>
      <c r="B955" s="17"/>
      <c r="C955" s="17"/>
      <c r="D955" s="17"/>
      <c r="E955" s="17"/>
      <c r="F955" s="297"/>
      <c r="G955" s="17"/>
      <c r="H955" s="17"/>
      <c r="I955" s="17"/>
      <c r="J955" s="17"/>
      <c r="K955" s="17"/>
      <c r="L955" s="17"/>
      <c r="M955" s="17"/>
      <c r="N955" s="17"/>
      <c r="O955" s="17"/>
      <c r="P955" s="17"/>
      <c r="Q955" s="17"/>
      <c r="R955" s="17"/>
      <c r="S955" s="201"/>
      <c r="T955" s="201"/>
      <c r="U955" s="201"/>
      <c r="V955" s="201"/>
      <c r="W955" s="17"/>
      <c r="X955" s="17"/>
      <c r="Y955" s="17"/>
      <c r="Z955" s="17"/>
      <c r="AA955" s="17"/>
      <c r="AB955" s="17"/>
    </row>
    <row r="956">
      <c r="A956" s="17"/>
      <c r="B956" s="17"/>
      <c r="C956" s="17"/>
      <c r="D956" s="17"/>
      <c r="E956" s="17"/>
      <c r="F956" s="297"/>
      <c r="G956" s="17"/>
      <c r="H956" s="17"/>
      <c r="I956" s="17"/>
      <c r="J956" s="17"/>
      <c r="K956" s="17"/>
      <c r="L956" s="17"/>
      <c r="M956" s="17"/>
      <c r="N956" s="17"/>
      <c r="O956" s="17"/>
      <c r="P956" s="17"/>
      <c r="Q956" s="17"/>
      <c r="R956" s="17"/>
      <c r="S956" s="201"/>
      <c r="T956" s="201"/>
      <c r="U956" s="201"/>
      <c r="V956" s="201"/>
      <c r="W956" s="17"/>
      <c r="X956" s="17"/>
      <c r="Y956" s="17"/>
      <c r="Z956" s="17"/>
      <c r="AA956" s="17"/>
      <c r="AB956" s="17"/>
    </row>
    <row r="957">
      <c r="A957" s="17"/>
      <c r="B957" s="17"/>
      <c r="C957" s="17"/>
      <c r="D957" s="17"/>
      <c r="E957" s="17"/>
      <c r="F957" s="297"/>
      <c r="G957" s="17"/>
      <c r="H957" s="17"/>
      <c r="I957" s="17"/>
      <c r="J957" s="17"/>
      <c r="K957" s="17"/>
      <c r="L957" s="17"/>
      <c r="M957" s="17"/>
      <c r="N957" s="17"/>
      <c r="O957" s="17"/>
      <c r="P957" s="17"/>
      <c r="Q957" s="17"/>
      <c r="R957" s="17"/>
      <c r="S957" s="201"/>
      <c r="T957" s="201"/>
      <c r="U957" s="201"/>
      <c r="V957" s="201"/>
      <c r="W957" s="17"/>
      <c r="X957" s="17"/>
      <c r="Y957" s="17"/>
      <c r="Z957" s="17"/>
      <c r="AA957" s="17"/>
      <c r="AB957" s="17"/>
    </row>
    <row r="958">
      <c r="A958" s="17"/>
      <c r="B958" s="17"/>
      <c r="C958" s="17"/>
      <c r="D958" s="17"/>
      <c r="E958" s="17"/>
      <c r="F958" s="297"/>
      <c r="G958" s="17"/>
      <c r="H958" s="17"/>
      <c r="I958" s="17"/>
      <c r="J958" s="17"/>
      <c r="K958" s="17"/>
      <c r="L958" s="17"/>
      <c r="M958" s="17"/>
      <c r="N958" s="17"/>
      <c r="O958" s="17"/>
      <c r="P958" s="17"/>
      <c r="Q958" s="17"/>
      <c r="R958" s="17"/>
      <c r="S958" s="201"/>
      <c r="T958" s="201"/>
      <c r="U958" s="201"/>
      <c r="V958" s="201"/>
      <c r="W958" s="17"/>
      <c r="X958" s="17"/>
      <c r="Y958" s="17"/>
      <c r="Z958" s="17"/>
      <c r="AA958" s="17"/>
      <c r="AB958" s="17"/>
    </row>
    <row r="959">
      <c r="A959" s="17"/>
      <c r="B959" s="17"/>
      <c r="C959" s="17"/>
      <c r="D959" s="17"/>
      <c r="E959" s="17"/>
      <c r="F959" s="297"/>
      <c r="G959" s="17"/>
      <c r="H959" s="17"/>
      <c r="I959" s="17"/>
      <c r="J959" s="17"/>
      <c r="K959" s="17"/>
      <c r="L959" s="17"/>
      <c r="M959" s="17"/>
      <c r="N959" s="17"/>
      <c r="O959" s="17"/>
      <c r="P959" s="17"/>
      <c r="Q959" s="17"/>
      <c r="R959" s="17"/>
      <c r="S959" s="201"/>
      <c r="T959" s="201"/>
      <c r="U959" s="201"/>
      <c r="V959" s="201"/>
      <c r="W959" s="17"/>
      <c r="X959" s="17"/>
      <c r="Y959" s="17"/>
      <c r="Z959" s="17"/>
      <c r="AA959" s="17"/>
      <c r="AB959" s="17"/>
    </row>
    <row r="960">
      <c r="A960" s="17"/>
      <c r="B960" s="17"/>
      <c r="C960" s="17"/>
      <c r="D960" s="17"/>
      <c r="E960" s="17"/>
      <c r="F960" s="297"/>
      <c r="G960" s="17"/>
      <c r="H960" s="17"/>
      <c r="I960" s="17"/>
      <c r="J960" s="17"/>
      <c r="K960" s="17"/>
      <c r="L960" s="17"/>
      <c r="M960" s="17"/>
      <c r="N960" s="17"/>
      <c r="O960" s="17"/>
      <c r="P960" s="17"/>
      <c r="Q960" s="17"/>
      <c r="R960" s="17"/>
      <c r="S960" s="201"/>
      <c r="T960" s="201"/>
      <c r="U960" s="201"/>
      <c r="V960" s="201"/>
      <c r="W960" s="17"/>
      <c r="X960" s="17"/>
      <c r="Y960" s="17"/>
      <c r="Z960" s="17"/>
      <c r="AA960" s="17"/>
      <c r="AB960" s="17"/>
    </row>
    <row r="961">
      <c r="A961" s="17"/>
      <c r="B961" s="17"/>
      <c r="C961" s="17"/>
      <c r="D961" s="17"/>
      <c r="E961" s="17"/>
      <c r="F961" s="297"/>
      <c r="G961" s="17"/>
      <c r="H961" s="17"/>
      <c r="I961" s="17"/>
      <c r="J961" s="17"/>
      <c r="K961" s="17"/>
      <c r="L961" s="17"/>
      <c r="M961" s="17"/>
      <c r="N961" s="17"/>
      <c r="O961" s="17"/>
      <c r="P961" s="17"/>
      <c r="Q961" s="17"/>
      <c r="R961" s="17"/>
      <c r="S961" s="201"/>
      <c r="T961" s="201"/>
      <c r="U961" s="201"/>
      <c r="V961" s="201"/>
      <c r="W961" s="17"/>
      <c r="X961" s="17"/>
      <c r="Y961" s="17"/>
      <c r="Z961" s="17"/>
      <c r="AA961" s="17"/>
      <c r="AB961" s="17"/>
    </row>
    <row r="962">
      <c r="A962" s="17"/>
      <c r="B962" s="17"/>
      <c r="C962" s="17"/>
      <c r="D962" s="17"/>
      <c r="E962" s="17"/>
      <c r="F962" s="297"/>
      <c r="G962" s="17"/>
      <c r="H962" s="17"/>
      <c r="I962" s="17"/>
      <c r="J962" s="17"/>
      <c r="K962" s="17"/>
      <c r="L962" s="17"/>
      <c r="M962" s="17"/>
      <c r="N962" s="17"/>
      <c r="O962" s="17"/>
      <c r="P962" s="17"/>
      <c r="Q962" s="17"/>
      <c r="R962" s="17"/>
      <c r="S962" s="201"/>
      <c r="T962" s="201"/>
      <c r="U962" s="201"/>
      <c r="V962" s="201"/>
      <c r="W962" s="17"/>
      <c r="X962" s="17"/>
      <c r="Y962" s="17"/>
      <c r="Z962" s="17"/>
      <c r="AA962" s="17"/>
      <c r="AB962" s="17"/>
    </row>
    <row r="963">
      <c r="A963" s="17"/>
      <c r="B963" s="17"/>
      <c r="C963" s="17"/>
      <c r="D963" s="17"/>
      <c r="E963" s="17"/>
      <c r="F963" s="297"/>
      <c r="G963" s="17"/>
      <c r="H963" s="17"/>
      <c r="I963" s="17"/>
      <c r="J963" s="17"/>
      <c r="K963" s="17"/>
      <c r="L963" s="17"/>
      <c r="M963" s="17"/>
      <c r="N963" s="17"/>
      <c r="O963" s="17"/>
      <c r="P963" s="17"/>
      <c r="Q963" s="17"/>
      <c r="R963" s="17"/>
      <c r="S963" s="201"/>
      <c r="T963" s="201"/>
      <c r="U963" s="201"/>
      <c r="V963" s="201"/>
      <c r="W963" s="17"/>
      <c r="X963" s="17"/>
      <c r="Y963" s="17"/>
      <c r="Z963" s="17"/>
      <c r="AA963" s="17"/>
      <c r="AB963" s="17"/>
    </row>
    <row r="964">
      <c r="A964" s="17"/>
      <c r="B964" s="17"/>
      <c r="C964" s="17"/>
      <c r="D964" s="17"/>
      <c r="E964" s="17"/>
      <c r="F964" s="297"/>
      <c r="G964" s="17"/>
      <c r="H964" s="17"/>
      <c r="I964" s="17"/>
      <c r="J964" s="17"/>
      <c r="K964" s="17"/>
      <c r="L964" s="17"/>
      <c r="M964" s="17"/>
      <c r="N964" s="17"/>
      <c r="O964" s="17"/>
      <c r="P964" s="17"/>
      <c r="Q964" s="17"/>
      <c r="R964" s="17"/>
      <c r="S964" s="201"/>
      <c r="T964" s="201"/>
      <c r="U964" s="201"/>
      <c r="V964" s="201"/>
      <c r="W964" s="17"/>
      <c r="X964" s="17"/>
      <c r="Y964" s="17"/>
      <c r="Z964" s="17"/>
      <c r="AA964" s="17"/>
      <c r="AB964" s="17"/>
    </row>
    <row r="965">
      <c r="A965" s="17"/>
      <c r="B965" s="17"/>
      <c r="C965" s="17"/>
      <c r="D965" s="17"/>
      <c r="E965" s="17"/>
      <c r="F965" s="297"/>
      <c r="G965" s="17"/>
      <c r="H965" s="17"/>
      <c r="I965" s="17"/>
      <c r="J965" s="17"/>
      <c r="K965" s="17"/>
      <c r="L965" s="17"/>
      <c r="M965" s="17"/>
      <c r="N965" s="17"/>
      <c r="O965" s="17"/>
      <c r="P965" s="17"/>
      <c r="Q965" s="17"/>
      <c r="R965" s="17"/>
      <c r="S965" s="201"/>
      <c r="T965" s="201"/>
      <c r="U965" s="201"/>
      <c r="V965" s="201"/>
      <c r="W965" s="17"/>
      <c r="X965" s="17"/>
      <c r="Y965" s="17"/>
      <c r="Z965" s="17"/>
      <c r="AA965" s="17"/>
      <c r="AB965" s="17"/>
    </row>
    <row r="966">
      <c r="A966" s="17"/>
      <c r="B966" s="17"/>
      <c r="C966" s="17"/>
      <c r="D966" s="17"/>
      <c r="E966" s="17"/>
      <c r="F966" s="297"/>
      <c r="G966" s="17"/>
      <c r="H966" s="17"/>
      <c r="I966" s="17"/>
      <c r="J966" s="17"/>
      <c r="K966" s="17"/>
      <c r="L966" s="17"/>
      <c r="M966" s="17"/>
      <c r="N966" s="17"/>
      <c r="O966" s="17"/>
      <c r="P966" s="17"/>
      <c r="Q966" s="17"/>
      <c r="R966" s="17"/>
      <c r="S966" s="201"/>
      <c r="T966" s="201"/>
      <c r="U966" s="201"/>
      <c r="V966" s="201"/>
      <c r="W966" s="17"/>
      <c r="X966" s="17"/>
      <c r="Y966" s="17"/>
      <c r="Z966" s="17"/>
      <c r="AA966" s="17"/>
      <c r="AB966" s="17"/>
    </row>
    <row r="967">
      <c r="A967" s="17"/>
      <c r="B967" s="17"/>
      <c r="C967" s="17"/>
      <c r="D967" s="17"/>
      <c r="E967" s="17"/>
      <c r="F967" s="297"/>
      <c r="G967" s="17"/>
      <c r="H967" s="17"/>
      <c r="I967" s="17"/>
      <c r="J967" s="17"/>
      <c r="K967" s="17"/>
      <c r="L967" s="17"/>
      <c r="M967" s="17"/>
      <c r="N967" s="17"/>
      <c r="O967" s="17"/>
      <c r="P967" s="17"/>
      <c r="Q967" s="17"/>
      <c r="R967" s="17"/>
      <c r="S967" s="201"/>
      <c r="T967" s="201"/>
      <c r="U967" s="201"/>
      <c r="V967" s="201"/>
      <c r="W967" s="17"/>
      <c r="X967" s="17"/>
      <c r="Y967" s="17"/>
      <c r="Z967" s="17"/>
      <c r="AA967" s="17"/>
      <c r="AB967" s="17"/>
    </row>
    <row r="968">
      <c r="A968" s="17"/>
      <c r="B968" s="17"/>
      <c r="C968" s="17"/>
      <c r="D968" s="17"/>
      <c r="E968" s="17"/>
      <c r="F968" s="297"/>
      <c r="G968" s="17"/>
      <c r="H968" s="17"/>
      <c r="I968" s="17"/>
      <c r="J968" s="17"/>
      <c r="K968" s="17"/>
      <c r="L968" s="17"/>
      <c r="M968" s="17"/>
      <c r="N968" s="17"/>
      <c r="O968" s="17"/>
      <c r="P968" s="17"/>
      <c r="Q968" s="17"/>
      <c r="R968" s="17"/>
      <c r="S968" s="201"/>
      <c r="T968" s="201"/>
      <c r="U968" s="201"/>
      <c r="V968" s="201"/>
      <c r="W968" s="17"/>
      <c r="X968" s="17"/>
      <c r="Y968" s="17"/>
      <c r="Z968" s="17"/>
      <c r="AA968" s="17"/>
      <c r="AB968" s="17"/>
    </row>
    <row r="969">
      <c r="A969" s="17"/>
      <c r="B969" s="17"/>
      <c r="C969" s="17"/>
      <c r="D969" s="17"/>
      <c r="E969" s="17"/>
      <c r="F969" s="297"/>
      <c r="G969" s="17"/>
      <c r="H969" s="17"/>
      <c r="I969" s="17"/>
      <c r="J969" s="17"/>
      <c r="K969" s="17"/>
      <c r="L969" s="17"/>
      <c r="M969" s="17"/>
      <c r="N969" s="17"/>
      <c r="O969" s="17"/>
      <c r="P969" s="17"/>
      <c r="Q969" s="17"/>
      <c r="R969" s="17"/>
      <c r="S969" s="201"/>
      <c r="T969" s="201"/>
      <c r="U969" s="201"/>
      <c r="V969" s="201"/>
      <c r="W969" s="17"/>
      <c r="X969" s="17"/>
      <c r="Y969" s="17"/>
      <c r="Z969" s="17"/>
      <c r="AA969" s="17"/>
      <c r="AB969" s="17"/>
    </row>
    <row r="970">
      <c r="A970" s="17"/>
      <c r="B970" s="17"/>
      <c r="C970" s="17"/>
      <c r="D970" s="17"/>
      <c r="E970" s="17"/>
      <c r="F970" s="297"/>
      <c r="G970" s="17"/>
      <c r="H970" s="17"/>
      <c r="I970" s="17"/>
      <c r="J970" s="17"/>
      <c r="K970" s="17"/>
      <c r="L970" s="17"/>
      <c r="M970" s="17"/>
      <c r="N970" s="17"/>
      <c r="O970" s="17"/>
      <c r="P970" s="17"/>
      <c r="Q970" s="17"/>
      <c r="R970" s="17"/>
      <c r="S970" s="201"/>
      <c r="T970" s="201"/>
      <c r="U970" s="201"/>
      <c r="V970" s="201"/>
      <c r="W970" s="17"/>
      <c r="X970" s="17"/>
      <c r="Y970" s="17"/>
      <c r="Z970" s="17"/>
      <c r="AA970" s="17"/>
      <c r="AB970" s="17"/>
    </row>
    <row r="971">
      <c r="A971" s="17"/>
      <c r="B971" s="17"/>
      <c r="C971" s="17"/>
      <c r="D971" s="17"/>
      <c r="E971" s="17"/>
      <c r="F971" s="297"/>
      <c r="G971" s="17"/>
      <c r="H971" s="17"/>
      <c r="I971" s="17"/>
      <c r="J971" s="17"/>
      <c r="K971" s="17"/>
      <c r="L971" s="17"/>
      <c r="M971" s="17"/>
      <c r="N971" s="17"/>
      <c r="O971" s="17"/>
      <c r="P971" s="17"/>
      <c r="Q971" s="17"/>
      <c r="R971" s="17"/>
      <c r="S971" s="201"/>
      <c r="T971" s="201"/>
      <c r="U971" s="201"/>
      <c r="V971" s="201"/>
      <c r="W971" s="17"/>
      <c r="X971" s="17"/>
      <c r="Y971" s="17"/>
      <c r="Z971" s="17"/>
      <c r="AA971" s="17"/>
      <c r="AB971" s="17"/>
    </row>
    <row r="972">
      <c r="A972" s="17"/>
      <c r="B972" s="17"/>
      <c r="C972" s="17"/>
      <c r="D972" s="17"/>
      <c r="E972" s="17"/>
      <c r="F972" s="297"/>
      <c r="G972" s="17"/>
      <c r="H972" s="17"/>
      <c r="I972" s="17"/>
      <c r="J972" s="17"/>
      <c r="K972" s="17"/>
      <c r="L972" s="17"/>
      <c r="M972" s="17"/>
      <c r="N972" s="17"/>
      <c r="O972" s="17"/>
      <c r="P972" s="17"/>
      <c r="Q972" s="17"/>
      <c r="R972" s="17"/>
      <c r="S972" s="201"/>
      <c r="T972" s="201"/>
      <c r="U972" s="201"/>
      <c r="V972" s="201"/>
      <c r="W972" s="17"/>
      <c r="X972" s="17"/>
      <c r="Y972" s="17"/>
      <c r="Z972" s="17"/>
      <c r="AA972" s="17"/>
      <c r="AB972" s="17"/>
    </row>
    <row r="973">
      <c r="A973" s="17"/>
      <c r="B973" s="17"/>
      <c r="C973" s="17"/>
      <c r="D973" s="17"/>
      <c r="E973" s="17"/>
      <c r="F973" s="297"/>
      <c r="G973" s="17"/>
      <c r="H973" s="17"/>
      <c r="I973" s="17"/>
      <c r="J973" s="17"/>
      <c r="K973" s="17"/>
      <c r="L973" s="17"/>
      <c r="M973" s="17"/>
      <c r="N973" s="17"/>
      <c r="O973" s="17"/>
      <c r="P973" s="17"/>
      <c r="Q973" s="17"/>
      <c r="R973" s="17"/>
      <c r="S973" s="201"/>
      <c r="T973" s="201"/>
      <c r="U973" s="201"/>
      <c r="V973" s="201"/>
      <c r="W973" s="17"/>
      <c r="X973" s="17"/>
      <c r="Y973" s="17"/>
      <c r="Z973" s="17"/>
      <c r="AA973" s="17"/>
      <c r="AB973" s="17"/>
    </row>
    <row r="974">
      <c r="A974" s="17"/>
      <c r="B974" s="17"/>
      <c r="C974" s="17"/>
      <c r="D974" s="17"/>
      <c r="E974" s="17"/>
      <c r="F974" s="297"/>
      <c r="G974" s="17"/>
      <c r="H974" s="17"/>
      <c r="I974" s="17"/>
      <c r="J974" s="17"/>
      <c r="K974" s="17"/>
      <c r="L974" s="17"/>
      <c r="M974" s="17"/>
      <c r="N974" s="17"/>
      <c r="O974" s="17"/>
      <c r="P974" s="17"/>
      <c r="Q974" s="17"/>
      <c r="R974" s="17"/>
      <c r="S974" s="201"/>
      <c r="T974" s="201"/>
      <c r="U974" s="201"/>
      <c r="V974" s="201"/>
      <c r="W974" s="17"/>
      <c r="X974" s="17"/>
      <c r="Y974" s="17"/>
      <c r="Z974" s="17"/>
      <c r="AA974" s="17"/>
      <c r="AB974" s="17"/>
    </row>
    <row r="975">
      <c r="A975" s="17"/>
      <c r="B975" s="17"/>
      <c r="C975" s="17"/>
      <c r="D975" s="17"/>
      <c r="E975" s="17"/>
      <c r="F975" s="297"/>
      <c r="G975" s="17"/>
      <c r="H975" s="17"/>
      <c r="I975" s="17"/>
      <c r="J975" s="17"/>
      <c r="K975" s="17"/>
      <c r="L975" s="17"/>
      <c r="M975" s="17"/>
      <c r="N975" s="17"/>
      <c r="O975" s="17"/>
      <c r="P975" s="17"/>
      <c r="Q975" s="17"/>
      <c r="R975" s="17"/>
      <c r="S975" s="201"/>
      <c r="T975" s="201"/>
      <c r="U975" s="201"/>
      <c r="V975" s="201"/>
      <c r="W975" s="17"/>
      <c r="X975" s="17"/>
      <c r="Y975" s="17"/>
      <c r="Z975" s="17"/>
      <c r="AA975" s="17"/>
      <c r="AB975" s="17"/>
    </row>
    <row r="976">
      <c r="A976" s="17"/>
      <c r="B976" s="17"/>
      <c r="C976" s="17"/>
      <c r="D976" s="17"/>
      <c r="E976" s="17"/>
      <c r="F976" s="297"/>
      <c r="G976" s="17"/>
      <c r="H976" s="17"/>
      <c r="I976" s="17"/>
      <c r="J976" s="17"/>
      <c r="K976" s="17"/>
      <c r="L976" s="17"/>
      <c r="M976" s="17"/>
      <c r="N976" s="17"/>
      <c r="O976" s="17"/>
      <c r="P976" s="17"/>
      <c r="Q976" s="17"/>
      <c r="R976" s="17"/>
      <c r="S976" s="201"/>
      <c r="T976" s="201"/>
      <c r="U976" s="201"/>
      <c r="V976" s="201"/>
      <c r="W976" s="17"/>
      <c r="X976" s="17"/>
      <c r="Y976" s="17"/>
      <c r="Z976" s="17"/>
      <c r="AA976" s="17"/>
      <c r="AB976" s="17"/>
    </row>
    <row r="977">
      <c r="A977" s="17"/>
      <c r="B977" s="17"/>
      <c r="C977" s="17"/>
      <c r="D977" s="17"/>
      <c r="E977" s="17"/>
      <c r="F977" s="297"/>
      <c r="G977" s="17"/>
      <c r="H977" s="17"/>
      <c r="I977" s="17"/>
      <c r="J977" s="17"/>
      <c r="K977" s="17"/>
      <c r="L977" s="17"/>
      <c r="M977" s="17"/>
      <c r="N977" s="17"/>
      <c r="O977" s="17"/>
      <c r="P977" s="17"/>
      <c r="Q977" s="17"/>
      <c r="R977" s="17"/>
      <c r="S977" s="201"/>
      <c r="T977" s="201"/>
      <c r="U977" s="201"/>
      <c r="V977" s="201"/>
      <c r="W977" s="17"/>
      <c r="X977" s="17"/>
      <c r="Y977" s="17"/>
      <c r="Z977" s="17"/>
      <c r="AA977" s="17"/>
      <c r="AB977" s="17"/>
    </row>
    <row r="978">
      <c r="A978" s="17"/>
      <c r="B978" s="17"/>
      <c r="C978" s="17"/>
      <c r="D978" s="17"/>
      <c r="E978" s="17"/>
      <c r="F978" s="297"/>
      <c r="G978" s="17"/>
      <c r="H978" s="17"/>
      <c r="I978" s="17"/>
      <c r="J978" s="17"/>
      <c r="K978" s="17"/>
      <c r="L978" s="17"/>
      <c r="M978" s="17"/>
      <c r="N978" s="17"/>
      <c r="O978" s="17"/>
      <c r="P978" s="17"/>
      <c r="Q978" s="17"/>
      <c r="R978" s="17"/>
      <c r="S978" s="201"/>
      <c r="T978" s="201"/>
      <c r="U978" s="201"/>
      <c r="V978" s="201"/>
      <c r="W978" s="17"/>
      <c r="X978" s="17"/>
      <c r="Y978" s="17"/>
      <c r="Z978" s="17"/>
      <c r="AA978" s="17"/>
      <c r="AB978" s="17"/>
    </row>
    <row r="979">
      <c r="A979" s="17"/>
      <c r="B979" s="17"/>
      <c r="C979" s="17"/>
      <c r="D979" s="17"/>
      <c r="E979" s="17"/>
      <c r="F979" s="297"/>
      <c r="G979" s="17"/>
      <c r="H979" s="17"/>
      <c r="I979" s="17"/>
      <c r="J979" s="17"/>
      <c r="K979" s="17"/>
      <c r="L979" s="17"/>
      <c r="M979" s="17"/>
      <c r="N979" s="17"/>
      <c r="O979" s="17"/>
      <c r="P979" s="17"/>
      <c r="Q979" s="17"/>
      <c r="R979" s="17"/>
      <c r="S979" s="201"/>
      <c r="T979" s="201"/>
      <c r="U979" s="201"/>
      <c r="V979" s="201"/>
      <c r="W979" s="17"/>
      <c r="X979" s="17"/>
      <c r="Y979" s="17"/>
      <c r="Z979" s="17"/>
      <c r="AA979" s="17"/>
      <c r="AB979" s="17"/>
    </row>
    <row r="980">
      <c r="A980" s="17"/>
      <c r="B980" s="17"/>
      <c r="C980" s="17"/>
      <c r="D980" s="17"/>
      <c r="E980" s="17"/>
      <c r="F980" s="297"/>
      <c r="G980" s="17"/>
      <c r="H980" s="17"/>
      <c r="I980" s="17"/>
      <c r="J980" s="17"/>
      <c r="K980" s="17"/>
      <c r="L980" s="17"/>
      <c r="M980" s="17"/>
      <c r="N980" s="17"/>
      <c r="O980" s="17"/>
      <c r="P980" s="17"/>
      <c r="Q980" s="17"/>
      <c r="R980" s="17"/>
      <c r="S980" s="201"/>
      <c r="T980" s="201"/>
      <c r="U980" s="201"/>
      <c r="V980" s="201"/>
      <c r="W980" s="17"/>
      <c r="X980" s="17"/>
      <c r="Y980" s="17"/>
      <c r="Z980" s="17"/>
      <c r="AA980" s="17"/>
      <c r="AB980" s="17"/>
    </row>
    <row r="981">
      <c r="A981" s="17"/>
      <c r="B981" s="17"/>
      <c r="C981" s="17"/>
      <c r="D981" s="17"/>
      <c r="E981" s="17"/>
      <c r="F981" s="297"/>
      <c r="G981" s="17"/>
      <c r="H981" s="17"/>
      <c r="I981" s="17"/>
      <c r="J981" s="17"/>
      <c r="K981" s="17"/>
      <c r="L981" s="17"/>
      <c r="M981" s="17"/>
      <c r="N981" s="17"/>
      <c r="O981" s="17"/>
      <c r="P981" s="17"/>
      <c r="Q981" s="17"/>
      <c r="R981" s="17"/>
      <c r="S981" s="201"/>
      <c r="T981" s="201"/>
      <c r="U981" s="201"/>
      <c r="V981" s="201"/>
      <c r="W981" s="17"/>
      <c r="X981" s="17"/>
      <c r="Y981" s="17"/>
      <c r="Z981" s="17"/>
      <c r="AA981" s="17"/>
      <c r="AB981" s="17"/>
    </row>
    <row r="982">
      <c r="A982" s="17"/>
      <c r="B982" s="17"/>
      <c r="C982" s="17"/>
      <c r="D982" s="17"/>
      <c r="E982" s="17"/>
      <c r="F982" s="297"/>
      <c r="G982" s="17"/>
      <c r="H982" s="17"/>
      <c r="I982" s="17"/>
      <c r="J982" s="17"/>
      <c r="K982" s="17"/>
      <c r="L982" s="17"/>
      <c r="M982" s="17"/>
      <c r="N982" s="17"/>
      <c r="O982" s="17"/>
      <c r="P982" s="17"/>
      <c r="Q982" s="17"/>
      <c r="R982" s="17"/>
      <c r="S982" s="201"/>
      <c r="T982" s="201"/>
      <c r="U982" s="201"/>
      <c r="V982" s="201"/>
      <c r="W982" s="17"/>
      <c r="X982" s="17"/>
      <c r="Y982" s="17"/>
      <c r="Z982" s="17"/>
      <c r="AA982" s="17"/>
      <c r="AB982" s="17"/>
    </row>
    <row r="983">
      <c r="A983" s="17"/>
      <c r="B983" s="17"/>
      <c r="C983" s="17"/>
      <c r="D983" s="17"/>
      <c r="E983" s="17"/>
      <c r="F983" s="297"/>
      <c r="G983" s="17"/>
      <c r="H983" s="17"/>
      <c r="I983" s="17"/>
      <c r="J983" s="17"/>
      <c r="K983" s="17"/>
      <c r="L983" s="17"/>
      <c r="M983" s="17"/>
      <c r="N983" s="17"/>
      <c r="O983" s="17"/>
      <c r="P983" s="17"/>
      <c r="Q983" s="17"/>
      <c r="R983" s="17"/>
      <c r="S983" s="201"/>
      <c r="T983" s="201"/>
      <c r="U983" s="201"/>
      <c r="V983" s="201"/>
      <c r="W983" s="17"/>
      <c r="X983" s="17"/>
      <c r="Y983" s="17"/>
      <c r="Z983" s="17"/>
      <c r="AA983" s="17"/>
      <c r="AB983" s="17"/>
    </row>
    <row r="984">
      <c r="A984" s="17"/>
      <c r="B984" s="17"/>
      <c r="C984" s="17"/>
      <c r="D984" s="17"/>
      <c r="E984" s="17"/>
      <c r="F984" s="297"/>
      <c r="G984" s="17"/>
      <c r="H984" s="17"/>
      <c r="I984" s="17"/>
      <c r="J984" s="17"/>
      <c r="K984" s="17"/>
      <c r="L984" s="17"/>
      <c r="M984" s="17"/>
      <c r="N984" s="17"/>
      <c r="O984" s="17"/>
      <c r="P984" s="17"/>
      <c r="Q984" s="17"/>
      <c r="R984" s="17"/>
      <c r="S984" s="201"/>
      <c r="T984" s="201"/>
      <c r="U984" s="201"/>
      <c r="V984" s="201"/>
      <c r="W984" s="17"/>
      <c r="X984" s="17"/>
      <c r="Y984" s="17"/>
      <c r="Z984" s="17"/>
      <c r="AA984" s="17"/>
      <c r="AB984" s="17"/>
    </row>
    <row r="985">
      <c r="A985" s="17"/>
      <c r="B985" s="17"/>
      <c r="C985" s="17"/>
      <c r="D985" s="17"/>
      <c r="E985" s="17"/>
      <c r="F985" s="297"/>
      <c r="G985" s="17"/>
      <c r="H985" s="17"/>
      <c r="I985" s="17"/>
      <c r="J985" s="17"/>
      <c r="K985" s="17"/>
      <c r="L985" s="17"/>
      <c r="M985" s="17"/>
      <c r="N985" s="17"/>
      <c r="O985" s="17"/>
      <c r="P985" s="17"/>
      <c r="Q985" s="17"/>
      <c r="R985" s="17"/>
      <c r="S985" s="201"/>
      <c r="T985" s="201"/>
      <c r="U985" s="201"/>
      <c r="V985" s="201"/>
      <c r="W985" s="17"/>
      <c r="X985" s="17"/>
      <c r="Y985" s="17"/>
      <c r="Z985" s="17"/>
      <c r="AA985" s="17"/>
      <c r="AB985" s="17"/>
    </row>
    <row r="986">
      <c r="A986" s="17"/>
      <c r="B986" s="17"/>
      <c r="C986" s="17"/>
      <c r="D986" s="17"/>
      <c r="E986" s="17"/>
      <c r="F986" s="297"/>
      <c r="G986" s="17"/>
      <c r="H986" s="17"/>
      <c r="I986" s="17"/>
      <c r="J986" s="17"/>
      <c r="K986" s="17"/>
      <c r="L986" s="17"/>
      <c r="M986" s="17"/>
      <c r="N986" s="17"/>
      <c r="O986" s="17"/>
      <c r="P986" s="17"/>
      <c r="Q986" s="17"/>
      <c r="R986" s="17"/>
      <c r="S986" s="201"/>
      <c r="T986" s="201"/>
      <c r="U986" s="201"/>
      <c r="V986" s="201"/>
      <c r="W986" s="17"/>
      <c r="X986" s="17"/>
      <c r="Y986" s="17"/>
      <c r="Z986" s="17"/>
      <c r="AA986" s="17"/>
      <c r="AB986" s="17"/>
    </row>
    <row r="987">
      <c r="A987" s="17"/>
      <c r="B987" s="17"/>
      <c r="C987" s="17"/>
      <c r="D987" s="17"/>
      <c r="E987" s="17"/>
      <c r="F987" s="297"/>
      <c r="G987" s="17"/>
      <c r="H987" s="17"/>
      <c r="I987" s="17"/>
      <c r="J987" s="17"/>
      <c r="K987" s="17"/>
      <c r="L987" s="17"/>
      <c r="M987" s="17"/>
      <c r="N987" s="17"/>
      <c r="O987" s="17"/>
      <c r="P987" s="17"/>
      <c r="Q987" s="17"/>
      <c r="R987" s="17"/>
      <c r="S987" s="201"/>
      <c r="T987" s="201"/>
      <c r="U987" s="201"/>
      <c r="V987" s="201"/>
      <c r="W987" s="17"/>
      <c r="X987" s="17"/>
      <c r="Y987" s="17"/>
      <c r="Z987" s="17"/>
      <c r="AA987" s="17"/>
      <c r="AB987" s="17"/>
    </row>
    <row r="988">
      <c r="A988" s="298"/>
      <c r="B988" s="17"/>
      <c r="C988" s="17"/>
      <c r="D988" s="17"/>
      <c r="E988" s="17"/>
      <c r="F988" s="297"/>
      <c r="G988" s="17"/>
      <c r="H988" s="17"/>
      <c r="I988" s="17"/>
      <c r="J988" s="17"/>
      <c r="K988" s="17"/>
      <c r="L988" s="17"/>
      <c r="M988" s="17"/>
      <c r="N988" s="17"/>
      <c r="O988" s="17"/>
      <c r="P988" s="17"/>
      <c r="Q988" s="17"/>
      <c r="R988" s="17"/>
      <c r="S988" s="201"/>
      <c r="T988" s="201"/>
      <c r="U988" s="201"/>
      <c r="V988" s="201"/>
      <c r="W988" s="17"/>
      <c r="X988" s="17"/>
      <c r="Y988" s="17"/>
      <c r="Z988" s="17"/>
      <c r="AA988" s="17"/>
      <c r="AB988" s="17"/>
    </row>
    <row r="989">
      <c r="A989" s="299"/>
      <c r="B989" s="17"/>
      <c r="C989" s="17"/>
      <c r="D989" s="17"/>
      <c r="E989" s="17"/>
      <c r="F989" s="297"/>
      <c r="G989" s="17"/>
      <c r="H989" s="17"/>
      <c r="I989" s="17"/>
      <c r="J989" s="17"/>
      <c r="K989" s="17"/>
      <c r="L989" s="17"/>
      <c r="M989" s="17"/>
      <c r="N989" s="17"/>
      <c r="O989" s="17"/>
      <c r="P989" s="17"/>
      <c r="Q989" s="17"/>
      <c r="R989" s="17"/>
      <c r="S989" s="201"/>
      <c r="T989" s="201"/>
      <c r="U989" s="201"/>
      <c r="V989" s="201"/>
      <c r="W989" s="17"/>
      <c r="X989" s="17"/>
      <c r="Y989" s="17"/>
      <c r="Z989" s="17"/>
      <c r="AA989" s="17"/>
      <c r="AB989" s="17"/>
    </row>
    <row r="990">
      <c r="A990" s="299"/>
      <c r="B990" s="17"/>
      <c r="C990" s="17"/>
      <c r="D990" s="17"/>
      <c r="E990" s="17"/>
      <c r="F990" s="297"/>
      <c r="G990" s="17"/>
      <c r="H990" s="17"/>
      <c r="I990" s="17"/>
      <c r="J990" s="17"/>
      <c r="K990" s="17"/>
      <c r="L990" s="17"/>
      <c r="M990" s="17"/>
      <c r="N990" s="17"/>
      <c r="O990" s="17"/>
      <c r="P990" s="17"/>
      <c r="Q990" s="17"/>
      <c r="R990" s="17"/>
      <c r="S990" s="201"/>
      <c r="T990" s="201"/>
      <c r="U990" s="201"/>
      <c r="V990" s="201"/>
      <c r="W990" s="17"/>
      <c r="X990" s="17"/>
      <c r="Y990" s="17"/>
      <c r="Z990" s="17"/>
      <c r="AA990" s="17"/>
      <c r="AB990" s="17"/>
    </row>
    <row r="991">
      <c r="A991" s="299"/>
      <c r="B991" s="17"/>
      <c r="C991" s="17"/>
      <c r="D991" s="17"/>
      <c r="E991" s="17"/>
      <c r="F991" s="297"/>
      <c r="G991" s="17"/>
      <c r="H991" s="17"/>
      <c r="I991" s="17"/>
      <c r="J991" s="17"/>
      <c r="K991" s="17"/>
      <c r="L991" s="17"/>
      <c r="M991" s="17"/>
      <c r="N991" s="17"/>
      <c r="O991" s="17"/>
      <c r="P991" s="17"/>
      <c r="Q991" s="17"/>
      <c r="R991" s="17"/>
      <c r="S991" s="201"/>
      <c r="T991" s="201"/>
      <c r="U991" s="201"/>
      <c r="V991" s="201"/>
      <c r="W991" s="17"/>
      <c r="X991" s="17"/>
      <c r="Y991" s="17"/>
      <c r="Z991" s="17"/>
      <c r="AA991" s="17"/>
      <c r="AB991" s="17"/>
    </row>
    <row r="992">
      <c r="A992" s="299"/>
      <c r="B992" s="17"/>
      <c r="C992" s="17"/>
      <c r="D992" s="17"/>
      <c r="E992" s="17"/>
      <c r="F992" s="297"/>
      <c r="G992" s="17"/>
      <c r="H992" s="17"/>
      <c r="I992" s="17"/>
      <c r="J992" s="17"/>
      <c r="K992" s="17"/>
      <c r="L992" s="17"/>
      <c r="M992" s="17"/>
      <c r="N992" s="17"/>
      <c r="O992" s="17"/>
      <c r="P992" s="17"/>
      <c r="Q992" s="17"/>
      <c r="R992" s="17"/>
      <c r="S992" s="201"/>
      <c r="T992" s="201"/>
      <c r="U992" s="201"/>
      <c r="V992" s="201"/>
      <c r="W992" s="17"/>
      <c r="X992" s="17"/>
      <c r="Y992" s="17"/>
      <c r="Z992" s="17"/>
      <c r="AA992" s="17"/>
      <c r="AB992" s="17"/>
    </row>
    <row r="993">
      <c r="A993" s="299"/>
      <c r="B993" s="17"/>
      <c r="C993" s="17"/>
      <c r="D993" s="17"/>
      <c r="E993" s="17"/>
      <c r="F993" s="297"/>
      <c r="G993" s="17"/>
      <c r="H993" s="17"/>
      <c r="I993" s="17"/>
      <c r="J993" s="17"/>
      <c r="K993" s="17"/>
      <c r="L993" s="17"/>
      <c r="M993" s="17"/>
      <c r="N993" s="17"/>
      <c r="O993" s="17"/>
      <c r="P993" s="17"/>
      <c r="Q993" s="17"/>
      <c r="R993" s="17"/>
      <c r="S993" s="201"/>
      <c r="T993" s="201"/>
      <c r="U993" s="201"/>
      <c r="V993" s="201"/>
      <c r="W993" s="17"/>
      <c r="X993" s="17"/>
      <c r="Y993" s="17"/>
      <c r="Z993" s="17"/>
      <c r="AA993" s="17"/>
      <c r="AB993" s="17"/>
    </row>
    <row r="994">
      <c r="A994" s="299"/>
      <c r="B994" s="17"/>
      <c r="C994" s="17"/>
      <c r="D994" s="17"/>
      <c r="E994" s="17"/>
      <c r="F994" s="297"/>
      <c r="G994" s="17"/>
      <c r="H994" s="17"/>
      <c r="I994" s="17"/>
      <c r="J994" s="17"/>
      <c r="K994" s="17"/>
      <c r="L994" s="17"/>
      <c r="M994" s="17"/>
      <c r="N994" s="17"/>
      <c r="O994" s="17"/>
      <c r="P994" s="17"/>
      <c r="Q994" s="17"/>
      <c r="R994" s="17"/>
      <c r="S994" s="201"/>
      <c r="T994" s="201"/>
      <c r="U994" s="201"/>
      <c r="V994" s="201"/>
      <c r="W994" s="17"/>
      <c r="X994" s="17"/>
      <c r="Y994" s="17"/>
      <c r="Z994" s="17"/>
      <c r="AA994" s="17"/>
      <c r="AB994" s="17"/>
    </row>
    <row r="995">
      <c r="A995" s="299"/>
      <c r="B995" s="17"/>
      <c r="C995" s="17"/>
      <c r="D995" s="17"/>
      <c r="E995" s="17"/>
      <c r="F995" s="297"/>
      <c r="G995" s="17"/>
      <c r="H995" s="17"/>
      <c r="I995" s="17"/>
      <c r="J995" s="17"/>
      <c r="K995" s="17"/>
      <c r="L995" s="17"/>
      <c r="M995" s="17"/>
      <c r="N995" s="17"/>
      <c r="O995" s="17"/>
      <c r="P995" s="17"/>
      <c r="Q995" s="17"/>
      <c r="R995" s="17"/>
      <c r="S995" s="201"/>
      <c r="T995" s="201"/>
      <c r="U995" s="201"/>
      <c r="V995" s="201"/>
      <c r="W995" s="17"/>
      <c r="X995" s="17"/>
      <c r="Y995" s="17"/>
      <c r="Z995" s="17"/>
      <c r="AA995" s="17"/>
      <c r="AB995" s="17"/>
    </row>
    <row r="996">
      <c r="A996" s="299"/>
      <c r="B996" s="17"/>
      <c r="C996" s="17"/>
      <c r="D996" s="17"/>
      <c r="E996" s="17"/>
      <c r="F996" s="297"/>
      <c r="G996" s="17"/>
      <c r="H996" s="17"/>
      <c r="I996" s="17"/>
      <c r="J996" s="17"/>
      <c r="K996" s="17"/>
      <c r="L996" s="17"/>
      <c r="M996" s="17"/>
      <c r="N996" s="17"/>
      <c r="O996" s="17"/>
      <c r="P996" s="17"/>
      <c r="Q996" s="17"/>
      <c r="R996" s="17"/>
      <c r="S996" s="201"/>
      <c r="T996" s="201"/>
      <c r="U996" s="201"/>
      <c r="V996" s="201"/>
      <c r="W996" s="17"/>
      <c r="X996" s="17"/>
      <c r="Y996" s="17"/>
      <c r="Z996" s="17"/>
      <c r="AA996" s="17"/>
      <c r="AB996" s="17"/>
    </row>
    <row r="997">
      <c r="A997" s="299"/>
      <c r="B997" s="17"/>
      <c r="C997" s="17"/>
      <c r="D997" s="17"/>
      <c r="E997" s="17"/>
      <c r="F997" s="297"/>
      <c r="G997" s="17"/>
      <c r="H997" s="17"/>
      <c r="I997" s="17"/>
      <c r="J997" s="17"/>
      <c r="K997" s="17"/>
      <c r="L997" s="17"/>
      <c r="M997" s="17"/>
      <c r="N997" s="17"/>
      <c r="O997" s="17"/>
      <c r="P997" s="17"/>
      <c r="Q997" s="17"/>
      <c r="R997" s="17"/>
      <c r="S997" s="201"/>
      <c r="T997" s="201"/>
      <c r="U997" s="201"/>
      <c r="V997" s="201"/>
      <c r="W997" s="17"/>
      <c r="X997" s="17"/>
      <c r="Y997" s="17"/>
      <c r="Z997" s="17"/>
      <c r="AA997" s="17"/>
      <c r="AB997" s="17"/>
    </row>
    <row r="998">
      <c r="A998" s="299"/>
      <c r="B998" s="17"/>
      <c r="C998" s="17"/>
      <c r="D998" s="17"/>
      <c r="E998" s="17"/>
      <c r="F998" s="297"/>
      <c r="G998" s="17"/>
      <c r="H998" s="17"/>
      <c r="I998" s="17"/>
      <c r="J998" s="17"/>
      <c r="K998" s="17"/>
      <c r="L998" s="17"/>
      <c r="M998" s="17"/>
      <c r="N998" s="17"/>
      <c r="O998" s="17"/>
      <c r="P998" s="17"/>
      <c r="Q998" s="17"/>
      <c r="R998" s="17"/>
      <c r="S998" s="201"/>
      <c r="T998" s="201"/>
      <c r="U998" s="201"/>
      <c r="V998" s="201"/>
      <c r="W998" s="17"/>
      <c r="X998" s="17"/>
      <c r="Y998" s="17"/>
      <c r="Z998" s="17"/>
      <c r="AA998" s="17"/>
      <c r="AB998" s="17"/>
    </row>
    <row r="999">
      <c r="A999" s="299"/>
      <c r="B999" s="17"/>
      <c r="C999" s="17"/>
      <c r="D999" s="17"/>
      <c r="E999" s="17"/>
      <c r="F999" s="297"/>
      <c r="G999" s="17"/>
      <c r="H999" s="17"/>
      <c r="I999" s="17"/>
      <c r="J999" s="17"/>
      <c r="K999" s="17"/>
      <c r="L999" s="17"/>
      <c r="M999" s="17"/>
      <c r="N999" s="17"/>
      <c r="O999" s="17"/>
      <c r="P999" s="17"/>
      <c r="Q999" s="17"/>
      <c r="R999" s="17"/>
      <c r="S999" s="201"/>
      <c r="T999" s="201"/>
      <c r="U999" s="201"/>
      <c r="V999" s="201"/>
      <c r="W999" s="17"/>
      <c r="X999" s="17"/>
      <c r="Y999" s="17"/>
      <c r="Z999" s="17"/>
      <c r="AA999" s="17"/>
      <c r="AB999" s="17"/>
    </row>
    <row r="1000">
      <c r="A1000" s="299"/>
      <c r="B1000" s="17"/>
      <c r="C1000" s="17"/>
      <c r="D1000" s="17"/>
      <c r="E1000" s="17"/>
      <c r="F1000" s="297"/>
      <c r="G1000" s="17"/>
      <c r="H1000" s="17"/>
      <c r="I1000" s="17"/>
      <c r="J1000" s="17"/>
      <c r="K1000" s="17"/>
      <c r="L1000" s="17"/>
      <c r="M1000" s="17"/>
      <c r="N1000" s="17"/>
      <c r="O1000" s="17"/>
      <c r="P1000" s="17"/>
      <c r="Q1000" s="17"/>
      <c r="R1000" s="17"/>
      <c r="S1000" s="201"/>
      <c r="T1000" s="201"/>
      <c r="U1000" s="201"/>
      <c r="V1000" s="201"/>
      <c r="W1000" s="17"/>
      <c r="X1000" s="17"/>
      <c r="Y1000" s="17"/>
      <c r="Z1000" s="17"/>
      <c r="AA1000" s="17"/>
      <c r="AB1000" s="17"/>
    </row>
    <row r="1001">
      <c r="A1001" s="299"/>
      <c r="B1001" s="17"/>
      <c r="C1001" s="17"/>
      <c r="D1001" s="17"/>
      <c r="E1001" s="17"/>
      <c r="F1001" s="297"/>
      <c r="G1001" s="17"/>
      <c r="H1001" s="17"/>
      <c r="I1001" s="17"/>
      <c r="J1001" s="17"/>
      <c r="K1001" s="17"/>
      <c r="L1001" s="17"/>
      <c r="M1001" s="17"/>
      <c r="N1001" s="17"/>
      <c r="O1001" s="17"/>
      <c r="P1001" s="17"/>
      <c r="Q1001" s="17"/>
      <c r="R1001" s="17"/>
      <c r="S1001" s="201"/>
      <c r="T1001" s="201"/>
      <c r="U1001" s="201"/>
      <c r="V1001" s="201"/>
      <c r="W1001" s="17"/>
      <c r="X1001" s="17"/>
      <c r="Y1001" s="17"/>
      <c r="Z1001" s="17"/>
      <c r="AA1001" s="17"/>
      <c r="AB1001" s="17"/>
    </row>
    <row r="1002">
      <c r="A1002" s="299"/>
      <c r="B1002" s="17"/>
      <c r="C1002" s="17"/>
      <c r="D1002" s="17"/>
      <c r="E1002" s="17"/>
      <c r="F1002" s="297"/>
      <c r="G1002" s="17"/>
      <c r="H1002" s="17"/>
      <c r="I1002" s="17"/>
      <c r="J1002" s="17"/>
      <c r="K1002" s="17"/>
      <c r="L1002" s="17"/>
      <c r="M1002" s="17"/>
      <c r="N1002" s="17"/>
      <c r="O1002" s="17"/>
      <c r="P1002" s="17"/>
      <c r="Q1002" s="17"/>
      <c r="R1002" s="17"/>
      <c r="S1002" s="201"/>
      <c r="T1002" s="201"/>
      <c r="U1002" s="201"/>
      <c r="V1002" s="201"/>
      <c r="W1002" s="17"/>
      <c r="X1002" s="17"/>
      <c r="Y1002" s="17"/>
      <c r="Z1002" s="17"/>
      <c r="AA1002" s="17"/>
      <c r="AB1002" s="17"/>
    </row>
    <row r="1003">
      <c r="A1003" s="299"/>
      <c r="B1003" s="17"/>
      <c r="C1003" s="17"/>
      <c r="D1003" s="17"/>
      <c r="E1003" s="17"/>
      <c r="F1003" s="297"/>
      <c r="G1003" s="17"/>
      <c r="H1003" s="17"/>
      <c r="I1003" s="17"/>
      <c r="J1003" s="17"/>
      <c r="K1003" s="17"/>
      <c r="L1003" s="17"/>
      <c r="M1003" s="17"/>
      <c r="N1003" s="17"/>
      <c r="O1003" s="17"/>
      <c r="P1003" s="17"/>
      <c r="Q1003" s="17"/>
      <c r="R1003" s="17"/>
      <c r="S1003" s="201"/>
      <c r="T1003" s="201"/>
      <c r="U1003" s="201"/>
      <c r="V1003" s="201"/>
      <c r="W1003" s="17"/>
      <c r="X1003" s="17"/>
      <c r="Y1003" s="17"/>
      <c r="Z1003" s="17"/>
      <c r="AA1003" s="17"/>
      <c r="AB1003" s="17"/>
    </row>
    <row r="1004">
      <c r="A1004" s="299"/>
      <c r="B1004" s="17"/>
      <c r="C1004" s="17"/>
      <c r="D1004" s="17"/>
      <c r="E1004" s="17"/>
      <c r="F1004" s="297"/>
      <c r="G1004" s="17"/>
      <c r="H1004" s="17"/>
      <c r="I1004" s="17"/>
      <c r="J1004" s="17"/>
      <c r="K1004" s="17"/>
      <c r="L1004" s="17"/>
      <c r="M1004" s="17"/>
      <c r="N1004" s="17"/>
      <c r="O1004" s="17"/>
      <c r="P1004" s="17"/>
      <c r="Q1004" s="17"/>
      <c r="R1004" s="17"/>
      <c r="S1004" s="201"/>
      <c r="T1004" s="201"/>
      <c r="U1004" s="201"/>
      <c r="V1004" s="201"/>
      <c r="W1004" s="17"/>
      <c r="X1004" s="17"/>
      <c r="Y1004" s="17"/>
      <c r="Z1004" s="17"/>
      <c r="AA1004" s="17"/>
      <c r="AB1004" s="17"/>
    </row>
    <row r="1005">
      <c r="A1005" s="299"/>
      <c r="B1005" s="17"/>
      <c r="C1005" s="17"/>
      <c r="D1005" s="17"/>
      <c r="E1005" s="17"/>
      <c r="F1005" s="297"/>
      <c r="G1005" s="17"/>
      <c r="H1005" s="17"/>
      <c r="I1005" s="17"/>
      <c r="J1005" s="17"/>
      <c r="K1005" s="17"/>
      <c r="L1005" s="17"/>
      <c r="M1005" s="17"/>
      <c r="N1005" s="17"/>
      <c r="O1005" s="17"/>
      <c r="P1005" s="17"/>
      <c r="Q1005" s="17"/>
      <c r="R1005" s="17"/>
      <c r="S1005" s="201"/>
      <c r="T1005" s="201"/>
      <c r="U1005" s="201"/>
      <c r="V1005" s="201"/>
      <c r="W1005" s="17"/>
      <c r="X1005" s="17"/>
      <c r="Y1005" s="17"/>
      <c r="Z1005" s="17"/>
      <c r="AA1005" s="17"/>
      <c r="AB1005" s="17"/>
    </row>
    <row r="1006">
      <c r="A1006" s="299"/>
      <c r="B1006" s="17"/>
      <c r="C1006" s="17"/>
      <c r="D1006" s="17"/>
      <c r="E1006" s="17"/>
      <c r="F1006" s="29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row>
    <row r="1007">
      <c r="A1007" s="299"/>
      <c r="B1007" s="17"/>
      <c r="C1007" s="17"/>
      <c r="D1007" s="17"/>
      <c r="E1007" s="17"/>
      <c r="F1007" s="29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row>
    <row r="1008">
      <c r="A1008" s="299"/>
      <c r="B1008" s="17"/>
      <c r="C1008" s="17"/>
      <c r="D1008" s="17"/>
      <c r="E1008" s="17"/>
      <c r="F1008" s="29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row>
    <row r="1009">
      <c r="A1009" s="299"/>
      <c r="B1009" s="17"/>
      <c r="C1009" s="17"/>
      <c r="D1009" s="17"/>
      <c r="E1009" s="17"/>
      <c r="F1009" s="29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row>
    <row r="1010">
      <c r="A1010" s="299"/>
      <c r="B1010" s="17"/>
      <c r="C1010" s="17"/>
      <c r="D1010" s="17"/>
      <c r="E1010" s="17"/>
      <c r="F1010" s="29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row>
    <row r="1011">
      <c r="A1011" s="299"/>
      <c r="B1011" s="17"/>
      <c r="C1011" s="17"/>
      <c r="D1011" s="17"/>
      <c r="E1011" s="17"/>
      <c r="F1011" s="29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row>
    <row r="1012">
      <c r="A1012" s="299"/>
      <c r="B1012" s="17"/>
      <c r="C1012" s="17"/>
      <c r="D1012" s="17"/>
      <c r="E1012" s="17"/>
      <c r="F1012" s="29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row>
    <row r="1013">
      <c r="A1013" s="299"/>
      <c r="B1013" s="17"/>
      <c r="C1013" s="17"/>
      <c r="D1013" s="17"/>
      <c r="E1013" s="17"/>
      <c r="F1013" s="29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row>
    <row r="1014">
      <c r="A1014" s="299"/>
      <c r="B1014" s="17"/>
      <c r="C1014" s="17"/>
      <c r="D1014" s="17"/>
      <c r="E1014" s="17"/>
      <c r="F1014" s="29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row>
    <row r="1015">
      <c r="A1015" s="299"/>
      <c r="B1015" s="17"/>
      <c r="C1015" s="17"/>
      <c r="D1015" s="17"/>
      <c r="E1015" s="17"/>
      <c r="F1015" s="29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row>
    <row r="1016">
      <c r="A1016" s="299"/>
      <c r="B1016" s="17"/>
      <c r="C1016" s="17"/>
      <c r="D1016" s="17"/>
      <c r="E1016" s="17"/>
      <c r="F1016" s="29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row>
  </sheetData>
  <mergeCells count="25">
    <mergeCell ref="J3:M4"/>
    <mergeCell ref="N3:R4"/>
    <mergeCell ref="J5:M5"/>
    <mergeCell ref="N5:R5"/>
    <mergeCell ref="S5:V5"/>
    <mergeCell ref="A1:E2"/>
    <mergeCell ref="F1:I2"/>
    <mergeCell ref="J1:M2"/>
    <mergeCell ref="N1:R2"/>
    <mergeCell ref="S1:V2"/>
    <mergeCell ref="F3:I4"/>
    <mergeCell ref="S3:V4"/>
    <mergeCell ref="C10:C11"/>
    <mergeCell ref="A16:E16"/>
    <mergeCell ref="F16:I16"/>
    <mergeCell ref="J16:M16"/>
    <mergeCell ref="N16:R16"/>
    <mergeCell ref="S16:V16"/>
    <mergeCell ref="A3:E4"/>
    <mergeCell ref="A5:E5"/>
    <mergeCell ref="F5:I5"/>
    <mergeCell ref="G10:G11"/>
    <mergeCell ref="K10:K11"/>
    <mergeCell ref="P10:P11"/>
    <mergeCell ref="T10:T11"/>
  </mergeCells>
  <hyperlinks>
    <hyperlink r:id="rId1" ref="A3"/>
    <hyperlink r:id="rId2" ref="F3"/>
    <hyperlink r:id="rId3" ref="J3"/>
    <hyperlink r:id="rId4" ref="N3"/>
    <hyperlink r:id="rId5" ref="E6"/>
    <hyperlink r:id="rId6" ref="H6"/>
    <hyperlink r:id="rId7" ref="M6"/>
    <hyperlink r:id="rId8" ref="R6"/>
    <hyperlink r:id="rId9" ref="E7"/>
    <hyperlink r:id="rId10" ref="H7"/>
    <hyperlink r:id="rId11" ref="M7"/>
    <hyperlink r:id="rId12" ref="R7"/>
    <hyperlink r:id="rId13" ref="B8"/>
    <hyperlink r:id="rId14" ref="C8"/>
    <hyperlink r:id="rId15" ref="D8"/>
    <hyperlink r:id="rId16" ref="F8"/>
    <hyperlink r:id="rId17" ref="G8"/>
    <hyperlink r:id="rId18" ref="J8"/>
    <hyperlink r:id="rId19" ref="K8"/>
    <hyperlink r:id="rId20" ref="O8"/>
    <hyperlink r:id="rId21" ref="P8"/>
    <hyperlink r:id="rId22" ref="Q8"/>
    <hyperlink r:id="rId23" ref="B9"/>
    <hyperlink r:id="rId24" ref="C9"/>
    <hyperlink r:id="rId25" ref="E9"/>
    <hyperlink r:id="rId26" ref="F9"/>
    <hyperlink r:id="rId27" ref="G9"/>
    <hyperlink r:id="rId28" ref="H9"/>
    <hyperlink r:id="rId29" ref="J9"/>
    <hyperlink r:id="rId30" ref="K9"/>
    <hyperlink r:id="rId31" ref="M9"/>
    <hyperlink r:id="rId32" ref="O9"/>
    <hyperlink r:id="rId33" ref="P9"/>
    <hyperlink r:id="rId34" ref="R9"/>
    <hyperlink r:id="rId35" ref="B10"/>
    <hyperlink r:id="rId36" ref="C10"/>
    <hyperlink r:id="rId37" ref="D10"/>
    <hyperlink r:id="rId38" ref="E10"/>
    <hyperlink r:id="rId39" ref="F10"/>
    <hyperlink r:id="rId40" ref="G10"/>
    <hyperlink r:id="rId41" ref="H10"/>
    <hyperlink r:id="rId42" ref="J10"/>
    <hyperlink r:id="rId43" ref="K10"/>
    <hyperlink r:id="rId44" ref="L10"/>
    <hyperlink r:id="rId45" ref="M10"/>
    <hyperlink r:id="rId46" ref="O10"/>
    <hyperlink r:id="rId47" ref="P10"/>
    <hyperlink r:id="rId48" ref="Q10"/>
    <hyperlink r:id="rId49" ref="R10"/>
    <hyperlink r:id="rId50" ref="B11"/>
    <hyperlink r:id="rId51" ref="D11"/>
    <hyperlink r:id="rId52" ref="E11"/>
    <hyperlink r:id="rId53" ref="F11"/>
    <hyperlink r:id="rId54" ref="H11"/>
    <hyperlink r:id="rId55" ref="I11"/>
    <hyperlink r:id="rId56" ref="J11"/>
    <hyperlink r:id="rId57" ref="L11"/>
    <hyperlink r:id="rId58" ref="M11"/>
    <hyperlink r:id="rId59" ref="O11"/>
    <hyperlink r:id="rId60" ref="Q11"/>
    <hyperlink r:id="rId61" ref="R11"/>
    <hyperlink r:id="rId62" ref="B12"/>
    <hyperlink r:id="rId63" ref="D12"/>
    <hyperlink r:id="rId64" ref="E12"/>
    <hyperlink r:id="rId65" ref="F12"/>
    <hyperlink r:id="rId66" ref="J12"/>
    <hyperlink r:id="rId67" ref="M12"/>
    <hyperlink r:id="rId68" ref="O12"/>
    <hyperlink r:id="rId69" ref="Q12"/>
    <hyperlink r:id="rId70" ref="R12"/>
    <hyperlink r:id="rId71" ref="B13"/>
    <hyperlink r:id="rId72" ref="D13"/>
    <hyperlink r:id="rId73" ref="J13"/>
    <hyperlink r:id="rId74" ref="O13"/>
    <hyperlink r:id="rId75" ref="Q13"/>
    <hyperlink r:id="rId76" ref="B14"/>
    <hyperlink r:id="rId77" ref="J14"/>
    <hyperlink r:id="rId78" ref="O14"/>
    <hyperlink r:id="rId79" ref="B15"/>
    <hyperlink r:id="rId80" ref="J15"/>
    <hyperlink r:id="rId81" ref="O15"/>
    <hyperlink r:id="rId82" ref="C17"/>
    <hyperlink r:id="rId83" ref="G17"/>
    <hyperlink r:id="rId84" ref="K17"/>
    <hyperlink r:id="rId85" ref="P17"/>
    <hyperlink r:id="rId86" ref="B18"/>
    <hyperlink r:id="rId87" ref="C18"/>
    <hyperlink r:id="rId88" ref="F18"/>
    <hyperlink r:id="rId89" ref="G18"/>
    <hyperlink r:id="rId90" ref="J18"/>
    <hyperlink r:id="rId91" ref="K18"/>
    <hyperlink r:id="rId92" ref="O18"/>
    <hyperlink r:id="rId93" ref="P18"/>
    <hyperlink r:id="rId94" ref="C19"/>
    <hyperlink r:id="rId95" ref="G19"/>
    <hyperlink r:id="rId96" ref="K19"/>
    <hyperlink r:id="rId97" ref="P19"/>
    <hyperlink r:id="rId98" ref="C20"/>
    <hyperlink r:id="rId99" ref="D20"/>
    <hyperlink r:id="rId100" ref="G20"/>
    <hyperlink r:id="rId101" ref="H20"/>
    <hyperlink r:id="rId102" ref="K20"/>
    <hyperlink r:id="rId103" ref="L20"/>
    <hyperlink r:id="rId104" ref="P20"/>
    <hyperlink r:id="rId105" ref="Q20"/>
    <hyperlink r:id="rId106" ref="C21"/>
    <hyperlink r:id="rId107" ref="G21"/>
    <hyperlink r:id="rId108" ref="K21"/>
    <hyperlink r:id="rId109" ref="P21"/>
  </hyperlinks>
  <drawing r:id="rId1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4" width="16.75"/>
    <col customWidth="1" min="5" max="5" width="34.5"/>
    <col customWidth="1" min="6" max="6" width="19.5"/>
    <col customWidth="1" min="7" max="7" width="16.75"/>
    <col customWidth="1" min="8" max="8" width="37.88"/>
    <col customWidth="1" min="9" max="9" width="19.5"/>
    <col customWidth="1" min="10" max="10" width="16.75"/>
    <col customWidth="1" min="11" max="11" width="34.75"/>
    <col customWidth="1" min="12" max="12" width="19.88"/>
    <col customWidth="1" min="14" max="14" width="34.75"/>
    <col customWidth="1" min="15" max="15" width="19.88"/>
    <col customWidth="1" min="17" max="17" width="34.75"/>
    <col customWidth="1" min="18" max="18" width="19.88"/>
    <col customWidth="1" min="20" max="20" width="34.75"/>
    <col customWidth="1" min="21" max="21" width="19.88"/>
    <col customWidth="1" min="23" max="23" width="34.75"/>
    <col customWidth="1" min="24" max="24" width="19.88"/>
    <col customWidth="1" min="26" max="26" width="34.5"/>
    <col customWidth="1" min="27" max="27" width="19.5"/>
  </cols>
  <sheetData>
    <row r="1" ht="41.25" customHeight="1">
      <c r="A1" s="57" t="s">
        <v>213</v>
      </c>
      <c r="D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G1" s="57" t="s">
        <v>214</v>
      </c>
      <c r="J1" s="57"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M1" s="300"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P1" s="300"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S1" s="300"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V1" s="300"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Y1" s="301" t="s">
        <v>3850</v>
      </c>
      <c r="AB1" s="302"/>
      <c r="AC1" s="302"/>
      <c r="AD1" s="302"/>
      <c r="AE1" s="302"/>
    </row>
    <row r="2" ht="41.25" customHeight="1">
      <c r="AB2" s="302"/>
      <c r="AC2" s="302"/>
      <c r="AD2" s="302"/>
      <c r="AE2" s="302"/>
    </row>
    <row r="3" ht="88.5" customHeight="1">
      <c r="A3" s="70" t="s">
        <v>3851</v>
      </c>
      <c r="B3" s="303" t="s">
        <v>3852</v>
      </c>
      <c r="C3" s="304" t="s">
        <v>3853</v>
      </c>
      <c r="D3" s="67" t="str">
        <f>IFERROR(__xludf.DUMMYFUNCTION("GOOGLETRANSLATE(A3,""zh-tw"",""ja"")"),"プロジェクト")</f>
        <v>プロジェクト</v>
      </c>
      <c r="E3" s="305" t="str">
        <f>IFERROR(__xludf.DUMMYFUNCTION("GOOGLETRANSLATE(B3,""zh-tw"",""ja"")"),"スペシャルドロップ
追記：一般ドロップは含まれません
（汎用の白・青品質装備と消耗品）")</f>
        <v>スペシャルドロップ
追記：一般ドロップは含まれません
（汎用の白・青品質装備と消耗品）</v>
      </c>
      <c r="F3" s="306" t="str">
        <f>IFERROR(__xludf.DUMMYFUNCTION("GOOGLETRANSLATE(C3,""zh-tw"",""ja"")"),"述べる")</f>
        <v>述べる</v>
      </c>
      <c r="G3" s="70" t="s">
        <v>3854</v>
      </c>
      <c r="H3" s="303" t="s">
        <v>3855</v>
      </c>
      <c r="I3" s="306" t="str">
        <f>IFERROR(__xludf.DUMMYFUNCTION("GOOGLETRANSLATE(C3,""zh-tw"",""en"")"),"Remark")</f>
        <v>Remark</v>
      </c>
      <c r="J3" s="67" t="str">
        <f>IFERROR(__xludf.DUMMYFUNCTION("GOOGLETRANSLATE(A3,""zh-tw"",""zh"")"),"项目")</f>
        <v>项目</v>
      </c>
      <c r="K3" s="305" t="str">
        <f>IFERROR(__xludf.DUMMYFUNCTION("GOOGLETRANSLATE(B3,""zh-tw"",""zh"")"),"特殊掉落
P.S.通用掉落物不列入
(泛用型白.蓝品质装备和消耗道具)")</f>
        <v>特殊掉落
P.S.通用掉落物不列入
(泛用型白.蓝品质装备和消耗道具)</v>
      </c>
      <c r="L3" s="306" t="str">
        <f>IFERROR(__xludf.DUMMYFUNCTION("GOOGLETRANSLATE(C3,""zh-tw"",""zh"")"),"备注")</f>
        <v>备注</v>
      </c>
      <c r="M3" s="307" t="str">
        <f>IFERROR(__xludf.DUMMYFUNCTION("GOOGLETRANSLATE(A3,""zh-tw"",""es-MX"")"),"proyecto")</f>
        <v>proyecto</v>
      </c>
      <c r="N3" s="308" t="str">
        <f>IFERROR(__xludf.DUMMYFUNCTION("GOOGLETRANSLATE(B3,""zh-tw"",""es-MX"")"),"Objetos especiales
Nota: Los objetos generales no están incluidos.
(Equipamiento y consumibles de calidad blanca y azul de uso general)")</f>
        <v>Objetos especiales
Nota: Los objetos generales no están incluidos.
(Equipamiento y consumibles de calidad blanca y azul de uso general)</v>
      </c>
      <c r="O3" s="309" t="str">
        <f>IFERROR(__xludf.DUMMYFUNCTION("GOOGLETRANSLATE(C3,""zh-tw"",""es-MX"")"),"Observación")</f>
        <v>Observación</v>
      </c>
      <c r="P3" s="307" t="str">
        <f>IFERROR(__xludf.DUMMYFUNCTION("GOOGLETRANSLATE(A3,""zh-tw"",""KO"")"),"프로젝트")</f>
        <v>프로젝트</v>
      </c>
      <c r="Q3" s="305" t="str">
        <f>IFERROR(__xludf.DUMMYFUNCTION("GOOGLETRANSLATE(B3,""zh-tw"",""KO"")"),"특별 드롭
추신: 일반 드롭은 포함되지 않습니다.
(일반용 흰색 및 파란색 고급 장비 및 소모품)")</f>
        <v>특별 드롭
추신: 일반 드롭은 포함되지 않습니다.
(일반용 흰색 및 파란색 고급 장비 및 소모품)</v>
      </c>
      <c r="R3" s="309" t="str">
        <f>IFERROR(__xludf.DUMMYFUNCTION("GOOGLETRANSLATE(C3,""zh-tw"",""KO"")"),"주목")</f>
        <v>주목</v>
      </c>
      <c r="S3" s="307" t="str">
        <f>IFERROR(__xludf.DUMMYFUNCTION("GOOGLETRANSLATE(A3,""zh-tw"",""ru"")"),"проект")</f>
        <v>проект</v>
      </c>
      <c r="T3" s="34" t="str">
        <f>IFERROR(__xludf.DUMMYFUNCTION("GOOGLETRANSLATE(B3,""zh-tw"",""ru"")"),"Специальные товары
P.S. Обычные товары не включены
(Оборудование и расходные материалы общего назначения белого и синего цвета)")</f>
        <v>Специальные товары
P.S. Обычные товары не включены
(Оборудование и расходные материалы общего назначения белого и синего цвета)</v>
      </c>
      <c r="U3" s="309" t="str">
        <f>IFERROR(__xludf.DUMMYFUNCTION("GOOGLETRANSLATE(C3,""zh-tw"",""ru"")"),"Замечание")</f>
        <v>Замечание</v>
      </c>
      <c r="V3" s="310" t="s">
        <v>3856</v>
      </c>
      <c r="W3" s="14" t="s">
        <v>3857</v>
      </c>
      <c r="X3" s="311" t="s">
        <v>3858</v>
      </c>
      <c r="Y3" s="146" t="s">
        <v>3859</v>
      </c>
      <c r="Z3" s="312" t="s">
        <v>3860</v>
      </c>
      <c r="AA3" s="313" t="s">
        <v>3861</v>
      </c>
      <c r="AB3" s="314"/>
      <c r="AC3" s="314"/>
      <c r="AD3" s="314"/>
      <c r="AE3" s="314"/>
    </row>
    <row r="4">
      <c r="A4" s="149" t="s">
        <v>3862</v>
      </c>
      <c r="B4" s="163" t="s">
        <v>3863</v>
      </c>
      <c r="C4" s="315" t="s">
        <v>724</v>
      </c>
      <c r="D4" s="316" t="str">
        <f>IFERROR(__xludf.DUMMYFUNCTION("GOOGLETRANSLATE(A4,""zh-tw"",""ja"")"),"バナナの妖精")</f>
        <v>バナナの妖精</v>
      </c>
      <c r="E4" s="317" t="str">
        <f>IFERROR(__xludf.DUMMYFUNCTION("GOOGLETRANSLATE(B4,""zh-tw"",""ja"")"),"バナナの妖精/バナナ？")</f>
        <v>バナナの妖精/バナナ？</v>
      </c>
      <c r="F4" s="318" t="str">
        <f>IFERROR(__xludf.DUMMYFUNCTION("GOOGLETRANSLATE(C4,""zh-tw"",""ja"")"),"-")</f>
        <v>-</v>
      </c>
      <c r="G4" s="175" t="s">
        <v>3864</v>
      </c>
      <c r="H4" s="319" t="s">
        <v>3865</v>
      </c>
      <c r="I4" s="318" t="str">
        <f>IFERROR(__xludf.DUMMYFUNCTION("GOOGLETRANSLATE(C4,""zh-tw"",""en"")"),"-")</f>
        <v>-</v>
      </c>
      <c r="J4" s="316" t="str">
        <f>IFERROR(__xludf.DUMMYFUNCTION("GOOGLETRANSLATE(A4,""zh-tw"",""zh"")"),"香蕉妖精")</f>
        <v>香蕉妖精</v>
      </c>
      <c r="K4" s="317" t="str">
        <f>IFERROR(__xludf.DUMMYFUNCTION("GOOGLETRANSLATE(B4,""zh-tw"",""zh"")"),"香蕉妖精/香蕉?")</f>
        <v>香蕉妖精/香蕉?</v>
      </c>
      <c r="L4" s="318" t="str">
        <f>IFERROR(__xludf.DUMMYFUNCTION("GOOGLETRANSLATE(C4,""zh-tw"",""zh"")"),"-")</f>
        <v>-</v>
      </c>
      <c r="M4" s="150" t="str">
        <f>IFERROR(__xludf.DUMMYFUNCTION("GOOGLETRANSLATE(A4,""zh-tw"",""es-MX"")"),"Hada del plátano")</f>
        <v>Hada del plátano</v>
      </c>
      <c r="N4" s="164" t="str">
        <f>IFERROR(__xludf.DUMMYFUNCTION("GOOGLETRANSLATE(B4,""zh-tw"",""es-MX"")"),"Hada del plátano/¿Plátano?")</f>
        <v>Hada del plátano/¿Plátano?</v>
      </c>
      <c r="O4" s="320" t="str">
        <f>IFERROR(__xludf.DUMMYFUNCTION("GOOGLETRANSLATE(C4,""zh-tw"",""es-MX"")"),"-")</f>
        <v>-</v>
      </c>
      <c r="P4" s="150" t="str">
        <f>IFERROR(__xludf.DUMMYFUNCTION("GOOGLETRANSLATE(A4,""zh-tw"",""KO"")"),"바나나 요정")</f>
        <v>바나나 요정</v>
      </c>
      <c r="Q4" s="164" t="str">
        <f>IFERROR(__xludf.DUMMYFUNCTION("GOOGLETRANSLATE(B4,""zh-tw"",""KO"")"),"바나나 요정/바나나?")</f>
        <v>바나나 요정/바나나?</v>
      </c>
      <c r="R4" s="320" t="str">
        <f>IFERROR(__xludf.DUMMYFUNCTION("GOOGLETRANSLATE(C4,""zh-tw"",""KO"")"),"-")</f>
        <v>-</v>
      </c>
      <c r="S4" s="316" t="str">
        <f>IFERROR(__xludf.DUMMYFUNCTION("GOOGLETRANSLATE(A4,""zh-tw"",""ru"")"),"Банановая фея")</f>
        <v>Банановая фея</v>
      </c>
      <c r="T4" s="317" t="str">
        <f>IFERROR(__xludf.DUMMYFUNCTION("GOOGLETRANSLATE(B4,""zh-tw"",""ru"")"),"Банановая Фея/Банан?")</f>
        <v>Банановая Фея/Банан?</v>
      </c>
      <c r="U4" s="318" t="str">
        <f>IFERROR(__xludf.DUMMYFUNCTION("GOOGLETRANSLATE(C4,""zh-tw"",""ru"")"),"-")</f>
        <v>-</v>
      </c>
      <c r="V4" s="175" t="s">
        <v>3866</v>
      </c>
      <c r="W4" s="319" t="s">
        <v>3867</v>
      </c>
      <c r="X4" s="321" t="s">
        <v>3868</v>
      </c>
      <c r="Y4" s="156" t="s">
        <v>3869</v>
      </c>
      <c r="Z4" s="166" t="s">
        <v>3870</v>
      </c>
      <c r="AA4" s="322" t="s">
        <v>724</v>
      </c>
      <c r="AB4" s="17"/>
      <c r="AC4" s="17"/>
      <c r="AD4" s="17"/>
      <c r="AE4" s="17"/>
    </row>
    <row r="5">
      <c r="A5" s="149" t="s">
        <v>3871</v>
      </c>
      <c r="B5" s="163" t="s">
        <v>3872</v>
      </c>
      <c r="C5" s="315" t="s">
        <v>724</v>
      </c>
      <c r="D5" s="316" t="str">
        <f>IFERROR(__xludf.DUMMYFUNCTION("GOOGLETRANSLATE(A5,""zh-tw"",""ja"")"),"リンゴの妖精")</f>
        <v>リンゴの妖精</v>
      </c>
      <c r="E5" s="317" t="str">
        <f>IFERROR(__xludf.DUMMYFUNCTION("GOOGLETRANSLATE(B5,""zh-tw"",""ja"")"),"リンゴの妖精/リンゴのヘッドギア")</f>
        <v>リンゴの妖精/リンゴのヘッドギア</v>
      </c>
      <c r="F5" s="318" t="str">
        <f>IFERROR(__xludf.DUMMYFUNCTION("GOOGLETRANSLATE(C5,""zh-tw"",""ja"")"),"-")</f>
        <v>-</v>
      </c>
      <c r="G5" s="175" t="s">
        <v>3873</v>
      </c>
      <c r="H5" s="319" t="s">
        <v>3874</v>
      </c>
      <c r="I5" s="318" t="str">
        <f>IFERROR(__xludf.DUMMYFUNCTION("GOOGLETRANSLATE(C5,""zh-tw"",""en"")"),"-")</f>
        <v>-</v>
      </c>
      <c r="J5" s="316" t="str">
        <f>IFERROR(__xludf.DUMMYFUNCTION("GOOGLETRANSLATE(A5,""zh-tw"",""zh"")"),"苹果妖精")</f>
        <v>苹果妖精</v>
      </c>
      <c r="K5" s="317" t="str">
        <f>IFERROR(__xludf.DUMMYFUNCTION("GOOGLETRANSLATE(B5,""zh-tw"",""zh"")"),"苹果妖精/苹果头套")</f>
        <v>苹果妖精/苹果头套</v>
      </c>
      <c r="L5" s="318" t="str">
        <f>IFERROR(__xludf.DUMMYFUNCTION("GOOGLETRANSLATE(C5,""zh-tw"",""zh"")"),"-")</f>
        <v>-</v>
      </c>
      <c r="M5" s="150" t="str">
        <f>IFERROR(__xludf.DUMMYFUNCTION("GOOGLETRANSLATE(A5,""zh-tw"",""es-MX"")"),"Hada de la manzana")</f>
        <v>Hada de la manzana</v>
      </c>
      <c r="N5" s="164" t="str">
        <f>IFERROR(__xludf.DUMMYFUNCTION("GOOGLETRANSLATE(B5,""zh-tw"",""es-MX"")"),"Hada de la manzana/Tocado de manzana")</f>
        <v>Hada de la manzana/Tocado de manzana</v>
      </c>
      <c r="O5" s="320" t="str">
        <f>IFERROR(__xludf.DUMMYFUNCTION("GOOGLETRANSLATE(C5,""zh-tw"",""es-MX"")"),"-")</f>
        <v>-</v>
      </c>
      <c r="P5" s="149" t="s">
        <v>3875</v>
      </c>
      <c r="Q5" s="163" t="s">
        <v>3876</v>
      </c>
      <c r="R5" s="320" t="str">
        <f>IFERROR(__xludf.DUMMYFUNCTION("GOOGLETRANSLATE(C5,""zh-tw"",""KO"")"),"-")</f>
        <v>-</v>
      </c>
      <c r="S5" s="316" t="str">
        <f>IFERROR(__xludf.DUMMYFUNCTION("GOOGLETRANSLATE(A5,""zh-tw"",""ru"")"),"Яблочная Фея")</f>
        <v>Яблочная Фея</v>
      </c>
      <c r="T5" s="317" t="str">
        <f>IFERROR(__xludf.DUMMYFUNCTION("GOOGLETRANSLATE(B5,""zh-tw"",""ru"")"),"Яблочная Фея/Головной убор Яблока")</f>
        <v>Яблочная Фея/Головной убор Яблока</v>
      </c>
      <c r="U5" s="318" t="str">
        <f>IFERROR(__xludf.DUMMYFUNCTION("GOOGLETRANSLATE(C5,""zh-tw"",""ru"")"),"-")</f>
        <v>-</v>
      </c>
      <c r="V5" s="175" t="s">
        <v>3877</v>
      </c>
      <c r="W5" s="319" t="s">
        <v>3878</v>
      </c>
      <c r="X5" s="321" t="s">
        <v>3868</v>
      </c>
      <c r="Y5" s="156" t="s">
        <v>3879</v>
      </c>
      <c r="Z5" s="166" t="s">
        <v>3880</v>
      </c>
      <c r="AA5" s="322" t="s">
        <v>724</v>
      </c>
      <c r="AB5" s="17"/>
      <c r="AC5" s="17"/>
      <c r="AD5" s="17"/>
      <c r="AE5" s="17"/>
    </row>
    <row r="6">
      <c r="A6" s="149" t="s">
        <v>3881</v>
      </c>
      <c r="B6" s="163" t="s">
        <v>3882</v>
      </c>
      <c r="C6" s="315" t="s">
        <v>724</v>
      </c>
      <c r="D6" s="316" t="str">
        <f>IFERROR(__xludf.DUMMYFUNCTION("GOOGLETRANSLATE(A6,""zh-tw"",""ja"")"),"猫スライム")</f>
        <v>猫スライム</v>
      </c>
      <c r="E6" s="319" t="s">
        <v>3883</v>
      </c>
      <c r="F6" s="318" t="str">
        <f>IFERROR(__xludf.DUMMYFUNCTION("GOOGLETRANSLATE(C6,""zh-tw"",""ja"")"),"-")</f>
        <v>-</v>
      </c>
      <c r="G6" s="175" t="s">
        <v>3884</v>
      </c>
      <c r="H6" s="319" t="s">
        <v>3885</v>
      </c>
      <c r="I6" s="318" t="str">
        <f>IFERROR(__xludf.DUMMYFUNCTION("GOOGLETRANSLATE(C6,""zh-tw"",""en"")"),"-")</f>
        <v>-</v>
      </c>
      <c r="J6" s="316" t="str">
        <f>IFERROR(__xludf.DUMMYFUNCTION("GOOGLETRANSLATE(A6,""zh-tw"",""zh"")"),"猫咪史莱姆")</f>
        <v>猫咪史莱姆</v>
      </c>
      <c r="K6" s="317" t="str">
        <f>IFERROR(__xludf.DUMMYFUNCTION("GOOGLETRANSLATE(B6,""zh-tw"",""zh"")"),"史莱姆的黏液/借来的猫爪/招财猫")</f>
        <v>史莱姆的黏液/借来的猫爪/招财猫</v>
      </c>
      <c r="L6" s="318" t="str">
        <f>IFERROR(__xludf.DUMMYFUNCTION("GOOGLETRANSLATE(C6,""zh-tw"",""zh"")"),"-")</f>
        <v>-</v>
      </c>
      <c r="M6" s="150" t="str">
        <f>IFERROR(__xludf.DUMMYFUNCTION("GOOGLETRANSLATE(A6,""zh-tw"",""es-MX"")"),"Baba de gato")</f>
        <v>Baba de gato</v>
      </c>
      <c r="N6" s="164" t="str">
        <f>IFERROR(__xludf.DUMMYFUNCTION("GOOGLETRANSLATE(B6,""zh-tw"",""es-MX"")"),"Baba baba / Pata de gato prestada / Gato de la suerte")</f>
        <v>Baba baba / Pata de gato prestada / Gato de la suerte</v>
      </c>
      <c r="O6" s="320" t="str">
        <f>IFERROR(__xludf.DUMMYFUNCTION("GOOGLETRANSLATE(C6,""zh-tw"",""es-MX"")"),"-")</f>
        <v>-</v>
      </c>
      <c r="P6" s="150" t="str">
        <f>IFERROR(__xludf.DUMMYFUNCTION("GOOGLETRANSLATE(A6,""zh-tw"",""KO"")"),"고양이 슬라임")</f>
        <v>고양이 슬라임</v>
      </c>
      <c r="Q6" s="163" t="s">
        <v>3886</v>
      </c>
      <c r="R6" s="320" t="str">
        <f>IFERROR(__xludf.DUMMYFUNCTION("GOOGLETRANSLATE(C6,""zh-tw"",""KO"")"),"-")</f>
        <v>-</v>
      </c>
      <c r="S6" s="316" t="str">
        <f>IFERROR(__xludf.DUMMYFUNCTION("GOOGLETRANSLATE(A6,""zh-tw"",""ru"")"),"Кошачья слизь")</f>
        <v>Кошачья слизь</v>
      </c>
      <c r="T6" s="317" t="str">
        <f>IFERROR(__xludf.DUMMYFUNCTION("GOOGLETRANSLATE(B6,""zh-tw"",""ru"")"),"Слайм-слайм / Одолженная кошачья лапа / Счастливый кот")</f>
        <v>Слайм-слайм / Одолженная кошачья лапа / Счастливый кот</v>
      </c>
      <c r="U6" s="318" t="str">
        <f>IFERROR(__xludf.DUMMYFUNCTION("GOOGLETRANSLATE(C6,""zh-tw"",""ru"")"),"-")</f>
        <v>-</v>
      </c>
      <c r="V6" s="175" t="s">
        <v>3887</v>
      </c>
      <c r="W6" s="319" t="s">
        <v>3888</v>
      </c>
      <c r="X6" s="321" t="s">
        <v>3868</v>
      </c>
      <c r="Y6" s="156" t="s">
        <v>3889</v>
      </c>
      <c r="Z6" s="166" t="s">
        <v>3890</v>
      </c>
      <c r="AA6" s="322" t="s">
        <v>724</v>
      </c>
      <c r="AB6" s="17"/>
      <c r="AC6" s="17"/>
      <c r="AD6" s="17"/>
      <c r="AE6" s="17"/>
    </row>
    <row r="7">
      <c r="A7" s="149" t="s">
        <v>3891</v>
      </c>
      <c r="B7" s="163" t="s">
        <v>3892</v>
      </c>
      <c r="C7" s="315" t="s">
        <v>724</v>
      </c>
      <c r="D7" s="316" t="str">
        <f>IFERROR(__xludf.DUMMYFUNCTION("GOOGLETRANSLATE(A7,""zh-tw"",""ja"")"),"草食スライム")</f>
        <v>草食スライム</v>
      </c>
      <c r="E7" s="319" t="s">
        <v>3893</v>
      </c>
      <c r="F7" s="318" t="str">
        <f>IFERROR(__xludf.DUMMYFUNCTION("GOOGLETRANSLATE(C7,""zh-tw"",""ja"")"),"-")</f>
        <v>-</v>
      </c>
      <c r="G7" s="175" t="s">
        <v>3894</v>
      </c>
      <c r="H7" s="319" t="s">
        <v>3895</v>
      </c>
      <c r="I7" s="318" t="str">
        <f>IFERROR(__xludf.DUMMYFUNCTION("GOOGLETRANSLATE(C7,""zh-tw"",""en"")"),"-")</f>
        <v>-</v>
      </c>
      <c r="J7" s="316" t="str">
        <f>IFERROR(__xludf.DUMMYFUNCTION("GOOGLETRANSLATE(A7,""zh-tw"",""zh"")"),"草食史莱姆")</f>
        <v>草食史莱姆</v>
      </c>
      <c r="K7" s="317" t="str">
        <f>IFERROR(__xludf.DUMMYFUNCTION("GOOGLETRANSLATE(B7,""zh-tw"",""zh"")"),"斩裂剑提尔锋/史莱姆的黏液/硬木棒/硬木剑")</f>
        <v>斩裂剑提尔锋/史莱姆的黏液/硬木棒/硬木剑</v>
      </c>
      <c r="L7" s="318" t="str">
        <f>IFERROR(__xludf.DUMMYFUNCTION("GOOGLETRANSLATE(C7,""zh-tw"",""zh"")"),"-")</f>
        <v>-</v>
      </c>
      <c r="M7" s="150" t="str">
        <f>IFERROR(__xludf.DUMMYFUNCTION("GOOGLETRANSLATE(A7,""zh-tw"",""es-MX"")"),"Limo herbívoro")</f>
        <v>Limo herbívoro</v>
      </c>
      <c r="N7" s="164" t="str">
        <f>IFERROR(__xludf.DUMMYFUNCTION("GOOGLETRANSLATE(B7,""zh-tw"",""es-MX"")"),"Espada cortante Filo de Tyr / Limo Limo / Maza de madera dura / Espada de madera dura")</f>
        <v>Espada cortante Filo de Tyr / Limo Limo / Maza de madera dura / Espada de madera dura</v>
      </c>
      <c r="O7" s="320" t="str">
        <f>IFERROR(__xludf.DUMMYFUNCTION("GOOGLETRANSLATE(C7,""zh-tw"",""es-MX"")"),"-")</f>
        <v>-</v>
      </c>
      <c r="P7" s="149" t="s">
        <v>3896</v>
      </c>
      <c r="Q7" s="163" t="s">
        <v>3897</v>
      </c>
      <c r="R7" s="320" t="str">
        <f>IFERROR(__xludf.DUMMYFUNCTION("GOOGLETRANSLATE(C7,""zh-tw"",""KO"")"),"-")</f>
        <v>-</v>
      </c>
      <c r="S7" s="316" t="str">
        <f>IFERROR(__xludf.DUMMYFUNCTION("GOOGLETRANSLATE(A7,""zh-tw"",""ru"")"),"Травоядная слизь")</f>
        <v>Травоядная слизь</v>
      </c>
      <c r="T7" s="317" t="str">
        <f>IFERROR(__xludf.DUMMYFUNCTION("GOOGLETRANSLATE(B7,""zh-tw"",""ru"")"),"Режущий меч, Лезвие Тира / Слизь, слизь / Дубинка из твёрдой древесины / Меч из твёрдой древесины")</f>
        <v>Режущий меч, Лезвие Тира / Слизь, слизь / Дубинка из твёрдой древесины / Меч из твёрдой древесины</v>
      </c>
      <c r="U7" s="318" t="str">
        <f>IFERROR(__xludf.DUMMYFUNCTION("GOOGLETRANSLATE(C7,""zh-tw"",""ru"")"),"-")</f>
        <v>-</v>
      </c>
      <c r="V7" s="175" t="s">
        <v>3898</v>
      </c>
      <c r="W7" s="319" t="s">
        <v>3899</v>
      </c>
      <c r="X7" s="321" t="s">
        <v>3868</v>
      </c>
      <c r="Y7" s="156" t="s">
        <v>3900</v>
      </c>
      <c r="Z7" s="166" t="s">
        <v>3901</v>
      </c>
      <c r="AA7" s="322" t="s">
        <v>724</v>
      </c>
      <c r="AB7" s="17"/>
      <c r="AC7" s="17"/>
      <c r="AD7" s="17"/>
      <c r="AE7" s="17"/>
    </row>
    <row r="8">
      <c r="A8" s="149" t="s">
        <v>3902</v>
      </c>
      <c r="B8" s="163" t="s">
        <v>3903</v>
      </c>
      <c r="C8" s="315" t="s">
        <v>724</v>
      </c>
      <c r="D8" s="175" t="s">
        <v>3904</v>
      </c>
      <c r="E8" s="319" t="s">
        <v>3905</v>
      </c>
      <c r="F8" s="318" t="str">
        <f>IFERROR(__xludf.DUMMYFUNCTION("GOOGLETRANSLATE(C8,""zh-tw"",""ja"")"),"-")</f>
        <v>-</v>
      </c>
      <c r="G8" s="175" t="s">
        <v>3906</v>
      </c>
      <c r="H8" s="319" t="s">
        <v>3907</v>
      </c>
      <c r="I8" s="318" t="str">
        <f>IFERROR(__xludf.DUMMYFUNCTION("GOOGLETRANSLATE(C8,""zh-tw"",""en"")"),"-")</f>
        <v>-</v>
      </c>
      <c r="J8" s="316" t="str">
        <f>IFERROR(__xludf.DUMMYFUNCTION("GOOGLETRANSLATE(A8,""zh-tw"",""zh"")"),"急冻史莱姆")</f>
        <v>急冻史莱姆</v>
      </c>
      <c r="K8" s="317" t="str">
        <f>IFERROR(__xludf.DUMMYFUNCTION("GOOGLETRANSLATE(B8,""zh-tw"",""zh"")"),"雪见/寒冰杖/魔力晶簇/史莱姆的黏液/塔罗牌")</f>
        <v>雪见/寒冰杖/魔力晶簇/史莱姆的黏液/塔罗牌</v>
      </c>
      <c r="L8" s="318" t="str">
        <f>IFERROR(__xludf.DUMMYFUNCTION("GOOGLETRANSLATE(C8,""zh-tw"",""zh"")"),"-")</f>
        <v>-</v>
      </c>
      <c r="M8" s="150" t="str">
        <f>IFERROR(__xludf.DUMMYFUNCTION("GOOGLETRANSLATE(A8,""zh-tw"",""es-MX"")"),"Limo congelado")</f>
        <v>Limo congelado</v>
      </c>
      <c r="N8" s="164" t="str">
        <f>IFERROR(__xludf.DUMMYFUNCTION("GOOGLETRANSLATE(B8,""zh-tw"",""es-MX"")"),"Observación de la nieve / Bastón de hielo / Racimo de cristales mágicos / Slime Slime / Cartas del Tarot")</f>
        <v>Observación de la nieve / Bastón de hielo / Racimo de cristales mágicos / Slime Slime / Cartas del Tarot</v>
      </c>
      <c r="O8" s="320" t="str">
        <f>IFERROR(__xludf.DUMMYFUNCTION("GOOGLETRANSLATE(C8,""zh-tw"",""es-MX"")"),"-")</f>
        <v>-</v>
      </c>
      <c r="P8" s="149" t="s">
        <v>3908</v>
      </c>
      <c r="Q8" s="163" t="s">
        <v>3909</v>
      </c>
      <c r="R8" s="320" t="str">
        <f>IFERROR(__xludf.DUMMYFUNCTION("GOOGLETRANSLATE(C8,""zh-tw"",""KO"")"),"-")</f>
        <v>-</v>
      </c>
      <c r="S8" s="316" t="str">
        <f>IFERROR(__xludf.DUMMYFUNCTION("GOOGLETRANSLATE(A8,""zh-tw"",""ru"")"),"Замороженная слизь")</f>
        <v>Замороженная слизь</v>
      </c>
      <c r="T8" s="317" t="str">
        <f>IFERROR(__xludf.DUMMYFUNCTION("GOOGLETRANSLATE(B8,""zh-tw"",""ru"")"),"Снежное любование / Ледяной посох / Магический кристаллический кластер / Слизь / Карты Таро")</f>
        <v>Снежное любование / Ледяной посох / Магический кристаллический кластер / Слизь / Карты Таро</v>
      </c>
      <c r="U8" s="318" t="str">
        <f>IFERROR(__xludf.DUMMYFUNCTION("GOOGLETRANSLATE(C8,""zh-tw"",""ru"")"),"-")</f>
        <v>-</v>
      </c>
      <c r="V8" s="175" t="s">
        <v>3910</v>
      </c>
      <c r="W8" s="319" t="s">
        <v>3911</v>
      </c>
      <c r="X8" s="321" t="s">
        <v>3868</v>
      </c>
      <c r="Y8" s="156" t="s">
        <v>3912</v>
      </c>
      <c r="Z8" s="166" t="s">
        <v>3913</v>
      </c>
      <c r="AA8" s="322" t="s">
        <v>724</v>
      </c>
      <c r="AB8" s="17"/>
      <c r="AC8" s="17"/>
      <c r="AD8" s="17"/>
      <c r="AE8" s="17"/>
    </row>
    <row r="9">
      <c r="A9" s="149" t="s">
        <v>3914</v>
      </c>
      <c r="B9" s="163" t="s">
        <v>3915</v>
      </c>
      <c r="C9" s="315" t="s">
        <v>724</v>
      </c>
      <c r="D9" s="316" t="str">
        <f>IFERROR(__xludf.DUMMYFUNCTION("GOOGLETRANSLATE(A9,""zh-tw"",""ja"")"),"ジャックスライム")</f>
        <v>ジャックスライム</v>
      </c>
      <c r="E9" s="319" t="s">
        <v>3916</v>
      </c>
      <c r="F9" s="318" t="str">
        <f>IFERROR(__xludf.DUMMYFUNCTION("GOOGLETRANSLATE(C9,""zh-tw"",""ja"")"),"-")</f>
        <v>-</v>
      </c>
      <c r="G9" s="175" t="s">
        <v>3917</v>
      </c>
      <c r="H9" s="319" t="s">
        <v>3918</v>
      </c>
      <c r="I9" s="321" t="s">
        <v>724</v>
      </c>
      <c r="J9" s="316" t="str">
        <f>IFERROR(__xludf.DUMMYFUNCTION("GOOGLETRANSLATE(A9,""zh-tw"",""zh"")"),"杰克史莱姆")</f>
        <v>杰克史莱姆</v>
      </c>
      <c r="K9" s="317" t="str">
        <f>IFERROR(__xludf.DUMMYFUNCTION("GOOGLETRANSLATE(B9,""zh-tw"",""zh"")"),"杰克爆弹/史莱姆的黏液/炸弹魔之魂")</f>
        <v>杰克爆弹/史莱姆的黏液/炸弹魔之魂</v>
      </c>
      <c r="L9" s="318" t="str">
        <f>IFERROR(__xludf.DUMMYFUNCTION("GOOGLETRANSLATE(C9,""zh-tw"",""zh"")"),"-")</f>
        <v>-</v>
      </c>
      <c r="M9" s="150" t="str">
        <f>IFERROR(__xludf.DUMMYFUNCTION("GOOGLETRANSLATE(A9,""zh-tw"",""es-MX"")"),"Jack Slime")</f>
        <v>Jack Slime</v>
      </c>
      <c r="N9" s="164" t="str">
        <f>IFERROR(__xludf.DUMMYFUNCTION("GOOGLETRANSLATE(B9,""zh-tw"",""es-MX"")"),"Jack la Bomba / La Baba de Slime / El Alma del Bombardero")</f>
        <v>Jack la Bomba / La Baba de Slime / El Alma del Bombardero</v>
      </c>
      <c r="O9" s="320" t="str">
        <f>IFERROR(__xludf.DUMMYFUNCTION("GOOGLETRANSLATE(C9,""zh-tw"",""es-MX"")"),"-")</f>
        <v>-</v>
      </c>
      <c r="P9" s="150" t="str">
        <f>IFERROR(__xludf.DUMMYFUNCTION("GOOGLETRANSLATE(A9,""zh-tw"",""KO"")"),"잭 슬라임")</f>
        <v>잭 슬라임</v>
      </c>
      <c r="Q9" s="163" t="s">
        <v>3919</v>
      </c>
      <c r="R9" s="320" t="str">
        <f>IFERROR(__xludf.DUMMYFUNCTION("GOOGLETRANSLATE(C9,""zh-tw"",""KO"")"),"-")</f>
        <v>-</v>
      </c>
      <c r="S9" s="316" t="str">
        <f>IFERROR(__xludf.DUMMYFUNCTION("GOOGLETRANSLATE(A9,""zh-tw"",""ru"")"),"Джек Слайм")</f>
        <v>Джек Слайм</v>
      </c>
      <c r="T9" s="317" t="str">
        <f>IFERROR(__xludf.DUMMYFUNCTION("GOOGLETRANSLATE(B9,""zh-tw"",""ru"")"),"Джек Бомба / Слизь Слайма / Душа Бомбардира")</f>
        <v>Джек Бомба / Слизь Слайма / Душа Бомбардира</v>
      </c>
      <c r="U9" s="318" t="str">
        <f>IFERROR(__xludf.DUMMYFUNCTION("GOOGLETRANSLATE(C9,""zh-tw"",""ru"")"),"-")</f>
        <v>-</v>
      </c>
      <c r="V9" s="175" t="s">
        <v>3920</v>
      </c>
      <c r="W9" s="319" t="s">
        <v>3921</v>
      </c>
      <c r="X9" s="321" t="s">
        <v>3868</v>
      </c>
      <c r="Y9" s="156" t="s">
        <v>3922</v>
      </c>
      <c r="Z9" s="166" t="s">
        <v>3923</v>
      </c>
      <c r="AA9" s="322" t="s">
        <v>724</v>
      </c>
      <c r="AB9" s="17"/>
      <c r="AC9" s="17"/>
      <c r="AD9" s="17"/>
      <c r="AE9" s="17"/>
    </row>
    <row r="10" ht="41.25" customHeight="1">
      <c r="A10" s="149" t="s">
        <v>3924</v>
      </c>
      <c r="B10" s="163" t="s">
        <v>3925</v>
      </c>
      <c r="C10" s="315" t="s">
        <v>724</v>
      </c>
      <c r="D10" s="175" t="s">
        <v>3926</v>
      </c>
      <c r="E10" s="319" t="s">
        <v>3927</v>
      </c>
      <c r="F10" s="318" t="str">
        <f>IFERROR(__xludf.DUMMYFUNCTION("GOOGLETRANSLATE(C10,""zh-tw"",""ja"")"),"-")</f>
        <v>-</v>
      </c>
      <c r="G10" s="175" t="s">
        <v>3928</v>
      </c>
      <c r="H10" s="319" t="s">
        <v>3929</v>
      </c>
      <c r="I10" s="321" t="s">
        <v>724</v>
      </c>
      <c r="J10" s="316" t="str">
        <f>IFERROR(__xludf.DUMMYFUNCTION("GOOGLETRANSLATE(A10,""zh-tw"",""zh"")"),"恶灵史莱姆")</f>
        <v>恶灵史莱姆</v>
      </c>
      <c r="K10" s="317" t="str">
        <f>IFERROR(__xludf.DUMMYFUNCTION("GOOGLETRANSLATE(B10,""zh-tw"",""zh"")"),"来自地狱/史莱姆的黏液/堕落法师的手套/魔力晶簇/史莱姆的黏液")</f>
        <v>来自地狱/史莱姆的黏液/堕落法师的手套/魔力晶簇/史莱姆的黏液</v>
      </c>
      <c r="L10" s="318" t="str">
        <f>IFERROR(__xludf.DUMMYFUNCTION("GOOGLETRANSLATE(C10,""zh-tw"",""zh"")"),"-")</f>
        <v>-</v>
      </c>
      <c r="M10" s="150" t="str">
        <f>IFERROR(__xludf.DUMMYFUNCTION("GOOGLETRANSLATE(A10,""zh-tw"",""es-MX"")"),"Limo Malvado")</f>
        <v>Limo Malvado</v>
      </c>
      <c r="N10" s="164" t="str">
        <f>IFERROR(__xludf.DUMMYFUNCTION("GOOGLETRANSLATE(B10,""zh-tw"",""es-MX"")"),"Desde el infierno / Limo Limo / Guantes de mago caído / Racimo de cristal mágico / Limo Limo")</f>
        <v>Desde el infierno / Limo Limo / Guantes de mago caído / Racimo de cristal mágico / Limo Limo</v>
      </c>
      <c r="O10" s="320" t="str">
        <f>IFERROR(__xludf.DUMMYFUNCTION("GOOGLETRANSLATE(C10,""zh-tw"",""es-MX"")"),"-")</f>
        <v>-</v>
      </c>
      <c r="P10" s="149" t="s">
        <v>3930</v>
      </c>
      <c r="Q10" s="163" t="s">
        <v>3931</v>
      </c>
      <c r="R10" s="320" t="str">
        <f>IFERROR(__xludf.DUMMYFUNCTION("GOOGLETRANSLATE(C10,""zh-tw"",""KO"")"),"-")</f>
        <v>-</v>
      </c>
      <c r="S10" s="316" t="str">
        <f>IFERROR(__xludf.DUMMYFUNCTION("GOOGLETRANSLATE(A10,""zh-tw"",""ru"")"),"Злая слизь")</f>
        <v>Злая слизь</v>
      </c>
      <c r="T10" s="317" t="str">
        <f>IFERROR(__xludf.DUMMYFUNCTION("GOOGLETRANSLATE(B10,""zh-tw"",""ru"")"),"Из ада / Слизь Слизь / Перчатки падшего мага / Скопление магических кристаллов / Слизь Слизь")</f>
        <v>Из ада / Слизь Слизь / Перчатки падшего мага / Скопление магических кристаллов / Слизь Слизь</v>
      </c>
      <c r="U10" s="318" t="str">
        <f>IFERROR(__xludf.DUMMYFUNCTION("GOOGLETRANSLATE(C10,""zh-tw"",""ru"")"),"-")</f>
        <v>-</v>
      </c>
      <c r="V10" s="175" t="s">
        <v>3932</v>
      </c>
      <c r="W10" s="319" t="s">
        <v>3933</v>
      </c>
      <c r="X10" s="321" t="s">
        <v>3868</v>
      </c>
      <c r="Y10" s="156" t="s">
        <v>3934</v>
      </c>
      <c r="Z10" s="166" t="s">
        <v>3935</v>
      </c>
      <c r="AA10" s="322" t="s">
        <v>724</v>
      </c>
      <c r="AB10" s="17"/>
      <c r="AC10" s="17"/>
      <c r="AD10" s="17"/>
      <c r="AE10" s="17"/>
    </row>
    <row r="11">
      <c r="A11" s="149" t="s">
        <v>3936</v>
      </c>
      <c r="B11" s="163" t="s">
        <v>3937</v>
      </c>
      <c r="C11" s="315" t="s">
        <v>724</v>
      </c>
      <c r="D11" s="316" t="str">
        <f>IFERROR(__xludf.DUMMYFUNCTION("GOOGLETRANSLATE(A11,""zh-tw"",""ja"")"),"ビリビリスライム")</f>
        <v>ビリビリスライム</v>
      </c>
      <c r="E11" s="319" t="s">
        <v>3938</v>
      </c>
      <c r="F11" s="318" t="str">
        <f>IFERROR(__xludf.DUMMYFUNCTION("GOOGLETRANSLATE(C11,""zh-tw"",""ja"")"),"-")</f>
        <v>-</v>
      </c>
      <c r="G11" s="175" t="s">
        <v>3939</v>
      </c>
      <c r="H11" s="319" t="s">
        <v>3940</v>
      </c>
      <c r="I11" s="318" t="str">
        <f>IFERROR(__xludf.DUMMYFUNCTION("GOOGLETRANSLATE(C11,""zh-tw"",""en"")"),"-")</f>
        <v>-</v>
      </c>
      <c r="J11" s="316" t="str">
        <f>IFERROR(__xludf.DUMMYFUNCTION("GOOGLETRANSLATE(A11,""zh-tw"",""zh"")"),"哔哩哔哩史莱姆")</f>
        <v>哔哩哔哩史莱姆</v>
      </c>
      <c r="K11" s="317" t="str">
        <f>IFERROR(__xludf.DUMMYFUNCTION("GOOGLETRANSLATE(B11,""zh-tw"",""zh"")"),"千鸟/史莱姆的黏液/塔罗牌")</f>
        <v>千鸟/史莱姆的黏液/塔罗牌</v>
      </c>
      <c r="L11" s="318" t="str">
        <f>IFERROR(__xludf.DUMMYFUNCTION("GOOGLETRANSLATE(C11,""zh-tw"",""zh"")"),"-")</f>
        <v>-</v>
      </c>
      <c r="M11" s="150" t="str">
        <f>IFERROR(__xludf.DUMMYFUNCTION("GOOGLETRANSLATE(A11,""zh-tw"",""es-MX"")"),"Bilibili Slime")</f>
        <v>Bilibili Slime</v>
      </c>
      <c r="N11" s="164" t="str">
        <f>IFERROR(__xludf.DUMMYFUNCTION("GOOGLETRANSLATE(B11,""zh-tw"",""es-MX"")"),"Chidori/Slime Slime/Cartas del Tarot")</f>
        <v>Chidori/Slime Slime/Cartas del Tarot</v>
      </c>
      <c r="O11" s="320" t="str">
        <f>IFERROR(__xludf.DUMMYFUNCTION("GOOGLETRANSLATE(C11,""zh-tw"",""es-MX"")"),"-")</f>
        <v>-</v>
      </c>
      <c r="P11" s="149" t="s">
        <v>3941</v>
      </c>
      <c r="Q11" s="163" t="s">
        <v>3942</v>
      </c>
      <c r="R11" s="320" t="str">
        <f>IFERROR(__xludf.DUMMYFUNCTION("GOOGLETRANSLATE(C11,""zh-tw"",""KO"")"),"-")</f>
        <v>-</v>
      </c>
      <c r="S11" s="316" t="str">
        <f>IFERROR(__xludf.DUMMYFUNCTION("GOOGLETRANSLATE(A11,""zh-tw"",""ru"")"),"Билибили Слайм")</f>
        <v>Билибили Слайм</v>
      </c>
      <c r="T11" s="317" t="str">
        <f>IFERROR(__xludf.DUMMYFUNCTION("GOOGLETRANSLATE(B11,""zh-tw"",""ru"")"),"Чидори/Слизь Слизь/Карты Таро")</f>
        <v>Чидори/Слизь Слизь/Карты Таро</v>
      </c>
      <c r="U11" s="318" t="str">
        <f>IFERROR(__xludf.DUMMYFUNCTION("GOOGLETRANSLATE(C11,""zh-tw"",""ru"")"),"-")</f>
        <v>-</v>
      </c>
      <c r="V11" s="175" t="s">
        <v>3943</v>
      </c>
      <c r="W11" s="319" t="s">
        <v>3944</v>
      </c>
      <c r="X11" s="321" t="s">
        <v>3868</v>
      </c>
      <c r="Y11" s="156" t="s">
        <v>3945</v>
      </c>
      <c r="Z11" s="166" t="s">
        <v>3946</v>
      </c>
      <c r="AA11" s="322" t="s">
        <v>724</v>
      </c>
      <c r="AB11" s="17"/>
      <c r="AC11" s="17"/>
      <c r="AD11" s="17"/>
      <c r="AE11" s="17"/>
    </row>
    <row r="12">
      <c r="A12" s="149" t="s">
        <v>3947</v>
      </c>
      <c r="B12" s="163" t="s">
        <v>3948</v>
      </c>
      <c r="C12" s="315" t="s">
        <v>724</v>
      </c>
      <c r="D12" s="175" t="s">
        <v>3949</v>
      </c>
      <c r="E12" s="319" t="s">
        <v>3950</v>
      </c>
      <c r="F12" s="318" t="str">
        <f>IFERROR(__xludf.DUMMYFUNCTION("GOOGLETRANSLATE(C12,""zh-tw"",""ja"")"),"-")</f>
        <v>-</v>
      </c>
      <c r="G12" s="175" t="s">
        <v>3951</v>
      </c>
      <c r="H12" s="319" t="s">
        <v>3952</v>
      </c>
      <c r="I12" s="318" t="str">
        <f>IFERROR(__xludf.DUMMYFUNCTION("GOOGLETRANSLATE(C12,""zh-tw"",""en"")"),"-")</f>
        <v>-</v>
      </c>
      <c r="J12" s="316" t="str">
        <f>IFERROR(__xludf.DUMMYFUNCTION("GOOGLETRANSLATE(A12,""zh-tw"",""zh"")"),"初级兽人")</f>
        <v>初级兽人</v>
      </c>
      <c r="K12" s="319" t="s">
        <v>3953</v>
      </c>
      <c r="L12" s="318" t="str">
        <f>IFERROR(__xludf.DUMMYFUNCTION("GOOGLETRANSLATE(C12,""zh-tw"",""zh"")"),"-")</f>
        <v>-</v>
      </c>
      <c r="M12" s="150" t="str">
        <f>IFERROR(__xludf.DUMMYFUNCTION("GOOGLETRANSLATE(A12,""zh-tw"",""es-MX"")"),"Principiantes")</f>
        <v>Principiantes</v>
      </c>
      <c r="N12" s="164" t="str">
        <f>IFERROR(__xludf.DUMMYFUNCTION("GOOGLETRANSLATE(B12,""zh-tw"",""es-MX"")"),"Carne de animales pequeños / Carne de animales grandes / Cacerola de hueso de orco")</f>
        <v>Carne de animales pequeños / Carne de animales grandes / Cacerola de hueso de orco</v>
      </c>
      <c r="O12" s="320" t="str">
        <f>IFERROR(__xludf.DUMMYFUNCTION("GOOGLETRANSLATE(C12,""zh-tw"",""es-MX"")"),"-")</f>
        <v>-</v>
      </c>
      <c r="P12" s="175" t="s">
        <v>3954</v>
      </c>
      <c r="Q12" s="163" t="s">
        <v>3955</v>
      </c>
      <c r="R12" s="320" t="str">
        <f>IFERROR(__xludf.DUMMYFUNCTION("GOOGLETRANSLATE(C12,""zh-tw"",""KO"")"),"-")</f>
        <v>-</v>
      </c>
      <c r="S12" s="316" t="str">
        <f>IFERROR(__xludf.DUMMYFUNCTION("GOOGLETRANSLATE(A12,""zh-tw"",""ru"")"),"Новички")</f>
        <v>Новички</v>
      </c>
      <c r="T12" s="317" t="str">
        <f>IFERROR(__xludf.DUMMYFUNCTION("GOOGLETRANSLATE(B12,""zh-tw"",""ru"")"),"Мясо мелкого животного / Мясо крупного животного / Горшок с косточкой орка")</f>
        <v>Мясо мелкого животного / Мясо крупного животного / Горшок с косточкой орка</v>
      </c>
      <c r="U12" s="318" t="str">
        <f>IFERROR(__xludf.DUMMYFUNCTION("GOOGLETRANSLATE(C12,""zh-tw"",""ru"")"),"-")</f>
        <v>-</v>
      </c>
      <c r="V12" s="175" t="s">
        <v>3956</v>
      </c>
      <c r="W12" s="319" t="s">
        <v>3957</v>
      </c>
      <c r="X12" s="321" t="s">
        <v>3868</v>
      </c>
      <c r="Y12" s="156" t="s">
        <v>3958</v>
      </c>
      <c r="Z12" s="166" t="s">
        <v>3959</v>
      </c>
      <c r="AA12" s="322" t="s">
        <v>724</v>
      </c>
      <c r="AB12" s="17"/>
      <c r="AC12" s="17"/>
      <c r="AD12" s="17"/>
      <c r="AE12" s="17"/>
    </row>
    <row r="13">
      <c r="A13" s="149" t="s">
        <v>3960</v>
      </c>
      <c r="B13" s="163" t="s">
        <v>3961</v>
      </c>
      <c r="C13" s="315" t="s">
        <v>724</v>
      </c>
      <c r="D13" s="175" t="s">
        <v>3960</v>
      </c>
      <c r="E13" s="319" t="s">
        <v>3962</v>
      </c>
      <c r="F13" s="318" t="str">
        <f>IFERROR(__xludf.DUMMYFUNCTION("GOOGLETRANSLATE(C13,""zh-tw"",""ja"")"),"-")</f>
        <v>-</v>
      </c>
      <c r="G13" s="175" t="s">
        <v>3963</v>
      </c>
      <c r="H13" s="319" t="s">
        <v>3964</v>
      </c>
      <c r="I13" s="318" t="str">
        <f>IFERROR(__xludf.DUMMYFUNCTION("GOOGLETRANSLATE(C13,""zh-tw"",""en"")"),"-")</f>
        <v>-</v>
      </c>
      <c r="J13" s="316" t="str">
        <f>IFERROR(__xludf.DUMMYFUNCTION("GOOGLETRANSLATE(A13,""zh-tw"",""zh"")"),"怪鸟")</f>
        <v>怪鸟</v>
      </c>
      <c r="K13" s="317" t="str">
        <f>IFERROR(__xludf.DUMMYFUNCTION("GOOGLETRANSLATE(B13,""zh-tw"",""zh"")"),"鸡腿/怪鸟的羽毛")</f>
        <v>鸡腿/怪鸟的羽毛</v>
      </c>
      <c r="L13" s="318" t="str">
        <f>IFERROR(__xludf.DUMMYFUNCTION("GOOGLETRANSLATE(C13,""zh-tw"",""zh"")"),"-")</f>
        <v>-</v>
      </c>
      <c r="M13" s="150" t="str">
        <f>IFERROR(__xludf.DUMMYFUNCTION("GOOGLETRANSLATE(A13,""zh-tw"",""es-MX"")"),"Pájaro extraño")</f>
        <v>Pájaro extraño</v>
      </c>
      <c r="N13" s="164" t="str">
        <f>IFERROR(__xludf.DUMMYFUNCTION("GOOGLETRANSLATE(B13,""zh-tw"",""es-MX"")"),"Muslo de pollo/Plumas de ave extrañas")</f>
        <v>Muslo de pollo/Plumas de ave extrañas</v>
      </c>
      <c r="O13" s="320" t="str">
        <f>IFERROR(__xludf.DUMMYFUNCTION("GOOGLETRANSLATE(C13,""zh-tw"",""es-MX"")"),"-")</f>
        <v>-</v>
      </c>
      <c r="P13" s="149" t="s">
        <v>3965</v>
      </c>
      <c r="Q13" s="163" t="s">
        <v>3966</v>
      </c>
      <c r="R13" s="320" t="str">
        <f>IFERROR(__xludf.DUMMYFUNCTION("GOOGLETRANSLATE(C13,""zh-tw"",""KO"")"),"-")</f>
        <v>-</v>
      </c>
      <c r="S13" s="316" t="str">
        <f>IFERROR(__xludf.DUMMYFUNCTION("GOOGLETRANSLATE(A13,""zh-tw"",""ru"")"),"Странная птица")</f>
        <v>Странная птица</v>
      </c>
      <c r="T13" s="317" t="str">
        <f>IFERROR(__xludf.DUMMYFUNCTION("GOOGLETRANSLATE(B13,""zh-tw"",""ru"")"),"Куриная ножка/Перья странной птицы")</f>
        <v>Куриная ножка/Перья странной птицы</v>
      </c>
      <c r="U13" s="318" t="str">
        <f>IFERROR(__xludf.DUMMYFUNCTION("GOOGLETRANSLATE(C13,""zh-tw"",""ru"")"),"-")</f>
        <v>-</v>
      </c>
      <c r="V13" s="175" t="s">
        <v>3967</v>
      </c>
      <c r="W13" s="319" t="s">
        <v>3968</v>
      </c>
      <c r="X13" s="321" t="s">
        <v>3868</v>
      </c>
      <c r="Y13" s="156" t="s">
        <v>3969</v>
      </c>
      <c r="Z13" s="166" t="s">
        <v>3970</v>
      </c>
      <c r="AA13" s="322" t="s">
        <v>724</v>
      </c>
      <c r="AB13" s="17"/>
      <c r="AC13" s="17"/>
      <c r="AD13" s="17"/>
      <c r="AE13" s="17"/>
    </row>
    <row r="14">
      <c r="A14" s="149" t="s">
        <v>3971</v>
      </c>
      <c r="B14" s="163" t="s">
        <v>3972</v>
      </c>
      <c r="C14" s="315" t="s">
        <v>724</v>
      </c>
      <c r="D14" s="175" t="s">
        <v>3973</v>
      </c>
      <c r="E14" s="319" t="s">
        <v>3974</v>
      </c>
      <c r="F14" s="318" t="str">
        <f>IFERROR(__xludf.DUMMYFUNCTION("GOOGLETRANSLATE(C14,""zh-tw"",""ja"")"),"-")</f>
        <v>-</v>
      </c>
      <c r="G14" s="175" t="s">
        <v>3975</v>
      </c>
      <c r="H14" s="319" t="s">
        <v>3976</v>
      </c>
      <c r="I14" s="318" t="str">
        <f>IFERROR(__xludf.DUMMYFUNCTION("GOOGLETRANSLATE(C14,""zh-tw"",""en"")"),"-")</f>
        <v>-</v>
      </c>
      <c r="J14" s="316" t="str">
        <f>IFERROR(__xludf.DUMMYFUNCTION("GOOGLETRANSLATE(A14,""zh-tw"",""zh"")"),"走路菇")</f>
        <v>走路菇</v>
      </c>
      <c r="K14" s="317" t="str">
        <f>IFERROR(__xludf.DUMMYFUNCTION("GOOGLETRANSLATE(B14,""zh-tw"",""zh"")"),"走路菇/毒孢针")</f>
        <v>走路菇/毒孢针</v>
      </c>
      <c r="L14" s="318" t="str">
        <f>IFERROR(__xludf.DUMMYFUNCTION("GOOGLETRANSLATE(C14,""zh-tw"",""zh"")"),"-")</f>
        <v>-</v>
      </c>
      <c r="M14" s="150" t="str">
        <f>IFERROR(__xludf.DUMMYFUNCTION("GOOGLETRANSLATE(A14,""zh-tw"",""es-MX"")"),"Hongo caminante")</f>
        <v>Hongo caminante</v>
      </c>
      <c r="N14" s="164" t="str">
        <f>IFERROR(__xludf.DUMMYFUNCTION("GOOGLETRANSLATE(B14,""zh-tw"",""es-MX"")"),"seta caminante/aguja de esporas venenosas")</f>
        <v>seta caminante/aguja de esporas venenosas</v>
      </c>
      <c r="O14" s="320" t="str">
        <f>IFERROR(__xludf.DUMMYFUNCTION("GOOGLETRANSLATE(C14,""zh-tw"",""es-MX"")"),"-")</f>
        <v>-</v>
      </c>
      <c r="P14" s="150" t="str">
        <f>IFERROR(__xludf.DUMMYFUNCTION("GOOGLETRANSLATE(A14,""zh-tw"",""KO"")"),"걷는 버섯")</f>
        <v>걷는 버섯</v>
      </c>
      <c r="Q14" s="164" t="str">
        <f>IFERROR(__xludf.DUMMYFUNCTION("GOOGLETRANSLATE(B14,""zh-tw"",""KO"")"),"걷는 버섯/독포자 바늘")</f>
        <v>걷는 버섯/독포자 바늘</v>
      </c>
      <c r="R14" s="320" t="str">
        <f>IFERROR(__xludf.DUMMYFUNCTION("GOOGLETRANSLATE(C14,""zh-tw"",""KO"")"),"-")</f>
        <v>-</v>
      </c>
      <c r="S14" s="316" t="str">
        <f>IFERROR(__xludf.DUMMYFUNCTION("GOOGLETRANSLATE(A14,""zh-tw"",""ru"")"),"Ходячий гриб")</f>
        <v>Ходячий гриб</v>
      </c>
      <c r="T14" s="317" t="str">
        <f>IFERROR(__xludf.DUMMYFUNCTION("GOOGLETRANSLATE(B14,""zh-tw"",""ru"")"),"Ходячий гриб/ядовитая споровая игла")</f>
        <v>Ходячий гриб/ядовитая споровая игла</v>
      </c>
      <c r="U14" s="318" t="str">
        <f>IFERROR(__xludf.DUMMYFUNCTION("GOOGLETRANSLATE(C14,""zh-tw"",""ru"")"),"-")</f>
        <v>-</v>
      </c>
      <c r="V14" s="175" t="s">
        <v>3977</v>
      </c>
      <c r="W14" s="319" t="s">
        <v>3978</v>
      </c>
      <c r="X14" s="321" t="s">
        <v>3868</v>
      </c>
      <c r="Y14" s="156" t="s">
        <v>3979</v>
      </c>
      <c r="Z14" s="166" t="s">
        <v>3980</v>
      </c>
      <c r="AA14" s="322" t="s">
        <v>724</v>
      </c>
      <c r="AB14" s="17"/>
      <c r="AC14" s="17"/>
      <c r="AD14" s="17"/>
      <c r="AE14" s="17"/>
    </row>
    <row r="15">
      <c r="A15" s="149" t="s">
        <v>3981</v>
      </c>
      <c r="B15" s="163" t="s">
        <v>3982</v>
      </c>
      <c r="C15" s="315" t="s">
        <v>724</v>
      </c>
      <c r="D15" s="175" t="s">
        <v>3981</v>
      </c>
      <c r="E15" s="319" t="s">
        <v>3983</v>
      </c>
      <c r="F15" s="318" t="str">
        <f>IFERROR(__xludf.DUMMYFUNCTION("GOOGLETRANSLATE(C15,""zh-tw"",""ja"")"),"-")</f>
        <v>-</v>
      </c>
      <c r="G15" s="175" t="s">
        <v>3984</v>
      </c>
      <c r="H15" s="319" t="s">
        <v>3985</v>
      </c>
      <c r="I15" s="318" t="str">
        <f>IFERROR(__xludf.DUMMYFUNCTION("GOOGLETRANSLATE(C15,""zh-tw"",""en"")"),"-")</f>
        <v>-</v>
      </c>
      <c r="J15" s="316" t="str">
        <f>IFERROR(__xludf.DUMMYFUNCTION("GOOGLETRANSLATE(A15,""zh-tw"",""zh"")"),"水怪")</f>
        <v>水怪</v>
      </c>
      <c r="K15" s="317" t="str">
        <f>IFERROR(__xludf.DUMMYFUNCTION("GOOGLETRANSLATE(B15,""zh-tw"",""zh"")"),"水怪黏液/魔力晶簇/精神凝聚头环/潮汐之诗")</f>
        <v>水怪黏液/魔力晶簇/精神凝聚头环/潮汐之诗</v>
      </c>
      <c r="L15" s="318" t="str">
        <f>IFERROR(__xludf.DUMMYFUNCTION("GOOGLETRANSLATE(C15,""zh-tw"",""zh"")"),"-")</f>
        <v>-</v>
      </c>
      <c r="M15" s="150" t="str">
        <f>IFERROR(__xludf.DUMMYFUNCTION("GOOGLETRANSLATE(A15,""zh-tw"",""es-MX"")"),"Monstruo de agua")</f>
        <v>Monstruo de agua</v>
      </c>
      <c r="N15" s="164" t="str">
        <f>IFERROR(__xludf.DUMMYFUNCTION("GOOGLETRANSLATE(B15,""zh-tw"",""es-MX"")"),"Limo de monstruo acuático/Racimo de cristales mágicos/Diadema para la concentración mental/Poema de las mareas")</f>
        <v>Limo de monstruo acuático/Racimo de cristales mágicos/Diadema para la concentración mental/Poema de las mareas</v>
      </c>
      <c r="O15" s="320" t="str">
        <f>IFERROR(__xludf.DUMMYFUNCTION("GOOGLETRANSLATE(C15,""zh-tw"",""es-MX"")"),"-")</f>
        <v>-</v>
      </c>
      <c r="P15" s="149" t="s">
        <v>3986</v>
      </c>
      <c r="Q15" s="163" t="s">
        <v>3987</v>
      </c>
      <c r="R15" s="320" t="str">
        <f>IFERROR(__xludf.DUMMYFUNCTION("GOOGLETRANSLATE(C15,""zh-tw"",""KO"")"),"-")</f>
        <v>-</v>
      </c>
      <c r="S15" s="316" t="str">
        <f>IFERROR(__xludf.DUMMYFUNCTION("GOOGLETRANSLATE(A15,""zh-tw"",""ru"")"),"Водный монстр")</f>
        <v>Водный монстр</v>
      </c>
      <c r="T15" s="317" t="str">
        <f>IFERROR(__xludf.DUMMYFUNCTION("GOOGLETRANSLATE(B15,""zh-tw"",""ru"")"),"Слизь водяного монстра/Кластер магических кристаллов/Повязка на голову для концентрации ума/Приливная поэма")</f>
        <v>Слизь водяного монстра/Кластер магических кристаллов/Повязка на голову для концентрации ума/Приливная поэма</v>
      </c>
      <c r="U15" s="318" t="str">
        <f>IFERROR(__xludf.DUMMYFUNCTION("GOOGLETRANSLATE(C15,""zh-tw"",""ru"")"),"-")</f>
        <v>-</v>
      </c>
      <c r="V15" s="175" t="s">
        <v>3988</v>
      </c>
      <c r="W15" s="319" t="s">
        <v>3989</v>
      </c>
      <c r="X15" s="321" t="s">
        <v>3868</v>
      </c>
      <c r="Y15" s="156" t="s">
        <v>3990</v>
      </c>
      <c r="Z15" s="166" t="s">
        <v>3991</v>
      </c>
      <c r="AA15" s="322" t="s">
        <v>724</v>
      </c>
      <c r="AB15" s="17"/>
      <c r="AC15" s="17"/>
      <c r="AD15" s="17"/>
      <c r="AE15" s="17"/>
    </row>
    <row r="16">
      <c r="A16" s="149" t="s">
        <v>3992</v>
      </c>
      <c r="B16" s="163" t="s">
        <v>3993</v>
      </c>
      <c r="C16" s="315" t="s">
        <v>724</v>
      </c>
      <c r="D16" s="175" t="s">
        <v>3994</v>
      </c>
      <c r="E16" s="319" t="s">
        <v>3995</v>
      </c>
      <c r="F16" s="318" t="str">
        <f>IFERROR(__xludf.DUMMYFUNCTION("GOOGLETRANSLATE(C16,""zh-tw"",""ja"")"),"-")</f>
        <v>-</v>
      </c>
      <c r="G16" s="175" t="s">
        <v>3996</v>
      </c>
      <c r="H16" s="319" t="s">
        <v>3997</v>
      </c>
      <c r="I16" s="318" t="str">
        <f>IFERROR(__xludf.DUMMYFUNCTION("GOOGLETRANSLATE(C16,""zh-tw"",""en"")"),"-")</f>
        <v>-</v>
      </c>
      <c r="J16" s="316" t="str">
        <f>IFERROR(__xludf.DUMMYFUNCTION("GOOGLETRANSLATE(A16,""zh-tw"",""zh"")"),"小红怪")</f>
        <v>小红怪</v>
      </c>
      <c r="K16" s="317" t="str">
        <f>IFERROR(__xludf.DUMMYFUNCTION("GOOGLETRANSLATE(B16,""zh-tw"",""zh"")"),"来自地狱/受诅胎体/塔罗牌")</f>
        <v>来自地狱/受诅胎体/塔罗牌</v>
      </c>
      <c r="L16" s="318" t="str">
        <f>IFERROR(__xludf.DUMMYFUNCTION("GOOGLETRANSLATE(C16,""zh-tw"",""zh"")"),"-")</f>
        <v>-</v>
      </c>
      <c r="M16" s="150" t="str">
        <f>IFERROR(__xludf.DUMMYFUNCTION("GOOGLETRANSLATE(A16,""zh-tw"",""es-MX"")"),"Monstruito Rojo")</f>
        <v>Monstruito Rojo</v>
      </c>
      <c r="N16" s="164" t="str">
        <f>IFERROR(__xludf.DUMMYFUNCTION("GOOGLETRANSLATE(B16,""zh-tw"",""es-MX"")"),"Del infierno/Feto maldito/Cartas del tarot")</f>
        <v>Del infierno/Feto maldito/Cartas del tarot</v>
      </c>
      <c r="O16" s="320" t="str">
        <f>IFERROR(__xludf.DUMMYFUNCTION("GOOGLETRANSLATE(C16,""zh-tw"",""es-MX"")"),"-")</f>
        <v>-</v>
      </c>
      <c r="P16" s="149" t="s">
        <v>3998</v>
      </c>
      <c r="Q16" s="319" t="s">
        <v>3999</v>
      </c>
      <c r="R16" s="320" t="str">
        <f>IFERROR(__xludf.DUMMYFUNCTION("GOOGLETRANSLATE(C16,""zh-tw"",""KO"")"),"-")</f>
        <v>-</v>
      </c>
      <c r="S16" s="316" t="str">
        <f>IFERROR(__xludf.DUMMYFUNCTION("GOOGLETRANSLATE(A16,""zh-tw"",""ru"")"),"Маленький Красный Монстр")</f>
        <v>Маленький Красный Монстр</v>
      </c>
      <c r="T16" s="317" t="str">
        <f>IFERROR(__xludf.DUMMYFUNCTION("GOOGLETRANSLATE(B16,""zh-tw"",""ru"")"),"Из ада/Проклятый плод/Карты Таро")</f>
        <v>Из ада/Проклятый плод/Карты Таро</v>
      </c>
      <c r="U16" s="318" t="str">
        <f>IFERROR(__xludf.DUMMYFUNCTION("GOOGLETRANSLATE(C16,""zh-tw"",""ru"")"),"-")</f>
        <v>-</v>
      </c>
      <c r="V16" s="175" t="s">
        <v>4000</v>
      </c>
      <c r="W16" s="319" t="s">
        <v>4001</v>
      </c>
      <c r="X16" s="321" t="s">
        <v>3868</v>
      </c>
      <c r="Y16" s="156" t="s">
        <v>4002</v>
      </c>
      <c r="Z16" s="166" t="s">
        <v>4003</v>
      </c>
      <c r="AA16" s="322" t="s">
        <v>724</v>
      </c>
      <c r="AB16" s="17"/>
      <c r="AC16" s="17"/>
      <c r="AD16" s="17"/>
      <c r="AE16" s="17"/>
    </row>
    <row r="17">
      <c r="A17" s="149" t="s">
        <v>4004</v>
      </c>
      <c r="B17" s="163" t="s">
        <v>4005</v>
      </c>
      <c r="C17" s="315" t="s">
        <v>724</v>
      </c>
      <c r="D17" s="175" t="s">
        <v>4006</v>
      </c>
      <c r="E17" s="317" t="str">
        <f>IFERROR(__xludf.DUMMYFUNCTION("GOOGLETRANSLATE(B17,""zh-tw"",""ja"")"),"騎士の剣")</f>
        <v>騎士の剣</v>
      </c>
      <c r="F17" s="318" t="str">
        <f>IFERROR(__xludf.DUMMYFUNCTION("GOOGLETRANSLATE(C17,""zh-tw"",""ja"")"),"-")</f>
        <v>-</v>
      </c>
      <c r="G17" s="175" t="s">
        <v>4007</v>
      </c>
      <c r="H17" s="319" t="s">
        <v>4008</v>
      </c>
      <c r="I17" s="318" t="str">
        <f>IFERROR(__xludf.DUMMYFUNCTION("GOOGLETRANSLATE(C17,""zh-tw"",""en"")"),"-")</f>
        <v>-</v>
      </c>
      <c r="J17" s="316" t="str">
        <f>IFERROR(__xludf.DUMMYFUNCTION("GOOGLETRANSLATE(A17,""zh-tw"",""zh"")"),"石中剑")</f>
        <v>石中剑</v>
      </c>
      <c r="K17" s="317" t="str">
        <f>IFERROR(__xludf.DUMMYFUNCTION("GOOGLETRANSLATE(B17,""zh-tw"",""zh"")"),"骑士剑")</f>
        <v>骑士剑</v>
      </c>
      <c r="L17" s="318" t="str">
        <f>IFERROR(__xludf.DUMMYFUNCTION("GOOGLETRANSLATE(C17,""zh-tw"",""zh"")"),"-")</f>
        <v>-</v>
      </c>
      <c r="M17" s="150" t="str">
        <f>IFERROR(__xludf.DUMMYFUNCTION("GOOGLETRANSLATE(A17,""zh-tw"",""es-MX"")"),"La espada en la piedra")</f>
        <v>La espada en la piedra</v>
      </c>
      <c r="N17" s="164" t="str">
        <f>IFERROR(__xludf.DUMMYFUNCTION("GOOGLETRANSLATE(B17,""zh-tw"",""es-MX"")"),"Espada de caballero")</f>
        <v>Espada de caballero</v>
      </c>
      <c r="O17" s="320" t="str">
        <f>IFERROR(__xludf.DUMMYFUNCTION("GOOGLETRANSLATE(C17,""zh-tw"",""es-MX"")"),"-")</f>
        <v>-</v>
      </c>
      <c r="P17" s="149" t="s">
        <v>4009</v>
      </c>
      <c r="Q17" s="163" t="s">
        <v>4010</v>
      </c>
      <c r="R17" s="320" t="str">
        <f>IFERROR(__xludf.DUMMYFUNCTION("GOOGLETRANSLATE(C17,""zh-tw"",""KO"")"),"-")</f>
        <v>-</v>
      </c>
      <c r="S17" s="316" t="str">
        <f>IFERROR(__xludf.DUMMYFUNCTION("GOOGLETRANSLATE(A17,""zh-tw"",""ru"")"),"Меч в камне")</f>
        <v>Меч в камне</v>
      </c>
      <c r="T17" s="317" t="str">
        <f>IFERROR(__xludf.DUMMYFUNCTION("GOOGLETRANSLATE(B17,""zh-tw"",""ru"")"),"Рыцарский меч")</f>
        <v>Рыцарский меч</v>
      </c>
      <c r="U17" s="318" t="str">
        <f>IFERROR(__xludf.DUMMYFUNCTION("GOOGLETRANSLATE(C17,""zh-tw"",""ru"")"),"-")</f>
        <v>-</v>
      </c>
      <c r="V17" s="175" t="s">
        <v>4011</v>
      </c>
      <c r="W17" s="319" t="s">
        <v>4012</v>
      </c>
      <c r="X17" s="321" t="s">
        <v>4013</v>
      </c>
      <c r="Y17" s="156" t="s">
        <v>4014</v>
      </c>
      <c r="Z17" s="166" t="s">
        <v>4015</v>
      </c>
      <c r="AA17" s="322" t="s">
        <v>724</v>
      </c>
      <c r="AB17" s="17"/>
      <c r="AC17" s="17"/>
      <c r="AD17" s="17"/>
      <c r="AE17" s="17"/>
    </row>
    <row r="18">
      <c r="A18" s="149" t="s">
        <v>4016</v>
      </c>
      <c r="B18" s="163" t="s">
        <v>4016</v>
      </c>
      <c r="C18" s="315" t="s">
        <v>4017</v>
      </c>
      <c r="D18" s="316" t="str">
        <f>IFERROR(__xludf.DUMMYFUNCTION("GOOGLETRANSLATE(A18,""zh-tw"",""ja"")"),"とても大きな卵")</f>
        <v>とても大きな卵</v>
      </c>
      <c r="E18" s="317" t="str">
        <f>IFERROR(__xludf.DUMMYFUNCTION("GOOGLETRANSLATE(B18,""zh-tw"",""ja"")"),"とても大きな卵")</f>
        <v>とても大きな卵</v>
      </c>
      <c r="F18" s="321" t="s">
        <v>4018</v>
      </c>
      <c r="G18" s="175" t="s">
        <v>4019</v>
      </c>
      <c r="H18" s="319" t="s">
        <v>4019</v>
      </c>
      <c r="I18" s="321" t="s">
        <v>4020</v>
      </c>
      <c r="J18" s="316" t="str">
        <f>IFERROR(__xludf.DUMMYFUNCTION("GOOGLETRANSLATE(A18,""zh-tw"",""zh"")"),"很大的蛋")</f>
        <v>很大的蛋</v>
      </c>
      <c r="K18" s="317" t="str">
        <f>IFERROR(__xludf.DUMMYFUNCTION("GOOGLETRANSLATE(B18,""zh-tw"",""zh"")"),"很大的蛋")</f>
        <v>很大的蛋</v>
      </c>
      <c r="L18" s="318" t="str">
        <f>IFERROR(__xludf.DUMMYFUNCTION("GOOGLETRANSLATE(C18,""zh-tw"",""zh"")"),"于遗迹底层捡取(不可以打破)")</f>
        <v>于遗迹底层捡取(不可以打破)</v>
      </c>
      <c r="M18" s="150" t="str">
        <f>IFERROR(__xludf.DUMMYFUNCTION("GOOGLETRANSLATE(A18,""zh-tw"",""es-MX"")"),"Un huevo muy grande")</f>
        <v>Un huevo muy grande</v>
      </c>
      <c r="N18" s="164" t="str">
        <f>IFERROR(__xludf.DUMMYFUNCTION("GOOGLETRANSLATE(B18,""zh-tw"",""es-MX"")"),"Un huevo muy grande")</f>
        <v>Un huevo muy grande</v>
      </c>
      <c r="O18" s="320" t="str">
        <f>IFERROR(__xludf.DUMMYFUNCTION("GOOGLETRANSLATE(C18,""zh-tw"",""es-MX"")"),"Recógelo del fondo de las ruinas (no lo rompas).")</f>
        <v>Recógelo del fondo de las ruinas (no lo rompas).</v>
      </c>
      <c r="P18" s="149" t="s">
        <v>4021</v>
      </c>
      <c r="Q18" s="163" t="s">
        <v>4021</v>
      </c>
      <c r="R18" s="315" t="s">
        <v>4022</v>
      </c>
      <c r="S18" s="316" t="str">
        <f>IFERROR(__xludf.DUMMYFUNCTION("GOOGLETRANSLATE(A18,""zh-tw"",""ru"")"),"Очень большое яйцо")</f>
        <v>Очень большое яйцо</v>
      </c>
      <c r="T18" s="317" t="str">
        <f>IFERROR(__xludf.DUMMYFUNCTION("GOOGLETRANSLATE(B18,""zh-tw"",""ru"")"),"Очень большое яйцо")</f>
        <v>Очень большое яйцо</v>
      </c>
      <c r="U18" s="318" t="str">
        <f>IFERROR(__xludf.DUMMYFUNCTION("GOOGLETRANSLATE(C18,""zh-tw"",""ru"")"),"Поднимите его со дна руин (не разбивайте).")</f>
        <v>Поднимите его со дна руин (не разбивайте).</v>
      </c>
      <c r="V18" s="175" t="s">
        <v>4023</v>
      </c>
      <c r="W18" s="319" t="s">
        <v>4024</v>
      </c>
      <c r="X18" s="321" t="s">
        <v>4025</v>
      </c>
      <c r="Y18" s="156" t="s">
        <v>4026</v>
      </c>
      <c r="Z18" s="166" t="s">
        <v>4026</v>
      </c>
      <c r="AA18" s="322" t="s">
        <v>4027</v>
      </c>
      <c r="AB18" s="17"/>
      <c r="AC18" s="17"/>
      <c r="AD18" s="17"/>
      <c r="AE18" s="17"/>
    </row>
    <row r="19">
      <c r="A19" s="149" t="s">
        <v>4028</v>
      </c>
      <c r="B19" s="163" t="s">
        <v>4029</v>
      </c>
      <c r="C19" s="315" t="s">
        <v>4030</v>
      </c>
      <c r="D19" s="175" t="s">
        <v>4031</v>
      </c>
      <c r="E19" s="317" t="str">
        <f>IFERROR(__xludf.DUMMYFUNCTION("GOOGLETRANSLATE(B19,""zh-tw"",""ja"")"),"キノコ")</f>
        <v>キノコ</v>
      </c>
      <c r="F19" s="321" t="s">
        <v>4032</v>
      </c>
      <c r="G19" s="175" t="s">
        <v>4033</v>
      </c>
      <c r="H19" s="319" t="s">
        <v>4034</v>
      </c>
      <c r="I19" s="321" t="s">
        <v>4035</v>
      </c>
      <c r="J19" s="316" t="str">
        <f>IFERROR(__xludf.DUMMYFUNCTION("GOOGLETRANSLATE(A19,""zh-tw"",""zh"")"),"迷雾森林菇类")</f>
        <v>迷雾森林菇类</v>
      </c>
      <c r="K19" s="317" t="str">
        <f>IFERROR(__xludf.DUMMYFUNCTION("GOOGLETRANSLATE(B19,""zh-tw"",""zh"")"),"香菇")</f>
        <v>香菇</v>
      </c>
      <c r="L19" s="318" t="str">
        <f>IFERROR(__xludf.DUMMYFUNCTION("GOOGLETRANSLATE(C19,""zh-tw"",""zh"")"),"于前往迷雾森林的通道中捡取")</f>
        <v>于前往迷雾森林的通道中捡取</v>
      </c>
      <c r="M19" s="150" t="str">
        <f>IFERROR(__xludf.DUMMYFUNCTION("GOOGLETRANSLATE(A19,""zh-tw"",""es-MX"")"),"Hongos del bosque brumoso")</f>
        <v>Hongos del bosque brumoso</v>
      </c>
      <c r="N19" s="164" t="str">
        <f>IFERROR(__xludf.DUMMYFUNCTION("GOOGLETRANSLATE(B19,""zh-tw"",""es-MX"")"),"champiñón")</f>
        <v>champiñón</v>
      </c>
      <c r="O19" s="320" t="str">
        <f>IFERROR(__xludf.DUMMYFUNCTION("GOOGLETRANSLATE(C19,""zh-tw"",""es-MX"")"),"Recógelo en el pasaje que lleva al Bosque Brumoso.")</f>
        <v>Recógelo en el pasaje que lleva al Bosque Brumoso.</v>
      </c>
      <c r="P19" s="149" t="s">
        <v>4036</v>
      </c>
      <c r="Q19" s="164" t="str">
        <f>IFERROR(__xludf.DUMMYFUNCTION("GOOGLETRANSLATE(B19,""zh-tw"",""KO"")"),"버섯")</f>
        <v>버섯</v>
      </c>
      <c r="R19" s="315" t="s">
        <v>4037</v>
      </c>
      <c r="S19" s="316" t="str">
        <f>IFERROR(__xludf.DUMMYFUNCTION("GOOGLETRANSLATE(A19,""zh-tw"",""ru"")"),"Грибы туманного леса")</f>
        <v>Грибы туманного леса</v>
      </c>
      <c r="T19" s="317" t="str">
        <f>IFERROR(__xludf.DUMMYFUNCTION("GOOGLETRANSLATE(B19,""zh-tw"",""ru"")"),"гриб")</f>
        <v>гриб</v>
      </c>
      <c r="U19" s="318" t="str">
        <f>IFERROR(__xludf.DUMMYFUNCTION("GOOGLETRANSLATE(C19,""zh-tw"",""ru"")"),"Подберите его в проходе в Туманный лес.")</f>
        <v>Подберите его в проходе в Туманный лес.</v>
      </c>
      <c r="V19" s="175" t="s">
        <v>4038</v>
      </c>
      <c r="W19" s="319" t="s">
        <v>4039</v>
      </c>
      <c r="X19" s="321" t="s">
        <v>4040</v>
      </c>
      <c r="Y19" s="156" t="s">
        <v>4041</v>
      </c>
      <c r="Z19" s="166" t="s">
        <v>4042</v>
      </c>
      <c r="AA19" s="322" t="s">
        <v>4043</v>
      </c>
      <c r="AB19" s="17"/>
      <c r="AC19" s="17"/>
      <c r="AD19" s="17"/>
      <c r="AE19" s="17"/>
    </row>
    <row r="20">
      <c r="A20" s="149" t="s">
        <v>4044</v>
      </c>
      <c r="B20" s="163" t="s">
        <v>4045</v>
      </c>
      <c r="C20" s="315" t="s">
        <v>4046</v>
      </c>
      <c r="D20" s="175" t="s">
        <v>4047</v>
      </c>
      <c r="E20" s="317" t="str">
        <f>IFERROR(__xludf.DUMMYFUNCTION("GOOGLETRANSLATE(B20,""zh-tw"",""ja"")"),"椎茸 / ヒラタケ / カニタケ / キノコ")</f>
        <v>椎茸 / ヒラタケ / カニタケ / キノコ</v>
      </c>
      <c r="F20" s="321" t="s">
        <v>4048</v>
      </c>
      <c r="G20" s="175" t="s">
        <v>4049</v>
      </c>
      <c r="H20" s="319" t="s">
        <v>4050</v>
      </c>
      <c r="I20" s="321" t="s">
        <v>4051</v>
      </c>
      <c r="J20" s="316" t="str">
        <f>IFERROR(__xludf.DUMMYFUNCTION("GOOGLETRANSLATE(A20,""zh-tw"",""zh"")"),"遗迹菇类")</f>
        <v>遗迹菇类</v>
      </c>
      <c r="K20" s="317" t="str">
        <f>IFERROR(__xludf.DUMMYFUNCTION("GOOGLETRANSLATE(B20,""zh-tw"",""zh"")"),"香菇/平菇/蟹味菇/月夜茸")</f>
        <v>香菇/平菇/蟹味菇/月夜茸</v>
      </c>
      <c r="L20" s="318" t="str">
        <f>IFERROR(__xludf.DUMMYFUNCTION("GOOGLETRANSLATE(C20,""zh-tw"",""zh"")"),"于遗迹打地面上的蘑菇")</f>
        <v>于遗迹打地面上的蘑菇</v>
      </c>
      <c r="M20" s="150" t="str">
        <f>IFERROR(__xludf.DUMMYFUNCTION("GOOGLETRANSLATE(A20,""zh-tw"",""es-MX"")"),"setas reliquia")</f>
        <v>setas reliquia</v>
      </c>
      <c r="N20" s="164" t="str">
        <f>IFERROR(__xludf.DUMMYFUNCTION("GOOGLETRANSLATE(B20,""zh-tw"",""es-MX"")"),"Champiñones shiitake / Champiñones ostra / Champiñones cangrejo / Champiñones")</f>
        <v>Champiñones shiitake / Champiñones ostra / Champiñones cangrejo / Champiñones</v>
      </c>
      <c r="O20" s="320" t="str">
        <f>IFERROR(__xludf.DUMMYFUNCTION("GOOGLETRANSLATE(C20,""zh-tw"",""es-MX"")"),"Golpea las setas que hay en el suelo de las ruinas")</f>
        <v>Golpea las setas que hay en el suelo de las ruinas</v>
      </c>
      <c r="P20" s="149" t="s">
        <v>4052</v>
      </c>
      <c r="Q20" s="163" t="s">
        <v>4053</v>
      </c>
      <c r="R20" s="315" t="s">
        <v>4054</v>
      </c>
      <c r="S20" s="316" t="str">
        <f>IFERROR(__xludf.DUMMYFUNCTION("GOOGLETRANSLATE(A20,""zh-tw"",""ru"")"),"Реликтовые грибы")</f>
        <v>Реликтовые грибы</v>
      </c>
      <c r="T20" s="317" t="str">
        <f>IFERROR(__xludf.DUMMYFUNCTION("GOOGLETRANSLATE(B20,""zh-tw"",""ru"")"),"Грибы шиитаке / Вёшенки / Крабовые грибы / Грибы")</f>
        <v>Грибы шиитаке / Вёшенки / Крабовые грибы / Грибы</v>
      </c>
      <c r="U20" s="318" t="str">
        <f>IFERROR(__xludf.DUMMYFUNCTION("GOOGLETRANSLATE(C20,""zh-tw"",""ru"")"),"На руинах на земле лежат грибы.")</f>
        <v>На руинах на земле лежат грибы.</v>
      </c>
      <c r="V20" s="175" t="s">
        <v>4055</v>
      </c>
      <c r="W20" s="319" t="s">
        <v>4056</v>
      </c>
      <c r="X20" s="321" t="s">
        <v>4057</v>
      </c>
      <c r="Y20" s="156" t="s">
        <v>4058</v>
      </c>
      <c r="Z20" s="166" t="s">
        <v>4059</v>
      </c>
      <c r="AA20" s="322" t="s">
        <v>4060</v>
      </c>
      <c r="AB20" s="17"/>
      <c r="AC20" s="17"/>
      <c r="AD20" s="17"/>
      <c r="AE20" s="17"/>
    </row>
    <row r="21">
      <c r="A21" s="149" t="s">
        <v>4061</v>
      </c>
      <c r="B21" s="163" t="s">
        <v>4062</v>
      </c>
      <c r="C21" s="315" t="s">
        <v>4063</v>
      </c>
      <c r="D21" s="175" t="s">
        <v>4064</v>
      </c>
      <c r="E21" s="317" t="str">
        <f>IFERROR(__xludf.DUMMYFUNCTION("GOOGLETRANSLATE(B21,""zh-tw"",""ja"")"),"火の鳥の羽")</f>
        <v>火の鳥の羽</v>
      </c>
      <c r="F21" s="321" t="s">
        <v>4065</v>
      </c>
      <c r="G21" s="175" t="s">
        <v>4066</v>
      </c>
      <c r="H21" s="319" t="s">
        <v>4067</v>
      </c>
      <c r="I21" s="321" t="s">
        <v>4068</v>
      </c>
      <c r="J21" s="316" t="str">
        <f>IFERROR(__xludf.DUMMYFUNCTION("GOOGLETRANSLATE(A21,""zh-tw"",""zh"")"),"红花")</f>
        <v>红花</v>
      </c>
      <c r="K21" s="317" t="str">
        <f>IFERROR(__xludf.DUMMYFUNCTION("GOOGLETRANSLATE(B21,""zh-tw"",""zh"")"),"火鸟的羽毛")</f>
        <v>火鸟的羽毛</v>
      </c>
      <c r="L21" s="318" t="str">
        <f>IFERROR(__xludf.DUMMYFUNCTION("GOOGLETRANSLATE(C21,""zh-tw"",""zh"")"),"于遗迹打地面上的红花")</f>
        <v>于遗迹打地面上的红花</v>
      </c>
      <c r="M21" s="150" t="str">
        <f>IFERROR(__xludf.DUMMYFUNCTION("GOOGLETRANSLATE(A21,""zh-tw"",""es-MX"")"),"cártamo")</f>
        <v>cártamo</v>
      </c>
      <c r="N21" s="164" t="str">
        <f>IFERROR(__xludf.DUMMYFUNCTION("GOOGLETRANSLATE(B21,""zh-tw"",""es-MX"")"),"plumas de ave fénix")</f>
        <v>plumas de ave fénix</v>
      </c>
      <c r="O21" s="320" t="str">
        <f>IFERROR(__xludf.DUMMYFUNCTION("GOOGLETRANSLATE(C21,""zh-tw"",""es-MX"")"),"Flores rojas en el suelo junto a las ruinas")</f>
        <v>Flores rojas en el suelo junto a las ruinas</v>
      </c>
      <c r="P21" s="149" t="s">
        <v>4069</v>
      </c>
      <c r="Q21" s="163" t="s">
        <v>4070</v>
      </c>
      <c r="R21" s="315" t="s">
        <v>4071</v>
      </c>
      <c r="S21" s="316" t="str">
        <f>IFERROR(__xludf.DUMMYFUNCTION("GOOGLETRANSLATE(A21,""zh-tw"",""ru"")"),"сафлор")</f>
        <v>сафлор</v>
      </c>
      <c r="T21" s="317" t="str">
        <f>IFERROR(__xludf.DUMMYFUNCTION("GOOGLETRANSLATE(B21,""zh-tw"",""ru"")"),"Перья жар-птицы")</f>
        <v>Перья жар-птицы</v>
      </c>
      <c r="U21" s="318" t="str">
        <f>IFERROR(__xludf.DUMMYFUNCTION("GOOGLETRANSLATE(C21,""zh-tw"",""ru"")"),"Красные цветы на земле у руин")</f>
        <v>Красные цветы на земле у руин</v>
      </c>
      <c r="V21" s="175" t="s">
        <v>4072</v>
      </c>
      <c r="W21" s="319" t="s">
        <v>4073</v>
      </c>
      <c r="X21" s="321" t="s">
        <v>4074</v>
      </c>
      <c r="Y21" s="156" t="s">
        <v>4075</v>
      </c>
      <c r="Z21" s="166" t="s">
        <v>4076</v>
      </c>
      <c r="AA21" s="322" t="s">
        <v>4077</v>
      </c>
      <c r="AB21" s="17"/>
      <c r="AC21" s="17"/>
      <c r="AD21" s="17"/>
      <c r="AE21" s="17"/>
    </row>
    <row r="22">
      <c r="A22" s="149" t="s">
        <v>4078</v>
      </c>
      <c r="B22" s="163" t="s">
        <v>4079</v>
      </c>
      <c r="C22" s="315" t="s">
        <v>4080</v>
      </c>
      <c r="D22" s="175" t="s">
        <v>4081</v>
      </c>
      <c r="E22" s="317" t="str">
        <f>IFERROR(__xludf.DUMMYFUNCTION("GOOGLETRANSLATE(B22,""zh-tw"",""ja"")"),"白品質装備 / 青品質装備 / タロットカード / 汎用アイテム")</f>
        <v>白品質装備 / 青品質装備 / タロットカード / 汎用アイテム</v>
      </c>
      <c r="F22" s="318" t="str">
        <f>IFERROR(__xludf.DUMMYFUNCTION("GOOGLETRANSLATE(C22,""zh-tw"",""ja"")"),"遺跡には陶器の瓶、木の樽、墓石、石板などが含まれています。")</f>
        <v>遺跡には陶器の瓶、木の樽、墓石、石板などが含まれています。</v>
      </c>
      <c r="G22" s="175" t="s">
        <v>4082</v>
      </c>
      <c r="H22" s="319" t="s">
        <v>4083</v>
      </c>
      <c r="I22" s="321" t="s">
        <v>4084</v>
      </c>
      <c r="J22" s="316" t="str">
        <f>IFERROR(__xludf.DUMMYFUNCTION("GOOGLETRANSLATE(A22,""zh-tw"",""zh"")"),"场景物件")</f>
        <v>场景物件</v>
      </c>
      <c r="K22" s="317" t="str">
        <f>IFERROR(__xludf.DUMMYFUNCTION("GOOGLETRANSLATE(B22,""zh-tw"",""zh"")"),"白色品质装备/蓝色品质装备/塔罗牌/通用型道具")</f>
        <v>白色品质装备/蓝色品质装备/塔罗牌/通用型道具</v>
      </c>
      <c r="L22" s="318" t="str">
        <f>IFERROR(__xludf.DUMMYFUNCTION("GOOGLETRANSLATE(C22,""zh-tw"",""zh"")"),"遗迹陶瓶、木桶、墓碑、石板")</f>
        <v>遗迹陶瓶、木桶、墓碑、石板</v>
      </c>
      <c r="M22" s="150" t="str">
        <f>IFERROR(__xludf.DUMMYFUNCTION("GOOGLETRANSLATE(A22,""zh-tw"",""es-MX"")"),"Objetos de escena")</f>
        <v>Objetos de escena</v>
      </c>
      <c r="N22" s="164" t="str">
        <f>IFERROR(__xludf.DUMMYFUNCTION("GOOGLETRANSLATE(B22,""zh-tw"",""es-MX"")"),"Equipos de calidad blanca / Equipos de calidad azul / Cartas del tarot / Artículos de uso general")</f>
        <v>Equipos de calidad blanca / Equipos de calidad azul / Cartas del tarot / Artículos de uso general</v>
      </c>
      <c r="O22" s="320" t="str">
        <f>IFERROR(__xludf.DUMMYFUNCTION("GOOGLETRANSLATE(C22,""zh-tw"",""es-MX"")"),"Entre los restos se incluyen botellas de cerámica, barriles de madera, lápidas y losas de piedra.")</f>
        <v>Entre los restos se incluyen botellas de cerámica, barriles de madera, lápidas y losas de piedra.</v>
      </c>
      <c r="P22" s="149" t="s">
        <v>4085</v>
      </c>
      <c r="Q22" s="163" t="s">
        <v>4086</v>
      </c>
      <c r="R22" s="315" t="s">
        <v>4087</v>
      </c>
      <c r="S22" s="316" t="str">
        <f>IFERROR(__xludf.DUMMYFUNCTION("GOOGLETRANSLATE(A22,""zh-tw"",""ru"")"),"Объекты сцены")</f>
        <v>Объекты сцены</v>
      </c>
      <c r="T22" s="317" t="str">
        <f>IFERROR(__xludf.DUMMYFUNCTION("GOOGLETRANSLATE(B22,""zh-tw"",""ru"")"),"Оборудование белого качества / Оборудование синего качества / Карты Таро / Предметы общего назначения")</f>
        <v>Оборудование белого качества / Оборудование синего качества / Карты Таро / Предметы общего назначения</v>
      </c>
      <c r="U22" s="318" t="str">
        <f>IFERROR(__xludf.DUMMYFUNCTION("GOOGLETRANSLATE(C22,""zh-tw"",""ru"")"),"Среди находок — керамические бутылки, деревянные бочки, надгробия и каменные плиты.")</f>
        <v>Среди находок — керамические бутылки, деревянные бочки, надгробия и каменные плиты.</v>
      </c>
      <c r="V22" s="175" t="s">
        <v>4088</v>
      </c>
      <c r="W22" s="319" t="s">
        <v>4089</v>
      </c>
      <c r="X22" s="321" t="s">
        <v>4090</v>
      </c>
      <c r="Y22" s="156" t="s">
        <v>4091</v>
      </c>
      <c r="Z22" s="166" t="s">
        <v>4092</v>
      </c>
      <c r="AA22" s="322" t="s">
        <v>4093</v>
      </c>
      <c r="AB22" s="17"/>
      <c r="AC22" s="17"/>
      <c r="AD22" s="17"/>
      <c r="AE22" s="17"/>
    </row>
    <row r="23">
      <c r="A23" s="149" t="s">
        <v>4094</v>
      </c>
      <c r="B23" s="163" t="s">
        <v>4095</v>
      </c>
      <c r="C23" s="315" t="s">
        <v>4096</v>
      </c>
      <c r="D23" s="175" t="s">
        <v>4097</v>
      </c>
      <c r="E23" s="317" t="str">
        <f>IFERROR(__xludf.DUMMYFUNCTION("GOOGLETRANSLATE(B23,""zh-tw"",""ja"")"),"マグロ／イシダイ／サンマ／タイ／タコの足／甘エビ／ロブスター／ケガニ／サーモン／キングサーモン／カニの爪／アオウミガメの甲羅")</f>
        <v>マグロ／イシダイ／サンマ／タイ／タコの足／甘エビ／ロブスター／ケガニ／サーモン／キングサーモン／カニの爪／アオウミガメの甲羅</v>
      </c>
      <c r="F23" s="321" t="s">
        <v>4098</v>
      </c>
      <c r="G23" s="175" t="s">
        <v>4099</v>
      </c>
      <c r="H23" s="319" t="s">
        <v>4100</v>
      </c>
      <c r="I23" s="321" t="s">
        <v>4101</v>
      </c>
      <c r="J23" s="316" t="str">
        <f>IFERROR(__xludf.DUMMYFUNCTION("GOOGLETRANSLATE(A23,""zh-tw"",""zh"")"),"炸水面")</f>
        <v>炸水面</v>
      </c>
      <c r="K23" s="317" t="str">
        <f>IFERROR(__xludf.DUMMYFUNCTION("GOOGLETRANSLATE(B23,""zh-tw"",""zh"")"),"金枪鱼/条石鲷/秋刀鱼/鲷鱼/章鱼触手/甜虾/大龙虾/毛蟹/鲑鱼/帝王鲑/巨大蟹钳/绿龟壳")</f>
        <v>金枪鱼/条石鲷/秋刀鱼/鲷鱼/章鱼触手/甜虾/大龙虾/毛蟹/鲑鱼/帝王鲑/巨大蟹钳/绿龟壳</v>
      </c>
      <c r="L23" s="318" t="str">
        <f>IFERROR(__xludf.DUMMYFUNCTION("GOOGLETRANSLATE(C23,""zh-tw"",""zh"")"),"使用炸弹炸水面
透过喂食扭蛋机不良食品一次炸大量")</f>
        <v>使用炸弹炸水面
透过喂食扭蛋机不良食品一次炸大量</v>
      </c>
      <c r="M23" s="150" t="str">
        <f>IFERROR(__xludf.DUMMYFUNCTION("GOOGLETRANSLATE(A23,""zh-tw"",""es-MX"")"),"fideos fritos")</f>
        <v>fideos fritos</v>
      </c>
      <c r="N23" s="164" t="str">
        <f>IFERROR(__xludf.DUMMYFUNCTION("GOOGLETRANSLATE(B23,""zh-tw"",""es-MX"")"),"Atún/Pargo rayado/Patata/Dorada/Tentáculos de pulpo/Camarones dulces/Langosta/Cangrejo peludo/Salmón/Salmón real/Pinzas de cangrejo gigante/Caparazón de tortuga verde")</f>
        <v>Atún/Pargo rayado/Patata/Dorada/Tentáculos de pulpo/Camarones dulces/Langosta/Cangrejo peludo/Salmón/Salmón real/Pinzas de cangrejo gigante/Caparazón de tortuga verde</v>
      </c>
      <c r="O23" s="320" t="str">
        <f>IFERROR(__xludf.DUMMYFUNCTION("GOOGLETRANSLATE(C23,""zh-tw"",""es-MX"")"),"Utilizar bombas para hacer estallar la superficie del agua; hacer explotar grandes cantidades de comida de mala calidad a la vez alimentando máquinas de gashapon.")</f>
        <v>Utilizar bombas para hacer estallar la superficie del agua; hacer explotar grandes cantidades de comida de mala calidad a la vez alimentando máquinas de gashapon.</v>
      </c>
      <c r="P23" s="149" t="s">
        <v>4102</v>
      </c>
      <c r="Q23" s="163" t="s">
        <v>4103</v>
      </c>
      <c r="R23" s="315" t="s">
        <v>4104</v>
      </c>
      <c r="S23" s="316" t="str">
        <f>IFERROR(__xludf.DUMMYFUNCTION("GOOGLETRANSLATE(A23,""zh-tw"",""ru"")"),"Жареная лапша")</f>
        <v>Жареная лапша</v>
      </c>
      <c r="T23" s="317" t="str">
        <f>IFERROR(__xludf.DUMMYFUNCTION("GOOGLETRANSLATE(B23,""zh-tw"",""ru"")"),"Тунец/Полосатый каменный люциан/Сайра/Морской лещ/Щупальца осьминога/Сладкие креветки/Омар/Волосатый краб/Лосось/Королевский лосось/Клешни гигантского краба/Панцирь зеленой черепахи")</f>
        <v>Тунец/Полосатый каменный люциан/Сайра/Морской лещ/Щупальца осьминога/Сладкие креветки/Омар/Волосатый краб/Лосось/Королевский лосось/Клешни гигантского краба/Панцирь зеленой черепахи</v>
      </c>
      <c r="U23" s="318" t="str">
        <f>IFERROR(__xludf.DUMMYFUNCTION("GOOGLETRANSLATE(C23,""zh-tw"",""ru"")"),"Использование бомб для подрыва водной поверхности; Одновременный взрыв большого количества некачественной еды путем скармливания ее машинам-гасяпонам.")</f>
        <v>Использование бомб для подрыва водной поверхности; Одновременный взрыв большого количества некачественной еды путем скармливания ее машинам-гасяпонам.</v>
      </c>
      <c r="V23" s="175" t="s">
        <v>4105</v>
      </c>
      <c r="W23" s="319" t="s">
        <v>4106</v>
      </c>
      <c r="X23" s="321" t="s">
        <v>4107</v>
      </c>
      <c r="Y23" s="156" t="s">
        <v>4108</v>
      </c>
      <c r="Z23" s="166" t="s">
        <v>4109</v>
      </c>
      <c r="AA23" s="322" t="s">
        <v>4110</v>
      </c>
      <c r="AB23" s="17"/>
      <c r="AC23" s="17"/>
      <c r="AD23" s="17"/>
      <c r="AE23" s="17"/>
    </row>
    <row r="24">
      <c r="A24" s="149" t="s">
        <v>4111</v>
      </c>
      <c r="B24" s="163" t="s">
        <v>4112</v>
      </c>
      <c r="C24" s="315" t="s">
        <v>724</v>
      </c>
      <c r="D24" s="175" t="s">
        <v>4113</v>
      </c>
      <c r="E24" s="317" t="str">
        <f>IFERROR(__xludf.DUMMYFUNCTION("GOOGLETRANSLATE(B24,""zh-tw"",""ja"")"),"星月夜/招き猫/タロットカード")</f>
        <v>星月夜/招き猫/タロットカード</v>
      </c>
      <c r="F24" s="318" t="str">
        <f>IFERROR(__xludf.DUMMYFUNCTION("GOOGLETRANSLATE(C24,""zh-tw"",""ja"")"),"-")</f>
        <v>-</v>
      </c>
      <c r="G24" s="175" t="s">
        <v>4114</v>
      </c>
      <c r="H24" s="319" t="s">
        <v>4115</v>
      </c>
      <c r="I24" s="318" t="str">
        <f>IFERROR(__xludf.DUMMYFUNCTION("GOOGLETRANSLATE(C24,""zh-tw"",""en"")"),"-")</f>
        <v>-</v>
      </c>
      <c r="J24" s="316" t="str">
        <f>IFERROR(__xludf.DUMMYFUNCTION("GOOGLETRANSLATE(A24,""zh-tw"",""zh"")"),"恶魔猫")</f>
        <v>恶魔猫</v>
      </c>
      <c r="K24" s="317" t="str">
        <f>IFERROR(__xludf.DUMMYFUNCTION("GOOGLETRANSLATE(B24,""zh-tw"",""zh"")"),"星月夜/招财猫/塔罗牌")</f>
        <v>星月夜/招财猫/塔罗牌</v>
      </c>
      <c r="L24" s="318" t="str">
        <f>IFERROR(__xludf.DUMMYFUNCTION("GOOGLETRANSLATE(C24,""zh-tw"",""zh"")"),"-")</f>
        <v>-</v>
      </c>
      <c r="M24" s="150" t="str">
        <f>IFERROR(__xludf.DUMMYFUNCTION("GOOGLETRANSLATE(A24,""zh-tw"",""es-MX"")"),"Gato Diablo")</f>
        <v>Gato Diablo</v>
      </c>
      <c r="N24" s="164" t="str">
        <f>IFERROR(__xludf.DUMMYFUNCTION("GOOGLETRANSLATE(B24,""zh-tw"",""es-MX"")"),"Noche estrellada/Gato de la suerte/Cartas del tarot")</f>
        <v>Noche estrellada/Gato de la suerte/Cartas del tarot</v>
      </c>
      <c r="O24" s="320" t="str">
        <f>IFERROR(__xludf.DUMMYFUNCTION("GOOGLETRANSLATE(C24,""zh-tw"",""es-MX"")"),"-")</f>
        <v>-</v>
      </c>
      <c r="P24" s="150" t="str">
        <f>IFERROR(__xludf.DUMMYFUNCTION("GOOGLETRANSLATE(A24,""zh-tw"",""KO"")"),"악마 고양이")</f>
        <v>악마 고양이</v>
      </c>
      <c r="Q24" s="163" t="s">
        <v>4116</v>
      </c>
      <c r="R24" s="320" t="str">
        <f>IFERROR(__xludf.DUMMYFUNCTION("GOOGLETRANSLATE(C24,""zh-tw"",""KO"")"),"-")</f>
        <v>-</v>
      </c>
      <c r="S24" s="316" t="str">
        <f>IFERROR(__xludf.DUMMYFUNCTION("GOOGLETRANSLATE(A24,""zh-tw"",""ru"")"),"Дьявольский кот")</f>
        <v>Дьявольский кот</v>
      </c>
      <c r="T24" s="317" t="str">
        <f>IFERROR(__xludf.DUMMYFUNCTION("GOOGLETRANSLATE(B24,""zh-tw"",""ru"")"),"Звездная ночь/Счастливый кот/Карты Таро")</f>
        <v>Звездная ночь/Счастливый кот/Карты Таро</v>
      </c>
      <c r="U24" s="318" t="str">
        <f>IFERROR(__xludf.DUMMYFUNCTION("GOOGLETRANSLATE(C24,""zh-tw"",""ru"")"),"-")</f>
        <v>-</v>
      </c>
      <c r="V24" s="175" t="s">
        <v>4117</v>
      </c>
      <c r="W24" s="319" t="s">
        <v>4118</v>
      </c>
      <c r="X24" s="321" t="s">
        <v>3868</v>
      </c>
      <c r="Y24" s="156" t="s">
        <v>4119</v>
      </c>
      <c r="Z24" s="166" t="s">
        <v>4120</v>
      </c>
      <c r="AA24" s="322" t="s">
        <v>724</v>
      </c>
      <c r="AB24" s="17"/>
      <c r="AC24" s="17"/>
      <c r="AD24" s="17"/>
      <c r="AE24" s="17"/>
    </row>
    <row r="25">
      <c r="A25" s="149" t="s">
        <v>4121</v>
      </c>
      <c r="B25" s="163" t="s">
        <v>4122</v>
      </c>
      <c r="C25" s="315" t="s">
        <v>724</v>
      </c>
      <c r="D25" s="316" t="str">
        <f>IFERROR(__xludf.DUMMYFUNCTION("GOOGLETRANSLATE(A25,""zh-tw"",""ja"")"),"怨霊")</f>
        <v>怨霊</v>
      </c>
      <c r="E25" s="317" t="str">
        <f>IFERROR(__xludf.DUMMYFUNCTION("GOOGLETRANSLATE(B25,""zh-tw"",""ja"")"),"堕落した魔術師の手袋 / タロットカード")</f>
        <v>堕落した魔術師の手袋 / タロットカード</v>
      </c>
      <c r="F25" s="318" t="str">
        <f>IFERROR(__xludf.DUMMYFUNCTION("GOOGLETRANSLATE(C25,""zh-tw"",""ja"")"),"-")</f>
        <v>-</v>
      </c>
      <c r="G25" s="175" t="s">
        <v>4123</v>
      </c>
      <c r="H25" s="319" t="s">
        <v>4124</v>
      </c>
      <c r="I25" s="318" t="str">
        <f>IFERROR(__xludf.DUMMYFUNCTION("GOOGLETRANSLATE(C25,""zh-tw"",""en"")"),"-")</f>
        <v>-</v>
      </c>
      <c r="J25" s="316" t="str">
        <f>IFERROR(__xludf.DUMMYFUNCTION("GOOGLETRANSLATE(A25,""zh-tw"",""zh"")"),"怨灵")</f>
        <v>怨灵</v>
      </c>
      <c r="K25" s="317" t="str">
        <f>IFERROR(__xludf.DUMMYFUNCTION("GOOGLETRANSLATE(B25,""zh-tw"",""zh"")"),"堕落法师的手套/塔罗牌")</f>
        <v>堕落法师的手套/塔罗牌</v>
      </c>
      <c r="L25" s="318" t="str">
        <f>IFERROR(__xludf.DUMMYFUNCTION("GOOGLETRANSLATE(C25,""zh-tw"",""zh"")"),"-")</f>
        <v>-</v>
      </c>
      <c r="M25" s="150" t="str">
        <f>IFERROR(__xludf.DUMMYFUNCTION("GOOGLETRANSLATE(A25,""zh-tw"",""es-MX"")"),"espíritus vengativos")</f>
        <v>espíritus vengativos</v>
      </c>
      <c r="N25" s="164" t="str">
        <f>IFERROR(__xludf.DUMMYFUNCTION("GOOGLETRANSLATE(B25,""zh-tw"",""es-MX"")"),"Los guantes del mago caído / Cartas del Tarot")</f>
        <v>Los guantes del mago caído / Cartas del Tarot</v>
      </c>
      <c r="O25" s="320" t="str">
        <f>IFERROR(__xludf.DUMMYFUNCTION("GOOGLETRANSLATE(C25,""zh-tw"",""es-MX"")"),"-")</f>
        <v>-</v>
      </c>
      <c r="P25" s="149" t="s">
        <v>4125</v>
      </c>
      <c r="Q25" s="164" t="str">
        <f>IFERROR(__xludf.DUMMYFUNCTION("GOOGLETRANSLATE(B25,""zh-tw"",""KO"")"),"타락한 마법사의 장갑 / 타로 카드")</f>
        <v>타락한 마법사의 장갑 / 타로 카드</v>
      </c>
      <c r="R25" s="320" t="str">
        <f>IFERROR(__xludf.DUMMYFUNCTION("GOOGLETRANSLATE(C25,""zh-tw"",""KO"")"),"-")</f>
        <v>-</v>
      </c>
      <c r="S25" s="316" t="str">
        <f>IFERROR(__xludf.DUMMYFUNCTION("GOOGLETRANSLATE(A25,""zh-tw"",""ru"")"),"мстительные духи")</f>
        <v>мстительные духи</v>
      </c>
      <c r="T25" s="317" t="str">
        <f>IFERROR(__xludf.DUMMYFUNCTION("GOOGLETRANSLATE(B25,""zh-tw"",""ru"")"),"Перчатки падшего мага / Карты Таро")</f>
        <v>Перчатки падшего мага / Карты Таро</v>
      </c>
      <c r="U25" s="318" t="str">
        <f>IFERROR(__xludf.DUMMYFUNCTION("GOOGLETRANSLATE(C25,""zh-tw"",""ru"")"),"-")</f>
        <v>-</v>
      </c>
      <c r="V25" s="175" t="s">
        <v>4126</v>
      </c>
      <c r="W25" s="319" t="s">
        <v>4127</v>
      </c>
      <c r="X25" s="321" t="s">
        <v>3868</v>
      </c>
      <c r="Y25" s="156" t="s">
        <v>4128</v>
      </c>
      <c r="Z25" s="166" t="s">
        <v>4129</v>
      </c>
      <c r="AA25" s="323" t="s">
        <v>724</v>
      </c>
      <c r="AB25" s="17"/>
      <c r="AC25" s="17"/>
      <c r="AD25" s="17"/>
      <c r="AE25" s="17"/>
    </row>
    <row r="26">
      <c r="A26" s="149" t="s">
        <v>4130</v>
      </c>
      <c r="B26" s="163" t="s">
        <v>4131</v>
      </c>
      <c r="C26" s="315" t="s">
        <v>724</v>
      </c>
      <c r="D26" s="316" t="str">
        <f>IFERROR(__xludf.DUMMYFUNCTION("GOOGLETRANSLATE(A26,""zh-tw"",""ja"")"),"ゾンビ")</f>
        <v>ゾンビ</v>
      </c>
      <c r="E26" s="317" t="str">
        <f>IFERROR(__xludf.DUMMYFUNCTION("GOOGLETRANSLATE(B26,""zh-tw"",""ja"")"),"ゴミ／臭い魚の骨／毒蛇の抱擁")</f>
        <v>ゴミ／臭い魚の骨／毒蛇の抱擁</v>
      </c>
      <c r="F26" s="318" t="str">
        <f>IFERROR(__xludf.DUMMYFUNCTION("GOOGLETRANSLATE(C26,""zh-tw"",""ja"")"),"-")</f>
        <v>-</v>
      </c>
      <c r="G26" s="175" t="s">
        <v>4132</v>
      </c>
      <c r="H26" s="319" t="s">
        <v>4133</v>
      </c>
      <c r="I26" s="318" t="str">
        <f>IFERROR(__xludf.DUMMYFUNCTION("GOOGLETRANSLATE(C26,""zh-tw"",""en"")"),"-")</f>
        <v>-</v>
      </c>
      <c r="J26" s="316" t="str">
        <f>IFERROR(__xludf.DUMMYFUNCTION("GOOGLETRANSLATE(A26,""zh-tw"",""zh"")"),"丧尸")</f>
        <v>丧尸</v>
      </c>
      <c r="K26" s="317" t="str">
        <f>IFERROR(__xludf.DUMMYFUNCTION("GOOGLETRANSLATE(B26,""zh-tw"",""zh"")"),"垃圾/臭鱼骨/毒蛇之拥")</f>
        <v>垃圾/臭鱼骨/毒蛇之拥</v>
      </c>
      <c r="L26" s="318" t="str">
        <f>IFERROR(__xludf.DUMMYFUNCTION("GOOGLETRANSLATE(C26,""zh-tw"",""zh"")"),"-")</f>
        <v>-</v>
      </c>
      <c r="M26" s="150" t="str">
        <f>IFERROR(__xludf.DUMMYFUNCTION("GOOGLETRANSLATE(A26,""zh-tw"",""es-MX"")"),"Zombis")</f>
        <v>Zombis</v>
      </c>
      <c r="N26" s="164" t="str">
        <f>IFERROR(__xludf.DUMMYFUNCTION("GOOGLETRANSLATE(B26,""zh-tw"",""es-MX"")"),"Basura/Espinas de pescado apestosas/Abrazo de una serpiente venenosa")</f>
        <v>Basura/Espinas de pescado apestosas/Abrazo de una serpiente venenosa</v>
      </c>
      <c r="O26" s="320" t="str">
        <f>IFERROR(__xludf.DUMMYFUNCTION("GOOGLETRANSLATE(C26,""zh-tw"",""es-MX"")"),"-")</f>
        <v>-</v>
      </c>
      <c r="P26" s="150" t="str">
        <f>IFERROR(__xludf.DUMMYFUNCTION("GOOGLETRANSLATE(A26,""zh-tw"",""KO"")"),"좀비")</f>
        <v>좀비</v>
      </c>
      <c r="Q26" s="163" t="s">
        <v>4134</v>
      </c>
      <c r="R26" s="320" t="str">
        <f>IFERROR(__xludf.DUMMYFUNCTION("GOOGLETRANSLATE(C26,""zh-tw"",""KO"")"),"-")</f>
        <v>-</v>
      </c>
      <c r="S26" s="316" t="str">
        <f>IFERROR(__xludf.DUMMYFUNCTION("GOOGLETRANSLATE(A26,""zh-tw"",""ru"")"),"Зомби")</f>
        <v>Зомби</v>
      </c>
      <c r="T26" s="317" t="str">
        <f>IFERROR(__xludf.DUMMYFUNCTION("GOOGLETRANSLATE(B26,""zh-tw"",""ru"")"),"Мусор/Вонючие рыбьи кости/Объятия ядовитой змеи")</f>
        <v>Мусор/Вонючие рыбьи кости/Объятия ядовитой змеи</v>
      </c>
      <c r="U26" s="318" t="str">
        <f>IFERROR(__xludf.DUMMYFUNCTION("GOOGLETRANSLATE(C26,""zh-tw"",""ru"")"),"-")</f>
        <v>-</v>
      </c>
      <c r="V26" s="175" t="s">
        <v>4135</v>
      </c>
      <c r="W26" s="319" t="s">
        <v>4136</v>
      </c>
      <c r="X26" s="321" t="s">
        <v>3868</v>
      </c>
      <c r="Y26" s="156" t="s">
        <v>4132</v>
      </c>
      <c r="Z26" s="166" t="s">
        <v>4137</v>
      </c>
      <c r="AA26" s="322" t="s">
        <v>724</v>
      </c>
      <c r="AB26" s="17"/>
      <c r="AC26" s="17"/>
      <c r="AD26" s="17"/>
      <c r="AE26" s="17"/>
    </row>
    <row r="27">
      <c r="A27" s="149" t="s">
        <v>4138</v>
      </c>
      <c r="B27" s="163" t="s">
        <v>4139</v>
      </c>
      <c r="C27" s="315" t="s">
        <v>724</v>
      </c>
      <c r="D27" s="175" t="s">
        <v>4140</v>
      </c>
      <c r="E27" s="319" t="s">
        <v>4141</v>
      </c>
      <c r="F27" s="318" t="str">
        <f>IFERROR(__xludf.DUMMYFUNCTION("GOOGLETRANSLATE(C27,""zh-tw"",""ja"")"),"-")</f>
        <v>-</v>
      </c>
      <c r="G27" s="316" t="str">
        <f>IFERROR(__xludf.DUMMYFUNCTION("GOOGLETRANSLATE(A27,""zh-tw"",""en"")"),"Maid Bunny")</f>
        <v>Maid Bunny</v>
      </c>
      <c r="H27" s="319" t="s">
        <v>4142</v>
      </c>
      <c r="I27" s="318" t="str">
        <f>IFERROR(__xludf.DUMMYFUNCTION("GOOGLETRANSLATE(C27,""zh-tw"",""en"")"),"-")</f>
        <v>-</v>
      </c>
      <c r="J27" s="316" t="str">
        <f>IFERROR(__xludf.DUMMYFUNCTION("GOOGLETRANSLATE(A27,""zh-tw"",""zh"")"),"女仆兔")</f>
        <v>女仆兔</v>
      </c>
      <c r="K27" s="317" t="str">
        <f>IFERROR(__xludf.DUMMYFUNCTION("GOOGLETRANSLATE(B27,""zh-tw"",""zh"")"),"萌萌兔耳/女仆制服/高额金币")</f>
        <v>萌萌兔耳/女仆制服/高额金币</v>
      </c>
      <c r="L27" s="318" t="str">
        <f>IFERROR(__xludf.DUMMYFUNCTION("GOOGLETRANSLATE(C27,""zh-tw"",""zh"")"),"-")</f>
        <v>-</v>
      </c>
      <c r="M27" s="150" t="str">
        <f>IFERROR(__xludf.DUMMYFUNCTION("GOOGLETRANSLATE(A27,""zh-tw"",""es-MX"")"),"Conejita sirvienta")</f>
        <v>Conejita sirvienta</v>
      </c>
      <c r="N27" s="164" t="str">
        <f>IFERROR(__xludf.DUMMYFUNCTION("GOOGLETRANSLATE(B27,""zh-tw"",""es-MX"")"),"Lindas orejas de conejo/uniforme de sirvienta/gran cantidad de monedas de oro")</f>
        <v>Lindas orejas de conejo/uniforme de sirvienta/gran cantidad de monedas de oro</v>
      </c>
      <c r="O27" s="320" t="str">
        <f>IFERROR(__xludf.DUMMYFUNCTION("GOOGLETRANSLATE(C27,""zh-tw"",""es-MX"")"),"-")</f>
        <v>-</v>
      </c>
      <c r="P27" s="150" t="str">
        <f>IFERROR(__xludf.DUMMYFUNCTION("GOOGLETRANSLATE(A27,""zh-tw"",""KO"")"),"메이드 버니")</f>
        <v>메이드 버니</v>
      </c>
      <c r="Q27" s="163" t="s">
        <v>4143</v>
      </c>
      <c r="R27" s="320" t="str">
        <f>IFERROR(__xludf.DUMMYFUNCTION("GOOGLETRANSLATE(C27,""zh-tw"",""KO"")"),"-")</f>
        <v>-</v>
      </c>
      <c r="S27" s="316" t="str">
        <f>IFERROR(__xludf.DUMMYFUNCTION("GOOGLETRANSLATE(A27,""zh-tw"",""ru"")"),"Кролик-горничная")</f>
        <v>Кролик-горничная</v>
      </c>
      <c r="T27" s="317" t="str">
        <f>IFERROR(__xludf.DUMMYFUNCTION("GOOGLETRANSLATE(B27,""zh-tw"",""ru"")"),"Милые ушки кролика/униформа горничной/большое количество золотых монет")</f>
        <v>Милые ушки кролика/униформа горничной/большое количество золотых монет</v>
      </c>
      <c r="U27" s="318" t="str">
        <f>IFERROR(__xludf.DUMMYFUNCTION("GOOGLETRANSLATE(C27,""zh-tw"",""ru"")"),"-")</f>
        <v>-</v>
      </c>
      <c r="V27" s="175" t="s">
        <v>4144</v>
      </c>
      <c r="W27" s="319" t="s">
        <v>4145</v>
      </c>
      <c r="X27" s="321" t="s">
        <v>4146</v>
      </c>
      <c r="Y27" s="156" t="s">
        <v>4147</v>
      </c>
      <c r="Z27" s="166" t="s">
        <v>4148</v>
      </c>
      <c r="AA27" s="322" t="s">
        <v>724</v>
      </c>
      <c r="AB27" s="17"/>
      <c r="AC27" s="17"/>
      <c r="AD27" s="17"/>
      <c r="AE27" s="17"/>
    </row>
    <row r="28">
      <c r="A28" s="149" t="s">
        <v>4149</v>
      </c>
      <c r="B28" s="163" t="s">
        <v>4150</v>
      </c>
      <c r="C28" s="315" t="s">
        <v>724</v>
      </c>
      <c r="D28" s="316" t="str">
        <f>IFERROR(__xludf.DUMMYFUNCTION("GOOGLETRANSLATE(A28,""zh-tw"",""ja"")"),"果樹")</f>
        <v>果樹</v>
      </c>
      <c r="E28" s="317" t="str">
        <f>IFERROR(__xludf.DUMMYFUNCTION("GOOGLETRANSLATE(B28,""zh-tw"",""ja"")"),"リンゴ/堅木の棒/堅木の剣/ランセット/古代の木の残骸")</f>
        <v>リンゴ/堅木の棒/堅木の剣/ランセット/古代の木の残骸</v>
      </c>
      <c r="F28" s="318" t="str">
        <f>IFERROR(__xludf.DUMMYFUNCTION("GOOGLETRANSLATE(C28,""zh-tw"",""ja"")"),"-")</f>
        <v>-</v>
      </c>
      <c r="G28" s="175" t="s">
        <v>4151</v>
      </c>
      <c r="H28" s="319" t="s">
        <v>4152</v>
      </c>
      <c r="I28" s="318" t="str">
        <f>IFERROR(__xludf.DUMMYFUNCTION("GOOGLETRANSLATE(C28,""zh-tw"",""en"")"),"-")</f>
        <v>-</v>
      </c>
      <c r="J28" s="316" t="str">
        <f>IFERROR(__xludf.DUMMYFUNCTION("GOOGLETRANSLATE(A28,""zh-tw"",""zh"")"),"果树")</f>
        <v>果树</v>
      </c>
      <c r="K28" s="317" t="str">
        <f>IFERROR(__xludf.DUMMYFUNCTION("GOOGLETRANSLATE(B28,""zh-tw"",""zh"")"),"苹果/硬木棒/硬木剑/柳叶刀/古树残骸")</f>
        <v>苹果/硬木棒/硬木剑/柳叶刀/古树残骸</v>
      </c>
      <c r="L28" s="318" t="str">
        <f>IFERROR(__xludf.DUMMYFUNCTION("GOOGLETRANSLATE(C28,""zh-tw"",""zh"")"),"-")</f>
        <v>-</v>
      </c>
      <c r="M28" s="150" t="str">
        <f>IFERROR(__xludf.DUMMYFUNCTION("GOOGLETRANSLATE(A28,""zh-tw"",""es-MX"")"),"árboles frutales")</f>
        <v>árboles frutales</v>
      </c>
      <c r="N28" s="164" t="str">
        <f>IFERROR(__xludf.DUMMYFUNCTION("GOOGLETRANSLATE(B28,""zh-tw"",""es-MX"")"),"Manzana/Palo de madera dura/Espada de madera dura/Lanceta/Restos de árbol antiguo")</f>
        <v>Manzana/Palo de madera dura/Espada de madera dura/Lanceta/Restos de árbol antiguo</v>
      </c>
      <c r="O28" s="320" t="str">
        <f>IFERROR(__xludf.DUMMYFUNCTION("GOOGLETRANSLATE(C28,""zh-tw"",""es-MX"")"),"-")</f>
        <v>-</v>
      </c>
      <c r="P28" s="149" t="s">
        <v>4153</v>
      </c>
      <c r="Q28" s="163" t="s">
        <v>4154</v>
      </c>
      <c r="R28" s="320" t="str">
        <f>IFERROR(__xludf.DUMMYFUNCTION("GOOGLETRANSLATE(C28,""zh-tw"",""KO"")"),"-")</f>
        <v>-</v>
      </c>
      <c r="S28" s="316" t="str">
        <f>IFERROR(__xludf.DUMMYFUNCTION("GOOGLETRANSLATE(A28,""zh-tw"",""ru"")"),"фруктовые деревья")</f>
        <v>фруктовые деревья</v>
      </c>
      <c r="T28" s="317" t="str">
        <f>IFERROR(__xludf.DUMMYFUNCTION("GOOGLETRANSLATE(B28,""zh-tw"",""ru"")"),"Яблоко/Деревянная палка/Деревянный меч/Ланцет/Остатки древнего дерева")</f>
        <v>Яблоко/Деревянная палка/Деревянный меч/Ланцет/Остатки древнего дерева</v>
      </c>
      <c r="U28" s="318" t="str">
        <f>IFERROR(__xludf.DUMMYFUNCTION("GOOGLETRANSLATE(C28,""zh-tw"",""ru"")"),"-")</f>
        <v>-</v>
      </c>
      <c r="V28" s="175" t="s">
        <v>4155</v>
      </c>
      <c r="W28" s="319" t="s">
        <v>4156</v>
      </c>
      <c r="X28" s="321" t="s">
        <v>4157</v>
      </c>
      <c r="Y28" s="156" t="s">
        <v>4158</v>
      </c>
      <c r="Z28" s="166" t="s">
        <v>4159</v>
      </c>
      <c r="AA28" s="322" t="s">
        <v>724</v>
      </c>
      <c r="AB28" s="17"/>
      <c r="AC28" s="17"/>
      <c r="AD28" s="17"/>
      <c r="AE28" s="17"/>
    </row>
    <row r="29">
      <c r="A29" s="149" t="s">
        <v>4160</v>
      </c>
      <c r="B29" s="163" t="s">
        <v>4161</v>
      </c>
      <c r="C29" s="315" t="s">
        <v>724</v>
      </c>
      <c r="D29" s="316" t="str">
        <f>IFERROR(__xludf.DUMMYFUNCTION("GOOGLETRANSLATE(A29,""zh-tw"",""ja"")"),"鉱石")</f>
        <v>鉱石</v>
      </c>
      <c r="E29" s="317" t="str">
        <f>IFERROR(__xludf.DUMMYFUNCTION("GOOGLETRANSLATE(B29,""zh-tw"",""ja"")"),"アップルヘッドバンド / ブルーサファイア / マジックジェル / ディープマジッククリスタルクラスター")</f>
        <v>アップルヘッドバンド / ブルーサファイア / マジックジェル / ディープマジッククリスタルクラスター</v>
      </c>
      <c r="F29" s="318" t="str">
        <f>IFERROR(__xludf.DUMMYFUNCTION("GOOGLETRANSLATE(C29,""zh-tw"",""ja"")"),"-")</f>
        <v>-</v>
      </c>
      <c r="G29" s="175" t="s">
        <v>4162</v>
      </c>
      <c r="H29" s="319" t="s">
        <v>4163</v>
      </c>
      <c r="I29" s="318" t="str">
        <f>IFERROR(__xludf.DUMMYFUNCTION("GOOGLETRANSLATE(C29,""zh-tw"",""en"")"),"-")</f>
        <v>-</v>
      </c>
      <c r="J29" s="316" t="str">
        <f>IFERROR(__xludf.DUMMYFUNCTION("GOOGLETRANSLATE(A29,""zh-tw"",""zh"")"),"矿石")</f>
        <v>矿石</v>
      </c>
      <c r="K29" s="317" t="str">
        <f>IFERROR(__xludf.DUMMYFUNCTION("GOOGLETRANSLATE(B29,""zh-tw"",""zh"")"),"苹果头套/蓝辉石/魔力小凝胶/深邃魔力晶簇")</f>
        <v>苹果头套/蓝辉石/魔力小凝胶/深邃魔力晶簇</v>
      </c>
      <c r="L29" s="318" t="str">
        <f>IFERROR(__xludf.DUMMYFUNCTION("GOOGLETRANSLATE(C29,""zh-tw"",""zh"")"),"-")</f>
        <v>-</v>
      </c>
      <c r="M29" s="150" t="str">
        <f>IFERROR(__xludf.DUMMYFUNCTION("GOOGLETRANSLATE(A29,""zh-tw"",""es-MX"")"),"mineral")</f>
        <v>mineral</v>
      </c>
      <c r="N29" s="164" t="str">
        <f>IFERROR(__xludf.DUMMYFUNCTION("GOOGLETRANSLATE(B29,""zh-tw"",""es-MX"")"),"Diadema de manzana / Zafiro azul / Gel mágico / Racimo de cristal mágico profundo")</f>
        <v>Diadema de manzana / Zafiro azul / Gel mágico / Racimo de cristal mágico profundo</v>
      </c>
      <c r="O29" s="320" t="str">
        <f>IFERROR(__xludf.DUMMYFUNCTION("GOOGLETRANSLATE(C29,""zh-tw"",""es-MX"")"),"-")</f>
        <v>-</v>
      </c>
      <c r="P29" s="150" t="str">
        <f>IFERROR(__xludf.DUMMYFUNCTION("GOOGLETRANSLATE(A29,""zh-tw"",""KO"")"),"광석")</f>
        <v>광석</v>
      </c>
      <c r="Q29" s="163" t="s">
        <v>4164</v>
      </c>
      <c r="R29" s="320" t="str">
        <f>IFERROR(__xludf.DUMMYFUNCTION("GOOGLETRANSLATE(C29,""zh-tw"",""KO"")"),"-")</f>
        <v>-</v>
      </c>
      <c r="S29" s="316" t="str">
        <f>IFERROR(__xludf.DUMMYFUNCTION("GOOGLETRANSLATE(A29,""zh-tw"",""ru"")"),"руда")</f>
        <v>руда</v>
      </c>
      <c r="T29" s="317" t="str">
        <f>IFERROR(__xludf.DUMMYFUNCTION("GOOGLETRANSLATE(B29,""zh-tw"",""ru"")"),"Повязка на голову «Яблоко» / Синий сапфир / Магический гель / Магический кристалл глубокого действия")</f>
        <v>Повязка на голову «Яблоко» / Синий сапфир / Магический гель / Магический кристалл глубокого действия</v>
      </c>
      <c r="U29" s="318" t="str">
        <f>IFERROR(__xludf.DUMMYFUNCTION("GOOGLETRANSLATE(C29,""zh-tw"",""ru"")"),"-")</f>
        <v>-</v>
      </c>
      <c r="V29" s="175" t="s">
        <v>4165</v>
      </c>
      <c r="W29" s="319" t="s">
        <v>4166</v>
      </c>
      <c r="X29" s="321" t="s">
        <v>4167</v>
      </c>
      <c r="Y29" s="156" t="s">
        <v>4168</v>
      </c>
      <c r="Z29" s="166" t="s">
        <v>4169</v>
      </c>
      <c r="AA29" s="322" t="s">
        <v>724</v>
      </c>
      <c r="AB29" s="17"/>
      <c r="AC29" s="17"/>
      <c r="AD29" s="17"/>
      <c r="AE29" s="17"/>
    </row>
    <row r="30">
      <c r="A30" s="149" t="s">
        <v>4170</v>
      </c>
      <c r="B30" s="163" t="s">
        <v>4171</v>
      </c>
      <c r="C30" s="315" t="s">
        <v>724</v>
      </c>
      <c r="D30" s="316" t="str">
        <f>IFERROR(__xludf.DUMMYFUNCTION("GOOGLETRANSLATE(A30,""zh-tw"",""ja"")"),"鉱石スライム")</f>
        <v>鉱石スライム</v>
      </c>
      <c r="E30" s="317" t="str">
        <f>IFERROR(__xludf.DUMMYFUNCTION("GOOGLETRANSLATE(B30,""zh-tw"",""ja"")"),"深淵の魔水晶群 / スライム / 汎用アイテム")</f>
        <v>深淵の魔水晶群 / スライム / 汎用アイテム</v>
      </c>
      <c r="F30" s="318" t="str">
        <f>IFERROR(__xludf.DUMMYFUNCTION("GOOGLETRANSLATE(C30,""zh-tw"",""ja"")"),"-")</f>
        <v>-</v>
      </c>
      <c r="G30" s="175" t="s">
        <v>4172</v>
      </c>
      <c r="H30" s="319" t="s">
        <v>4173</v>
      </c>
      <c r="I30" s="318" t="str">
        <f>IFERROR(__xludf.DUMMYFUNCTION("GOOGLETRANSLATE(C30,""zh-tw"",""en"")"),"-")</f>
        <v>-</v>
      </c>
      <c r="J30" s="316" t="str">
        <f>IFERROR(__xludf.DUMMYFUNCTION("GOOGLETRANSLATE(A30,""zh-tw"",""zh"")"),"矿石史莱姆")</f>
        <v>矿石史莱姆</v>
      </c>
      <c r="K30" s="317" t="str">
        <f>IFERROR(__xludf.DUMMYFUNCTION("GOOGLETRANSLATE(B30,""zh-tw"",""zh"")"),"深邃魔力晶簇/史莱姆的黏液/通用型道具")</f>
        <v>深邃魔力晶簇/史莱姆的黏液/通用型道具</v>
      </c>
      <c r="L30" s="318" t="str">
        <f>IFERROR(__xludf.DUMMYFUNCTION("GOOGLETRANSLATE(C30,""zh-tw"",""zh"")"),"-")</f>
        <v>-</v>
      </c>
      <c r="M30" s="150" t="str">
        <f>IFERROR(__xludf.DUMMYFUNCTION("GOOGLETRANSLATE(A30,""zh-tw"",""es-MX"")"),"Limo de mineral")</f>
        <v>Limo de mineral</v>
      </c>
      <c r="N30" s="164" t="str">
        <f>IFERROR(__xludf.DUMMYFUNCTION("GOOGLETRANSLATE(B30,""zh-tw"",""es-MX"")"),"Racimo de Cristal Mágico Profundo / Limo Limo / Objeto de Uso General")</f>
        <v>Racimo de Cristal Mágico Profundo / Limo Limo / Objeto de Uso General</v>
      </c>
      <c r="O30" s="320" t="str">
        <f>IFERROR(__xludf.DUMMYFUNCTION("GOOGLETRANSLATE(C30,""zh-tw"",""es-MX"")"),"-")</f>
        <v>-</v>
      </c>
      <c r="P30" s="150" t="str">
        <f>IFERROR(__xludf.DUMMYFUNCTION("GOOGLETRANSLATE(A30,""zh-tw"",""KO"")"),"광석 슬라임")</f>
        <v>광석 슬라임</v>
      </c>
      <c r="Q30" s="163" t="s">
        <v>4174</v>
      </c>
      <c r="R30" s="320" t="str">
        <f>IFERROR(__xludf.DUMMYFUNCTION("GOOGLETRANSLATE(C30,""zh-tw"",""KO"")"),"-")</f>
        <v>-</v>
      </c>
      <c r="S30" s="316" t="str">
        <f>IFERROR(__xludf.DUMMYFUNCTION("GOOGLETRANSLATE(A30,""zh-tw"",""ru"")"),"Рудный слайм")</f>
        <v>Рудный слайм</v>
      </c>
      <c r="T30" s="317" t="str">
        <f>IFERROR(__xludf.DUMMYFUNCTION("GOOGLETRANSLATE(B30,""zh-tw"",""ru"")"),"Кристаллический кластер глубокой магии / Слизь / Предмет общего назначения")</f>
        <v>Кристаллический кластер глубокой магии / Слизь / Предмет общего назначения</v>
      </c>
      <c r="U30" s="318" t="str">
        <f>IFERROR(__xludf.DUMMYFUNCTION("GOOGLETRANSLATE(C30,""zh-tw"",""ru"")"),"-")</f>
        <v>-</v>
      </c>
      <c r="V30" s="175" t="s">
        <v>4175</v>
      </c>
      <c r="W30" s="319" t="s">
        <v>4176</v>
      </c>
      <c r="X30" s="321" t="s">
        <v>3868</v>
      </c>
      <c r="Y30" s="156" t="s">
        <v>4177</v>
      </c>
      <c r="Z30" s="166" t="s">
        <v>4178</v>
      </c>
      <c r="AA30" s="322" t="s">
        <v>724</v>
      </c>
      <c r="AB30" s="17"/>
      <c r="AC30" s="17"/>
      <c r="AD30" s="17"/>
      <c r="AE30" s="17"/>
    </row>
    <row r="31">
      <c r="A31" s="149" t="s">
        <v>4179</v>
      </c>
      <c r="B31" s="163" t="s">
        <v>4180</v>
      </c>
      <c r="C31" s="315" t="s">
        <v>4181</v>
      </c>
      <c r="D31" s="316" t="str">
        <f>IFERROR(__xludf.DUMMYFUNCTION("GOOGLETRANSLATE(A31,""zh-tw"",""ja"")"),"狂乱の赤い獣")</f>
        <v>狂乱の赤い獣</v>
      </c>
      <c r="E31" s="319" t="s">
        <v>4182</v>
      </c>
      <c r="F31" s="321" t="s">
        <v>4183</v>
      </c>
      <c r="G31" s="175" t="s">
        <v>4184</v>
      </c>
      <c r="H31" s="319" t="s">
        <v>4185</v>
      </c>
      <c r="I31" s="321" t="s">
        <v>4186</v>
      </c>
      <c r="J31" s="316" t="str">
        <f>IFERROR(__xludf.DUMMYFUNCTION("GOOGLETRANSLATE(A31,""zh-tw"",""zh"")"),"狂乱的红兽")</f>
        <v>狂乱的红兽</v>
      </c>
      <c r="K31" s="317" t="str">
        <f>IFERROR(__xludf.DUMMYFUNCTION("GOOGLETRANSLATE(B31,""zh-tw"",""zh"")"),"寄坏剑/不幸的诞生/天上之石碎片")</f>
        <v>寄坏剑/不幸的诞生/天上之石碎片</v>
      </c>
      <c r="L31" s="318" t="str">
        <f>IFERROR(__xludf.DUMMYFUNCTION("GOOGLETRANSLATE(C31,""zh-tw"",""zh"")"),"遗迹BOSS 
弱点：毒")</f>
        <v>遗迹BOSS 
弱点：毒</v>
      </c>
      <c r="M31" s="150" t="str">
        <f>IFERROR(__xludf.DUMMYFUNCTION("GOOGLETRANSLATE(A31,""zh-tw"",""es-MX"")"),"La bestia roja enloquecida")</f>
        <v>La bestia roja enloquecida</v>
      </c>
      <c r="N31" s="164" t="str">
        <f>IFERROR(__xludf.DUMMYFUNCTION("GOOGLETRANSLATE(B31,""zh-tw"",""es-MX"")"),"La espada rota / El nacimiento desafortunado / Fragmentos de una piedra celestial")</f>
        <v>La espada rota / El nacimiento desafortunado / Fragmentos de una piedra celestial</v>
      </c>
      <c r="O31" s="320" t="str">
        <f>IFERROR(__xludf.DUMMYFUNCTION("GOOGLETRANSLATE(C31,""zh-tw"",""es-MX"")"),"Jefe de las Ruinas")</f>
        <v>Jefe de las Ruinas</v>
      </c>
      <c r="P31" s="150" t="str">
        <f>IFERROR(__xludf.DUMMYFUNCTION("GOOGLETRANSLATE(A31,""zh-tw"",""KO"")"),"광란의 붉은 짐승")</f>
        <v>광란의 붉은 짐승</v>
      </c>
      <c r="Q31" s="163" t="s">
        <v>4187</v>
      </c>
      <c r="R31" s="315" t="s">
        <v>4188</v>
      </c>
      <c r="S31" s="316" t="str">
        <f>IFERROR(__xludf.DUMMYFUNCTION("GOOGLETRANSLATE(A31,""zh-tw"",""ru"")"),"Бешеный Красный Зверь")</f>
        <v>Бешеный Красный Зверь</v>
      </c>
      <c r="T31" s="317" t="str">
        <f>IFERROR(__xludf.DUMMYFUNCTION("GOOGLETRANSLATE(B31,""zh-tw"",""ru"")"),"Сломанный меч / Несчастное рождение / Осколки небесного камня")</f>
        <v>Сломанный меч / Несчастное рождение / Осколки небесного камня</v>
      </c>
      <c r="U31" s="318" t="str">
        <f>IFERROR(__xludf.DUMMYFUNCTION("GOOGLETRANSLATE(C31,""zh-tw"",""ru"")"),"Босс Руин
Слабость: Яд")</f>
        <v>Босс Руин
Слабость: Яд</v>
      </c>
      <c r="V31" s="175" t="s">
        <v>4189</v>
      </c>
      <c r="W31" s="319" t="s">
        <v>4190</v>
      </c>
      <c r="X31" s="321" t="s">
        <v>4191</v>
      </c>
      <c r="Y31" s="156" t="s">
        <v>4192</v>
      </c>
      <c r="Z31" s="166" t="s">
        <v>4193</v>
      </c>
      <c r="AA31" s="322" t="s">
        <v>4194</v>
      </c>
      <c r="AB31" s="17"/>
      <c r="AC31" s="17"/>
      <c r="AD31" s="17"/>
      <c r="AE31" s="17"/>
    </row>
    <row r="32">
      <c r="A32" s="149" t="s">
        <v>4195</v>
      </c>
      <c r="B32" s="163" t="s">
        <v>4196</v>
      </c>
      <c r="C32" s="315" t="s">
        <v>724</v>
      </c>
      <c r="D32" s="316" t="str">
        <f>IFERROR(__xludf.DUMMYFUNCTION("GOOGLETRANSLATE(A32,""zh-tw"",""ja"")"),"イチゴの苗")</f>
        <v>イチゴの苗</v>
      </c>
      <c r="E32" s="317" t="str">
        <f>IFERROR(__xludf.DUMMYFUNCTION("GOOGLETRANSLATE(B32,""zh-tw"",""ja"")"),"いちご")</f>
        <v>いちご</v>
      </c>
      <c r="F32" s="318" t="str">
        <f>IFERROR(__xludf.DUMMYFUNCTION("GOOGLETRANSLATE(C32,""zh-tw"",""ja"")"),"-")</f>
        <v>-</v>
      </c>
      <c r="G32" s="175" t="s">
        <v>4197</v>
      </c>
      <c r="H32" s="319" t="s">
        <v>4198</v>
      </c>
      <c r="I32" s="318" t="str">
        <f>IFERROR(__xludf.DUMMYFUNCTION("GOOGLETRANSLATE(C32,""zh-tw"",""en"")"),"-")</f>
        <v>-</v>
      </c>
      <c r="J32" s="316" t="str">
        <f>IFERROR(__xludf.DUMMYFUNCTION("GOOGLETRANSLATE(A32,""zh-tw"",""zh"")"),"草莓苗")</f>
        <v>草莓苗</v>
      </c>
      <c r="K32" s="317" t="str">
        <f>IFERROR(__xludf.DUMMYFUNCTION("GOOGLETRANSLATE(B32,""zh-tw"",""zh"")"),"草莓")</f>
        <v>草莓</v>
      </c>
      <c r="L32" s="318" t="str">
        <f>IFERROR(__xludf.DUMMYFUNCTION("GOOGLETRANSLATE(C32,""zh-tw"",""zh"")"),"-")</f>
        <v>-</v>
      </c>
      <c r="M32" s="150" t="str">
        <f>IFERROR(__xludf.DUMMYFUNCTION("GOOGLETRANSLATE(A32,""zh-tw"",""es-MX"")"),"plántulas de fresa")</f>
        <v>plántulas de fresa</v>
      </c>
      <c r="N32" s="164" t="str">
        <f>IFERROR(__xludf.DUMMYFUNCTION("GOOGLETRANSLATE(B32,""zh-tw"",""es-MX"")"),"fresa")</f>
        <v>fresa</v>
      </c>
      <c r="O32" s="320" t="str">
        <f>IFERROR(__xludf.DUMMYFUNCTION("GOOGLETRANSLATE(C32,""zh-tw"",""es-MX"")"),"-")</f>
        <v>-</v>
      </c>
      <c r="P32" s="149" t="s">
        <v>4199</v>
      </c>
      <c r="Q32" s="164" t="str">
        <f>IFERROR(__xludf.DUMMYFUNCTION("GOOGLETRANSLATE(B32,""zh-tw"",""KO"")"),"딸기")</f>
        <v>딸기</v>
      </c>
      <c r="R32" s="320" t="str">
        <f>IFERROR(__xludf.DUMMYFUNCTION("GOOGLETRANSLATE(C32,""zh-tw"",""KO"")"),"-")</f>
        <v>-</v>
      </c>
      <c r="S32" s="316" t="str">
        <f>IFERROR(__xludf.DUMMYFUNCTION("GOOGLETRANSLATE(A32,""zh-tw"",""ru"")"),"рассада клубники")</f>
        <v>рассада клубники</v>
      </c>
      <c r="T32" s="317" t="str">
        <f>IFERROR(__xludf.DUMMYFUNCTION("GOOGLETRANSLATE(B32,""zh-tw"",""ru"")"),"клубника")</f>
        <v>клубника</v>
      </c>
      <c r="U32" s="318" t="str">
        <f>IFERROR(__xludf.DUMMYFUNCTION("GOOGLETRANSLATE(C32,""zh-tw"",""ru"")"),"-")</f>
        <v>-</v>
      </c>
      <c r="V32" s="175" t="s">
        <v>4200</v>
      </c>
      <c r="W32" s="319" t="s">
        <v>4201</v>
      </c>
      <c r="X32" s="321" t="s">
        <v>4202</v>
      </c>
      <c r="Y32" s="156" t="s">
        <v>4203</v>
      </c>
      <c r="Z32" s="166" t="s">
        <v>4204</v>
      </c>
      <c r="AA32" s="322" t="s">
        <v>724</v>
      </c>
      <c r="AB32" s="17"/>
      <c r="AC32" s="17"/>
      <c r="AD32" s="17"/>
      <c r="AE32" s="17"/>
    </row>
    <row r="33">
      <c r="A33" s="149" t="s">
        <v>4205</v>
      </c>
      <c r="B33" s="163" t="s">
        <v>4206</v>
      </c>
      <c r="C33" s="315" t="s">
        <v>724</v>
      </c>
      <c r="D33" s="316" t="str">
        <f>IFERROR(__xludf.DUMMYFUNCTION("GOOGLETRANSLATE(A33,""zh-tw"",""ja"")"),"ジャガイモの芽")</f>
        <v>ジャガイモの芽</v>
      </c>
      <c r="E33" s="317" t="str">
        <f>IFERROR(__xludf.DUMMYFUNCTION("GOOGLETRANSLATE(B33,""zh-tw"",""ja"")"),"じゃがいも")</f>
        <v>じゃがいも</v>
      </c>
      <c r="F33" s="318" t="str">
        <f>IFERROR(__xludf.DUMMYFUNCTION("GOOGLETRANSLATE(C33,""zh-tw"",""ja"")"),"-")</f>
        <v>-</v>
      </c>
      <c r="G33" s="175" t="s">
        <v>4207</v>
      </c>
      <c r="H33" s="319" t="s">
        <v>4208</v>
      </c>
      <c r="I33" s="318" t="str">
        <f>IFERROR(__xludf.DUMMYFUNCTION("GOOGLETRANSLATE(C33,""zh-tw"",""en"")"),"-")</f>
        <v>-</v>
      </c>
      <c r="J33" s="316" t="str">
        <f>IFERROR(__xludf.DUMMYFUNCTION("GOOGLETRANSLATE(A33,""zh-tw"",""zh"")"),"土豆苗")</f>
        <v>土豆苗</v>
      </c>
      <c r="K33" s="317" t="str">
        <f>IFERROR(__xludf.DUMMYFUNCTION("GOOGLETRANSLATE(B33,""zh-tw"",""zh"")"),"土豆")</f>
        <v>土豆</v>
      </c>
      <c r="L33" s="318" t="str">
        <f>IFERROR(__xludf.DUMMYFUNCTION("GOOGLETRANSLATE(C33,""zh-tw"",""zh"")"),"-")</f>
        <v>-</v>
      </c>
      <c r="M33" s="150" t="str">
        <f>IFERROR(__xludf.DUMMYFUNCTION("GOOGLETRANSLATE(A33,""zh-tw"",""es-MX"")"),"brotes de patata")</f>
        <v>brotes de patata</v>
      </c>
      <c r="N33" s="164" t="str">
        <f>IFERROR(__xludf.DUMMYFUNCTION("GOOGLETRANSLATE(B33,""zh-tw"",""es-MX"")"),"Papa")</f>
        <v>Papa</v>
      </c>
      <c r="O33" s="320" t="str">
        <f>IFERROR(__xludf.DUMMYFUNCTION("GOOGLETRANSLATE(C33,""zh-tw"",""es-MX"")"),"-")</f>
        <v>-</v>
      </c>
      <c r="P33" s="149" t="s">
        <v>4209</v>
      </c>
      <c r="Q33" s="164" t="str">
        <f>IFERROR(__xludf.DUMMYFUNCTION("GOOGLETRANSLATE(B33,""zh-tw"",""KO"")"),"감자")</f>
        <v>감자</v>
      </c>
      <c r="R33" s="320" t="str">
        <f>IFERROR(__xludf.DUMMYFUNCTION("GOOGLETRANSLATE(C33,""zh-tw"",""KO"")"),"-")</f>
        <v>-</v>
      </c>
      <c r="S33" s="316" t="str">
        <f>IFERROR(__xludf.DUMMYFUNCTION("GOOGLETRANSLATE(A33,""zh-tw"",""ru"")"),"ростки картофеля")</f>
        <v>ростки картофеля</v>
      </c>
      <c r="T33" s="317" t="str">
        <f>IFERROR(__xludf.DUMMYFUNCTION("GOOGLETRANSLATE(B33,""zh-tw"",""ru"")"),"Картофель")</f>
        <v>Картофель</v>
      </c>
      <c r="U33" s="318" t="str">
        <f>IFERROR(__xludf.DUMMYFUNCTION("GOOGLETRANSLATE(C33,""zh-tw"",""ru"")"),"-")</f>
        <v>-</v>
      </c>
      <c r="V33" s="175" t="s">
        <v>4210</v>
      </c>
      <c r="W33" s="319" t="s">
        <v>4211</v>
      </c>
      <c r="X33" s="321" t="s">
        <v>4202</v>
      </c>
      <c r="Y33" s="156" t="s">
        <v>4212</v>
      </c>
      <c r="Z33" s="166" t="s">
        <v>4213</v>
      </c>
      <c r="AA33" s="322" t="s">
        <v>724</v>
      </c>
      <c r="AB33" s="17"/>
      <c r="AC33" s="17"/>
      <c r="AD33" s="17"/>
      <c r="AE33" s="17"/>
    </row>
    <row r="34">
      <c r="A34" s="149" t="s">
        <v>4214</v>
      </c>
      <c r="B34" s="163" t="s">
        <v>4215</v>
      </c>
      <c r="C34" s="315" t="s">
        <v>724</v>
      </c>
      <c r="D34" s="316" t="str">
        <f>IFERROR(__xludf.DUMMYFUNCTION("GOOGLETRANSLATE(A34,""zh-tw"",""ja"")"),"トマトの苗")</f>
        <v>トマトの苗</v>
      </c>
      <c r="E34" s="317" t="str">
        <f>IFERROR(__xludf.DUMMYFUNCTION("GOOGLETRANSLATE(B34,""zh-tw"",""ja"")"),"トマト")</f>
        <v>トマト</v>
      </c>
      <c r="F34" s="318" t="str">
        <f>IFERROR(__xludf.DUMMYFUNCTION("GOOGLETRANSLATE(C34,""zh-tw"",""ja"")"),"-")</f>
        <v>-</v>
      </c>
      <c r="G34" s="175" t="s">
        <v>4216</v>
      </c>
      <c r="H34" s="319" t="s">
        <v>4217</v>
      </c>
      <c r="I34" s="318" t="str">
        <f>IFERROR(__xludf.DUMMYFUNCTION("GOOGLETRANSLATE(C34,""zh-tw"",""en"")"),"-")</f>
        <v>-</v>
      </c>
      <c r="J34" s="316" t="str">
        <f>IFERROR(__xludf.DUMMYFUNCTION("GOOGLETRANSLATE(A34,""zh-tw"",""zh"")"),"番茄苗")</f>
        <v>番茄苗</v>
      </c>
      <c r="K34" s="317" t="str">
        <f>IFERROR(__xludf.DUMMYFUNCTION("GOOGLETRANSLATE(B34,""zh-tw"",""zh"")"),"番茄")</f>
        <v>番茄</v>
      </c>
      <c r="L34" s="318" t="str">
        <f>IFERROR(__xludf.DUMMYFUNCTION("GOOGLETRANSLATE(C34,""zh-tw"",""zh"")"),"-")</f>
        <v>-</v>
      </c>
      <c r="M34" s="150" t="str">
        <f>IFERROR(__xludf.DUMMYFUNCTION("GOOGLETRANSLATE(A34,""zh-tw"",""es-MX"")"),"Plántulas de tomate")</f>
        <v>Plántulas de tomate</v>
      </c>
      <c r="N34" s="164" t="str">
        <f>IFERROR(__xludf.DUMMYFUNCTION("GOOGLETRANSLATE(B34,""zh-tw"",""es-MX"")"),"tomate")</f>
        <v>tomate</v>
      </c>
      <c r="O34" s="320" t="str">
        <f>IFERROR(__xludf.DUMMYFUNCTION("GOOGLETRANSLATE(C34,""zh-tw"",""es-MX"")"),"-")</f>
        <v>-</v>
      </c>
      <c r="P34" s="150" t="str">
        <f>IFERROR(__xludf.DUMMYFUNCTION("GOOGLETRANSLATE(A34,""zh-tw"",""KO"")"),"토마토 모종")</f>
        <v>토마토 모종</v>
      </c>
      <c r="Q34" s="164" t="str">
        <f>IFERROR(__xludf.DUMMYFUNCTION("GOOGLETRANSLATE(B34,""zh-tw"",""KO"")"),"토마토")</f>
        <v>토마토</v>
      </c>
      <c r="R34" s="320" t="str">
        <f>IFERROR(__xludf.DUMMYFUNCTION("GOOGLETRANSLATE(C34,""zh-tw"",""KO"")"),"-")</f>
        <v>-</v>
      </c>
      <c r="S34" s="316" t="str">
        <f>IFERROR(__xludf.DUMMYFUNCTION("GOOGLETRANSLATE(A34,""zh-tw"",""ru"")"),"Рассада томатов")</f>
        <v>Рассада томатов</v>
      </c>
      <c r="T34" s="317" t="str">
        <f>IFERROR(__xludf.DUMMYFUNCTION("GOOGLETRANSLATE(B34,""zh-tw"",""ru"")"),"помидор")</f>
        <v>помидор</v>
      </c>
      <c r="U34" s="318" t="str">
        <f>IFERROR(__xludf.DUMMYFUNCTION("GOOGLETRANSLATE(C34,""zh-tw"",""ru"")"),"-")</f>
        <v>-</v>
      </c>
      <c r="V34" s="175" t="s">
        <v>4218</v>
      </c>
      <c r="W34" s="319" t="s">
        <v>4219</v>
      </c>
      <c r="X34" s="321" t="s">
        <v>4202</v>
      </c>
      <c r="Y34" s="156" t="s">
        <v>4220</v>
      </c>
      <c r="Z34" s="166" t="s">
        <v>4221</v>
      </c>
      <c r="AA34" s="322" t="s">
        <v>724</v>
      </c>
      <c r="AB34" s="17"/>
      <c r="AC34" s="17"/>
      <c r="AD34" s="17"/>
      <c r="AE34" s="17"/>
    </row>
    <row r="35">
      <c r="A35" s="149" t="s">
        <v>4222</v>
      </c>
      <c r="B35" s="163" t="s">
        <v>4223</v>
      </c>
      <c r="C35" s="315" t="s">
        <v>724</v>
      </c>
      <c r="D35" s="316" t="str">
        <f>IFERROR(__xludf.DUMMYFUNCTION("GOOGLETRANSLATE(A35,""zh-tw"",""ja"")"),"唐辛子の苗")</f>
        <v>唐辛子の苗</v>
      </c>
      <c r="E35" s="317" t="str">
        <f>IFERROR(__xludf.DUMMYFUNCTION("GOOGLETRANSLATE(B35,""zh-tw"",""ja"")"),"チリ")</f>
        <v>チリ</v>
      </c>
      <c r="F35" s="318" t="str">
        <f>IFERROR(__xludf.DUMMYFUNCTION("GOOGLETRANSLATE(C35,""zh-tw"",""ja"")"),"-")</f>
        <v>-</v>
      </c>
      <c r="G35" s="175" t="s">
        <v>4224</v>
      </c>
      <c r="H35" s="319" t="s">
        <v>4225</v>
      </c>
      <c r="I35" s="318" t="str">
        <f>IFERROR(__xludf.DUMMYFUNCTION("GOOGLETRANSLATE(C35,""zh-tw"",""en"")"),"-")</f>
        <v>-</v>
      </c>
      <c r="J35" s="316" t="str">
        <f>IFERROR(__xludf.DUMMYFUNCTION("GOOGLETRANSLATE(A35,""zh-tw"",""zh"")"),"辣椒苗")</f>
        <v>辣椒苗</v>
      </c>
      <c r="K35" s="317" t="str">
        <f>IFERROR(__xludf.DUMMYFUNCTION("GOOGLETRANSLATE(B35,""zh-tw"",""zh"")"),"辣椒")</f>
        <v>辣椒</v>
      </c>
      <c r="L35" s="318" t="str">
        <f>IFERROR(__xludf.DUMMYFUNCTION("GOOGLETRANSLATE(C35,""zh-tw"",""zh"")"),"-")</f>
        <v>-</v>
      </c>
      <c r="M35" s="150" t="str">
        <f>IFERROR(__xludf.DUMMYFUNCTION("GOOGLETRANSLATE(A35,""zh-tw"",""es-MX"")"),"Plántulas de chile")</f>
        <v>Plántulas de chile</v>
      </c>
      <c r="N35" s="164" t="str">
        <f>IFERROR(__xludf.DUMMYFUNCTION("GOOGLETRANSLATE(B35,""zh-tw"",""es-MX"")"),"chile")</f>
        <v>chile</v>
      </c>
      <c r="O35" s="320" t="str">
        <f>IFERROR(__xludf.DUMMYFUNCTION("GOOGLETRANSLATE(C35,""zh-tw"",""es-MX"")"),"-")</f>
        <v>-</v>
      </c>
      <c r="P35" s="150" t="str">
        <f>IFERROR(__xludf.DUMMYFUNCTION("GOOGLETRANSLATE(A35,""zh-tw"",""KO"")"),"고추 모종")</f>
        <v>고추 모종</v>
      </c>
      <c r="Q35" s="164" t="str">
        <f>IFERROR(__xludf.DUMMYFUNCTION("GOOGLETRANSLATE(B35,""zh-tw"",""KO"")"),"칠리")</f>
        <v>칠리</v>
      </c>
      <c r="R35" s="320" t="str">
        <f>IFERROR(__xludf.DUMMYFUNCTION("GOOGLETRANSLATE(C35,""zh-tw"",""KO"")"),"-")</f>
        <v>-</v>
      </c>
      <c r="S35" s="316" t="str">
        <f>IFERROR(__xludf.DUMMYFUNCTION("GOOGLETRANSLATE(A35,""zh-tw"",""ru"")"),"Рассада чили")</f>
        <v>Рассада чили</v>
      </c>
      <c r="T35" s="317" t="str">
        <f>IFERROR(__xludf.DUMMYFUNCTION("GOOGLETRANSLATE(B35,""zh-tw"",""ru"")"),"чили")</f>
        <v>чили</v>
      </c>
      <c r="U35" s="318" t="str">
        <f>IFERROR(__xludf.DUMMYFUNCTION("GOOGLETRANSLATE(C35,""zh-tw"",""ru"")"),"-")</f>
        <v>-</v>
      </c>
      <c r="V35" s="175" t="s">
        <v>4226</v>
      </c>
      <c r="W35" s="319" t="s">
        <v>4227</v>
      </c>
      <c r="X35" s="321" t="s">
        <v>4202</v>
      </c>
      <c r="Y35" s="156" t="s">
        <v>4228</v>
      </c>
      <c r="Z35" s="166" t="s">
        <v>4229</v>
      </c>
      <c r="AA35" s="322" t="s">
        <v>724</v>
      </c>
      <c r="AB35" s="17"/>
      <c r="AC35" s="17"/>
      <c r="AD35" s="17"/>
      <c r="AE35" s="17"/>
    </row>
    <row r="36">
      <c r="A36" s="149" t="s">
        <v>4230</v>
      </c>
      <c r="B36" s="163" t="s">
        <v>4231</v>
      </c>
      <c r="C36" s="315" t="s">
        <v>724</v>
      </c>
      <c r="D36" s="316" t="str">
        <f>IFERROR(__xludf.DUMMYFUNCTION("GOOGLETRANSLATE(A36,""zh-tw"",""ja"")"),"角のあるウサギ")</f>
        <v>角のあるウサギ</v>
      </c>
      <c r="E36" s="319" t="s">
        <v>4232</v>
      </c>
      <c r="F36" s="318" t="str">
        <f>IFERROR(__xludf.DUMMYFUNCTION("GOOGLETRANSLATE(C36,""zh-tw"",""ja"")"),"-")</f>
        <v>-</v>
      </c>
      <c r="G36" s="175" t="s">
        <v>4233</v>
      </c>
      <c r="H36" s="319" t="s">
        <v>4234</v>
      </c>
      <c r="I36" s="318" t="str">
        <f>IFERROR(__xludf.DUMMYFUNCTION("GOOGLETRANSLATE(C36,""zh-tw"",""en"")"),"-")</f>
        <v>-</v>
      </c>
      <c r="J36" s="316" t="str">
        <f>IFERROR(__xludf.DUMMYFUNCTION("GOOGLETRANSLATE(A36,""zh-tw"",""zh"")"),"角兔")</f>
        <v>角兔</v>
      </c>
      <c r="K36" s="317" t="str">
        <f>IFERROR(__xludf.DUMMYFUNCTION("GOOGLETRANSLATE(B36,""zh-tw"",""zh"")"),"兽肉")</f>
        <v>兽肉</v>
      </c>
      <c r="L36" s="318" t="str">
        <f>IFERROR(__xludf.DUMMYFUNCTION("GOOGLETRANSLATE(C36,""zh-tw"",""zh"")"),"-")</f>
        <v>-</v>
      </c>
      <c r="M36" s="150" t="str">
        <f>IFERROR(__xludf.DUMMYFUNCTION("GOOGLETRANSLATE(A36,""zh-tw"",""es-MX"")"),"Conejo cornudo")</f>
        <v>Conejo cornudo</v>
      </c>
      <c r="N36" s="164" t="str">
        <f>IFERROR(__xludf.DUMMYFUNCTION("GOOGLETRANSLATE(B36,""zh-tw"",""es-MX"")"),"carne")</f>
        <v>carne</v>
      </c>
      <c r="O36" s="320" t="str">
        <f>IFERROR(__xludf.DUMMYFUNCTION("GOOGLETRANSLATE(C36,""zh-tw"",""es-MX"")"),"-")</f>
        <v>-</v>
      </c>
      <c r="P36" s="149" t="s">
        <v>4235</v>
      </c>
      <c r="Q36" s="163" t="s">
        <v>4236</v>
      </c>
      <c r="R36" s="320" t="str">
        <f>IFERROR(__xludf.DUMMYFUNCTION("GOOGLETRANSLATE(C36,""zh-tw"",""KO"")"),"-")</f>
        <v>-</v>
      </c>
      <c r="S36" s="316" t="str">
        <f>IFERROR(__xludf.DUMMYFUNCTION("GOOGLETRANSLATE(A36,""zh-tw"",""ru"")"),"Рогатый Кролик")</f>
        <v>Рогатый Кролик</v>
      </c>
      <c r="T36" s="317" t="str">
        <f>IFERROR(__xludf.DUMMYFUNCTION("GOOGLETRANSLATE(B36,""zh-tw"",""ru"")"),"мясо")</f>
        <v>мясо</v>
      </c>
      <c r="U36" s="318" t="str">
        <f>IFERROR(__xludf.DUMMYFUNCTION("GOOGLETRANSLATE(C36,""zh-tw"",""ru"")"),"-")</f>
        <v>-</v>
      </c>
      <c r="V36" s="175" t="s">
        <v>4237</v>
      </c>
      <c r="W36" s="319" t="s">
        <v>4238</v>
      </c>
      <c r="X36" s="321" t="s">
        <v>3868</v>
      </c>
      <c r="Y36" s="156" t="s">
        <v>4239</v>
      </c>
      <c r="Z36" s="166" t="s">
        <v>4240</v>
      </c>
      <c r="AA36" s="322" t="s">
        <v>724</v>
      </c>
      <c r="AB36" s="17"/>
      <c r="AC36" s="17"/>
      <c r="AD36" s="17"/>
      <c r="AE36" s="17"/>
    </row>
    <row r="37">
      <c r="A37" s="149" t="s">
        <v>2696</v>
      </c>
      <c r="B37" s="163" t="s">
        <v>4241</v>
      </c>
      <c r="C37" s="315" t="s">
        <v>4242</v>
      </c>
      <c r="D37" s="316" t="str">
        <f>IFERROR(__xludf.DUMMYFUNCTION("GOOGLETRANSLATE(A37,""zh-tw"",""ja"")"),"かかし")</f>
        <v>かかし</v>
      </c>
      <c r="E37" s="319" t="s">
        <v>4243</v>
      </c>
      <c r="F37" s="321" t="s">
        <v>4244</v>
      </c>
      <c r="G37" s="175" t="s">
        <v>2702</v>
      </c>
      <c r="H37" s="319" t="s">
        <v>4245</v>
      </c>
      <c r="I37" s="321" t="s">
        <v>4246</v>
      </c>
      <c r="J37" s="316" t="str">
        <f>IFERROR(__xludf.DUMMYFUNCTION("GOOGLETRANSLATE(A37,""zh-tw"",""zh"")"),"稻草人")</f>
        <v>稻草人</v>
      </c>
      <c r="K37" s="317" t="str">
        <f>IFERROR(__xludf.DUMMYFUNCTION("GOOGLETRANSLATE(B37,""zh-tw"",""zh"")"),"稻草人的心")</f>
        <v>稻草人的心</v>
      </c>
      <c r="L37" s="318" t="str">
        <f>IFERROR(__xludf.DUMMYFUNCTION("GOOGLETRANSLATE(C37,""zh-tw"",""zh"")"),"伤害测试")</f>
        <v>伤害测试</v>
      </c>
      <c r="M37" s="150" t="str">
        <f>IFERROR(__xludf.DUMMYFUNCTION("GOOGLETRANSLATE(A37,""zh-tw"",""es-MX"")"),"espantapájaros")</f>
        <v>espantapájaros</v>
      </c>
      <c r="N37" s="164" t="str">
        <f>IFERROR(__xludf.DUMMYFUNCTION("GOOGLETRANSLATE(B37,""zh-tw"",""es-MX"")"),"El corazón del espantapájaros")</f>
        <v>El corazón del espantapájaros</v>
      </c>
      <c r="O37" s="320" t="str">
        <f>IFERROR(__xludf.DUMMYFUNCTION("GOOGLETRANSLATE(C37,""zh-tw"",""es-MX"")"),"Prueba de daños")</f>
        <v>Prueba de daños</v>
      </c>
      <c r="P37" s="150" t="str">
        <f>IFERROR(__xludf.DUMMYFUNCTION("GOOGLETRANSLATE(A37,""zh-tw"",""KO"")"),"허수아비")</f>
        <v>허수아비</v>
      </c>
      <c r="Q37" s="163" t="s">
        <v>4247</v>
      </c>
      <c r="R37" s="315" t="s">
        <v>4248</v>
      </c>
      <c r="S37" s="316" t="str">
        <f>IFERROR(__xludf.DUMMYFUNCTION("GOOGLETRANSLATE(A37,""zh-tw"",""ru"")"),"пугало")</f>
        <v>пугало</v>
      </c>
      <c r="T37" s="317" t="str">
        <f>IFERROR(__xludf.DUMMYFUNCTION("GOOGLETRANSLATE(B37,""zh-tw"",""ru"")"),"Сердце пугала")</f>
        <v>Сердце пугала</v>
      </c>
      <c r="U37" s="318" t="str">
        <f>IFERROR(__xludf.DUMMYFUNCTION("GOOGLETRANSLATE(C37,""zh-tw"",""ru"")"),"Тест на повреждения")</f>
        <v>Тест на повреждения</v>
      </c>
      <c r="V37" s="175" t="s">
        <v>2705</v>
      </c>
      <c r="W37" s="319" t="s">
        <v>4249</v>
      </c>
      <c r="X37" s="321" t="s">
        <v>4250</v>
      </c>
      <c r="Y37" s="156" t="s">
        <v>2708</v>
      </c>
      <c r="Z37" s="166" t="s">
        <v>4251</v>
      </c>
      <c r="AA37" s="322" t="s">
        <v>4252</v>
      </c>
      <c r="AB37" s="17"/>
      <c r="AC37" s="17"/>
      <c r="AD37" s="17"/>
      <c r="AE37" s="17"/>
    </row>
    <row r="38">
      <c r="A38" s="149" t="s">
        <v>4253</v>
      </c>
      <c r="B38" s="163" t="s">
        <v>4254</v>
      </c>
      <c r="C38" s="315" t="s">
        <v>4255</v>
      </c>
      <c r="D38" s="316" t="str">
        <f>IFERROR(__xludf.DUMMYFUNCTION("GOOGLETRANSLATE(A38,""zh-tw"",""ja"")"),"浅羽")</f>
        <v>浅羽</v>
      </c>
      <c r="E38" s="319" t="s">
        <v>4256</v>
      </c>
      <c r="F38" s="321" t="s">
        <v>4257</v>
      </c>
      <c r="G38" s="175" t="s">
        <v>4258</v>
      </c>
      <c r="H38" s="319" t="s">
        <v>4259</v>
      </c>
      <c r="I38" s="321" t="s">
        <v>4260</v>
      </c>
      <c r="J38" s="316" t="str">
        <f>IFERROR(__xludf.DUMMYFUNCTION("GOOGLETRANSLATE(A38,""zh-tw"",""zh"")"),"浅羽")</f>
        <v>浅羽</v>
      </c>
      <c r="K38" s="317" t="str">
        <f>IFERROR(__xludf.DUMMYFUNCTION("GOOGLETRANSLATE(B38,""zh-tw"",""zh"")"),"猫爪")</f>
        <v>猫爪</v>
      </c>
      <c r="L38" s="318" t="str">
        <f>IFERROR(__xludf.DUMMYFUNCTION("GOOGLETRANSLATE(C38,""zh-tw"",""zh"")"),"猫娘商店车
弱点：雷")</f>
        <v>猫娘商店车
弱点：雷</v>
      </c>
      <c r="M38" s="150" t="str">
        <f>IFERROR(__xludf.DUMMYFUNCTION("GOOGLETRANSLATE(A38,""zh-tw"",""es-MX"")"),"Asaba")</f>
        <v>Asaba</v>
      </c>
      <c r="N38" s="164" t="str">
        <f>IFERROR(__xludf.DUMMYFUNCTION("GOOGLETRANSLATE(B38,""zh-tw"",""es-MX"")"),"pata de gato")</f>
        <v>pata de gato</v>
      </c>
      <c r="O38" s="320" t="str">
        <f>IFERROR(__xludf.DUMMYFUNCTION("GOOGLETRANSLATE(C38,""zh-tw"",""es-MX"")"),"Carrito de la tienda de la chica gato")</f>
        <v>Carrito de la tienda de la chica gato</v>
      </c>
      <c r="P38" s="150" t="str">
        <f>IFERROR(__xludf.DUMMYFUNCTION("GOOGLETRANSLATE(A38,""zh-tw"",""KO"")"),"아사바")</f>
        <v>아사바</v>
      </c>
      <c r="Q38" s="163" t="s">
        <v>4261</v>
      </c>
      <c r="R38" s="315" t="s">
        <v>4262</v>
      </c>
      <c r="S38" s="316" t="str">
        <f>IFERROR(__xludf.DUMMYFUNCTION("GOOGLETRANSLATE(A38,""zh-tw"",""ru"")"),"Асаба")</f>
        <v>Асаба</v>
      </c>
      <c r="T38" s="317" t="str">
        <f>IFERROR(__xludf.DUMMYFUNCTION("GOOGLETRANSLATE(B38,""zh-tw"",""ru"")"),"кошачья лапа")</f>
        <v>кошачья лапа</v>
      </c>
      <c r="U38" s="318" t="str">
        <f>IFERROR(__xludf.DUMMYFUNCTION("GOOGLETRANSLATE(C38,""zh-tw"",""ru"")"),"Корзина магазина Кошкодевочки
Слабость: Гром")</f>
        <v>Корзина магазина Кошкодевочки
Слабость: Гром</v>
      </c>
      <c r="V38" s="175" t="s">
        <v>4258</v>
      </c>
      <c r="W38" s="319" t="s">
        <v>4263</v>
      </c>
      <c r="X38" s="321" t="s">
        <v>4264</v>
      </c>
      <c r="Y38" s="156" t="s">
        <v>4258</v>
      </c>
      <c r="Z38" s="166" t="s">
        <v>4265</v>
      </c>
      <c r="AA38" s="322" t="s">
        <v>4266</v>
      </c>
      <c r="AB38" s="17"/>
      <c r="AC38" s="17"/>
      <c r="AD38" s="17"/>
      <c r="AE38" s="17"/>
    </row>
    <row r="39">
      <c r="A39" s="149" t="s">
        <v>4267</v>
      </c>
      <c r="B39" s="163" t="s">
        <v>4268</v>
      </c>
      <c r="C39" s="315" t="s">
        <v>724</v>
      </c>
      <c r="D39" s="149" t="s">
        <v>4269</v>
      </c>
      <c r="E39" s="163" t="s">
        <v>4270</v>
      </c>
      <c r="F39" s="318" t="str">
        <f>IFERROR(__xludf.DUMMYFUNCTION("GOOGLETRANSLATE(C39,""zh-tw"",""ja"")"),"-")</f>
        <v>-</v>
      </c>
      <c r="G39" s="149" t="s">
        <v>4271</v>
      </c>
      <c r="H39" s="163" t="s">
        <v>4272</v>
      </c>
      <c r="I39" s="320" t="str">
        <f>IFERROR(__xludf.DUMMYFUNCTION("GOOGLETRANSLATE(F39,""zh-tw"",""ja"")"),"-")</f>
        <v>-</v>
      </c>
      <c r="J39" s="316" t="str">
        <f>IFERROR(__xludf.DUMMYFUNCTION("GOOGLETRANSLATE(A39,""zh-tw"",""zh"")"),"火焰妖精")</f>
        <v>火焰妖精</v>
      </c>
      <c r="K39" s="317" t="str">
        <f>IFERROR(__xludf.DUMMYFUNCTION("GOOGLETRANSLATE(B39,""zh-tw"",""zh"")"),"熔岩杖")</f>
        <v>熔岩杖</v>
      </c>
      <c r="L39" s="318" t="str">
        <f>IFERROR(__xludf.DUMMYFUNCTION("GOOGLETRANSLATE(C39,""zh-tw"",""zh"")"),"-")</f>
        <v>-</v>
      </c>
      <c r="M39" s="150" t="str">
        <f>IFERROR(__xludf.DUMMYFUNCTION("GOOGLETRANSLATE(A39,""zh-tw"",""es-MX"")"),"Hada de la llama")</f>
        <v>Hada de la llama</v>
      </c>
      <c r="N39" s="164" t="str">
        <f>IFERROR(__xludf.DUMMYFUNCTION("GOOGLETRANSLATE(B39,""zh-tw"",""es-MX"")"),"Bastón de lava")</f>
        <v>Bastón de lava</v>
      </c>
      <c r="O39" s="320" t="str">
        <f>IFERROR(__xludf.DUMMYFUNCTION("GOOGLETRANSLATE(C39,""zh-tw"",""es-MX"")"),"-")</f>
        <v>-</v>
      </c>
      <c r="P39" s="150" t="str">
        <f>IFERROR(__xludf.DUMMYFUNCTION("GOOGLETRANSLATE(A39,""zh-tw"",""KO"")"),"불꽃 요정")</f>
        <v>불꽃 요정</v>
      </c>
      <c r="Q39" s="163" t="s">
        <v>4273</v>
      </c>
      <c r="R39" s="320" t="str">
        <f>IFERROR(__xludf.DUMMYFUNCTION("GOOGLETRANSLATE(C39,""zh-tw"",""KO"")"),"-")</f>
        <v>-</v>
      </c>
      <c r="S39" s="316" t="str">
        <f>IFERROR(__xludf.DUMMYFUNCTION("GOOGLETRANSLATE(A39,""zh-tw"",""ru"")"),"Фея Пламени")</f>
        <v>Фея Пламени</v>
      </c>
      <c r="T39" s="317" t="str">
        <f>IFERROR(__xludf.DUMMYFUNCTION("GOOGLETRANSLATE(B39,""zh-tw"",""ru"")"),"Лавовый посох")</f>
        <v>Лавовый посох</v>
      </c>
      <c r="U39" s="318" t="str">
        <f>IFERROR(__xludf.DUMMYFUNCTION("GOOGLETRANSLATE(C39,""zh-tw"",""ru"")"),"-")</f>
        <v>-</v>
      </c>
      <c r="V39" s="175" t="s">
        <v>4274</v>
      </c>
      <c r="W39" s="319" t="s">
        <v>4275</v>
      </c>
      <c r="X39" s="321" t="s">
        <v>3868</v>
      </c>
      <c r="Y39" s="156" t="s">
        <v>4276</v>
      </c>
      <c r="Z39" s="166" t="s">
        <v>4277</v>
      </c>
      <c r="AA39" s="322" t="s">
        <v>724</v>
      </c>
      <c r="AB39" s="17"/>
      <c r="AC39" s="17"/>
      <c r="AD39" s="17"/>
      <c r="AE39" s="17"/>
    </row>
    <row r="40">
      <c r="A40" s="149" t="s">
        <v>4278</v>
      </c>
      <c r="B40" s="163" t="s">
        <v>4279</v>
      </c>
      <c r="C40" s="315" t="s">
        <v>724</v>
      </c>
      <c r="D40" s="149" t="s">
        <v>4280</v>
      </c>
      <c r="E40" s="163" t="s">
        <v>4281</v>
      </c>
      <c r="F40" s="318" t="str">
        <f>IFERROR(__xludf.DUMMYFUNCTION("GOOGLETRANSLATE(C40,""zh-tw"",""ja"")"),"-")</f>
        <v>-</v>
      </c>
      <c r="G40" s="149" t="s">
        <v>4282</v>
      </c>
      <c r="H40" s="163" t="s">
        <v>4283</v>
      </c>
      <c r="I40" s="320" t="str">
        <f>IFERROR(__xludf.DUMMYFUNCTION("GOOGLETRANSLATE(F40,""zh-tw"",""ja"")"),"-")</f>
        <v>-</v>
      </c>
      <c r="J40" s="316" t="str">
        <f>IFERROR(__xludf.DUMMYFUNCTION("GOOGLETRANSLATE(A40,""zh-tw"",""zh"")"),"燃烧史莱姆")</f>
        <v>燃烧史莱姆</v>
      </c>
      <c r="K40" s="317" t="str">
        <f>IFERROR(__xludf.DUMMYFUNCTION("GOOGLETRANSLATE(B40,""zh-tw"",""zh"")"),"熔岩戒指")</f>
        <v>熔岩戒指</v>
      </c>
      <c r="L40" s="318" t="str">
        <f>IFERROR(__xludf.DUMMYFUNCTION("GOOGLETRANSLATE(C40,""zh-tw"",""zh"")"),"-")</f>
        <v>-</v>
      </c>
      <c r="M40" s="150" t="str">
        <f>IFERROR(__xludf.DUMMYFUNCTION("GOOGLETRANSLATE(A40,""zh-tw"",""es-MX"")"),"Limo ardiente")</f>
        <v>Limo ardiente</v>
      </c>
      <c r="N40" s="164" t="str">
        <f>IFERROR(__xludf.DUMMYFUNCTION("GOOGLETRANSLATE(B40,""zh-tw"",""es-MX"")"),"Anillo de lava")</f>
        <v>Anillo de lava</v>
      </c>
      <c r="O40" s="320" t="str">
        <f>IFERROR(__xludf.DUMMYFUNCTION("GOOGLETRANSLATE(C40,""zh-tw"",""es-MX"")"),"-")</f>
        <v>-</v>
      </c>
      <c r="P40" s="150" t="str">
        <f>IFERROR(__xludf.DUMMYFUNCTION("GOOGLETRANSLATE(A40,""zh-tw"",""KO"")"),"불타는 슬라임")</f>
        <v>불타는 슬라임</v>
      </c>
      <c r="Q40" s="163" t="s">
        <v>4284</v>
      </c>
      <c r="R40" s="320" t="str">
        <f>IFERROR(__xludf.DUMMYFUNCTION("GOOGLETRANSLATE(C40,""zh-tw"",""KO"")"),"-")</f>
        <v>-</v>
      </c>
      <c r="S40" s="316" t="str">
        <f>IFERROR(__xludf.DUMMYFUNCTION("GOOGLETRANSLATE(A40,""zh-tw"",""ru"")"),"Горящая слизь")</f>
        <v>Горящая слизь</v>
      </c>
      <c r="T40" s="317" t="str">
        <f>IFERROR(__xludf.DUMMYFUNCTION("GOOGLETRANSLATE(B40,""zh-tw"",""ru"")"),"Кольцо лавы")</f>
        <v>Кольцо лавы</v>
      </c>
      <c r="U40" s="318" t="str">
        <f>IFERROR(__xludf.DUMMYFUNCTION("GOOGLETRANSLATE(C40,""zh-tw"",""ru"")"),"-")</f>
        <v>-</v>
      </c>
      <c r="V40" s="175" t="s">
        <v>4285</v>
      </c>
      <c r="W40" s="319" t="s">
        <v>4286</v>
      </c>
      <c r="X40" s="321" t="s">
        <v>3868</v>
      </c>
      <c r="Y40" s="156" t="s">
        <v>4287</v>
      </c>
      <c r="Z40" s="166" t="s">
        <v>4288</v>
      </c>
      <c r="AA40" s="322" t="s">
        <v>724</v>
      </c>
      <c r="AB40" s="17"/>
      <c r="AC40" s="17"/>
      <c r="AD40" s="17"/>
      <c r="AE40" s="17"/>
    </row>
    <row r="41">
      <c r="A41" s="149" t="s">
        <v>4289</v>
      </c>
      <c r="B41" s="163" t="s">
        <v>4290</v>
      </c>
      <c r="C41" s="315" t="s">
        <v>724</v>
      </c>
      <c r="D41" s="149" t="s">
        <v>4289</v>
      </c>
      <c r="E41" s="163" t="s">
        <v>4291</v>
      </c>
      <c r="F41" s="318" t="str">
        <f>IFERROR(__xludf.DUMMYFUNCTION("GOOGLETRANSLATE(C41,""zh-tw"",""ja"")"),"-")</f>
        <v>-</v>
      </c>
      <c r="G41" s="149" t="s">
        <v>4292</v>
      </c>
      <c r="H41" s="163" t="s">
        <v>4293</v>
      </c>
      <c r="I41" s="320" t="str">
        <f>IFERROR(__xludf.DUMMYFUNCTION("GOOGLETRANSLATE(F41,""zh-tw"",""ja"")"),"-")</f>
        <v>-</v>
      </c>
      <c r="J41" s="316" t="str">
        <f>IFERROR(__xludf.DUMMYFUNCTION("GOOGLETRANSLATE(A41,""zh-tw"",""zh"")"),"炎魔")</f>
        <v>炎魔</v>
      </c>
      <c r="K41" s="317" t="str">
        <f>IFERROR(__xludf.DUMMYFUNCTION("GOOGLETRANSLATE(B41,""zh-tw"",""zh"")"),"熔岩杖/阳炎")</f>
        <v>熔岩杖/阳炎</v>
      </c>
      <c r="L41" s="318" t="str">
        <f>IFERROR(__xludf.DUMMYFUNCTION("GOOGLETRANSLATE(C41,""zh-tw"",""zh"")"),"-")</f>
        <v>-</v>
      </c>
      <c r="M41" s="150" t="str">
        <f>IFERROR(__xludf.DUMMYFUNCTION("GOOGLETRANSLATE(A41,""zh-tw"",""es-MX"")"),"Demonio de la llama")</f>
        <v>Demonio de la llama</v>
      </c>
      <c r="N41" s="164" t="str">
        <f>IFERROR(__xludf.DUMMYFUNCTION("GOOGLETRANSLATE(B41,""zh-tw"",""es-MX"")"),"Bastón de lava/Fuego solar")</f>
        <v>Bastón de lava/Fuego solar</v>
      </c>
      <c r="O41" s="320" t="str">
        <f>IFERROR(__xludf.DUMMYFUNCTION("GOOGLETRANSLATE(C41,""zh-tw"",""es-MX"")"),"-")</f>
        <v>-</v>
      </c>
      <c r="P41" s="150" t="str">
        <f>IFERROR(__xludf.DUMMYFUNCTION("GOOGLETRANSLATE(A41,""zh-tw"",""KO"")"),"화염 악마")</f>
        <v>화염 악마</v>
      </c>
      <c r="Q41" s="164" t="str">
        <f>IFERROR(__xludf.DUMMYFUNCTION("GOOGLETRANSLATE(B41,""zh-tw"",""KO"")"),"용암 지팡이/선파이어")</f>
        <v>용암 지팡이/선파이어</v>
      </c>
      <c r="R41" s="320" t="str">
        <f>IFERROR(__xludf.DUMMYFUNCTION("GOOGLETRANSLATE(C41,""zh-tw"",""KO"")"),"-")</f>
        <v>-</v>
      </c>
      <c r="S41" s="316" t="str">
        <f>IFERROR(__xludf.DUMMYFUNCTION("GOOGLETRANSLATE(A41,""zh-tw"",""ru"")"),"Пламенный Демон")</f>
        <v>Пламенный Демон</v>
      </c>
      <c r="T41" s="317" t="str">
        <f>IFERROR(__xludf.DUMMYFUNCTION("GOOGLETRANSLATE(B41,""zh-tw"",""ru"")"),"Лавовый посох/Солнечный огонь")</f>
        <v>Лавовый посох/Солнечный огонь</v>
      </c>
      <c r="U41" s="318" t="str">
        <f>IFERROR(__xludf.DUMMYFUNCTION("GOOGLETRANSLATE(C41,""zh-tw"",""ru"")"),"-")</f>
        <v>-</v>
      </c>
      <c r="V41" s="175" t="s">
        <v>4292</v>
      </c>
      <c r="W41" s="319" t="s">
        <v>4294</v>
      </c>
      <c r="X41" s="321" t="s">
        <v>3868</v>
      </c>
      <c r="Y41" s="156" t="s">
        <v>4292</v>
      </c>
      <c r="Z41" s="166" t="s">
        <v>4295</v>
      </c>
      <c r="AA41" s="322" t="s">
        <v>724</v>
      </c>
      <c r="AB41" s="17"/>
      <c r="AC41" s="17"/>
      <c r="AD41" s="17"/>
      <c r="AE41" s="17"/>
    </row>
    <row r="42">
      <c r="A42" s="150" t="s">
        <v>4296</v>
      </c>
      <c r="B42" s="163" t="s">
        <v>4297</v>
      </c>
      <c r="C42" s="315" t="s">
        <v>4298</v>
      </c>
      <c r="D42" s="150" t="s">
        <v>4299</v>
      </c>
      <c r="E42" s="163" t="s">
        <v>4300</v>
      </c>
      <c r="F42" s="318" t="str">
        <f>IFERROR(__xludf.DUMMYFUNCTION("GOOGLETRANSLATE(C42,""zh-tw"",""ja"")"),"赤い翡翠のペンダントは特別なドロップです。ドロップするには 10 体以上のモンスターを倒す必要があります。")</f>
        <v>赤い翡翠のペンダントは特別なドロップです。ドロップするには 10 体以上のモンスターを倒す必要があります。</v>
      </c>
      <c r="G42" s="150" t="s">
        <v>4301</v>
      </c>
      <c r="H42" s="163" t="s">
        <v>4302</v>
      </c>
      <c r="I42" s="315" t="s">
        <v>4303</v>
      </c>
      <c r="J42" s="316" t="str">
        <f>IFERROR(__xludf.DUMMYFUNCTION("GOOGLETRANSLATE(A42,""zh-tw"",""zh"")"),"堕落法师的断手")</f>
        <v>堕落法师的断手</v>
      </c>
      <c r="K42" s="317" t="str">
        <f>IFERROR(__xludf.DUMMYFUNCTION("GOOGLETRANSLATE(B42,""zh-tw"",""zh"")"),"谢里斯的诅咒之手/红髓玉吊坠")</f>
        <v>谢里斯的诅咒之手/红髓玉吊坠</v>
      </c>
      <c r="L42" s="318" t="str">
        <f>IFERROR(__xludf.DUMMYFUNCTION("GOOGLETRANSLATE(C42,""zh-tw"",""zh"")"),"红髓玉吊坠是特殊掉落，需要击杀10只以上才有可能掉落。")</f>
        <v>红髓玉吊坠是特殊掉落，需要击杀10只以上才有可能掉落。</v>
      </c>
      <c r="M42" s="150" t="str">
        <f>IFERROR(__xludf.DUMMYFUNCTION("GOOGLETRANSLATE(A42,""zh-tw"",""es-MX"")"),"La mano cercenada del mago caído")</f>
        <v>La mano cercenada del mago caído</v>
      </c>
      <c r="N42" s="164" t="str">
        <f>IFERROR(__xludf.DUMMYFUNCTION("GOOGLETRANSLATE(B42,""zh-tw"",""es-MX"")"),"La mano maldita de Sheris / Colgante de cornalina")</f>
        <v>La mano maldita de Sheris / Colgante de cornalina</v>
      </c>
      <c r="O42" s="320" t="str">
        <f>IFERROR(__xludf.DUMMYFUNCTION("GOOGLETRANSLATE(C42,""zh-tw"",""es-MX"")"),"El colgante de jade rojo es un objeto especial; necesitas matar a más de 10 monstruos para que aparezca.")</f>
        <v>El colgante de jade rojo es un objeto especial; necesitas matar a más de 10 monstruos para que aparezca.</v>
      </c>
      <c r="P42" s="150" t="str">
        <f>IFERROR(__xludf.DUMMYFUNCTION("GOOGLETRANSLATE(A42,""zh-tw"",""KO"")"),"타락한 마법사의 잘린 손")</f>
        <v>타락한 마법사의 잘린 손</v>
      </c>
      <c r="Q42" s="164" t="str">
        <f>IFERROR(__xludf.DUMMYFUNCTION("GOOGLETRANSLATE(B42,""zh-tw"",""KO"")"),"셰리스의 저주받은 손 / 카넬리안 펜던트")</f>
        <v>셰리스의 저주받은 손 / 카넬리안 펜던트</v>
      </c>
      <c r="R42" s="320" t="str">
        <f>IFERROR(__xludf.DUMMYFUNCTION("GOOGLETRANSLATE(C42,""zh-tw"",""KO"")"),"붉은 옥 펜던트는 특별한 아이템으로, 이를 얻으려면 몬스터 10마리 이상을 처치해야 합니다.")</f>
        <v>붉은 옥 펜던트는 특별한 아이템으로, 이를 얻으려면 몬스터 10마리 이상을 처치해야 합니다.</v>
      </c>
      <c r="S42" s="316" t="str">
        <f>IFERROR(__xludf.DUMMYFUNCTION("GOOGLETRANSLATE(A42,""zh-tw"",""ru"")"),"Отрубленная рука падшего мага")</f>
        <v>Отрубленная рука падшего мага</v>
      </c>
      <c r="T42" s="317" t="str">
        <f>IFERROR(__xludf.DUMMYFUNCTION("GOOGLETRANSLATE(B42,""zh-tw"",""ru"")"),"Проклятая рука Шерис / Подвеска из сердолика")</f>
        <v>Проклятая рука Шерис / Подвеска из сердолика</v>
      </c>
      <c r="U42" s="318" t="str">
        <f>IFERROR(__xludf.DUMMYFUNCTION("GOOGLETRANSLATE(C42,""zh-tw"",""ru"")"),"Подвеска из красного нефрита — это особый предмет, для его выпадения вам нужно убить более 10 монстров.")</f>
        <v>Подвеска из красного нефрита — это особый предмет, для его выпадения вам нужно убить более 10 монстров.</v>
      </c>
      <c r="V42" s="150" t="s">
        <v>4304</v>
      </c>
      <c r="W42" s="164" t="s">
        <v>4305</v>
      </c>
      <c r="X42" s="315" t="s">
        <v>724</v>
      </c>
      <c r="Y42" s="181" t="s">
        <v>4306</v>
      </c>
      <c r="Z42" s="166" t="s">
        <v>4307</v>
      </c>
      <c r="AA42" s="322" t="s">
        <v>4308</v>
      </c>
      <c r="AB42" s="201"/>
      <c r="AC42" s="201"/>
      <c r="AD42" s="201"/>
      <c r="AE42" s="201"/>
    </row>
    <row r="43">
      <c r="A43" s="149" t="s">
        <v>4309</v>
      </c>
      <c r="B43" s="163" t="s">
        <v>4310</v>
      </c>
      <c r="C43" s="315" t="s">
        <v>4311</v>
      </c>
      <c r="D43" s="149" t="s">
        <v>4309</v>
      </c>
      <c r="E43" s="163" t="s">
        <v>4312</v>
      </c>
      <c r="F43" s="315" t="s">
        <v>4313</v>
      </c>
      <c r="G43" s="149" t="s">
        <v>4309</v>
      </c>
      <c r="H43" s="163" t="s">
        <v>4314</v>
      </c>
      <c r="I43" s="315" t="s">
        <v>4315</v>
      </c>
      <c r="J43" s="316" t="str">
        <f>IFERROR(__xludf.DUMMYFUNCTION("GOOGLETRANSLATE(A43,""zh-tw"",""zh"")"),"ASABA")</f>
        <v>ASABA</v>
      </c>
      <c r="K43" s="317" t="str">
        <f>IFERROR(__xludf.DUMMYFUNCTION("GOOGLETRANSLATE(B43,""zh-tw"",""zh"")"),"ASAB的草莓")</f>
        <v>ASAB的草莓</v>
      </c>
      <c r="L43" s="318" t="str">
        <f>IFERROR(__xludf.DUMMYFUNCTION("GOOGLETRANSLATE(C43,""zh-tw"",""zh"")"),"浅羽Doro，会吃掉路边的草莓")</f>
        <v>浅羽Doro，会吃掉路边的草莓</v>
      </c>
      <c r="M43" s="150" t="str">
        <f>IFERROR(__xludf.DUMMYFUNCTION("GOOGLETRANSLATE(A43,""zh-tw"",""es-MX"")"),"ASABA")</f>
        <v>ASABA</v>
      </c>
      <c r="N43" s="164" t="str">
        <f>IFERROR(__xludf.DUMMYFUNCTION("GOOGLETRANSLATE(B43,""zh-tw"",""es-MX"")"),"Fresas de ASAB")</f>
        <v>Fresas de ASAB</v>
      </c>
      <c r="O43" s="320" t="str">
        <f>IFERROR(__xludf.DUMMYFUNCTION("GOOGLETRANSLATE(C43,""zh-tw"",""es-MX"")"),"Doro Asaba comerá las fresas que encuentre al borde del camino.")</f>
        <v>Doro Asaba comerá las fresas que encuentre al borde del camino.</v>
      </c>
      <c r="P43" s="150" t="str">
        <f>IFERROR(__xludf.DUMMYFUNCTION("GOOGLETRANSLATE(A43,""zh-tw"",""KO"")"),"아사바")</f>
        <v>아사바</v>
      </c>
      <c r="Q43" s="164" t="str">
        <f>IFERROR(__xludf.DUMMYFUNCTION("GOOGLETRANSLATE(B43,""zh-tw"",""KO"")"),"ASAB의 딸기")</f>
        <v>ASAB의 딸기</v>
      </c>
      <c r="R43" s="320" t="str">
        <f>IFERROR(__xludf.DUMMYFUNCTION("GOOGLETRANSLATE(C43,""zh-tw"",""KO"")"),"도로 아사바는 길가에서 딸기를 먹을 것이다.")</f>
        <v>도로 아사바는 길가에서 딸기를 먹을 것이다.</v>
      </c>
      <c r="S43" s="316" t="str">
        <f>IFERROR(__xludf.DUMMYFUNCTION("GOOGLETRANSLATE(A43,""zh-tw"",""ru"")"),"АСАБА")</f>
        <v>АСАБА</v>
      </c>
      <c r="T43" s="317" t="str">
        <f>IFERROR(__xludf.DUMMYFUNCTION("GOOGLETRANSLATE(B43,""zh-tw"",""ru"")"),"Клубника ASAB")</f>
        <v>Клубника ASAB</v>
      </c>
      <c r="U43" s="318" t="str">
        <f>IFERROR(__xludf.DUMMYFUNCTION("GOOGLETRANSLATE(C43,""zh-tw"",""ru"")"),"Доро Асаба будет есть клубнику у дороги.")</f>
        <v>Доро Асаба будет есть клубнику у дороги.</v>
      </c>
      <c r="V43" s="149" t="s">
        <v>4309</v>
      </c>
      <c r="W43" s="163" t="s">
        <v>4316</v>
      </c>
      <c r="X43" s="315" t="s">
        <v>4317</v>
      </c>
      <c r="Y43" s="156" t="s">
        <v>4318</v>
      </c>
      <c r="Z43" s="166" t="s">
        <v>4319</v>
      </c>
      <c r="AA43" s="322" t="s">
        <v>4320</v>
      </c>
      <c r="AB43" s="17"/>
      <c r="AC43" s="17"/>
      <c r="AD43" s="17"/>
      <c r="AE43" s="17"/>
    </row>
    <row r="44">
      <c r="A44" s="149" t="s">
        <v>4321</v>
      </c>
      <c r="B44" s="163" t="s">
        <v>4322</v>
      </c>
      <c r="C44" s="315" t="s">
        <v>4323</v>
      </c>
      <c r="D44" s="149" t="s">
        <v>4324</v>
      </c>
      <c r="E44" s="163" t="s">
        <v>4325</v>
      </c>
      <c r="F44" s="315" t="s">
        <v>4323</v>
      </c>
      <c r="G44" s="149" t="s">
        <v>4326</v>
      </c>
      <c r="H44" s="163" t="s">
        <v>4327</v>
      </c>
      <c r="I44" s="315" t="s">
        <v>4323</v>
      </c>
      <c r="J44" s="316" t="str">
        <f>IFERROR(__xludf.DUMMYFUNCTION("GOOGLETRANSLATE(A44,""zh-tw"",""zh"")"),"狂暴的ASABA")</f>
        <v>狂暴的ASABA</v>
      </c>
      <c r="K44" s="317" t="str">
        <f>IFERROR(__xludf.DUMMYFUNCTION("GOOGLETRANSLATE(B44,""zh-tw"",""zh"")"),"ASAB的草莓.把草莓夺回来！ !")</f>
        <v>ASAB的草莓.把草莓夺回来！ !</v>
      </c>
      <c r="L44" s="318" t="str">
        <f>IFERROR(__xludf.DUMMYFUNCTION("GOOGLETRANSLATE(C44,""zh-tw"",""zh"")"),"BOSS")</f>
        <v>BOSS</v>
      </c>
      <c r="M44" s="150" t="str">
        <f>IFERROR(__xludf.DUMMYFUNCTION("GOOGLETRANSLATE(A44,""zh-tw"",""es-MX"")"),"Berserk ASABA")</f>
        <v>Berserk ASABA</v>
      </c>
      <c r="N44" s="164" t="str">
        <f>IFERROR(__xludf.DUMMYFUNCTION("GOOGLETRANSLATE(B44,""zh-tw"",""es-MX"")"),"Las fresas de ASAB. ¡Devuélvanme las fresas!")</f>
        <v>Las fresas de ASAB. ¡Devuélvanme las fresas!</v>
      </c>
      <c r="O44" s="315" t="s">
        <v>4323</v>
      </c>
      <c r="P44" s="150" t="str">
        <f>IFERROR(__xludf.DUMMYFUNCTION("GOOGLETRANSLATE(A44,""zh-tw"",""KO"")"),"베르세르크 아사바")</f>
        <v>베르세르크 아사바</v>
      </c>
      <c r="Q44" s="164" t="str">
        <f>IFERROR(__xludf.DUMMYFUNCTION("GOOGLETRANSLATE(B44,""zh-tw"",""KO"")"),"ASAB의 딸기. 딸기를 돌려주세요!")</f>
        <v>ASAB의 딸기. 딸기를 돌려주세요!</v>
      </c>
      <c r="R44" s="315" t="s">
        <v>4323</v>
      </c>
      <c r="S44" s="316" t="str">
        <f>IFERROR(__xludf.DUMMYFUNCTION("GOOGLETRANSLATE(A44,""zh-tw"",""ru"")"),"Берсерк ASABA")</f>
        <v>Берсерк ASABA</v>
      </c>
      <c r="T44" s="317" t="str">
        <f>IFERROR(__xludf.DUMMYFUNCTION("GOOGLETRANSLATE(B44,""zh-tw"",""ru"")"),"Клубника от ASAB. Заберите клубнику обратно!")</f>
        <v>Клубника от ASAB. Заберите клубнику обратно!</v>
      </c>
      <c r="U44" s="315" t="s">
        <v>4323</v>
      </c>
      <c r="V44" s="149"/>
      <c r="W44" s="163" t="s">
        <v>4328</v>
      </c>
      <c r="X44" s="315" t="s">
        <v>4323</v>
      </c>
      <c r="Y44" s="156" t="s">
        <v>4318</v>
      </c>
      <c r="Z44" s="166" t="s">
        <v>4329</v>
      </c>
      <c r="AA44" s="322" t="s">
        <v>4323</v>
      </c>
      <c r="AB44" s="17"/>
      <c r="AC44" s="17"/>
      <c r="AD44" s="17"/>
      <c r="AE44" s="17"/>
    </row>
    <row r="45">
      <c r="A45" s="150" t="s">
        <v>4330</v>
      </c>
      <c r="B45" s="164" t="s">
        <v>4331</v>
      </c>
      <c r="C45" s="315" t="s">
        <v>4323</v>
      </c>
      <c r="D45" s="150" t="s">
        <v>4332</v>
      </c>
      <c r="E45" s="164" t="s">
        <v>4333</v>
      </c>
      <c r="F45" s="315" t="s">
        <v>4323</v>
      </c>
      <c r="G45" s="150" t="s">
        <v>4334</v>
      </c>
      <c r="H45" s="163" t="s">
        <v>4335</v>
      </c>
      <c r="I45" s="315" t="s">
        <v>4323</v>
      </c>
      <c r="J45" s="316" t="str">
        <f>IFERROR(__xludf.DUMMYFUNCTION("GOOGLETRANSLATE(A45,""zh-tw"",""zh"")"),"箱庭的白兔")</f>
        <v>箱庭的白兔</v>
      </c>
      <c r="K45" s="317" t="str">
        <f>IFERROR(__xludf.DUMMYFUNCTION("GOOGLETRANSLATE(B45,""zh-tw"",""zh"")"),"胡萝卜大剑/胡萝卜")</f>
        <v>胡萝卜大剑/胡萝卜</v>
      </c>
      <c r="L45" s="318" t="str">
        <f>IFERROR(__xludf.DUMMYFUNCTION("GOOGLETRANSLATE(C45,""zh-tw"",""zh"")"),"BOSS")</f>
        <v>BOSS</v>
      </c>
      <c r="M45" s="150" t="str">
        <f>IFERROR(__xludf.DUMMYFUNCTION("GOOGLETRANSLATE(A45,""zh-tw"",""es-MX"")"),"El conejo blanco del pequeño jardín")</f>
        <v>El conejo blanco del pequeño jardín</v>
      </c>
      <c r="N45" s="164" t="str">
        <f>IFERROR(__xludf.DUMMYFUNCTION("GOOGLETRANSLATE(B45,""zh-tw"",""es-MX"")"),"Espada de zanahoria / Zanahoria")</f>
        <v>Espada de zanahoria / Zanahoria</v>
      </c>
      <c r="O45" s="315" t="s">
        <v>4336</v>
      </c>
      <c r="P45" s="150" t="str">
        <f>IFERROR(__xludf.DUMMYFUNCTION("GOOGLETRANSLATE(A45,""zh-tw"",""KO"")"),"작은 정원의 흰 토끼")</f>
        <v>작은 정원의 흰 토끼</v>
      </c>
      <c r="Q45" s="164" t="str">
        <f>IFERROR(__xludf.DUMMYFUNCTION("GOOGLETRANSLATE(B45,""zh-tw"",""KO"")"),"당근 검 / 당근")</f>
        <v>당근 검 / 당근</v>
      </c>
      <c r="R45" s="315" t="s">
        <v>4323</v>
      </c>
      <c r="S45" s="316" t="str">
        <f>IFERROR(__xludf.DUMMYFUNCTION("GOOGLETRANSLATE(A45,""zh-tw"",""ru"")"),"Белый кролик маленького сада")</f>
        <v>Белый кролик маленького сада</v>
      </c>
      <c r="T45" s="317" t="str">
        <f>IFERROR(__xludf.DUMMYFUNCTION("GOOGLETRANSLATE(B45,""zh-tw"",""ru"")"),"Морковный меч / Морковь")</f>
        <v>Морковный меч / Морковь</v>
      </c>
      <c r="U45" s="315" t="s">
        <v>4323</v>
      </c>
      <c r="V45" s="150" t="s">
        <v>4337</v>
      </c>
      <c r="W45" s="164" t="s">
        <v>4338</v>
      </c>
      <c r="X45" s="315" t="s">
        <v>4336</v>
      </c>
      <c r="Y45" s="181" t="s">
        <v>4339</v>
      </c>
      <c r="Z45" s="183" t="s">
        <v>4340</v>
      </c>
      <c r="AA45" s="322" t="s">
        <v>4323</v>
      </c>
      <c r="AB45" s="17"/>
      <c r="AC45" s="17"/>
      <c r="AD45" s="17"/>
      <c r="AE45" s="17"/>
    </row>
    <row r="46">
      <c r="A46" s="149" t="s">
        <v>4341</v>
      </c>
      <c r="B46" s="163" t="s">
        <v>4342</v>
      </c>
      <c r="C46" s="315" t="s">
        <v>724</v>
      </c>
      <c r="D46" s="149" t="s">
        <v>4343</v>
      </c>
      <c r="E46" s="163" t="s">
        <v>4344</v>
      </c>
      <c r="F46" s="320"/>
      <c r="G46" s="149" t="s">
        <v>4345</v>
      </c>
      <c r="H46" s="163" t="s">
        <v>4346</v>
      </c>
      <c r="I46" s="315" t="s">
        <v>724</v>
      </c>
      <c r="J46" s="316" t="str">
        <f>IFERROR(__xludf.DUMMYFUNCTION("GOOGLETRANSLATE(A46,""zh-tw"",""zh"")"),"邪恶斗篷")</f>
        <v>邪恶斗篷</v>
      </c>
      <c r="K46" s="317" t="str">
        <f>IFERROR(__xludf.DUMMYFUNCTION("GOOGLETRANSLATE(B46,""zh-tw"",""zh"")"),"来自地狱/夜雾幻影/调皮的杰克")</f>
        <v>来自地狱/夜雾幻影/调皮的杰克</v>
      </c>
      <c r="L46" s="318" t="str">
        <f>IFERROR(__xludf.DUMMYFUNCTION("GOOGLETRANSLATE(C46,""zh-tw"",""zh"")"),"-")</f>
        <v>-</v>
      </c>
      <c r="M46" s="150" t="str">
        <f>IFERROR(__xludf.DUMMYFUNCTION("GOOGLETRANSLATE(A46,""zh-tw"",""es-MX"")"),"Manto Malvado")</f>
        <v>Manto Malvado</v>
      </c>
      <c r="N46" s="164" t="str">
        <f>IFERROR(__xludf.DUMMYFUNCTION("GOOGLETRANSLATE(B46,""zh-tw"",""es-MX"")"),"Desde el infierno/Fantasma de la niebla nocturna/Jack el travieso")</f>
        <v>Desde el infierno/Fantasma de la niebla nocturna/Jack el travieso</v>
      </c>
      <c r="O46" s="320" t="str">
        <f>IFERROR(__xludf.DUMMYFUNCTION("GOOGLETRANSLATE(C46,""zh-tw"",""es-MX"")"),"-")</f>
        <v>-</v>
      </c>
      <c r="P46" s="150" t="str">
        <f>IFERROR(__xludf.DUMMYFUNCTION("GOOGLETRANSLATE(A46,""zh-tw"",""KO"")"),"사악한 망토")</f>
        <v>사악한 망토</v>
      </c>
      <c r="Q46" s="164" t="str">
        <f>IFERROR(__xludf.DUMMYFUNCTION("GOOGLETRANSLATE(B46,""zh-tw"",""KO"")"),"지옥에서 온/밤안개 유령/장난꾸러기 잭")</f>
        <v>지옥에서 온/밤안개 유령/장난꾸러기 잭</v>
      </c>
      <c r="R46" s="320" t="str">
        <f>IFERROR(__xludf.DUMMYFUNCTION("GOOGLETRANSLATE(C46,""zh-tw"",""KO"")"),"-")</f>
        <v>-</v>
      </c>
      <c r="S46" s="316" t="str">
        <f>IFERROR(__xludf.DUMMYFUNCTION("GOOGLETRANSLATE(A46,""zh-tw"",""ru"")"),"Злой Плащ")</f>
        <v>Злой Плащ</v>
      </c>
      <c r="T46" s="317" t="str">
        <f>IFERROR(__xludf.DUMMYFUNCTION("GOOGLETRANSLATE(B46,""zh-tw"",""ru"")"),"Из ада/Ночной туманный призрак/Озорной Джек")</f>
        <v>Из ада/Ночной туманный призрак/Озорной Джек</v>
      </c>
      <c r="U46" s="318" t="str">
        <f>IFERROR(__xludf.DUMMYFUNCTION("GOOGLETRANSLATE(C46,""zh-tw"",""ru"")"),"-")</f>
        <v>-</v>
      </c>
      <c r="V46" s="149" t="s">
        <v>4347</v>
      </c>
      <c r="W46" s="163" t="s">
        <v>4348</v>
      </c>
      <c r="X46" s="315" t="s">
        <v>724</v>
      </c>
      <c r="Y46" s="156" t="s">
        <v>4349</v>
      </c>
      <c r="Z46" s="187" t="s">
        <v>4350</v>
      </c>
      <c r="AA46" s="322" t="s">
        <v>724</v>
      </c>
      <c r="AB46" s="17"/>
      <c r="AC46" s="17"/>
      <c r="AD46" s="17"/>
      <c r="AE46" s="17"/>
    </row>
    <row r="47">
      <c r="A47" s="149" t="s">
        <v>4351</v>
      </c>
      <c r="B47" s="324" t="s">
        <v>4352</v>
      </c>
      <c r="C47" s="315" t="s">
        <v>4353</v>
      </c>
      <c r="D47" s="149" t="s">
        <v>4354</v>
      </c>
      <c r="E47" s="163" t="s">
        <v>4355</v>
      </c>
      <c r="F47" s="315" t="s">
        <v>4356</v>
      </c>
      <c r="G47" s="149" t="s">
        <v>4357</v>
      </c>
      <c r="H47" s="163" t="s">
        <v>4358</v>
      </c>
      <c r="I47" s="315" t="s">
        <v>4359</v>
      </c>
      <c r="J47" s="316" t="str">
        <f>IFERROR(__xludf.DUMMYFUNCTION("GOOGLETRANSLATE(A47,""zh-tw"",""zh"")"),"萨卡班甲鱼(小)")</f>
        <v>萨卡班甲鱼(小)</v>
      </c>
      <c r="K47" s="317" t="str">
        <f>IFERROR(__xludf.DUMMYFUNCTION("GOOGLETRANSLATE(B47,""zh-tw"",""zh"")"),"◉▽◉(蓝色)")</f>
        <v>◉▽◉(蓝色)</v>
      </c>
      <c r="L47" s="318" t="str">
        <f>IFERROR(__xludf.DUMMYFUNCTION("GOOGLETRANSLATE(C47,""zh-tw"",""zh"")"),"使用炸弹炸水面")</f>
        <v>使用炸弹炸水面</v>
      </c>
      <c r="M47" s="150" t="str">
        <f>IFERROR(__xludf.DUMMYFUNCTION("GOOGLETRANSLATE(A47,""zh-tw"",""es-MX"")"),"Tortuga Sakaban (pequeña)")</f>
        <v>Tortuga Sakaban (pequeña)</v>
      </c>
      <c r="N47" s="164" t="str">
        <f>IFERROR(__xludf.DUMMYFUNCTION("GOOGLETRANSLATE(B47,""zh-tw"",""es-MX"")"),"◉▽◉ (Azul)")</f>
        <v>◉▽◉ (Azul)</v>
      </c>
      <c r="O47" s="320" t="str">
        <f>IFERROR(__xludf.DUMMYFUNCTION("GOOGLETRANSLATE(C47,""zh-tw"",""es-MX"")"),"Utiliza bombas para hacer estallar la superficie del agua")</f>
        <v>Utiliza bombas para hacer estallar la superficie del agua</v>
      </c>
      <c r="P47" s="150" t="str">
        <f>IFERROR(__xludf.DUMMYFUNCTION("GOOGLETRANSLATE(A47,""zh-tw"",""KO"")"),"사카반 거북이(소)")</f>
        <v>사카반 거북이(소)</v>
      </c>
      <c r="Q47" s="164" t="str">
        <f>IFERROR(__xludf.DUMMYFUNCTION("GOOGLETRANSLATE(B47,""zh-tw"",""KO"")"),"◉▽◉ (파란색)")</f>
        <v>◉▽◉ (파란색)</v>
      </c>
      <c r="R47" s="320" t="str">
        <f>IFERROR(__xludf.DUMMYFUNCTION("GOOGLETRANSLATE(C47,""zh-tw"",""KO"")"),"폭탄을 사용하여 수면을 폭파하세요")</f>
        <v>폭탄을 사용하여 수면을 폭파하세요</v>
      </c>
      <c r="S47" s="316" t="str">
        <f>IFERROR(__xludf.DUMMYFUNCTION("GOOGLETRANSLATE(A47,""zh-tw"",""ru"")"),"Сакабанская черепаха (маленькая)")</f>
        <v>Сакабанская черепаха (маленькая)</v>
      </c>
      <c r="T47" s="317" t="str">
        <f>IFERROR(__xludf.DUMMYFUNCTION("GOOGLETRANSLATE(B47,""zh-tw"",""ru"")"),"◉▽◉ (Синий)")</f>
        <v>◉▽◉ (Синий)</v>
      </c>
      <c r="U47" s="318" t="str">
        <f>IFERROR(__xludf.DUMMYFUNCTION("GOOGLETRANSLATE(C47,""zh-tw"",""ru"")"),"Используйте бомбы, чтобы взорвать поверхность воды.")</f>
        <v>Используйте бомбы, чтобы взорвать поверхность воды.</v>
      </c>
      <c r="V47" s="149" t="s">
        <v>4360</v>
      </c>
      <c r="W47" s="325" t="s">
        <v>4361</v>
      </c>
      <c r="X47" s="315" t="s">
        <v>4362</v>
      </c>
      <c r="Y47" s="156" t="s">
        <v>4363</v>
      </c>
      <c r="Z47" s="166" t="s">
        <v>4364</v>
      </c>
      <c r="AA47" s="322" t="s">
        <v>4365</v>
      </c>
      <c r="AB47" s="17"/>
      <c r="AC47" s="17"/>
      <c r="AD47" s="17"/>
      <c r="AE47" s="17"/>
    </row>
    <row r="48">
      <c r="A48" s="149" t="s">
        <v>4366</v>
      </c>
      <c r="B48" s="164" t="s">
        <v>4367</v>
      </c>
      <c r="C48" s="315" t="s">
        <v>4353</v>
      </c>
      <c r="D48" s="149" t="s">
        <v>4368</v>
      </c>
      <c r="E48" s="163" t="s">
        <v>4369</v>
      </c>
      <c r="F48" s="315" t="s">
        <v>4356</v>
      </c>
      <c r="G48" s="149" t="s">
        <v>4370</v>
      </c>
      <c r="H48" s="163" t="s">
        <v>4371</v>
      </c>
      <c r="I48" s="315" t="s">
        <v>4359</v>
      </c>
      <c r="J48" s="316" t="str">
        <f>IFERROR(__xludf.DUMMYFUNCTION("GOOGLETRANSLATE(A48,""zh-tw"",""zh"")"),"萨卡班甲鱼(大)")</f>
        <v>萨卡班甲鱼(大)</v>
      </c>
      <c r="K48" s="317" t="str">
        <f>IFERROR(__xludf.DUMMYFUNCTION("GOOGLETRANSLATE(B48,""zh-tw"",""zh"")"),"◉▽◉(紫色)")</f>
        <v>◉▽◉(紫色)</v>
      </c>
      <c r="L48" s="318" t="str">
        <f>IFERROR(__xludf.DUMMYFUNCTION("GOOGLETRANSLATE(C48,""zh-tw"",""zh"")"),"使用炸弹炸水面")</f>
        <v>使用炸弹炸水面</v>
      </c>
      <c r="M48" s="150" t="str">
        <f>IFERROR(__xludf.DUMMYFUNCTION("GOOGLETRANSLATE(A48,""zh-tw"",""es-MX"")"),"Tortuga Sakaban (grande)")</f>
        <v>Tortuga Sakaban (grande)</v>
      </c>
      <c r="N48" s="164" t="str">
        <f>IFERROR(__xludf.DUMMYFUNCTION("GOOGLETRANSLATE(B48,""zh-tw"",""es-MX"")"),"◉▽◉(morado)")</f>
        <v>◉▽◉(morado)</v>
      </c>
      <c r="O48" s="320" t="str">
        <f>IFERROR(__xludf.DUMMYFUNCTION("GOOGLETRANSLATE(C48,""zh-tw"",""es-MX"")"),"Utiliza bombas para hacer estallar la superficie del agua")</f>
        <v>Utiliza bombas para hacer estallar la superficie del agua</v>
      </c>
      <c r="P48" s="150" t="str">
        <f>IFERROR(__xludf.DUMMYFUNCTION("GOOGLETRANSLATE(A48,""zh-tw"",""KO"")"),"사카반 거북이(대형)")</f>
        <v>사카반 거북이(대형)</v>
      </c>
      <c r="Q48" s="164" t="str">
        <f>IFERROR(__xludf.DUMMYFUNCTION("GOOGLETRANSLATE(B48,""zh-tw"",""KO"")"),"◉▽◉(보라색)")</f>
        <v>◉▽◉(보라색)</v>
      </c>
      <c r="R48" s="320" t="str">
        <f>IFERROR(__xludf.DUMMYFUNCTION("GOOGLETRANSLATE(C48,""zh-tw"",""KO"")"),"폭탄을 사용하여 수면을 폭파하세요")</f>
        <v>폭탄을 사용하여 수면을 폭파하세요</v>
      </c>
      <c r="S48" s="316" t="str">
        <f>IFERROR(__xludf.DUMMYFUNCTION("GOOGLETRANSLATE(A48,""zh-tw"",""ru"")"),"Сакабанская черепаха (большая)")</f>
        <v>Сакабанская черепаха (большая)</v>
      </c>
      <c r="T48" s="317" t="str">
        <f>IFERROR(__xludf.DUMMYFUNCTION("GOOGLETRANSLATE(B48,""zh-tw"",""ru"")"),"◉▽◉(фиолетовый)")</f>
        <v>◉▽◉(фиолетовый)</v>
      </c>
      <c r="U48" s="318" t="str">
        <f>IFERROR(__xludf.DUMMYFUNCTION("GOOGLETRANSLATE(C48,""zh-tw"",""ru"")"),"Используйте бомбы, чтобы взорвать поверхность воды.")</f>
        <v>Используйте бомбы, чтобы взорвать поверхность воды.</v>
      </c>
      <c r="V48" s="149" t="s">
        <v>4372</v>
      </c>
      <c r="W48" s="325" t="s">
        <v>4373</v>
      </c>
      <c r="X48" s="315" t="s">
        <v>4362</v>
      </c>
      <c r="Y48" s="156" t="s">
        <v>4374</v>
      </c>
      <c r="Z48" s="183" t="s">
        <v>4375</v>
      </c>
      <c r="AA48" s="322" t="s">
        <v>4365</v>
      </c>
      <c r="AB48" s="17"/>
      <c r="AC48" s="17"/>
      <c r="AD48" s="17"/>
      <c r="AE48" s="17"/>
    </row>
    <row r="49">
      <c r="A49" s="149" t="s">
        <v>4376</v>
      </c>
      <c r="B49" s="163" t="s">
        <v>4377</v>
      </c>
      <c r="C49" s="315" t="s">
        <v>4378</v>
      </c>
      <c r="D49" s="149" t="s">
        <v>4379</v>
      </c>
      <c r="E49" s="163" t="s">
        <v>4380</v>
      </c>
      <c r="F49" s="315" t="s">
        <v>4381</v>
      </c>
      <c r="G49" s="149" t="s">
        <v>4382</v>
      </c>
      <c r="H49" s="163" t="s">
        <v>4383</v>
      </c>
      <c r="I49" s="315" t="s">
        <v>4384</v>
      </c>
      <c r="J49" s="316" t="str">
        <f>IFERROR(__xludf.DUMMYFUNCTION("GOOGLETRANSLATE(A49,""zh-tw"",""zh"")"),"应该已经灭绝的河之主!?")</f>
        <v>应该已经灭绝的河之主!?</v>
      </c>
      <c r="K49" s="317" t="str">
        <f>IFERROR(__xludf.DUMMYFUNCTION("GOOGLETRANSLATE(B49,""zh-tw"",""zh"")"),"◉▽◉(粉色)/王权之令")</f>
        <v>◉▽◉(粉色)/王权之令</v>
      </c>
      <c r="L49" s="318" t="str">
        <f>IFERROR(__xludf.DUMMYFUNCTION("GOOGLETRANSLATE(C49,""zh-tw"",""zh"")"),"BOSS
弱点：雷")</f>
        <v>BOSS
弱点：雷</v>
      </c>
      <c r="M49" s="150" t="str">
        <f>IFERROR(__xludf.DUMMYFUNCTION("GOOGLETRANSLATE(A49,""zh-tw"",""es-MX"")"),"¡¿El Señor del Río, que ya debería estar extinto?!")</f>
        <v>¡¿El Señor del Río, que ya debería estar extinto?!</v>
      </c>
      <c r="N49" s="164" t="str">
        <f>IFERROR(__xludf.DUMMYFUNCTION("GOOGLETRANSLATE(B49,""zh-tw"",""es-MX"")"),"◉▽◉(Rosa)/Real Decreto")</f>
        <v>◉▽◉(Rosa)/Real Decreto</v>
      </c>
      <c r="O49" s="320" t="str">
        <f>IFERROR(__xludf.DUMMYFUNCTION("GOOGLETRANSLATE(C49,""zh-tw"",""es-MX"")"),"Debilidad del jefe: Rayo")</f>
        <v>Debilidad del jefe: Rayo</v>
      </c>
      <c r="P49" s="150" t="str">
        <f>IFERROR(__xludf.DUMMYFUNCTION("GOOGLETRANSLATE(A49,""zh-tw"",""KO"")"),"이미 멸종했어야 할 강의 군주!?")</f>
        <v>이미 멸종했어야 할 강의 군주!?</v>
      </c>
      <c r="Q49" s="164" t="str">
        <f>IFERROR(__xludf.DUMMYFUNCTION("GOOGLETRANSLATE(B49,""zh-tw"",""KO"")"),"◉▽◉(분홍색)/왕령")</f>
        <v>◉▽◉(분홍색)/왕령</v>
      </c>
      <c r="R49" s="320" t="str">
        <f>IFERROR(__xludf.DUMMYFUNCTION("GOOGLETRANSLATE(C49,""zh-tw"",""KO"")"),"보스 약점: 번개")</f>
        <v>보스 약점: 번개</v>
      </c>
      <c r="S49" s="316" t="str">
        <f>IFERROR(__xludf.DUMMYFUNCTION("GOOGLETRANSLATE(A49,""zh-tw"",""ru"")"),"Речной Лорд, который уже должен был вымереть!?")</f>
        <v>Речной Лорд, который уже должен был вымереть!?</v>
      </c>
      <c r="T49" s="317" t="str">
        <f>IFERROR(__xludf.DUMMYFUNCTION("GOOGLETRANSLATE(B49,""zh-tw"",""ru"")"),"◉▽◉(Розовый)/Королевский указ")</f>
        <v>◉▽◉(Розовый)/Королевский указ</v>
      </c>
      <c r="U49" s="318" t="str">
        <f>IFERROR(__xludf.DUMMYFUNCTION("GOOGLETRANSLATE(C49,""zh-tw"",""ru"")"),"Слабость БОССА: Молния")</f>
        <v>Слабость БОССА: Молния</v>
      </c>
      <c r="V49" s="149" t="s">
        <v>4385</v>
      </c>
      <c r="W49" s="325" t="s">
        <v>4386</v>
      </c>
      <c r="X49" s="315" t="s">
        <v>4387</v>
      </c>
      <c r="Y49" s="156" t="s">
        <v>4388</v>
      </c>
      <c r="Z49" s="166" t="s">
        <v>4389</v>
      </c>
      <c r="AA49" s="322" t="s">
        <v>4390</v>
      </c>
      <c r="AB49" s="17"/>
      <c r="AC49" s="17"/>
      <c r="AD49" s="17"/>
      <c r="AE49" s="17"/>
    </row>
    <row r="50">
      <c r="A50" s="150"/>
      <c r="B50" s="164"/>
      <c r="C50" s="320"/>
      <c r="D50" s="150"/>
      <c r="E50" s="164"/>
      <c r="F50" s="320"/>
      <c r="G50" s="150"/>
      <c r="H50" s="164"/>
      <c r="I50" s="320"/>
      <c r="J50" s="150"/>
      <c r="K50" s="164"/>
      <c r="L50" s="320"/>
      <c r="M50" s="326"/>
      <c r="N50" s="327"/>
      <c r="O50" s="328"/>
      <c r="P50" s="326"/>
      <c r="Q50" s="327"/>
      <c r="R50" s="328"/>
      <c r="S50" s="326"/>
      <c r="T50" s="327"/>
      <c r="U50" s="328"/>
      <c r="V50" s="150"/>
      <c r="W50" s="327"/>
      <c r="X50" s="320"/>
      <c r="Y50" s="156"/>
      <c r="Z50" s="166"/>
      <c r="AA50" s="322"/>
      <c r="AB50" s="17"/>
      <c r="AC50" s="17"/>
      <c r="AD50" s="17"/>
      <c r="AE50" s="17"/>
    </row>
    <row r="51">
      <c r="A51" s="150"/>
      <c r="B51" s="164"/>
      <c r="C51" s="320"/>
      <c r="D51" s="150"/>
      <c r="E51" s="164"/>
      <c r="F51" s="320"/>
      <c r="G51" s="150"/>
      <c r="H51" s="164"/>
      <c r="I51" s="320"/>
      <c r="J51" s="150"/>
      <c r="K51" s="164"/>
      <c r="L51" s="320"/>
      <c r="M51" s="326"/>
      <c r="N51" s="327"/>
      <c r="O51" s="328"/>
      <c r="P51" s="326"/>
      <c r="Q51" s="327"/>
      <c r="R51" s="328"/>
      <c r="S51" s="326"/>
      <c r="T51" s="327"/>
      <c r="U51" s="328"/>
      <c r="V51" s="150"/>
      <c r="W51" s="327"/>
      <c r="X51" s="320"/>
      <c r="Y51" s="156"/>
      <c r="Z51" s="166"/>
      <c r="AA51" s="322"/>
      <c r="AB51" s="17"/>
      <c r="AC51" s="17"/>
      <c r="AD51" s="17"/>
      <c r="AE51" s="17"/>
    </row>
    <row r="52">
      <c r="A52" s="150"/>
      <c r="B52" s="164"/>
      <c r="C52" s="320"/>
      <c r="D52" s="150"/>
      <c r="E52" s="164"/>
      <c r="F52" s="320"/>
      <c r="G52" s="150"/>
      <c r="H52" s="164"/>
      <c r="I52" s="320"/>
      <c r="J52" s="150"/>
      <c r="K52" s="164"/>
      <c r="L52" s="320"/>
      <c r="M52" s="326"/>
      <c r="N52" s="327"/>
      <c r="O52" s="328"/>
      <c r="P52" s="326"/>
      <c r="Q52" s="327"/>
      <c r="R52" s="328"/>
      <c r="S52" s="326"/>
      <c r="T52" s="327"/>
      <c r="U52" s="328"/>
      <c r="V52" s="150"/>
      <c r="W52" s="327"/>
      <c r="X52" s="320"/>
      <c r="Y52" s="156"/>
      <c r="Z52" s="166"/>
      <c r="AA52" s="322"/>
      <c r="AB52" s="17"/>
      <c r="AC52" s="17"/>
      <c r="AD52" s="17"/>
      <c r="AE52" s="17"/>
    </row>
    <row r="53">
      <c r="A53" s="150"/>
      <c r="B53" s="164"/>
      <c r="C53" s="320"/>
      <c r="D53" s="150"/>
      <c r="E53" s="164"/>
      <c r="F53" s="320"/>
      <c r="G53" s="150"/>
      <c r="H53" s="164"/>
      <c r="I53" s="320"/>
      <c r="J53" s="150"/>
      <c r="K53" s="164"/>
      <c r="L53" s="320"/>
      <c r="M53" s="326"/>
      <c r="N53" s="327"/>
      <c r="O53" s="328"/>
      <c r="P53" s="326"/>
      <c r="Q53" s="327"/>
      <c r="R53" s="328"/>
      <c r="S53" s="326"/>
      <c r="T53" s="327"/>
      <c r="U53" s="328"/>
      <c r="V53" s="150"/>
      <c r="W53" s="327"/>
      <c r="X53" s="320"/>
      <c r="Y53" s="156"/>
      <c r="Z53" s="166"/>
      <c r="AA53" s="322"/>
      <c r="AB53" s="17"/>
      <c r="AC53" s="17"/>
      <c r="AD53" s="17"/>
      <c r="AE53" s="17"/>
    </row>
    <row r="54">
      <c r="A54" s="150"/>
      <c r="B54" s="164"/>
      <c r="C54" s="320"/>
      <c r="D54" s="150"/>
      <c r="E54" s="164"/>
      <c r="F54" s="320"/>
      <c r="G54" s="150"/>
      <c r="H54" s="164"/>
      <c r="I54" s="320"/>
      <c r="J54" s="150"/>
      <c r="K54" s="164"/>
      <c r="L54" s="320"/>
      <c r="M54" s="326"/>
      <c r="N54" s="327"/>
      <c r="O54" s="328"/>
      <c r="P54" s="326"/>
      <c r="Q54" s="327"/>
      <c r="R54" s="328"/>
      <c r="S54" s="326"/>
      <c r="T54" s="327"/>
      <c r="U54" s="328"/>
      <c r="V54" s="150"/>
      <c r="W54" s="327"/>
      <c r="X54" s="320"/>
      <c r="Y54" s="156"/>
      <c r="Z54" s="166"/>
      <c r="AA54" s="322"/>
      <c r="AB54" s="17"/>
      <c r="AC54" s="17"/>
      <c r="AD54" s="17"/>
      <c r="AE54" s="17"/>
    </row>
    <row r="55">
      <c r="A55" s="150"/>
      <c r="B55" s="164"/>
      <c r="C55" s="320"/>
      <c r="D55" s="150"/>
      <c r="E55" s="164"/>
      <c r="F55" s="320"/>
      <c r="G55" s="150"/>
      <c r="H55" s="164"/>
      <c r="I55" s="320"/>
      <c r="J55" s="150"/>
      <c r="K55" s="164"/>
      <c r="L55" s="320"/>
      <c r="M55" s="326"/>
      <c r="N55" s="327"/>
      <c r="O55" s="328"/>
      <c r="P55" s="326"/>
      <c r="Q55" s="327"/>
      <c r="R55" s="328"/>
      <c r="S55" s="326"/>
      <c r="T55" s="327"/>
      <c r="U55" s="328"/>
      <c r="V55" s="150"/>
      <c r="W55" s="327"/>
      <c r="X55" s="320"/>
      <c r="Y55" s="156"/>
      <c r="Z55" s="166"/>
      <c r="AA55" s="322"/>
      <c r="AB55" s="17"/>
      <c r="AC55" s="17"/>
      <c r="AD55" s="17"/>
      <c r="AE55" s="17"/>
    </row>
    <row r="56">
      <c r="A56" s="150"/>
      <c r="B56" s="164"/>
      <c r="C56" s="320"/>
      <c r="D56" s="150"/>
      <c r="E56" s="164"/>
      <c r="F56" s="320"/>
      <c r="G56" s="150"/>
      <c r="H56" s="164"/>
      <c r="I56" s="320"/>
      <c r="J56" s="150"/>
      <c r="K56" s="164"/>
      <c r="L56" s="320"/>
      <c r="M56" s="326"/>
      <c r="N56" s="327"/>
      <c r="O56" s="328"/>
      <c r="P56" s="326"/>
      <c r="Q56" s="327"/>
      <c r="R56" s="328"/>
      <c r="S56" s="326"/>
      <c r="T56" s="327"/>
      <c r="U56" s="328"/>
      <c r="V56" s="150"/>
      <c r="W56" s="327"/>
      <c r="X56" s="320"/>
      <c r="Y56" s="156"/>
      <c r="Z56" s="166"/>
      <c r="AA56" s="322"/>
      <c r="AB56" s="17"/>
      <c r="AC56" s="17"/>
      <c r="AD56" s="17"/>
      <c r="AE56" s="17"/>
    </row>
    <row r="57">
      <c r="A57" s="150"/>
      <c r="B57" s="164"/>
      <c r="C57" s="320"/>
      <c r="D57" s="150"/>
      <c r="E57" s="164"/>
      <c r="F57" s="320"/>
      <c r="G57" s="150"/>
      <c r="H57" s="164"/>
      <c r="I57" s="320"/>
      <c r="J57" s="150"/>
      <c r="K57" s="164"/>
      <c r="L57" s="320"/>
      <c r="M57" s="326"/>
      <c r="N57" s="327"/>
      <c r="O57" s="328"/>
      <c r="P57" s="326"/>
      <c r="Q57" s="327"/>
      <c r="R57" s="328"/>
      <c r="S57" s="326"/>
      <c r="T57" s="327"/>
      <c r="U57" s="328"/>
      <c r="V57" s="150"/>
      <c r="W57" s="327"/>
      <c r="X57" s="320"/>
      <c r="Y57" s="156"/>
      <c r="Z57" s="166"/>
      <c r="AA57" s="322"/>
      <c r="AB57" s="17"/>
      <c r="AC57" s="17"/>
      <c r="AD57" s="17"/>
      <c r="AE57" s="17"/>
    </row>
    <row r="58">
      <c r="A58" s="150"/>
      <c r="B58" s="164"/>
      <c r="C58" s="320"/>
      <c r="D58" s="150"/>
      <c r="E58" s="164"/>
      <c r="F58" s="320"/>
      <c r="G58" s="150"/>
      <c r="H58" s="164"/>
      <c r="I58" s="320"/>
      <c r="J58" s="150"/>
      <c r="K58" s="164"/>
      <c r="L58" s="320"/>
      <c r="M58" s="326"/>
      <c r="N58" s="327"/>
      <c r="O58" s="328"/>
      <c r="P58" s="326"/>
      <c r="Q58" s="327"/>
      <c r="R58" s="328"/>
      <c r="S58" s="326"/>
      <c r="T58" s="327"/>
      <c r="U58" s="328"/>
      <c r="V58" s="150"/>
      <c r="W58" s="327"/>
      <c r="X58" s="320"/>
      <c r="Y58" s="156"/>
      <c r="Z58" s="166"/>
      <c r="AA58" s="322"/>
      <c r="AB58" s="17"/>
      <c r="AC58" s="17"/>
      <c r="AD58" s="17"/>
      <c r="AE58" s="17"/>
    </row>
    <row r="59">
      <c r="A59" s="150"/>
      <c r="B59" s="164"/>
      <c r="C59" s="320"/>
      <c r="D59" s="150"/>
      <c r="E59" s="164"/>
      <c r="F59" s="320"/>
      <c r="G59" s="150"/>
      <c r="H59" s="164"/>
      <c r="I59" s="320"/>
      <c r="J59" s="150"/>
      <c r="K59" s="164"/>
      <c r="L59" s="320"/>
      <c r="M59" s="326"/>
      <c r="N59" s="327"/>
      <c r="O59" s="328"/>
      <c r="P59" s="326"/>
      <c r="Q59" s="327"/>
      <c r="R59" s="328"/>
      <c r="S59" s="326"/>
      <c r="T59" s="327"/>
      <c r="U59" s="328"/>
      <c r="V59" s="150"/>
      <c r="W59" s="327"/>
      <c r="X59" s="320"/>
      <c r="Y59" s="156"/>
      <c r="Z59" s="166"/>
      <c r="AA59" s="322"/>
      <c r="AB59" s="17"/>
      <c r="AC59" s="17"/>
      <c r="AD59" s="17"/>
      <c r="AE59" s="17"/>
    </row>
    <row r="60">
      <c r="A60" s="150"/>
      <c r="B60" s="164"/>
      <c r="C60" s="320"/>
      <c r="D60" s="150"/>
      <c r="E60" s="164"/>
      <c r="F60" s="320"/>
      <c r="G60" s="150"/>
      <c r="H60" s="164"/>
      <c r="I60" s="320"/>
      <c r="J60" s="150"/>
      <c r="K60" s="164"/>
      <c r="L60" s="320"/>
      <c r="M60" s="326"/>
      <c r="N60" s="327"/>
      <c r="O60" s="328"/>
      <c r="P60" s="326"/>
      <c r="Q60" s="327"/>
      <c r="R60" s="328"/>
      <c r="S60" s="326"/>
      <c r="T60" s="327"/>
      <c r="U60" s="328"/>
      <c r="V60" s="150"/>
      <c r="W60" s="327"/>
      <c r="X60" s="320"/>
      <c r="Y60" s="156"/>
      <c r="Z60" s="166"/>
      <c r="AA60" s="322"/>
      <c r="AB60" s="17"/>
      <c r="AC60" s="17"/>
      <c r="AD60" s="17"/>
      <c r="AE60" s="17"/>
    </row>
    <row r="61">
      <c r="A61" s="150"/>
      <c r="B61" s="164"/>
      <c r="C61" s="320"/>
      <c r="D61" s="150"/>
      <c r="E61" s="164"/>
      <c r="F61" s="320"/>
      <c r="G61" s="150"/>
      <c r="H61" s="164"/>
      <c r="I61" s="320"/>
      <c r="J61" s="150"/>
      <c r="K61" s="164"/>
      <c r="L61" s="320"/>
      <c r="M61" s="326"/>
      <c r="N61" s="327"/>
      <c r="O61" s="328"/>
      <c r="P61" s="326"/>
      <c r="Q61" s="327"/>
      <c r="R61" s="328"/>
      <c r="S61" s="326"/>
      <c r="T61" s="327"/>
      <c r="U61" s="328"/>
      <c r="V61" s="150"/>
      <c r="W61" s="327"/>
      <c r="X61" s="320"/>
      <c r="Y61" s="156"/>
      <c r="Z61" s="166"/>
      <c r="AA61" s="322"/>
      <c r="AB61" s="17"/>
      <c r="AC61" s="17"/>
      <c r="AD61" s="17"/>
      <c r="AE61" s="17"/>
    </row>
    <row r="62">
      <c r="A62" s="150"/>
      <c r="B62" s="164"/>
      <c r="C62" s="320"/>
      <c r="D62" s="150"/>
      <c r="E62" s="164"/>
      <c r="F62" s="320"/>
      <c r="G62" s="150"/>
      <c r="H62" s="164"/>
      <c r="I62" s="320"/>
      <c r="J62" s="150"/>
      <c r="K62" s="164"/>
      <c r="L62" s="320"/>
      <c r="M62" s="326"/>
      <c r="N62" s="327"/>
      <c r="O62" s="328"/>
      <c r="P62" s="326"/>
      <c r="Q62" s="327"/>
      <c r="R62" s="328"/>
      <c r="S62" s="326"/>
      <c r="T62" s="327"/>
      <c r="U62" s="328"/>
      <c r="V62" s="150"/>
      <c r="W62" s="327"/>
      <c r="X62" s="320"/>
      <c r="Y62" s="156"/>
      <c r="Z62" s="166"/>
      <c r="AA62" s="322"/>
      <c r="AB62" s="17"/>
      <c r="AC62" s="17"/>
      <c r="AD62" s="17"/>
      <c r="AE62" s="17"/>
    </row>
    <row r="63">
      <c r="A63" s="150"/>
      <c r="B63" s="164"/>
      <c r="C63" s="320"/>
      <c r="D63" s="150"/>
      <c r="E63" s="164"/>
      <c r="F63" s="320"/>
      <c r="G63" s="150"/>
      <c r="H63" s="164"/>
      <c r="I63" s="320"/>
      <c r="J63" s="150"/>
      <c r="K63" s="164"/>
      <c r="L63" s="320"/>
      <c r="M63" s="326"/>
      <c r="N63" s="327"/>
      <c r="O63" s="328"/>
      <c r="P63" s="326"/>
      <c r="Q63" s="327"/>
      <c r="R63" s="328"/>
      <c r="S63" s="326"/>
      <c r="T63" s="327"/>
      <c r="U63" s="328"/>
      <c r="V63" s="150"/>
      <c r="W63" s="327"/>
      <c r="X63" s="320"/>
      <c r="Y63" s="156"/>
      <c r="Z63" s="166"/>
      <c r="AA63" s="322"/>
      <c r="AB63" s="17"/>
      <c r="AC63" s="17"/>
      <c r="AD63" s="17"/>
      <c r="AE63" s="17"/>
    </row>
    <row r="64">
      <c r="A64" s="150"/>
      <c r="B64" s="164"/>
      <c r="C64" s="320"/>
      <c r="D64" s="150"/>
      <c r="E64" s="164"/>
      <c r="F64" s="320"/>
      <c r="G64" s="150"/>
      <c r="H64" s="164"/>
      <c r="I64" s="320"/>
      <c r="J64" s="150"/>
      <c r="K64" s="164"/>
      <c r="L64" s="320"/>
      <c r="M64" s="326"/>
      <c r="N64" s="327"/>
      <c r="O64" s="328"/>
      <c r="P64" s="326"/>
      <c r="Q64" s="327"/>
      <c r="R64" s="328"/>
      <c r="S64" s="326"/>
      <c r="T64" s="327"/>
      <c r="U64" s="328"/>
      <c r="V64" s="150"/>
      <c r="W64" s="327"/>
      <c r="X64" s="320"/>
      <c r="Y64" s="156"/>
      <c r="Z64" s="166"/>
      <c r="AA64" s="322"/>
      <c r="AB64" s="17"/>
      <c r="AC64" s="17"/>
      <c r="AD64" s="17"/>
      <c r="AE64" s="17"/>
    </row>
    <row r="65">
      <c r="A65" s="150"/>
      <c r="B65" s="164"/>
      <c r="C65" s="320"/>
      <c r="D65" s="150"/>
      <c r="E65" s="164"/>
      <c r="F65" s="320"/>
      <c r="G65" s="150"/>
      <c r="H65" s="164"/>
      <c r="I65" s="320"/>
      <c r="J65" s="150"/>
      <c r="K65" s="164"/>
      <c r="L65" s="320"/>
      <c r="M65" s="326"/>
      <c r="N65" s="327"/>
      <c r="O65" s="328"/>
      <c r="P65" s="326"/>
      <c r="Q65" s="327"/>
      <c r="R65" s="328"/>
      <c r="S65" s="326"/>
      <c r="T65" s="327"/>
      <c r="U65" s="328"/>
      <c r="V65" s="150"/>
      <c r="W65" s="327"/>
      <c r="X65" s="320"/>
      <c r="Y65" s="156"/>
      <c r="Z65" s="166"/>
      <c r="AA65" s="322"/>
      <c r="AB65" s="17"/>
      <c r="AC65" s="17"/>
      <c r="AD65" s="17"/>
      <c r="AE65" s="17"/>
    </row>
    <row r="66">
      <c r="A66" s="150"/>
      <c r="B66" s="164"/>
      <c r="C66" s="320"/>
      <c r="D66" s="150"/>
      <c r="E66" s="164"/>
      <c r="F66" s="320"/>
      <c r="G66" s="150"/>
      <c r="H66" s="164"/>
      <c r="I66" s="320"/>
      <c r="J66" s="150"/>
      <c r="K66" s="164"/>
      <c r="L66" s="320"/>
      <c r="M66" s="326"/>
      <c r="N66" s="327"/>
      <c r="O66" s="328"/>
      <c r="P66" s="326"/>
      <c r="Q66" s="327"/>
      <c r="R66" s="328"/>
      <c r="S66" s="326"/>
      <c r="T66" s="327"/>
      <c r="U66" s="328"/>
      <c r="V66" s="150"/>
      <c r="W66" s="327"/>
      <c r="X66" s="320"/>
      <c r="Y66" s="156"/>
      <c r="Z66" s="166"/>
      <c r="AA66" s="322"/>
      <c r="AB66" s="17"/>
      <c r="AC66" s="17"/>
      <c r="AD66" s="17"/>
      <c r="AE66" s="17"/>
    </row>
    <row r="67">
      <c r="A67" s="150"/>
      <c r="B67" s="164"/>
      <c r="C67" s="320"/>
      <c r="D67" s="150"/>
      <c r="E67" s="164"/>
      <c r="F67" s="320"/>
      <c r="G67" s="150"/>
      <c r="H67" s="164"/>
      <c r="I67" s="320"/>
      <c r="J67" s="150"/>
      <c r="K67" s="164"/>
      <c r="L67" s="320"/>
      <c r="M67" s="326"/>
      <c r="N67" s="327"/>
      <c r="O67" s="328"/>
      <c r="P67" s="326"/>
      <c r="Q67" s="327"/>
      <c r="R67" s="328"/>
      <c r="S67" s="326"/>
      <c r="T67" s="327"/>
      <c r="U67" s="328"/>
      <c r="V67" s="150"/>
      <c r="W67" s="327"/>
      <c r="X67" s="320"/>
      <c r="Y67" s="156"/>
      <c r="Z67" s="166"/>
      <c r="AA67" s="322"/>
      <c r="AB67" s="17"/>
      <c r="AC67" s="17"/>
      <c r="AD67" s="17"/>
      <c r="AE67" s="17"/>
    </row>
    <row r="68">
      <c r="A68" s="150"/>
      <c r="B68" s="164"/>
      <c r="C68" s="320"/>
      <c r="D68" s="150"/>
      <c r="E68" s="164"/>
      <c r="F68" s="320"/>
      <c r="G68" s="150"/>
      <c r="H68" s="164"/>
      <c r="I68" s="320"/>
      <c r="J68" s="150"/>
      <c r="K68" s="164"/>
      <c r="L68" s="320"/>
      <c r="M68" s="326"/>
      <c r="N68" s="327"/>
      <c r="O68" s="328"/>
      <c r="P68" s="326"/>
      <c r="Q68" s="327"/>
      <c r="R68" s="328"/>
      <c r="S68" s="326"/>
      <c r="T68" s="327"/>
      <c r="U68" s="328"/>
      <c r="V68" s="150"/>
      <c r="W68" s="327"/>
      <c r="X68" s="320"/>
      <c r="Y68" s="156"/>
      <c r="Z68" s="166"/>
      <c r="AA68" s="322"/>
      <c r="AB68" s="17"/>
      <c r="AC68" s="17"/>
      <c r="AD68" s="17"/>
      <c r="AE68" s="17"/>
    </row>
    <row r="69">
      <c r="A69" s="150"/>
      <c r="B69" s="164"/>
      <c r="C69" s="320"/>
      <c r="D69" s="150"/>
      <c r="E69" s="164"/>
      <c r="F69" s="320"/>
      <c r="G69" s="150"/>
      <c r="H69" s="164"/>
      <c r="I69" s="320"/>
      <c r="J69" s="150"/>
      <c r="K69" s="164"/>
      <c r="L69" s="320"/>
      <c r="M69" s="326"/>
      <c r="N69" s="327"/>
      <c r="O69" s="328"/>
      <c r="P69" s="326"/>
      <c r="Q69" s="327"/>
      <c r="R69" s="328"/>
      <c r="S69" s="326"/>
      <c r="T69" s="327"/>
      <c r="U69" s="328"/>
      <c r="V69" s="150"/>
      <c r="W69" s="327"/>
      <c r="X69" s="320"/>
      <c r="Y69" s="156"/>
      <c r="Z69" s="166"/>
      <c r="AA69" s="322"/>
      <c r="AB69" s="17"/>
      <c r="AC69" s="17"/>
      <c r="AD69" s="17"/>
      <c r="AE69" s="17"/>
    </row>
    <row r="70">
      <c r="A70" s="150"/>
      <c r="B70" s="164"/>
      <c r="C70" s="320"/>
      <c r="D70" s="150"/>
      <c r="E70" s="164"/>
      <c r="F70" s="320"/>
      <c r="G70" s="150"/>
      <c r="H70" s="164"/>
      <c r="I70" s="320"/>
      <c r="J70" s="150"/>
      <c r="K70" s="164"/>
      <c r="L70" s="320"/>
      <c r="M70" s="326"/>
      <c r="N70" s="327"/>
      <c r="O70" s="328"/>
      <c r="P70" s="326"/>
      <c r="Q70" s="327"/>
      <c r="R70" s="328"/>
      <c r="S70" s="326"/>
      <c r="T70" s="327"/>
      <c r="U70" s="328"/>
      <c r="V70" s="150"/>
      <c r="W70" s="327"/>
      <c r="X70" s="320"/>
      <c r="Y70" s="156"/>
      <c r="Z70" s="166"/>
      <c r="AA70" s="322"/>
      <c r="AB70" s="17"/>
      <c r="AC70" s="17"/>
      <c r="AD70" s="17"/>
      <c r="AE70" s="17"/>
    </row>
    <row r="71">
      <c r="A71" s="150"/>
      <c r="B71" s="164"/>
      <c r="C71" s="320"/>
      <c r="D71" s="150"/>
      <c r="E71" s="164"/>
      <c r="F71" s="320"/>
      <c r="G71" s="150"/>
      <c r="H71" s="164"/>
      <c r="I71" s="320"/>
      <c r="J71" s="150"/>
      <c r="K71" s="164"/>
      <c r="L71" s="320"/>
      <c r="M71" s="326"/>
      <c r="N71" s="327"/>
      <c r="O71" s="328"/>
      <c r="P71" s="326"/>
      <c r="Q71" s="327"/>
      <c r="R71" s="328"/>
      <c r="S71" s="326"/>
      <c r="T71" s="327"/>
      <c r="U71" s="328"/>
      <c r="V71" s="150"/>
      <c r="W71" s="327"/>
      <c r="X71" s="320"/>
      <c r="Y71" s="156"/>
      <c r="Z71" s="166"/>
      <c r="AA71" s="322"/>
      <c r="AB71" s="17"/>
      <c r="AC71" s="17"/>
      <c r="AD71" s="17"/>
      <c r="AE71" s="17"/>
    </row>
    <row r="72">
      <c r="A72" s="150"/>
      <c r="B72" s="164"/>
      <c r="C72" s="320"/>
      <c r="D72" s="150"/>
      <c r="E72" s="164"/>
      <c r="F72" s="320"/>
      <c r="G72" s="150"/>
      <c r="H72" s="164"/>
      <c r="I72" s="320"/>
      <c r="J72" s="150"/>
      <c r="K72" s="164"/>
      <c r="L72" s="320"/>
      <c r="M72" s="326"/>
      <c r="N72" s="327"/>
      <c r="O72" s="328"/>
      <c r="P72" s="326"/>
      <c r="Q72" s="327"/>
      <c r="R72" s="328"/>
      <c r="S72" s="326"/>
      <c r="T72" s="327"/>
      <c r="U72" s="328"/>
      <c r="V72" s="150"/>
      <c r="W72" s="327"/>
      <c r="X72" s="320"/>
      <c r="Y72" s="156"/>
      <c r="Z72" s="166"/>
      <c r="AA72" s="322"/>
      <c r="AB72" s="17"/>
      <c r="AC72" s="17"/>
      <c r="AD72" s="17"/>
      <c r="AE72" s="17"/>
    </row>
    <row r="73">
      <c r="A73" s="150"/>
      <c r="B73" s="164"/>
      <c r="C73" s="320"/>
      <c r="D73" s="150"/>
      <c r="E73" s="164"/>
      <c r="F73" s="320"/>
      <c r="G73" s="150"/>
      <c r="H73" s="164"/>
      <c r="I73" s="320"/>
      <c r="J73" s="150"/>
      <c r="K73" s="164"/>
      <c r="L73" s="320"/>
      <c r="M73" s="326"/>
      <c r="N73" s="327"/>
      <c r="O73" s="328"/>
      <c r="P73" s="326"/>
      <c r="Q73" s="327"/>
      <c r="R73" s="328"/>
      <c r="S73" s="326"/>
      <c r="T73" s="327"/>
      <c r="U73" s="328"/>
      <c r="V73" s="150"/>
      <c r="W73" s="327"/>
      <c r="X73" s="320"/>
      <c r="Y73" s="156"/>
      <c r="Z73" s="166"/>
      <c r="AA73" s="322"/>
      <c r="AB73" s="17"/>
      <c r="AC73" s="17"/>
      <c r="AD73" s="17"/>
      <c r="AE73" s="17"/>
    </row>
    <row r="74">
      <c r="A74" s="150"/>
      <c r="B74" s="164"/>
      <c r="C74" s="320"/>
      <c r="D74" s="150"/>
      <c r="E74" s="164"/>
      <c r="F74" s="320"/>
      <c r="G74" s="150"/>
      <c r="H74" s="164"/>
      <c r="I74" s="320"/>
      <c r="J74" s="150"/>
      <c r="K74" s="164"/>
      <c r="L74" s="320"/>
      <c r="M74" s="326"/>
      <c r="N74" s="327"/>
      <c r="O74" s="328"/>
      <c r="P74" s="326"/>
      <c r="Q74" s="327"/>
      <c r="R74" s="328"/>
      <c r="S74" s="326"/>
      <c r="T74" s="327"/>
      <c r="U74" s="328"/>
      <c r="V74" s="150"/>
      <c r="W74" s="327"/>
      <c r="X74" s="320"/>
      <c r="Y74" s="156"/>
      <c r="Z74" s="166"/>
      <c r="AA74" s="322"/>
      <c r="AB74" s="17"/>
      <c r="AC74" s="17"/>
      <c r="AD74" s="17"/>
      <c r="AE74" s="17"/>
    </row>
    <row r="75">
      <c r="A75" s="150"/>
      <c r="B75" s="164"/>
      <c r="C75" s="320"/>
      <c r="D75" s="150"/>
      <c r="E75" s="164"/>
      <c r="F75" s="320"/>
      <c r="G75" s="150"/>
      <c r="H75" s="164"/>
      <c r="I75" s="320"/>
      <c r="J75" s="150"/>
      <c r="K75" s="164"/>
      <c r="L75" s="320"/>
      <c r="M75" s="326"/>
      <c r="N75" s="327"/>
      <c r="O75" s="328"/>
      <c r="P75" s="326"/>
      <c r="Q75" s="327"/>
      <c r="R75" s="328"/>
      <c r="S75" s="326"/>
      <c r="T75" s="327"/>
      <c r="U75" s="328"/>
      <c r="V75" s="150"/>
      <c r="W75" s="327"/>
      <c r="X75" s="320"/>
      <c r="Y75" s="156"/>
      <c r="Z75" s="166"/>
      <c r="AA75" s="322"/>
      <c r="AB75" s="17"/>
      <c r="AC75" s="17"/>
      <c r="AD75" s="17"/>
      <c r="AE75" s="17"/>
    </row>
    <row r="76">
      <c r="A76" s="150"/>
      <c r="B76" s="164"/>
      <c r="C76" s="320"/>
      <c r="D76" s="150"/>
      <c r="E76" s="164"/>
      <c r="F76" s="320"/>
      <c r="G76" s="150"/>
      <c r="H76" s="164"/>
      <c r="I76" s="320"/>
      <c r="J76" s="150"/>
      <c r="K76" s="164"/>
      <c r="L76" s="320"/>
      <c r="M76" s="326"/>
      <c r="N76" s="327"/>
      <c r="O76" s="328"/>
      <c r="P76" s="326"/>
      <c r="Q76" s="327"/>
      <c r="R76" s="328"/>
      <c r="S76" s="326"/>
      <c r="T76" s="327"/>
      <c r="U76" s="328"/>
      <c r="V76" s="150"/>
      <c r="W76" s="327"/>
      <c r="X76" s="320"/>
      <c r="Y76" s="156"/>
      <c r="Z76" s="166"/>
      <c r="AA76" s="322"/>
      <c r="AB76" s="17"/>
      <c r="AC76" s="17"/>
      <c r="AD76" s="17"/>
      <c r="AE76" s="17"/>
    </row>
    <row r="77">
      <c r="A77" s="150"/>
      <c r="B77" s="164"/>
      <c r="C77" s="320"/>
      <c r="D77" s="150"/>
      <c r="E77" s="164"/>
      <c r="F77" s="320"/>
      <c r="G77" s="150"/>
      <c r="H77" s="164"/>
      <c r="I77" s="320"/>
      <c r="J77" s="150"/>
      <c r="K77" s="164"/>
      <c r="L77" s="320"/>
      <c r="M77" s="326"/>
      <c r="N77" s="327"/>
      <c r="O77" s="328"/>
      <c r="P77" s="326"/>
      <c r="Q77" s="327"/>
      <c r="R77" s="328"/>
      <c r="S77" s="326"/>
      <c r="T77" s="327"/>
      <c r="U77" s="328"/>
      <c r="V77" s="150"/>
      <c r="W77" s="327"/>
      <c r="X77" s="320"/>
      <c r="Y77" s="156"/>
      <c r="Z77" s="166"/>
      <c r="AA77" s="322"/>
      <c r="AB77" s="17"/>
      <c r="AC77" s="17"/>
      <c r="AD77" s="17"/>
      <c r="AE77" s="17"/>
    </row>
    <row r="78">
      <c r="A78" s="150"/>
      <c r="B78" s="164"/>
      <c r="C78" s="320"/>
      <c r="D78" s="150"/>
      <c r="E78" s="164"/>
      <c r="F78" s="320"/>
      <c r="G78" s="150"/>
      <c r="H78" s="164"/>
      <c r="I78" s="320"/>
      <c r="J78" s="150"/>
      <c r="K78" s="164"/>
      <c r="L78" s="320"/>
      <c r="M78" s="326"/>
      <c r="N78" s="327"/>
      <c r="O78" s="328"/>
      <c r="P78" s="326"/>
      <c r="Q78" s="327"/>
      <c r="R78" s="328"/>
      <c r="S78" s="326"/>
      <c r="T78" s="327"/>
      <c r="U78" s="328"/>
      <c r="V78" s="150"/>
      <c r="W78" s="327"/>
      <c r="X78" s="320"/>
      <c r="Y78" s="156"/>
      <c r="Z78" s="166"/>
      <c r="AA78" s="322"/>
      <c r="AB78" s="17"/>
      <c r="AC78" s="17"/>
      <c r="AD78" s="17"/>
      <c r="AE78" s="17"/>
    </row>
    <row r="79">
      <c r="A79" s="150"/>
      <c r="B79" s="164"/>
      <c r="C79" s="320"/>
      <c r="D79" s="150"/>
      <c r="E79" s="164"/>
      <c r="F79" s="320"/>
      <c r="G79" s="150"/>
      <c r="H79" s="164"/>
      <c r="I79" s="320"/>
      <c r="J79" s="150"/>
      <c r="K79" s="164"/>
      <c r="L79" s="320"/>
      <c r="M79" s="326"/>
      <c r="N79" s="327"/>
      <c r="O79" s="328"/>
      <c r="P79" s="326"/>
      <c r="Q79" s="327"/>
      <c r="R79" s="328"/>
      <c r="S79" s="326"/>
      <c r="T79" s="327"/>
      <c r="U79" s="328"/>
      <c r="V79" s="150"/>
      <c r="W79" s="327"/>
      <c r="X79" s="320"/>
      <c r="Y79" s="156"/>
      <c r="Z79" s="166"/>
      <c r="AA79" s="322"/>
      <c r="AB79" s="17"/>
      <c r="AC79" s="17"/>
      <c r="AD79" s="17"/>
      <c r="AE79" s="17"/>
    </row>
    <row r="80">
      <c r="A80" s="150"/>
      <c r="B80" s="164"/>
      <c r="C80" s="320"/>
      <c r="D80" s="150"/>
      <c r="E80" s="164"/>
      <c r="F80" s="320"/>
      <c r="G80" s="150"/>
      <c r="H80" s="164"/>
      <c r="I80" s="320"/>
      <c r="J80" s="150"/>
      <c r="K80" s="164"/>
      <c r="L80" s="320"/>
      <c r="M80" s="326"/>
      <c r="N80" s="327"/>
      <c r="O80" s="328"/>
      <c r="P80" s="326"/>
      <c r="Q80" s="327"/>
      <c r="R80" s="328"/>
      <c r="S80" s="326"/>
      <c r="T80" s="327"/>
      <c r="U80" s="328"/>
      <c r="V80" s="150"/>
      <c r="W80" s="327"/>
      <c r="X80" s="320"/>
      <c r="Y80" s="156"/>
      <c r="Z80" s="166"/>
      <c r="AA80" s="322"/>
      <c r="AB80" s="17"/>
      <c r="AC80" s="17"/>
      <c r="AD80" s="17"/>
      <c r="AE80" s="17"/>
    </row>
    <row r="81">
      <c r="A81" s="150"/>
      <c r="B81" s="164"/>
      <c r="C81" s="320"/>
      <c r="D81" s="150"/>
      <c r="E81" s="164"/>
      <c r="F81" s="320"/>
      <c r="G81" s="150"/>
      <c r="H81" s="164"/>
      <c r="I81" s="320"/>
      <c r="J81" s="150"/>
      <c r="K81" s="164"/>
      <c r="L81" s="320"/>
      <c r="M81" s="326"/>
      <c r="N81" s="327"/>
      <c r="O81" s="328"/>
      <c r="P81" s="326"/>
      <c r="Q81" s="327"/>
      <c r="R81" s="328"/>
      <c r="S81" s="326"/>
      <c r="T81" s="327"/>
      <c r="U81" s="328"/>
      <c r="V81" s="150"/>
      <c r="W81" s="327"/>
      <c r="X81" s="320"/>
      <c r="Y81" s="156"/>
      <c r="Z81" s="166"/>
      <c r="AA81" s="322"/>
      <c r="AB81" s="17"/>
      <c r="AC81" s="17"/>
      <c r="AD81" s="17"/>
      <c r="AE81" s="17"/>
    </row>
    <row r="82">
      <c r="A82" s="150"/>
      <c r="B82" s="164"/>
      <c r="C82" s="320"/>
      <c r="D82" s="150"/>
      <c r="E82" s="164"/>
      <c r="F82" s="320"/>
      <c r="G82" s="150"/>
      <c r="H82" s="164"/>
      <c r="I82" s="320"/>
      <c r="J82" s="150"/>
      <c r="K82" s="164"/>
      <c r="L82" s="320"/>
      <c r="M82" s="326"/>
      <c r="N82" s="327"/>
      <c r="O82" s="328"/>
      <c r="P82" s="326"/>
      <c r="Q82" s="327"/>
      <c r="R82" s="328"/>
      <c r="S82" s="326"/>
      <c r="T82" s="327"/>
      <c r="U82" s="328"/>
      <c r="V82" s="150"/>
      <c r="W82" s="327"/>
      <c r="X82" s="320"/>
      <c r="Y82" s="156"/>
      <c r="Z82" s="166"/>
      <c r="AA82" s="322"/>
      <c r="AB82" s="17"/>
      <c r="AC82" s="17"/>
      <c r="AD82" s="17"/>
      <c r="AE82" s="17"/>
    </row>
    <row r="83">
      <c r="A83" s="150"/>
      <c r="B83" s="164"/>
      <c r="C83" s="320"/>
      <c r="D83" s="150"/>
      <c r="E83" s="164"/>
      <c r="F83" s="320"/>
      <c r="G83" s="150"/>
      <c r="H83" s="164"/>
      <c r="I83" s="320"/>
      <c r="J83" s="150"/>
      <c r="K83" s="164"/>
      <c r="L83" s="320"/>
      <c r="M83" s="326"/>
      <c r="N83" s="327"/>
      <c r="O83" s="328"/>
      <c r="P83" s="326"/>
      <c r="Q83" s="327"/>
      <c r="R83" s="328"/>
      <c r="S83" s="326"/>
      <c r="T83" s="327"/>
      <c r="U83" s="328"/>
      <c r="V83" s="150"/>
      <c r="W83" s="327"/>
      <c r="X83" s="320"/>
      <c r="Y83" s="156"/>
      <c r="Z83" s="166"/>
      <c r="AA83" s="322"/>
      <c r="AB83" s="17"/>
      <c r="AC83" s="17"/>
      <c r="AD83" s="17"/>
      <c r="AE83" s="17"/>
    </row>
    <row r="84">
      <c r="A84" s="150"/>
      <c r="B84" s="164"/>
      <c r="C84" s="320"/>
      <c r="D84" s="150"/>
      <c r="E84" s="164"/>
      <c r="F84" s="320"/>
      <c r="G84" s="150"/>
      <c r="H84" s="164"/>
      <c r="I84" s="320"/>
      <c r="J84" s="150"/>
      <c r="K84" s="164"/>
      <c r="L84" s="320"/>
      <c r="M84" s="326"/>
      <c r="N84" s="327"/>
      <c r="O84" s="328"/>
      <c r="P84" s="326"/>
      <c r="Q84" s="327"/>
      <c r="R84" s="328"/>
      <c r="S84" s="326"/>
      <c r="T84" s="327"/>
      <c r="U84" s="328"/>
      <c r="V84" s="150"/>
      <c r="W84" s="327"/>
      <c r="X84" s="320"/>
      <c r="Y84" s="156"/>
      <c r="Z84" s="166"/>
      <c r="AA84" s="322"/>
      <c r="AB84" s="17"/>
      <c r="AC84" s="17"/>
      <c r="AD84" s="17"/>
      <c r="AE84" s="17"/>
    </row>
    <row r="85">
      <c r="A85" s="150"/>
      <c r="B85" s="164"/>
      <c r="C85" s="320"/>
      <c r="D85" s="150"/>
      <c r="E85" s="164"/>
      <c r="F85" s="320"/>
      <c r="G85" s="150"/>
      <c r="H85" s="164"/>
      <c r="I85" s="320"/>
      <c r="J85" s="150"/>
      <c r="K85" s="164"/>
      <c r="L85" s="320"/>
      <c r="M85" s="326"/>
      <c r="N85" s="327"/>
      <c r="O85" s="328"/>
      <c r="P85" s="326"/>
      <c r="Q85" s="327"/>
      <c r="R85" s="328"/>
      <c r="S85" s="326"/>
      <c r="T85" s="327"/>
      <c r="U85" s="328"/>
      <c r="V85" s="150"/>
      <c r="W85" s="327"/>
      <c r="X85" s="320"/>
      <c r="Y85" s="156"/>
      <c r="Z85" s="166"/>
      <c r="AA85" s="322"/>
      <c r="AB85" s="17"/>
      <c r="AC85" s="17"/>
      <c r="AD85" s="17"/>
      <c r="AE85" s="17"/>
    </row>
    <row r="86">
      <c r="A86" s="150"/>
      <c r="B86" s="164"/>
      <c r="C86" s="320"/>
      <c r="D86" s="150"/>
      <c r="E86" s="164"/>
      <c r="F86" s="320"/>
      <c r="G86" s="150"/>
      <c r="H86" s="164"/>
      <c r="I86" s="320"/>
      <c r="J86" s="150"/>
      <c r="K86" s="164"/>
      <c r="L86" s="320"/>
      <c r="M86" s="326"/>
      <c r="N86" s="327"/>
      <c r="O86" s="328"/>
      <c r="P86" s="326"/>
      <c r="Q86" s="327"/>
      <c r="R86" s="328"/>
      <c r="S86" s="326"/>
      <c r="T86" s="327"/>
      <c r="U86" s="328"/>
      <c r="V86" s="150"/>
      <c r="W86" s="327"/>
      <c r="X86" s="320"/>
      <c r="Y86" s="156"/>
      <c r="Z86" s="166"/>
      <c r="AA86" s="322"/>
      <c r="AB86" s="17"/>
      <c r="AC86" s="17"/>
      <c r="AD86" s="17"/>
      <c r="AE86" s="17"/>
    </row>
    <row r="87">
      <c r="A87" s="150"/>
      <c r="B87" s="164"/>
      <c r="C87" s="320"/>
      <c r="D87" s="150"/>
      <c r="E87" s="164"/>
      <c r="F87" s="320"/>
      <c r="G87" s="150"/>
      <c r="H87" s="164"/>
      <c r="I87" s="320"/>
      <c r="J87" s="150"/>
      <c r="K87" s="164"/>
      <c r="L87" s="320"/>
      <c r="M87" s="326"/>
      <c r="N87" s="327"/>
      <c r="O87" s="328"/>
      <c r="P87" s="326"/>
      <c r="Q87" s="327"/>
      <c r="R87" s="328"/>
      <c r="S87" s="326"/>
      <c r="T87" s="327"/>
      <c r="U87" s="328"/>
      <c r="V87" s="150"/>
      <c r="W87" s="327"/>
      <c r="X87" s="320"/>
      <c r="Y87" s="156"/>
      <c r="Z87" s="166"/>
      <c r="AA87" s="322"/>
      <c r="AB87" s="17"/>
      <c r="AC87" s="17"/>
      <c r="AD87" s="17"/>
      <c r="AE87" s="17"/>
    </row>
    <row r="88">
      <c r="A88" s="150"/>
      <c r="B88" s="164"/>
      <c r="C88" s="320"/>
      <c r="D88" s="150"/>
      <c r="E88" s="164"/>
      <c r="F88" s="320"/>
      <c r="G88" s="150"/>
      <c r="H88" s="164"/>
      <c r="I88" s="320"/>
      <c r="J88" s="150"/>
      <c r="K88" s="164"/>
      <c r="L88" s="320"/>
      <c r="M88" s="326"/>
      <c r="N88" s="327"/>
      <c r="O88" s="328"/>
      <c r="P88" s="326"/>
      <c r="Q88" s="327"/>
      <c r="R88" s="328"/>
      <c r="S88" s="326"/>
      <c r="T88" s="327"/>
      <c r="U88" s="328"/>
      <c r="V88" s="150"/>
      <c r="W88" s="327"/>
      <c r="X88" s="320"/>
      <c r="Y88" s="156"/>
      <c r="Z88" s="166"/>
      <c r="AA88" s="322"/>
      <c r="AB88" s="17"/>
      <c r="AC88" s="17"/>
      <c r="AD88" s="17"/>
      <c r="AE88" s="17"/>
    </row>
    <row r="89">
      <c r="A89" s="150"/>
      <c r="B89" s="164"/>
      <c r="C89" s="320"/>
      <c r="D89" s="150"/>
      <c r="E89" s="164"/>
      <c r="F89" s="320"/>
      <c r="G89" s="150"/>
      <c r="H89" s="164"/>
      <c r="I89" s="320"/>
      <c r="J89" s="150"/>
      <c r="K89" s="164"/>
      <c r="L89" s="320"/>
      <c r="M89" s="326"/>
      <c r="N89" s="327"/>
      <c r="O89" s="328"/>
      <c r="P89" s="326"/>
      <c r="Q89" s="327"/>
      <c r="R89" s="328"/>
      <c r="S89" s="326"/>
      <c r="T89" s="327"/>
      <c r="U89" s="328"/>
      <c r="V89" s="150"/>
      <c r="W89" s="327"/>
      <c r="X89" s="320"/>
      <c r="Y89" s="156"/>
      <c r="Z89" s="166"/>
      <c r="AA89" s="322"/>
      <c r="AB89" s="17"/>
      <c r="AC89" s="17"/>
      <c r="AD89" s="17"/>
      <c r="AE89" s="17"/>
    </row>
    <row r="90">
      <c r="A90" s="150"/>
      <c r="B90" s="164"/>
      <c r="C90" s="320"/>
      <c r="D90" s="150"/>
      <c r="E90" s="164"/>
      <c r="F90" s="320"/>
      <c r="G90" s="150"/>
      <c r="H90" s="164"/>
      <c r="I90" s="320"/>
      <c r="J90" s="150"/>
      <c r="K90" s="164"/>
      <c r="L90" s="320"/>
      <c r="M90" s="326"/>
      <c r="N90" s="327"/>
      <c r="O90" s="328"/>
      <c r="P90" s="326"/>
      <c r="Q90" s="327"/>
      <c r="R90" s="328"/>
      <c r="S90" s="326"/>
      <c r="T90" s="327"/>
      <c r="U90" s="328"/>
      <c r="V90" s="150"/>
      <c r="W90" s="327"/>
      <c r="X90" s="320"/>
      <c r="Y90" s="156"/>
      <c r="Z90" s="166"/>
      <c r="AA90" s="322"/>
      <c r="AB90" s="17"/>
      <c r="AC90" s="17"/>
      <c r="AD90" s="17"/>
      <c r="AE90" s="17"/>
    </row>
    <row r="91">
      <c r="A91" s="150"/>
      <c r="B91" s="164"/>
      <c r="C91" s="320"/>
      <c r="D91" s="150"/>
      <c r="E91" s="164"/>
      <c r="F91" s="320"/>
      <c r="G91" s="150"/>
      <c r="H91" s="164"/>
      <c r="I91" s="320"/>
      <c r="J91" s="150"/>
      <c r="K91" s="164"/>
      <c r="L91" s="320"/>
      <c r="M91" s="326"/>
      <c r="N91" s="327"/>
      <c r="O91" s="328"/>
      <c r="P91" s="326"/>
      <c r="Q91" s="327"/>
      <c r="R91" s="328"/>
      <c r="S91" s="326"/>
      <c r="T91" s="327"/>
      <c r="U91" s="328"/>
      <c r="V91" s="150"/>
      <c r="W91" s="327"/>
      <c r="X91" s="320"/>
      <c r="Y91" s="156"/>
      <c r="Z91" s="166"/>
      <c r="AA91" s="322"/>
      <c r="AB91" s="17"/>
      <c r="AC91" s="17"/>
      <c r="AD91" s="17"/>
      <c r="AE91" s="17"/>
    </row>
    <row r="92">
      <c r="A92" s="150"/>
      <c r="B92" s="164"/>
      <c r="C92" s="320"/>
      <c r="D92" s="150"/>
      <c r="E92" s="164"/>
      <c r="F92" s="320"/>
      <c r="G92" s="150"/>
      <c r="H92" s="164"/>
      <c r="I92" s="320"/>
      <c r="J92" s="150"/>
      <c r="K92" s="164"/>
      <c r="L92" s="320"/>
      <c r="M92" s="326"/>
      <c r="N92" s="327"/>
      <c r="O92" s="328"/>
      <c r="P92" s="326"/>
      <c r="Q92" s="327"/>
      <c r="R92" s="328"/>
      <c r="S92" s="326"/>
      <c r="T92" s="327"/>
      <c r="U92" s="328"/>
      <c r="V92" s="150"/>
      <c r="W92" s="327"/>
      <c r="X92" s="320"/>
      <c r="Y92" s="156"/>
      <c r="Z92" s="166"/>
      <c r="AA92" s="322"/>
      <c r="AB92" s="17"/>
      <c r="AC92" s="17"/>
      <c r="AD92" s="17"/>
      <c r="AE92" s="17"/>
    </row>
    <row r="93">
      <c r="A93" s="150"/>
      <c r="B93" s="164"/>
      <c r="C93" s="320"/>
      <c r="D93" s="150"/>
      <c r="E93" s="164"/>
      <c r="F93" s="320"/>
      <c r="G93" s="150"/>
      <c r="H93" s="164"/>
      <c r="I93" s="320"/>
      <c r="J93" s="150"/>
      <c r="K93" s="164"/>
      <c r="L93" s="320"/>
      <c r="M93" s="326"/>
      <c r="N93" s="327"/>
      <c r="O93" s="328"/>
      <c r="P93" s="326"/>
      <c r="Q93" s="327"/>
      <c r="R93" s="328"/>
      <c r="S93" s="326"/>
      <c r="T93" s="327"/>
      <c r="U93" s="328"/>
      <c r="V93" s="150"/>
      <c r="W93" s="327"/>
      <c r="X93" s="320"/>
      <c r="Y93" s="156"/>
      <c r="Z93" s="166"/>
      <c r="AA93" s="322"/>
      <c r="AB93" s="17"/>
      <c r="AC93" s="17"/>
      <c r="AD93" s="17"/>
      <c r="AE93" s="17"/>
    </row>
    <row r="94">
      <c r="A94" s="150"/>
      <c r="B94" s="164"/>
      <c r="C94" s="320"/>
      <c r="D94" s="150"/>
      <c r="E94" s="164"/>
      <c r="F94" s="320"/>
      <c r="G94" s="150"/>
      <c r="H94" s="164"/>
      <c r="I94" s="320"/>
      <c r="J94" s="150"/>
      <c r="K94" s="164"/>
      <c r="L94" s="320"/>
      <c r="M94" s="326"/>
      <c r="N94" s="327"/>
      <c r="O94" s="328"/>
      <c r="P94" s="326"/>
      <c r="Q94" s="327"/>
      <c r="R94" s="328"/>
      <c r="S94" s="326"/>
      <c r="T94" s="327"/>
      <c r="U94" s="328"/>
      <c r="V94" s="150"/>
      <c r="W94" s="327"/>
      <c r="X94" s="320"/>
      <c r="Y94" s="156"/>
      <c r="Z94" s="166"/>
      <c r="AA94" s="322"/>
      <c r="AB94" s="17"/>
      <c r="AC94" s="17"/>
      <c r="AD94" s="17"/>
      <c r="AE94" s="17"/>
    </row>
    <row r="95">
      <c r="A95" s="150"/>
      <c r="B95" s="164"/>
      <c r="C95" s="320"/>
      <c r="D95" s="150"/>
      <c r="E95" s="164"/>
      <c r="F95" s="320"/>
      <c r="G95" s="150"/>
      <c r="H95" s="164"/>
      <c r="I95" s="320"/>
      <c r="J95" s="150"/>
      <c r="K95" s="164"/>
      <c r="L95" s="320"/>
      <c r="M95" s="326"/>
      <c r="N95" s="327"/>
      <c r="O95" s="328"/>
      <c r="P95" s="326"/>
      <c r="Q95" s="327"/>
      <c r="R95" s="328"/>
      <c r="S95" s="326"/>
      <c r="T95" s="327"/>
      <c r="U95" s="328"/>
      <c r="V95" s="150"/>
      <c r="W95" s="327"/>
      <c r="X95" s="320"/>
      <c r="Y95" s="156"/>
      <c r="Z95" s="166"/>
      <c r="AA95" s="322"/>
      <c r="AB95" s="17"/>
      <c r="AC95" s="17"/>
      <c r="AD95" s="17"/>
      <c r="AE95" s="17"/>
    </row>
    <row r="96">
      <c r="A96" s="150"/>
      <c r="B96" s="164"/>
      <c r="C96" s="320"/>
      <c r="D96" s="150"/>
      <c r="E96" s="164"/>
      <c r="F96" s="320"/>
      <c r="G96" s="150"/>
      <c r="H96" s="164"/>
      <c r="I96" s="320"/>
      <c r="J96" s="150"/>
      <c r="K96" s="164"/>
      <c r="L96" s="320"/>
      <c r="M96" s="326"/>
      <c r="N96" s="327"/>
      <c r="O96" s="328"/>
      <c r="P96" s="326"/>
      <c r="Q96" s="327"/>
      <c r="R96" s="328"/>
      <c r="S96" s="326"/>
      <c r="T96" s="327"/>
      <c r="U96" s="328"/>
      <c r="V96" s="150"/>
      <c r="W96" s="327"/>
      <c r="X96" s="320"/>
      <c r="Y96" s="156"/>
      <c r="Z96" s="166"/>
      <c r="AA96" s="322"/>
      <c r="AB96" s="17"/>
      <c r="AC96" s="17"/>
      <c r="AD96" s="17"/>
      <c r="AE96" s="17"/>
    </row>
    <row r="97">
      <c r="A97" s="150"/>
      <c r="B97" s="164"/>
      <c r="C97" s="320"/>
      <c r="D97" s="150"/>
      <c r="E97" s="164"/>
      <c r="F97" s="320"/>
      <c r="G97" s="150"/>
      <c r="H97" s="164"/>
      <c r="I97" s="320"/>
      <c r="J97" s="150"/>
      <c r="K97" s="164"/>
      <c r="L97" s="320"/>
      <c r="M97" s="326"/>
      <c r="N97" s="327"/>
      <c r="O97" s="328"/>
      <c r="P97" s="326"/>
      <c r="Q97" s="327"/>
      <c r="R97" s="328"/>
      <c r="S97" s="326"/>
      <c r="T97" s="327"/>
      <c r="U97" s="328"/>
      <c r="V97" s="150"/>
      <c r="W97" s="327"/>
      <c r="X97" s="320"/>
      <c r="Y97" s="156"/>
      <c r="Z97" s="166"/>
      <c r="AA97" s="322"/>
      <c r="AB97" s="17"/>
      <c r="AC97" s="17"/>
      <c r="AD97" s="17"/>
      <c r="AE97" s="17"/>
    </row>
    <row r="98">
      <c r="A98" s="150"/>
      <c r="B98" s="164"/>
      <c r="C98" s="320"/>
      <c r="D98" s="150"/>
      <c r="E98" s="164"/>
      <c r="F98" s="320"/>
      <c r="G98" s="150"/>
      <c r="H98" s="164"/>
      <c r="I98" s="320"/>
      <c r="J98" s="150"/>
      <c r="K98" s="164"/>
      <c r="L98" s="320"/>
      <c r="M98" s="326"/>
      <c r="N98" s="327"/>
      <c r="O98" s="328"/>
      <c r="P98" s="326"/>
      <c r="Q98" s="327"/>
      <c r="R98" s="328"/>
      <c r="S98" s="326"/>
      <c r="T98" s="327"/>
      <c r="U98" s="328"/>
      <c r="V98" s="150"/>
      <c r="W98" s="327"/>
      <c r="X98" s="320"/>
      <c r="Y98" s="156"/>
      <c r="Z98" s="166"/>
      <c r="AA98" s="322"/>
      <c r="AB98" s="17"/>
      <c r="AC98" s="17"/>
      <c r="AD98" s="17"/>
      <c r="AE98" s="17"/>
    </row>
    <row r="99">
      <c r="A99" s="150"/>
      <c r="B99" s="164"/>
      <c r="C99" s="320"/>
      <c r="D99" s="150"/>
      <c r="E99" s="164"/>
      <c r="F99" s="320"/>
      <c r="G99" s="150"/>
      <c r="H99" s="164"/>
      <c r="I99" s="320"/>
      <c r="J99" s="150"/>
      <c r="K99" s="164"/>
      <c r="L99" s="320"/>
      <c r="M99" s="326"/>
      <c r="N99" s="327"/>
      <c r="O99" s="328"/>
      <c r="P99" s="326"/>
      <c r="Q99" s="327"/>
      <c r="R99" s="328"/>
      <c r="S99" s="326"/>
      <c r="T99" s="327"/>
      <c r="U99" s="328"/>
      <c r="V99" s="150"/>
      <c r="W99" s="327"/>
      <c r="X99" s="320"/>
      <c r="Y99" s="156"/>
      <c r="Z99" s="166"/>
      <c r="AA99" s="322"/>
      <c r="AB99" s="17"/>
      <c r="AC99" s="17"/>
      <c r="AD99" s="17"/>
      <c r="AE99" s="17"/>
    </row>
    <row r="100">
      <c r="A100" s="150"/>
      <c r="B100" s="164"/>
      <c r="C100" s="320"/>
      <c r="D100" s="150"/>
      <c r="E100" s="164"/>
      <c r="F100" s="320"/>
      <c r="G100" s="150"/>
      <c r="H100" s="164"/>
      <c r="I100" s="320"/>
      <c r="J100" s="150"/>
      <c r="K100" s="164"/>
      <c r="L100" s="320"/>
      <c r="M100" s="326"/>
      <c r="N100" s="327"/>
      <c r="O100" s="328"/>
      <c r="P100" s="326"/>
      <c r="Q100" s="327"/>
      <c r="R100" s="328"/>
      <c r="S100" s="326"/>
      <c r="T100" s="327"/>
      <c r="U100" s="328"/>
      <c r="V100" s="150"/>
      <c r="W100" s="327"/>
      <c r="X100" s="320"/>
      <c r="Y100" s="156"/>
      <c r="Z100" s="166"/>
      <c r="AA100" s="322"/>
      <c r="AB100" s="17"/>
      <c r="AC100" s="17"/>
      <c r="AD100" s="17"/>
      <c r="AE100" s="17"/>
    </row>
    <row r="101">
      <c r="A101" s="150"/>
      <c r="B101" s="164"/>
      <c r="C101" s="320"/>
      <c r="D101" s="150"/>
      <c r="E101" s="164"/>
      <c r="F101" s="320"/>
      <c r="G101" s="150"/>
      <c r="H101" s="164"/>
      <c r="I101" s="320"/>
      <c r="J101" s="150"/>
      <c r="K101" s="164"/>
      <c r="L101" s="320"/>
      <c r="M101" s="326"/>
      <c r="N101" s="327"/>
      <c r="O101" s="328"/>
      <c r="P101" s="326"/>
      <c r="Q101" s="327"/>
      <c r="R101" s="328"/>
      <c r="S101" s="326"/>
      <c r="T101" s="327"/>
      <c r="U101" s="328"/>
      <c r="V101" s="150"/>
      <c r="W101" s="327"/>
      <c r="X101" s="320"/>
      <c r="Y101" s="156"/>
      <c r="Z101" s="166"/>
      <c r="AA101" s="322"/>
      <c r="AB101" s="17"/>
      <c r="AC101" s="17"/>
      <c r="AD101" s="17"/>
      <c r="AE101" s="17"/>
    </row>
    <row r="102">
      <c r="A102" s="150"/>
      <c r="B102" s="164"/>
      <c r="C102" s="320"/>
      <c r="D102" s="150"/>
      <c r="E102" s="164"/>
      <c r="F102" s="320"/>
      <c r="G102" s="150"/>
      <c r="H102" s="164"/>
      <c r="I102" s="320"/>
      <c r="J102" s="150"/>
      <c r="K102" s="164"/>
      <c r="L102" s="320"/>
      <c r="M102" s="326"/>
      <c r="N102" s="327"/>
      <c r="O102" s="328"/>
      <c r="P102" s="326"/>
      <c r="Q102" s="327"/>
      <c r="R102" s="328"/>
      <c r="S102" s="326"/>
      <c r="T102" s="327"/>
      <c r="U102" s="328"/>
      <c r="V102" s="150"/>
      <c r="W102" s="327"/>
      <c r="X102" s="320"/>
      <c r="Y102" s="156"/>
      <c r="Z102" s="166"/>
      <c r="AA102" s="322"/>
      <c r="AB102" s="17"/>
      <c r="AC102" s="17"/>
      <c r="AD102" s="17"/>
      <c r="AE102" s="17"/>
    </row>
    <row r="103">
      <c r="A103" s="150"/>
      <c r="B103" s="164"/>
      <c r="C103" s="320"/>
      <c r="D103" s="150"/>
      <c r="E103" s="164"/>
      <c r="F103" s="320"/>
      <c r="G103" s="150"/>
      <c r="H103" s="164"/>
      <c r="I103" s="320"/>
      <c r="J103" s="150"/>
      <c r="K103" s="164"/>
      <c r="L103" s="320"/>
      <c r="M103" s="326"/>
      <c r="N103" s="327"/>
      <c r="O103" s="328"/>
      <c r="P103" s="326"/>
      <c r="Q103" s="327"/>
      <c r="R103" s="328"/>
      <c r="S103" s="326"/>
      <c r="T103" s="327"/>
      <c r="U103" s="328"/>
      <c r="V103" s="150"/>
      <c r="W103" s="327"/>
      <c r="X103" s="320"/>
      <c r="Y103" s="156"/>
      <c r="Z103" s="166"/>
      <c r="AA103" s="322"/>
      <c r="AB103" s="17"/>
      <c r="AC103" s="17"/>
      <c r="AD103" s="17"/>
      <c r="AE103" s="17"/>
    </row>
    <row r="104">
      <c r="A104" s="150"/>
      <c r="B104" s="164"/>
      <c r="C104" s="320"/>
      <c r="D104" s="150"/>
      <c r="E104" s="164"/>
      <c r="F104" s="320"/>
      <c r="G104" s="150"/>
      <c r="H104" s="164"/>
      <c r="I104" s="320"/>
      <c r="J104" s="150"/>
      <c r="K104" s="164"/>
      <c r="L104" s="320"/>
      <c r="M104" s="326"/>
      <c r="N104" s="327"/>
      <c r="O104" s="328"/>
      <c r="P104" s="326"/>
      <c r="Q104" s="327"/>
      <c r="R104" s="328"/>
      <c r="S104" s="326"/>
      <c r="T104" s="327"/>
      <c r="U104" s="328"/>
      <c r="V104" s="150"/>
      <c r="W104" s="327"/>
      <c r="X104" s="320"/>
      <c r="Y104" s="156"/>
      <c r="Z104" s="166"/>
      <c r="AA104" s="322"/>
      <c r="AB104" s="17"/>
      <c r="AC104" s="17"/>
      <c r="AD104" s="17"/>
      <c r="AE104" s="17"/>
    </row>
    <row r="105">
      <c r="A105" s="150"/>
      <c r="B105" s="164"/>
      <c r="C105" s="320"/>
      <c r="D105" s="150"/>
      <c r="E105" s="164"/>
      <c r="F105" s="320"/>
      <c r="G105" s="150"/>
      <c r="H105" s="164"/>
      <c r="I105" s="320"/>
      <c r="J105" s="150"/>
      <c r="K105" s="164"/>
      <c r="L105" s="320"/>
      <c r="M105" s="326"/>
      <c r="N105" s="327"/>
      <c r="O105" s="328"/>
      <c r="P105" s="326"/>
      <c r="Q105" s="327"/>
      <c r="R105" s="328"/>
      <c r="S105" s="326"/>
      <c r="T105" s="327"/>
      <c r="U105" s="328"/>
      <c r="V105" s="150"/>
      <c r="W105" s="327"/>
      <c r="X105" s="320"/>
      <c r="Y105" s="156"/>
      <c r="Z105" s="166"/>
      <c r="AA105" s="322"/>
      <c r="AB105" s="17"/>
      <c r="AC105" s="17"/>
      <c r="AD105" s="17"/>
      <c r="AE105" s="17"/>
    </row>
    <row r="106">
      <c r="A106" s="150"/>
      <c r="B106" s="164"/>
      <c r="C106" s="320"/>
      <c r="D106" s="150"/>
      <c r="E106" s="164"/>
      <c r="F106" s="320"/>
      <c r="G106" s="150"/>
      <c r="H106" s="164"/>
      <c r="I106" s="320"/>
      <c r="J106" s="150"/>
      <c r="K106" s="164"/>
      <c r="L106" s="320"/>
      <c r="M106" s="326"/>
      <c r="N106" s="327"/>
      <c r="O106" s="328"/>
      <c r="P106" s="326"/>
      <c r="Q106" s="327"/>
      <c r="R106" s="328"/>
      <c r="S106" s="326"/>
      <c r="T106" s="327"/>
      <c r="U106" s="328"/>
      <c r="V106" s="150"/>
      <c r="W106" s="327"/>
      <c r="X106" s="320"/>
      <c r="Y106" s="156"/>
      <c r="Z106" s="166"/>
      <c r="AA106" s="322"/>
      <c r="AB106" s="17"/>
      <c r="AC106" s="17"/>
      <c r="AD106" s="17"/>
      <c r="AE106" s="17"/>
    </row>
    <row r="107">
      <c r="A107" s="150"/>
      <c r="B107" s="164"/>
      <c r="C107" s="320"/>
      <c r="D107" s="150"/>
      <c r="E107" s="164"/>
      <c r="F107" s="320"/>
      <c r="G107" s="150"/>
      <c r="H107" s="164"/>
      <c r="I107" s="320"/>
      <c r="J107" s="150"/>
      <c r="K107" s="164"/>
      <c r="L107" s="320"/>
      <c r="M107" s="326"/>
      <c r="N107" s="327"/>
      <c r="O107" s="328"/>
      <c r="P107" s="326"/>
      <c r="Q107" s="327"/>
      <c r="R107" s="328"/>
      <c r="S107" s="326"/>
      <c r="T107" s="327"/>
      <c r="U107" s="328"/>
      <c r="V107" s="150"/>
      <c r="W107" s="327"/>
      <c r="X107" s="320"/>
      <c r="Y107" s="156"/>
      <c r="Z107" s="166"/>
      <c r="AA107" s="322"/>
      <c r="AB107" s="17"/>
      <c r="AC107" s="17"/>
      <c r="AD107" s="17"/>
      <c r="AE107" s="17"/>
    </row>
    <row r="108">
      <c r="A108" s="150"/>
      <c r="B108" s="164"/>
      <c r="C108" s="320"/>
      <c r="D108" s="150"/>
      <c r="E108" s="164"/>
      <c r="F108" s="320"/>
      <c r="G108" s="150"/>
      <c r="H108" s="164"/>
      <c r="I108" s="320"/>
      <c r="J108" s="150"/>
      <c r="K108" s="164"/>
      <c r="L108" s="320"/>
      <c r="M108" s="326"/>
      <c r="N108" s="327"/>
      <c r="O108" s="328"/>
      <c r="P108" s="326"/>
      <c r="Q108" s="327"/>
      <c r="R108" s="328"/>
      <c r="S108" s="326"/>
      <c r="T108" s="327"/>
      <c r="U108" s="328"/>
      <c r="V108" s="150"/>
      <c r="W108" s="327"/>
      <c r="X108" s="320"/>
      <c r="Y108" s="156"/>
      <c r="Z108" s="166"/>
      <c r="AA108" s="322"/>
      <c r="AB108" s="17"/>
      <c r="AC108" s="17"/>
      <c r="AD108" s="17"/>
      <c r="AE108" s="17"/>
    </row>
    <row r="109">
      <c r="A109" s="150"/>
      <c r="B109" s="164"/>
      <c r="C109" s="320"/>
      <c r="D109" s="150"/>
      <c r="E109" s="164"/>
      <c r="F109" s="320"/>
      <c r="G109" s="150"/>
      <c r="H109" s="164"/>
      <c r="I109" s="320"/>
      <c r="J109" s="150"/>
      <c r="K109" s="164"/>
      <c r="L109" s="320"/>
      <c r="M109" s="326"/>
      <c r="N109" s="327"/>
      <c r="O109" s="328"/>
      <c r="P109" s="326"/>
      <c r="Q109" s="327"/>
      <c r="R109" s="328"/>
      <c r="S109" s="326"/>
      <c r="T109" s="327"/>
      <c r="U109" s="328"/>
      <c r="V109" s="150"/>
      <c r="W109" s="327"/>
      <c r="X109" s="320"/>
      <c r="Y109" s="156"/>
      <c r="Z109" s="166"/>
      <c r="AA109" s="322"/>
      <c r="AB109" s="17"/>
      <c r="AC109" s="17"/>
      <c r="AD109" s="17"/>
      <c r="AE109" s="17"/>
    </row>
    <row r="110">
      <c r="A110" s="150"/>
      <c r="B110" s="164"/>
      <c r="C110" s="320"/>
      <c r="D110" s="150"/>
      <c r="E110" s="164"/>
      <c r="F110" s="320"/>
      <c r="G110" s="150"/>
      <c r="H110" s="164"/>
      <c r="I110" s="320"/>
      <c r="J110" s="150"/>
      <c r="K110" s="164"/>
      <c r="L110" s="320"/>
      <c r="M110" s="326"/>
      <c r="N110" s="327"/>
      <c r="O110" s="328"/>
      <c r="P110" s="326"/>
      <c r="Q110" s="327"/>
      <c r="R110" s="328"/>
      <c r="S110" s="326"/>
      <c r="T110" s="327"/>
      <c r="U110" s="328"/>
      <c r="V110" s="150"/>
      <c r="W110" s="327"/>
      <c r="X110" s="320"/>
      <c r="Y110" s="156"/>
      <c r="Z110" s="166"/>
      <c r="AA110" s="322"/>
      <c r="AB110" s="17"/>
      <c r="AC110" s="17"/>
      <c r="AD110" s="17"/>
      <c r="AE110" s="17"/>
    </row>
    <row r="111">
      <c r="A111" s="150"/>
      <c r="B111" s="164"/>
      <c r="C111" s="320"/>
      <c r="D111" s="150"/>
      <c r="E111" s="164"/>
      <c r="F111" s="320"/>
      <c r="G111" s="150"/>
      <c r="H111" s="164"/>
      <c r="I111" s="320"/>
      <c r="J111" s="150"/>
      <c r="K111" s="164"/>
      <c r="L111" s="320"/>
      <c r="M111" s="326"/>
      <c r="N111" s="327"/>
      <c r="O111" s="328"/>
      <c r="P111" s="326"/>
      <c r="Q111" s="327"/>
      <c r="R111" s="328"/>
      <c r="S111" s="326"/>
      <c r="T111" s="327"/>
      <c r="U111" s="328"/>
      <c r="V111" s="150"/>
      <c r="W111" s="327"/>
      <c r="X111" s="320"/>
      <c r="Y111" s="156"/>
      <c r="Z111" s="166"/>
      <c r="AA111" s="322"/>
      <c r="AB111" s="17"/>
      <c r="AC111" s="17"/>
      <c r="AD111" s="17"/>
      <c r="AE111" s="17"/>
    </row>
    <row r="112">
      <c r="A112" s="150"/>
      <c r="B112" s="164"/>
      <c r="C112" s="320"/>
      <c r="D112" s="150"/>
      <c r="E112" s="164"/>
      <c r="F112" s="320"/>
      <c r="G112" s="150"/>
      <c r="H112" s="164"/>
      <c r="I112" s="320"/>
      <c r="J112" s="150"/>
      <c r="K112" s="164"/>
      <c r="L112" s="320"/>
      <c r="M112" s="326"/>
      <c r="N112" s="327"/>
      <c r="O112" s="328"/>
      <c r="P112" s="326"/>
      <c r="Q112" s="327"/>
      <c r="R112" s="328"/>
      <c r="S112" s="326"/>
      <c r="T112" s="327"/>
      <c r="U112" s="328"/>
      <c r="V112" s="150"/>
      <c r="W112" s="327"/>
      <c r="X112" s="320"/>
      <c r="Y112" s="156"/>
      <c r="Z112" s="166"/>
      <c r="AA112" s="322"/>
      <c r="AB112" s="17"/>
      <c r="AC112" s="17"/>
      <c r="AD112" s="17"/>
      <c r="AE112" s="17"/>
    </row>
    <row r="113">
      <c r="A113" s="150"/>
      <c r="B113" s="164"/>
      <c r="C113" s="320"/>
      <c r="D113" s="150"/>
      <c r="E113" s="164"/>
      <c r="F113" s="320"/>
      <c r="G113" s="150"/>
      <c r="H113" s="164"/>
      <c r="I113" s="320"/>
      <c r="J113" s="150"/>
      <c r="K113" s="164"/>
      <c r="L113" s="320"/>
      <c r="M113" s="326"/>
      <c r="N113" s="327"/>
      <c r="O113" s="328"/>
      <c r="P113" s="326"/>
      <c r="Q113" s="327"/>
      <c r="R113" s="328"/>
      <c r="S113" s="326"/>
      <c r="T113" s="327"/>
      <c r="U113" s="328"/>
      <c r="V113" s="150"/>
      <c r="W113" s="327"/>
      <c r="X113" s="320"/>
      <c r="Y113" s="156"/>
      <c r="Z113" s="166"/>
      <c r="AA113" s="322"/>
      <c r="AB113" s="17"/>
      <c r="AC113" s="17"/>
      <c r="AD113" s="17"/>
      <c r="AE113" s="17"/>
    </row>
    <row r="114">
      <c r="A114" s="150"/>
      <c r="B114" s="164"/>
      <c r="C114" s="320"/>
      <c r="D114" s="150"/>
      <c r="E114" s="164"/>
      <c r="F114" s="320"/>
      <c r="G114" s="150"/>
      <c r="H114" s="164"/>
      <c r="I114" s="320"/>
      <c r="J114" s="150"/>
      <c r="K114" s="164"/>
      <c r="L114" s="320"/>
      <c r="M114" s="326"/>
      <c r="N114" s="327"/>
      <c r="O114" s="328"/>
      <c r="P114" s="326"/>
      <c r="Q114" s="327"/>
      <c r="R114" s="328"/>
      <c r="S114" s="326"/>
      <c r="T114" s="327"/>
      <c r="U114" s="328"/>
      <c r="V114" s="150"/>
      <c r="W114" s="327"/>
      <c r="X114" s="320"/>
      <c r="Y114" s="156"/>
      <c r="Z114" s="166"/>
      <c r="AA114" s="322"/>
      <c r="AB114" s="17"/>
      <c r="AC114" s="17"/>
      <c r="AD114" s="17"/>
      <c r="AE114" s="17"/>
    </row>
    <row r="115">
      <c r="A115" s="150"/>
      <c r="B115" s="164"/>
      <c r="C115" s="320"/>
      <c r="D115" s="150"/>
      <c r="E115" s="164"/>
      <c r="F115" s="320"/>
      <c r="G115" s="150"/>
      <c r="H115" s="164"/>
      <c r="I115" s="320"/>
      <c r="J115" s="150"/>
      <c r="K115" s="164"/>
      <c r="L115" s="320"/>
      <c r="M115" s="326"/>
      <c r="N115" s="327"/>
      <c r="O115" s="328"/>
      <c r="P115" s="326"/>
      <c r="Q115" s="327"/>
      <c r="R115" s="328"/>
      <c r="S115" s="326"/>
      <c r="T115" s="327"/>
      <c r="U115" s="328"/>
      <c r="V115" s="150"/>
      <c r="W115" s="327"/>
      <c r="X115" s="320"/>
      <c r="Y115" s="156"/>
      <c r="Z115" s="166"/>
      <c r="AA115" s="322"/>
      <c r="AB115" s="17"/>
      <c r="AC115" s="17"/>
      <c r="AD115" s="17"/>
      <c r="AE115" s="17"/>
    </row>
    <row r="116">
      <c r="A116" s="150"/>
      <c r="B116" s="164"/>
      <c r="C116" s="320"/>
      <c r="D116" s="150"/>
      <c r="E116" s="164"/>
      <c r="F116" s="320"/>
      <c r="G116" s="150"/>
      <c r="H116" s="164"/>
      <c r="I116" s="320"/>
      <c r="J116" s="150"/>
      <c r="K116" s="164"/>
      <c r="L116" s="320"/>
      <c r="M116" s="326"/>
      <c r="N116" s="327"/>
      <c r="O116" s="328"/>
      <c r="P116" s="326"/>
      <c r="Q116" s="327"/>
      <c r="R116" s="328"/>
      <c r="S116" s="326"/>
      <c r="T116" s="327"/>
      <c r="U116" s="328"/>
      <c r="V116" s="150"/>
      <c r="W116" s="327"/>
      <c r="X116" s="320"/>
      <c r="Y116" s="156"/>
      <c r="Z116" s="166"/>
      <c r="AA116" s="322"/>
      <c r="AB116" s="17"/>
      <c r="AC116" s="17"/>
      <c r="AD116" s="17"/>
      <c r="AE116" s="17"/>
    </row>
    <row r="117">
      <c r="A117" s="150"/>
      <c r="B117" s="164"/>
      <c r="C117" s="320"/>
      <c r="D117" s="150"/>
      <c r="E117" s="164"/>
      <c r="F117" s="320"/>
      <c r="G117" s="150"/>
      <c r="H117" s="164"/>
      <c r="I117" s="320"/>
      <c r="J117" s="150"/>
      <c r="K117" s="164"/>
      <c r="L117" s="320"/>
      <c r="M117" s="326"/>
      <c r="N117" s="327"/>
      <c r="O117" s="328"/>
      <c r="P117" s="326"/>
      <c r="Q117" s="327"/>
      <c r="R117" s="328"/>
      <c r="S117" s="326"/>
      <c r="T117" s="327"/>
      <c r="U117" s="328"/>
      <c r="V117" s="150"/>
      <c r="W117" s="327"/>
      <c r="X117" s="320"/>
      <c r="Y117" s="156"/>
      <c r="Z117" s="166"/>
      <c r="AA117" s="322"/>
      <c r="AB117" s="17"/>
      <c r="AC117" s="17"/>
      <c r="AD117" s="17"/>
      <c r="AE117" s="17"/>
    </row>
    <row r="118">
      <c r="A118" s="150"/>
      <c r="B118" s="164"/>
      <c r="C118" s="320"/>
      <c r="D118" s="150"/>
      <c r="E118" s="164"/>
      <c r="F118" s="320"/>
      <c r="G118" s="150"/>
      <c r="H118" s="164"/>
      <c r="I118" s="320"/>
      <c r="J118" s="150"/>
      <c r="K118" s="164"/>
      <c r="L118" s="320"/>
      <c r="M118" s="326"/>
      <c r="N118" s="327"/>
      <c r="O118" s="328"/>
      <c r="P118" s="326"/>
      <c r="Q118" s="327"/>
      <c r="R118" s="328"/>
      <c r="S118" s="326"/>
      <c r="T118" s="327"/>
      <c r="U118" s="328"/>
      <c r="V118" s="150"/>
      <c r="W118" s="327"/>
      <c r="X118" s="320"/>
      <c r="Y118" s="156"/>
      <c r="Z118" s="166"/>
      <c r="AA118" s="322"/>
      <c r="AB118" s="17"/>
      <c r="AC118" s="17"/>
      <c r="AD118" s="17"/>
      <c r="AE118" s="17"/>
    </row>
    <row r="119">
      <c r="A119" s="150"/>
      <c r="B119" s="164"/>
      <c r="C119" s="320"/>
      <c r="D119" s="150"/>
      <c r="E119" s="164"/>
      <c r="F119" s="320"/>
      <c r="G119" s="150"/>
      <c r="H119" s="164"/>
      <c r="I119" s="320"/>
      <c r="J119" s="150"/>
      <c r="K119" s="164"/>
      <c r="L119" s="320"/>
      <c r="M119" s="326"/>
      <c r="N119" s="327"/>
      <c r="O119" s="328"/>
      <c r="P119" s="326"/>
      <c r="Q119" s="327"/>
      <c r="R119" s="328"/>
      <c r="S119" s="326"/>
      <c r="T119" s="327"/>
      <c r="U119" s="328"/>
      <c r="V119" s="150"/>
      <c r="W119" s="327"/>
      <c r="X119" s="320"/>
      <c r="Y119" s="156"/>
      <c r="Z119" s="166"/>
      <c r="AA119" s="322"/>
      <c r="AB119" s="17"/>
      <c r="AC119" s="17"/>
      <c r="AD119" s="17"/>
      <c r="AE119" s="17"/>
    </row>
    <row r="120">
      <c r="A120" s="150"/>
      <c r="B120" s="164"/>
      <c r="C120" s="320"/>
      <c r="D120" s="150"/>
      <c r="E120" s="164"/>
      <c r="F120" s="320"/>
      <c r="G120" s="150"/>
      <c r="H120" s="164"/>
      <c r="I120" s="320"/>
      <c r="J120" s="150"/>
      <c r="K120" s="164"/>
      <c r="L120" s="320"/>
      <c r="M120" s="326"/>
      <c r="N120" s="327"/>
      <c r="O120" s="328"/>
      <c r="P120" s="326"/>
      <c r="Q120" s="327"/>
      <c r="R120" s="328"/>
      <c r="S120" s="326"/>
      <c r="T120" s="327"/>
      <c r="U120" s="328"/>
      <c r="V120" s="150"/>
      <c r="W120" s="327"/>
      <c r="X120" s="320"/>
      <c r="Y120" s="156"/>
      <c r="Z120" s="166"/>
      <c r="AA120" s="322"/>
      <c r="AB120" s="17"/>
      <c r="AC120" s="17"/>
      <c r="AD120" s="17"/>
      <c r="AE120" s="17"/>
    </row>
    <row r="121">
      <c r="A121" s="150"/>
      <c r="B121" s="164"/>
      <c r="C121" s="320"/>
      <c r="D121" s="150"/>
      <c r="E121" s="164"/>
      <c r="F121" s="320"/>
      <c r="G121" s="150"/>
      <c r="H121" s="164"/>
      <c r="I121" s="320"/>
      <c r="J121" s="150"/>
      <c r="K121" s="164"/>
      <c r="L121" s="320"/>
      <c r="M121" s="326"/>
      <c r="N121" s="327"/>
      <c r="O121" s="328"/>
      <c r="P121" s="326"/>
      <c r="Q121" s="327"/>
      <c r="R121" s="328"/>
      <c r="S121" s="326"/>
      <c r="T121" s="327"/>
      <c r="U121" s="328"/>
      <c r="V121" s="150"/>
      <c r="W121" s="327"/>
      <c r="X121" s="320"/>
      <c r="Y121" s="156"/>
      <c r="Z121" s="166"/>
      <c r="AA121" s="322"/>
      <c r="AB121" s="17"/>
      <c r="AC121" s="17"/>
      <c r="AD121" s="17"/>
      <c r="AE121" s="17"/>
    </row>
    <row r="122">
      <c r="A122" s="150"/>
      <c r="B122" s="164"/>
      <c r="C122" s="320"/>
      <c r="D122" s="150"/>
      <c r="E122" s="164"/>
      <c r="F122" s="320"/>
      <c r="G122" s="150"/>
      <c r="H122" s="164"/>
      <c r="I122" s="320"/>
      <c r="J122" s="150"/>
      <c r="K122" s="164"/>
      <c r="L122" s="320"/>
      <c r="M122" s="326"/>
      <c r="N122" s="327"/>
      <c r="O122" s="328"/>
      <c r="P122" s="326"/>
      <c r="Q122" s="327"/>
      <c r="R122" s="328"/>
      <c r="S122" s="326"/>
      <c r="T122" s="327"/>
      <c r="U122" s="328"/>
      <c r="V122" s="150"/>
      <c r="W122" s="327"/>
      <c r="X122" s="320"/>
      <c r="Y122" s="156"/>
      <c r="Z122" s="166"/>
      <c r="AA122" s="322"/>
      <c r="AB122" s="17"/>
      <c r="AC122" s="17"/>
      <c r="AD122" s="17"/>
      <c r="AE122" s="17"/>
    </row>
    <row r="123">
      <c r="A123" s="150"/>
      <c r="B123" s="164"/>
      <c r="C123" s="320"/>
      <c r="D123" s="150"/>
      <c r="E123" s="164"/>
      <c r="F123" s="320"/>
      <c r="G123" s="150"/>
      <c r="H123" s="164"/>
      <c r="I123" s="320"/>
      <c r="J123" s="150"/>
      <c r="K123" s="164"/>
      <c r="L123" s="320"/>
      <c r="M123" s="326"/>
      <c r="N123" s="327"/>
      <c r="O123" s="328"/>
      <c r="P123" s="326"/>
      <c r="Q123" s="327"/>
      <c r="R123" s="328"/>
      <c r="S123" s="326"/>
      <c r="T123" s="327"/>
      <c r="U123" s="328"/>
      <c r="V123" s="150"/>
      <c r="W123" s="327"/>
      <c r="X123" s="320"/>
      <c r="Y123" s="156"/>
      <c r="Z123" s="166"/>
      <c r="AA123" s="322"/>
      <c r="AB123" s="17"/>
      <c r="AC123" s="17"/>
      <c r="AD123" s="17"/>
      <c r="AE123" s="17"/>
    </row>
    <row r="124">
      <c r="A124" s="150"/>
      <c r="B124" s="164"/>
      <c r="C124" s="320"/>
      <c r="D124" s="150"/>
      <c r="E124" s="164"/>
      <c r="F124" s="320"/>
      <c r="G124" s="150"/>
      <c r="H124" s="164"/>
      <c r="I124" s="320"/>
      <c r="J124" s="150"/>
      <c r="K124" s="164"/>
      <c r="L124" s="320"/>
      <c r="M124" s="326"/>
      <c r="N124" s="327"/>
      <c r="O124" s="328"/>
      <c r="P124" s="326"/>
      <c r="Q124" s="327"/>
      <c r="R124" s="328"/>
      <c r="S124" s="326"/>
      <c r="T124" s="327"/>
      <c r="U124" s="328"/>
      <c r="V124" s="150"/>
      <c r="W124" s="327"/>
      <c r="X124" s="320"/>
      <c r="Y124" s="156"/>
      <c r="Z124" s="166"/>
      <c r="AA124" s="322"/>
      <c r="AB124" s="17"/>
      <c r="AC124" s="17"/>
      <c r="AD124" s="17"/>
      <c r="AE124" s="17"/>
    </row>
    <row r="125">
      <c r="A125" s="150"/>
      <c r="B125" s="164"/>
      <c r="C125" s="320"/>
      <c r="D125" s="150"/>
      <c r="E125" s="164"/>
      <c r="F125" s="320"/>
      <c r="G125" s="150"/>
      <c r="H125" s="164"/>
      <c r="I125" s="320"/>
      <c r="J125" s="150"/>
      <c r="K125" s="164"/>
      <c r="L125" s="320"/>
      <c r="M125" s="326"/>
      <c r="N125" s="327"/>
      <c r="O125" s="328"/>
      <c r="P125" s="326"/>
      <c r="Q125" s="327"/>
      <c r="R125" s="328"/>
      <c r="S125" s="326"/>
      <c r="T125" s="327"/>
      <c r="U125" s="328"/>
      <c r="V125" s="150"/>
      <c r="W125" s="327"/>
      <c r="X125" s="320"/>
      <c r="Y125" s="156"/>
      <c r="Z125" s="166"/>
      <c r="AA125" s="322"/>
      <c r="AB125" s="17"/>
      <c r="AC125" s="17"/>
      <c r="AD125" s="17"/>
      <c r="AE125" s="17"/>
    </row>
    <row r="126">
      <c r="A126" s="150"/>
      <c r="B126" s="164"/>
      <c r="C126" s="320"/>
      <c r="D126" s="150"/>
      <c r="E126" s="164"/>
      <c r="F126" s="320"/>
      <c r="G126" s="150"/>
      <c r="H126" s="164"/>
      <c r="I126" s="320"/>
      <c r="J126" s="150"/>
      <c r="K126" s="164"/>
      <c r="L126" s="320"/>
      <c r="M126" s="326"/>
      <c r="N126" s="327"/>
      <c r="O126" s="328"/>
      <c r="P126" s="326"/>
      <c r="Q126" s="327"/>
      <c r="R126" s="328"/>
      <c r="S126" s="326"/>
      <c r="T126" s="327"/>
      <c r="U126" s="328"/>
      <c r="V126" s="150"/>
      <c r="W126" s="327"/>
      <c r="X126" s="320"/>
      <c r="Y126" s="156"/>
      <c r="Z126" s="166"/>
      <c r="AA126" s="322"/>
      <c r="AB126" s="17"/>
      <c r="AC126" s="17"/>
      <c r="AD126" s="17"/>
      <c r="AE126" s="17"/>
    </row>
    <row r="127">
      <c r="A127" s="150"/>
      <c r="B127" s="164"/>
      <c r="C127" s="320"/>
      <c r="D127" s="150"/>
      <c r="E127" s="164"/>
      <c r="F127" s="320"/>
      <c r="G127" s="150"/>
      <c r="H127" s="164"/>
      <c r="I127" s="320"/>
      <c r="J127" s="150"/>
      <c r="K127" s="164"/>
      <c r="L127" s="320"/>
      <c r="M127" s="326"/>
      <c r="N127" s="327"/>
      <c r="O127" s="328"/>
      <c r="P127" s="326"/>
      <c r="Q127" s="327"/>
      <c r="R127" s="328"/>
      <c r="S127" s="326"/>
      <c r="T127" s="327"/>
      <c r="U127" s="328"/>
      <c r="V127" s="150"/>
      <c r="W127" s="327"/>
      <c r="X127" s="320"/>
      <c r="Y127" s="156"/>
      <c r="Z127" s="166"/>
      <c r="AA127" s="322"/>
      <c r="AB127" s="17"/>
      <c r="AC127" s="17"/>
      <c r="AD127" s="17"/>
      <c r="AE127" s="17"/>
    </row>
    <row r="128">
      <c r="A128" s="150"/>
      <c r="B128" s="164"/>
      <c r="C128" s="320"/>
      <c r="D128" s="150"/>
      <c r="E128" s="164"/>
      <c r="F128" s="320"/>
      <c r="G128" s="150"/>
      <c r="H128" s="164"/>
      <c r="I128" s="320"/>
      <c r="J128" s="150"/>
      <c r="K128" s="164"/>
      <c r="L128" s="320"/>
      <c r="M128" s="326"/>
      <c r="N128" s="327"/>
      <c r="O128" s="328"/>
      <c r="P128" s="326"/>
      <c r="Q128" s="327"/>
      <c r="R128" s="328"/>
      <c r="S128" s="326"/>
      <c r="T128" s="327"/>
      <c r="U128" s="328"/>
      <c r="V128" s="150"/>
      <c r="W128" s="327"/>
      <c r="X128" s="320"/>
      <c r="Y128" s="156"/>
      <c r="Z128" s="166"/>
      <c r="AA128" s="322"/>
      <c r="AB128" s="17"/>
      <c r="AC128" s="17"/>
      <c r="AD128" s="17"/>
      <c r="AE128" s="17"/>
    </row>
    <row r="129">
      <c r="A129" s="150"/>
      <c r="B129" s="164"/>
      <c r="C129" s="320"/>
      <c r="D129" s="150"/>
      <c r="E129" s="164"/>
      <c r="F129" s="320"/>
      <c r="G129" s="150"/>
      <c r="H129" s="164"/>
      <c r="I129" s="320"/>
      <c r="J129" s="150"/>
      <c r="K129" s="164"/>
      <c r="L129" s="320"/>
      <c r="M129" s="326"/>
      <c r="N129" s="327"/>
      <c r="O129" s="328"/>
      <c r="P129" s="326"/>
      <c r="Q129" s="327"/>
      <c r="R129" s="328"/>
      <c r="S129" s="326"/>
      <c r="T129" s="327"/>
      <c r="U129" s="328"/>
      <c r="V129" s="150"/>
      <c r="W129" s="327"/>
      <c r="X129" s="320"/>
      <c r="Y129" s="156"/>
      <c r="Z129" s="166"/>
      <c r="AA129" s="322"/>
      <c r="AB129" s="17"/>
      <c r="AC129" s="17"/>
      <c r="AD129" s="17"/>
      <c r="AE129" s="17"/>
    </row>
    <row r="130">
      <c r="A130" s="150"/>
      <c r="B130" s="164"/>
      <c r="C130" s="320"/>
      <c r="D130" s="150"/>
      <c r="E130" s="164"/>
      <c r="F130" s="320"/>
      <c r="G130" s="150"/>
      <c r="H130" s="164"/>
      <c r="I130" s="320"/>
      <c r="J130" s="150"/>
      <c r="K130" s="164"/>
      <c r="L130" s="320"/>
      <c r="M130" s="326"/>
      <c r="N130" s="327"/>
      <c r="O130" s="328"/>
      <c r="P130" s="326"/>
      <c r="Q130" s="327"/>
      <c r="R130" s="328"/>
      <c r="S130" s="326"/>
      <c r="T130" s="327"/>
      <c r="U130" s="328"/>
      <c r="V130" s="150"/>
      <c r="W130" s="327"/>
      <c r="X130" s="320"/>
      <c r="Y130" s="156"/>
      <c r="Z130" s="166"/>
      <c r="AA130" s="322"/>
      <c r="AB130" s="17"/>
      <c r="AC130" s="17"/>
      <c r="AD130" s="17"/>
      <c r="AE130" s="17"/>
    </row>
    <row r="131">
      <c r="A131" s="150"/>
      <c r="B131" s="164"/>
      <c r="C131" s="320"/>
      <c r="D131" s="150"/>
      <c r="E131" s="164"/>
      <c r="F131" s="320"/>
      <c r="G131" s="150"/>
      <c r="H131" s="164"/>
      <c r="I131" s="320"/>
      <c r="J131" s="150"/>
      <c r="K131" s="164"/>
      <c r="L131" s="320"/>
      <c r="M131" s="326"/>
      <c r="N131" s="327"/>
      <c r="O131" s="328"/>
      <c r="P131" s="326"/>
      <c r="Q131" s="327"/>
      <c r="R131" s="328"/>
      <c r="S131" s="326"/>
      <c r="T131" s="327"/>
      <c r="U131" s="328"/>
      <c r="V131" s="150"/>
      <c r="W131" s="327"/>
      <c r="X131" s="320"/>
      <c r="Y131" s="201"/>
      <c r="Z131" s="201"/>
      <c r="AA131" s="201"/>
      <c r="AB131" s="17"/>
      <c r="AC131" s="17"/>
      <c r="AD131" s="17"/>
      <c r="AE131" s="17"/>
    </row>
    <row r="132">
      <c r="A132" s="150"/>
      <c r="B132" s="164"/>
      <c r="C132" s="320"/>
      <c r="D132" s="150"/>
      <c r="E132" s="164"/>
      <c r="F132" s="320"/>
      <c r="G132" s="150"/>
      <c r="H132" s="164"/>
      <c r="I132" s="320"/>
      <c r="J132" s="150"/>
      <c r="K132" s="164"/>
      <c r="L132" s="320"/>
      <c r="M132" s="326"/>
      <c r="N132" s="327"/>
      <c r="O132" s="328"/>
      <c r="P132" s="326"/>
      <c r="Q132" s="327"/>
      <c r="R132" s="328"/>
      <c r="S132" s="326"/>
      <c r="T132" s="327"/>
      <c r="U132" s="328"/>
      <c r="V132" s="150"/>
      <c r="W132" s="327"/>
      <c r="X132" s="320"/>
      <c r="Y132" s="201"/>
      <c r="Z132" s="201"/>
      <c r="AA132" s="201"/>
      <c r="AB132" s="17"/>
      <c r="AC132" s="17"/>
      <c r="AD132" s="17"/>
      <c r="AE132" s="17"/>
    </row>
    <row r="133">
      <c r="A133" s="150"/>
      <c r="B133" s="164"/>
      <c r="C133" s="320"/>
      <c r="D133" s="150"/>
      <c r="E133" s="164"/>
      <c r="F133" s="320"/>
      <c r="G133" s="150"/>
      <c r="H133" s="164"/>
      <c r="I133" s="320"/>
      <c r="J133" s="150"/>
      <c r="K133" s="164"/>
      <c r="L133" s="320"/>
      <c r="M133" s="326"/>
      <c r="N133" s="327"/>
      <c r="O133" s="328"/>
      <c r="P133" s="326"/>
      <c r="Q133" s="327"/>
      <c r="R133" s="328"/>
      <c r="S133" s="326"/>
      <c r="T133" s="327"/>
      <c r="U133" s="328"/>
      <c r="V133" s="150"/>
      <c r="W133" s="327"/>
      <c r="X133" s="320"/>
      <c r="Y133" s="201"/>
      <c r="Z133" s="201"/>
      <c r="AA133" s="201"/>
      <c r="AB133" s="17"/>
      <c r="AC133" s="17"/>
      <c r="AD133" s="17"/>
      <c r="AE133" s="17"/>
    </row>
    <row r="134">
      <c r="A134" s="150"/>
      <c r="B134" s="164"/>
      <c r="C134" s="320"/>
      <c r="D134" s="150"/>
      <c r="E134" s="164"/>
      <c r="F134" s="320"/>
      <c r="G134" s="150"/>
      <c r="H134" s="164"/>
      <c r="I134" s="320"/>
      <c r="J134" s="150"/>
      <c r="K134" s="164"/>
      <c r="L134" s="320"/>
      <c r="M134" s="326"/>
      <c r="N134" s="327"/>
      <c r="O134" s="328"/>
      <c r="P134" s="326"/>
      <c r="Q134" s="327"/>
      <c r="R134" s="328"/>
      <c r="S134" s="326"/>
      <c r="T134" s="327"/>
      <c r="U134" s="328"/>
      <c r="V134" s="150"/>
      <c r="W134" s="327"/>
      <c r="X134" s="320"/>
      <c r="Y134" s="201"/>
      <c r="Z134" s="201"/>
      <c r="AA134" s="201"/>
      <c r="AB134" s="17"/>
      <c r="AC134" s="17"/>
      <c r="AD134" s="17"/>
      <c r="AE134" s="17"/>
    </row>
    <row r="135">
      <c r="A135" s="150"/>
      <c r="B135" s="164"/>
      <c r="C135" s="320"/>
      <c r="D135" s="150"/>
      <c r="E135" s="164"/>
      <c r="F135" s="320"/>
      <c r="G135" s="150"/>
      <c r="H135" s="164"/>
      <c r="I135" s="320"/>
      <c r="J135" s="150"/>
      <c r="K135" s="164"/>
      <c r="L135" s="320"/>
      <c r="M135" s="326"/>
      <c r="N135" s="327"/>
      <c r="O135" s="328"/>
      <c r="P135" s="326"/>
      <c r="Q135" s="327"/>
      <c r="R135" s="328"/>
      <c r="S135" s="326"/>
      <c r="T135" s="327"/>
      <c r="U135" s="328"/>
      <c r="V135" s="150"/>
      <c r="W135" s="327"/>
      <c r="X135" s="320"/>
      <c r="Y135" s="201"/>
      <c r="Z135" s="201"/>
      <c r="AA135" s="201"/>
      <c r="AB135" s="17"/>
      <c r="AC135" s="17"/>
      <c r="AD135" s="17"/>
      <c r="AE135" s="17"/>
    </row>
    <row r="136">
      <c r="A136" s="150"/>
      <c r="B136" s="164"/>
      <c r="C136" s="320"/>
      <c r="D136" s="150"/>
      <c r="E136" s="164"/>
      <c r="F136" s="320"/>
      <c r="G136" s="150"/>
      <c r="H136" s="164"/>
      <c r="I136" s="320"/>
      <c r="J136" s="150"/>
      <c r="K136" s="164"/>
      <c r="L136" s="320"/>
      <c r="M136" s="326"/>
      <c r="N136" s="327"/>
      <c r="O136" s="328"/>
      <c r="P136" s="326"/>
      <c r="Q136" s="327"/>
      <c r="R136" s="328"/>
      <c r="S136" s="326"/>
      <c r="T136" s="327"/>
      <c r="U136" s="328"/>
      <c r="V136" s="150"/>
      <c r="W136" s="327"/>
      <c r="X136" s="320"/>
      <c r="Y136" s="201"/>
      <c r="Z136" s="201"/>
      <c r="AA136" s="201"/>
      <c r="AB136" s="17"/>
      <c r="AC136" s="17"/>
      <c r="AD136" s="17"/>
      <c r="AE136" s="17"/>
    </row>
    <row r="137">
      <c r="A137" s="150"/>
      <c r="B137" s="164"/>
      <c r="C137" s="320"/>
      <c r="D137" s="150"/>
      <c r="E137" s="164"/>
      <c r="F137" s="320"/>
      <c r="G137" s="150"/>
      <c r="H137" s="164"/>
      <c r="I137" s="320"/>
      <c r="J137" s="150"/>
      <c r="K137" s="164"/>
      <c r="L137" s="320"/>
      <c r="M137" s="326"/>
      <c r="N137" s="327"/>
      <c r="O137" s="328"/>
      <c r="P137" s="326"/>
      <c r="Q137" s="327"/>
      <c r="R137" s="328"/>
      <c r="S137" s="326"/>
      <c r="T137" s="327"/>
      <c r="U137" s="328"/>
      <c r="V137" s="150"/>
      <c r="W137" s="327"/>
      <c r="X137" s="320"/>
      <c r="Y137" s="201"/>
      <c r="Z137" s="201"/>
      <c r="AA137" s="201"/>
      <c r="AB137" s="17"/>
      <c r="AC137" s="17"/>
      <c r="AD137" s="17"/>
      <c r="AE137" s="17"/>
    </row>
    <row r="138">
      <c r="A138" s="150"/>
      <c r="B138" s="164"/>
      <c r="C138" s="320"/>
      <c r="D138" s="150"/>
      <c r="E138" s="164"/>
      <c r="F138" s="320"/>
      <c r="G138" s="150"/>
      <c r="H138" s="164"/>
      <c r="I138" s="320"/>
      <c r="J138" s="150"/>
      <c r="K138" s="164"/>
      <c r="L138" s="320"/>
      <c r="M138" s="326"/>
      <c r="N138" s="327"/>
      <c r="O138" s="328"/>
      <c r="P138" s="326"/>
      <c r="Q138" s="327"/>
      <c r="R138" s="328"/>
      <c r="S138" s="326"/>
      <c r="T138" s="327"/>
      <c r="U138" s="328"/>
      <c r="V138" s="150"/>
      <c r="W138" s="327"/>
      <c r="X138" s="320"/>
      <c r="Y138" s="201"/>
      <c r="Z138" s="201"/>
      <c r="AA138" s="201"/>
      <c r="AB138" s="17"/>
      <c r="AC138" s="17"/>
      <c r="AD138" s="17"/>
      <c r="AE138" s="17"/>
    </row>
    <row r="139">
      <c r="A139" s="150"/>
      <c r="B139" s="164"/>
      <c r="C139" s="320"/>
      <c r="D139" s="150"/>
      <c r="E139" s="164"/>
      <c r="F139" s="320"/>
      <c r="G139" s="150"/>
      <c r="H139" s="164"/>
      <c r="I139" s="320"/>
      <c r="J139" s="150"/>
      <c r="K139" s="164"/>
      <c r="L139" s="320"/>
      <c r="M139" s="326"/>
      <c r="N139" s="327"/>
      <c r="O139" s="328"/>
      <c r="P139" s="326"/>
      <c r="Q139" s="327"/>
      <c r="R139" s="328"/>
      <c r="S139" s="326"/>
      <c r="T139" s="327"/>
      <c r="U139" s="328"/>
      <c r="V139" s="150"/>
      <c r="W139" s="327"/>
      <c r="X139" s="320"/>
      <c r="Y139" s="201"/>
      <c r="Z139" s="201"/>
      <c r="AA139" s="201"/>
      <c r="AB139" s="17"/>
      <c r="AC139" s="17"/>
      <c r="AD139" s="17"/>
      <c r="AE139" s="17"/>
    </row>
    <row r="140">
      <c r="A140" s="150"/>
      <c r="B140" s="164"/>
      <c r="C140" s="320"/>
      <c r="D140" s="150"/>
      <c r="E140" s="164"/>
      <c r="F140" s="320"/>
      <c r="G140" s="150"/>
      <c r="H140" s="164"/>
      <c r="I140" s="320"/>
      <c r="J140" s="150"/>
      <c r="K140" s="164"/>
      <c r="L140" s="320"/>
      <c r="M140" s="326"/>
      <c r="N140" s="327"/>
      <c r="O140" s="328"/>
      <c r="P140" s="326"/>
      <c r="Q140" s="327"/>
      <c r="R140" s="328"/>
      <c r="S140" s="326"/>
      <c r="T140" s="327"/>
      <c r="U140" s="328"/>
      <c r="V140" s="150"/>
      <c r="W140" s="327"/>
      <c r="X140" s="320"/>
      <c r="Y140" s="201"/>
      <c r="Z140" s="201"/>
      <c r="AA140" s="201"/>
      <c r="AB140" s="17"/>
      <c r="AC140" s="17"/>
      <c r="AD140" s="17"/>
      <c r="AE140" s="17"/>
    </row>
    <row r="141">
      <c r="A141" s="150"/>
      <c r="B141" s="164"/>
      <c r="C141" s="320"/>
      <c r="D141" s="150"/>
      <c r="E141" s="164"/>
      <c r="F141" s="320"/>
      <c r="G141" s="150"/>
      <c r="H141" s="164"/>
      <c r="I141" s="320"/>
      <c r="J141" s="150"/>
      <c r="K141" s="164"/>
      <c r="L141" s="320"/>
      <c r="M141" s="326"/>
      <c r="N141" s="327"/>
      <c r="O141" s="328"/>
      <c r="P141" s="326"/>
      <c r="Q141" s="327"/>
      <c r="R141" s="328"/>
      <c r="S141" s="326"/>
      <c r="T141" s="327"/>
      <c r="U141" s="328"/>
      <c r="V141" s="150"/>
      <c r="W141" s="327"/>
      <c r="X141" s="320"/>
      <c r="Y141" s="201"/>
      <c r="Z141" s="201"/>
      <c r="AA141" s="201"/>
      <c r="AB141" s="17"/>
      <c r="AC141" s="17"/>
      <c r="AD141" s="17"/>
      <c r="AE141" s="17"/>
    </row>
    <row r="142">
      <c r="A142" s="150"/>
      <c r="B142" s="164"/>
      <c r="C142" s="320"/>
      <c r="D142" s="150"/>
      <c r="E142" s="164"/>
      <c r="F142" s="320"/>
      <c r="G142" s="150"/>
      <c r="H142" s="164"/>
      <c r="I142" s="320"/>
      <c r="J142" s="150"/>
      <c r="K142" s="164"/>
      <c r="L142" s="320"/>
      <c r="M142" s="326"/>
      <c r="N142" s="327"/>
      <c r="O142" s="328"/>
      <c r="P142" s="326"/>
      <c r="Q142" s="327"/>
      <c r="R142" s="328"/>
      <c r="S142" s="326"/>
      <c r="T142" s="327"/>
      <c r="U142" s="328"/>
      <c r="V142" s="150"/>
      <c r="W142" s="327"/>
      <c r="X142" s="320"/>
      <c r="Y142" s="201"/>
      <c r="Z142" s="201"/>
      <c r="AA142" s="201"/>
      <c r="AB142" s="17"/>
      <c r="AC142" s="17"/>
      <c r="AD142" s="17"/>
      <c r="AE142" s="17"/>
    </row>
    <row r="143">
      <c r="A143" s="150"/>
      <c r="B143" s="164"/>
      <c r="C143" s="320"/>
      <c r="D143" s="150"/>
      <c r="E143" s="164"/>
      <c r="F143" s="320"/>
      <c r="G143" s="150"/>
      <c r="H143" s="164"/>
      <c r="I143" s="320"/>
      <c r="J143" s="150"/>
      <c r="K143" s="164"/>
      <c r="L143" s="320"/>
      <c r="M143" s="326"/>
      <c r="N143" s="327"/>
      <c r="O143" s="328"/>
      <c r="P143" s="326"/>
      <c r="Q143" s="327"/>
      <c r="R143" s="328"/>
      <c r="S143" s="326"/>
      <c r="T143" s="327"/>
      <c r="U143" s="328"/>
      <c r="V143" s="150"/>
      <c r="W143" s="327"/>
      <c r="X143" s="320"/>
      <c r="Y143" s="201"/>
      <c r="Z143" s="201"/>
      <c r="AA143" s="201"/>
      <c r="AB143" s="17"/>
      <c r="AC143" s="17"/>
      <c r="AD143" s="17"/>
      <c r="AE143" s="17"/>
    </row>
    <row r="144">
      <c r="A144" s="150"/>
      <c r="B144" s="164"/>
      <c r="C144" s="320"/>
      <c r="D144" s="150"/>
      <c r="E144" s="164"/>
      <c r="F144" s="320"/>
      <c r="G144" s="150"/>
      <c r="H144" s="164"/>
      <c r="I144" s="320"/>
      <c r="J144" s="150"/>
      <c r="K144" s="164"/>
      <c r="L144" s="320"/>
      <c r="M144" s="326"/>
      <c r="N144" s="327"/>
      <c r="O144" s="328"/>
      <c r="P144" s="326"/>
      <c r="Q144" s="327"/>
      <c r="R144" s="328"/>
      <c r="S144" s="326"/>
      <c r="T144" s="327"/>
      <c r="U144" s="328"/>
      <c r="V144" s="150"/>
      <c r="W144" s="327"/>
      <c r="X144" s="320"/>
      <c r="Y144" s="201"/>
      <c r="Z144" s="201"/>
      <c r="AA144" s="201"/>
      <c r="AB144" s="17"/>
      <c r="AC144" s="17"/>
      <c r="AD144" s="17"/>
      <c r="AE144" s="17"/>
    </row>
    <row r="145">
      <c r="A145" s="150"/>
      <c r="B145" s="164"/>
      <c r="C145" s="320"/>
      <c r="D145" s="150"/>
      <c r="E145" s="164"/>
      <c r="F145" s="320"/>
      <c r="G145" s="150"/>
      <c r="H145" s="164"/>
      <c r="I145" s="320"/>
      <c r="J145" s="150"/>
      <c r="K145" s="164"/>
      <c r="L145" s="320"/>
      <c r="M145" s="326"/>
      <c r="N145" s="327"/>
      <c r="O145" s="328"/>
      <c r="P145" s="326"/>
      <c r="Q145" s="327"/>
      <c r="R145" s="328"/>
      <c r="S145" s="326"/>
      <c r="T145" s="327"/>
      <c r="U145" s="328"/>
      <c r="V145" s="150"/>
      <c r="W145" s="327"/>
      <c r="X145" s="320"/>
      <c r="Y145" s="201"/>
      <c r="Z145" s="201"/>
      <c r="AA145" s="201"/>
      <c r="AB145" s="17"/>
      <c r="AC145" s="17"/>
      <c r="AD145" s="17"/>
      <c r="AE145" s="17"/>
    </row>
    <row r="146">
      <c r="A146" s="150"/>
      <c r="B146" s="164"/>
      <c r="C146" s="320"/>
      <c r="D146" s="150"/>
      <c r="E146" s="164"/>
      <c r="F146" s="320"/>
      <c r="G146" s="150"/>
      <c r="H146" s="164"/>
      <c r="I146" s="320"/>
      <c r="J146" s="150"/>
      <c r="K146" s="164"/>
      <c r="L146" s="320"/>
      <c r="M146" s="326"/>
      <c r="N146" s="327"/>
      <c r="O146" s="328"/>
      <c r="P146" s="326"/>
      <c r="Q146" s="327"/>
      <c r="R146" s="328"/>
      <c r="S146" s="326"/>
      <c r="T146" s="327"/>
      <c r="U146" s="328"/>
      <c r="V146" s="150"/>
      <c r="W146" s="327"/>
      <c r="X146" s="320"/>
      <c r="Y146" s="201"/>
      <c r="Z146" s="201"/>
      <c r="AA146" s="201"/>
      <c r="AB146" s="17"/>
      <c r="AC146" s="17"/>
      <c r="AD146" s="17"/>
      <c r="AE146" s="17"/>
    </row>
    <row r="147">
      <c r="A147" s="150"/>
      <c r="B147" s="164"/>
      <c r="C147" s="320"/>
      <c r="D147" s="150"/>
      <c r="E147" s="164"/>
      <c r="F147" s="320"/>
      <c r="G147" s="150"/>
      <c r="H147" s="164"/>
      <c r="I147" s="320"/>
      <c r="J147" s="150"/>
      <c r="K147" s="164"/>
      <c r="L147" s="320"/>
      <c r="M147" s="326"/>
      <c r="N147" s="327"/>
      <c r="O147" s="328"/>
      <c r="P147" s="326"/>
      <c r="Q147" s="327"/>
      <c r="R147" s="328"/>
      <c r="S147" s="326"/>
      <c r="T147" s="327"/>
      <c r="U147" s="328"/>
      <c r="V147" s="150"/>
      <c r="W147" s="327"/>
      <c r="X147" s="320"/>
      <c r="Y147" s="201"/>
      <c r="Z147" s="201"/>
      <c r="AA147" s="201"/>
      <c r="AB147" s="17"/>
      <c r="AC147" s="17"/>
      <c r="AD147" s="17"/>
      <c r="AE147" s="17"/>
    </row>
    <row r="148">
      <c r="A148" s="150"/>
      <c r="B148" s="164"/>
      <c r="C148" s="320"/>
      <c r="D148" s="150"/>
      <c r="E148" s="164"/>
      <c r="F148" s="320"/>
      <c r="G148" s="150"/>
      <c r="H148" s="164"/>
      <c r="I148" s="320"/>
      <c r="J148" s="150"/>
      <c r="K148" s="164"/>
      <c r="L148" s="320"/>
      <c r="M148" s="326"/>
      <c r="N148" s="327"/>
      <c r="O148" s="328"/>
      <c r="P148" s="326"/>
      <c r="Q148" s="327"/>
      <c r="R148" s="328"/>
      <c r="S148" s="326"/>
      <c r="T148" s="327"/>
      <c r="U148" s="328"/>
      <c r="V148" s="150"/>
      <c r="W148" s="327"/>
      <c r="X148" s="320"/>
      <c r="Y148" s="201"/>
      <c r="Z148" s="201"/>
      <c r="AA148" s="201"/>
      <c r="AB148" s="17"/>
      <c r="AC148" s="17"/>
      <c r="AD148" s="17"/>
      <c r="AE148" s="17"/>
    </row>
    <row r="149">
      <c r="A149" s="150"/>
      <c r="B149" s="164"/>
      <c r="C149" s="320"/>
      <c r="D149" s="150"/>
      <c r="E149" s="164"/>
      <c r="F149" s="320"/>
      <c r="G149" s="150"/>
      <c r="H149" s="164"/>
      <c r="I149" s="320"/>
      <c r="J149" s="150"/>
      <c r="K149" s="164"/>
      <c r="L149" s="320"/>
      <c r="M149" s="326"/>
      <c r="N149" s="327"/>
      <c r="O149" s="328"/>
      <c r="P149" s="326"/>
      <c r="Q149" s="327"/>
      <c r="R149" s="328"/>
      <c r="S149" s="326"/>
      <c r="T149" s="327"/>
      <c r="U149" s="328"/>
      <c r="V149" s="150"/>
      <c r="W149" s="327"/>
      <c r="X149" s="320"/>
      <c r="Y149" s="201"/>
      <c r="Z149" s="201"/>
      <c r="AA149" s="201"/>
      <c r="AB149" s="17"/>
      <c r="AC149" s="17"/>
      <c r="AD149" s="17"/>
      <c r="AE149" s="17"/>
    </row>
    <row r="150">
      <c r="A150" s="150"/>
      <c r="B150" s="164"/>
      <c r="C150" s="320"/>
      <c r="D150" s="150"/>
      <c r="E150" s="164"/>
      <c r="F150" s="320"/>
      <c r="G150" s="150"/>
      <c r="H150" s="164"/>
      <c r="I150" s="320"/>
      <c r="J150" s="150"/>
      <c r="K150" s="164"/>
      <c r="L150" s="320"/>
      <c r="M150" s="326"/>
      <c r="N150" s="327"/>
      <c r="O150" s="328"/>
      <c r="P150" s="326"/>
      <c r="Q150" s="327"/>
      <c r="R150" s="328"/>
      <c r="S150" s="326"/>
      <c r="T150" s="327"/>
      <c r="U150" s="328"/>
      <c r="V150" s="150"/>
      <c r="W150" s="327"/>
      <c r="X150" s="320"/>
      <c r="Y150" s="201"/>
      <c r="Z150" s="201"/>
      <c r="AA150" s="201"/>
      <c r="AB150" s="17"/>
      <c r="AC150" s="17"/>
      <c r="AD150" s="17"/>
      <c r="AE150" s="17"/>
    </row>
    <row r="151">
      <c r="A151" s="150"/>
      <c r="B151" s="164"/>
      <c r="C151" s="320"/>
      <c r="D151" s="150"/>
      <c r="E151" s="164"/>
      <c r="F151" s="320"/>
      <c r="G151" s="150"/>
      <c r="H151" s="164"/>
      <c r="I151" s="320"/>
      <c r="J151" s="150"/>
      <c r="K151" s="164"/>
      <c r="L151" s="320"/>
      <c r="M151" s="326"/>
      <c r="N151" s="327"/>
      <c r="O151" s="328"/>
      <c r="P151" s="326"/>
      <c r="Q151" s="327"/>
      <c r="R151" s="328"/>
      <c r="S151" s="326"/>
      <c r="T151" s="327"/>
      <c r="U151" s="328"/>
      <c r="V151" s="150"/>
      <c r="W151" s="327"/>
      <c r="X151" s="320"/>
      <c r="Y151" s="201"/>
      <c r="Z151" s="201"/>
      <c r="AA151" s="201"/>
      <c r="AB151" s="17"/>
      <c r="AC151" s="17"/>
      <c r="AD151" s="17"/>
      <c r="AE151" s="17"/>
    </row>
    <row r="152">
      <c r="A152" s="150"/>
      <c r="B152" s="164"/>
      <c r="C152" s="320"/>
      <c r="D152" s="150"/>
      <c r="E152" s="164"/>
      <c r="F152" s="320"/>
      <c r="G152" s="150"/>
      <c r="H152" s="164"/>
      <c r="I152" s="320"/>
      <c r="J152" s="150"/>
      <c r="K152" s="164"/>
      <c r="L152" s="320"/>
      <c r="M152" s="326"/>
      <c r="N152" s="327"/>
      <c r="O152" s="328"/>
      <c r="P152" s="326"/>
      <c r="Q152" s="327"/>
      <c r="R152" s="328"/>
      <c r="S152" s="326"/>
      <c r="T152" s="327"/>
      <c r="U152" s="328"/>
      <c r="V152" s="150"/>
      <c r="W152" s="327"/>
      <c r="X152" s="320"/>
      <c r="Y152" s="201"/>
      <c r="Z152" s="201"/>
      <c r="AA152" s="201"/>
      <c r="AB152" s="17"/>
      <c r="AC152" s="17"/>
      <c r="AD152" s="17"/>
      <c r="AE152" s="17"/>
    </row>
    <row r="153">
      <c r="A153" s="150"/>
      <c r="B153" s="164"/>
      <c r="C153" s="320"/>
      <c r="D153" s="150"/>
      <c r="E153" s="164"/>
      <c r="F153" s="320"/>
      <c r="G153" s="150"/>
      <c r="H153" s="164"/>
      <c r="I153" s="320"/>
      <c r="J153" s="150"/>
      <c r="K153" s="164"/>
      <c r="L153" s="320"/>
      <c r="M153" s="326"/>
      <c r="N153" s="327"/>
      <c r="O153" s="328"/>
      <c r="P153" s="326"/>
      <c r="Q153" s="327"/>
      <c r="R153" s="328"/>
      <c r="S153" s="326"/>
      <c r="T153" s="327"/>
      <c r="U153" s="328"/>
      <c r="V153" s="150"/>
      <c r="W153" s="327"/>
      <c r="X153" s="320"/>
      <c r="Y153" s="201"/>
      <c r="Z153" s="201"/>
      <c r="AA153" s="201"/>
      <c r="AB153" s="17"/>
      <c r="AC153" s="17"/>
      <c r="AD153" s="17"/>
      <c r="AE153" s="17"/>
    </row>
    <row r="154">
      <c r="A154" s="150"/>
      <c r="B154" s="164"/>
      <c r="C154" s="320"/>
      <c r="D154" s="150"/>
      <c r="E154" s="164"/>
      <c r="F154" s="320"/>
      <c r="G154" s="150"/>
      <c r="H154" s="164"/>
      <c r="I154" s="320"/>
      <c r="J154" s="150"/>
      <c r="K154" s="164"/>
      <c r="L154" s="320"/>
      <c r="M154" s="326"/>
      <c r="N154" s="327"/>
      <c r="O154" s="328"/>
      <c r="P154" s="326"/>
      <c r="Q154" s="327"/>
      <c r="R154" s="328"/>
      <c r="S154" s="326"/>
      <c r="T154" s="327"/>
      <c r="U154" s="328"/>
      <c r="V154" s="150"/>
      <c r="W154" s="327"/>
      <c r="X154" s="320"/>
      <c r="Y154" s="201"/>
      <c r="Z154" s="201"/>
      <c r="AA154" s="201"/>
      <c r="AB154" s="17"/>
      <c r="AC154" s="17"/>
      <c r="AD154" s="17"/>
      <c r="AE154" s="17"/>
    </row>
    <row r="155">
      <c r="A155" s="150"/>
      <c r="B155" s="164"/>
      <c r="C155" s="320"/>
      <c r="D155" s="150"/>
      <c r="E155" s="164"/>
      <c r="F155" s="320"/>
      <c r="G155" s="150"/>
      <c r="H155" s="164"/>
      <c r="I155" s="320"/>
      <c r="J155" s="150"/>
      <c r="K155" s="164"/>
      <c r="L155" s="320"/>
      <c r="M155" s="326"/>
      <c r="N155" s="327"/>
      <c r="O155" s="328"/>
      <c r="P155" s="326"/>
      <c r="Q155" s="327"/>
      <c r="R155" s="328"/>
      <c r="S155" s="326"/>
      <c r="T155" s="327"/>
      <c r="U155" s="328"/>
      <c r="V155" s="150"/>
      <c r="W155" s="327"/>
      <c r="X155" s="320"/>
      <c r="Y155" s="201"/>
      <c r="Z155" s="201"/>
      <c r="AA155" s="201"/>
      <c r="AB155" s="17"/>
      <c r="AC155" s="17"/>
      <c r="AD155" s="17"/>
      <c r="AE155" s="17"/>
    </row>
    <row r="156">
      <c r="A156" s="150"/>
      <c r="B156" s="164"/>
      <c r="C156" s="320"/>
      <c r="D156" s="150"/>
      <c r="E156" s="164"/>
      <c r="F156" s="320"/>
      <c r="G156" s="150"/>
      <c r="H156" s="164"/>
      <c r="I156" s="320"/>
      <c r="J156" s="150"/>
      <c r="K156" s="164"/>
      <c r="L156" s="320"/>
      <c r="M156" s="326"/>
      <c r="N156" s="327"/>
      <c r="O156" s="328"/>
      <c r="P156" s="326"/>
      <c r="Q156" s="327"/>
      <c r="R156" s="328"/>
      <c r="S156" s="326"/>
      <c r="T156" s="327"/>
      <c r="U156" s="328"/>
      <c r="V156" s="150"/>
      <c r="W156" s="327"/>
      <c r="X156" s="320"/>
      <c r="Y156" s="201"/>
      <c r="Z156" s="201"/>
      <c r="AA156" s="201"/>
      <c r="AB156" s="17"/>
      <c r="AC156" s="17"/>
      <c r="AD156" s="17"/>
      <c r="AE156" s="17"/>
    </row>
    <row r="157">
      <c r="A157" s="150"/>
      <c r="B157" s="164"/>
      <c r="C157" s="320"/>
      <c r="D157" s="150"/>
      <c r="E157" s="164"/>
      <c r="F157" s="320"/>
      <c r="G157" s="150"/>
      <c r="H157" s="164"/>
      <c r="I157" s="320"/>
      <c r="J157" s="150"/>
      <c r="K157" s="164"/>
      <c r="L157" s="320"/>
      <c r="M157" s="326"/>
      <c r="N157" s="327"/>
      <c r="O157" s="328"/>
      <c r="P157" s="326"/>
      <c r="Q157" s="327"/>
      <c r="R157" s="328"/>
      <c r="S157" s="326"/>
      <c r="T157" s="327"/>
      <c r="U157" s="328"/>
      <c r="V157" s="150"/>
      <c r="W157" s="327"/>
      <c r="X157" s="320"/>
      <c r="Y157" s="201"/>
      <c r="Z157" s="201"/>
      <c r="AA157" s="201"/>
      <c r="AB157" s="17"/>
      <c r="AC157" s="17"/>
      <c r="AD157" s="17"/>
      <c r="AE157" s="17"/>
    </row>
    <row r="158">
      <c r="A158" s="150"/>
      <c r="B158" s="164"/>
      <c r="C158" s="320"/>
      <c r="D158" s="150"/>
      <c r="E158" s="164"/>
      <c r="F158" s="320"/>
      <c r="G158" s="150"/>
      <c r="H158" s="164"/>
      <c r="I158" s="320"/>
      <c r="J158" s="150"/>
      <c r="K158" s="164"/>
      <c r="L158" s="320"/>
      <c r="M158" s="326"/>
      <c r="N158" s="327"/>
      <c r="O158" s="328"/>
      <c r="P158" s="326"/>
      <c r="Q158" s="327"/>
      <c r="R158" s="328"/>
      <c r="S158" s="326"/>
      <c r="T158" s="327"/>
      <c r="U158" s="328"/>
      <c r="V158" s="150"/>
      <c r="W158" s="327"/>
      <c r="X158" s="320"/>
      <c r="Y158" s="201"/>
      <c r="Z158" s="201"/>
      <c r="AA158" s="201"/>
      <c r="AB158" s="17"/>
      <c r="AC158" s="17"/>
      <c r="AD158" s="17"/>
      <c r="AE158" s="17"/>
    </row>
    <row r="159">
      <c r="A159" s="150"/>
      <c r="B159" s="164"/>
      <c r="C159" s="320"/>
      <c r="D159" s="150"/>
      <c r="E159" s="164"/>
      <c r="F159" s="320"/>
      <c r="G159" s="150"/>
      <c r="H159" s="164"/>
      <c r="I159" s="320"/>
      <c r="J159" s="150"/>
      <c r="K159" s="164"/>
      <c r="L159" s="320"/>
      <c r="M159" s="326"/>
      <c r="N159" s="327"/>
      <c r="O159" s="328"/>
      <c r="P159" s="326"/>
      <c r="Q159" s="327"/>
      <c r="R159" s="328"/>
      <c r="S159" s="326"/>
      <c r="T159" s="327"/>
      <c r="U159" s="328"/>
      <c r="V159" s="150"/>
      <c r="W159" s="327"/>
      <c r="X159" s="320"/>
      <c r="Y159" s="201"/>
      <c r="Z159" s="201"/>
      <c r="AA159" s="201"/>
      <c r="AB159" s="17"/>
      <c r="AC159" s="17"/>
      <c r="AD159" s="17"/>
      <c r="AE159" s="17"/>
    </row>
    <row r="160">
      <c r="A160" s="150"/>
      <c r="B160" s="164"/>
      <c r="C160" s="320"/>
      <c r="D160" s="150"/>
      <c r="E160" s="164"/>
      <c r="F160" s="320"/>
      <c r="G160" s="150"/>
      <c r="H160" s="164"/>
      <c r="I160" s="320"/>
      <c r="J160" s="150"/>
      <c r="K160" s="164"/>
      <c r="L160" s="320"/>
      <c r="M160" s="326"/>
      <c r="N160" s="327"/>
      <c r="O160" s="328"/>
      <c r="P160" s="326"/>
      <c r="Q160" s="327"/>
      <c r="R160" s="328"/>
      <c r="S160" s="326"/>
      <c r="T160" s="327"/>
      <c r="U160" s="328"/>
      <c r="V160" s="150"/>
      <c r="W160" s="327"/>
      <c r="X160" s="320"/>
      <c r="Y160" s="201"/>
      <c r="Z160" s="201"/>
      <c r="AA160" s="201"/>
      <c r="AB160" s="17"/>
      <c r="AC160" s="17"/>
      <c r="AD160" s="17"/>
      <c r="AE160" s="17"/>
    </row>
    <row r="161">
      <c r="A161" s="150"/>
      <c r="B161" s="164"/>
      <c r="C161" s="320"/>
      <c r="D161" s="150"/>
      <c r="E161" s="164"/>
      <c r="F161" s="320"/>
      <c r="G161" s="150"/>
      <c r="H161" s="164"/>
      <c r="I161" s="320"/>
      <c r="J161" s="150"/>
      <c r="K161" s="164"/>
      <c r="L161" s="320"/>
      <c r="M161" s="326"/>
      <c r="N161" s="327"/>
      <c r="O161" s="328"/>
      <c r="P161" s="326"/>
      <c r="Q161" s="327"/>
      <c r="R161" s="328"/>
      <c r="S161" s="326"/>
      <c r="T161" s="327"/>
      <c r="U161" s="328"/>
      <c r="V161" s="150"/>
      <c r="W161" s="327"/>
      <c r="X161" s="320"/>
      <c r="Y161" s="201"/>
      <c r="Z161" s="201"/>
      <c r="AA161" s="201"/>
      <c r="AB161" s="17"/>
      <c r="AC161" s="17"/>
      <c r="AD161" s="17"/>
      <c r="AE161" s="17"/>
    </row>
    <row r="162">
      <c r="A162" s="150"/>
      <c r="B162" s="164"/>
      <c r="C162" s="320"/>
      <c r="D162" s="150"/>
      <c r="E162" s="164"/>
      <c r="F162" s="320"/>
      <c r="G162" s="150"/>
      <c r="H162" s="164"/>
      <c r="I162" s="320"/>
      <c r="J162" s="150"/>
      <c r="K162" s="164"/>
      <c r="L162" s="320"/>
      <c r="M162" s="326"/>
      <c r="N162" s="327"/>
      <c r="O162" s="328"/>
      <c r="P162" s="326"/>
      <c r="Q162" s="327"/>
      <c r="R162" s="328"/>
      <c r="S162" s="326"/>
      <c r="T162" s="327"/>
      <c r="U162" s="328"/>
      <c r="V162" s="150"/>
      <c r="W162" s="327"/>
      <c r="X162" s="320"/>
      <c r="Y162" s="201"/>
      <c r="Z162" s="201"/>
      <c r="AA162" s="201"/>
      <c r="AB162" s="17"/>
      <c r="AC162" s="17"/>
      <c r="AD162" s="17"/>
      <c r="AE162" s="17"/>
    </row>
    <row r="163">
      <c r="A163" s="150"/>
      <c r="B163" s="164"/>
      <c r="C163" s="320"/>
      <c r="D163" s="150"/>
      <c r="E163" s="164"/>
      <c r="F163" s="320"/>
      <c r="G163" s="150"/>
      <c r="H163" s="164"/>
      <c r="I163" s="320"/>
      <c r="J163" s="150"/>
      <c r="K163" s="164"/>
      <c r="L163" s="320"/>
      <c r="M163" s="326"/>
      <c r="N163" s="327"/>
      <c r="O163" s="328"/>
      <c r="P163" s="326"/>
      <c r="Q163" s="327"/>
      <c r="R163" s="328"/>
      <c r="S163" s="326"/>
      <c r="T163" s="327"/>
      <c r="U163" s="328"/>
      <c r="V163" s="150"/>
      <c r="W163" s="327"/>
      <c r="X163" s="320"/>
      <c r="Y163" s="201"/>
      <c r="Z163" s="201"/>
      <c r="AA163" s="201"/>
      <c r="AB163" s="17"/>
      <c r="AC163" s="17"/>
      <c r="AD163" s="17"/>
      <c r="AE163" s="17"/>
    </row>
    <row r="164">
      <c r="A164" s="150"/>
      <c r="B164" s="164"/>
      <c r="C164" s="320"/>
      <c r="D164" s="150"/>
      <c r="E164" s="164"/>
      <c r="F164" s="320"/>
      <c r="G164" s="150"/>
      <c r="H164" s="164"/>
      <c r="I164" s="320"/>
      <c r="J164" s="150"/>
      <c r="K164" s="164"/>
      <c r="L164" s="320"/>
      <c r="M164" s="326"/>
      <c r="N164" s="327"/>
      <c r="O164" s="328"/>
      <c r="P164" s="326"/>
      <c r="Q164" s="327"/>
      <c r="R164" s="328"/>
      <c r="S164" s="326"/>
      <c r="T164" s="327"/>
      <c r="U164" s="328"/>
      <c r="V164" s="150"/>
      <c r="W164" s="327"/>
      <c r="X164" s="320"/>
      <c r="Y164" s="201"/>
      <c r="Z164" s="201"/>
      <c r="AA164" s="201"/>
      <c r="AB164" s="17"/>
      <c r="AC164" s="17"/>
      <c r="AD164" s="17"/>
      <c r="AE164" s="17"/>
    </row>
    <row r="165">
      <c r="A165" s="150"/>
      <c r="B165" s="164"/>
      <c r="C165" s="320"/>
      <c r="D165" s="150"/>
      <c r="E165" s="164"/>
      <c r="F165" s="320"/>
      <c r="G165" s="150"/>
      <c r="H165" s="164"/>
      <c r="I165" s="320"/>
      <c r="J165" s="150"/>
      <c r="K165" s="164"/>
      <c r="L165" s="320"/>
      <c r="M165" s="326"/>
      <c r="N165" s="327"/>
      <c r="O165" s="328"/>
      <c r="P165" s="326"/>
      <c r="Q165" s="327"/>
      <c r="R165" s="328"/>
      <c r="S165" s="326"/>
      <c r="T165" s="327"/>
      <c r="U165" s="328"/>
      <c r="V165" s="150"/>
      <c r="W165" s="327"/>
      <c r="X165" s="320"/>
      <c r="Y165" s="201"/>
      <c r="Z165" s="201"/>
      <c r="AA165" s="201"/>
      <c r="AB165" s="17"/>
      <c r="AC165" s="17"/>
      <c r="AD165" s="17"/>
      <c r="AE165" s="17"/>
    </row>
    <row r="166">
      <c r="A166" s="150"/>
      <c r="B166" s="164"/>
      <c r="C166" s="320"/>
      <c r="D166" s="150"/>
      <c r="E166" s="164"/>
      <c r="F166" s="320"/>
      <c r="G166" s="150"/>
      <c r="H166" s="164"/>
      <c r="I166" s="320"/>
      <c r="J166" s="150"/>
      <c r="K166" s="164"/>
      <c r="L166" s="320"/>
      <c r="M166" s="326"/>
      <c r="N166" s="327"/>
      <c r="O166" s="328"/>
      <c r="P166" s="326"/>
      <c r="Q166" s="327"/>
      <c r="R166" s="328"/>
      <c r="S166" s="326"/>
      <c r="T166" s="327"/>
      <c r="U166" s="328"/>
      <c r="V166" s="150"/>
      <c r="W166" s="327"/>
      <c r="X166" s="320"/>
      <c r="Y166" s="201"/>
      <c r="Z166" s="201"/>
      <c r="AA166" s="201"/>
      <c r="AB166" s="17"/>
      <c r="AC166" s="17"/>
      <c r="AD166" s="17"/>
      <c r="AE166" s="17"/>
    </row>
    <row r="167">
      <c r="A167" s="150"/>
      <c r="B167" s="164"/>
      <c r="C167" s="320"/>
      <c r="D167" s="150"/>
      <c r="E167" s="164"/>
      <c r="F167" s="320"/>
      <c r="G167" s="150"/>
      <c r="H167" s="164"/>
      <c r="I167" s="320"/>
      <c r="J167" s="150"/>
      <c r="K167" s="164"/>
      <c r="L167" s="320"/>
      <c r="M167" s="326"/>
      <c r="N167" s="327"/>
      <c r="O167" s="328"/>
      <c r="P167" s="326"/>
      <c r="Q167" s="327"/>
      <c r="R167" s="328"/>
      <c r="S167" s="326"/>
      <c r="T167" s="327"/>
      <c r="U167" s="328"/>
      <c r="V167" s="150"/>
      <c r="W167" s="327"/>
      <c r="X167" s="320"/>
      <c r="Y167" s="201"/>
      <c r="Z167" s="201"/>
      <c r="AA167" s="201"/>
      <c r="AB167" s="17"/>
      <c r="AC167" s="17"/>
      <c r="AD167" s="17"/>
      <c r="AE167" s="17"/>
    </row>
    <row r="168">
      <c r="A168" s="150"/>
      <c r="B168" s="164"/>
      <c r="C168" s="320"/>
      <c r="D168" s="150"/>
      <c r="E168" s="164"/>
      <c r="F168" s="320"/>
      <c r="G168" s="150"/>
      <c r="H168" s="164"/>
      <c r="I168" s="320"/>
      <c r="J168" s="150"/>
      <c r="K168" s="164"/>
      <c r="L168" s="320"/>
      <c r="M168" s="326"/>
      <c r="N168" s="327"/>
      <c r="O168" s="328"/>
      <c r="P168" s="326"/>
      <c r="Q168" s="327"/>
      <c r="R168" s="328"/>
      <c r="S168" s="326"/>
      <c r="T168" s="327"/>
      <c r="U168" s="328"/>
      <c r="V168" s="150"/>
      <c r="W168" s="327"/>
      <c r="X168" s="320"/>
      <c r="Y168" s="201"/>
      <c r="Z168" s="201"/>
      <c r="AA168" s="201"/>
      <c r="AB168" s="17"/>
      <c r="AC168" s="17"/>
      <c r="AD168" s="17"/>
      <c r="AE168" s="17"/>
    </row>
    <row r="169">
      <c r="A169" s="150"/>
      <c r="B169" s="164"/>
      <c r="C169" s="320"/>
      <c r="D169" s="150"/>
      <c r="E169" s="164"/>
      <c r="F169" s="320"/>
      <c r="G169" s="150"/>
      <c r="H169" s="164"/>
      <c r="I169" s="320"/>
      <c r="J169" s="150"/>
      <c r="K169" s="164"/>
      <c r="L169" s="320"/>
      <c r="M169" s="326"/>
      <c r="N169" s="327"/>
      <c r="O169" s="328"/>
      <c r="P169" s="326"/>
      <c r="Q169" s="327"/>
      <c r="R169" s="328"/>
      <c r="S169" s="326"/>
      <c r="T169" s="327"/>
      <c r="U169" s="328"/>
      <c r="V169" s="150"/>
      <c r="W169" s="327"/>
      <c r="X169" s="320"/>
      <c r="Y169" s="201"/>
      <c r="Z169" s="201"/>
      <c r="AA169" s="201"/>
      <c r="AB169" s="17"/>
      <c r="AC169" s="17"/>
      <c r="AD169" s="17"/>
      <c r="AE169" s="17"/>
    </row>
    <row r="170">
      <c r="A170" s="150"/>
      <c r="B170" s="164"/>
      <c r="C170" s="320"/>
      <c r="D170" s="150"/>
      <c r="E170" s="164"/>
      <c r="F170" s="320"/>
      <c r="G170" s="150"/>
      <c r="H170" s="164"/>
      <c r="I170" s="320"/>
      <c r="J170" s="150"/>
      <c r="K170" s="164"/>
      <c r="L170" s="320"/>
      <c r="M170" s="326"/>
      <c r="N170" s="327"/>
      <c r="O170" s="328"/>
      <c r="P170" s="326"/>
      <c r="Q170" s="327"/>
      <c r="R170" s="328"/>
      <c r="S170" s="326"/>
      <c r="T170" s="327"/>
      <c r="U170" s="328"/>
      <c r="V170" s="150"/>
      <c r="W170" s="327"/>
      <c r="X170" s="320"/>
      <c r="Y170" s="201"/>
      <c r="Z170" s="201"/>
      <c r="AA170" s="201"/>
      <c r="AB170" s="17"/>
      <c r="AC170" s="17"/>
      <c r="AD170" s="17"/>
      <c r="AE170" s="17"/>
    </row>
    <row r="171">
      <c r="A171" s="150"/>
      <c r="B171" s="164"/>
      <c r="C171" s="320"/>
      <c r="D171" s="150"/>
      <c r="E171" s="164"/>
      <c r="F171" s="320"/>
      <c r="G171" s="150"/>
      <c r="H171" s="164"/>
      <c r="I171" s="320"/>
      <c r="J171" s="150"/>
      <c r="K171" s="164"/>
      <c r="L171" s="320"/>
      <c r="M171" s="326"/>
      <c r="N171" s="327"/>
      <c r="O171" s="328"/>
      <c r="P171" s="326"/>
      <c r="Q171" s="327"/>
      <c r="R171" s="328"/>
      <c r="S171" s="326"/>
      <c r="T171" s="327"/>
      <c r="U171" s="328"/>
      <c r="V171" s="150"/>
      <c r="W171" s="327"/>
      <c r="X171" s="320"/>
      <c r="Y171" s="201"/>
      <c r="Z171" s="201"/>
      <c r="AA171" s="201"/>
      <c r="AB171" s="17"/>
      <c r="AC171" s="17"/>
      <c r="AD171" s="17"/>
      <c r="AE171" s="17"/>
    </row>
    <row r="172">
      <c r="A172" s="150"/>
      <c r="B172" s="164"/>
      <c r="C172" s="320"/>
      <c r="D172" s="150"/>
      <c r="E172" s="164"/>
      <c r="F172" s="320"/>
      <c r="G172" s="150"/>
      <c r="H172" s="164"/>
      <c r="I172" s="320"/>
      <c r="J172" s="150"/>
      <c r="K172" s="164"/>
      <c r="L172" s="320"/>
      <c r="M172" s="326"/>
      <c r="N172" s="327"/>
      <c r="O172" s="328"/>
      <c r="P172" s="326"/>
      <c r="Q172" s="327"/>
      <c r="R172" s="328"/>
      <c r="S172" s="326"/>
      <c r="T172" s="327"/>
      <c r="U172" s="328"/>
      <c r="V172" s="150"/>
      <c r="W172" s="327"/>
      <c r="X172" s="320"/>
      <c r="Y172" s="201"/>
      <c r="Z172" s="201"/>
      <c r="AA172" s="201"/>
      <c r="AB172" s="17"/>
      <c r="AC172" s="17"/>
      <c r="AD172" s="17"/>
      <c r="AE172" s="17"/>
    </row>
    <row r="173">
      <c r="A173" s="150"/>
      <c r="B173" s="164"/>
      <c r="C173" s="320"/>
      <c r="D173" s="150"/>
      <c r="E173" s="164"/>
      <c r="F173" s="320"/>
      <c r="G173" s="150"/>
      <c r="H173" s="164"/>
      <c r="I173" s="320"/>
      <c r="J173" s="150"/>
      <c r="K173" s="164"/>
      <c r="L173" s="320"/>
      <c r="M173" s="326"/>
      <c r="N173" s="327"/>
      <c r="O173" s="328"/>
      <c r="P173" s="326"/>
      <c r="Q173" s="327"/>
      <c r="R173" s="328"/>
      <c r="S173" s="326"/>
      <c r="T173" s="327"/>
      <c r="U173" s="328"/>
      <c r="V173" s="150"/>
      <c r="W173" s="327"/>
      <c r="X173" s="320"/>
      <c r="Y173" s="201"/>
      <c r="Z173" s="201"/>
      <c r="AA173" s="201"/>
      <c r="AB173" s="17"/>
      <c r="AC173" s="17"/>
      <c r="AD173" s="17"/>
      <c r="AE173" s="17"/>
    </row>
    <row r="174">
      <c r="A174" s="150"/>
      <c r="B174" s="164"/>
      <c r="C174" s="320"/>
      <c r="D174" s="150"/>
      <c r="E174" s="164"/>
      <c r="F174" s="320"/>
      <c r="G174" s="150"/>
      <c r="H174" s="164"/>
      <c r="I174" s="320"/>
      <c r="J174" s="150"/>
      <c r="K174" s="164"/>
      <c r="L174" s="320"/>
      <c r="M174" s="326"/>
      <c r="N174" s="327"/>
      <c r="O174" s="328"/>
      <c r="P174" s="326"/>
      <c r="Q174" s="327"/>
      <c r="R174" s="328"/>
      <c r="S174" s="326"/>
      <c r="T174" s="327"/>
      <c r="U174" s="328"/>
      <c r="V174" s="150"/>
      <c r="W174" s="327"/>
      <c r="X174" s="320"/>
      <c r="Y174" s="201"/>
      <c r="Z174" s="201"/>
      <c r="AA174" s="201"/>
      <c r="AB174" s="17"/>
      <c r="AC174" s="17"/>
      <c r="AD174" s="17"/>
      <c r="AE174" s="17"/>
    </row>
    <row r="175">
      <c r="A175" s="150"/>
      <c r="B175" s="164"/>
      <c r="C175" s="320"/>
      <c r="D175" s="150"/>
      <c r="E175" s="164"/>
      <c r="F175" s="320"/>
      <c r="G175" s="150"/>
      <c r="H175" s="164"/>
      <c r="I175" s="320"/>
      <c r="J175" s="150"/>
      <c r="K175" s="164"/>
      <c r="L175" s="320"/>
      <c r="M175" s="326"/>
      <c r="N175" s="327"/>
      <c r="O175" s="328"/>
      <c r="P175" s="326"/>
      <c r="Q175" s="327"/>
      <c r="R175" s="328"/>
      <c r="S175" s="326"/>
      <c r="T175" s="327"/>
      <c r="U175" s="328"/>
      <c r="V175" s="150"/>
      <c r="W175" s="327"/>
      <c r="X175" s="320"/>
      <c r="Y175" s="201"/>
      <c r="Z175" s="201"/>
      <c r="AA175" s="201"/>
      <c r="AB175" s="17"/>
      <c r="AC175" s="17"/>
      <c r="AD175" s="17"/>
      <c r="AE175" s="17"/>
    </row>
    <row r="176">
      <c r="A176" s="150"/>
      <c r="B176" s="164"/>
      <c r="C176" s="320"/>
      <c r="D176" s="150"/>
      <c r="E176" s="164"/>
      <c r="F176" s="320"/>
      <c r="G176" s="150"/>
      <c r="H176" s="164"/>
      <c r="I176" s="320"/>
      <c r="J176" s="150"/>
      <c r="K176" s="164"/>
      <c r="L176" s="320"/>
      <c r="M176" s="326"/>
      <c r="N176" s="327"/>
      <c r="O176" s="328"/>
      <c r="P176" s="326"/>
      <c r="Q176" s="327"/>
      <c r="R176" s="328"/>
      <c r="S176" s="326"/>
      <c r="T176" s="327"/>
      <c r="U176" s="328"/>
      <c r="V176" s="150"/>
      <c r="W176" s="327"/>
      <c r="X176" s="320"/>
      <c r="Y176" s="201"/>
      <c r="Z176" s="201"/>
      <c r="AA176" s="201"/>
      <c r="AB176" s="17"/>
      <c r="AC176" s="17"/>
      <c r="AD176" s="17"/>
      <c r="AE176" s="17"/>
    </row>
    <row r="177">
      <c r="A177" s="150"/>
      <c r="B177" s="164"/>
      <c r="C177" s="320"/>
      <c r="D177" s="150"/>
      <c r="E177" s="164"/>
      <c r="F177" s="320"/>
      <c r="G177" s="150"/>
      <c r="H177" s="164"/>
      <c r="I177" s="320"/>
      <c r="J177" s="150"/>
      <c r="K177" s="164"/>
      <c r="L177" s="320"/>
      <c r="M177" s="326"/>
      <c r="N177" s="327"/>
      <c r="O177" s="328"/>
      <c r="P177" s="326"/>
      <c r="Q177" s="327"/>
      <c r="R177" s="328"/>
      <c r="S177" s="326"/>
      <c r="T177" s="327"/>
      <c r="U177" s="328"/>
      <c r="V177" s="150"/>
      <c r="W177" s="327"/>
      <c r="X177" s="320"/>
      <c r="Y177" s="201"/>
      <c r="Z177" s="201"/>
      <c r="AA177" s="201"/>
      <c r="AB177" s="17"/>
      <c r="AC177" s="17"/>
      <c r="AD177" s="17"/>
      <c r="AE177" s="17"/>
    </row>
    <row r="178">
      <c r="A178" s="150"/>
      <c r="B178" s="164"/>
      <c r="C178" s="320"/>
      <c r="D178" s="150"/>
      <c r="E178" s="164"/>
      <c r="F178" s="320"/>
      <c r="G178" s="150"/>
      <c r="H178" s="164"/>
      <c r="I178" s="320"/>
      <c r="J178" s="150"/>
      <c r="K178" s="164"/>
      <c r="L178" s="320"/>
      <c r="M178" s="326"/>
      <c r="N178" s="327"/>
      <c r="O178" s="328"/>
      <c r="P178" s="326"/>
      <c r="Q178" s="327"/>
      <c r="R178" s="328"/>
      <c r="S178" s="326"/>
      <c r="T178" s="327"/>
      <c r="U178" s="328"/>
      <c r="V178" s="150"/>
      <c r="W178" s="327"/>
      <c r="X178" s="320"/>
      <c r="Y178" s="201"/>
      <c r="Z178" s="201"/>
      <c r="AA178" s="201"/>
      <c r="AB178" s="17"/>
      <c r="AC178" s="17"/>
      <c r="AD178" s="17"/>
      <c r="AE178" s="17"/>
    </row>
    <row r="179">
      <c r="A179" s="150"/>
      <c r="B179" s="164"/>
      <c r="C179" s="320"/>
      <c r="D179" s="150"/>
      <c r="E179" s="164"/>
      <c r="F179" s="320"/>
      <c r="G179" s="150"/>
      <c r="H179" s="164"/>
      <c r="I179" s="320"/>
      <c r="J179" s="150"/>
      <c r="K179" s="164"/>
      <c r="L179" s="320"/>
      <c r="M179" s="326"/>
      <c r="N179" s="327"/>
      <c r="O179" s="328"/>
      <c r="P179" s="326"/>
      <c r="Q179" s="327"/>
      <c r="R179" s="328"/>
      <c r="S179" s="326"/>
      <c r="T179" s="327"/>
      <c r="U179" s="328"/>
      <c r="V179" s="150"/>
      <c r="W179" s="327"/>
      <c r="X179" s="320"/>
      <c r="Y179" s="201"/>
      <c r="Z179" s="201"/>
      <c r="AA179" s="201"/>
      <c r="AB179" s="17"/>
      <c r="AC179" s="17"/>
      <c r="AD179" s="17"/>
      <c r="AE179" s="17"/>
    </row>
    <row r="180">
      <c r="A180" s="150"/>
      <c r="B180" s="164"/>
      <c r="C180" s="320"/>
      <c r="D180" s="150"/>
      <c r="E180" s="164"/>
      <c r="F180" s="320"/>
      <c r="G180" s="150"/>
      <c r="H180" s="164"/>
      <c r="I180" s="320"/>
      <c r="J180" s="150"/>
      <c r="K180" s="164"/>
      <c r="L180" s="320"/>
      <c r="M180" s="326"/>
      <c r="N180" s="327"/>
      <c r="O180" s="328"/>
      <c r="P180" s="326"/>
      <c r="Q180" s="327"/>
      <c r="R180" s="328"/>
      <c r="S180" s="326"/>
      <c r="T180" s="327"/>
      <c r="U180" s="328"/>
      <c r="V180" s="150"/>
      <c r="W180" s="327"/>
      <c r="X180" s="320"/>
      <c r="Y180" s="201"/>
      <c r="Z180" s="201"/>
      <c r="AA180" s="201"/>
      <c r="AB180" s="17"/>
      <c r="AC180" s="17"/>
      <c r="AD180" s="17"/>
      <c r="AE180" s="17"/>
    </row>
    <row r="181">
      <c r="A181" s="150"/>
      <c r="B181" s="164"/>
      <c r="C181" s="320"/>
      <c r="D181" s="150"/>
      <c r="E181" s="164"/>
      <c r="F181" s="320"/>
      <c r="G181" s="150"/>
      <c r="H181" s="164"/>
      <c r="I181" s="320"/>
      <c r="J181" s="150"/>
      <c r="K181" s="164"/>
      <c r="L181" s="320"/>
      <c r="M181" s="326"/>
      <c r="N181" s="327"/>
      <c r="O181" s="328"/>
      <c r="P181" s="326"/>
      <c r="Q181" s="327"/>
      <c r="R181" s="328"/>
      <c r="S181" s="326"/>
      <c r="T181" s="327"/>
      <c r="U181" s="328"/>
      <c r="V181" s="150"/>
      <c r="W181" s="327"/>
      <c r="X181" s="320"/>
      <c r="Y181" s="201"/>
      <c r="Z181" s="201"/>
      <c r="AA181" s="201"/>
      <c r="AB181" s="17"/>
      <c r="AC181" s="17"/>
      <c r="AD181" s="17"/>
      <c r="AE181" s="17"/>
    </row>
    <row r="182">
      <c r="A182" s="150"/>
      <c r="B182" s="164"/>
      <c r="C182" s="320"/>
      <c r="D182" s="150"/>
      <c r="E182" s="164"/>
      <c r="F182" s="320"/>
      <c r="G182" s="150"/>
      <c r="H182" s="164"/>
      <c r="I182" s="320"/>
      <c r="J182" s="150"/>
      <c r="K182" s="164"/>
      <c r="L182" s="320"/>
      <c r="M182" s="326"/>
      <c r="N182" s="327"/>
      <c r="O182" s="328"/>
      <c r="P182" s="326"/>
      <c r="Q182" s="327"/>
      <c r="R182" s="328"/>
      <c r="S182" s="326"/>
      <c r="T182" s="327"/>
      <c r="U182" s="328"/>
      <c r="V182" s="150"/>
      <c r="W182" s="327"/>
      <c r="X182" s="320"/>
      <c r="Y182" s="201"/>
      <c r="Z182" s="201"/>
      <c r="AA182" s="201"/>
      <c r="AB182" s="17"/>
      <c r="AC182" s="17"/>
      <c r="AD182" s="17"/>
      <c r="AE182" s="17"/>
    </row>
    <row r="183">
      <c r="A183" s="150"/>
      <c r="B183" s="164"/>
      <c r="C183" s="320"/>
      <c r="D183" s="150"/>
      <c r="E183" s="164"/>
      <c r="F183" s="320"/>
      <c r="G183" s="150"/>
      <c r="H183" s="164"/>
      <c r="I183" s="320"/>
      <c r="J183" s="150"/>
      <c r="K183" s="164"/>
      <c r="L183" s="320"/>
      <c r="M183" s="326"/>
      <c r="N183" s="327"/>
      <c r="O183" s="328"/>
      <c r="P183" s="326"/>
      <c r="Q183" s="327"/>
      <c r="R183" s="328"/>
      <c r="S183" s="326"/>
      <c r="T183" s="327"/>
      <c r="U183" s="328"/>
      <c r="V183" s="150"/>
      <c r="W183" s="327"/>
      <c r="X183" s="320"/>
      <c r="Y183" s="201"/>
      <c r="Z183" s="201"/>
      <c r="AA183" s="201"/>
      <c r="AB183" s="17"/>
      <c r="AC183" s="17"/>
      <c r="AD183" s="17"/>
      <c r="AE183" s="17"/>
    </row>
    <row r="184">
      <c r="A184" s="150"/>
      <c r="B184" s="164"/>
      <c r="C184" s="320"/>
      <c r="D184" s="150"/>
      <c r="E184" s="164"/>
      <c r="F184" s="320"/>
      <c r="G184" s="150"/>
      <c r="H184" s="164"/>
      <c r="I184" s="320"/>
      <c r="J184" s="150"/>
      <c r="K184" s="164"/>
      <c r="L184" s="320"/>
      <c r="M184" s="326"/>
      <c r="N184" s="327"/>
      <c r="O184" s="328"/>
      <c r="P184" s="326"/>
      <c r="Q184" s="327"/>
      <c r="R184" s="328"/>
      <c r="S184" s="326"/>
      <c r="T184" s="327"/>
      <c r="U184" s="328"/>
      <c r="V184" s="150"/>
      <c r="W184" s="327"/>
      <c r="X184" s="320"/>
      <c r="Y184" s="201"/>
      <c r="Z184" s="201"/>
      <c r="AA184" s="201"/>
      <c r="AB184" s="17"/>
      <c r="AC184" s="17"/>
      <c r="AD184" s="17"/>
      <c r="AE184" s="17"/>
    </row>
    <row r="185">
      <c r="A185" s="150"/>
      <c r="B185" s="164"/>
      <c r="C185" s="320"/>
      <c r="D185" s="150"/>
      <c r="E185" s="164"/>
      <c r="F185" s="320"/>
      <c r="G185" s="150"/>
      <c r="H185" s="164"/>
      <c r="I185" s="320"/>
      <c r="J185" s="150"/>
      <c r="K185" s="164"/>
      <c r="L185" s="320"/>
      <c r="M185" s="326"/>
      <c r="N185" s="327"/>
      <c r="O185" s="328"/>
      <c r="P185" s="326"/>
      <c r="Q185" s="327"/>
      <c r="R185" s="328"/>
      <c r="S185" s="326"/>
      <c r="T185" s="327"/>
      <c r="U185" s="328"/>
      <c r="V185" s="150"/>
      <c r="W185" s="327"/>
      <c r="X185" s="320"/>
      <c r="Y185" s="201"/>
      <c r="Z185" s="201"/>
      <c r="AA185" s="201"/>
      <c r="AB185" s="17"/>
      <c r="AC185" s="17"/>
      <c r="AD185" s="17"/>
      <c r="AE185" s="17"/>
    </row>
    <row r="186">
      <c r="A186" s="150"/>
      <c r="B186" s="164"/>
      <c r="C186" s="320"/>
      <c r="D186" s="150"/>
      <c r="E186" s="164"/>
      <c r="F186" s="320"/>
      <c r="G186" s="150"/>
      <c r="H186" s="164"/>
      <c r="I186" s="320"/>
      <c r="J186" s="150"/>
      <c r="K186" s="164"/>
      <c r="L186" s="320"/>
      <c r="M186" s="326"/>
      <c r="N186" s="327"/>
      <c r="O186" s="328"/>
      <c r="P186" s="326"/>
      <c r="Q186" s="327"/>
      <c r="R186" s="328"/>
      <c r="S186" s="326"/>
      <c r="T186" s="327"/>
      <c r="U186" s="328"/>
      <c r="V186" s="150"/>
      <c r="W186" s="327"/>
      <c r="X186" s="320"/>
      <c r="Y186" s="201"/>
      <c r="Z186" s="201"/>
      <c r="AA186" s="201"/>
      <c r="AB186" s="17"/>
      <c r="AC186" s="17"/>
      <c r="AD186" s="17"/>
      <c r="AE186" s="17"/>
    </row>
    <row r="187">
      <c r="A187" s="150"/>
      <c r="B187" s="164"/>
      <c r="C187" s="320"/>
      <c r="D187" s="150"/>
      <c r="E187" s="164"/>
      <c r="F187" s="320"/>
      <c r="G187" s="150"/>
      <c r="H187" s="164"/>
      <c r="I187" s="320"/>
      <c r="J187" s="150"/>
      <c r="K187" s="164"/>
      <c r="L187" s="320"/>
      <c r="M187" s="326"/>
      <c r="N187" s="327"/>
      <c r="O187" s="328"/>
      <c r="P187" s="326"/>
      <c r="Q187" s="327"/>
      <c r="R187" s="328"/>
      <c r="S187" s="326"/>
      <c r="T187" s="327"/>
      <c r="U187" s="328"/>
      <c r="V187" s="150"/>
      <c r="W187" s="327"/>
      <c r="X187" s="320"/>
      <c r="Y187" s="201"/>
      <c r="Z187" s="201"/>
      <c r="AA187" s="201"/>
      <c r="AB187" s="17"/>
      <c r="AC187" s="17"/>
      <c r="AD187" s="17"/>
      <c r="AE187" s="17"/>
    </row>
    <row r="188">
      <c r="A188" s="150"/>
      <c r="B188" s="164"/>
      <c r="C188" s="320"/>
      <c r="D188" s="150"/>
      <c r="E188" s="164"/>
      <c r="F188" s="320"/>
      <c r="G188" s="150"/>
      <c r="H188" s="164"/>
      <c r="I188" s="320"/>
      <c r="J188" s="150"/>
      <c r="K188" s="164"/>
      <c r="L188" s="320"/>
      <c r="M188" s="326"/>
      <c r="N188" s="327"/>
      <c r="O188" s="328"/>
      <c r="P188" s="326"/>
      <c r="Q188" s="327"/>
      <c r="R188" s="328"/>
      <c r="S188" s="326"/>
      <c r="T188" s="327"/>
      <c r="U188" s="328"/>
      <c r="V188" s="150"/>
      <c r="W188" s="327"/>
      <c r="X188" s="320"/>
      <c r="Y188" s="201"/>
      <c r="Z188" s="201"/>
      <c r="AA188" s="201"/>
      <c r="AB188" s="17"/>
      <c r="AC188" s="17"/>
      <c r="AD188" s="17"/>
      <c r="AE188" s="17"/>
    </row>
    <row r="189">
      <c r="A189" s="150"/>
      <c r="B189" s="164"/>
      <c r="C189" s="320"/>
      <c r="D189" s="150"/>
      <c r="E189" s="164"/>
      <c r="F189" s="320"/>
      <c r="G189" s="150"/>
      <c r="H189" s="164"/>
      <c r="I189" s="320"/>
      <c r="J189" s="150"/>
      <c r="K189" s="164"/>
      <c r="L189" s="320"/>
      <c r="M189" s="326"/>
      <c r="N189" s="327"/>
      <c r="O189" s="328"/>
      <c r="P189" s="326"/>
      <c r="Q189" s="327"/>
      <c r="R189" s="328"/>
      <c r="S189" s="326"/>
      <c r="T189" s="327"/>
      <c r="U189" s="328"/>
      <c r="V189" s="150"/>
      <c r="W189" s="327"/>
      <c r="X189" s="320"/>
      <c r="Y189" s="201"/>
      <c r="Z189" s="201"/>
      <c r="AA189" s="201"/>
      <c r="AB189" s="17"/>
      <c r="AC189" s="17"/>
      <c r="AD189" s="17"/>
      <c r="AE189" s="17"/>
    </row>
    <row r="190">
      <c r="A190" s="150"/>
      <c r="B190" s="164"/>
      <c r="C190" s="320"/>
      <c r="D190" s="150"/>
      <c r="E190" s="164"/>
      <c r="F190" s="320"/>
      <c r="G190" s="150"/>
      <c r="H190" s="164"/>
      <c r="I190" s="320"/>
      <c r="J190" s="150"/>
      <c r="K190" s="164"/>
      <c r="L190" s="320"/>
      <c r="M190" s="326"/>
      <c r="N190" s="327"/>
      <c r="O190" s="328"/>
      <c r="P190" s="326"/>
      <c r="Q190" s="327"/>
      <c r="R190" s="328"/>
      <c r="S190" s="326"/>
      <c r="T190" s="327"/>
      <c r="U190" s="328"/>
      <c r="V190" s="150"/>
      <c r="W190" s="327"/>
      <c r="X190" s="320"/>
      <c r="Y190" s="201"/>
      <c r="Z190" s="201"/>
      <c r="AA190" s="201"/>
      <c r="AB190" s="17"/>
      <c r="AC190" s="17"/>
      <c r="AD190" s="17"/>
      <c r="AE190" s="17"/>
    </row>
    <row r="191">
      <c r="A191" s="150"/>
      <c r="B191" s="164"/>
      <c r="C191" s="320"/>
      <c r="D191" s="150"/>
      <c r="E191" s="164"/>
      <c r="F191" s="320"/>
      <c r="G191" s="150"/>
      <c r="H191" s="164"/>
      <c r="I191" s="320"/>
      <c r="J191" s="150"/>
      <c r="K191" s="164"/>
      <c r="L191" s="320"/>
      <c r="M191" s="326"/>
      <c r="N191" s="327"/>
      <c r="O191" s="328"/>
      <c r="P191" s="326"/>
      <c r="Q191" s="327"/>
      <c r="R191" s="328"/>
      <c r="S191" s="326"/>
      <c r="T191" s="327"/>
      <c r="U191" s="328"/>
      <c r="V191" s="150"/>
      <c r="W191" s="327"/>
      <c r="X191" s="320"/>
      <c r="Y191" s="201"/>
      <c r="Z191" s="201"/>
      <c r="AA191" s="201"/>
      <c r="AB191" s="17"/>
      <c r="AC191" s="17"/>
      <c r="AD191" s="17"/>
      <c r="AE191" s="17"/>
    </row>
    <row r="192">
      <c r="A192" s="150"/>
      <c r="B192" s="164"/>
      <c r="C192" s="320"/>
      <c r="D192" s="150"/>
      <c r="E192" s="164"/>
      <c r="F192" s="320"/>
      <c r="G192" s="150"/>
      <c r="H192" s="164"/>
      <c r="I192" s="320"/>
      <c r="J192" s="150"/>
      <c r="K192" s="164"/>
      <c r="L192" s="320"/>
      <c r="M192" s="326"/>
      <c r="N192" s="327"/>
      <c r="O192" s="328"/>
      <c r="P192" s="326"/>
      <c r="Q192" s="327"/>
      <c r="R192" s="328"/>
      <c r="S192" s="326"/>
      <c r="T192" s="327"/>
      <c r="U192" s="328"/>
      <c r="V192" s="150"/>
      <c r="W192" s="327"/>
      <c r="X192" s="320"/>
      <c r="Y192" s="201"/>
      <c r="Z192" s="201"/>
      <c r="AA192" s="201"/>
      <c r="AB192" s="17"/>
      <c r="AC192" s="17"/>
      <c r="AD192" s="17"/>
      <c r="AE192" s="17"/>
    </row>
    <row r="193">
      <c r="A193" s="150"/>
      <c r="B193" s="164"/>
      <c r="C193" s="320"/>
      <c r="D193" s="150"/>
      <c r="E193" s="164"/>
      <c r="F193" s="320"/>
      <c r="G193" s="150"/>
      <c r="H193" s="164"/>
      <c r="I193" s="320"/>
      <c r="J193" s="150"/>
      <c r="K193" s="164"/>
      <c r="L193" s="320"/>
      <c r="M193" s="326"/>
      <c r="N193" s="327"/>
      <c r="O193" s="328"/>
      <c r="P193" s="326"/>
      <c r="Q193" s="327"/>
      <c r="R193" s="328"/>
      <c r="S193" s="326"/>
      <c r="T193" s="327"/>
      <c r="U193" s="328"/>
      <c r="V193" s="150"/>
      <c r="W193" s="327"/>
      <c r="X193" s="320"/>
      <c r="Y193" s="201"/>
      <c r="Z193" s="201"/>
      <c r="AA193" s="201"/>
      <c r="AB193" s="17"/>
      <c r="AC193" s="17"/>
      <c r="AD193" s="17"/>
      <c r="AE193" s="17"/>
    </row>
    <row r="194">
      <c r="A194" s="150"/>
      <c r="B194" s="164"/>
      <c r="C194" s="320"/>
      <c r="D194" s="150"/>
      <c r="E194" s="164"/>
      <c r="F194" s="320"/>
      <c r="G194" s="150"/>
      <c r="H194" s="164"/>
      <c r="I194" s="320"/>
      <c r="J194" s="150"/>
      <c r="K194" s="164"/>
      <c r="L194" s="320"/>
      <c r="M194" s="326"/>
      <c r="N194" s="327"/>
      <c r="O194" s="328"/>
      <c r="P194" s="326"/>
      <c r="Q194" s="327"/>
      <c r="R194" s="328"/>
      <c r="S194" s="326"/>
      <c r="T194" s="327"/>
      <c r="U194" s="328"/>
      <c r="V194" s="150"/>
      <c r="W194" s="327"/>
      <c r="X194" s="320"/>
      <c r="Y194" s="201"/>
      <c r="Z194" s="201"/>
      <c r="AA194" s="201"/>
      <c r="AB194" s="17"/>
      <c r="AC194" s="17"/>
      <c r="AD194" s="17"/>
      <c r="AE194" s="17"/>
    </row>
    <row r="195">
      <c r="A195" s="150"/>
      <c r="B195" s="164"/>
      <c r="C195" s="320"/>
      <c r="D195" s="150"/>
      <c r="E195" s="164"/>
      <c r="F195" s="320"/>
      <c r="G195" s="150"/>
      <c r="H195" s="164"/>
      <c r="I195" s="320"/>
      <c r="J195" s="150"/>
      <c r="K195" s="164"/>
      <c r="L195" s="320"/>
      <c r="M195" s="326"/>
      <c r="N195" s="327"/>
      <c r="O195" s="328"/>
      <c r="P195" s="326"/>
      <c r="Q195" s="327"/>
      <c r="R195" s="328"/>
      <c r="S195" s="326"/>
      <c r="T195" s="327"/>
      <c r="U195" s="328"/>
      <c r="V195" s="150"/>
      <c r="W195" s="327"/>
      <c r="X195" s="320"/>
      <c r="Y195" s="201"/>
      <c r="Z195" s="201"/>
      <c r="AA195" s="201"/>
      <c r="AB195" s="17"/>
      <c r="AC195" s="17"/>
      <c r="AD195" s="17"/>
      <c r="AE195" s="17"/>
    </row>
    <row r="196">
      <c r="A196" s="150"/>
      <c r="B196" s="164"/>
      <c r="C196" s="320"/>
      <c r="D196" s="150"/>
      <c r="E196" s="164"/>
      <c r="F196" s="320"/>
      <c r="G196" s="150"/>
      <c r="H196" s="164"/>
      <c r="I196" s="320"/>
      <c r="J196" s="150"/>
      <c r="K196" s="164"/>
      <c r="L196" s="320"/>
      <c r="M196" s="326"/>
      <c r="N196" s="327"/>
      <c r="O196" s="328"/>
      <c r="P196" s="326"/>
      <c r="Q196" s="327"/>
      <c r="R196" s="328"/>
      <c r="S196" s="326"/>
      <c r="T196" s="327"/>
      <c r="U196" s="328"/>
      <c r="V196" s="150"/>
      <c r="W196" s="327"/>
      <c r="X196" s="320"/>
      <c r="Y196" s="201"/>
      <c r="Z196" s="201"/>
      <c r="AA196" s="201"/>
      <c r="AB196" s="17"/>
      <c r="AC196" s="17"/>
      <c r="AD196" s="17"/>
      <c r="AE196" s="17"/>
    </row>
    <row r="197">
      <c r="A197" s="150"/>
      <c r="B197" s="164"/>
      <c r="C197" s="320"/>
      <c r="D197" s="150"/>
      <c r="E197" s="164"/>
      <c r="F197" s="320"/>
      <c r="G197" s="150"/>
      <c r="H197" s="164"/>
      <c r="I197" s="320"/>
      <c r="J197" s="150"/>
      <c r="K197" s="164"/>
      <c r="L197" s="320"/>
      <c r="M197" s="326"/>
      <c r="N197" s="327"/>
      <c r="O197" s="328"/>
      <c r="P197" s="326"/>
      <c r="Q197" s="327"/>
      <c r="R197" s="328"/>
      <c r="S197" s="326"/>
      <c r="T197" s="327"/>
      <c r="U197" s="328"/>
      <c r="V197" s="150"/>
      <c r="W197" s="327"/>
      <c r="X197" s="320"/>
      <c r="Y197" s="201"/>
      <c r="Z197" s="201"/>
      <c r="AA197" s="201"/>
      <c r="AB197" s="17"/>
      <c r="AC197" s="17"/>
      <c r="AD197" s="17"/>
      <c r="AE197" s="17"/>
    </row>
    <row r="198">
      <c r="A198" s="150"/>
      <c r="B198" s="164"/>
      <c r="C198" s="320"/>
      <c r="D198" s="150"/>
      <c r="E198" s="164"/>
      <c r="F198" s="320"/>
      <c r="G198" s="150"/>
      <c r="H198" s="164"/>
      <c r="I198" s="320"/>
      <c r="J198" s="150"/>
      <c r="K198" s="164"/>
      <c r="L198" s="320"/>
      <c r="M198" s="326"/>
      <c r="N198" s="327"/>
      <c r="O198" s="328"/>
      <c r="P198" s="326"/>
      <c r="Q198" s="327"/>
      <c r="R198" s="328"/>
      <c r="S198" s="326"/>
      <c r="T198" s="327"/>
      <c r="U198" s="328"/>
      <c r="V198" s="150"/>
      <c r="W198" s="327"/>
      <c r="X198" s="320"/>
      <c r="Y198" s="201"/>
      <c r="Z198" s="201"/>
      <c r="AA198" s="201"/>
      <c r="AB198" s="17"/>
      <c r="AC198" s="17"/>
      <c r="AD198" s="17"/>
      <c r="AE198" s="17"/>
    </row>
    <row r="199">
      <c r="A199" s="150"/>
      <c r="B199" s="164"/>
      <c r="C199" s="320"/>
      <c r="D199" s="150"/>
      <c r="E199" s="164"/>
      <c r="F199" s="320"/>
      <c r="G199" s="150"/>
      <c r="H199" s="164"/>
      <c r="I199" s="320"/>
      <c r="J199" s="150"/>
      <c r="K199" s="164"/>
      <c r="L199" s="320"/>
      <c r="M199" s="326"/>
      <c r="N199" s="327"/>
      <c r="O199" s="328"/>
      <c r="P199" s="326"/>
      <c r="Q199" s="327"/>
      <c r="R199" s="328"/>
      <c r="S199" s="326"/>
      <c r="T199" s="327"/>
      <c r="U199" s="328"/>
      <c r="V199" s="150"/>
      <c r="W199" s="327"/>
      <c r="X199" s="320"/>
      <c r="Y199" s="201"/>
      <c r="Z199" s="201"/>
      <c r="AA199" s="201"/>
      <c r="AB199" s="17"/>
      <c r="AC199" s="17"/>
      <c r="AD199" s="17"/>
      <c r="AE199" s="17"/>
    </row>
    <row r="200">
      <c r="A200" s="150"/>
      <c r="B200" s="164"/>
      <c r="C200" s="320"/>
      <c r="D200" s="150"/>
      <c r="E200" s="164"/>
      <c r="F200" s="320"/>
      <c r="G200" s="150"/>
      <c r="H200" s="164"/>
      <c r="I200" s="320"/>
      <c r="J200" s="150"/>
      <c r="K200" s="164"/>
      <c r="L200" s="320"/>
      <c r="M200" s="326"/>
      <c r="N200" s="327"/>
      <c r="O200" s="328"/>
      <c r="P200" s="326"/>
      <c r="Q200" s="327"/>
      <c r="R200" s="328"/>
      <c r="S200" s="326"/>
      <c r="T200" s="327"/>
      <c r="U200" s="328"/>
      <c r="V200" s="150"/>
      <c r="W200" s="327"/>
      <c r="X200" s="320"/>
      <c r="Y200" s="201"/>
      <c r="Z200" s="201"/>
      <c r="AA200" s="201"/>
      <c r="AB200" s="17"/>
      <c r="AC200" s="17"/>
      <c r="AD200" s="17"/>
      <c r="AE200" s="17"/>
    </row>
    <row r="201">
      <c r="A201" s="150"/>
      <c r="B201" s="164"/>
      <c r="C201" s="320"/>
      <c r="D201" s="150"/>
      <c r="E201" s="164"/>
      <c r="F201" s="320"/>
      <c r="G201" s="150"/>
      <c r="H201" s="164"/>
      <c r="I201" s="320"/>
      <c r="J201" s="150"/>
      <c r="K201" s="164"/>
      <c r="L201" s="320"/>
      <c r="M201" s="326"/>
      <c r="N201" s="327"/>
      <c r="O201" s="328"/>
      <c r="P201" s="326"/>
      <c r="Q201" s="327"/>
      <c r="R201" s="328"/>
      <c r="S201" s="326"/>
      <c r="T201" s="327"/>
      <c r="U201" s="328"/>
      <c r="V201" s="150"/>
      <c r="W201" s="327"/>
      <c r="X201" s="320"/>
      <c r="Y201" s="201"/>
      <c r="Z201" s="201"/>
      <c r="AA201" s="201"/>
      <c r="AB201" s="17"/>
      <c r="AC201" s="17"/>
      <c r="AD201" s="17"/>
      <c r="AE201" s="17"/>
    </row>
    <row r="202">
      <c r="A202" s="150"/>
      <c r="B202" s="164"/>
      <c r="C202" s="320"/>
      <c r="D202" s="150"/>
      <c r="E202" s="164"/>
      <c r="F202" s="320"/>
      <c r="G202" s="150"/>
      <c r="H202" s="164"/>
      <c r="I202" s="320"/>
      <c r="J202" s="150"/>
      <c r="K202" s="164"/>
      <c r="L202" s="320"/>
      <c r="M202" s="326"/>
      <c r="N202" s="327"/>
      <c r="O202" s="328"/>
      <c r="P202" s="326"/>
      <c r="Q202" s="327"/>
      <c r="R202" s="328"/>
      <c r="S202" s="326"/>
      <c r="T202" s="327"/>
      <c r="U202" s="328"/>
      <c r="V202" s="150"/>
      <c r="W202" s="327"/>
      <c r="X202" s="320"/>
      <c r="Y202" s="201"/>
      <c r="Z202" s="201"/>
      <c r="AA202" s="201"/>
      <c r="AB202" s="17"/>
      <c r="AC202" s="17"/>
      <c r="AD202" s="17"/>
      <c r="AE202" s="17"/>
    </row>
    <row r="203">
      <c r="A203" s="150"/>
      <c r="B203" s="164"/>
      <c r="C203" s="320"/>
      <c r="D203" s="150"/>
      <c r="E203" s="164"/>
      <c r="F203" s="320"/>
      <c r="G203" s="150"/>
      <c r="H203" s="164"/>
      <c r="I203" s="320"/>
      <c r="J203" s="150"/>
      <c r="K203" s="164"/>
      <c r="L203" s="320"/>
      <c r="M203" s="326"/>
      <c r="N203" s="327"/>
      <c r="O203" s="328"/>
      <c r="P203" s="326"/>
      <c r="Q203" s="327"/>
      <c r="R203" s="328"/>
      <c r="S203" s="326"/>
      <c r="T203" s="327"/>
      <c r="U203" s="328"/>
      <c r="V203" s="150"/>
      <c r="W203" s="327"/>
      <c r="X203" s="320"/>
      <c r="Y203" s="201"/>
      <c r="Z203" s="201"/>
      <c r="AA203" s="201"/>
      <c r="AB203" s="17"/>
      <c r="AC203" s="17"/>
      <c r="AD203" s="17"/>
      <c r="AE203" s="17"/>
    </row>
    <row r="204">
      <c r="A204" s="150"/>
      <c r="B204" s="164"/>
      <c r="C204" s="320"/>
      <c r="D204" s="150"/>
      <c r="E204" s="164"/>
      <c r="F204" s="320"/>
      <c r="G204" s="150"/>
      <c r="H204" s="164"/>
      <c r="I204" s="320"/>
      <c r="J204" s="150"/>
      <c r="K204" s="164"/>
      <c r="L204" s="320"/>
      <c r="M204" s="326"/>
      <c r="N204" s="327"/>
      <c r="O204" s="328"/>
      <c r="P204" s="326"/>
      <c r="Q204" s="327"/>
      <c r="R204" s="328"/>
      <c r="S204" s="326"/>
      <c r="T204" s="327"/>
      <c r="U204" s="328"/>
      <c r="V204" s="150"/>
      <c r="W204" s="327"/>
      <c r="X204" s="320"/>
      <c r="Y204" s="201"/>
      <c r="Z204" s="201"/>
      <c r="AA204" s="201"/>
      <c r="AB204" s="17"/>
      <c r="AC204" s="17"/>
      <c r="AD204" s="17"/>
      <c r="AE204" s="17"/>
    </row>
    <row r="205">
      <c r="A205" s="150"/>
      <c r="B205" s="164"/>
      <c r="C205" s="320"/>
      <c r="D205" s="150"/>
      <c r="E205" s="164"/>
      <c r="F205" s="320"/>
      <c r="G205" s="150"/>
      <c r="H205" s="164"/>
      <c r="I205" s="320"/>
      <c r="J205" s="150"/>
      <c r="K205" s="164"/>
      <c r="L205" s="320"/>
      <c r="M205" s="326"/>
      <c r="N205" s="327"/>
      <c r="O205" s="328"/>
      <c r="P205" s="326"/>
      <c r="Q205" s="327"/>
      <c r="R205" s="328"/>
      <c r="S205" s="326"/>
      <c r="T205" s="327"/>
      <c r="U205" s="328"/>
      <c r="V205" s="150"/>
      <c r="W205" s="327"/>
      <c r="X205" s="320"/>
      <c r="Y205" s="201"/>
      <c r="Z205" s="201"/>
      <c r="AA205" s="201"/>
      <c r="AB205" s="17"/>
      <c r="AC205" s="17"/>
      <c r="AD205" s="17"/>
      <c r="AE205" s="17"/>
    </row>
    <row r="206">
      <c r="A206" s="150"/>
      <c r="B206" s="164"/>
      <c r="C206" s="320"/>
      <c r="D206" s="150"/>
      <c r="E206" s="164"/>
      <c r="F206" s="320"/>
      <c r="G206" s="150"/>
      <c r="H206" s="164"/>
      <c r="I206" s="320"/>
      <c r="J206" s="150"/>
      <c r="K206" s="164"/>
      <c r="L206" s="320"/>
      <c r="M206" s="326"/>
      <c r="N206" s="327"/>
      <c r="O206" s="328"/>
      <c r="P206" s="326"/>
      <c r="Q206" s="327"/>
      <c r="R206" s="328"/>
      <c r="S206" s="326"/>
      <c r="T206" s="327"/>
      <c r="U206" s="328"/>
      <c r="V206" s="150"/>
      <c r="W206" s="327"/>
      <c r="X206" s="320"/>
      <c r="Y206" s="201"/>
      <c r="Z206" s="201"/>
      <c r="AA206" s="201"/>
      <c r="AB206" s="17"/>
      <c r="AC206" s="17"/>
      <c r="AD206" s="17"/>
      <c r="AE206" s="17"/>
    </row>
    <row r="207">
      <c r="A207" s="150"/>
      <c r="B207" s="164"/>
      <c r="C207" s="320"/>
      <c r="D207" s="150"/>
      <c r="E207" s="164"/>
      <c r="F207" s="320"/>
      <c r="G207" s="150"/>
      <c r="H207" s="164"/>
      <c r="I207" s="320"/>
      <c r="J207" s="150"/>
      <c r="K207" s="164"/>
      <c r="L207" s="320"/>
      <c r="M207" s="326"/>
      <c r="N207" s="327"/>
      <c r="O207" s="328"/>
      <c r="P207" s="326"/>
      <c r="Q207" s="327"/>
      <c r="R207" s="328"/>
      <c r="S207" s="326"/>
      <c r="T207" s="327"/>
      <c r="U207" s="328"/>
      <c r="V207" s="150"/>
      <c r="W207" s="327"/>
      <c r="X207" s="320"/>
      <c r="Y207" s="201"/>
      <c r="Z207" s="201"/>
      <c r="AA207" s="201"/>
      <c r="AB207" s="17"/>
      <c r="AC207" s="17"/>
      <c r="AD207" s="17"/>
      <c r="AE207" s="17"/>
    </row>
    <row r="208">
      <c r="A208" s="150"/>
      <c r="B208" s="164"/>
      <c r="C208" s="320"/>
      <c r="D208" s="150"/>
      <c r="E208" s="164"/>
      <c r="F208" s="320"/>
      <c r="G208" s="150"/>
      <c r="H208" s="164"/>
      <c r="I208" s="320"/>
      <c r="J208" s="150"/>
      <c r="K208" s="164"/>
      <c r="L208" s="320"/>
      <c r="M208" s="326"/>
      <c r="N208" s="327"/>
      <c r="O208" s="328"/>
      <c r="P208" s="326"/>
      <c r="Q208" s="327"/>
      <c r="R208" s="328"/>
      <c r="S208" s="326"/>
      <c r="T208" s="327"/>
      <c r="U208" s="328"/>
      <c r="V208" s="150"/>
      <c r="W208" s="327"/>
      <c r="X208" s="320"/>
      <c r="Y208" s="201"/>
      <c r="Z208" s="201"/>
      <c r="AA208" s="201"/>
      <c r="AB208" s="17"/>
      <c r="AC208" s="17"/>
      <c r="AD208" s="17"/>
      <c r="AE208" s="17"/>
    </row>
    <row r="209">
      <c r="A209" s="150"/>
      <c r="B209" s="164"/>
      <c r="C209" s="320"/>
      <c r="D209" s="150"/>
      <c r="E209" s="164"/>
      <c r="F209" s="320"/>
      <c r="G209" s="150"/>
      <c r="H209" s="164"/>
      <c r="I209" s="320"/>
      <c r="J209" s="150"/>
      <c r="K209" s="164"/>
      <c r="L209" s="320"/>
      <c r="M209" s="326"/>
      <c r="N209" s="327"/>
      <c r="O209" s="328"/>
      <c r="P209" s="326"/>
      <c r="Q209" s="327"/>
      <c r="R209" s="328"/>
      <c r="S209" s="326"/>
      <c r="T209" s="327"/>
      <c r="U209" s="328"/>
      <c r="V209" s="150"/>
      <c r="W209" s="327"/>
      <c r="X209" s="320"/>
      <c r="Y209" s="201"/>
      <c r="Z209" s="201"/>
      <c r="AA209" s="201"/>
      <c r="AB209" s="17"/>
      <c r="AC209" s="17"/>
      <c r="AD209" s="17"/>
      <c r="AE209" s="17"/>
    </row>
    <row r="210">
      <c r="A210" s="150"/>
      <c r="B210" s="164"/>
      <c r="C210" s="320"/>
      <c r="D210" s="150"/>
      <c r="E210" s="164"/>
      <c r="F210" s="320"/>
      <c r="G210" s="150"/>
      <c r="H210" s="164"/>
      <c r="I210" s="320"/>
      <c r="J210" s="150"/>
      <c r="K210" s="164"/>
      <c r="L210" s="320"/>
      <c r="M210" s="326"/>
      <c r="N210" s="327"/>
      <c r="O210" s="328"/>
      <c r="P210" s="326"/>
      <c r="Q210" s="327"/>
      <c r="R210" s="328"/>
      <c r="S210" s="326"/>
      <c r="T210" s="327"/>
      <c r="U210" s="328"/>
      <c r="V210" s="150"/>
      <c r="W210" s="327"/>
      <c r="X210" s="320"/>
      <c r="Y210" s="201"/>
      <c r="Z210" s="201"/>
      <c r="AA210" s="201"/>
      <c r="AB210" s="17"/>
      <c r="AC210" s="17"/>
      <c r="AD210" s="17"/>
      <c r="AE210" s="17"/>
    </row>
    <row r="211">
      <c r="A211" s="150"/>
      <c r="B211" s="164"/>
      <c r="C211" s="320"/>
      <c r="D211" s="150"/>
      <c r="E211" s="164"/>
      <c r="F211" s="320"/>
      <c r="G211" s="150"/>
      <c r="H211" s="164"/>
      <c r="I211" s="320"/>
      <c r="J211" s="150"/>
      <c r="K211" s="164"/>
      <c r="L211" s="320"/>
      <c r="M211" s="326"/>
      <c r="N211" s="327"/>
      <c r="O211" s="328"/>
      <c r="P211" s="326"/>
      <c r="Q211" s="327"/>
      <c r="R211" s="328"/>
      <c r="S211" s="326"/>
      <c r="T211" s="327"/>
      <c r="U211" s="328"/>
      <c r="V211" s="150"/>
      <c r="W211" s="327"/>
      <c r="X211" s="320"/>
      <c r="Y211" s="201"/>
      <c r="Z211" s="201"/>
      <c r="AA211" s="201"/>
      <c r="AB211" s="17"/>
      <c r="AC211" s="17"/>
      <c r="AD211" s="17"/>
      <c r="AE211" s="17"/>
    </row>
    <row r="212">
      <c r="A212" s="150"/>
      <c r="B212" s="164"/>
      <c r="C212" s="320"/>
      <c r="D212" s="150"/>
      <c r="E212" s="164"/>
      <c r="F212" s="320"/>
      <c r="G212" s="150"/>
      <c r="H212" s="164"/>
      <c r="I212" s="320"/>
      <c r="J212" s="150"/>
      <c r="K212" s="164"/>
      <c r="L212" s="320"/>
      <c r="M212" s="326"/>
      <c r="N212" s="327"/>
      <c r="O212" s="328"/>
      <c r="P212" s="326"/>
      <c r="Q212" s="327"/>
      <c r="R212" s="328"/>
      <c r="S212" s="326"/>
      <c r="T212" s="327"/>
      <c r="U212" s="328"/>
      <c r="V212" s="150"/>
      <c r="W212" s="327"/>
      <c r="X212" s="320"/>
      <c r="Y212" s="201"/>
      <c r="Z212" s="201"/>
      <c r="AA212" s="201"/>
      <c r="AB212" s="17"/>
      <c r="AC212" s="17"/>
      <c r="AD212" s="17"/>
      <c r="AE212" s="17"/>
    </row>
    <row r="213">
      <c r="A213" s="150"/>
      <c r="B213" s="164"/>
      <c r="C213" s="320"/>
      <c r="D213" s="150"/>
      <c r="E213" s="164"/>
      <c r="F213" s="320"/>
      <c r="G213" s="150"/>
      <c r="H213" s="164"/>
      <c r="I213" s="320"/>
      <c r="J213" s="150"/>
      <c r="K213" s="164"/>
      <c r="L213" s="320"/>
      <c r="M213" s="326"/>
      <c r="N213" s="327"/>
      <c r="O213" s="328"/>
      <c r="P213" s="326"/>
      <c r="Q213" s="327"/>
      <c r="R213" s="328"/>
      <c r="S213" s="326"/>
      <c r="T213" s="327"/>
      <c r="U213" s="328"/>
      <c r="V213" s="150"/>
      <c r="W213" s="327"/>
      <c r="X213" s="320"/>
      <c r="Y213" s="201"/>
      <c r="Z213" s="201"/>
      <c r="AA213" s="201"/>
      <c r="AB213" s="17"/>
      <c r="AC213" s="17"/>
      <c r="AD213" s="17"/>
      <c r="AE213" s="17"/>
    </row>
    <row r="214">
      <c r="A214" s="150"/>
      <c r="B214" s="164"/>
      <c r="C214" s="320"/>
      <c r="D214" s="150"/>
      <c r="E214" s="164"/>
      <c r="F214" s="320"/>
      <c r="G214" s="150"/>
      <c r="H214" s="164"/>
      <c r="I214" s="320"/>
      <c r="J214" s="150"/>
      <c r="K214" s="164"/>
      <c r="L214" s="320"/>
      <c r="M214" s="326"/>
      <c r="N214" s="327"/>
      <c r="O214" s="328"/>
      <c r="P214" s="326"/>
      <c r="Q214" s="327"/>
      <c r="R214" s="328"/>
      <c r="S214" s="326"/>
      <c r="T214" s="327"/>
      <c r="U214" s="328"/>
      <c r="V214" s="150"/>
      <c r="W214" s="327"/>
      <c r="X214" s="320"/>
      <c r="Y214" s="201"/>
      <c r="Z214" s="201"/>
      <c r="AA214" s="201"/>
      <c r="AB214" s="17"/>
      <c r="AC214" s="17"/>
      <c r="AD214" s="17"/>
      <c r="AE214" s="17"/>
    </row>
    <row r="215">
      <c r="A215" s="150"/>
      <c r="B215" s="164"/>
      <c r="C215" s="320"/>
      <c r="D215" s="150"/>
      <c r="E215" s="164"/>
      <c r="F215" s="320"/>
      <c r="G215" s="150"/>
      <c r="H215" s="164"/>
      <c r="I215" s="320"/>
      <c r="J215" s="150"/>
      <c r="K215" s="164"/>
      <c r="L215" s="320"/>
      <c r="M215" s="326"/>
      <c r="N215" s="327"/>
      <c r="O215" s="328"/>
      <c r="P215" s="326"/>
      <c r="Q215" s="327"/>
      <c r="R215" s="328"/>
      <c r="S215" s="326"/>
      <c r="T215" s="327"/>
      <c r="U215" s="328"/>
      <c r="V215" s="150"/>
      <c r="W215" s="327"/>
      <c r="X215" s="320"/>
      <c r="Y215" s="201"/>
      <c r="Z215" s="201"/>
      <c r="AA215" s="201"/>
      <c r="AB215" s="17"/>
      <c r="AC215" s="17"/>
      <c r="AD215" s="17"/>
      <c r="AE215" s="17"/>
    </row>
    <row r="216">
      <c r="A216" s="150"/>
      <c r="B216" s="164"/>
      <c r="C216" s="320"/>
      <c r="D216" s="150"/>
      <c r="E216" s="164"/>
      <c r="F216" s="320"/>
      <c r="G216" s="150"/>
      <c r="H216" s="164"/>
      <c r="I216" s="320"/>
      <c r="J216" s="150"/>
      <c r="K216" s="164"/>
      <c r="L216" s="320"/>
      <c r="M216" s="326"/>
      <c r="N216" s="327"/>
      <c r="O216" s="328"/>
      <c r="P216" s="326"/>
      <c r="Q216" s="327"/>
      <c r="R216" s="328"/>
      <c r="S216" s="326"/>
      <c r="T216" s="327"/>
      <c r="U216" s="328"/>
      <c r="V216" s="150"/>
      <c r="W216" s="327"/>
      <c r="X216" s="320"/>
      <c r="Y216" s="201"/>
      <c r="Z216" s="201"/>
      <c r="AA216" s="201"/>
      <c r="AB216" s="17"/>
      <c r="AC216" s="17"/>
      <c r="AD216" s="17"/>
      <c r="AE216" s="17"/>
    </row>
    <row r="217">
      <c r="A217" s="150"/>
      <c r="B217" s="164"/>
      <c r="C217" s="320"/>
      <c r="D217" s="150"/>
      <c r="E217" s="164"/>
      <c r="F217" s="320"/>
      <c r="G217" s="150"/>
      <c r="H217" s="164"/>
      <c r="I217" s="320"/>
      <c r="J217" s="150"/>
      <c r="K217" s="164"/>
      <c r="L217" s="320"/>
      <c r="M217" s="326"/>
      <c r="N217" s="327"/>
      <c r="O217" s="328"/>
      <c r="P217" s="326"/>
      <c r="Q217" s="327"/>
      <c r="R217" s="328"/>
      <c r="S217" s="326"/>
      <c r="T217" s="327"/>
      <c r="U217" s="328"/>
      <c r="V217" s="150"/>
      <c r="W217" s="327"/>
      <c r="X217" s="320"/>
      <c r="Y217" s="201"/>
      <c r="Z217" s="201"/>
      <c r="AA217" s="201"/>
      <c r="AB217" s="17"/>
      <c r="AC217" s="17"/>
      <c r="AD217" s="17"/>
      <c r="AE217" s="17"/>
    </row>
    <row r="218">
      <c r="A218" s="150"/>
      <c r="B218" s="164"/>
      <c r="C218" s="320"/>
      <c r="D218" s="150"/>
      <c r="E218" s="164"/>
      <c r="F218" s="320"/>
      <c r="G218" s="150"/>
      <c r="H218" s="164"/>
      <c r="I218" s="320"/>
      <c r="J218" s="150"/>
      <c r="K218" s="164"/>
      <c r="L218" s="320"/>
      <c r="M218" s="326"/>
      <c r="N218" s="327"/>
      <c r="O218" s="328"/>
      <c r="P218" s="326"/>
      <c r="Q218" s="327"/>
      <c r="R218" s="328"/>
      <c r="S218" s="326"/>
      <c r="T218" s="327"/>
      <c r="U218" s="328"/>
      <c r="V218" s="150"/>
      <c r="W218" s="327"/>
      <c r="X218" s="320"/>
      <c r="Y218" s="201"/>
      <c r="Z218" s="201"/>
      <c r="AA218" s="201"/>
      <c r="AB218" s="17"/>
      <c r="AC218" s="17"/>
      <c r="AD218" s="17"/>
      <c r="AE218" s="17"/>
    </row>
    <row r="219">
      <c r="A219" s="150"/>
      <c r="B219" s="164"/>
      <c r="C219" s="320"/>
      <c r="D219" s="150"/>
      <c r="E219" s="164"/>
      <c r="F219" s="320"/>
      <c r="G219" s="150"/>
      <c r="H219" s="164"/>
      <c r="I219" s="320"/>
      <c r="J219" s="150"/>
      <c r="K219" s="164"/>
      <c r="L219" s="320"/>
      <c r="M219" s="326"/>
      <c r="N219" s="327"/>
      <c r="O219" s="328"/>
      <c r="P219" s="326"/>
      <c r="Q219" s="327"/>
      <c r="R219" s="328"/>
      <c r="S219" s="326"/>
      <c r="T219" s="327"/>
      <c r="U219" s="328"/>
      <c r="V219" s="150"/>
      <c r="W219" s="327"/>
      <c r="X219" s="320"/>
      <c r="Y219" s="201"/>
      <c r="Z219" s="201"/>
      <c r="AA219" s="201"/>
      <c r="AB219" s="17"/>
      <c r="AC219" s="17"/>
      <c r="AD219" s="17"/>
      <c r="AE219" s="17"/>
    </row>
    <row r="220">
      <c r="A220" s="150"/>
      <c r="B220" s="164"/>
      <c r="C220" s="320"/>
      <c r="D220" s="150"/>
      <c r="E220" s="164"/>
      <c r="F220" s="320"/>
      <c r="G220" s="150"/>
      <c r="H220" s="164"/>
      <c r="I220" s="320"/>
      <c r="J220" s="150"/>
      <c r="K220" s="164"/>
      <c r="L220" s="320"/>
      <c r="M220" s="326"/>
      <c r="N220" s="327"/>
      <c r="O220" s="328"/>
      <c r="P220" s="326"/>
      <c r="Q220" s="327"/>
      <c r="R220" s="328"/>
      <c r="S220" s="326"/>
      <c r="T220" s="327"/>
      <c r="U220" s="328"/>
      <c r="V220" s="150"/>
      <c r="W220" s="327"/>
      <c r="X220" s="320"/>
      <c r="Y220" s="201"/>
      <c r="Z220" s="201"/>
      <c r="AA220" s="201"/>
      <c r="AB220" s="17"/>
      <c r="AC220" s="17"/>
      <c r="AD220" s="17"/>
      <c r="AE220" s="17"/>
    </row>
    <row r="221">
      <c r="A221" s="150"/>
      <c r="B221" s="164"/>
      <c r="C221" s="320"/>
      <c r="D221" s="150"/>
      <c r="E221" s="164"/>
      <c r="F221" s="320"/>
      <c r="G221" s="150"/>
      <c r="H221" s="164"/>
      <c r="I221" s="320"/>
      <c r="J221" s="150"/>
      <c r="K221" s="164"/>
      <c r="L221" s="320"/>
      <c r="M221" s="326"/>
      <c r="N221" s="327"/>
      <c r="O221" s="328"/>
      <c r="P221" s="326"/>
      <c r="Q221" s="327"/>
      <c r="R221" s="328"/>
      <c r="S221" s="326"/>
      <c r="T221" s="327"/>
      <c r="U221" s="328"/>
      <c r="V221" s="150"/>
      <c r="W221" s="327"/>
      <c r="X221" s="320"/>
      <c r="Y221" s="201"/>
      <c r="Z221" s="201"/>
      <c r="AA221" s="201"/>
      <c r="AB221" s="17"/>
      <c r="AC221" s="17"/>
      <c r="AD221" s="17"/>
      <c r="AE221" s="17"/>
    </row>
    <row r="222">
      <c r="A222" s="150"/>
      <c r="B222" s="164"/>
      <c r="C222" s="320"/>
      <c r="D222" s="150"/>
      <c r="E222" s="164"/>
      <c r="F222" s="320"/>
      <c r="G222" s="150"/>
      <c r="H222" s="164"/>
      <c r="I222" s="320"/>
      <c r="J222" s="150"/>
      <c r="K222" s="164"/>
      <c r="L222" s="320"/>
      <c r="M222" s="326"/>
      <c r="N222" s="327"/>
      <c r="O222" s="328"/>
      <c r="P222" s="326"/>
      <c r="Q222" s="327"/>
      <c r="R222" s="328"/>
      <c r="S222" s="326"/>
      <c r="T222" s="327"/>
      <c r="U222" s="328"/>
      <c r="V222" s="150"/>
      <c r="W222" s="327"/>
      <c r="X222" s="320"/>
      <c r="Y222" s="201"/>
      <c r="Z222" s="201"/>
      <c r="AA222" s="201"/>
      <c r="AB222" s="17"/>
      <c r="AC222" s="17"/>
      <c r="AD222" s="17"/>
      <c r="AE222" s="17"/>
    </row>
    <row r="223">
      <c r="A223" s="150"/>
      <c r="B223" s="164"/>
      <c r="C223" s="320"/>
      <c r="D223" s="150"/>
      <c r="E223" s="164"/>
      <c r="F223" s="320"/>
      <c r="G223" s="150"/>
      <c r="H223" s="164"/>
      <c r="I223" s="320"/>
      <c r="J223" s="150"/>
      <c r="K223" s="164"/>
      <c r="L223" s="320"/>
      <c r="M223" s="326"/>
      <c r="N223" s="327"/>
      <c r="O223" s="328"/>
      <c r="P223" s="326"/>
      <c r="Q223" s="327"/>
      <c r="R223" s="328"/>
      <c r="S223" s="326"/>
      <c r="T223" s="327"/>
      <c r="U223" s="328"/>
      <c r="V223" s="150"/>
      <c r="W223" s="327"/>
      <c r="X223" s="320"/>
      <c r="Y223" s="201"/>
      <c r="Z223" s="201"/>
      <c r="AA223" s="201"/>
      <c r="AB223" s="17"/>
      <c r="AC223" s="17"/>
      <c r="AD223" s="17"/>
      <c r="AE223" s="17"/>
    </row>
    <row r="224">
      <c r="A224" s="150"/>
      <c r="B224" s="164"/>
      <c r="C224" s="320"/>
      <c r="D224" s="150"/>
      <c r="E224" s="164"/>
      <c r="F224" s="320"/>
      <c r="G224" s="150"/>
      <c r="H224" s="164"/>
      <c r="I224" s="320"/>
      <c r="J224" s="150"/>
      <c r="K224" s="164"/>
      <c r="L224" s="320"/>
      <c r="M224" s="326"/>
      <c r="N224" s="327"/>
      <c r="O224" s="328"/>
      <c r="P224" s="326"/>
      <c r="Q224" s="327"/>
      <c r="R224" s="328"/>
      <c r="S224" s="326"/>
      <c r="T224" s="327"/>
      <c r="U224" s="328"/>
      <c r="V224" s="150"/>
      <c r="W224" s="327"/>
      <c r="X224" s="320"/>
      <c r="Y224" s="201"/>
      <c r="Z224" s="201"/>
      <c r="AA224" s="201"/>
      <c r="AB224" s="17"/>
      <c r="AC224" s="17"/>
      <c r="AD224" s="17"/>
      <c r="AE224" s="17"/>
    </row>
    <row r="225">
      <c r="A225" s="150"/>
      <c r="B225" s="164"/>
      <c r="C225" s="320"/>
      <c r="D225" s="150"/>
      <c r="E225" s="164"/>
      <c r="F225" s="320"/>
      <c r="G225" s="150"/>
      <c r="H225" s="164"/>
      <c r="I225" s="320"/>
      <c r="J225" s="150"/>
      <c r="K225" s="164"/>
      <c r="L225" s="320"/>
      <c r="M225" s="326"/>
      <c r="N225" s="327"/>
      <c r="O225" s="328"/>
      <c r="P225" s="326"/>
      <c r="Q225" s="327"/>
      <c r="R225" s="328"/>
      <c r="S225" s="326"/>
      <c r="T225" s="327"/>
      <c r="U225" s="328"/>
      <c r="V225" s="150"/>
      <c r="W225" s="327"/>
      <c r="X225" s="320"/>
      <c r="Y225" s="201"/>
      <c r="Z225" s="201"/>
      <c r="AA225" s="201"/>
      <c r="AB225" s="17"/>
      <c r="AC225" s="17"/>
      <c r="AD225" s="17"/>
      <c r="AE225" s="17"/>
    </row>
    <row r="226">
      <c r="A226" s="150"/>
      <c r="B226" s="164"/>
      <c r="C226" s="320"/>
      <c r="D226" s="150"/>
      <c r="E226" s="164"/>
      <c r="F226" s="320"/>
      <c r="G226" s="150"/>
      <c r="H226" s="164"/>
      <c r="I226" s="320"/>
      <c r="J226" s="150"/>
      <c r="K226" s="164"/>
      <c r="L226" s="320"/>
      <c r="M226" s="326"/>
      <c r="N226" s="327"/>
      <c r="O226" s="328"/>
      <c r="P226" s="326"/>
      <c r="Q226" s="327"/>
      <c r="R226" s="328"/>
      <c r="S226" s="326"/>
      <c r="T226" s="327"/>
      <c r="U226" s="328"/>
      <c r="V226" s="150"/>
      <c r="W226" s="327"/>
      <c r="X226" s="320"/>
      <c r="Y226" s="201"/>
      <c r="Z226" s="201"/>
      <c r="AA226" s="201"/>
      <c r="AB226" s="17"/>
      <c r="AC226" s="17"/>
      <c r="AD226" s="17"/>
      <c r="AE226" s="17"/>
    </row>
    <row r="227">
      <c r="A227" s="150"/>
      <c r="B227" s="164"/>
      <c r="C227" s="320"/>
      <c r="D227" s="150"/>
      <c r="E227" s="164"/>
      <c r="F227" s="320"/>
      <c r="G227" s="150"/>
      <c r="H227" s="164"/>
      <c r="I227" s="320"/>
      <c r="J227" s="150"/>
      <c r="K227" s="164"/>
      <c r="L227" s="320"/>
      <c r="M227" s="326"/>
      <c r="N227" s="327"/>
      <c r="O227" s="328"/>
      <c r="P227" s="326"/>
      <c r="Q227" s="327"/>
      <c r="R227" s="328"/>
      <c r="S227" s="326"/>
      <c r="T227" s="327"/>
      <c r="U227" s="328"/>
      <c r="V227" s="150"/>
      <c r="W227" s="327"/>
      <c r="X227" s="320"/>
      <c r="Y227" s="201"/>
      <c r="Z227" s="201"/>
      <c r="AA227" s="201"/>
      <c r="AB227" s="17"/>
      <c r="AC227" s="17"/>
      <c r="AD227" s="17"/>
      <c r="AE227" s="17"/>
    </row>
    <row r="228">
      <c r="A228" s="150"/>
      <c r="B228" s="164"/>
      <c r="C228" s="320"/>
      <c r="D228" s="150"/>
      <c r="E228" s="164"/>
      <c r="F228" s="320"/>
      <c r="G228" s="150"/>
      <c r="H228" s="164"/>
      <c r="I228" s="320"/>
      <c r="J228" s="150"/>
      <c r="K228" s="164"/>
      <c r="L228" s="320"/>
      <c r="M228" s="326"/>
      <c r="N228" s="327"/>
      <c r="O228" s="328"/>
      <c r="P228" s="326"/>
      <c r="Q228" s="327"/>
      <c r="R228" s="328"/>
      <c r="S228" s="326"/>
      <c r="T228" s="327"/>
      <c r="U228" s="328"/>
      <c r="V228" s="150"/>
      <c r="W228" s="327"/>
      <c r="X228" s="320"/>
      <c r="Y228" s="201"/>
      <c r="Z228" s="201"/>
      <c r="AA228" s="201"/>
      <c r="AB228" s="17"/>
      <c r="AC228" s="17"/>
      <c r="AD228" s="17"/>
      <c r="AE228" s="17"/>
    </row>
    <row r="229">
      <c r="A229" s="150"/>
      <c r="B229" s="164"/>
      <c r="C229" s="320"/>
      <c r="D229" s="150"/>
      <c r="E229" s="164"/>
      <c r="F229" s="320"/>
      <c r="G229" s="150"/>
      <c r="H229" s="164"/>
      <c r="I229" s="320"/>
      <c r="J229" s="150"/>
      <c r="K229" s="164"/>
      <c r="L229" s="320"/>
      <c r="M229" s="326"/>
      <c r="N229" s="327"/>
      <c r="O229" s="328"/>
      <c r="P229" s="326"/>
      <c r="Q229" s="327"/>
      <c r="R229" s="328"/>
      <c r="S229" s="326"/>
      <c r="T229" s="327"/>
      <c r="U229" s="328"/>
      <c r="V229" s="150"/>
      <c r="W229" s="327"/>
      <c r="X229" s="320"/>
      <c r="Y229" s="201"/>
      <c r="Z229" s="201"/>
      <c r="AA229" s="201"/>
      <c r="AB229" s="17"/>
      <c r="AC229" s="17"/>
      <c r="AD229" s="17"/>
      <c r="AE229" s="17"/>
    </row>
    <row r="230">
      <c r="A230" s="150"/>
      <c r="B230" s="164"/>
      <c r="C230" s="320"/>
      <c r="D230" s="150"/>
      <c r="E230" s="164"/>
      <c r="F230" s="320"/>
      <c r="G230" s="150"/>
      <c r="H230" s="164"/>
      <c r="I230" s="320"/>
      <c r="J230" s="150"/>
      <c r="K230" s="164"/>
      <c r="L230" s="320"/>
      <c r="M230" s="326"/>
      <c r="N230" s="327"/>
      <c r="O230" s="328"/>
      <c r="P230" s="326"/>
      <c r="Q230" s="327"/>
      <c r="R230" s="328"/>
      <c r="S230" s="326"/>
      <c r="T230" s="327"/>
      <c r="U230" s="328"/>
      <c r="V230" s="150"/>
      <c r="W230" s="327"/>
      <c r="X230" s="320"/>
      <c r="Y230" s="201"/>
      <c r="Z230" s="201"/>
      <c r="AA230" s="201"/>
      <c r="AB230" s="17"/>
      <c r="AC230" s="17"/>
      <c r="AD230" s="17"/>
      <c r="AE230" s="17"/>
    </row>
    <row r="231">
      <c r="A231" s="150"/>
      <c r="B231" s="164"/>
      <c r="C231" s="320"/>
      <c r="D231" s="150"/>
      <c r="E231" s="164"/>
      <c r="F231" s="320"/>
      <c r="G231" s="150"/>
      <c r="H231" s="164"/>
      <c r="I231" s="320"/>
      <c r="J231" s="150"/>
      <c r="K231" s="164"/>
      <c r="L231" s="320"/>
      <c r="M231" s="326"/>
      <c r="N231" s="327"/>
      <c r="O231" s="328"/>
      <c r="P231" s="326"/>
      <c r="Q231" s="327"/>
      <c r="R231" s="328"/>
      <c r="S231" s="326"/>
      <c r="T231" s="327"/>
      <c r="U231" s="328"/>
      <c r="V231" s="150"/>
      <c r="W231" s="327"/>
      <c r="X231" s="320"/>
      <c r="Y231" s="201"/>
      <c r="Z231" s="201"/>
      <c r="AA231" s="201"/>
      <c r="AB231" s="17"/>
      <c r="AC231" s="17"/>
      <c r="AD231" s="17"/>
      <c r="AE231" s="17"/>
    </row>
    <row r="232">
      <c r="A232" s="150"/>
      <c r="B232" s="164"/>
      <c r="C232" s="320"/>
      <c r="D232" s="150"/>
      <c r="E232" s="164"/>
      <c r="F232" s="320"/>
      <c r="G232" s="150"/>
      <c r="H232" s="164"/>
      <c r="I232" s="320"/>
      <c r="J232" s="150"/>
      <c r="K232" s="164"/>
      <c r="L232" s="320"/>
      <c r="M232" s="326"/>
      <c r="N232" s="327"/>
      <c r="O232" s="328"/>
      <c r="P232" s="326"/>
      <c r="Q232" s="327"/>
      <c r="R232" s="328"/>
      <c r="S232" s="326"/>
      <c r="T232" s="327"/>
      <c r="U232" s="328"/>
      <c r="V232" s="150"/>
      <c r="W232" s="327"/>
      <c r="X232" s="320"/>
      <c r="Y232" s="201"/>
      <c r="Z232" s="201"/>
      <c r="AA232" s="201"/>
      <c r="AB232" s="17"/>
      <c r="AC232" s="17"/>
      <c r="AD232" s="17"/>
      <c r="AE232" s="17"/>
    </row>
    <row r="233">
      <c r="A233" s="150"/>
      <c r="B233" s="164"/>
      <c r="C233" s="320"/>
      <c r="D233" s="150"/>
      <c r="E233" s="164"/>
      <c r="F233" s="320"/>
      <c r="G233" s="150"/>
      <c r="H233" s="164"/>
      <c r="I233" s="320"/>
      <c r="J233" s="150"/>
      <c r="K233" s="164"/>
      <c r="L233" s="320"/>
      <c r="M233" s="326"/>
      <c r="N233" s="327"/>
      <c r="O233" s="328"/>
      <c r="P233" s="326"/>
      <c r="Q233" s="327"/>
      <c r="R233" s="328"/>
      <c r="S233" s="326"/>
      <c r="T233" s="327"/>
      <c r="U233" s="328"/>
      <c r="V233" s="150"/>
      <c r="W233" s="327"/>
      <c r="X233" s="320"/>
      <c r="Y233" s="201"/>
      <c r="Z233" s="201"/>
      <c r="AA233" s="201"/>
      <c r="AB233" s="17"/>
      <c r="AC233" s="17"/>
      <c r="AD233" s="17"/>
      <c r="AE233" s="17"/>
    </row>
    <row r="234">
      <c r="A234" s="150"/>
      <c r="B234" s="164"/>
      <c r="C234" s="320"/>
      <c r="D234" s="150"/>
      <c r="E234" s="164"/>
      <c r="F234" s="320"/>
      <c r="G234" s="150"/>
      <c r="H234" s="164"/>
      <c r="I234" s="320"/>
      <c r="J234" s="150"/>
      <c r="K234" s="164"/>
      <c r="L234" s="320"/>
      <c r="M234" s="326"/>
      <c r="N234" s="327"/>
      <c r="O234" s="328"/>
      <c r="P234" s="326"/>
      <c r="Q234" s="327"/>
      <c r="R234" s="328"/>
      <c r="S234" s="326"/>
      <c r="T234" s="327"/>
      <c r="U234" s="328"/>
      <c r="V234" s="150"/>
      <c r="W234" s="327"/>
      <c r="X234" s="320"/>
      <c r="Y234" s="201"/>
      <c r="Z234" s="201"/>
      <c r="AA234" s="201"/>
      <c r="AB234" s="17"/>
      <c r="AC234" s="17"/>
      <c r="AD234" s="17"/>
      <c r="AE234" s="17"/>
    </row>
    <row r="235">
      <c r="A235" s="150"/>
      <c r="B235" s="164"/>
      <c r="C235" s="320"/>
      <c r="D235" s="150"/>
      <c r="E235" s="164"/>
      <c r="F235" s="320"/>
      <c r="G235" s="150"/>
      <c r="H235" s="164"/>
      <c r="I235" s="320"/>
      <c r="J235" s="150"/>
      <c r="K235" s="164"/>
      <c r="L235" s="320"/>
      <c r="M235" s="326"/>
      <c r="N235" s="327"/>
      <c r="O235" s="328"/>
      <c r="P235" s="326"/>
      <c r="Q235" s="327"/>
      <c r="R235" s="328"/>
      <c r="S235" s="326"/>
      <c r="T235" s="327"/>
      <c r="U235" s="328"/>
      <c r="V235" s="150"/>
      <c r="W235" s="327"/>
      <c r="X235" s="320"/>
      <c r="Y235" s="201"/>
      <c r="Z235" s="201"/>
      <c r="AA235" s="201"/>
      <c r="AB235" s="17"/>
      <c r="AC235" s="17"/>
      <c r="AD235" s="17"/>
      <c r="AE235" s="17"/>
    </row>
    <row r="236">
      <c r="A236" s="150"/>
      <c r="B236" s="164"/>
      <c r="C236" s="320"/>
      <c r="D236" s="150"/>
      <c r="E236" s="164"/>
      <c r="F236" s="320"/>
      <c r="G236" s="150"/>
      <c r="H236" s="164"/>
      <c r="I236" s="320"/>
      <c r="J236" s="150"/>
      <c r="K236" s="164"/>
      <c r="L236" s="320"/>
      <c r="M236" s="326"/>
      <c r="N236" s="327"/>
      <c r="O236" s="328"/>
      <c r="P236" s="326"/>
      <c r="Q236" s="327"/>
      <c r="R236" s="328"/>
      <c r="S236" s="326"/>
      <c r="T236" s="327"/>
      <c r="U236" s="328"/>
      <c r="V236" s="150"/>
      <c r="W236" s="327"/>
      <c r="X236" s="320"/>
      <c r="Y236" s="201"/>
      <c r="Z236" s="201"/>
      <c r="AA236" s="201"/>
      <c r="AB236" s="17"/>
      <c r="AC236" s="17"/>
      <c r="AD236" s="17"/>
      <c r="AE236" s="17"/>
    </row>
    <row r="237">
      <c r="A237" s="150"/>
      <c r="B237" s="164"/>
      <c r="C237" s="320"/>
      <c r="D237" s="150"/>
      <c r="E237" s="164"/>
      <c r="F237" s="320"/>
      <c r="G237" s="150"/>
      <c r="H237" s="164"/>
      <c r="I237" s="320"/>
      <c r="J237" s="150"/>
      <c r="K237" s="164"/>
      <c r="L237" s="320"/>
      <c r="M237" s="326"/>
      <c r="N237" s="327"/>
      <c r="O237" s="328"/>
      <c r="P237" s="326"/>
      <c r="Q237" s="327"/>
      <c r="R237" s="328"/>
      <c r="S237" s="326"/>
      <c r="T237" s="327"/>
      <c r="U237" s="328"/>
      <c r="V237" s="150"/>
      <c r="W237" s="327"/>
      <c r="X237" s="320"/>
      <c r="Y237" s="201"/>
      <c r="Z237" s="201"/>
      <c r="AA237" s="201"/>
      <c r="AB237" s="17"/>
      <c r="AC237" s="17"/>
      <c r="AD237" s="17"/>
      <c r="AE237" s="17"/>
    </row>
    <row r="238">
      <c r="A238" s="150"/>
      <c r="B238" s="164"/>
      <c r="C238" s="320"/>
      <c r="D238" s="150"/>
      <c r="E238" s="164"/>
      <c r="F238" s="320"/>
      <c r="G238" s="150"/>
      <c r="H238" s="164"/>
      <c r="I238" s="320"/>
      <c r="J238" s="150"/>
      <c r="K238" s="164"/>
      <c r="L238" s="320"/>
      <c r="M238" s="326"/>
      <c r="N238" s="327"/>
      <c r="O238" s="328"/>
      <c r="P238" s="326"/>
      <c r="Q238" s="327"/>
      <c r="R238" s="328"/>
      <c r="S238" s="326"/>
      <c r="T238" s="327"/>
      <c r="U238" s="328"/>
      <c r="V238" s="150"/>
      <c r="W238" s="327"/>
      <c r="X238" s="320"/>
      <c r="Y238" s="201"/>
      <c r="Z238" s="201"/>
      <c r="AA238" s="201"/>
      <c r="AB238" s="17"/>
      <c r="AC238" s="17"/>
      <c r="AD238" s="17"/>
      <c r="AE238" s="17"/>
    </row>
    <row r="239">
      <c r="A239" s="150"/>
      <c r="B239" s="164"/>
      <c r="C239" s="320"/>
      <c r="D239" s="150"/>
      <c r="E239" s="164"/>
      <c r="F239" s="320"/>
      <c r="G239" s="150"/>
      <c r="H239" s="164"/>
      <c r="I239" s="320"/>
      <c r="J239" s="150"/>
      <c r="K239" s="164"/>
      <c r="L239" s="320"/>
      <c r="M239" s="326"/>
      <c r="N239" s="327"/>
      <c r="O239" s="328"/>
      <c r="P239" s="326"/>
      <c r="Q239" s="327"/>
      <c r="R239" s="328"/>
      <c r="S239" s="326"/>
      <c r="T239" s="327"/>
      <c r="U239" s="328"/>
      <c r="V239" s="150"/>
      <c r="W239" s="327"/>
      <c r="X239" s="320"/>
      <c r="Y239" s="201"/>
      <c r="Z239" s="201"/>
      <c r="AA239" s="201"/>
      <c r="AB239" s="17"/>
      <c r="AC239" s="17"/>
      <c r="AD239" s="17"/>
      <c r="AE239" s="17"/>
    </row>
    <row r="240">
      <c r="A240" s="150"/>
      <c r="B240" s="164"/>
      <c r="C240" s="320"/>
      <c r="D240" s="150"/>
      <c r="E240" s="164"/>
      <c r="F240" s="320"/>
      <c r="G240" s="150"/>
      <c r="H240" s="164"/>
      <c r="I240" s="320"/>
      <c r="J240" s="150"/>
      <c r="K240" s="164"/>
      <c r="L240" s="320"/>
      <c r="M240" s="326"/>
      <c r="N240" s="327"/>
      <c r="O240" s="328"/>
      <c r="P240" s="326"/>
      <c r="Q240" s="327"/>
      <c r="R240" s="328"/>
      <c r="S240" s="326"/>
      <c r="T240" s="327"/>
      <c r="U240" s="328"/>
      <c r="V240" s="150"/>
      <c r="W240" s="327"/>
      <c r="X240" s="320"/>
      <c r="Y240" s="201"/>
      <c r="Z240" s="201"/>
      <c r="AA240" s="201"/>
      <c r="AB240" s="17"/>
      <c r="AC240" s="17"/>
      <c r="AD240" s="17"/>
      <c r="AE240" s="17"/>
    </row>
    <row r="241">
      <c r="A241" s="150"/>
      <c r="B241" s="164"/>
      <c r="C241" s="320"/>
      <c r="D241" s="150"/>
      <c r="E241" s="164"/>
      <c r="F241" s="320"/>
      <c r="G241" s="150"/>
      <c r="H241" s="164"/>
      <c r="I241" s="320"/>
      <c r="J241" s="150"/>
      <c r="K241" s="164"/>
      <c r="L241" s="320"/>
      <c r="M241" s="326"/>
      <c r="N241" s="327"/>
      <c r="O241" s="328"/>
      <c r="P241" s="326"/>
      <c r="Q241" s="327"/>
      <c r="R241" s="328"/>
      <c r="S241" s="326"/>
      <c r="T241" s="327"/>
      <c r="U241" s="328"/>
      <c r="V241" s="150"/>
      <c r="W241" s="327"/>
      <c r="X241" s="320"/>
      <c r="Y241" s="201"/>
      <c r="Z241" s="201"/>
      <c r="AA241" s="201"/>
      <c r="AB241" s="17"/>
      <c r="AC241" s="17"/>
      <c r="AD241" s="17"/>
      <c r="AE241" s="17"/>
    </row>
    <row r="242">
      <c r="A242" s="150"/>
      <c r="B242" s="164"/>
      <c r="C242" s="320"/>
      <c r="D242" s="150"/>
      <c r="E242" s="164"/>
      <c r="F242" s="320"/>
      <c r="G242" s="150"/>
      <c r="H242" s="164"/>
      <c r="I242" s="320"/>
      <c r="J242" s="150"/>
      <c r="K242" s="164"/>
      <c r="L242" s="320"/>
      <c r="M242" s="326"/>
      <c r="N242" s="327"/>
      <c r="O242" s="328"/>
      <c r="P242" s="326"/>
      <c r="Q242" s="327"/>
      <c r="R242" s="328"/>
      <c r="S242" s="326"/>
      <c r="T242" s="327"/>
      <c r="U242" s="328"/>
      <c r="V242" s="150"/>
      <c r="W242" s="327"/>
      <c r="X242" s="320"/>
      <c r="Y242" s="201"/>
      <c r="Z242" s="201"/>
      <c r="AA242" s="201"/>
      <c r="AB242" s="17"/>
      <c r="AC242" s="17"/>
      <c r="AD242" s="17"/>
      <c r="AE242" s="17"/>
    </row>
    <row r="243">
      <c r="A243" s="150"/>
      <c r="B243" s="164"/>
      <c r="C243" s="320"/>
      <c r="D243" s="150"/>
      <c r="E243" s="164"/>
      <c r="F243" s="320"/>
      <c r="G243" s="150"/>
      <c r="H243" s="164"/>
      <c r="I243" s="320"/>
      <c r="J243" s="150"/>
      <c r="K243" s="164"/>
      <c r="L243" s="320"/>
      <c r="M243" s="326"/>
      <c r="N243" s="327"/>
      <c r="O243" s="328"/>
      <c r="P243" s="326"/>
      <c r="Q243" s="327"/>
      <c r="R243" s="328"/>
      <c r="S243" s="326"/>
      <c r="T243" s="327"/>
      <c r="U243" s="328"/>
      <c r="V243" s="150"/>
      <c r="W243" s="327"/>
      <c r="X243" s="320"/>
      <c r="Y243" s="201"/>
      <c r="Z243" s="201"/>
      <c r="AA243" s="201"/>
      <c r="AB243" s="17"/>
      <c r="AC243" s="17"/>
      <c r="AD243" s="17"/>
      <c r="AE243" s="17"/>
    </row>
    <row r="244">
      <c r="A244" s="150"/>
      <c r="B244" s="164"/>
      <c r="C244" s="320"/>
      <c r="D244" s="150"/>
      <c r="E244" s="164"/>
      <c r="F244" s="320"/>
      <c r="G244" s="150"/>
      <c r="H244" s="164"/>
      <c r="I244" s="320"/>
      <c r="J244" s="150"/>
      <c r="K244" s="164"/>
      <c r="L244" s="320"/>
      <c r="M244" s="326"/>
      <c r="N244" s="327"/>
      <c r="O244" s="328"/>
      <c r="P244" s="326"/>
      <c r="Q244" s="327"/>
      <c r="R244" s="328"/>
      <c r="S244" s="326"/>
      <c r="T244" s="327"/>
      <c r="U244" s="328"/>
      <c r="V244" s="150"/>
      <c r="W244" s="327"/>
      <c r="X244" s="320"/>
      <c r="Y244" s="201"/>
      <c r="Z244" s="201"/>
      <c r="AA244" s="201"/>
      <c r="AB244" s="17"/>
      <c r="AC244" s="17"/>
      <c r="AD244" s="17"/>
      <c r="AE244" s="17"/>
    </row>
    <row r="245">
      <c r="A245" s="150"/>
      <c r="B245" s="164"/>
      <c r="C245" s="320"/>
      <c r="D245" s="150"/>
      <c r="E245" s="164"/>
      <c r="F245" s="320"/>
      <c r="G245" s="150"/>
      <c r="H245" s="164"/>
      <c r="I245" s="320"/>
      <c r="J245" s="150"/>
      <c r="K245" s="164"/>
      <c r="L245" s="320"/>
      <c r="M245" s="326"/>
      <c r="N245" s="327"/>
      <c r="O245" s="328"/>
      <c r="P245" s="326"/>
      <c r="Q245" s="327"/>
      <c r="R245" s="328"/>
      <c r="S245" s="326"/>
      <c r="T245" s="327"/>
      <c r="U245" s="328"/>
      <c r="V245" s="150"/>
      <c r="W245" s="327"/>
      <c r="X245" s="320"/>
      <c r="Y245" s="201"/>
      <c r="Z245" s="201"/>
      <c r="AA245" s="201"/>
      <c r="AB245" s="17"/>
      <c r="AC245" s="17"/>
      <c r="AD245" s="17"/>
      <c r="AE245" s="17"/>
    </row>
    <row r="246">
      <c r="A246" s="150"/>
      <c r="B246" s="164"/>
      <c r="C246" s="320"/>
      <c r="D246" s="150"/>
      <c r="E246" s="164"/>
      <c r="F246" s="320"/>
      <c r="G246" s="150"/>
      <c r="H246" s="164"/>
      <c r="I246" s="320"/>
      <c r="J246" s="150"/>
      <c r="K246" s="164"/>
      <c r="L246" s="320"/>
      <c r="M246" s="326"/>
      <c r="N246" s="327"/>
      <c r="O246" s="328"/>
      <c r="P246" s="326"/>
      <c r="Q246" s="327"/>
      <c r="R246" s="328"/>
      <c r="S246" s="326"/>
      <c r="T246" s="327"/>
      <c r="U246" s="328"/>
      <c r="V246" s="150"/>
      <c r="W246" s="327"/>
      <c r="X246" s="320"/>
      <c r="Y246" s="201"/>
      <c r="Z246" s="201"/>
      <c r="AA246" s="201"/>
      <c r="AB246" s="17"/>
      <c r="AC246" s="17"/>
      <c r="AD246" s="17"/>
      <c r="AE246" s="17"/>
    </row>
    <row r="247">
      <c r="A247" s="150"/>
      <c r="B247" s="164"/>
      <c r="C247" s="320"/>
      <c r="D247" s="150"/>
      <c r="E247" s="164"/>
      <c r="F247" s="320"/>
      <c r="G247" s="150"/>
      <c r="H247" s="164"/>
      <c r="I247" s="320"/>
      <c r="J247" s="150"/>
      <c r="K247" s="164"/>
      <c r="L247" s="320"/>
      <c r="M247" s="326"/>
      <c r="N247" s="327"/>
      <c r="O247" s="328"/>
      <c r="P247" s="326"/>
      <c r="Q247" s="327"/>
      <c r="R247" s="328"/>
      <c r="S247" s="326"/>
      <c r="T247" s="327"/>
      <c r="U247" s="328"/>
      <c r="V247" s="150"/>
      <c r="W247" s="327"/>
      <c r="X247" s="320"/>
      <c r="Y247" s="201"/>
      <c r="Z247" s="201"/>
      <c r="AA247" s="201"/>
      <c r="AB247" s="17"/>
      <c r="AC247" s="17"/>
      <c r="AD247" s="17"/>
      <c r="AE247" s="17"/>
    </row>
    <row r="248">
      <c r="A248" s="150"/>
      <c r="B248" s="164"/>
      <c r="C248" s="320"/>
      <c r="D248" s="150"/>
      <c r="E248" s="164"/>
      <c r="F248" s="320"/>
      <c r="G248" s="150"/>
      <c r="H248" s="164"/>
      <c r="I248" s="320"/>
      <c r="J248" s="150"/>
      <c r="K248" s="164"/>
      <c r="L248" s="320"/>
      <c r="M248" s="326"/>
      <c r="N248" s="327"/>
      <c r="O248" s="328"/>
      <c r="P248" s="326"/>
      <c r="Q248" s="327"/>
      <c r="R248" s="328"/>
      <c r="S248" s="326"/>
      <c r="T248" s="327"/>
      <c r="U248" s="328"/>
      <c r="V248" s="150"/>
      <c r="W248" s="327"/>
      <c r="X248" s="320"/>
      <c r="Y248" s="201"/>
      <c r="Z248" s="201"/>
      <c r="AA248" s="201"/>
      <c r="AB248" s="17"/>
      <c r="AC248" s="17"/>
      <c r="AD248" s="17"/>
      <c r="AE248" s="17"/>
    </row>
    <row r="249">
      <c r="A249" s="150"/>
      <c r="B249" s="164"/>
      <c r="C249" s="320"/>
      <c r="D249" s="150"/>
      <c r="E249" s="164"/>
      <c r="F249" s="320"/>
      <c r="G249" s="150"/>
      <c r="H249" s="164"/>
      <c r="I249" s="320"/>
      <c r="J249" s="150"/>
      <c r="K249" s="164"/>
      <c r="L249" s="320"/>
      <c r="M249" s="326"/>
      <c r="N249" s="327"/>
      <c r="O249" s="328"/>
      <c r="P249" s="326"/>
      <c r="Q249" s="327"/>
      <c r="R249" s="328"/>
      <c r="S249" s="326"/>
      <c r="T249" s="327"/>
      <c r="U249" s="328"/>
      <c r="V249" s="150"/>
      <c r="W249" s="327"/>
      <c r="X249" s="320"/>
      <c r="Y249" s="201"/>
      <c r="Z249" s="201"/>
      <c r="AA249" s="201"/>
      <c r="AB249" s="17"/>
      <c r="AC249" s="17"/>
      <c r="AD249" s="17"/>
      <c r="AE249" s="17"/>
    </row>
    <row r="250">
      <c r="A250" s="150"/>
      <c r="B250" s="164"/>
      <c r="C250" s="320"/>
      <c r="D250" s="150"/>
      <c r="E250" s="164"/>
      <c r="F250" s="320"/>
      <c r="G250" s="150"/>
      <c r="H250" s="164"/>
      <c r="I250" s="320"/>
      <c r="J250" s="150"/>
      <c r="K250" s="164"/>
      <c r="L250" s="320"/>
      <c r="M250" s="326"/>
      <c r="N250" s="327"/>
      <c r="O250" s="328"/>
      <c r="P250" s="326"/>
      <c r="Q250" s="327"/>
      <c r="R250" s="328"/>
      <c r="S250" s="326"/>
      <c r="T250" s="327"/>
      <c r="U250" s="328"/>
      <c r="V250" s="150"/>
      <c r="W250" s="327"/>
      <c r="X250" s="320"/>
      <c r="Y250" s="201"/>
      <c r="Z250" s="201"/>
      <c r="AA250" s="201"/>
      <c r="AB250" s="17"/>
      <c r="AC250" s="17"/>
      <c r="AD250" s="17"/>
      <c r="AE250" s="17"/>
    </row>
    <row r="251">
      <c r="A251" s="150"/>
      <c r="B251" s="164"/>
      <c r="C251" s="320"/>
      <c r="D251" s="150"/>
      <c r="E251" s="164"/>
      <c r="F251" s="320"/>
      <c r="G251" s="150"/>
      <c r="H251" s="164"/>
      <c r="I251" s="320"/>
      <c r="J251" s="150"/>
      <c r="K251" s="164"/>
      <c r="L251" s="320"/>
      <c r="M251" s="326"/>
      <c r="N251" s="327"/>
      <c r="O251" s="328"/>
      <c r="P251" s="326"/>
      <c r="Q251" s="327"/>
      <c r="R251" s="328"/>
      <c r="S251" s="326"/>
      <c r="T251" s="327"/>
      <c r="U251" s="328"/>
      <c r="V251" s="150"/>
      <c r="W251" s="327"/>
      <c r="X251" s="320"/>
      <c r="Y251" s="201"/>
      <c r="Z251" s="201"/>
      <c r="AA251" s="201"/>
      <c r="AB251" s="17"/>
      <c r="AC251" s="17"/>
      <c r="AD251" s="17"/>
      <c r="AE251" s="17"/>
    </row>
    <row r="252">
      <c r="A252" s="150"/>
      <c r="B252" s="164"/>
      <c r="C252" s="320"/>
      <c r="D252" s="150"/>
      <c r="E252" s="164"/>
      <c r="F252" s="320"/>
      <c r="G252" s="150"/>
      <c r="H252" s="164"/>
      <c r="I252" s="320"/>
      <c r="J252" s="150"/>
      <c r="K252" s="164"/>
      <c r="L252" s="320"/>
      <c r="M252" s="326"/>
      <c r="N252" s="327"/>
      <c r="O252" s="328"/>
      <c r="P252" s="326"/>
      <c r="Q252" s="327"/>
      <c r="R252" s="328"/>
      <c r="S252" s="326"/>
      <c r="T252" s="327"/>
      <c r="U252" s="328"/>
      <c r="V252" s="150"/>
      <c r="W252" s="327"/>
      <c r="X252" s="320"/>
      <c r="Y252" s="201"/>
      <c r="Z252" s="201"/>
      <c r="AA252" s="201"/>
      <c r="AB252" s="17"/>
      <c r="AC252" s="17"/>
      <c r="AD252" s="17"/>
      <c r="AE252" s="17"/>
    </row>
    <row r="253">
      <c r="A253" s="150"/>
      <c r="B253" s="164"/>
      <c r="C253" s="320"/>
      <c r="D253" s="150"/>
      <c r="E253" s="164"/>
      <c r="F253" s="320"/>
      <c r="G253" s="150"/>
      <c r="H253" s="164"/>
      <c r="I253" s="320"/>
      <c r="J253" s="150"/>
      <c r="K253" s="164"/>
      <c r="L253" s="320"/>
      <c r="M253" s="326"/>
      <c r="N253" s="327"/>
      <c r="O253" s="328"/>
      <c r="P253" s="326"/>
      <c r="Q253" s="327"/>
      <c r="R253" s="328"/>
      <c r="S253" s="326"/>
      <c r="T253" s="327"/>
      <c r="U253" s="328"/>
      <c r="V253" s="150"/>
      <c r="W253" s="327"/>
      <c r="X253" s="320"/>
      <c r="Y253" s="201"/>
      <c r="Z253" s="201"/>
      <c r="AA253" s="201"/>
      <c r="AB253" s="17"/>
      <c r="AC253" s="17"/>
      <c r="AD253" s="17"/>
      <c r="AE253" s="17"/>
    </row>
    <row r="254">
      <c r="A254" s="150"/>
      <c r="B254" s="164"/>
      <c r="C254" s="320"/>
      <c r="D254" s="150"/>
      <c r="E254" s="164"/>
      <c r="F254" s="320"/>
      <c r="G254" s="150"/>
      <c r="H254" s="164"/>
      <c r="I254" s="320"/>
      <c r="J254" s="150"/>
      <c r="K254" s="164"/>
      <c r="L254" s="320"/>
      <c r="M254" s="326"/>
      <c r="N254" s="327"/>
      <c r="O254" s="328"/>
      <c r="P254" s="326"/>
      <c r="Q254" s="327"/>
      <c r="R254" s="328"/>
      <c r="S254" s="326"/>
      <c r="T254" s="327"/>
      <c r="U254" s="328"/>
      <c r="V254" s="150"/>
      <c r="W254" s="327"/>
      <c r="X254" s="320"/>
      <c r="Y254" s="201"/>
      <c r="Z254" s="201"/>
      <c r="AA254" s="201"/>
      <c r="AB254" s="17"/>
      <c r="AC254" s="17"/>
      <c r="AD254" s="17"/>
      <c r="AE254" s="17"/>
    </row>
    <row r="255">
      <c r="A255" s="150"/>
      <c r="B255" s="164"/>
      <c r="C255" s="320"/>
      <c r="D255" s="150"/>
      <c r="E255" s="164"/>
      <c r="F255" s="320"/>
      <c r="G255" s="150"/>
      <c r="H255" s="164"/>
      <c r="I255" s="320"/>
      <c r="J255" s="150"/>
      <c r="K255" s="164"/>
      <c r="L255" s="320"/>
      <c r="M255" s="326"/>
      <c r="N255" s="327"/>
      <c r="O255" s="328"/>
      <c r="P255" s="326"/>
      <c r="Q255" s="327"/>
      <c r="R255" s="328"/>
      <c r="S255" s="326"/>
      <c r="T255" s="327"/>
      <c r="U255" s="328"/>
      <c r="V255" s="150"/>
      <c r="W255" s="327"/>
      <c r="X255" s="320"/>
      <c r="Y255" s="201"/>
      <c r="Z255" s="201"/>
      <c r="AA255" s="201"/>
      <c r="AB255" s="17"/>
      <c r="AC255" s="17"/>
      <c r="AD255" s="17"/>
      <c r="AE255" s="17"/>
    </row>
    <row r="256">
      <c r="A256" s="150"/>
      <c r="B256" s="164"/>
      <c r="C256" s="320"/>
      <c r="D256" s="150"/>
      <c r="E256" s="164"/>
      <c r="F256" s="320"/>
      <c r="G256" s="150"/>
      <c r="H256" s="164"/>
      <c r="I256" s="320"/>
      <c r="J256" s="150"/>
      <c r="K256" s="164"/>
      <c r="L256" s="320"/>
      <c r="M256" s="326"/>
      <c r="N256" s="327"/>
      <c r="O256" s="328"/>
      <c r="P256" s="326"/>
      <c r="Q256" s="327"/>
      <c r="R256" s="328"/>
      <c r="S256" s="326"/>
      <c r="T256" s="327"/>
      <c r="U256" s="328"/>
      <c r="V256" s="150"/>
      <c r="W256" s="327"/>
      <c r="X256" s="320"/>
      <c r="Y256" s="201"/>
      <c r="Z256" s="201"/>
      <c r="AA256" s="201"/>
      <c r="AB256" s="17"/>
      <c r="AC256" s="17"/>
      <c r="AD256" s="17"/>
      <c r="AE256" s="17"/>
    </row>
    <row r="257">
      <c r="A257" s="150"/>
      <c r="B257" s="164"/>
      <c r="C257" s="320"/>
      <c r="D257" s="150"/>
      <c r="E257" s="164"/>
      <c r="F257" s="320"/>
      <c r="G257" s="150"/>
      <c r="H257" s="164"/>
      <c r="I257" s="320"/>
      <c r="J257" s="150"/>
      <c r="K257" s="164"/>
      <c r="L257" s="320"/>
      <c r="M257" s="326"/>
      <c r="N257" s="327"/>
      <c r="O257" s="328"/>
      <c r="P257" s="326"/>
      <c r="Q257" s="327"/>
      <c r="R257" s="328"/>
      <c r="S257" s="326"/>
      <c r="T257" s="327"/>
      <c r="U257" s="328"/>
      <c r="V257" s="150"/>
      <c r="W257" s="327"/>
      <c r="X257" s="320"/>
      <c r="Y257" s="201"/>
      <c r="Z257" s="201"/>
      <c r="AA257" s="201"/>
      <c r="AB257" s="17"/>
      <c r="AC257" s="17"/>
      <c r="AD257" s="17"/>
      <c r="AE257" s="17"/>
    </row>
    <row r="258">
      <c r="A258" s="150"/>
      <c r="B258" s="164"/>
      <c r="C258" s="320"/>
      <c r="D258" s="150"/>
      <c r="E258" s="164"/>
      <c r="F258" s="320"/>
      <c r="G258" s="150"/>
      <c r="H258" s="164"/>
      <c r="I258" s="320"/>
      <c r="J258" s="150"/>
      <c r="K258" s="164"/>
      <c r="L258" s="320"/>
      <c r="M258" s="326"/>
      <c r="N258" s="327"/>
      <c r="O258" s="328"/>
      <c r="P258" s="326"/>
      <c r="Q258" s="327"/>
      <c r="R258" s="328"/>
      <c r="S258" s="326"/>
      <c r="T258" s="327"/>
      <c r="U258" s="328"/>
      <c r="V258" s="150"/>
      <c r="W258" s="327"/>
      <c r="X258" s="320"/>
      <c r="Y258" s="201"/>
      <c r="Z258" s="201"/>
      <c r="AA258" s="201"/>
      <c r="AB258" s="17"/>
      <c r="AC258" s="17"/>
      <c r="AD258" s="17"/>
      <c r="AE258" s="17"/>
    </row>
    <row r="259">
      <c r="A259" s="150"/>
      <c r="B259" s="164"/>
      <c r="C259" s="320"/>
      <c r="D259" s="150"/>
      <c r="E259" s="164"/>
      <c r="F259" s="320"/>
      <c r="G259" s="150"/>
      <c r="H259" s="164"/>
      <c r="I259" s="320"/>
      <c r="J259" s="150"/>
      <c r="K259" s="164"/>
      <c r="L259" s="320"/>
      <c r="M259" s="326"/>
      <c r="N259" s="327"/>
      <c r="O259" s="328"/>
      <c r="P259" s="326"/>
      <c r="Q259" s="327"/>
      <c r="R259" s="328"/>
      <c r="S259" s="326"/>
      <c r="T259" s="327"/>
      <c r="U259" s="328"/>
      <c r="V259" s="150"/>
      <c r="W259" s="327"/>
      <c r="X259" s="320"/>
      <c r="Y259" s="201"/>
      <c r="Z259" s="201"/>
      <c r="AA259" s="201"/>
      <c r="AB259" s="17"/>
      <c r="AC259" s="17"/>
      <c r="AD259" s="17"/>
      <c r="AE259" s="17"/>
    </row>
    <row r="260">
      <c r="A260" s="150"/>
      <c r="B260" s="164"/>
      <c r="C260" s="320"/>
      <c r="D260" s="150"/>
      <c r="E260" s="164"/>
      <c r="F260" s="320"/>
      <c r="G260" s="150"/>
      <c r="H260" s="164"/>
      <c r="I260" s="320"/>
      <c r="J260" s="150"/>
      <c r="K260" s="164"/>
      <c r="L260" s="320"/>
      <c r="M260" s="326"/>
      <c r="N260" s="327"/>
      <c r="O260" s="328"/>
      <c r="P260" s="326"/>
      <c r="Q260" s="327"/>
      <c r="R260" s="328"/>
      <c r="S260" s="326"/>
      <c r="T260" s="327"/>
      <c r="U260" s="328"/>
      <c r="V260" s="150"/>
      <c r="W260" s="327"/>
      <c r="X260" s="320"/>
      <c r="Y260" s="201"/>
      <c r="Z260" s="201"/>
      <c r="AA260" s="201"/>
      <c r="AB260" s="17"/>
      <c r="AC260" s="17"/>
      <c r="AD260" s="17"/>
      <c r="AE260" s="17"/>
    </row>
    <row r="261">
      <c r="A261" s="150"/>
      <c r="B261" s="164"/>
      <c r="C261" s="320"/>
      <c r="D261" s="150"/>
      <c r="E261" s="164"/>
      <c r="F261" s="320"/>
      <c r="G261" s="150"/>
      <c r="H261" s="164"/>
      <c r="I261" s="320"/>
      <c r="J261" s="150"/>
      <c r="K261" s="164"/>
      <c r="L261" s="320"/>
      <c r="M261" s="326"/>
      <c r="N261" s="327"/>
      <c r="O261" s="328"/>
      <c r="P261" s="326"/>
      <c r="Q261" s="327"/>
      <c r="R261" s="328"/>
      <c r="S261" s="326"/>
      <c r="T261" s="327"/>
      <c r="U261" s="328"/>
      <c r="V261" s="150"/>
      <c r="W261" s="327"/>
      <c r="X261" s="320"/>
      <c r="Y261" s="201"/>
      <c r="Z261" s="201"/>
      <c r="AA261" s="201"/>
      <c r="AB261" s="17"/>
      <c r="AC261" s="17"/>
      <c r="AD261" s="17"/>
      <c r="AE261" s="17"/>
    </row>
    <row r="262">
      <c r="A262" s="150"/>
      <c r="B262" s="164"/>
      <c r="C262" s="320"/>
      <c r="D262" s="150"/>
      <c r="E262" s="164"/>
      <c r="F262" s="320"/>
      <c r="G262" s="150"/>
      <c r="H262" s="164"/>
      <c r="I262" s="320"/>
      <c r="J262" s="150"/>
      <c r="K262" s="164"/>
      <c r="L262" s="320"/>
      <c r="M262" s="326"/>
      <c r="N262" s="327"/>
      <c r="O262" s="328"/>
      <c r="P262" s="326"/>
      <c r="Q262" s="327"/>
      <c r="R262" s="328"/>
      <c r="S262" s="326"/>
      <c r="T262" s="327"/>
      <c r="U262" s="328"/>
      <c r="V262" s="150"/>
      <c r="W262" s="327"/>
      <c r="X262" s="320"/>
      <c r="Y262" s="201"/>
      <c r="Z262" s="201"/>
      <c r="AA262" s="201"/>
      <c r="AB262" s="17"/>
      <c r="AC262" s="17"/>
      <c r="AD262" s="17"/>
      <c r="AE262" s="17"/>
    </row>
    <row r="263">
      <c r="A263" s="150"/>
      <c r="B263" s="164"/>
      <c r="C263" s="320"/>
      <c r="D263" s="150"/>
      <c r="E263" s="164"/>
      <c r="F263" s="320"/>
      <c r="G263" s="150"/>
      <c r="H263" s="164"/>
      <c r="I263" s="320"/>
      <c r="J263" s="150"/>
      <c r="K263" s="164"/>
      <c r="L263" s="320"/>
      <c r="M263" s="326"/>
      <c r="N263" s="327"/>
      <c r="O263" s="328"/>
      <c r="P263" s="326"/>
      <c r="Q263" s="327"/>
      <c r="R263" s="328"/>
      <c r="S263" s="326"/>
      <c r="T263" s="327"/>
      <c r="U263" s="328"/>
      <c r="V263" s="150"/>
      <c r="W263" s="327"/>
      <c r="X263" s="320"/>
      <c r="Y263" s="201"/>
      <c r="Z263" s="201"/>
      <c r="AA263" s="201"/>
      <c r="AB263" s="17"/>
      <c r="AC263" s="17"/>
      <c r="AD263" s="17"/>
      <c r="AE263" s="17"/>
    </row>
    <row r="264">
      <c r="A264" s="150"/>
      <c r="B264" s="164"/>
      <c r="C264" s="320"/>
      <c r="D264" s="150"/>
      <c r="E264" s="164"/>
      <c r="F264" s="320"/>
      <c r="G264" s="150"/>
      <c r="H264" s="164"/>
      <c r="I264" s="320"/>
      <c r="J264" s="150"/>
      <c r="K264" s="164"/>
      <c r="L264" s="320"/>
      <c r="M264" s="326"/>
      <c r="N264" s="327"/>
      <c r="O264" s="328"/>
      <c r="P264" s="326"/>
      <c r="Q264" s="327"/>
      <c r="R264" s="328"/>
      <c r="S264" s="326"/>
      <c r="T264" s="327"/>
      <c r="U264" s="328"/>
      <c r="V264" s="150"/>
      <c r="W264" s="327"/>
      <c r="X264" s="320"/>
      <c r="Y264" s="201"/>
      <c r="Z264" s="201"/>
      <c r="AA264" s="201"/>
      <c r="AB264" s="17"/>
      <c r="AC264" s="17"/>
      <c r="AD264" s="17"/>
      <c r="AE264" s="17"/>
    </row>
    <row r="265">
      <c r="A265" s="150"/>
      <c r="B265" s="164"/>
      <c r="C265" s="320"/>
      <c r="D265" s="150"/>
      <c r="E265" s="164"/>
      <c r="F265" s="320"/>
      <c r="G265" s="150"/>
      <c r="H265" s="164"/>
      <c r="I265" s="320"/>
      <c r="J265" s="150"/>
      <c r="K265" s="164"/>
      <c r="L265" s="320"/>
      <c r="M265" s="326"/>
      <c r="N265" s="327"/>
      <c r="O265" s="328"/>
      <c r="P265" s="326"/>
      <c r="Q265" s="327"/>
      <c r="R265" s="328"/>
      <c r="S265" s="326"/>
      <c r="T265" s="327"/>
      <c r="U265" s="328"/>
      <c r="V265" s="150"/>
      <c r="W265" s="327"/>
      <c r="X265" s="320"/>
      <c r="Y265" s="201"/>
      <c r="Z265" s="201"/>
      <c r="AA265" s="201"/>
      <c r="AB265" s="17"/>
      <c r="AC265" s="17"/>
      <c r="AD265" s="17"/>
      <c r="AE265" s="17"/>
    </row>
    <row r="266">
      <c r="A266" s="150"/>
      <c r="B266" s="164"/>
      <c r="C266" s="320"/>
      <c r="D266" s="150"/>
      <c r="E266" s="164"/>
      <c r="F266" s="320"/>
      <c r="G266" s="150"/>
      <c r="H266" s="164"/>
      <c r="I266" s="320"/>
      <c r="J266" s="150"/>
      <c r="K266" s="164"/>
      <c r="L266" s="320"/>
      <c r="M266" s="326"/>
      <c r="N266" s="327"/>
      <c r="O266" s="328"/>
      <c r="P266" s="326"/>
      <c r="Q266" s="327"/>
      <c r="R266" s="328"/>
      <c r="S266" s="326"/>
      <c r="T266" s="327"/>
      <c r="U266" s="328"/>
      <c r="V266" s="150"/>
      <c r="W266" s="327"/>
      <c r="X266" s="320"/>
      <c r="Y266" s="201"/>
      <c r="Z266" s="201"/>
      <c r="AA266" s="201"/>
      <c r="AB266" s="17"/>
      <c r="AC266" s="17"/>
      <c r="AD266" s="17"/>
      <c r="AE266" s="17"/>
    </row>
    <row r="267">
      <c r="A267" s="150"/>
      <c r="B267" s="164"/>
      <c r="C267" s="320"/>
      <c r="D267" s="150"/>
      <c r="E267" s="164"/>
      <c r="F267" s="320"/>
      <c r="G267" s="150"/>
      <c r="H267" s="164"/>
      <c r="I267" s="320"/>
      <c r="J267" s="150"/>
      <c r="K267" s="164"/>
      <c r="L267" s="320"/>
      <c r="M267" s="326"/>
      <c r="N267" s="327"/>
      <c r="O267" s="328"/>
      <c r="P267" s="326"/>
      <c r="Q267" s="327"/>
      <c r="R267" s="328"/>
      <c r="S267" s="326"/>
      <c r="T267" s="327"/>
      <c r="U267" s="328"/>
      <c r="V267" s="150"/>
      <c r="W267" s="327"/>
      <c r="X267" s="320"/>
      <c r="Y267" s="201"/>
      <c r="Z267" s="201"/>
      <c r="AA267" s="201"/>
      <c r="AB267" s="17"/>
      <c r="AC267" s="17"/>
      <c r="AD267" s="17"/>
      <c r="AE267" s="17"/>
    </row>
    <row r="268">
      <c r="A268" s="150"/>
      <c r="B268" s="164"/>
      <c r="C268" s="320"/>
      <c r="D268" s="150"/>
      <c r="E268" s="164"/>
      <c r="F268" s="320"/>
      <c r="G268" s="150"/>
      <c r="H268" s="164"/>
      <c r="I268" s="320"/>
      <c r="J268" s="150"/>
      <c r="K268" s="164"/>
      <c r="L268" s="320"/>
      <c r="M268" s="326"/>
      <c r="N268" s="327"/>
      <c r="O268" s="328"/>
      <c r="P268" s="326"/>
      <c r="Q268" s="327"/>
      <c r="R268" s="328"/>
      <c r="S268" s="326"/>
      <c r="T268" s="327"/>
      <c r="U268" s="328"/>
      <c r="V268" s="150"/>
      <c r="W268" s="327"/>
      <c r="X268" s="320"/>
      <c r="Y268" s="201"/>
      <c r="Z268" s="201"/>
      <c r="AA268" s="201"/>
      <c r="AB268" s="17"/>
      <c r="AC268" s="17"/>
      <c r="AD268" s="17"/>
      <c r="AE268" s="17"/>
    </row>
    <row r="269">
      <c r="A269" s="150"/>
      <c r="B269" s="164"/>
      <c r="C269" s="320"/>
      <c r="D269" s="150"/>
      <c r="E269" s="164"/>
      <c r="F269" s="320"/>
      <c r="G269" s="150"/>
      <c r="H269" s="164"/>
      <c r="I269" s="320"/>
      <c r="J269" s="150"/>
      <c r="K269" s="164"/>
      <c r="L269" s="320"/>
      <c r="M269" s="326"/>
      <c r="N269" s="327"/>
      <c r="O269" s="328"/>
      <c r="P269" s="326"/>
      <c r="Q269" s="327"/>
      <c r="R269" s="328"/>
      <c r="S269" s="326"/>
      <c r="T269" s="327"/>
      <c r="U269" s="328"/>
      <c r="V269" s="150"/>
      <c r="W269" s="327"/>
      <c r="X269" s="320"/>
      <c r="Y269" s="201"/>
      <c r="Z269" s="201"/>
      <c r="AA269" s="201"/>
      <c r="AB269" s="17"/>
      <c r="AC269" s="17"/>
      <c r="AD269" s="17"/>
      <c r="AE269" s="17"/>
    </row>
    <row r="270">
      <c r="A270" s="150"/>
      <c r="B270" s="164"/>
      <c r="C270" s="320"/>
      <c r="D270" s="150"/>
      <c r="E270" s="164"/>
      <c r="F270" s="320"/>
      <c r="G270" s="150"/>
      <c r="H270" s="164"/>
      <c r="I270" s="320"/>
      <c r="J270" s="150"/>
      <c r="K270" s="164"/>
      <c r="L270" s="320"/>
      <c r="M270" s="326"/>
      <c r="N270" s="327"/>
      <c r="O270" s="328"/>
      <c r="P270" s="326"/>
      <c r="Q270" s="327"/>
      <c r="R270" s="328"/>
      <c r="S270" s="326"/>
      <c r="T270" s="327"/>
      <c r="U270" s="328"/>
      <c r="V270" s="150"/>
      <c r="W270" s="327"/>
      <c r="X270" s="320"/>
      <c r="Y270" s="201"/>
      <c r="Z270" s="201"/>
      <c r="AA270" s="201"/>
      <c r="AB270" s="17"/>
      <c r="AC270" s="17"/>
      <c r="AD270" s="17"/>
      <c r="AE270" s="17"/>
    </row>
    <row r="271">
      <c r="A271" s="150"/>
      <c r="B271" s="164"/>
      <c r="C271" s="320"/>
      <c r="D271" s="150"/>
      <c r="E271" s="164"/>
      <c r="F271" s="320"/>
      <c r="G271" s="150"/>
      <c r="H271" s="164"/>
      <c r="I271" s="320"/>
      <c r="J271" s="150"/>
      <c r="K271" s="164"/>
      <c r="L271" s="320"/>
      <c r="M271" s="326"/>
      <c r="N271" s="327"/>
      <c r="O271" s="328"/>
      <c r="P271" s="326"/>
      <c r="Q271" s="327"/>
      <c r="R271" s="328"/>
      <c r="S271" s="326"/>
      <c r="T271" s="327"/>
      <c r="U271" s="328"/>
      <c r="V271" s="150"/>
      <c r="W271" s="327"/>
      <c r="X271" s="320"/>
      <c r="Y271" s="201"/>
      <c r="Z271" s="201"/>
      <c r="AA271" s="201"/>
      <c r="AB271" s="17"/>
      <c r="AC271" s="17"/>
      <c r="AD271" s="17"/>
      <c r="AE271" s="17"/>
    </row>
    <row r="272">
      <c r="A272" s="150"/>
      <c r="B272" s="164"/>
      <c r="C272" s="320"/>
      <c r="D272" s="150"/>
      <c r="E272" s="164"/>
      <c r="F272" s="320"/>
      <c r="G272" s="150"/>
      <c r="H272" s="164"/>
      <c r="I272" s="320"/>
      <c r="J272" s="150"/>
      <c r="K272" s="164"/>
      <c r="L272" s="320"/>
      <c r="M272" s="326"/>
      <c r="N272" s="327"/>
      <c r="O272" s="328"/>
      <c r="P272" s="326"/>
      <c r="Q272" s="327"/>
      <c r="R272" s="328"/>
      <c r="S272" s="326"/>
      <c r="T272" s="327"/>
      <c r="U272" s="328"/>
      <c r="V272" s="150"/>
      <c r="W272" s="327"/>
      <c r="X272" s="320"/>
      <c r="Y272" s="201"/>
      <c r="Z272" s="201"/>
      <c r="AA272" s="201"/>
      <c r="AB272" s="17"/>
      <c r="AC272" s="17"/>
      <c r="AD272" s="17"/>
      <c r="AE272" s="17"/>
    </row>
    <row r="273">
      <c r="A273" s="150"/>
      <c r="B273" s="164"/>
      <c r="C273" s="320"/>
      <c r="D273" s="150"/>
      <c r="E273" s="164"/>
      <c r="F273" s="320"/>
      <c r="G273" s="150"/>
      <c r="H273" s="164"/>
      <c r="I273" s="320"/>
      <c r="J273" s="150"/>
      <c r="K273" s="164"/>
      <c r="L273" s="320"/>
      <c r="M273" s="326"/>
      <c r="N273" s="327"/>
      <c r="O273" s="328"/>
      <c r="P273" s="326"/>
      <c r="Q273" s="327"/>
      <c r="R273" s="328"/>
      <c r="S273" s="326"/>
      <c r="T273" s="327"/>
      <c r="U273" s="328"/>
      <c r="V273" s="150"/>
      <c r="W273" s="327"/>
      <c r="X273" s="320"/>
      <c r="Y273" s="201"/>
      <c r="Z273" s="201"/>
      <c r="AA273" s="201"/>
      <c r="AB273" s="17"/>
      <c r="AC273" s="17"/>
      <c r="AD273" s="17"/>
      <c r="AE273" s="17"/>
    </row>
    <row r="274">
      <c r="A274" s="150"/>
      <c r="B274" s="164"/>
      <c r="C274" s="320"/>
      <c r="D274" s="150"/>
      <c r="E274" s="164"/>
      <c r="F274" s="320"/>
      <c r="G274" s="150"/>
      <c r="H274" s="164"/>
      <c r="I274" s="320"/>
      <c r="J274" s="150"/>
      <c r="K274" s="164"/>
      <c r="L274" s="320"/>
      <c r="M274" s="326"/>
      <c r="N274" s="327"/>
      <c r="O274" s="328"/>
      <c r="P274" s="326"/>
      <c r="Q274" s="327"/>
      <c r="R274" s="328"/>
      <c r="S274" s="326"/>
      <c r="T274" s="327"/>
      <c r="U274" s="328"/>
      <c r="V274" s="150"/>
      <c r="W274" s="327"/>
      <c r="X274" s="320"/>
      <c r="Y274" s="201"/>
      <c r="Z274" s="201"/>
      <c r="AA274" s="201"/>
      <c r="AB274" s="17"/>
      <c r="AC274" s="17"/>
      <c r="AD274" s="17"/>
      <c r="AE274" s="17"/>
    </row>
    <row r="275">
      <c r="A275" s="150"/>
      <c r="B275" s="164"/>
      <c r="C275" s="320"/>
      <c r="D275" s="150"/>
      <c r="E275" s="164"/>
      <c r="F275" s="320"/>
      <c r="G275" s="150"/>
      <c r="H275" s="164"/>
      <c r="I275" s="320"/>
      <c r="J275" s="150"/>
      <c r="K275" s="164"/>
      <c r="L275" s="320"/>
      <c r="M275" s="326"/>
      <c r="N275" s="327"/>
      <c r="O275" s="328"/>
      <c r="P275" s="326"/>
      <c r="Q275" s="327"/>
      <c r="R275" s="328"/>
      <c r="S275" s="326"/>
      <c r="T275" s="327"/>
      <c r="U275" s="328"/>
      <c r="V275" s="150"/>
      <c r="W275" s="327"/>
      <c r="X275" s="320"/>
      <c r="Y275" s="201"/>
      <c r="Z275" s="201"/>
      <c r="AA275" s="201"/>
      <c r="AB275" s="17"/>
      <c r="AC275" s="17"/>
      <c r="AD275" s="17"/>
      <c r="AE275" s="17"/>
    </row>
    <row r="276">
      <c r="A276" s="150"/>
      <c r="B276" s="164"/>
      <c r="C276" s="320"/>
      <c r="D276" s="150"/>
      <c r="E276" s="164"/>
      <c r="F276" s="320"/>
      <c r="G276" s="150"/>
      <c r="H276" s="164"/>
      <c r="I276" s="320"/>
      <c r="J276" s="150"/>
      <c r="K276" s="164"/>
      <c r="L276" s="320"/>
      <c r="M276" s="326"/>
      <c r="N276" s="327"/>
      <c r="O276" s="328"/>
      <c r="P276" s="326"/>
      <c r="Q276" s="327"/>
      <c r="R276" s="328"/>
      <c r="S276" s="326"/>
      <c r="T276" s="327"/>
      <c r="U276" s="328"/>
      <c r="V276" s="150"/>
      <c r="W276" s="327"/>
      <c r="X276" s="320"/>
      <c r="Y276" s="201"/>
      <c r="Z276" s="201"/>
      <c r="AA276" s="201"/>
      <c r="AB276" s="17"/>
      <c r="AC276" s="17"/>
      <c r="AD276" s="17"/>
      <c r="AE276" s="17"/>
    </row>
    <row r="277">
      <c r="A277" s="150"/>
      <c r="B277" s="164"/>
      <c r="C277" s="320"/>
      <c r="D277" s="150"/>
      <c r="E277" s="164"/>
      <c r="F277" s="320"/>
      <c r="G277" s="150"/>
      <c r="H277" s="164"/>
      <c r="I277" s="320"/>
      <c r="J277" s="150"/>
      <c r="K277" s="164"/>
      <c r="L277" s="320"/>
      <c r="M277" s="326"/>
      <c r="N277" s="327"/>
      <c r="O277" s="328"/>
      <c r="P277" s="326"/>
      <c r="Q277" s="327"/>
      <c r="R277" s="328"/>
      <c r="S277" s="326"/>
      <c r="T277" s="327"/>
      <c r="U277" s="328"/>
      <c r="V277" s="150"/>
      <c r="W277" s="327"/>
      <c r="X277" s="320"/>
      <c r="Y277" s="201"/>
      <c r="Z277" s="201"/>
      <c r="AA277" s="201"/>
      <c r="AB277" s="17"/>
      <c r="AC277" s="17"/>
      <c r="AD277" s="17"/>
      <c r="AE277" s="17"/>
    </row>
    <row r="278">
      <c r="A278" s="150"/>
      <c r="B278" s="164"/>
      <c r="C278" s="320"/>
      <c r="D278" s="150"/>
      <c r="E278" s="164"/>
      <c r="F278" s="320"/>
      <c r="G278" s="150"/>
      <c r="H278" s="164"/>
      <c r="I278" s="320"/>
      <c r="J278" s="150"/>
      <c r="K278" s="164"/>
      <c r="L278" s="320"/>
      <c r="M278" s="326"/>
      <c r="N278" s="327"/>
      <c r="O278" s="328"/>
      <c r="P278" s="326"/>
      <c r="Q278" s="327"/>
      <c r="R278" s="328"/>
      <c r="S278" s="326"/>
      <c r="T278" s="327"/>
      <c r="U278" s="328"/>
      <c r="V278" s="150"/>
      <c r="W278" s="327"/>
      <c r="X278" s="320"/>
      <c r="Y278" s="201"/>
      <c r="Z278" s="201"/>
      <c r="AA278" s="201"/>
      <c r="AB278" s="17"/>
      <c r="AC278" s="17"/>
      <c r="AD278" s="17"/>
      <c r="AE278" s="17"/>
    </row>
    <row r="279">
      <c r="A279" s="150"/>
      <c r="B279" s="164"/>
      <c r="C279" s="320"/>
      <c r="D279" s="150"/>
      <c r="E279" s="164"/>
      <c r="F279" s="320"/>
      <c r="G279" s="150"/>
      <c r="H279" s="164"/>
      <c r="I279" s="320"/>
      <c r="J279" s="150"/>
      <c r="K279" s="164"/>
      <c r="L279" s="320"/>
      <c r="M279" s="326"/>
      <c r="N279" s="327"/>
      <c r="O279" s="328"/>
      <c r="P279" s="326"/>
      <c r="Q279" s="327"/>
      <c r="R279" s="328"/>
      <c r="S279" s="326"/>
      <c r="T279" s="327"/>
      <c r="U279" s="328"/>
      <c r="V279" s="150"/>
      <c r="W279" s="327"/>
      <c r="X279" s="320"/>
      <c r="Y279" s="201"/>
      <c r="Z279" s="201"/>
      <c r="AA279" s="201"/>
      <c r="AB279" s="17"/>
      <c r="AC279" s="17"/>
      <c r="AD279" s="17"/>
      <c r="AE279" s="17"/>
    </row>
    <row r="280">
      <c r="A280" s="150"/>
      <c r="B280" s="164"/>
      <c r="C280" s="320"/>
      <c r="D280" s="150"/>
      <c r="E280" s="164"/>
      <c r="F280" s="320"/>
      <c r="G280" s="150"/>
      <c r="H280" s="164"/>
      <c r="I280" s="320"/>
      <c r="J280" s="150"/>
      <c r="K280" s="164"/>
      <c r="L280" s="320"/>
      <c r="M280" s="326"/>
      <c r="N280" s="327"/>
      <c r="O280" s="328"/>
      <c r="P280" s="326"/>
      <c r="Q280" s="327"/>
      <c r="R280" s="328"/>
      <c r="S280" s="326"/>
      <c r="T280" s="327"/>
      <c r="U280" s="328"/>
      <c r="V280" s="150"/>
      <c r="W280" s="327"/>
      <c r="X280" s="320"/>
      <c r="Y280" s="201"/>
      <c r="Z280" s="201"/>
      <c r="AA280" s="201"/>
      <c r="AB280" s="17"/>
      <c r="AC280" s="17"/>
      <c r="AD280" s="17"/>
      <c r="AE280" s="17"/>
    </row>
    <row r="281">
      <c r="A281" s="150"/>
      <c r="B281" s="164"/>
      <c r="C281" s="320"/>
      <c r="D281" s="150"/>
      <c r="E281" s="164"/>
      <c r="F281" s="320"/>
      <c r="G281" s="150"/>
      <c r="H281" s="164"/>
      <c r="I281" s="320"/>
      <c r="J281" s="150"/>
      <c r="K281" s="164"/>
      <c r="L281" s="320"/>
      <c r="M281" s="326"/>
      <c r="N281" s="327"/>
      <c r="O281" s="328"/>
      <c r="P281" s="326"/>
      <c r="Q281" s="327"/>
      <c r="R281" s="328"/>
      <c r="S281" s="326"/>
      <c r="T281" s="327"/>
      <c r="U281" s="328"/>
      <c r="V281" s="150"/>
      <c r="W281" s="327"/>
      <c r="X281" s="320"/>
      <c r="Y281" s="201"/>
      <c r="Z281" s="201"/>
      <c r="AA281" s="201"/>
      <c r="AB281" s="17"/>
      <c r="AC281" s="17"/>
      <c r="AD281" s="17"/>
      <c r="AE281" s="17"/>
    </row>
    <row r="282">
      <c r="A282" s="150"/>
      <c r="B282" s="164"/>
      <c r="C282" s="320"/>
      <c r="D282" s="150"/>
      <c r="E282" s="164"/>
      <c r="F282" s="320"/>
      <c r="G282" s="150"/>
      <c r="H282" s="164"/>
      <c r="I282" s="320"/>
      <c r="J282" s="150"/>
      <c r="K282" s="164"/>
      <c r="L282" s="320"/>
      <c r="M282" s="326"/>
      <c r="N282" s="327"/>
      <c r="O282" s="328"/>
      <c r="P282" s="326"/>
      <c r="Q282" s="327"/>
      <c r="R282" s="328"/>
      <c r="S282" s="326"/>
      <c r="T282" s="327"/>
      <c r="U282" s="328"/>
      <c r="V282" s="150"/>
      <c r="W282" s="327"/>
      <c r="X282" s="320"/>
      <c r="Y282" s="201"/>
      <c r="Z282" s="201"/>
      <c r="AA282" s="201"/>
      <c r="AB282" s="17"/>
      <c r="AC282" s="17"/>
      <c r="AD282" s="17"/>
      <c r="AE282" s="17"/>
    </row>
    <row r="283">
      <c r="A283" s="150"/>
      <c r="B283" s="164"/>
      <c r="C283" s="320"/>
      <c r="D283" s="150"/>
      <c r="E283" s="164"/>
      <c r="F283" s="320"/>
      <c r="G283" s="150"/>
      <c r="H283" s="164"/>
      <c r="I283" s="320"/>
      <c r="J283" s="150"/>
      <c r="K283" s="164"/>
      <c r="L283" s="320"/>
      <c r="M283" s="326"/>
      <c r="N283" s="327"/>
      <c r="O283" s="328"/>
      <c r="P283" s="326"/>
      <c r="Q283" s="327"/>
      <c r="R283" s="328"/>
      <c r="S283" s="326"/>
      <c r="T283" s="327"/>
      <c r="U283" s="328"/>
      <c r="V283" s="150"/>
      <c r="W283" s="327"/>
      <c r="X283" s="320"/>
      <c r="Y283" s="201"/>
      <c r="Z283" s="201"/>
      <c r="AA283" s="201"/>
      <c r="AB283" s="17"/>
      <c r="AC283" s="17"/>
      <c r="AD283" s="17"/>
      <c r="AE283" s="17"/>
    </row>
    <row r="284">
      <c r="A284" s="150"/>
      <c r="B284" s="164"/>
      <c r="C284" s="320"/>
      <c r="D284" s="150"/>
      <c r="E284" s="164"/>
      <c r="F284" s="320"/>
      <c r="G284" s="150"/>
      <c r="H284" s="164"/>
      <c r="I284" s="320"/>
      <c r="J284" s="150"/>
      <c r="K284" s="164"/>
      <c r="L284" s="320"/>
      <c r="M284" s="326"/>
      <c r="N284" s="327"/>
      <c r="O284" s="328"/>
      <c r="P284" s="326"/>
      <c r="Q284" s="327"/>
      <c r="R284" s="328"/>
      <c r="S284" s="326"/>
      <c r="T284" s="327"/>
      <c r="U284" s="328"/>
      <c r="V284" s="150"/>
      <c r="W284" s="327"/>
      <c r="X284" s="320"/>
      <c r="Y284" s="201"/>
      <c r="Z284" s="201"/>
      <c r="AA284" s="201"/>
      <c r="AB284" s="17"/>
      <c r="AC284" s="17"/>
      <c r="AD284" s="17"/>
      <c r="AE284" s="17"/>
    </row>
    <row r="285">
      <c r="A285" s="150"/>
      <c r="B285" s="164"/>
      <c r="C285" s="320"/>
      <c r="D285" s="150"/>
      <c r="E285" s="164"/>
      <c r="F285" s="320"/>
      <c r="G285" s="150"/>
      <c r="H285" s="164"/>
      <c r="I285" s="320"/>
      <c r="J285" s="150"/>
      <c r="K285" s="164"/>
      <c r="L285" s="320"/>
      <c r="M285" s="326"/>
      <c r="N285" s="327"/>
      <c r="O285" s="328"/>
      <c r="P285" s="326"/>
      <c r="Q285" s="327"/>
      <c r="R285" s="328"/>
      <c r="S285" s="326"/>
      <c r="T285" s="327"/>
      <c r="U285" s="328"/>
      <c r="V285" s="150"/>
      <c r="W285" s="327"/>
      <c r="X285" s="320"/>
      <c r="Y285" s="201"/>
      <c r="Z285" s="201"/>
      <c r="AA285" s="201"/>
      <c r="AB285" s="17"/>
      <c r="AC285" s="17"/>
      <c r="AD285" s="17"/>
      <c r="AE285" s="17"/>
    </row>
    <row r="286">
      <c r="A286" s="150"/>
      <c r="B286" s="164"/>
      <c r="C286" s="320"/>
      <c r="D286" s="150"/>
      <c r="E286" s="164"/>
      <c r="F286" s="320"/>
      <c r="G286" s="150"/>
      <c r="H286" s="164"/>
      <c r="I286" s="320"/>
      <c r="J286" s="150"/>
      <c r="K286" s="164"/>
      <c r="L286" s="320"/>
      <c r="M286" s="326"/>
      <c r="N286" s="327"/>
      <c r="O286" s="328"/>
      <c r="P286" s="326"/>
      <c r="Q286" s="327"/>
      <c r="R286" s="328"/>
      <c r="S286" s="326"/>
      <c r="T286" s="327"/>
      <c r="U286" s="328"/>
      <c r="V286" s="150"/>
      <c r="W286" s="327"/>
      <c r="X286" s="320"/>
      <c r="Y286" s="201"/>
      <c r="Z286" s="201"/>
      <c r="AA286" s="201"/>
      <c r="AB286" s="17"/>
      <c r="AC286" s="17"/>
      <c r="AD286" s="17"/>
      <c r="AE286" s="17"/>
    </row>
    <row r="287">
      <c r="A287" s="150"/>
      <c r="B287" s="164"/>
      <c r="C287" s="320"/>
      <c r="D287" s="150"/>
      <c r="E287" s="164"/>
      <c r="F287" s="320"/>
      <c r="G287" s="150"/>
      <c r="H287" s="164"/>
      <c r="I287" s="320"/>
      <c r="J287" s="150"/>
      <c r="K287" s="164"/>
      <c r="L287" s="320"/>
      <c r="M287" s="326"/>
      <c r="N287" s="327"/>
      <c r="O287" s="328"/>
      <c r="P287" s="326"/>
      <c r="Q287" s="327"/>
      <c r="R287" s="328"/>
      <c r="S287" s="326"/>
      <c r="T287" s="327"/>
      <c r="U287" s="328"/>
      <c r="V287" s="150"/>
      <c r="W287" s="327"/>
      <c r="X287" s="320"/>
      <c r="Y287" s="201"/>
      <c r="Z287" s="201"/>
      <c r="AA287" s="201"/>
      <c r="AB287" s="17"/>
      <c r="AC287" s="17"/>
      <c r="AD287" s="17"/>
      <c r="AE287" s="17"/>
    </row>
    <row r="288">
      <c r="A288" s="150"/>
      <c r="B288" s="164"/>
      <c r="C288" s="320"/>
      <c r="D288" s="150"/>
      <c r="E288" s="164"/>
      <c r="F288" s="320"/>
      <c r="G288" s="150"/>
      <c r="H288" s="164"/>
      <c r="I288" s="320"/>
      <c r="J288" s="150"/>
      <c r="K288" s="164"/>
      <c r="L288" s="320"/>
      <c r="M288" s="326"/>
      <c r="N288" s="327"/>
      <c r="O288" s="328"/>
      <c r="P288" s="326"/>
      <c r="Q288" s="327"/>
      <c r="R288" s="328"/>
      <c r="S288" s="326"/>
      <c r="T288" s="327"/>
      <c r="U288" s="328"/>
      <c r="V288" s="150"/>
      <c r="W288" s="327"/>
      <c r="X288" s="320"/>
      <c r="Y288" s="201"/>
      <c r="Z288" s="201"/>
      <c r="AA288" s="201"/>
      <c r="AB288" s="17"/>
      <c r="AC288" s="17"/>
      <c r="AD288" s="17"/>
      <c r="AE288" s="17"/>
    </row>
    <row r="289">
      <c r="A289" s="150"/>
      <c r="B289" s="164"/>
      <c r="C289" s="320"/>
      <c r="D289" s="150"/>
      <c r="E289" s="164"/>
      <c r="F289" s="320"/>
      <c r="G289" s="150"/>
      <c r="H289" s="164"/>
      <c r="I289" s="320"/>
      <c r="J289" s="150"/>
      <c r="K289" s="164"/>
      <c r="L289" s="320"/>
      <c r="M289" s="326"/>
      <c r="N289" s="327"/>
      <c r="O289" s="328"/>
      <c r="P289" s="326"/>
      <c r="Q289" s="327"/>
      <c r="R289" s="328"/>
      <c r="S289" s="326"/>
      <c r="T289" s="327"/>
      <c r="U289" s="328"/>
      <c r="V289" s="150"/>
      <c r="W289" s="327"/>
      <c r="X289" s="320"/>
      <c r="Y289" s="201"/>
      <c r="Z289" s="201"/>
      <c r="AA289" s="201"/>
      <c r="AB289" s="17"/>
      <c r="AC289" s="17"/>
      <c r="AD289" s="17"/>
      <c r="AE289" s="17"/>
    </row>
    <row r="290">
      <c r="A290" s="150"/>
      <c r="B290" s="164"/>
      <c r="C290" s="320"/>
      <c r="D290" s="150"/>
      <c r="E290" s="164"/>
      <c r="F290" s="320"/>
      <c r="G290" s="150"/>
      <c r="H290" s="164"/>
      <c r="I290" s="320"/>
      <c r="J290" s="150"/>
      <c r="K290" s="164"/>
      <c r="L290" s="320"/>
      <c r="M290" s="326"/>
      <c r="N290" s="327"/>
      <c r="O290" s="328"/>
      <c r="P290" s="326"/>
      <c r="Q290" s="327"/>
      <c r="R290" s="328"/>
      <c r="S290" s="326"/>
      <c r="T290" s="327"/>
      <c r="U290" s="328"/>
      <c r="V290" s="150"/>
      <c r="W290" s="327"/>
      <c r="X290" s="320"/>
      <c r="Y290" s="201"/>
      <c r="Z290" s="201"/>
      <c r="AA290" s="201"/>
      <c r="AB290" s="17"/>
      <c r="AC290" s="17"/>
      <c r="AD290" s="17"/>
      <c r="AE290" s="17"/>
    </row>
    <row r="291">
      <c r="A291" s="150"/>
      <c r="B291" s="164"/>
      <c r="C291" s="320"/>
      <c r="D291" s="150"/>
      <c r="E291" s="164"/>
      <c r="F291" s="320"/>
      <c r="G291" s="150"/>
      <c r="H291" s="164"/>
      <c r="I291" s="320"/>
      <c r="J291" s="150"/>
      <c r="K291" s="164"/>
      <c r="L291" s="320"/>
      <c r="M291" s="326"/>
      <c r="N291" s="327"/>
      <c r="O291" s="328"/>
      <c r="P291" s="326"/>
      <c r="Q291" s="327"/>
      <c r="R291" s="328"/>
      <c r="S291" s="326"/>
      <c r="T291" s="327"/>
      <c r="U291" s="328"/>
      <c r="V291" s="150"/>
      <c r="W291" s="327"/>
      <c r="X291" s="320"/>
      <c r="Y291" s="201"/>
      <c r="Z291" s="201"/>
      <c r="AA291" s="201"/>
      <c r="AB291" s="17"/>
      <c r="AC291" s="17"/>
      <c r="AD291" s="17"/>
      <c r="AE291" s="17"/>
    </row>
    <row r="292">
      <c r="A292" s="150"/>
      <c r="B292" s="164"/>
      <c r="C292" s="320"/>
      <c r="D292" s="150"/>
      <c r="E292" s="164"/>
      <c r="F292" s="320"/>
      <c r="G292" s="150"/>
      <c r="H292" s="164"/>
      <c r="I292" s="320"/>
      <c r="J292" s="150"/>
      <c r="K292" s="164"/>
      <c r="L292" s="320"/>
      <c r="M292" s="326"/>
      <c r="N292" s="327"/>
      <c r="O292" s="328"/>
      <c r="P292" s="326"/>
      <c r="Q292" s="327"/>
      <c r="R292" s="328"/>
      <c r="S292" s="326"/>
      <c r="T292" s="327"/>
      <c r="U292" s="328"/>
      <c r="V292" s="150"/>
      <c r="W292" s="327"/>
      <c r="X292" s="320"/>
      <c r="Y292" s="201"/>
      <c r="Z292" s="201"/>
      <c r="AA292" s="201"/>
      <c r="AB292" s="17"/>
      <c r="AC292" s="17"/>
      <c r="AD292" s="17"/>
      <c r="AE292" s="17"/>
    </row>
    <row r="293">
      <c r="A293" s="150"/>
      <c r="B293" s="164"/>
      <c r="C293" s="320"/>
      <c r="D293" s="150"/>
      <c r="E293" s="164"/>
      <c r="F293" s="320"/>
      <c r="G293" s="150"/>
      <c r="H293" s="164"/>
      <c r="I293" s="320"/>
      <c r="J293" s="150"/>
      <c r="K293" s="164"/>
      <c r="L293" s="320"/>
      <c r="M293" s="326"/>
      <c r="N293" s="327"/>
      <c r="O293" s="328"/>
      <c r="P293" s="326"/>
      <c r="Q293" s="327"/>
      <c r="R293" s="328"/>
      <c r="S293" s="326"/>
      <c r="T293" s="327"/>
      <c r="U293" s="328"/>
      <c r="V293" s="150"/>
      <c r="W293" s="327"/>
      <c r="X293" s="320"/>
      <c r="Y293" s="201"/>
      <c r="Z293" s="201"/>
      <c r="AA293" s="201"/>
      <c r="AB293" s="17"/>
      <c r="AC293" s="17"/>
      <c r="AD293" s="17"/>
      <c r="AE293" s="17"/>
    </row>
    <row r="294">
      <c r="A294" s="150"/>
      <c r="B294" s="164"/>
      <c r="C294" s="320"/>
      <c r="D294" s="150"/>
      <c r="E294" s="164"/>
      <c r="F294" s="320"/>
      <c r="G294" s="150"/>
      <c r="H294" s="164"/>
      <c r="I294" s="320"/>
      <c r="J294" s="150"/>
      <c r="K294" s="164"/>
      <c r="L294" s="320"/>
      <c r="M294" s="326"/>
      <c r="N294" s="327"/>
      <c r="O294" s="328"/>
      <c r="P294" s="326"/>
      <c r="Q294" s="327"/>
      <c r="R294" s="328"/>
      <c r="S294" s="326"/>
      <c r="T294" s="327"/>
      <c r="U294" s="328"/>
      <c r="V294" s="150"/>
      <c r="W294" s="327"/>
      <c r="X294" s="320"/>
      <c r="Y294" s="201"/>
      <c r="Z294" s="201"/>
      <c r="AA294" s="201"/>
      <c r="AB294" s="17"/>
      <c r="AC294" s="17"/>
      <c r="AD294" s="17"/>
      <c r="AE294" s="17"/>
    </row>
    <row r="295">
      <c r="A295" s="150"/>
      <c r="B295" s="164"/>
      <c r="C295" s="320"/>
      <c r="D295" s="150"/>
      <c r="E295" s="164"/>
      <c r="F295" s="320"/>
      <c r="G295" s="150"/>
      <c r="H295" s="164"/>
      <c r="I295" s="320"/>
      <c r="J295" s="150"/>
      <c r="K295" s="164"/>
      <c r="L295" s="320"/>
      <c r="M295" s="326"/>
      <c r="N295" s="327"/>
      <c r="O295" s="328"/>
      <c r="P295" s="326"/>
      <c r="Q295" s="327"/>
      <c r="R295" s="328"/>
      <c r="S295" s="326"/>
      <c r="T295" s="327"/>
      <c r="U295" s="328"/>
      <c r="V295" s="150"/>
      <c r="W295" s="327"/>
      <c r="X295" s="320"/>
      <c r="Y295" s="201"/>
      <c r="Z295" s="201"/>
      <c r="AA295" s="201"/>
      <c r="AB295" s="17"/>
      <c r="AC295" s="17"/>
      <c r="AD295" s="17"/>
      <c r="AE295" s="17"/>
    </row>
    <row r="296">
      <c r="A296" s="150"/>
      <c r="B296" s="164"/>
      <c r="C296" s="320"/>
      <c r="D296" s="150"/>
      <c r="E296" s="164"/>
      <c r="F296" s="320"/>
      <c r="G296" s="150"/>
      <c r="H296" s="164"/>
      <c r="I296" s="320"/>
      <c r="J296" s="150"/>
      <c r="K296" s="164"/>
      <c r="L296" s="320"/>
      <c r="M296" s="326"/>
      <c r="N296" s="327"/>
      <c r="O296" s="328"/>
      <c r="P296" s="326"/>
      <c r="Q296" s="327"/>
      <c r="R296" s="328"/>
      <c r="S296" s="326"/>
      <c r="T296" s="327"/>
      <c r="U296" s="328"/>
      <c r="V296" s="150"/>
      <c r="W296" s="327"/>
      <c r="X296" s="320"/>
      <c r="Y296" s="201"/>
      <c r="Z296" s="201"/>
      <c r="AA296" s="201"/>
      <c r="AB296" s="17"/>
      <c r="AC296" s="17"/>
      <c r="AD296" s="17"/>
      <c r="AE296" s="17"/>
    </row>
    <row r="297">
      <c r="A297" s="150"/>
      <c r="B297" s="164"/>
      <c r="C297" s="320"/>
      <c r="D297" s="150"/>
      <c r="E297" s="164"/>
      <c r="F297" s="320"/>
      <c r="G297" s="150"/>
      <c r="H297" s="164"/>
      <c r="I297" s="320"/>
      <c r="J297" s="150"/>
      <c r="K297" s="164"/>
      <c r="L297" s="320"/>
      <c r="M297" s="326"/>
      <c r="N297" s="327"/>
      <c r="O297" s="328"/>
      <c r="P297" s="326"/>
      <c r="Q297" s="327"/>
      <c r="R297" s="328"/>
      <c r="S297" s="326"/>
      <c r="T297" s="327"/>
      <c r="U297" s="328"/>
      <c r="V297" s="150"/>
      <c r="W297" s="327"/>
      <c r="X297" s="320"/>
      <c r="Y297" s="201"/>
      <c r="Z297" s="201"/>
      <c r="AA297" s="201"/>
      <c r="AB297" s="17"/>
      <c r="AC297" s="17"/>
      <c r="AD297" s="17"/>
      <c r="AE297" s="17"/>
    </row>
    <row r="298">
      <c r="A298" s="150"/>
      <c r="B298" s="164"/>
      <c r="C298" s="320"/>
      <c r="D298" s="150"/>
      <c r="E298" s="164"/>
      <c r="F298" s="320"/>
      <c r="G298" s="150"/>
      <c r="H298" s="164"/>
      <c r="I298" s="320"/>
      <c r="J298" s="150"/>
      <c r="K298" s="164"/>
      <c r="L298" s="320"/>
      <c r="M298" s="326"/>
      <c r="N298" s="327"/>
      <c r="O298" s="328"/>
      <c r="P298" s="326"/>
      <c r="Q298" s="327"/>
      <c r="R298" s="328"/>
      <c r="S298" s="326"/>
      <c r="T298" s="327"/>
      <c r="U298" s="328"/>
      <c r="V298" s="150"/>
      <c r="W298" s="327"/>
      <c r="X298" s="320"/>
      <c r="Y298" s="201"/>
      <c r="Z298" s="201"/>
      <c r="AA298" s="201"/>
      <c r="AB298" s="17"/>
      <c r="AC298" s="17"/>
      <c r="AD298" s="17"/>
      <c r="AE298" s="17"/>
    </row>
    <row r="299">
      <c r="A299" s="150"/>
      <c r="B299" s="164"/>
      <c r="C299" s="320"/>
      <c r="D299" s="150"/>
      <c r="E299" s="164"/>
      <c r="F299" s="320"/>
      <c r="G299" s="150"/>
      <c r="H299" s="164"/>
      <c r="I299" s="320"/>
      <c r="J299" s="150"/>
      <c r="K299" s="164"/>
      <c r="L299" s="320"/>
      <c r="M299" s="326"/>
      <c r="N299" s="327"/>
      <c r="O299" s="328"/>
      <c r="P299" s="326"/>
      <c r="Q299" s="327"/>
      <c r="R299" s="328"/>
      <c r="S299" s="326"/>
      <c r="T299" s="327"/>
      <c r="U299" s="328"/>
      <c r="V299" s="150"/>
      <c r="W299" s="327"/>
      <c r="X299" s="320"/>
      <c r="Y299" s="201"/>
      <c r="Z299" s="201"/>
      <c r="AA299" s="201"/>
      <c r="AB299" s="17"/>
      <c r="AC299" s="17"/>
      <c r="AD299" s="17"/>
      <c r="AE299" s="17"/>
    </row>
    <row r="300">
      <c r="A300" s="150"/>
      <c r="B300" s="164"/>
      <c r="C300" s="320"/>
      <c r="D300" s="150"/>
      <c r="E300" s="164"/>
      <c r="F300" s="320"/>
      <c r="G300" s="150"/>
      <c r="H300" s="164"/>
      <c r="I300" s="320"/>
      <c r="J300" s="150"/>
      <c r="K300" s="164"/>
      <c r="L300" s="320"/>
      <c r="M300" s="326"/>
      <c r="N300" s="327"/>
      <c r="O300" s="328"/>
      <c r="P300" s="326"/>
      <c r="Q300" s="327"/>
      <c r="R300" s="328"/>
      <c r="S300" s="326"/>
      <c r="T300" s="327"/>
      <c r="U300" s="328"/>
      <c r="V300" s="150"/>
      <c r="W300" s="327"/>
      <c r="X300" s="320"/>
      <c r="Y300" s="201"/>
      <c r="Z300" s="201"/>
      <c r="AA300" s="201"/>
      <c r="AB300" s="17"/>
      <c r="AC300" s="17"/>
      <c r="AD300" s="17"/>
      <c r="AE300" s="17"/>
    </row>
    <row r="301">
      <c r="A301" s="150"/>
      <c r="B301" s="164"/>
      <c r="C301" s="320"/>
      <c r="D301" s="150"/>
      <c r="E301" s="164"/>
      <c r="F301" s="320"/>
      <c r="G301" s="150"/>
      <c r="H301" s="164"/>
      <c r="I301" s="320"/>
      <c r="J301" s="150"/>
      <c r="K301" s="164"/>
      <c r="L301" s="320"/>
      <c r="M301" s="326"/>
      <c r="N301" s="327"/>
      <c r="O301" s="328"/>
      <c r="P301" s="326"/>
      <c r="Q301" s="327"/>
      <c r="R301" s="328"/>
      <c r="S301" s="326"/>
      <c r="T301" s="327"/>
      <c r="U301" s="328"/>
      <c r="V301" s="150"/>
      <c r="W301" s="327"/>
      <c r="X301" s="320"/>
      <c r="Y301" s="201"/>
      <c r="Z301" s="201"/>
      <c r="AA301" s="201"/>
      <c r="AB301" s="17"/>
      <c r="AC301" s="17"/>
      <c r="AD301" s="17"/>
      <c r="AE301" s="17"/>
    </row>
    <row r="302">
      <c r="A302" s="150"/>
      <c r="B302" s="164"/>
      <c r="C302" s="320"/>
      <c r="D302" s="150"/>
      <c r="E302" s="164"/>
      <c r="F302" s="320"/>
      <c r="G302" s="150"/>
      <c r="H302" s="164"/>
      <c r="I302" s="320"/>
      <c r="J302" s="150"/>
      <c r="K302" s="164"/>
      <c r="L302" s="320"/>
      <c r="M302" s="326"/>
      <c r="N302" s="327"/>
      <c r="O302" s="328"/>
      <c r="P302" s="326"/>
      <c r="Q302" s="327"/>
      <c r="R302" s="328"/>
      <c r="S302" s="326"/>
      <c r="T302" s="327"/>
      <c r="U302" s="328"/>
      <c r="V302" s="150"/>
      <c r="W302" s="327"/>
      <c r="X302" s="320"/>
      <c r="Y302" s="201"/>
      <c r="Z302" s="201"/>
      <c r="AA302" s="201"/>
      <c r="AB302" s="17"/>
      <c r="AC302" s="17"/>
      <c r="AD302" s="17"/>
      <c r="AE302" s="17"/>
    </row>
    <row r="303">
      <c r="A303" s="150"/>
      <c r="B303" s="164"/>
      <c r="C303" s="320"/>
      <c r="D303" s="150"/>
      <c r="E303" s="164"/>
      <c r="F303" s="320"/>
      <c r="G303" s="150"/>
      <c r="H303" s="164"/>
      <c r="I303" s="320"/>
      <c r="J303" s="150"/>
      <c r="K303" s="164"/>
      <c r="L303" s="320"/>
      <c r="M303" s="326"/>
      <c r="N303" s="327"/>
      <c r="O303" s="328"/>
      <c r="P303" s="326"/>
      <c r="Q303" s="327"/>
      <c r="R303" s="328"/>
      <c r="S303" s="326"/>
      <c r="T303" s="327"/>
      <c r="U303" s="328"/>
      <c r="V303" s="150"/>
      <c r="W303" s="327"/>
      <c r="X303" s="320"/>
      <c r="Y303" s="201"/>
      <c r="Z303" s="201"/>
      <c r="AA303" s="201"/>
      <c r="AB303" s="17"/>
      <c r="AC303" s="17"/>
      <c r="AD303" s="17"/>
      <c r="AE303" s="17"/>
    </row>
    <row r="304">
      <c r="A304" s="150"/>
      <c r="B304" s="164"/>
      <c r="C304" s="320"/>
      <c r="D304" s="150"/>
      <c r="E304" s="164"/>
      <c r="F304" s="320"/>
      <c r="G304" s="150"/>
      <c r="H304" s="164"/>
      <c r="I304" s="320"/>
      <c r="J304" s="150"/>
      <c r="K304" s="164"/>
      <c r="L304" s="320"/>
      <c r="M304" s="326"/>
      <c r="N304" s="327"/>
      <c r="O304" s="328"/>
      <c r="P304" s="326"/>
      <c r="Q304" s="327"/>
      <c r="R304" s="328"/>
      <c r="S304" s="326"/>
      <c r="T304" s="327"/>
      <c r="U304" s="328"/>
      <c r="V304" s="150"/>
      <c r="W304" s="327"/>
      <c r="X304" s="320"/>
      <c r="Y304" s="201"/>
      <c r="Z304" s="201"/>
      <c r="AA304" s="201"/>
      <c r="AB304" s="17"/>
      <c r="AC304" s="17"/>
      <c r="AD304" s="17"/>
      <c r="AE304" s="17"/>
    </row>
    <row r="305">
      <c r="A305" s="150"/>
      <c r="B305" s="164"/>
      <c r="C305" s="320"/>
      <c r="D305" s="150"/>
      <c r="E305" s="164"/>
      <c r="F305" s="320"/>
      <c r="G305" s="150"/>
      <c r="H305" s="164"/>
      <c r="I305" s="320"/>
      <c r="J305" s="150"/>
      <c r="K305" s="164"/>
      <c r="L305" s="320"/>
      <c r="M305" s="326"/>
      <c r="N305" s="327"/>
      <c r="O305" s="328"/>
      <c r="P305" s="326"/>
      <c r="Q305" s="327"/>
      <c r="R305" s="328"/>
      <c r="S305" s="326"/>
      <c r="T305" s="327"/>
      <c r="U305" s="328"/>
      <c r="V305" s="150"/>
      <c r="W305" s="327"/>
      <c r="X305" s="320"/>
      <c r="Y305" s="201"/>
      <c r="Z305" s="201"/>
      <c r="AA305" s="201"/>
      <c r="AB305" s="17"/>
      <c r="AC305" s="17"/>
      <c r="AD305" s="17"/>
      <c r="AE305" s="17"/>
    </row>
    <row r="306">
      <c r="A306" s="150"/>
      <c r="B306" s="164"/>
      <c r="C306" s="320"/>
      <c r="D306" s="150"/>
      <c r="E306" s="164"/>
      <c r="F306" s="320"/>
      <c r="G306" s="150"/>
      <c r="H306" s="164"/>
      <c r="I306" s="320"/>
      <c r="J306" s="150"/>
      <c r="K306" s="164"/>
      <c r="L306" s="320"/>
      <c r="M306" s="326"/>
      <c r="N306" s="327"/>
      <c r="O306" s="328"/>
      <c r="P306" s="326"/>
      <c r="Q306" s="327"/>
      <c r="R306" s="328"/>
      <c r="S306" s="326"/>
      <c r="T306" s="327"/>
      <c r="U306" s="328"/>
      <c r="V306" s="150"/>
      <c r="W306" s="327"/>
      <c r="X306" s="320"/>
      <c r="Y306" s="201"/>
      <c r="Z306" s="201"/>
      <c r="AA306" s="201"/>
      <c r="AB306" s="17"/>
      <c r="AC306" s="17"/>
      <c r="AD306" s="17"/>
      <c r="AE306" s="17"/>
    </row>
    <row r="307">
      <c r="A307" s="150"/>
      <c r="B307" s="164"/>
      <c r="C307" s="320"/>
      <c r="D307" s="150"/>
      <c r="E307" s="164"/>
      <c r="F307" s="320"/>
      <c r="G307" s="150"/>
      <c r="H307" s="164"/>
      <c r="I307" s="320"/>
      <c r="J307" s="150"/>
      <c r="K307" s="164"/>
      <c r="L307" s="320"/>
      <c r="M307" s="326"/>
      <c r="N307" s="327"/>
      <c r="O307" s="328"/>
      <c r="P307" s="326"/>
      <c r="Q307" s="327"/>
      <c r="R307" s="328"/>
      <c r="S307" s="326"/>
      <c r="T307" s="327"/>
      <c r="U307" s="328"/>
      <c r="V307" s="150"/>
      <c r="W307" s="327"/>
      <c r="X307" s="320"/>
      <c r="Y307" s="201"/>
      <c r="Z307" s="201"/>
      <c r="AA307" s="201"/>
      <c r="AB307" s="17"/>
      <c r="AC307" s="17"/>
      <c r="AD307" s="17"/>
      <c r="AE307" s="17"/>
    </row>
    <row r="308">
      <c r="A308" s="150"/>
      <c r="B308" s="164"/>
      <c r="C308" s="320"/>
      <c r="D308" s="150"/>
      <c r="E308" s="164"/>
      <c r="F308" s="320"/>
      <c r="G308" s="150"/>
      <c r="H308" s="164"/>
      <c r="I308" s="320"/>
      <c r="J308" s="150"/>
      <c r="K308" s="164"/>
      <c r="L308" s="320"/>
      <c r="M308" s="326"/>
      <c r="N308" s="327"/>
      <c r="O308" s="328"/>
      <c r="P308" s="326"/>
      <c r="Q308" s="327"/>
      <c r="R308" s="328"/>
      <c r="S308" s="326"/>
      <c r="T308" s="327"/>
      <c r="U308" s="328"/>
      <c r="V308" s="150"/>
      <c r="W308" s="327"/>
      <c r="X308" s="320"/>
      <c r="Y308" s="201"/>
      <c r="Z308" s="201"/>
      <c r="AA308" s="201"/>
      <c r="AB308" s="17"/>
      <c r="AC308" s="17"/>
      <c r="AD308" s="17"/>
      <c r="AE308" s="17"/>
    </row>
    <row r="309">
      <c r="A309" s="150"/>
      <c r="B309" s="164"/>
      <c r="C309" s="320"/>
      <c r="D309" s="150"/>
      <c r="E309" s="164"/>
      <c r="F309" s="320"/>
      <c r="G309" s="150"/>
      <c r="H309" s="164"/>
      <c r="I309" s="320"/>
      <c r="J309" s="150"/>
      <c r="K309" s="164"/>
      <c r="L309" s="320"/>
      <c r="M309" s="326"/>
      <c r="N309" s="327"/>
      <c r="O309" s="328"/>
      <c r="P309" s="326"/>
      <c r="Q309" s="327"/>
      <c r="R309" s="328"/>
      <c r="S309" s="326"/>
      <c r="T309" s="327"/>
      <c r="U309" s="328"/>
      <c r="V309" s="150"/>
      <c r="W309" s="327"/>
      <c r="X309" s="320"/>
      <c r="Y309" s="201"/>
      <c r="Z309" s="201"/>
      <c r="AA309" s="201"/>
      <c r="AB309" s="17"/>
      <c r="AC309" s="17"/>
      <c r="AD309" s="17"/>
      <c r="AE309" s="17"/>
    </row>
    <row r="310">
      <c r="A310" s="150"/>
      <c r="B310" s="164"/>
      <c r="C310" s="320"/>
      <c r="D310" s="150"/>
      <c r="E310" s="164"/>
      <c r="F310" s="320"/>
      <c r="G310" s="150"/>
      <c r="H310" s="164"/>
      <c r="I310" s="320"/>
      <c r="J310" s="150"/>
      <c r="K310" s="164"/>
      <c r="L310" s="320"/>
      <c r="M310" s="326"/>
      <c r="N310" s="327"/>
      <c r="O310" s="328"/>
      <c r="P310" s="326"/>
      <c r="Q310" s="327"/>
      <c r="R310" s="328"/>
      <c r="S310" s="326"/>
      <c r="T310" s="327"/>
      <c r="U310" s="328"/>
      <c r="V310" s="150"/>
      <c r="W310" s="327"/>
      <c r="X310" s="320"/>
      <c r="Y310" s="201"/>
      <c r="Z310" s="201"/>
      <c r="AA310" s="201"/>
      <c r="AB310" s="17"/>
      <c r="AC310" s="17"/>
      <c r="AD310" s="17"/>
      <c r="AE310" s="17"/>
    </row>
    <row r="311">
      <c r="A311" s="150"/>
      <c r="B311" s="164"/>
      <c r="C311" s="320"/>
      <c r="D311" s="150"/>
      <c r="E311" s="164"/>
      <c r="F311" s="320"/>
      <c r="G311" s="150"/>
      <c r="H311" s="164"/>
      <c r="I311" s="320"/>
      <c r="J311" s="150"/>
      <c r="K311" s="164"/>
      <c r="L311" s="320"/>
      <c r="M311" s="326"/>
      <c r="N311" s="327"/>
      <c r="O311" s="328"/>
      <c r="P311" s="326"/>
      <c r="Q311" s="327"/>
      <c r="R311" s="328"/>
      <c r="S311" s="326"/>
      <c r="T311" s="327"/>
      <c r="U311" s="328"/>
      <c r="V311" s="150"/>
      <c r="W311" s="327"/>
      <c r="X311" s="320"/>
      <c r="Y311" s="201"/>
      <c r="Z311" s="201"/>
      <c r="AA311" s="201"/>
      <c r="AB311" s="17"/>
      <c r="AC311" s="17"/>
      <c r="AD311" s="17"/>
      <c r="AE311" s="17"/>
    </row>
    <row r="312">
      <c r="A312" s="150"/>
      <c r="B312" s="164"/>
      <c r="C312" s="320"/>
      <c r="D312" s="150"/>
      <c r="E312" s="164"/>
      <c r="F312" s="320"/>
      <c r="G312" s="150"/>
      <c r="H312" s="164"/>
      <c r="I312" s="320"/>
      <c r="J312" s="150"/>
      <c r="K312" s="164"/>
      <c r="L312" s="320"/>
      <c r="M312" s="326"/>
      <c r="N312" s="327"/>
      <c r="O312" s="328"/>
      <c r="P312" s="326"/>
      <c r="Q312" s="327"/>
      <c r="R312" s="328"/>
      <c r="S312" s="326"/>
      <c r="T312" s="327"/>
      <c r="U312" s="328"/>
      <c r="V312" s="150"/>
      <c r="W312" s="327"/>
      <c r="X312" s="320"/>
      <c r="Y312" s="201"/>
      <c r="Z312" s="201"/>
      <c r="AA312" s="201"/>
      <c r="AB312" s="17"/>
      <c r="AC312" s="17"/>
      <c r="AD312" s="17"/>
      <c r="AE312" s="17"/>
    </row>
    <row r="313">
      <c r="A313" s="150"/>
      <c r="B313" s="164"/>
      <c r="C313" s="320"/>
      <c r="D313" s="150"/>
      <c r="E313" s="164"/>
      <c r="F313" s="320"/>
      <c r="G313" s="150"/>
      <c r="H313" s="164"/>
      <c r="I313" s="320"/>
      <c r="J313" s="150"/>
      <c r="K313" s="164"/>
      <c r="L313" s="320"/>
      <c r="M313" s="326"/>
      <c r="N313" s="327"/>
      <c r="O313" s="328"/>
      <c r="P313" s="326"/>
      <c r="Q313" s="327"/>
      <c r="R313" s="328"/>
      <c r="S313" s="326"/>
      <c r="T313" s="327"/>
      <c r="U313" s="328"/>
      <c r="V313" s="150"/>
      <c r="W313" s="327"/>
      <c r="X313" s="320"/>
      <c r="Y313" s="201"/>
      <c r="Z313" s="201"/>
      <c r="AA313" s="201"/>
      <c r="AB313" s="17"/>
      <c r="AC313" s="17"/>
      <c r="AD313" s="17"/>
      <c r="AE313" s="17"/>
    </row>
    <row r="314">
      <c r="A314" s="150"/>
      <c r="B314" s="164"/>
      <c r="C314" s="320"/>
      <c r="D314" s="150"/>
      <c r="E314" s="164"/>
      <c r="F314" s="320"/>
      <c r="G314" s="150"/>
      <c r="H314" s="164"/>
      <c r="I314" s="320"/>
      <c r="J314" s="150"/>
      <c r="K314" s="164"/>
      <c r="L314" s="320"/>
      <c r="M314" s="326"/>
      <c r="N314" s="327"/>
      <c r="O314" s="328"/>
      <c r="P314" s="326"/>
      <c r="Q314" s="327"/>
      <c r="R314" s="328"/>
      <c r="S314" s="326"/>
      <c r="T314" s="327"/>
      <c r="U314" s="328"/>
      <c r="V314" s="150"/>
      <c r="W314" s="327"/>
      <c r="X314" s="320"/>
      <c r="Y314" s="201"/>
      <c r="Z314" s="201"/>
      <c r="AA314" s="201"/>
      <c r="AB314" s="17"/>
      <c r="AC314" s="17"/>
      <c r="AD314" s="17"/>
      <c r="AE314" s="17"/>
    </row>
    <row r="315">
      <c r="A315" s="150"/>
      <c r="B315" s="164"/>
      <c r="C315" s="320"/>
      <c r="D315" s="150"/>
      <c r="E315" s="164"/>
      <c r="F315" s="320"/>
      <c r="G315" s="150"/>
      <c r="H315" s="164"/>
      <c r="I315" s="320"/>
      <c r="J315" s="150"/>
      <c r="K315" s="164"/>
      <c r="L315" s="320"/>
      <c r="M315" s="326"/>
      <c r="N315" s="327"/>
      <c r="O315" s="328"/>
      <c r="P315" s="326"/>
      <c r="Q315" s="327"/>
      <c r="R315" s="328"/>
      <c r="S315" s="326"/>
      <c r="T315" s="327"/>
      <c r="U315" s="328"/>
      <c r="V315" s="150"/>
      <c r="W315" s="327"/>
      <c r="X315" s="320"/>
      <c r="Y315" s="201"/>
      <c r="Z315" s="201"/>
      <c r="AA315" s="201"/>
      <c r="AB315" s="17"/>
      <c r="AC315" s="17"/>
      <c r="AD315" s="17"/>
      <c r="AE315" s="17"/>
    </row>
    <row r="316">
      <c r="A316" s="150"/>
      <c r="B316" s="164"/>
      <c r="C316" s="320"/>
      <c r="D316" s="150"/>
      <c r="E316" s="164"/>
      <c r="F316" s="320"/>
      <c r="G316" s="150"/>
      <c r="H316" s="164"/>
      <c r="I316" s="320"/>
      <c r="J316" s="150"/>
      <c r="K316" s="164"/>
      <c r="L316" s="320"/>
      <c r="M316" s="326"/>
      <c r="N316" s="327"/>
      <c r="O316" s="328"/>
      <c r="P316" s="326"/>
      <c r="Q316" s="327"/>
      <c r="R316" s="328"/>
      <c r="S316" s="326"/>
      <c r="T316" s="327"/>
      <c r="U316" s="328"/>
      <c r="V316" s="150"/>
      <c r="W316" s="327"/>
      <c r="X316" s="320"/>
      <c r="Y316" s="201"/>
      <c r="Z316" s="201"/>
      <c r="AA316" s="201"/>
      <c r="AB316" s="17"/>
      <c r="AC316" s="17"/>
      <c r="AD316" s="17"/>
      <c r="AE316" s="17"/>
    </row>
    <row r="317">
      <c r="A317" s="150"/>
      <c r="B317" s="164"/>
      <c r="C317" s="320"/>
      <c r="D317" s="150"/>
      <c r="E317" s="164"/>
      <c r="F317" s="320"/>
      <c r="G317" s="150"/>
      <c r="H317" s="164"/>
      <c r="I317" s="320"/>
      <c r="J317" s="150"/>
      <c r="K317" s="164"/>
      <c r="L317" s="320"/>
      <c r="M317" s="326"/>
      <c r="N317" s="327"/>
      <c r="O317" s="328"/>
      <c r="P317" s="326"/>
      <c r="Q317" s="327"/>
      <c r="R317" s="328"/>
      <c r="S317" s="326"/>
      <c r="T317" s="327"/>
      <c r="U317" s="328"/>
      <c r="V317" s="150"/>
      <c r="W317" s="327"/>
      <c r="X317" s="320"/>
      <c r="Y317" s="201"/>
      <c r="Z317" s="201"/>
      <c r="AA317" s="201"/>
      <c r="AB317" s="17"/>
      <c r="AC317" s="17"/>
      <c r="AD317" s="17"/>
      <c r="AE317" s="17"/>
    </row>
    <row r="318">
      <c r="A318" s="150"/>
      <c r="B318" s="164"/>
      <c r="C318" s="320"/>
      <c r="D318" s="150"/>
      <c r="E318" s="164"/>
      <c r="F318" s="320"/>
      <c r="G318" s="150"/>
      <c r="H318" s="164"/>
      <c r="I318" s="320"/>
      <c r="J318" s="150"/>
      <c r="K318" s="164"/>
      <c r="L318" s="320"/>
      <c r="M318" s="326"/>
      <c r="N318" s="327"/>
      <c r="O318" s="328"/>
      <c r="P318" s="326"/>
      <c r="Q318" s="327"/>
      <c r="R318" s="328"/>
      <c r="S318" s="326"/>
      <c r="T318" s="327"/>
      <c r="U318" s="328"/>
      <c r="V318" s="150"/>
      <c r="W318" s="327"/>
      <c r="X318" s="320"/>
      <c r="Y318" s="201"/>
      <c r="Z318" s="201"/>
      <c r="AA318" s="201"/>
      <c r="AB318" s="17"/>
      <c r="AC318" s="17"/>
      <c r="AD318" s="17"/>
      <c r="AE318" s="17"/>
    </row>
    <row r="319">
      <c r="A319" s="150"/>
      <c r="B319" s="164"/>
      <c r="C319" s="320"/>
      <c r="D319" s="150"/>
      <c r="E319" s="164"/>
      <c r="F319" s="320"/>
      <c r="G319" s="150"/>
      <c r="H319" s="164"/>
      <c r="I319" s="320"/>
      <c r="J319" s="150"/>
      <c r="K319" s="164"/>
      <c r="L319" s="320"/>
      <c r="M319" s="326"/>
      <c r="N319" s="327"/>
      <c r="O319" s="328"/>
      <c r="P319" s="326"/>
      <c r="Q319" s="327"/>
      <c r="R319" s="328"/>
      <c r="S319" s="326"/>
      <c r="T319" s="327"/>
      <c r="U319" s="328"/>
      <c r="V319" s="150"/>
      <c r="W319" s="327"/>
      <c r="X319" s="320"/>
      <c r="Y319" s="201"/>
      <c r="Z319" s="201"/>
      <c r="AA319" s="201"/>
      <c r="AB319" s="17"/>
      <c r="AC319" s="17"/>
      <c r="AD319" s="17"/>
      <c r="AE319" s="17"/>
    </row>
    <row r="320">
      <c r="A320" s="150"/>
      <c r="B320" s="164"/>
      <c r="C320" s="320"/>
      <c r="D320" s="150"/>
      <c r="E320" s="164"/>
      <c r="F320" s="320"/>
      <c r="G320" s="150"/>
      <c r="H320" s="164"/>
      <c r="I320" s="320"/>
      <c r="J320" s="150"/>
      <c r="K320" s="164"/>
      <c r="L320" s="320"/>
      <c r="M320" s="326"/>
      <c r="N320" s="327"/>
      <c r="O320" s="328"/>
      <c r="P320" s="326"/>
      <c r="Q320" s="327"/>
      <c r="R320" s="328"/>
      <c r="S320" s="326"/>
      <c r="T320" s="327"/>
      <c r="U320" s="328"/>
      <c r="V320" s="150"/>
      <c r="W320" s="327"/>
      <c r="X320" s="320"/>
      <c r="Y320" s="201"/>
      <c r="Z320" s="201"/>
      <c r="AA320" s="201"/>
      <c r="AB320" s="17"/>
      <c r="AC320" s="17"/>
      <c r="AD320" s="17"/>
      <c r="AE320" s="17"/>
    </row>
    <row r="321">
      <c r="A321" s="150"/>
      <c r="B321" s="164"/>
      <c r="C321" s="320"/>
      <c r="D321" s="150"/>
      <c r="E321" s="164"/>
      <c r="F321" s="320"/>
      <c r="G321" s="150"/>
      <c r="H321" s="164"/>
      <c r="I321" s="320"/>
      <c r="J321" s="150"/>
      <c r="K321" s="164"/>
      <c r="L321" s="320"/>
      <c r="M321" s="326"/>
      <c r="N321" s="327"/>
      <c r="O321" s="328"/>
      <c r="P321" s="326"/>
      <c r="Q321" s="327"/>
      <c r="R321" s="328"/>
      <c r="S321" s="326"/>
      <c r="T321" s="327"/>
      <c r="U321" s="328"/>
      <c r="V321" s="150"/>
      <c r="W321" s="327"/>
      <c r="X321" s="320"/>
      <c r="Y321" s="201"/>
      <c r="Z321" s="201"/>
      <c r="AA321" s="201"/>
      <c r="AB321" s="17"/>
      <c r="AC321" s="17"/>
      <c r="AD321" s="17"/>
      <c r="AE321" s="17"/>
    </row>
    <row r="322">
      <c r="A322" s="150"/>
      <c r="B322" s="164"/>
      <c r="C322" s="320"/>
      <c r="D322" s="150"/>
      <c r="E322" s="164"/>
      <c r="F322" s="320"/>
      <c r="G322" s="150"/>
      <c r="H322" s="164"/>
      <c r="I322" s="320"/>
      <c r="J322" s="150"/>
      <c r="K322" s="164"/>
      <c r="L322" s="320"/>
      <c r="M322" s="326"/>
      <c r="N322" s="327"/>
      <c r="O322" s="328"/>
      <c r="P322" s="326"/>
      <c r="Q322" s="327"/>
      <c r="R322" s="328"/>
      <c r="S322" s="326"/>
      <c r="T322" s="327"/>
      <c r="U322" s="328"/>
      <c r="V322" s="150"/>
      <c r="W322" s="327"/>
      <c r="X322" s="320"/>
      <c r="Y322" s="201"/>
      <c r="Z322" s="201"/>
      <c r="AA322" s="201"/>
      <c r="AB322" s="17"/>
      <c r="AC322" s="17"/>
      <c r="AD322" s="17"/>
      <c r="AE322" s="17"/>
    </row>
    <row r="323">
      <c r="A323" s="150"/>
      <c r="B323" s="164"/>
      <c r="C323" s="320"/>
      <c r="D323" s="150"/>
      <c r="E323" s="164"/>
      <c r="F323" s="320"/>
      <c r="G323" s="150"/>
      <c r="H323" s="164"/>
      <c r="I323" s="320"/>
      <c r="J323" s="150"/>
      <c r="K323" s="164"/>
      <c r="L323" s="320"/>
      <c r="M323" s="326"/>
      <c r="N323" s="327"/>
      <c r="O323" s="328"/>
      <c r="P323" s="326"/>
      <c r="Q323" s="327"/>
      <c r="R323" s="328"/>
      <c r="S323" s="326"/>
      <c r="T323" s="327"/>
      <c r="U323" s="328"/>
      <c r="V323" s="150"/>
      <c r="W323" s="327"/>
      <c r="X323" s="320"/>
      <c r="Y323" s="201"/>
      <c r="Z323" s="201"/>
      <c r="AA323" s="201"/>
      <c r="AB323" s="17"/>
      <c r="AC323" s="17"/>
      <c r="AD323" s="17"/>
      <c r="AE323" s="17"/>
    </row>
    <row r="324">
      <c r="A324" s="150"/>
      <c r="B324" s="164"/>
      <c r="C324" s="320"/>
      <c r="D324" s="150"/>
      <c r="E324" s="164"/>
      <c r="F324" s="320"/>
      <c r="G324" s="150"/>
      <c r="H324" s="164"/>
      <c r="I324" s="320"/>
      <c r="J324" s="150"/>
      <c r="K324" s="164"/>
      <c r="L324" s="320"/>
      <c r="M324" s="326"/>
      <c r="N324" s="327"/>
      <c r="O324" s="328"/>
      <c r="P324" s="326"/>
      <c r="Q324" s="327"/>
      <c r="R324" s="328"/>
      <c r="S324" s="326"/>
      <c r="T324" s="327"/>
      <c r="U324" s="328"/>
      <c r="V324" s="150"/>
      <c r="W324" s="327"/>
      <c r="X324" s="320"/>
      <c r="Y324" s="201"/>
      <c r="Z324" s="201"/>
      <c r="AA324" s="201"/>
      <c r="AB324" s="17"/>
      <c r="AC324" s="17"/>
      <c r="AD324" s="17"/>
      <c r="AE324" s="17"/>
    </row>
    <row r="325">
      <c r="A325" s="150"/>
      <c r="B325" s="164"/>
      <c r="C325" s="320"/>
      <c r="D325" s="150"/>
      <c r="E325" s="164"/>
      <c r="F325" s="320"/>
      <c r="G325" s="150"/>
      <c r="H325" s="164"/>
      <c r="I325" s="320"/>
      <c r="J325" s="150"/>
      <c r="K325" s="164"/>
      <c r="L325" s="320"/>
      <c r="M325" s="326"/>
      <c r="N325" s="327"/>
      <c r="O325" s="328"/>
      <c r="P325" s="326"/>
      <c r="Q325" s="327"/>
      <c r="R325" s="328"/>
      <c r="S325" s="326"/>
      <c r="T325" s="327"/>
      <c r="U325" s="328"/>
      <c r="V325" s="150"/>
      <c r="W325" s="327"/>
      <c r="X325" s="320"/>
      <c r="Y325" s="201"/>
      <c r="Z325" s="201"/>
      <c r="AA325" s="201"/>
      <c r="AB325" s="17"/>
      <c r="AC325" s="17"/>
      <c r="AD325" s="17"/>
      <c r="AE325" s="17"/>
    </row>
    <row r="326">
      <c r="A326" s="150"/>
      <c r="B326" s="164"/>
      <c r="C326" s="320"/>
      <c r="D326" s="150"/>
      <c r="E326" s="164"/>
      <c r="F326" s="320"/>
      <c r="G326" s="150"/>
      <c r="H326" s="164"/>
      <c r="I326" s="320"/>
      <c r="J326" s="150"/>
      <c r="K326" s="164"/>
      <c r="L326" s="320"/>
      <c r="M326" s="326"/>
      <c r="N326" s="327"/>
      <c r="O326" s="328"/>
      <c r="P326" s="326"/>
      <c r="Q326" s="327"/>
      <c r="R326" s="328"/>
      <c r="S326" s="326"/>
      <c r="T326" s="327"/>
      <c r="U326" s="328"/>
      <c r="V326" s="150"/>
      <c r="W326" s="327"/>
      <c r="X326" s="320"/>
      <c r="Y326" s="201"/>
      <c r="Z326" s="201"/>
      <c r="AA326" s="201"/>
      <c r="AB326" s="17"/>
      <c r="AC326" s="17"/>
      <c r="AD326" s="17"/>
      <c r="AE326" s="17"/>
    </row>
    <row r="327">
      <c r="A327" s="150"/>
      <c r="B327" s="164"/>
      <c r="C327" s="320"/>
      <c r="D327" s="150"/>
      <c r="E327" s="164"/>
      <c r="F327" s="320"/>
      <c r="G327" s="150"/>
      <c r="H327" s="164"/>
      <c r="I327" s="320"/>
      <c r="J327" s="150"/>
      <c r="K327" s="164"/>
      <c r="L327" s="320"/>
      <c r="M327" s="326"/>
      <c r="N327" s="327"/>
      <c r="O327" s="328"/>
      <c r="P327" s="326"/>
      <c r="Q327" s="327"/>
      <c r="R327" s="328"/>
      <c r="S327" s="326"/>
      <c r="T327" s="327"/>
      <c r="U327" s="328"/>
      <c r="V327" s="150"/>
      <c r="W327" s="327"/>
      <c r="X327" s="320"/>
      <c r="Y327" s="201"/>
      <c r="Z327" s="201"/>
      <c r="AA327" s="201"/>
      <c r="AB327" s="17"/>
      <c r="AC327" s="17"/>
      <c r="AD327" s="17"/>
      <c r="AE327" s="17"/>
    </row>
    <row r="328">
      <c r="A328" s="150"/>
      <c r="B328" s="164"/>
      <c r="C328" s="320"/>
      <c r="D328" s="150"/>
      <c r="E328" s="164"/>
      <c r="F328" s="320"/>
      <c r="G328" s="150"/>
      <c r="H328" s="164"/>
      <c r="I328" s="320"/>
      <c r="J328" s="150"/>
      <c r="K328" s="164"/>
      <c r="L328" s="320"/>
      <c r="M328" s="326"/>
      <c r="N328" s="327"/>
      <c r="O328" s="328"/>
      <c r="P328" s="326"/>
      <c r="Q328" s="327"/>
      <c r="R328" s="328"/>
      <c r="S328" s="326"/>
      <c r="T328" s="327"/>
      <c r="U328" s="328"/>
      <c r="V328" s="150"/>
      <c r="W328" s="327"/>
      <c r="X328" s="320"/>
      <c r="Y328" s="201"/>
      <c r="Z328" s="201"/>
      <c r="AA328" s="201"/>
      <c r="AB328" s="17"/>
      <c r="AC328" s="17"/>
      <c r="AD328" s="17"/>
      <c r="AE328" s="17"/>
    </row>
    <row r="329">
      <c r="A329" s="150"/>
      <c r="B329" s="164"/>
      <c r="C329" s="320"/>
      <c r="D329" s="150"/>
      <c r="E329" s="164"/>
      <c r="F329" s="320"/>
      <c r="G329" s="150"/>
      <c r="H329" s="164"/>
      <c r="I329" s="320"/>
      <c r="J329" s="150"/>
      <c r="K329" s="164"/>
      <c r="L329" s="320"/>
      <c r="M329" s="326"/>
      <c r="N329" s="327"/>
      <c r="O329" s="328"/>
      <c r="P329" s="326"/>
      <c r="Q329" s="327"/>
      <c r="R329" s="328"/>
      <c r="S329" s="326"/>
      <c r="T329" s="327"/>
      <c r="U329" s="328"/>
      <c r="V329" s="150"/>
      <c r="W329" s="327"/>
      <c r="X329" s="320"/>
      <c r="Y329" s="201"/>
      <c r="Z329" s="201"/>
      <c r="AA329" s="201"/>
      <c r="AB329" s="17"/>
      <c r="AC329" s="17"/>
      <c r="AD329" s="17"/>
      <c r="AE329" s="17"/>
    </row>
    <row r="330">
      <c r="A330" s="150"/>
      <c r="B330" s="164"/>
      <c r="C330" s="320"/>
      <c r="D330" s="150"/>
      <c r="E330" s="164"/>
      <c r="F330" s="320"/>
      <c r="G330" s="150"/>
      <c r="H330" s="164"/>
      <c r="I330" s="320"/>
      <c r="J330" s="150"/>
      <c r="K330" s="164"/>
      <c r="L330" s="320"/>
      <c r="M330" s="326"/>
      <c r="N330" s="327"/>
      <c r="O330" s="328"/>
      <c r="P330" s="326"/>
      <c r="Q330" s="327"/>
      <c r="R330" s="328"/>
      <c r="S330" s="326"/>
      <c r="T330" s="327"/>
      <c r="U330" s="328"/>
      <c r="V330" s="150"/>
      <c r="W330" s="327"/>
      <c r="X330" s="320"/>
      <c r="Y330" s="201"/>
      <c r="Z330" s="201"/>
      <c r="AA330" s="201"/>
      <c r="AB330" s="17"/>
      <c r="AC330" s="17"/>
      <c r="AD330" s="17"/>
      <c r="AE330" s="17"/>
    </row>
    <row r="331">
      <c r="A331" s="150"/>
      <c r="B331" s="164"/>
      <c r="C331" s="320"/>
      <c r="D331" s="150"/>
      <c r="E331" s="164"/>
      <c r="F331" s="320"/>
      <c r="G331" s="150"/>
      <c r="H331" s="164"/>
      <c r="I331" s="320"/>
      <c r="J331" s="150"/>
      <c r="K331" s="164"/>
      <c r="L331" s="320"/>
      <c r="M331" s="326"/>
      <c r="N331" s="327"/>
      <c r="O331" s="328"/>
      <c r="P331" s="326"/>
      <c r="Q331" s="327"/>
      <c r="R331" s="328"/>
      <c r="S331" s="326"/>
      <c r="T331" s="327"/>
      <c r="U331" s="328"/>
      <c r="V331" s="150"/>
      <c r="W331" s="327"/>
      <c r="X331" s="320"/>
      <c r="Y331" s="201"/>
      <c r="Z331" s="201"/>
      <c r="AA331" s="201"/>
      <c r="AB331" s="17"/>
      <c r="AC331" s="17"/>
      <c r="AD331" s="17"/>
      <c r="AE331" s="17"/>
    </row>
    <row r="332">
      <c r="A332" s="150"/>
      <c r="B332" s="164"/>
      <c r="C332" s="320"/>
      <c r="D332" s="150"/>
      <c r="E332" s="164"/>
      <c r="F332" s="320"/>
      <c r="G332" s="150"/>
      <c r="H332" s="164"/>
      <c r="I332" s="320"/>
      <c r="J332" s="150"/>
      <c r="K332" s="164"/>
      <c r="L332" s="320"/>
      <c r="M332" s="326"/>
      <c r="N332" s="327"/>
      <c r="O332" s="328"/>
      <c r="P332" s="326"/>
      <c r="Q332" s="327"/>
      <c r="R332" s="328"/>
      <c r="S332" s="326"/>
      <c r="T332" s="327"/>
      <c r="U332" s="328"/>
      <c r="V332" s="150"/>
      <c r="W332" s="327"/>
      <c r="X332" s="320"/>
      <c r="Y332" s="201"/>
      <c r="Z332" s="201"/>
      <c r="AA332" s="201"/>
      <c r="AB332" s="17"/>
      <c r="AC332" s="17"/>
      <c r="AD332" s="17"/>
      <c r="AE332" s="17"/>
    </row>
    <row r="333">
      <c r="A333" s="150"/>
      <c r="B333" s="164"/>
      <c r="C333" s="320"/>
      <c r="D333" s="150"/>
      <c r="E333" s="164"/>
      <c r="F333" s="320"/>
      <c r="G333" s="150"/>
      <c r="H333" s="164"/>
      <c r="I333" s="320"/>
      <c r="J333" s="150"/>
      <c r="K333" s="164"/>
      <c r="L333" s="320"/>
      <c r="M333" s="326"/>
      <c r="N333" s="327"/>
      <c r="O333" s="328"/>
      <c r="P333" s="326"/>
      <c r="Q333" s="327"/>
      <c r="R333" s="328"/>
      <c r="S333" s="326"/>
      <c r="T333" s="327"/>
      <c r="U333" s="328"/>
      <c r="V333" s="150"/>
      <c r="W333" s="327"/>
      <c r="X333" s="320"/>
      <c r="Y333" s="201"/>
      <c r="Z333" s="201"/>
      <c r="AA333" s="201"/>
      <c r="AB333" s="17"/>
      <c r="AC333" s="17"/>
      <c r="AD333" s="17"/>
      <c r="AE333" s="17"/>
    </row>
    <row r="334">
      <c r="A334" s="150"/>
      <c r="B334" s="164"/>
      <c r="C334" s="320"/>
      <c r="D334" s="150"/>
      <c r="E334" s="164"/>
      <c r="F334" s="320"/>
      <c r="G334" s="150"/>
      <c r="H334" s="164"/>
      <c r="I334" s="320"/>
      <c r="J334" s="150"/>
      <c r="K334" s="164"/>
      <c r="L334" s="320"/>
      <c r="M334" s="326"/>
      <c r="N334" s="327"/>
      <c r="O334" s="328"/>
      <c r="P334" s="326"/>
      <c r="Q334" s="327"/>
      <c r="R334" s="328"/>
      <c r="S334" s="326"/>
      <c r="T334" s="327"/>
      <c r="U334" s="328"/>
      <c r="V334" s="150"/>
      <c r="W334" s="327"/>
      <c r="X334" s="320"/>
      <c r="Y334" s="201"/>
      <c r="Z334" s="201"/>
      <c r="AA334" s="201"/>
      <c r="AB334" s="17"/>
      <c r="AC334" s="17"/>
      <c r="AD334" s="17"/>
      <c r="AE334" s="17"/>
    </row>
    <row r="335">
      <c r="A335" s="150"/>
      <c r="B335" s="164"/>
      <c r="C335" s="320"/>
      <c r="D335" s="150"/>
      <c r="E335" s="164"/>
      <c r="F335" s="320"/>
      <c r="G335" s="150"/>
      <c r="H335" s="164"/>
      <c r="I335" s="320"/>
      <c r="J335" s="150"/>
      <c r="K335" s="164"/>
      <c r="L335" s="320"/>
      <c r="M335" s="326"/>
      <c r="N335" s="327"/>
      <c r="O335" s="328"/>
      <c r="P335" s="326"/>
      <c r="Q335" s="327"/>
      <c r="R335" s="328"/>
      <c r="S335" s="326"/>
      <c r="T335" s="327"/>
      <c r="U335" s="328"/>
      <c r="V335" s="150"/>
      <c r="W335" s="327"/>
      <c r="X335" s="320"/>
      <c r="Y335" s="201"/>
      <c r="Z335" s="201"/>
      <c r="AA335" s="201"/>
      <c r="AB335" s="17"/>
      <c r="AC335" s="17"/>
      <c r="AD335" s="17"/>
      <c r="AE335" s="17"/>
    </row>
    <row r="336">
      <c r="A336" s="150"/>
      <c r="B336" s="164"/>
      <c r="C336" s="320"/>
      <c r="D336" s="150"/>
      <c r="E336" s="164"/>
      <c r="F336" s="320"/>
      <c r="G336" s="150"/>
      <c r="H336" s="164"/>
      <c r="I336" s="320"/>
      <c r="J336" s="150"/>
      <c r="K336" s="164"/>
      <c r="L336" s="320"/>
      <c r="M336" s="326"/>
      <c r="N336" s="327"/>
      <c r="O336" s="328"/>
      <c r="P336" s="326"/>
      <c r="Q336" s="327"/>
      <c r="R336" s="328"/>
      <c r="S336" s="326"/>
      <c r="T336" s="327"/>
      <c r="U336" s="328"/>
      <c r="V336" s="150"/>
      <c r="W336" s="327"/>
      <c r="X336" s="320"/>
      <c r="Y336" s="201"/>
      <c r="Z336" s="201"/>
      <c r="AA336" s="201"/>
      <c r="AB336" s="17"/>
      <c r="AC336" s="17"/>
      <c r="AD336" s="17"/>
      <c r="AE336" s="17"/>
    </row>
    <row r="337">
      <c r="A337" s="150"/>
      <c r="B337" s="164"/>
      <c r="C337" s="320"/>
      <c r="D337" s="150"/>
      <c r="E337" s="164"/>
      <c r="F337" s="320"/>
      <c r="G337" s="150"/>
      <c r="H337" s="164"/>
      <c r="I337" s="320"/>
      <c r="J337" s="150"/>
      <c r="K337" s="164"/>
      <c r="L337" s="320"/>
      <c r="M337" s="326"/>
      <c r="N337" s="327"/>
      <c r="O337" s="328"/>
      <c r="P337" s="326"/>
      <c r="Q337" s="327"/>
      <c r="R337" s="328"/>
      <c r="S337" s="326"/>
      <c r="T337" s="327"/>
      <c r="U337" s="328"/>
      <c r="V337" s="150"/>
      <c r="W337" s="327"/>
      <c r="X337" s="320"/>
      <c r="Y337" s="201"/>
      <c r="Z337" s="201"/>
      <c r="AA337" s="201"/>
      <c r="AB337" s="17"/>
      <c r="AC337" s="17"/>
      <c r="AD337" s="17"/>
      <c r="AE337" s="17"/>
    </row>
    <row r="338">
      <c r="A338" s="150"/>
      <c r="B338" s="164"/>
      <c r="C338" s="320"/>
      <c r="D338" s="150"/>
      <c r="E338" s="164"/>
      <c r="F338" s="320"/>
      <c r="G338" s="150"/>
      <c r="H338" s="164"/>
      <c r="I338" s="320"/>
      <c r="J338" s="150"/>
      <c r="K338" s="164"/>
      <c r="L338" s="320"/>
      <c r="M338" s="326"/>
      <c r="N338" s="327"/>
      <c r="O338" s="328"/>
      <c r="P338" s="326"/>
      <c r="Q338" s="327"/>
      <c r="R338" s="328"/>
      <c r="S338" s="326"/>
      <c r="T338" s="327"/>
      <c r="U338" s="328"/>
      <c r="V338" s="150"/>
      <c r="W338" s="327"/>
      <c r="X338" s="320"/>
      <c r="Y338" s="201"/>
      <c r="Z338" s="201"/>
      <c r="AA338" s="201"/>
      <c r="AB338" s="17"/>
      <c r="AC338" s="17"/>
      <c r="AD338" s="17"/>
      <c r="AE338" s="17"/>
    </row>
    <row r="339">
      <c r="A339" s="150"/>
      <c r="B339" s="164"/>
      <c r="C339" s="320"/>
      <c r="D339" s="150"/>
      <c r="E339" s="164"/>
      <c r="F339" s="320"/>
      <c r="G339" s="150"/>
      <c r="H339" s="164"/>
      <c r="I339" s="320"/>
      <c r="J339" s="150"/>
      <c r="K339" s="164"/>
      <c r="L339" s="320"/>
      <c r="M339" s="326"/>
      <c r="N339" s="327"/>
      <c r="O339" s="328"/>
      <c r="P339" s="326"/>
      <c r="Q339" s="327"/>
      <c r="R339" s="328"/>
      <c r="S339" s="326"/>
      <c r="T339" s="327"/>
      <c r="U339" s="328"/>
      <c r="V339" s="150"/>
      <c r="W339" s="327"/>
      <c r="X339" s="320"/>
      <c r="Y339" s="201"/>
      <c r="Z339" s="201"/>
      <c r="AA339" s="201"/>
      <c r="AB339" s="17"/>
      <c r="AC339" s="17"/>
      <c r="AD339" s="17"/>
      <c r="AE339" s="17"/>
    </row>
    <row r="340">
      <c r="A340" s="150"/>
      <c r="B340" s="164"/>
      <c r="C340" s="320"/>
      <c r="D340" s="150"/>
      <c r="E340" s="164"/>
      <c r="F340" s="320"/>
      <c r="G340" s="150"/>
      <c r="H340" s="164"/>
      <c r="I340" s="320"/>
      <c r="J340" s="150"/>
      <c r="K340" s="164"/>
      <c r="L340" s="320"/>
      <c r="M340" s="326"/>
      <c r="N340" s="327"/>
      <c r="O340" s="328"/>
      <c r="P340" s="326"/>
      <c r="Q340" s="327"/>
      <c r="R340" s="328"/>
      <c r="S340" s="326"/>
      <c r="T340" s="327"/>
      <c r="U340" s="328"/>
      <c r="V340" s="150"/>
      <c r="W340" s="327"/>
      <c r="X340" s="320"/>
      <c r="Y340" s="201"/>
      <c r="Z340" s="201"/>
      <c r="AA340" s="201"/>
      <c r="AB340" s="17"/>
      <c r="AC340" s="17"/>
      <c r="AD340" s="17"/>
      <c r="AE340" s="17"/>
    </row>
    <row r="341">
      <c r="A341" s="150"/>
      <c r="B341" s="164"/>
      <c r="C341" s="320"/>
      <c r="D341" s="150"/>
      <c r="E341" s="164"/>
      <c r="F341" s="320"/>
      <c r="G341" s="150"/>
      <c r="H341" s="164"/>
      <c r="I341" s="320"/>
      <c r="J341" s="150"/>
      <c r="K341" s="164"/>
      <c r="L341" s="320"/>
      <c r="M341" s="326"/>
      <c r="N341" s="327"/>
      <c r="O341" s="328"/>
      <c r="P341" s="326"/>
      <c r="Q341" s="327"/>
      <c r="R341" s="328"/>
      <c r="S341" s="326"/>
      <c r="T341" s="327"/>
      <c r="U341" s="328"/>
      <c r="V341" s="150"/>
      <c r="W341" s="327"/>
      <c r="X341" s="320"/>
      <c r="Y341" s="201"/>
      <c r="Z341" s="201"/>
      <c r="AA341" s="201"/>
      <c r="AB341" s="17"/>
      <c r="AC341" s="17"/>
      <c r="AD341" s="17"/>
      <c r="AE341" s="17"/>
    </row>
    <row r="342">
      <c r="A342" s="150"/>
      <c r="B342" s="164"/>
      <c r="C342" s="320"/>
      <c r="D342" s="150"/>
      <c r="E342" s="164"/>
      <c r="F342" s="320"/>
      <c r="G342" s="150"/>
      <c r="H342" s="164"/>
      <c r="I342" s="320"/>
      <c r="J342" s="150"/>
      <c r="K342" s="164"/>
      <c r="L342" s="320"/>
      <c r="M342" s="326"/>
      <c r="N342" s="327"/>
      <c r="O342" s="328"/>
      <c r="P342" s="326"/>
      <c r="Q342" s="327"/>
      <c r="R342" s="328"/>
      <c r="S342" s="326"/>
      <c r="T342" s="327"/>
      <c r="U342" s="328"/>
      <c r="V342" s="150"/>
      <c r="W342" s="327"/>
      <c r="X342" s="320"/>
      <c r="Y342" s="201"/>
      <c r="Z342" s="201"/>
      <c r="AA342" s="201"/>
      <c r="AB342" s="17"/>
      <c r="AC342" s="17"/>
      <c r="AD342" s="17"/>
      <c r="AE342" s="17"/>
    </row>
    <row r="343">
      <c r="A343" s="150"/>
      <c r="B343" s="164"/>
      <c r="C343" s="320"/>
      <c r="D343" s="150"/>
      <c r="E343" s="164"/>
      <c r="F343" s="320"/>
      <c r="G343" s="150"/>
      <c r="H343" s="164"/>
      <c r="I343" s="320"/>
      <c r="J343" s="150"/>
      <c r="K343" s="164"/>
      <c r="L343" s="320"/>
      <c r="M343" s="326"/>
      <c r="N343" s="327"/>
      <c r="O343" s="328"/>
      <c r="P343" s="326"/>
      <c r="Q343" s="327"/>
      <c r="R343" s="328"/>
      <c r="S343" s="326"/>
      <c r="T343" s="327"/>
      <c r="U343" s="328"/>
      <c r="V343" s="150"/>
      <c r="W343" s="327"/>
      <c r="X343" s="320"/>
      <c r="Y343" s="201"/>
      <c r="Z343" s="201"/>
      <c r="AA343" s="201"/>
      <c r="AB343" s="17"/>
      <c r="AC343" s="17"/>
      <c r="AD343" s="17"/>
      <c r="AE343" s="17"/>
    </row>
    <row r="344">
      <c r="A344" s="150"/>
      <c r="B344" s="164"/>
      <c r="C344" s="320"/>
      <c r="D344" s="150"/>
      <c r="E344" s="164"/>
      <c r="F344" s="320"/>
      <c r="G344" s="150"/>
      <c r="H344" s="164"/>
      <c r="I344" s="320"/>
      <c r="J344" s="150"/>
      <c r="K344" s="164"/>
      <c r="L344" s="320"/>
      <c r="M344" s="326"/>
      <c r="N344" s="327"/>
      <c r="O344" s="328"/>
      <c r="P344" s="326"/>
      <c r="Q344" s="327"/>
      <c r="R344" s="328"/>
      <c r="S344" s="326"/>
      <c r="T344" s="327"/>
      <c r="U344" s="328"/>
      <c r="V344" s="150"/>
      <c r="W344" s="327"/>
      <c r="X344" s="320"/>
      <c r="Y344" s="201"/>
      <c r="Z344" s="201"/>
      <c r="AA344" s="201"/>
      <c r="AB344" s="17"/>
      <c r="AC344" s="17"/>
      <c r="AD344" s="17"/>
      <c r="AE344" s="17"/>
    </row>
    <row r="345">
      <c r="A345" s="150"/>
      <c r="B345" s="164"/>
      <c r="C345" s="320"/>
      <c r="D345" s="150"/>
      <c r="E345" s="164"/>
      <c r="F345" s="320"/>
      <c r="G345" s="150"/>
      <c r="H345" s="164"/>
      <c r="I345" s="320"/>
      <c r="J345" s="150"/>
      <c r="K345" s="164"/>
      <c r="L345" s="320"/>
      <c r="M345" s="326"/>
      <c r="N345" s="327"/>
      <c r="O345" s="328"/>
      <c r="P345" s="326"/>
      <c r="Q345" s="327"/>
      <c r="R345" s="328"/>
      <c r="S345" s="326"/>
      <c r="T345" s="327"/>
      <c r="U345" s="328"/>
      <c r="V345" s="150"/>
      <c r="W345" s="327"/>
      <c r="X345" s="320"/>
      <c r="Y345" s="201"/>
      <c r="Z345" s="201"/>
      <c r="AA345" s="201"/>
      <c r="AB345" s="17"/>
      <c r="AC345" s="17"/>
      <c r="AD345" s="17"/>
      <c r="AE345" s="17"/>
    </row>
    <row r="346">
      <c r="A346" s="150"/>
      <c r="B346" s="164"/>
      <c r="C346" s="320"/>
      <c r="D346" s="150"/>
      <c r="E346" s="164"/>
      <c r="F346" s="320"/>
      <c r="G346" s="150"/>
      <c r="H346" s="164"/>
      <c r="I346" s="320"/>
      <c r="J346" s="150"/>
      <c r="K346" s="164"/>
      <c r="L346" s="320"/>
      <c r="M346" s="326"/>
      <c r="N346" s="327"/>
      <c r="O346" s="328"/>
      <c r="P346" s="326"/>
      <c r="Q346" s="327"/>
      <c r="R346" s="328"/>
      <c r="S346" s="326"/>
      <c r="T346" s="327"/>
      <c r="U346" s="328"/>
      <c r="V346" s="150"/>
      <c r="W346" s="327"/>
      <c r="X346" s="320"/>
      <c r="Y346" s="201"/>
      <c r="Z346" s="201"/>
      <c r="AA346" s="201"/>
      <c r="AB346" s="17"/>
      <c r="AC346" s="17"/>
      <c r="AD346" s="17"/>
      <c r="AE346" s="17"/>
    </row>
    <row r="347">
      <c r="A347" s="150"/>
      <c r="B347" s="164"/>
      <c r="C347" s="320"/>
      <c r="D347" s="150"/>
      <c r="E347" s="164"/>
      <c r="F347" s="320"/>
      <c r="G347" s="150"/>
      <c r="H347" s="164"/>
      <c r="I347" s="320"/>
      <c r="J347" s="150"/>
      <c r="K347" s="164"/>
      <c r="L347" s="320"/>
      <c r="M347" s="326"/>
      <c r="N347" s="327"/>
      <c r="O347" s="328"/>
      <c r="P347" s="326"/>
      <c r="Q347" s="327"/>
      <c r="R347" s="328"/>
      <c r="S347" s="326"/>
      <c r="T347" s="327"/>
      <c r="U347" s="328"/>
      <c r="V347" s="150"/>
      <c r="W347" s="327"/>
      <c r="X347" s="320"/>
      <c r="Y347" s="201"/>
      <c r="Z347" s="201"/>
      <c r="AA347" s="201"/>
      <c r="AB347" s="17"/>
      <c r="AC347" s="17"/>
      <c r="AD347" s="17"/>
      <c r="AE347" s="17"/>
    </row>
    <row r="348">
      <c r="A348" s="150"/>
      <c r="B348" s="164"/>
      <c r="C348" s="320"/>
      <c r="D348" s="150"/>
      <c r="E348" s="164"/>
      <c r="F348" s="320"/>
      <c r="G348" s="150"/>
      <c r="H348" s="164"/>
      <c r="I348" s="320"/>
      <c r="J348" s="150"/>
      <c r="K348" s="164"/>
      <c r="L348" s="320"/>
      <c r="M348" s="326"/>
      <c r="N348" s="327"/>
      <c r="O348" s="328"/>
      <c r="P348" s="326"/>
      <c r="Q348" s="327"/>
      <c r="R348" s="328"/>
      <c r="S348" s="326"/>
      <c r="T348" s="327"/>
      <c r="U348" s="328"/>
      <c r="V348" s="150"/>
      <c r="W348" s="327"/>
      <c r="X348" s="320"/>
      <c r="Y348" s="201"/>
      <c r="Z348" s="201"/>
      <c r="AA348" s="201"/>
      <c r="AB348" s="17"/>
      <c r="AC348" s="17"/>
      <c r="AD348" s="17"/>
      <c r="AE348" s="17"/>
    </row>
    <row r="349">
      <c r="A349" s="150"/>
      <c r="B349" s="164"/>
      <c r="C349" s="320"/>
      <c r="D349" s="150"/>
      <c r="E349" s="164"/>
      <c r="F349" s="320"/>
      <c r="G349" s="150"/>
      <c r="H349" s="164"/>
      <c r="I349" s="320"/>
      <c r="J349" s="150"/>
      <c r="K349" s="164"/>
      <c r="L349" s="320"/>
      <c r="M349" s="326"/>
      <c r="N349" s="327"/>
      <c r="O349" s="328"/>
      <c r="P349" s="326"/>
      <c r="Q349" s="327"/>
      <c r="R349" s="328"/>
      <c r="S349" s="326"/>
      <c r="T349" s="327"/>
      <c r="U349" s="328"/>
      <c r="V349" s="150"/>
      <c r="W349" s="327"/>
      <c r="X349" s="320"/>
      <c r="Y349" s="201"/>
      <c r="Z349" s="201"/>
      <c r="AA349" s="201"/>
      <c r="AB349" s="17"/>
      <c r="AC349" s="17"/>
      <c r="AD349" s="17"/>
      <c r="AE349" s="17"/>
    </row>
    <row r="350">
      <c r="A350" s="150"/>
      <c r="B350" s="164"/>
      <c r="C350" s="320"/>
      <c r="D350" s="150"/>
      <c r="E350" s="164"/>
      <c r="F350" s="320"/>
      <c r="G350" s="150"/>
      <c r="H350" s="164"/>
      <c r="I350" s="320"/>
      <c r="J350" s="150"/>
      <c r="K350" s="164"/>
      <c r="L350" s="320"/>
      <c r="M350" s="326"/>
      <c r="N350" s="327"/>
      <c r="O350" s="328"/>
      <c r="P350" s="326"/>
      <c r="Q350" s="327"/>
      <c r="R350" s="328"/>
      <c r="S350" s="326"/>
      <c r="T350" s="327"/>
      <c r="U350" s="328"/>
      <c r="V350" s="150"/>
      <c r="W350" s="327"/>
      <c r="X350" s="320"/>
      <c r="Y350" s="201"/>
      <c r="Z350" s="201"/>
      <c r="AA350" s="201"/>
      <c r="AB350" s="17"/>
      <c r="AC350" s="17"/>
      <c r="AD350" s="17"/>
      <c r="AE350" s="17"/>
    </row>
    <row r="351">
      <c r="A351" s="150"/>
      <c r="B351" s="164"/>
      <c r="C351" s="320"/>
      <c r="D351" s="150"/>
      <c r="E351" s="164"/>
      <c r="F351" s="320"/>
      <c r="G351" s="150"/>
      <c r="H351" s="164"/>
      <c r="I351" s="320"/>
      <c r="J351" s="150"/>
      <c r="K351" s="164"/>
      <c r="L351" s="320"/>
      <c r="M351" s="326"/>
      <c r="N351" s="327"/>
      <c r="O351" s="328"/>
      <c r="P351" s="326"/>
      <c r="Q351" s="327"/>
      <c r="R351" s="328"/>
      <c r="S351" s="326"/>
      <c r="T351" s="327"/>
      <c r="U351" s="328"/>
      <c r="V351" s="150"/>
      <c r="W351" s="327"/>
      <c r="X351" s="320"/>
      <c r="Y351" s="201"/>
      <c r="Z351" s="201"/>
      <c r="AA351" s="201"/>
      <c r="AB351" s="17"/>
      <c r="AC351" s="17"/>
      <c r="AD351" s="17"/>
      <c r="AE351" s="17"/>
    </row>
    <row r="352">
      <c r="A352" s="150"/>
      <c r="B352" s="164"/>
      <c r="C352" s="320"/>
      <c r="D352" s="150"/>
      <c r="E352" s="164"/>
      <c r="F352" s="320"/>
      <c r="G352" s="150"/>
      <c r="H352" s="164"/>
      <c r="I352" s="320"/>
      <c r="J352" s="150"/>
      <c r="K352" s="164"/>
      <c r="L352" s="320"/>
      <c r="M352" s="326"/>
      <c r="N352" s="327"/>
      <c r="O352" s="328"/>
      <c r="P352" s="326"/>
      <c r="Q352" s="327"/>
      <c r="R352" s="328"/>
      <c r="S352" s="326"/>
      <c r="T352" s="327"/>
      <c r="U352" s="328"/>
      <c r="V352" s="150"/>
      <c r="W352" s="327"/>
      <c r="X352" s="320"/>
      <c r="Y352" s="201"/>
      <c r="Z352" s="201"/>
      <c r="AA352" s="201"/>
      <c r="AB352" s="17"/>
      <c r="AC352" s="17"/>
      <c r="AD352" s="17"/>
      <c r="AE352" s="17"/>
    </row>
    <row r="353">
      <c r="A353" s="150"/>
      <c r="B353" s="164"/>
      <c r="C353" s="320"/>
      <c r="D353" s="150"/>
      <c r="E353" s="164"/>
      <c r="F353" s="320"/>
      <c r="G353" s="150"/>
      <c r="H353" s="164"/>
      <c r="I353" s="320"/>
      <c r="J353" s="150"/>
      <c r="K353" s="164"/>
      <c r="L353" s="320"/>
      <c r="M353" s="326"/>
      <c r="N353" s="327"/>
      <c r="O353" s="328"/>
      <c r="P353" s="326"/>
      <c r="Q353" s="327"/>
      <c r="R353" s="328"/>
      <c r="S353" s="326"/>
      <c r="T353" s="327"/>
      <c r="U353" s="328"/>
      <c r="V353" s="150"/>
      <c r="W353" s="327"/>
      <c r="X353" s="320"/>
      <c r="Y353" s="201"/>
      <c r="Z353" s="201"/>
      <c r="AA353" s="201"/>
      <c r="AB353" s="17"/>
      <c r="AC353" s="17"/>
      <c r="AD353" s="17"/>
      <c r="AE353" s="17"/>
    </row>
    <row r="354">
      <c r="A354" s="150"/>
      <c r="B354" s="164"/>
      <c r="C354" s="320"/>
      <c r="D354" s="150"/>
      <c r="E354" s="164"/>
      <c r="F354" s="320"/>
      <c r="G354" s="150"/>
      <c r="H354" s="164"/>
      <c r="I354" s="320"/>
      <c r="J354" s="150"/>
      <c r="K354" s="164"/>
      <c r="L354" s="320"/>
      <c r="M354" s="326"/>
      <c r="N354" s="327"/>
      <c r="O354" s="328"/>
      <c r="P354" s="326"/>
      <c r="Q354" s="327"/>
      <c r="R354" s="328"/>
      <c r="S354" s="326"/>
      <c r="T354" s="327"/>
      <c r="U354" s="328"/>
      <c r="V354" s="150"/>
      <c r="W354" s="327"/>
      <c r="X354" s="320"/>
      <c r="Y354" s="201"/>
      <c r="Z354" s="201"/>
      <c r="AA354" s="201"/>
      <c r="AB354" s="17"/>
      <c r="AC354" s="17"/>
      <c r="AD354" s="17"/>
      <c r="AE354" s="17"/>
    </row>
    <row r="355">
      <c r="A355" s="150"/>
      <c r="B355" s="164"/>
      <c r="C355" s="320"/>
      <c r="D355" s="150"/>
      <c r="E355" s="164"/>
      <c r="F355" s="320"/>
      <c r="G355" s="150"/>
      <c r="H355" s="164"/>
      <c r="I355" s="320"/>
      <c r="J355" s="150"/>
      <c r="K355" s="164"/>
      <c r="L355" s="320"/>
      <c r="M355" s="326"/>
      <c r="N355" s="327"/>
      <c r="O355" s="328"/>
      <c r="P355" s="326"/>
      <c r="Q355" s="327"/>
      <c r="R355" s="328"/>
      <c r="S355" s="326"/>
      <c r="T355" s="327"/>
      <c r="U355" s="328"/>
      <c r="V355" s="150"/>
      <c r="W355" s="327"/>
      <c r="X355" s="320"/>
      <c r="Y355" s="201"/>
      <c r="Z355" s="201"/>
      <c r="AA355" s="201"/>
      <c r="AB355" s="17"/>
      <c r="AC355" s="17"/>
      <c r="AD355" s="17"/>
      <c r="AE355" s="17"/>
    </row>
    <row r="356">
      <c r="A356" s="150"/>
      <c r="B356" s="164"/>
      <c r="C356" s="320"/>
      <c r="D356" s="150"/>
      <c r="E356" s="164"/>
      <c r="F356" s="320"/>
      <c r="G356" s="150"/>
      <c r="H356" s="164"/>
      <c r="I356" s="320"/>
      <c r="J356" s="150"/>
      <c r="K356" s="164"/>
      <c r="L356" s="320"/>
      <c r="M356" s="326"/>
      <c r="N356" s="327"/>
      <c r="O356" s="328"/>
      <c r="P356" s="326"/>
      <c r="Q356" s="327"/>
      <c r="R356" s="328"/>
      <c r="S356" s="326"/>
      <c r="T356" s="327"/>
      <c r="U356" s="328"/>
      <c r="V356" s="150"/>
      <c r="W356" s="327"/>
      <c r="X356" s="320"/>
      <c r="Y356" s="201"/>
      <c r="Z356" s="201"/>
      <c r="AA356" s="201"/>
      <c r="AB356" s="17"/>
      <c r="AC356" s="17"/>
      <c r="AD356" s="17"/>
      <c r="AE356" s="17"/>
    </row>
    <row r="357">
      <c r="A357" s="150"/>
      <c r="B357" s="164"/>
      <c r="C357" s="320"/>
      <c r="D357" s="150"/>
      <c r="E357" s="164"/>
      <c r="F357" s="320"/>
      <c r="G357" s="150"/>
      <c r="H357" s="164"/>
      <c r="I357" s="320"/>
      <c r="J357" s="150"/>
      <c r="K357" s="164"/>
      <c r="L357" s="320"/>
      <c r="M357" s="326"/>
      <c r="N357" s="327"/>
      <c r="O357" s="328"/>
      <c r="P357" s="326"/>
      <c r="Q357" s="327"/>
      <c r="R357" s="328"/>
      <c r="S357" s="326"/>
      <c r="T357" s="327"/>
      <c r="U357" s="328"/>
      <c r="V357" s="150"/>
      <c r="W357" s="327"/>
      <c r="X357" s="320"/>
      <c r="Y357" s="201"/>
      <c r="Z357" s="201"/>
      <c r="AA357" s="201"/>
      <c r="AB357" s="17"/>
      <c r="AC357" s="17"/>
      <c r="AD357" s="17"/>
      <c r="AE357" s="17"/>
    </row>
    <row r="358">
      <c r="A358" s="150"/>
      <c r="B358" s="164"/>
      <c r="C358" s="320"/>
      <c r="D358" s="150"/>
      <c r="E358" s="164"/>
      <c r="F358" s="320"/>
      <c r="G358" s="150"/>
      <c r="H358" s="164"/>
      <c r="I358" s="320"/>
      <c r="J358" s="150"/>
      <c r="K358" s="164"/>
      <c r="L358" s="320"/>
      <c r="M358" s="326"/>
      <c r="N358" s="327"/>
      <c r="O358" s="328"/>
      <c r="P358" s="326"/>
      <c r="Q358" s="327"/>
      <c r="R358" s="328"/>
      <c r="S358" s="326"/>
      <c r="T358" s="327"/>
      <c r="U358" s="328"/>
      <c r="V358" s="150"/>
      <c r="W358" s="327"/>
      <c r="X358" s="320"/>
      <c r="Y358" s="201"/>
      <c r="Z358" s="201"/>
      <c r="AA358" s="201"/>
      <c r="AB358" s="17"/>
      <c r="AC358" s="17"/>
      <c r="AD358" s="17"/>
      <c r="AE358" s="17"/>
    </row>
    <row r="359">
      <c r="A359" s="150"/>
      <c r="B359" s="164"/>
      <c r="C359" s="320"/>
      <c r="D359" s="150"/>
      <c r="E359" s="164"/>
      <c r="F359" s="320"/>
      <c r="G359" s="150"/>
      <c r="H359" s="164"/>
      <c r="I359" s="320"/>
      <c r="J359" s="150"/>
      <c r="K359" s="164"/>
      <c r="L359" s="320"/>
      <c r="M359" s="326"/>
      <c r="N359" s="327"/>
      <c r="O359" s="328"/>
      <c r="P359" s="326"/>
      <c r="Q359" s="327"/>
      <c r="R359" s="328"/>
      <c r="S359" s="326"/>
      <c r="T359" s="327"/>
      <c r="U359" s="328"/>
      <c r="V359" s="150"/>
      <c r="W359" s="327"/>
      <c r="X359" s="320"/>
      <c r="Y359" s="201"/>
      <c r="Z359" s="201"/>
      <c r="AA359" s="201"/>
      <c r="AB359" s="17"/>
      <c r="AC359" s="17"/>
      <c r="AD359" s="17"/>
      <c r="AE359" s="17"/>
    </row>
    <row r="360">
      <c r="A360" s="150"/>
      <c r="B360" s="164"/>
      <c r="C360" s="320"/>
      <c r="D360" s="150"/>
      <c r="E360" s="164"/>
      <c r="F360" s="320"/>
      <c r="G360" s="150"/>
      <c r="H360" s="164"/>
      <c r="I360" s="320"/>
      <c r="J360" s="150"/>
      <c r="K360" s="164"/>
      <c r="L360" s="320"/>
      <c r="M360" s="326"/>
      <c r="N360" s="327"/>
      <c r="O360" s="328"/>
      <c r="P360" s="326"/>
      <c r="Q360" s="327"/>
      <c r="R360" s="328"/>
      <c r="S360" s="326"/>
      <c r="T360" s="327"/>
      <c r="U360" s="328"/>
      <c r="V360" s="150"/>
      <c r="W360" s="327"/>
      <c r="X360" s="320"/>
      <c r="Y360" s="201"/>
      <c r="Z360" s="201"/>
      <c r="AA360" s="201"/>
      <c r="AB360" s="17"/>
      <c r="AC360" s="17"/>
      <c r="AD360" s="17"/>
      <c r="AE360" s="17"/>
    </row>
    <row r="361">
      <c r="A361" s="150"/>
      <c r="B361" s="164"/>
      <c r="C361" s="320"/>
      <c r="D361" s="150"/>
      <c r="E361" s="164"/>
      <c r="F361" s="320"/>
      <c r="G361" s="150"/>
      <c r="H361" s="164"/>
      <c r="I361" s="320"/>
      <c r="J361" s="150"/>
      <c r="K361" s="164"/>
      <c r="L361" s="320"/>
      <c r="M361" s="326"/>
      <c r="N361" s="327"/>
      <c r="O361" s="328"/>
      <c r="P361" s="326"/>
      <c r="Q361" s="327"/>
      <c r="R361" s="328"/>
      <c r="S361" s="326"/>
      <c r="T361" s="327"/>
      <c r="U361" s="328"/>
      <c r="V361" s="150"/>
      <c r="W361" s="327"/>
      <c r="X361" s="320"/>
      <c r="Y361" s="201"/>
      <c r="Z361" s="201"/>
      <c r="AA361" s="201"/>
      <c r="AB361" s="17"/>
      <c r="AC361" s="17"/>
      <c r="AD361" s="17"/>
      <c r="AE361" s="17"/>
    </row>
    <row r="362">
      <c r="A362" s="150"/>
      <c r="B362" s="164"/>
      <c r="C362" s="320"/>
      <c r="D362" s="150"/>
      <c r="E362" s="164"/>
      <c r="F362" s="320"/>
      <c r="G362" s="150"/>
      <c r="H362" s="164"/>
      <c r="I362" s="320"/>
      <c r="J362" s="150"/>
      <c r="K362" s="164"/>
      <c r="L362" s="320"/>
      <c r="M362" s="326"/>
      <c r="N362" s="327"/>
      <c r="O362" s="328"/>
      <c r="P362" s="326"/>
      <c r="Q362" s="327"/>
      <c r="R362" s="328"/>
      <c r="S362" s="326"/>
      <c r="T362" s="327"/>
      <c r="U362" s="328"/>
      <c r="V362" s="150"/>
      <c r="W362" s="327"/>
      <c r="X362" s="320"/>
      <c r="Y362" s="201"/>
      <c r="Z362" s="201"/>
      <c r="AA362" s="201"/>
      <c r="AB362" s="17"/>
      <c r="AC362" s="17"/>
      <c r="AD362" s="17"/>
      <c r="AE362" s="17"/>
    </row>
    <row r="363">
      <c r="A363" s="150"/>
      <c r="B363" s="164"/>
      <c r="C363" s="320"/>
      <c r="D363" s="150"/>
      <c r="E363" s="164"/>
      <c r="F363" s="320"/>
      <c r="G363" s="150"/>
      <c r="H363" s="164"/>
      <c r="I363" s="320"/>
      <c r="J363" s="150"/>
      <c r="K363" s="164"/>
      <c r="L363" s="320"/>
      <c r="M363" s="326"/>
      <c r="N363" s="327"/>
      <c r="O363" s="328"/>
      <c r="P363" s="326"/>
      <c r="Q363" s="327"/>
      <c r="R363" s="328"/>
      <c r="S363" s="326"/>
      <c r="T363" s="327"/>
      <c r="U363" s="328"/>
      <c r="V363" s="150"/>
      <c r="W363" s="327"/>
      <c r="X363" s="320"/>
      <c r="Y363" s="201"/>
      <c r="Z363" s="201"/>
      <c r="AA363" s="201"/>
      <c r="AB363" s="17"/>
      <c r="AC363" s="17"/>
      <c r="AD363" s="17"/>
      <c r="AE363" s="17"/>
    </row>
    <row r="364">
      <c r="A364" s="150"/>
      <c r="B364" s="164"/>
      <c r="C364" s="320"/>
      <c r="D364" s="150"/>
      <c r="E364" s="164"/>
      <c r="F364" s="320"/>
      <c r="G364" s="150"/>
      <c r="H364" s="164"/>
      <c r="I364" s="320"/>
      <c r="J364" s="150"/>
      <c r="K364" s="164"/>
      <c r="L364" s="320"/>
      <c r="M364" s="326"/>
      <c r="N364" s="327"/>
      <c r="O364" s="328"/>
      <c r="P364" s="326"/>
      <c r="Q364" s="327"/>
      <c r="R364" s="328"/>
      <c r="S364" s="326"/>
      <c r="T364" s="327"/>
      <c r="U364" s="328"/>
      <c r="V364" s="150"/>
      <c r="W364" s="327"/>
      <c r="X364" s="320"/>
      <c r="Y364" s="201"/>
      <c r="Z364" s="201"/>
      <c r="AA364" s="201"/>
      <c r="AB364" s="17"/>
      <c r="AC364" s="17"/>
      <c r="AD364" s="17"/>
      <c r="AE364" s="17"/>
    </row>
    <row r="365">
      <c r="A365" s="150"/>
      <c r="B365" s="164"/>
      <c r="C365" s="320"/>
      <c r="D365" s="150"/>
      <c r="E365" s="164"/>
      <c r="F365" s="320"/>
      <c r="G365" s="150"/>
      <c r="H365" s="164"/>
      <c r="I365" s="320"/>
      <c r="J365" s="150"/>
      <c r="K365" s="164"/>
      <c r="L365" s="320"/>
      <c r="M365" s="326"/>
      <c r="N365" s="327"/>
      <c r="O365" s="328"/>
      <c r="P365" s="326"/>
      <c r="Q365" s="327"/>
      <c r="R365" s="328"/>
      <c r="S365" s="326"/>
      <c r="T365" s="327"/>
      <c r="U365" s="328"/>
      <c r="V365" s="150"/>
      <c r="W365" s="327"/>
      <c r="X365" s="320"/>
      <c r="Y365" s="201"/>
      <c r="Z365" s="201"/>
      <c r="AA365" s="201"/>
      <c r="AB365" s="17"/>
      <c r="AC365" s="17"/>
      <c r="AD365" s="17"/>
      <c r="AE365" s="17"/>
    </row>
    <row r="366">
      <c r="A366" s="150"/>
      <c r="B366" s="164"/>
      <c r="C366" s="320"/>
      <c r="D366" s="150"/>
      <c r="E366" s="164"/>
      <c r="F366" s="320"/>
      <c r="G366" s="150"/>
      <c r="H366" s="164"/>
      <c r="I366" s="320"/>
      <c r="J366" s="150"/>
      <c r="K366" s="164"/>
      <c r="L366" s="320"/>
      <c r="M366" s="326"/>
      <c r="N366" s="327"/>
      <c r="O366" s="328"/>
      <c r="P366" s="326"/>
      <c r="Q366" s="327"/>
      <c r="R366" s="328"/>
      <c r="S366" s="326"/>
      <c r="T366" s="327"/>
      <c r="U366" s="328"/>
      <c r="V366" s="150"/>
      <c r="W366" s="327"/>
      <c r="X366" s="320"/>
      <c r="Y366" s="201"/>
      <c r="Z366" s="201"/>
      <c r="AA366" s="201"/>
      <c r="AB366" s="17"/>
      <c r="AC366" s="17"/>
      <c r="AD366" s="17"/>
      <c r="AE366" s="17"/>
    </row>
    <row r="367">
      <c r="A367" s="150"/>
      <c r="B367" s="164"/>
      <c r="C367" s="320"/>
      <c r="D367" s="150"/>
      <c r="E367" s="164"/>
      <c r="F367" s="320"/>
      <c r="G367" s="150"/>
      <c r="H367" s="164"/>
      <c r="I367" s="320"/>
      <c r="J367" s="150"/>
      <c r="K367" s="164"/>
      <c r="L367" s="320"/>
      <c r="M367" s="326"/>
      <c r="N367" s="327"/>
      <c r="O367" s="328"/>
      <c r="P367" s="326"/>
      <c r="Q367" s="327"/>
      <c r="R367" s="328"/>
      <c r="S367" s="326"/>
      <c r="T367" s="327"/>
      <c r="U367" s="328"/>
      <c r="V367" s="150"/>
      <c r="W367" s="327"/>
      <c r="X367" s="320"/>
      <c r="Y367" s="201"/>
      <c r="Z367" s="201"/>
      <c r="AA367" s="201"/>
      <c r="AB367" s="17"/>
      <c r="AC367" s="17"/>
      <c r="AD367" s="17"/>
      <c r="AE367" s="17"/>
    </row>
    <row r="368">
      <c r="A368" s="150"/>
      <c r="B368" s="164"/>
      <c r="C368" s="320"/>
      <c r="D368" s="150"/>
      <c r="E368" s="164"/>
      <c r="F368" s="320"/>
      <c r="G368" s="150"/>
      <c r="H368" s="164"/>
      <c r="I368" s="320"/>
      <c r="J368" s="150"/>
      <c r="K368" s="164"/>
      <c r="L368" s="320"/>
      <c r="M368" s="326"/>
      <c r="N368" s="327"/>
      <c r="O368" s="328"/>
      <c r="P368" s="326"/>
      <c r="Q368" s="327"/>
      <c r="R368" s="328"/>
      <c r="S368" s="326"/>
      <c r="T368" s="327"/>
      <c r="U368" s="328"/>
      <c r="V368" s="150"/>
      <c r="W368" s="327"/>
      <c r="X368" s="320"/>
      <c r="Y368" s="201"/>
      <c r="Z368" s="201"/>
      <c r="AA368" s="201"/>
      <c r="AB368" s="17"/>
      <c r="AC368" s="17"/>
      <c r="AD368" s="17"/>
      <c r="AE368" s="17"/>
    </row>
    <row r="369">
      <c r="A369" s="150"/>
      <c r="B369" s="164"/>
      <c r="C369" s="320"/>
      <c r="D369" s="150"/>
      <c r="E369" s="164"/>
      <c r="F369" s="320"/>
      <c r="G369" s="150"/>
      <c r="H369" s="164"/>
      <c r="I369" s="320"/>
      <c r="J369" s="150"/>
      <c r="K369" s="164"/>
      <c r="L369" s="320"/>
      <c r="M369" s="326"/>
      <c r="N369" s="327"/>
      <c r="O369" s="328"/>
      <c r="P369" s="326"/>
      <c r="Q369" s="327"/>
      <c r="R369" s="328"/>
      <c r="S369" s="326"/>
      <c r="T369" s="327"/>
      <c r="U369" s="328"/>
      <c r="V369" s="150"/>
      <c r="W369" s="327"/>
      <c r="X369" s="320"/>
      <c r="Y369" s="201"/>
      <c r="Z369" s="201"/>
      <c r="AA369" s="201"/>
      <c r="AB369" s="17"/>
      <c r="AC369" s="17"/>
      <c r="AD369" s="17"/>
      <c r="AE369" s="17"/>
    </row>
    <row r="370">
      <c r="A370" s="150"/>
      <c r="B370" s="164"/>
      <c r="C370" s="320"/>
      <c r="D370" s="150"/>
      <c r="E370" s="164"/>
      <c r="F370" s="320"/>
      <c r="G370" s="150"/>
      <c r="H370" s="164"/>
      <c r="I370" s="320"/>
      <c r="J370" s="150"/>
      <c r="K370" s="164"/>
      <c r="L370" s="320"/>
      <c r="M370" s="326"/>
      <c r="N370" s="327"/>
      <c r="O370" s="328"/>
      <c r="P370" s="326"/>
      <c r="Q370" s="327"/>
      <c r="R370" s="328"/>
      <c r="S370" s="326"/>
      <c r="T370" s="327"/>
      <c r="U370" s="328"/>
      <c r="V370" s="150"/>
      <c r="W370" s="327"/>
      <c r="X370" s="320"/>
      <c r="Y370" s="201"/>
      <c r="Z370" s="201"/>
      <c r="AA370" s="201"/>
      <c r="AB370" s="17"/>
      <c r="AC370" s="17"/>
      <c r="AD370" s="17"/>
      <c r="AE370" s="17"/>
    </row>
    <row r="371">
      <c r="A371" s="150"/>
      <c r="B371" s="164"/>
      <c r="C371" s="320"/>
      <c r="D371" s="150"/>
      <c r="E371" s="164"/>
      <c r="F371" s="320"/>
      <c r="G371" s="150"/>
      <c r="H371" s="164"/>
      <c r="I371" s="320"/>
      <c r="J371" s="150"/>
      <c r="K371" s="164"/>
      <c r="L371" s="320"/>
      <c r="M371" s="326"/>
      <c r="N371" s="327"/>
      <c r="O371" s="328"/>
      <c r="P371" s="326"/>
      <c r="Q371" s="327"/>
      <c r="R371" s="328"/>
      <c r="S371" s="326"/>
      <c r="T371" s="327"/>
      <c r="U371" s="328"/>
      <c r="V371" s="150"/>
      <c r="W371" s="327"/>
      <c r="X371" s="320"/>
      <c r="Y371" s="201"/>
      <c r="Z371" s="201"/>
      <c r="AA371" s="201"/>
      <c r="AB371" s="17"/>
      <c r="AC371" s="17"/>
      <c r="AD371" s="17"/>
      <c r="AE371" s="17"/>
    </row>
    <row r="372">
      <c r="A372" s="150"/>
      <c r="B372" s="164"/>
      <c r="C372" s="320"/>
      <c r="D372" s="150"/>
      <c r="E372" s="164"/>
      <c r="F372" s="320"/>
      <c r="G372" s="150"/>
      <c r="H372" s="164"/>
      <c r="I372" s="320"/>
      <c r="J372" s="150"/>
      <c r="K372" s="164"/>
      <c r="L372" s="320"/>
      <c r="M372" s="326"/>
      <c r="N372" s="327"/>
      <c r="O372" s="328"/>
      <c r="P372" s="326"/>
      <c r="Q372" s="327"/>
      <c r="R372" s="328"/>
      <c r="S372" s="326"/>
      <c r="T372" s="327"/>
      <c r="U372" s="328"/>
      <c r="V372" s="150"/>
      <c r="W372" s="327"/>
      <c r="X372" s="320"/>
      <c r="Y372" s="201"/>
      <c r="Z372" s="201"/>
      <c r="AA372" s="201"/>
      <c r="AB372" s="17"/>
      <c r="AC372" s="17"/>
      <c r="AD372" s="17"/>
      <c r="AE372" s="17"/>
    </row>
    <row r="373">
      <c r="A373" s="150"/>
      <c r="B373" s="164"/>
      <c r="C373" s="320"/>
      <c r="D373" s="150"/>
      <c r="E373" s="164"/>
      <c r="F373" s="320"/>
      <c r="G373" s="150"/>
      <c r="H373" s="164"/>
      <c r="I373" s="320"/>
      <c r="J373" s="150"/>
      <c r="K373" s="164"/>
      <c r="L373" s="320"/>
      <c r="M373" s="326"/>
      <c r="N373" s="327"/>
      <c r="O373" s="328"/>
      <c r="P373" s="326"/>
      <c r="Q373" s="327"/>
      <c r="R373" s="328"/>
      <c r="S373" s="326"/>
      <c r="T373" s="327"/>
      <c r="U373" s="328"/>
      <c r="V373" s="150"/>
      <c r="W373" s="327"/>
      <c r="X373" s="320"/>
      <c r="Y373" s="201"/>
      <c r="Z373" s="201"/>
      <c r="AA373" s="201"/>
      <c r="AB373" s="17"/>
      <c r="AC373" s="17"/>
      <c r="AD373" s="17"/>
      <c r="AE373" s="17"/>
    </row>
    <row r="374">
      <c r="A374" s="150"/>
      <c r="B374" s="164"/>
      <c r="C374" s="320"/>
      <c r="D374" s="150"/>
      <c r="E374" s="164"/>
      <c r="F374" s="320"/>
      <c r="G374" s="150"/>
      <c r="H374" s="164"/>
      <c r="I374" s="320"/>
      <c r="J374" s="150"/>
      <c r="K374" s="164"/>
      <c r="L374" s="320"/>
      <c r="M374" s="326"/>
      <c r="N374" s="327"/>
      <c r="O374" s="328"/>
      <c r="P374" s="326"/>
      <c r="Q374" s="327"/>
      <c r="R374" s="328"/>
      <c r="S374" s="326"/>
      <c r="T374" s="327"/>
      <c r="U374" s="328"/>
      <c r="V374" s="150"/>
      <c r="W374" s="327"/>
      <c r="X374" s="320"/>
      <c r="Y374" s="201"/>
      <c r="Z374" s="201"/>
      <c r="AA374" s="201"/>
      <c r="AB374" s="17"/>
      <c r="AC374" s="17"/>
      <c r="AD374" s="17"/>
      <c r="AE374" s="17"/>
    </row>
    <row r="375">
      <c r="A375" s="150"/>
      <c r="B375" s="164"/>
      <c r="C375" s="320"/>
      <c r="D375" s="150"/>
      <c r="E375" s="164"/>
      <c r="F375" s="320"/>
      <c r="G375" s="150"/>
      <c r="H375" s="164"/>
      <c r="I375" s="320"/>
      <c r="J375" s="150"/>
      <c r="K375" s="164"/>
      <c r="L375" s="320"/>
      <c r="M375" s="326"/>
      <c r="N375" s="327"/>
      <c r="O375" s="328"/>
      <c r="P375" s="326"/>
      <c r="Q375" s="327"/>
      <c r="R375" s="328"/>
      <c r="S375" s="326"/>
      <c r="T375" s="327"/>
      <c r="U375" s="328"/>
      <c r="V375" s="150"/>
      <c r="W375" s="327"/>
      <c r="X375" s="320"/>
      <c r="Y375" s="201"/>
      <c r="Z375" s="201"/>
      <c r="AA375" s="201"/>
      <c r="AB375" s="17"/>
      <c r="AC375" s="17"/>
      <c r="AD375" s="17"/>
      <c r="AE375" s="17"/>
    </row>
    <row r="376">
      <c r="A376" s="150"/>
      <c r="B376" s="164"/>
      <c r="C376" s="320"/>
      <c r="D376" s="150"/>
      <c r="E376" s="164"/>
      <c r="F376" s="320"/>
      <c r="G376" s="150"/>
      <c r="H376" s="164"/>
      <c r="I376" s="320"/>
      <c r="J376" s="150"/>
      <c r="K376" s="164"/>
      <c r="L376" s="320"/>
      <c r="M376" s="326"/>
      <c r="N376" s="327"/>
      <c r="O376" s="328"/>
      <c r="P376" s="326"/>
      <c r="Q376" s="327"/>
      <c r="R376" s="328"/>
      <c r="S376" s="326"/>
      <c r="T376" s="327"/>
      <c r="U376" s="328"/>
      <c r="V376" s="150"/>
      <c r="W376" s="327"/>
      <c r="X376" s="320"/>
      <c r="Y376" s="201"/>
      <c r="Z376" s="201"/>
      <c r="AA376" s="201"/>
      <c r="AB376" s="17"/>
      <c r="AC376" s="17"/>
      <c r="AD376" s="17"/>
      <c r="AE376" s="17"/>
    </row>
    <row r="377">
      <c r="A377" s="150"/>
      <c r="B377" s="164"/>
      <c r="C377" s="320"/>
      <c r="D377" s="150"/>
      <c r="E377" s="164"/>
      <c r="F377" s="320"/>
      <c r="G377" s="150"/>
      <c r="H377" s="164"/>
      <c r="I377" s="320"/>
      <c r="J377" s="150"/>
      <c r="K377" s="164"/>
      <c r="L377" s="320"/>
      <c r="M377" s="326"/>
      <c r="N377" s="327"/>
      <c r="O377" s="328"/>
      <c r="P377" s="326"/>
      <c r="Q377" s="327"/>
      <c r="R377" s="328"/>
      <c r="S377" s="326"/>
      <c r="T377" s="327"/>
      <c r="U377" s="328"/>
      <c r="V377" s="150"/>
      <c r="W377" s="327"/>
      <c r="X377" s="320"/>
      <c r="Y377" s="201"/>
      <c r="Z377" s="201"/>
      <c r="AA377" s="201"/>
      <c r="AB377" s="17"/>
      <c r="AC377" s="17"/>
      <c r="AD377" s="17"/>
      <c r="AE377" s="17"/>
    </row>
    <row r="378">
      <c r="A378" s="150"/>
      <c r="B378" s="164"/>
      <c r="C378" s="320"/>
      <c r="D378" s="150"/>
      <c r="E378" s="164"/>
      <c r="F378" s="320"/>
      <c r="G378" s="150"/>
      <c r="H378" s="164"/>
      <c r="I378" s="320"/>
      <c r="J378" s="150"/>
      <c r="K378" s="164"/>
      <c r="L378" s="320"/>
      <c r="M378" s="326"/>
      <c r="N378" s="327"/>
      <c r="O378" s="328"/>
      <c r="P378" s="326"/>
      <c r="Q378" s="327"/>
      <c r="R378" s="328"/>
      <c r="S378" s="326"/>
      <c r="T378" s="327"/>
      <c r="U378" s="328"/>
      <c r="V378" s="150"/>
      <c r="W378" s="327"/>
      <c r="X378" s="320"/>
      <c r="Y378" s="201"/>
      <c r="Z378" s="201"/>
      <c r="AA378" s="201"/>
      <c r="AB378" s="17"/>
      <c r="AC378" s="17"/>
      <c r="AD378" s="17"/>
      <c r="AE378" s="17"/>
    </row>
    <row r="379">
      <c r="A379" s="150"/>
      <c r="B379" s="164"/>
      <c r="C379" s="320"/>
      <c r="D379" s="150"/>
      <c r="E379" s="164"/>
      <c r="F379" s="320"/>
      <c r="G379" s="150"/>
      <c r="H379" s="164"/>
      <c r="I379" s="320"/>
      <c r="J379" s="150"/>
      <c r="K379" s="164"/>
      <c r="L379" s="320"/>
      <c r="M379" s="326"/>
      <c r="N379" s="327"/>
      <c r="O379" s="328"/>
      <c r="P379" s="326"/>
      <c r="Q379" s="327"/>
      <c r="R379" s="328"/>
      <c r="S379" s="326"/>
      <c r="T379" s="327"/>
      <c r="U379" s="328"/>
      <c r="V379" s="150"/>
      <c r="W379" s="327"/>
      <c r="X379" s="320"/>
      <c r="Y379" s="201"/>
      <c r="Z379" s="201"/>
      <c r="AA379" s="201"/>
      <c r="AB379" s="17"/>
      <c r="AC379" s="17"/>
      <c r="AD379" s="17"/>
      <c r="AE379" s="17"/>
    </row>
    <row r="380">
      <c r="A380" s="150"/>
      <c r="B380" s="164"/>
      <c r="C380" s="320"/>
      <c r="D380" s="150"/>
      <c r="E380" s="164"/>
      <c r="F380" s="320"/>
      <c r="G380" s="150"/>
      <c r="H380" s="164"/>
      <c r="I380" s="320"/>
      <c r="J380" s="150"/>
      <c r="K380" s="164"/>
      <c r="L380" s="320"/>
      <c r="M380" s="326"/>
      <c r="N380" s="327"/>
      <c r="O380" s="328"/>
      <c r="P380" s="326"/>
      <c r="Q380" s="327"/>
      <c r="R380" s="328"/>
      <c r="S380" s="326"/>
      <c r="T380" s="327"/>
      <c r="U380" s="328"/>
      <c r="V380" s="150"/>
      <c r="W380" s="327"/>
      <c r="X380" s="320"/>
      <c r="Y380" s="201"/>
      <c r="Z380" s="201"/>
      <c r="AA380" s="201"/>
      <c r="AB380" s="17"/>
      <c r="AC380" s="17"/>
      <c r="AD380" s="17"/>
      <c r="AE380" s="17"/>
    </row>
    <row r="381">
      <c r="A381" s="150"/>
      <c r="B381" s="164"/>
      <c r="C381" s="320"/>
      <c r="D381" s="150"/>
      <c r="E381" s="164"/>
      <c r="F381" s="320"/>
      <c r="G381" s="150"/>
      <c r="H381" s="164"/>
      <c r="I381" s="320"/>
      <c r="J381" s="150"/>
      <c r="K381" s="164"/>
      <c r="L381" s="320"/>
      <c r="M381" s="326"/>
      <c r="N381" s="327"/>
      <c r="O381" s="328"/>
      <c r="P381" s="326"/>
      <c r="Q381" s="327"/>
      <c r="R381" s="328"/>
      <c r="S381" s="326"/>
      <c r="T381" s="327"/>
      <c r="U381" s="328"/>
      <c r="V381" s="150"/>
      <c r="W381" s="327"/>
      <c r="X381" s="320"/>
      <c r="Y381" s="201"/>
      <c r="Z381" s="201"/>
      <c r="AA381" s="201"/>
      <c r="AB381" s="17"/>
      <c r="AC381" s="17"/>
      <c r="AD381" s="17"/>
      <c r="AE381" s="17"/>
    </row>
    <row r="382">
      <c r="A382" s="150"/>
      <c r="B382" s="164"/>
      <c r="C382" s="320"/>
      <c r="D382" s="150"/>
      <c r="E382" s="164"/>
      <c r="F382" s="320"/>
      <c r="G382" s="150"/>
      <c r="H382" s="164"/>
      <c r="I382" s="320"/>
      <c r="J382" s="150"/>
      <c r="K382" s="164"/>
      <c r="L382" s="320"/>
      <c r="M382" s="326"/>
      <c r="N382" s="327"/>
      <c r="O382" s="328"/>
      <c r="P382" s="326"/>
      <c r="Q382" s="327"/>
      <c r="R382" s="328"/>
      <c r="S382" s="326"/>
      <c r="T382" s="327"/>
      <c r="U382" s="328"/>
      <c r="V382" s="150"/>
      <c r="W382" s="327"/>
      <c r="X382" s="320"/>
      <c r="Y382" s="201"/>
      <c r="Z382" s="201"/>
      <c r="AA382" s="201"/>
      <c r="AB382" s="17"/>
      <c r="AC382" s="17"/>
      <c r="AD382" s="17"/>
      <c r="AE382" s="17"/>
    </row>
    <row r="383">
      <c r="A383" s="150"/>
      <c r="B383" s="164"/>
      <c r="C383" s="320"/>
      <c r="D383" s="150"/>
      <c r="E383" s="164"/>
      <c r="F383" s="320"/>
      <c r="G383" s="150"/>
      <c r="H383" s="164"/>
      <c r="I383" s="320"/>
      <c r="J383" s="150"/>
      <c r="K383" s="164"/>
      <c r="L383" s="320"/>
      <c r="M383" s="326"/>
      <c r="N383" s="327"/>
      <c r="O383" s="328"/>
      <c r="P383" s="326"/>
      <c r="Q383" s="327"/>
      <c r="R383" s="328"/>
      <c r="S383" s="326"/>
      <c r="T383" s="327"/>
      <c r="U383" s="328"/>
      <c r="V383" s="150"/>
      <c r="W383" s="327"/>
      <c r="X383" s="320"/>
      <c r="Y383" s="201"/>
      <c r="Z383" s="201"/>
      <c r="AA383" s="201"/>
      <c r="AB383" s="17"/>
      <c r="AC383" s="17"/>
      <c r="AD383" s="17"/>
      <c r="AE383" s="17"/>
    </row>
    <row r="384">
      <c r="A384" s="150"/>
      <c r="B384" s="164"/>
      <c r="C384" s="320"/>
      <c r="D384" s="150"/>
      <c r="E384" s="164"/>
      <c r="F384" s="320"/>
      <c r="G384" s="150"/>
      <c r="H384" s="164"/>
      <c r="I384" s="320"/>
      <c r="J384" s="150"/>
      <c r="K384" s="164"/>
      <c r="L384" s="320"/>
      <c r="M384" s="326"/>
      <c r="N384" s="327"/>
      <c r="O384" s="328"/>
      <c r="P384" s="326"/>
      <c r="Q384" s="327"/>
      <c r="R384" s="328"/>
      <c r="S384" s="326"/>
      <c r="T384" s="327"/>
      <c r="U384" s="328"/>
      <c r="V384" s="150"/>
      <c r="W384" s="327"/>
      <c r="X384" s="320"/>
      <c r="Y384" s="201"/>
      <c r="Z384" s="201"/>
      <c r="AA384" s="201"/>
      <c r="AB384" s="17"/>
      <c r="AC384" s="17"/>
      <c r="AD384" s="17"/>
      <c r="AE384" s="17"/>
    </row>
    <row r="385">
      <c r="A385" s="150"/>
      <c r="B385" s="164"/>
      <c r="C385" s="320"/>
      <c r="D385" s="150"/>
      <c r="E385" s="164"/>
      <c r="F385" s="320"/>
      <c r="G385" s="150"/>
      <c r="H385" s="164"/>
      <c r="I385" s="320"/>
      <c r="J385" s="150"/>
      <c r="K385" s="164"/>
      <c r="L385" s="320"/>
      <c r="M385" s="326"/>
      <c r="N385" s="327"/>
      <c r="O385" s="328"/>
      <c r="P385" s="326"/>
      <c r="Q385" s="327"/>
      <c r="R385" s="328"/>
      <c r="S385" s="326"/>
      <c r="T385" s="327"/>
      <c r="U385" s="328"/>
      <c r="V385" s="150"/>
      <c r="W385" s="327"/>
      <c r="X385" s="320"/>
      <c r="Y385" s="201"/>
      <c r="Z385" s="201"/>
      <c r="AA385" s="201"/>
      <c r="AB385" s="17"/>
      <c r="AC385" s="17"/>
      <c r="AD385" s="17"/>
      <c r="AE385" s="17"/>
    </row>
    <row r="386">
      <c r="A386" s="150"/>
      <c r="B386" s="164"/>
      <c r="C386" s="320"/>
      <c r="D386" s="150"/>
      <c r="E386" s="164"/>
      <c r="F386" s="320"/>
      <c r="G386" s="150"/>
      <c r="H386" s="164"/>
      <c r="I386" s="320"/>
      <c r="J386" s="150"/>
      <c r="K386" s="164"/>
      <c r="L386" s="320"/>
      <c r="M386" s="326"/>
      <c r="N386" s="327"/>
      <c r="O386" s="328"/>
      <c r="P386" s="326"/>
      <c r="Q386" s="327"/>
      <c r="R386" s="328"/>
      <c r="S386" s="326"/>
      <c r="T386" s="327"/>
      <c r="U386" s="328"/>
      <c r="V386" s="150"/>
      <c r="W386" s="327"/>
      <c r="X386" s="320"/>
      <c r="Y386" s="201"/>
      <c r="Z386" s="201"/>
      <c r="AA386" s="201"/>
      <c r="AB386" s="17"/>
      <c r="AC386" s="17"/>
      <c r="AD386" s="17"/>
      <c r="AE386" s="17"/>
    </row>
    <row r="387">
      <c r="A387" s="150"/>
      <c r="B387" s="164"/>
      <c r="C387" s="320"/>
      <c r="D387" s="150"/>
      <c r="E387" s="164"/>
      <c r="F387" s="320"/>
      <c r="G387" s="150"/>
      <c r="H387" s="164"/>
      <c r="I387" s="320"/>
      <c r="J387" s="150"/>
      <c r="K387" s="164"/>
      <c r="L387" s="320"/>
      <c r="M387" s="326"/>
      <c r="N387" s="327"/>
      <c r="O387" s="328"/>
      <c r="P387" s="326"/>
      <c r="Q387" s="327"/>
      <c r="R387" s="328"/>
      <c r="S387" s="326"/>
      <c r="T387" s="327"/>
      <c r="U387" s="328"/>
      <c r="V387" s="150"/>
      <c r="W387" s="327"/>
      <c r="X387" s="320"/>
      <c r="Y387" s="201"/>
      <c r="Z387" s="201"/>
      <c r="AA387" s="201"/>
      <c r="AB387" s="17"/>
      <c r="AC387" s="17"/>
      <c r="AD387" s="17"/>
      <c r="AE387" s="17"/>
    </row>
    <row r="388">
      <c r="A388" s="150"/>
      <c r="B388" s="164"/>
      <c r="C388" s="320"/>
      <c r="D388" s="150"/>
      <c r="E388" s="164"/>
      <c r="F388" s="320"/>
      <c r="G388" s="150"/>
      <c r="H388" s="164"/>
      <c r="I388" s="320"/>
      <c r="J388" s="150"/>
      <c r="K388" s="164"/>
      <c r="L388" s="320"/>
      <c r="M388" s="326"/>
      <c r="N388" s="327"/>
      <c r="O388" s="328"/>
      <c r="P388" s="326"/>
      <c r="Q388" s="327"/>
      <c r="R388" s="328"/>
      <c r="S388" s="326"/>
      <c r="T388" s="327"/>
      <c r="U388" s="328"/>
      <c r="V388" s="150"/>
      <c r="W388" s="327"/>
      <c r="X388" s="320"/>
      <c r="Y388" s="201"/>
      <c r="Z388" s="201"/>
      <c r="AA388" s="201"/>
      <c r="AB388" s="17"/>
      <c r="AC388" s="17"/>
      <c r="AD388" s="17"/>
      <c r="AE388" s="17"/>
    </row>
    <row r="389">
      <c r="A389" s="150"/>
      <c r="B389" s="164"/>
      <c r="C389" s="320"/>
      <c r="D389" s="150"/>
      <c r="E389" s="164"/>
      <c r="F389" s="320"/>
      <c r="G389" s="150"/>
      <c r="H389" s="164"/>
      <c r="I389" s="320"/>
      <c r="J389" s="150"/>
      <c r="K389" s="164"/>
      <c r="L389" s="320"/>
      <c r="M389" s="326"/>
      <c r="N389" s="327"/>
      <c r="O389" s="328"/>
      <c r="P389" s="326"/>
      <c r="Q389" s="327"/>
      <c r="R389" s="328"/>
      <c r="S389" s="326"/>
      <c r="T389" s="327"/>
      <c r="U389" s="328"/>
      <c r="V389" s="150"/>
      <c r="W389" s="327"/>
      <c r="X389" s="320"/>
      <c r="Y389" s="201"/>
      <c r="Z389" s="201"/>
      <c r="AA389" s="201"/>
      <c r="AB389" s="17"/>
      <c r="AC389" s="17"/>
      <c r="AD389" s="17"/>
      <c r="AE389" s="17"/>
    </row>
    <row r="390">
      <c r="A390" s="150"/>
      <c r="B390" s="164"/>
      <c r="C390" s="320"/>
      <c r="D390" s="150"/>
      <c r="E390" s="164"/>
      <c r="F390" s="320"/>
      <c r="G390" s="150"/>
      <c r="H390" s="164"/>
      <c r="I390" s="320"/>
      <c r="J390" s="150"/>
      <c r="K390" s="164"/>
      <c r="L390" s="320"/>
      <c r="M390" s="326"/>
      <c r="N390" s="327"/>
      <c r="O390" s="328"/>
      <c r="P390" s="326"/>
      <c r="Q390" s="327"/>
      <c r="R390" s="328"/>
      <c r="S390" s="326"/>
      <c r="T390" s="327"/>
      <c r="U390" s="328"/>
      <c r="V390" s="150"/>
      <c r="W390" s="327"/>
      <c r="X390" s="320"/>
      <c r="Y390" s="201"/>
      <c r="Z390" s="201"/>
      <c r="AA390" s="201"/>
      <c r="AB390" s="17"/>
      <c r="AC390" s="17"/>
      <c r="AD390" s="17"/>
      <c r="AE390" s="17"/>
    </row>
    <row r="391">
      <c r="A391" s="150"/>
      <c r="B391" s="164"/>
      <c r="C391" s="320"/>
      <c r="D391" s="150"/>
      <c r="E391" s="164"/>
      <c r="F391" s="320"/>
      <c r="G391" s="150"/>
      <c r="H391" s="164"/>
      <c r="I391" s="320"/>
      <c r="J391" s="150"/>
      <c r="K391" s="164"/>
      <c r="L391" s="320"/>
      <c r="M391" s="326"/>
      <c r="N391" s="327"/>
      <c r="O391" s="328"/>
      <c r="P391" s="326"/>
      <c r="Q391" s="327"/>
      <c r="R391" s="328"/>
      <c r="S391" s="326"/>
      <c r="T391" s="327"/>
      <c r="U391" s="328"/>
      <c r="V391" s="150"/>
      <c r="W391" s="327"/>
      <c r="X391" s="320"/>
      <c r="Y391" s="201"/>
      <c r="Z391" s="201"/>
      <c r="AA391" s="201"/>
      <c r="AB391" s="17"/>
      <c r="AC391" s="17"/>
      <c r="AD391" s="17"/>
      <c r="AE391" s="17"/>
    </row>
    <row r="392">
      <c r="A392" s="150"/>
      <c r="B392" s="164"/>
      <c r="C392" s="320"/>
      <c r="D392" s="150"/>
      <c r="E392" s="164"/>
      <c r="F392" s="320"/>
      <c r="G392" s="150"/>
      <c r="H392" s="164"/>
      <c r="I392" s="320"/>
      <c r="J392" s="150"/>
      <c r="K392" s="164"/>
      <c r="L392" s="320"/>
      <c r="M392" s="326"/>
      <c r="N392" s="327"/>
      <c r="O392" s="328"/>
      <c r="P392" s="326"/>
      <c r="Q392" s="327"/>
      <c r="R392" s="328"/>
      <c r="S392" s="326"/>
      <c r="T392" s="327"/>
      <c r="U392" s="328"/>
      <c r="V392" s="150"/>
      <c r="W392" s="327"/>
      <c r="X392" s="320"/>
      <c r="Y392" s="201"/>
      <c r="Z392" s="201"/>
      <c r="AA392" s="201"/>
      <c r="AB392" s="17"/>
      <c r="AC392" s="17"/>
      <c r="AD392" s="17"/>
      <c r="AE392" s="17"/>
    </row>
    <row r="393">
      <c r="A393" s="150"/>
      <c r="B393" s="164"/>
      <c r="C393" s="320"/>
      <c r="D393" s="150"/>
      <c r="E393" s="164"/>
      <c r="F393" s="320"/>
      <c r="G393" s="150"/>
      <c r="H393" s="164"/>
      <c r="I393" s="320"/>
      <c r="J393" s="150"/>
      <c r="K393" s="164"/>
      <c r="L393" s="320"/>
      <c r="M393" s="326"/>
      <c r="N393" s="327"/>
      <c r="O393" s="328"/>
      <c r="P393" s="326"/>
      <c r="Q393" s="327"/>
      <c r="R393" s="328"/>
      <c r="S393" s="326"/>
      <c r="T393" s="327"/>
      <c r="U393" s="328"/>
      <c r="V393" s="150"/>
      <c r="W393" s="327"/>
      <c r="X393" s="320"/>
      <c r="Y393" s="201"/>
      <c r="Z393" s="201"/>
      <c r="AA393" s="201"/>
      <c r="AB393" s="17"/>
      <c r="AC393" s="17"/>
      <c r="AD393" s="17"/>
      <c r="AE393" s="17"/>
    </row>
    <row r="394">
      <c r="A394" s="150"/>
      <c r="B394" s="164"/>
      <c r="C394" s="320"/>
      <c r="D394" s="150"/>
      <c r="E394" s="164"/>
      <c r="F394" s="320"/>
      <c r="G394" s="150"/>
      <c r="H394" s="164"/>
      <c r="I394" s="320"/>
      <c r="J394" s="150"/>
      <c r="K394" s="164"/>
      <c r="L394" s="320"/>
      <c r="M394" s="326"/>
      <c r="N394" s="327"/>
      <c r="O394" s="328"/>
      <c r="P394" s="326"/>
      <c r="Q394" s="327"/>
      <c r="R394" s="328"/>
      <c r="S394" s="326"/>
      <c r="T394" s="327"/>
      <c r="U394" s="328"/>
      <c r="V394" s="150"/>
      <c r="W394" s="327"/>
      <c r="X394" s="320"/>
      <c r="Y394" s="201"/>
      <c r="Z394" s="201"/>
      <c r="AA394" s="201"/>
      <c r="AB394" s="17"/>
      <c r="AC394" s="17"/>
      <c r="AD394" s="17"/>
      <c r="AE394" s="17"/>
    </row>
    <row r="395">
      <c r="A395" s="150"/>
      <c r="B395" s="164"/>
      <c r="C395" s="320"/>
      <c r="D395" s="150"/>
      <c r="E395" s="164"/>
      <c r="F395" s="320"/>
      <c r="G395" s="150"/>
      <c r="H395" s="164"/>
      <c r="I395" s="320"/>
      <c r="J395" s="150"/>
      <c r="K395" s="164"/>
      <c r="L395" s="320"/>
      <c r="M395" s="326"/>
      <c r="N395" s="327"/>
      <c r="O395" s="328"/>
      <c r="P395" s="326"/>
      <c r="Q395" s="327"/>
      <c r="R395" s="328"/>
      <c r="S395" s="326"/>
      <c r="T395" s="327"/>
      <c r="U395" s="328"/>
      <c r="V395" s="150"/>
      <c r="W395" s="327"/>
      <c r="X395" s="320"/>
      <c r="Y395" s="201"/>
      <c r="Z395" s="201"/>
      <c r="AA395" s="201"/>
      <c r="AB395" s="17"/>
      <c r="AC395" s="17"/>
      <c r="AD395" s="17"/>
      <c r="AE395" s="17"/>
    </row>
    <row r="396">
      <c r="A396" s="150"/>
      <c r="B396" s="164"/>
      <c r="C396" s="320"/>
      <c r="D396" s="150"/>
      <c r="E396" s="164"/>
      <c r="F396" s="320"/>
      <c r="G396" s="150"/>
      <c r="H396" s="164"/>
      <c r="I396" s="320"/>
      <c r="J396" s="150"/>
      <c r="K396" s="164"/>
      <c r="L396" s="320"/>
      <c r="M396" s="326"/>
      <c r="N396" s="327"/>
      <c r="O396" s="328"/>
      <c r="P396" s="326"/>
      <c r="Q396" s="327"/>
      <c r="R396" s="328"/>
      <c r="S396" s="326"/>
      <c r="T396" s="327"/>
      <c r="U396" s="328"/>
      <c r="V396" s="150"/>
      <c r="W396" s="327"/>
      <c r="X396" s="320"/>
      <c r="Y396" s="201"/>
      <c r="Z396" s="201"/>
      <c r="AA396" s="201"/>
      <c r="AB396" s="17"/>
      <c r="AC396" s="17"/>
      <c r="AD396" s="17"/>
      <c r="AE396" s="17"/>
    </row>
    <row r="397">
      <c r="A397" s="150"/>
      <c r="B397" s="164"/>
      <c r="C397" s="320"/>
      <c r="D397" s="150"/>
      <c r="E397" s="164"/>
      <c r="F397" s="320"/>
      <c r="G397" s="150"/>
      <c r="H397" s="164"/>
      <c r="I397" s="320"/>
      <c r="J397" s="150"/>
      <c r="K397" s="164"/>
      <c r="L397" s="320"/>
      <c r="M397" s="326"/>
      <c r="N397" s="327"/>
      <c r="O397" s="328"/>
      <c r="P397" s="326"/>
      <c r="Q397" s="327"/>
      <c r="R397" s="328"/>
      <c r="S397" s="326"/>
      <c r="T397" s="327"/>
      <c r="U397" s="328"/>
      <c r="V397" s="150"/>
      <c r="W397" s="327"/>
      <c r="X397" s="320"/>
      <c r="Y397" s="201"/>
      <c r="Z397" s="201"/>
      <c r="AA397" s="201"/>
      <c r="AB397" s="17"/>
      <c r="AC397" s="17"/>
      <c r="AD397" s="17"/>
      <c r="AE397" s="17"/>
    </row>
    <row r="398">
      <c r="A398" s="150"/>
      <c r="B398" s="164"/>
      <c r="C398" s="320"/>
      <c r="D398" s="150"/>
      <c r="E398" s="164"/>
      <c r="F398" s="320"/>
      <c r="G398" s="150"/>
      <c r="H398" s="164"/>
      <c r="I398" s="320"/>
      <c r="J398" s="150"/>
      <c r="K398" s="164"/>
      <c r="L398" s="320"/>
      <c r="M398" s="326"/>
      <c r="N398" s="327"/>
      <c r="O398" s="328"/>
      <c r="P398" s="326"/>
      <c r="Q398" s="327"/>
      <c r="R398" s="328"/>
      <c r="S398" s="326"/>
      <c r="T398" s="327"/>
      <c r="U398" s="328"/>
      <c r="V398" s="150"/>
      <c r="W398" s="327"/>
      <c r="X398" s="320"/>
      <c r="Y398" s="201"/>
      <c r="Z398" s="201"/>
      <c r="AA398" s="201"/>
      <c r="AB398" s="17"/>
      <c r="AC398" s="17"/>
      <c r="AD398" s="17"/>
      <c r="AE398" s="17"/>
    </row>
    <row r="399">
      <c r="A399" s="150"/>
      <c r="B399" s="164"/>
      <c r="C399" s="320"/>
      <c r="D399" s="150"/>
      <c r="E399" s="164"/>
      <c r="F399" s="320"/>
      <c r="G399" s="150"/>
      <c r="H399" s="164"/>
      <c r="I399" s="320"/>
      <c r="J399" s="150"/>
      <c r="K399" s="164"/>
      <c r="L399" s="320"/>
      <c r="M399" s="326"/>
      <c r="N399" s="327"/>
      <c r="O399" s="328"/>
      <c r="P399" s="326"/>
      <c r="Q399" s="327"/>
      <c r="R399" s="328"/>
      <c r="S399" s="326"/>
      <c r="T399" s="327"/>
      <c r="U399" s="328"/>
      <c r="V399" s="150"/>
      <c r="W399" s="327"/>
      <c r="X399" s="320"/>
      <c r="Y399" s="201"/>
      <c r="Z399" s="201"/>
      <c r="AA399" s="201"/>
      <c r="AB399" s="17"/>
      <c r="AC399" s="17"/>
      <c r="AD399" s="17"/>
      <c r="AE399" s="17"/>
    </row>
    <row r="400">
      <c r="A400" s="150"/>
      <c r="B400" s="164"/>
      <c r="C400" s="320"/>
      <c r="D400" s="150"/>
      <c r="E400" s="164"/>
      <c r="F400" s="320"/>
      <c r="G400" s="150"/>
      <c r="H400" s="164"/>
      <c r="I400" s="320"/>
      <c r="J400" s="150"/>
      <c r="K400" s="164"/>
      <c r="L400" s="320"/>
      <c r="M400" s="326"/>
      <c r="N400" s="327"/>
      <c r="O400" s="328"/>
      <c r="P400" s="326"/>
      <c r="Q400" s="327"/>
      <c r="R400" s="328"/>
      <c r="S400" s="326"/>
      <c r="T400" s="327"/>
      <c r="U400" s="328"/>
      <c r="V400" s="150"/>
      <c r="W400" s="327"/>
      <c r="X400" s="320"/>
      <c r="Y400" s="201"/>
      <c r="Z400" s="201"/>
      <c r="AA400" s="201"/>
      <c r="AB400" s="17"/>
      <c r="AC400" s="17"/>
      <c r="AD400" s="17"/>
      <c r="AE400" s="17"/>
    </row>
    <row r="401">
      <c r="A401" s="150"/>
      <c r="B401" s="164"/>
      <c r="C401" s="320"/>
      <c r="D401" s="150"/>
      <c r="E401" s="164"/>
      <c r="F401" s="320"/>
      <c r="G401" s="150"/>
      <c r="H401" s="164"/>
      <c r="I401" s="320"/>
      <c r="J401" s="150"/>
      <c r="K401" s="164"/>
      <c r="L401" s="320"/>
      <c r="M401" s="326"/>
      <c r="N401" s="327"/>
      <c r="O401" s="328"/>
      <c r="P401" s="326"/>
      <c r="Q401" s="327"/>
      <c r="R401" s="328"/>
      <c r="S401" s="326"/>
      <c r="T401" s="327"/>
      <c r="U401" s="328"/>
      <c r="V401" s="150"/>
      <c r="W401" s="327"/>
      <c r="X401" s="320"/>
      <c r="Y401" s="201"/>
      <c r="Z401" s="201"/>
      <c r="AA401" s="201"/>
      <c r="AB401" s="17"/>
      <c r="AC401" s="17"/>
      <c r="AD401" s="17"/>
      <c r="AE401" s="17"/>
    </row>
    <row r="402">
      <c r="A402" s="150"/>
      <c r="B402" s="164"/>
      <c r="C402" s="320"/>
      <c r="D402" s="150"/>
      <c r="E402" s="164"/>
      <c r="F402" s="320"/>
      <c r="G402" s="150"/>
      <c r="H402" s="164"/>
      <c r="I402" s="320"/>
      <c r="J402" s="150"/>
      <c r="K402" s="164"/>
      <c r="L402" s="320"/>
      <c r="M402" s="326"/>
      <c r="N402" s="327"/>
      <c r="O402" s="328"/>
      <c r="P402" s="326"/>
      <c r="Q402" s="327"/>
      <c r="R402" s="328"/>
      <c r="S402" s="326"/>
      <c r="T402" s="327"/>
      <c r="U402" s="328"/>
      <c r="V402" s="150"/>
      <c r="W402" s="327"/>
      <c r="X402" s="320"/>
      <c r="Y402" s="201"/>
      <c r="Z402" s="201"/>
      <c r="AA402" s="201"/>
      <c r="AB402" s="17"/>
      <c r="AC402" s="17"/>
      <c r="AD402" s="17"/>
      <c r="AE402" s="17"/>
    </row>
    <row r="403">
      <c r="A403" s="150"/>
      <c r="B403" s="164"/>
      <c r="C403" s="320"/>
      <c r="D403" s="150"/>
      <c r="E403" s="164"/>
      <c r="F403" s="320"/>
      <c r="G403" s="150"/>
      <c r="H403" s="164"/>
      <c r="I403" s="320"/>
      <c r="J403" s="150"/>
      <c r="K403" s="164"/>
      <c r="L403" s="320"/>
      <c r="M403" s="326"/>
      <c r="N403" s="327"/>
      <c r="O403" s="328"/>
      <c r="P403" s="326"/>
      <c r="Q403" s="327"/>
      <c r="R403" s="328"/>
      <c r="S403" s="326"/>
      <c r="T403" s="327"/>
      <c r="U403" s="328"/>
      <c r="V403" s="150"/>
      <c r="W403" s="327"/>
      <c r="X403" s="320"/>
      <c r="Y403" s="201"/>
      <c r="Z403" s="201"/>
      <c r="AA403" s="201"/>
      <c r="AB403" s="17"/>
      <c r="AC403" s="17"/>
      <c r="AD403" s="17"/>
      <c r="AE403" s="17"/>
    </row>
    <row r="404">
      <c r="A404" s="150"/>
      <c r="B404" s="164"/>
      <c r="C404" s="320"/>
      <c r="D404" s="150"/>
      <c r="E404" s="164"/>
      <c r="F404" s="320"/>
      <c r="G404" s="150"/>
      <c r="H404" s="164"/>
      <c r="I404" s="320"/>
      <c r="J404" s="150"/>
      <c r="K404" s="164"/>
      <c r="L404" s="320"/>
      <c r="M404" s="326"/>
      <c r="N404" s="327"/>
      <c r="O404" s="328"/>
      <c r="P404" s="326"/>
      <c r="Q404" s="327"/>
      <c r="R404" s="328"/>
      <c r="S404" s="326"/>
      <c r="T404" s="327"/>
      <c r="U404" s="328"/>
      <c r="V404" s="150"/>
      <c r="W404" s="327"/>
      <c r="X404" s="320"/>
      <c r="Y404" s="201"/>
      <c r="Z404" s="201"/>
      <c r="AA404" s="201"/>
      <c r="AB404" s="17"/>
      <c r="AC404" s="17"/>
      <c r="AD404" s="17"/>
      <c r="AE404" s="17"/>
    </row>
    <row r="405">
      <c r="A405" s="150"/>
      <c r="B405" s="164"/>
      <c r="C405" s="320"/>
      <c r="D405" s="150"/>
      <c r="E405" s="164"/>
      <c r="F405" s="320"/>
      <c r="G405" s="150"/>
      <c r="H405" s="164"/>
      <c r="I405" s="320"/>
      <c r="J405" s="150"/>
      <c r="K405" s="164"/>
      <c r="L405" s="320"/>
      <c r="M405" s="326"/>
      <c r="N405" s="327"/>
      <c r="O405" s="328"/>
      <c r="P405" s="326"/>
      <c r="Q405" s="327"/>
      <c r="R405" s="328"/>
      <c r="S405" s="326"/>
      <c r="T405" s="327"/>
      <c r="U405" s="328"/>
      <c r="V405" s="150"/>
      <c r="W405" s="327"/>
      <c r="X405" s="320"/>
      <c r="Y405" s="201"/>
      <c r="Z405" s="201"/>
      <c r="AA405" s="201"/>
      <c r="AB405" s="17"/>
      <c r="AC405" s="17"/>
      <c r="AD405" s="17"/>
      <c r="AE405" s="17"/>
    </row>
    <row r="406">
      <c r="A406" s="150"/>
      <c r="B406" s="164"/>
      <c r="C406" s="320"/>
      <c r="D406" s="150"/>
      <c r="E406" s="164"/>
      <c r="F406" s="320"/>
      <c r="G406" s="150"/>
      <c r="H406" s="164"/>
      <c r="I406" s="320"/>
      <c r="J406" s="150"/>
      <c r="K406" s="164"/>
      <c r="L406" s="320"/>
      <c r="M406" s="326"/>
      <c r="N406" s="327"/>
      <c r="O406" s="328"/>
      <c r="P406" s="326"/>
      <c r="Q406" s="327"/>
      <c r="R406" s="328"/>
      <c r="S406" s="326"/>
      <c r="T406" s="327"/>
      <c r="U406" s="328"/>
      <c r="V406" s="150"/>
      <c r="W406" s="327"/>
      <c r="X406" s="320"/>
      <c r="Y406" s="201"/>
      <c r="Z406" s="201"/>
      <c r="AA406" s="201"/>
      <c r="AB406" s="17"/>
      <c r="AC406" s="17"/>
      <c r="AD406" s="17"/>
      <c r="AE406" s="17"/>
    </row>
    <row r="407">
      <c r="A407" s="150"/>
      <c r="B407" s="164"/>
      <c r="C407" s="320"/>
      <c r="D407" s="150"/>
      <c r="E407" s="164"/>
      <c r="F407" s="320"/>
      <c r="G407" s="150"/>
      <c r="H407" s="164"/>
      <c r="I407" s="320"/>
      <c r="J407" s="150"/>
      <c r="K407" s="164"/>
      <c r="L407" s="320"/>
      <c r="M407" s="326"/>
      <c r="N407" s="327"/>
      <c r="O407" s="328"/>
      <c r="P407" s="326"/>
      <c r="Q407" s="327"/>
      <c r="R407" s="328"/>
      <c r="S407" s="326"/>
      <c r="T407" s="327"/>
      <c r="U407" s="328"/>
      <c r="V407" s="150"/>
      <c r="W407" s="327"/>
      <c r="X407" s="320"/>
      <c r="Y407" s="201"/>
      <c r="Z407" s="201"/>
      <c r="AA407" s="201"/>
      <c r="AB407" s="17"/>
      <c r="AC407" s="17"/>
      <c r="AD407" s="17"/>
      <c r="AE407" s="17"/>
    </row>
    <row r="408">
      <c r="A408" s="150"/>
      <c r="B408" s="164"/>
      <c r="C408" s="320"/>
      <c r="D408" s="150"/>
      <c r="E408" s="164"/>
      <c r="F408" s="320"/>
      <c r="G408" s="150"/>
      <c r="H408" s="164"/>
      <c r="I408" s="320"/>
      <c r="J408" s="150"/>
      <c r="K408" s="164"/>
      <c r="L408" s="320"/>
      <c r="M408" s="326"/>
      <c r="N408" s="327"/>
      <c r="O408" s="328"/>
      <c r="P408" s="326"/>
      <c r="Q408" s="327"/>
      <c r="R408" s="328"/>
      <c r="S408" s="326"/>
      <c r="T408" s="327"/>
      <c r="U408" s="328"/>
      <c r="V408" s="150"/>
      <c r="W408" s="327"/>
      <c r="X408" s="320"/>
      <c r="Y408" s="201"/>
      <c r="Z408" s="201"/>
      <c r="AA408" s="201"/>
      <c r="AB408" s="17"/>
      <c r="AC408" s="17"/>
      <c r="AD408" s="17"/>
      <c r="AE408" s="17"/>
    </row>
    <row r="409">
      <c r="A409" s="150"/>
      <c r="B409" s="164"/>
      <c r="C409" s="320"/>
      <c r="D409" s="150"/>
      <c r="E409" s="164"/>
      <c r="F409" s="320"/>
      <c r="G409" s="150"/>
      <c r="H409" s="164"/>
      <c r="I409" s="320"/>
      <c r="J409" s="150"/>
      <c r="K409" s="164"/>
      <c r="L409" s="320"/>
      <c r="M409" s="326"/>
      <c r="N409" s="327"/>
      <c r="O409" s="328"/>
      <c r="P409" s="326"/>
      <c r="Q409" s="327"/>
      <c r="R409" s="328"/>
      <c r="S409" s="326"/>
      <c r="T409" s="327"/>
      <c r="U409" s="328"/>
      <c r="V409" s="150"/>
      <c r="W409" s="327"/>
      <c r="X409" s="320"/>
      <c r="Y409" s="201"/>
      <c r="Z409" s="201"/>
      <c r="AA409" s="201"/>
      <c r="AB409" s="17"/>
      <c r="AC409" s="17"/>
      <c r="AD409" s="17"/>
      <c r="AE409" s="17"/>
    </row>
    <row r="410">
      <c r="A410" s="150"/>
      <c r="B410" s="164"/>
      <c r="C410" s="320"/>
      <c r="D410" s="150"/>
      <c r="E410" s="164"/>
      <c r="F410" s="320"/>
      <c r="G410" s="150"/>
      <c r="H410" s="164"/>
      <c r="I410" s="320"/>
      <c r="J410" s="150"/>
      <c r="K410" s="164"/>
      <c r="L410" s="320"/>
      <c r="M410" s="326"/>
      <c r="N410" s="327"/>
      <c r="O410" s="328"/>
      <c r="P410" s="326"/>
      <c r="Q410" s="327"/>
      <c r="R410" s="328"/>
      <c r="S410" s="326"/>
      <c r="T410" s="327"/>
      <c r="U410" s="328"/>
      <c r="V410" s="150"/>
      <c r="W410" s="327"/>
      <c r="X410" s="320"/>
      <c r="Y410" s="201"/>
      <c r="Z410" s="201"/>
      <c r="AA410" s="201"/>
      <c r="AB410" s="17"/>
      <c r="AC410" s="17"/>
      <c r="AD410" s="17"/>
      <c r="AE410" s="17"/>
    </row>
    <row r="411">
      <c r="A411" s="150"/>
      <c r="B411" s="164"/>
      <c r="C411" s="320"/>
      <c r="D411" s="150"/>
      <c r="E411" s="164"/>
      <c r="F411" s="320"/>
      <c r="G411" s="150"/>
      <c r="H411" s="164"/>
      <c r="I411" s="320"/>
      <c r="J411" s="150"/>
      <c r="K411" s="164"/>
      <c r="L411" s="320"/>
      <c r="M411" s="326"/>
      <c r="N411" s="327"/>
      <c r="O411" s="328"/>
      <c r="P411" s="326"/>
      <c r="Q411" s="327"/>
      <c r="R411" s="328"/>
      <c r="S411" s="326"/>
      <c r="T411" s="327"/>
      <c r="U411" s="328"/>
      <c r="V411" s="150"/>
      <c r="W411" s="327"/>
      <c r="X411" s="320"/>
      <c r="Y411" s="201"/>
      <c r="Z411" s="201"/>
      <c r="AA411" s="201"/>
      <c r="AB411" s="17"/>
      <c r="AC411" s="17"/>
      <c r="AD411" s="17"/>
      <c r="AE411" s="17"/>
    </row>
    <row r="412">
      <c r="A412" s="150"/>
      <c r="B412" s="164"/>
      <c r="C412" s="320"/>
      <c r="D412" s="150"/>
      <c r="E412" s="164"/>
      <c r="F412" s="320"/>
      <c r="G412" s="150"/>
      <c r="H412" s="164"/>
      <c r="I412" s="320"/>
      <c r="J412" s="150"/>
      <c r="K412" s="164"/>
      <c r="L412" s="320"/>
      <c r="M412" s="326"/>
      <c r="N412" s="327"/>
      <c r="O412" s="328"/>
      <c r="P412" s="326"/>
      <c r="Q412" s="327"/>
      <c r="R412" s="328"/>
      <c r="S412" s="326"/>
      <c r="T412" s="327"/>
      <c r="U412" s="328"/>
      <c r="V412" s="150"/>
      <c r="W412" s="327"/>
      <c r="X412" s="320"/>
      <c r="Y412" s="201"/>
      <c r="Z412" s="201"/>
      <c r="AA412" s="201"/>
      <c r="AB412" s="17"/>
      <c r="AC412" s="17"/>
      <c r="AD412" s="17"/>
      <c r="AE412" s="17"/>
    </row>
    <row r="413">
      <c r="A413" s="150"/>
      <c r="B413" s="164"/>
      <c r="C413" s="320"/>
      <c r="D413" s="150"/>
      <c r="E413" s="164"/>
      <c r="F413" s="320"/>
      <c r="G413" s="150"/>
      <c r="H413" s="164"/>
      <c r="I413" s="320"/>
      <c r="J413" s="150"/>
      <c r="K413" s="164"/>
      <c r="L413" s="320"/>
      <c r="M413" s="326"/>
      <c r="N413" s="327"/>
      <c r="O413" s="328"/>
      <c r="P413" s="326"/>
      <c r="Q413" s="327"/>
      <c r="R413" s="328"/>
      <c r="S413" s="326"/>
      <c r="T413" s="327"/>
      <c r="U413" s="328"/>
      <c r="V413" s="150"/>
      <c r="W413" s="327"/>
      <c r="X413" s="320"/>
      <c r="Y413" s="201"/>
      <c r="Z413" s="201"/>
      <c r="AA413" s="201"/>
      <c r="AB413" s="17"/>
      <c r="AC413" s="17"/>
      <c r="AD413" s="17"/>
      <c r="AE413" s="17"/>
    </row>
    <row r="414">
      <c r="A414" s="150"/>
      <c r="B414" s="164"/>
      <c r="C414" s="320"/>
      <c r="D414" s="150"/>
      <c r="E414" s="164"/>
      <c r="F414" s="320"/>
      <c r="G414" s="150"/>
      <c r="H414" s="164"/>
      <c r="I414" s="320"/>
      <c r="J414" s="150"/>
      <c r="K414" s="164"/>
      <c r="L414" s="320"/>
      <c r="M414" s="326"/>
      <c r="N414" s="327"/>
      <c r="O414" s="328"/>
      <c r="P414" s="326"/>
      <c r="Q414" s="327"/>
      <c r="R414" s="328"/>
      <c r="S414" s="326"/>
      <c r="T414" s="327"/>
      <c r="U414" s="328"/>
      <c r="V414" s="150"/>
      <c r="W414" s="327"/>
      <c r="X414" s="320"/>
      <c r="Y414" s="201"/>
      <c r="Z414" s="201"/>
      <c r="AA414" s="201"/>
      <c r="AB414" s="17"/>
      <c r="AC414" s="17"/>
      <c r="AD414" s="17"/>
      <c r="AE414" s="17"/>
    </row>
    <row r="415">
      <c r="A415" s="150"/>
      <c r="B415" s="164"/>
      <c r="C415" s="320"/>
      <c r="D415" s="150"/>
      <c r="E415" s="164"/>
      <c r="F415" s="320"/>
      <c r="G415" s="150"/>
      <c r="H415" s="164"/>
      <c r="I415" s="320"/>
      <c r="J415" s="150"/>
      <c r="K415" s="164"/>
      <c r="L415" s="320"/>
      <c r="M415" s="326"/>
      <c r="N415" s="327"/>
      <c r="O415" s="328"/>
      <c r="P415" s="326"/>
      <c r="Q415" s="327"/>
      <c r="R415" s="328"/>
      <c r="S415" s="326"/>
      <c r="T415" s="327"/>
      <c r="U415" s="328"/>
      <c r="V415" s="150"/>
      <c r="W415" s="327"/>
      <c r="X415" s="320"/>
      <c r="Y415" s="201"/>
      <c r="Z415" s="201"/>
      <c r="AA415" s="201"/>
      <c r="AB415" s="17"/>
      <c r="AC415" s="17"/>
      <c r="AD415" s="17"/>
      <c r="AE415" s="17"/>
    </row>
    <row r="416">
      <c r="A416" s="150"/>
      <c r="B416" s="164"/>
      <c r="C416" s="320"/>
      <c r="D416" s="150"/>
      <c r="E416" s="164"/>
      <c r="F416" s="320"/>
      <c r="G416" s="150"/>
      <c r="H416" s="164"/>
      <c r="I416" s="320"/>
      <c r="J416" s="150"/>
      <c r="K416" s="164"/>
      <c r="L416" s="320"/>
      <c r="M416" s="326"/>
      <c r="N416" s="327"/>
      <c r="O416" s="328"/>
      <c r="P416" s="326"/>
      <c r="Q416" s="327"/>
      <c r="R416" s="328"/>
      <c r="S416" s="326"/>
      <c r="T416" s="327"/>
      <c r="U416" s="328"/>
      <c r="V416" s="150"/>
      <c r="W416" s="327"/>
      <c r="X416" s="320"/>
      <c r="Y416" s="201"/>
      <c r="Z416" s="201"/>
      <c r="AA416" s="201"/>
      <c r="AB416" s="17"/>
      <c r="AC416" s="17"/>
      <c r="AD416" s="17"/>
      <c r="AE416" s="17"/>
    </row>
    <row r="417">
      <c r="A417" s="150"/>
      <c r="B417" s="164"/>
      <c r="C417" s="320"/>
      <c r="D417" s="150"/>
      <c r="E417" s="164"/>
      <c r="F417" s="320"/>
      <c r="G417" s="150"/>
      <c r="H417" s="164"/>
      <c r="I417" s="320"/>
      <c r="J417" s="150"/>
      <c r="K417" s="164"/>
      <c r="L417" s="320"/>
      <c r="M417" s="326"/>
      <c r="N417" s="327"/>
      <c r="O417" s="328"/>
      <c r="P417" s="326"/>
      <c r="Q417" s="327"/>
      <c r="R417" s="328"/>
      <c r="S417" s="326"/>
      <c r="T417" s="327"/>
      <c r="U417" s="328"/>
      <c r="V417" s="150"/>
      <c r="W417" s="327"/>
      <c r="X417" s="320"/>
      <c r="Y417" s="201"/>
      <c r="Z417" s="201"/>
      <c r="AA417" s="201"/>
      <c r="AB417" s="17"/>
      <c r="AC417" s="17"/>
      <c r="AD417" s="17"/>
      <c r="AE417" s="17"/>
    </row>
    <row r="418">
      <c r="A418" s="150"/>
      <c r="B418" s="164"/>
      <c r="C418" s="320"/>
      <c r="D418" s="150"/>
      <c r="E418" s="164"/>
      <c r="F418" s="320"/>
      <c r="G418" s="150"/>
      <c r="H418" s="164"/>
      <c r="I418" s="320"/>
      <c r="J418" s="150"/>
      <c r="K418" s="164"/>
      <c r="L418" s="320"/>
      <c r="M418" s="326"/>
      <c r="N418" s="327"/>
      <c r="O418" s="328"/>
      <c r="P418" s="326"/>
      <c r="Q418" s="327"/>
      <c r="R418" s="328"/>
      <c r="S418" s="326"/>
      <c r="T418" s="327"/>
      <c r="U418" s="328"/>
      <c r="V418" s="150"/>
      <c r="W418" s="327"/>
      <c r="X418" s="320"/>
      <c r="Y418" s="201"/>
      <c r="Z418" s="201"/>
      <c r="AA418" s="201"/>
      <c r="AB418" s="17"/>
      <c r="AC418" s="17"/>
      <c r="AD418" s="17"/>
      <c r="AE418" s="17"/>
    </row>
    <row r="419">
      <c r="A419" s="150"/>
      <c r="B419" s="164"/>
      <c r="C419" s="320"/>
      <c r="D419" s="150"/>
      <c r="E419" s="164"/>
      <c r="F419" s="320"/>
      <c r="G419" s="150"/>
      <c r="H419" s="164"/>
      <c r="I419" s="320"/>
      <c r="J419" s="150"/>
      <c r="K419" s="164"/>
      <c r="L419" s="320"/>
      <c r="M419" s="326"/>
      <c r="N419" s="327"/>
      <c r="O419" s="328"/>
      <c r="P419" s="326"/>
      <c r="Q419" s="327"/>
      <c r="R419" s="328"/>
      <c r="S419" s="326"/>
      <c r="T419" s="327"/>
      <c r="U419" s="328"/>
      <c r="V419" s="150"/>
      <c r="W419" s="327"/>
      <c r="X419" s="320"/>
      <c r="Y419" s="201"/>
      <c r="Z419" s="201"/>
      <c r="AA419" s="201"/>
      <c r="AB419" s="17"/>
      <c r="AC419" s="17"/>
      <c r="AD419" s="17"/>
      <c r="AE419" s="17"/>
    </row>
    <row r="420">
      <c r="A420" s="150"/>
      <c r="B420" s="164"/>
      <c r="C420" s="320"/>
      <c r="D420" s="150"/>
      <c r="E420" s="164"/>
      <c r="F420" s="320"/>
      <c r="G420" s="150"/>
      <c r="H420" s="164"/>
      <c r="I420" s="320"/>
      <c r="J420" s="150"/>
      <c r="K420" s="164"/>
      <c r="L420" s="320"/>
      <c r="M420" s="326"/>
      <c r="N420" s="327"/>
      <c r="O420" s="328"/>
      <c r="P420" s="326"/>
      <c r="Q420" s="327"/>
      <c r="R420" s="328"/>
      <c r="S420" s="326"/>
      <c r="T420" s="327"/>
      <c r="U420" s="328"/>
      <c r="V420" s="150"/>
      <c r="W420" s="327"/>
      <c r="X420" s="320"/>
      <c r="Y420" s="201"/>
      <c r="Z420" s="201"/>
      <c r="AA420" s="201"/>
      <c r="AB420" s="17"/>
      <c r="AC420" s="17"/>
      <c r="AD420" s="17"/>
      <c r="AE420" s="17"/>
    </row>
    <row r="421">
      <c r="A421" s="150"/>
      <c r="B421" s="164"/>
      <c r="C421" s="320"/>
      <c r="D421" s="150"/>
      <c r="E421" s="164"/>
      <c r="F421" s="320"/>
      <c r="G421" s="150"/>
      <c r="H421" s="164"/>
      <c r="I421" s="320"/>
      <c r="J421" s="150"/>
      <c r="K421" s="164"/>
      <c r="L421" s="320"/>
      <c r="M421" s="326"/>
      <c r="N421" s="327"/>
      <c r="O421" s="328"/>
      <c r="P421" s="326"/>
      <c r="Q421" s="327"/>
      <c r="R421" s="328"/>
      <c r="S421" s="326"/>
      <c r="T421" s="327"/>
      <c r="U421" s="328"/>
      <c r="V421" s="150"/>
      <c r="W421" s="327"/>
      <c r="X421" s="320"/>
      <c r="Y421" s="201"/>
      <c r="Z421" s="201"/>
      <c r="AA421" s="201"/>
      <c r="AB421" s="17"/>
      <c r="AC421" s="17"/>
      <c r="AD421" s="17"/>
      <c r="AE421" s="17"/>
    </row>
    <row r="422">
      <c r="A422" s="150"/>
      <c r="B422" s="164"/>
      <c r="C422" s="320"/>
      <c r="D422" s="150"/>
      <c r="E422" s="164"/>
      <c r="F422" s="320"/>
      <c r="G422" s="150"/>
      <c r="H422" s="164"/>
      <c r="I422" s="320"/>
      <c r="J422" s="150"/>
      <c r="K422" s="164"/>
      <c r="L422" s="320"/>
      <c r="M422" s="326"/>
      <c r="N422" s="327"/>
      <c r="O422" s="328"/>
      <c r="P422" s="326"/>
      <c r="Q422" s="327"/>
      <c r="R422" s="328"/>
      <c r="S422" s="326"/>
      <c r="T422" s="327"/>
      <c r="U422" s="328"/>
      <c r="V422" s="150"/>
      <c r="W422" s="327"/>
      <c r="X422" s="320"/>
      <c r="Y422" s="201"/>
      <c r="Z422" s="201"/>
      <c r="AA422" s="201"/>
      <c r="AB422" s="17"/>
      <c r="AC422" s="17"/>
      <c r="AD422" s="17"/>
      <c r="AE422" s="17"/>
    </row>
    <row r="423">
      <c r="A423" s="150"/>
      <c r="B423" s="164"/>
      <c r="C423" s="320"/>
      <c r="D423" s="150"/>
      <c r="E423" s="164"/>
      <c r="F423" s="320"/>
      <c r="G423" s="150"/>
      <c r="H423" s="164"/>
      <c r="I423" s="320"/>
      <c r="J423" s="150"/>
      <c r="K423" s="164"/>
      <c r="L423" s="320"/>
      <c r="M423" s="326"/>
      <c r="N423" s="327"/>
      <c r="O423" s="328"/>
      <c r="P423" s="326"/>
      <c r="Q423" s="327"/>
      <c r="R423" s="328"/>
      <c r="S423" s="326"/>
      <c r="T423" s="327"/>
      <c r="U423" s="328"/>
      <c r="V423" s="150"/>
      <c r="W423" s="327"/>
      <c r="X423" s="320"/>
      <c r="Y423" s="201"/>
      <c r="Z423" s="201"/>
      <c r="AA423" s="201"/>
      <c r="AB423" s="17"/>
      <c r="AC423" s="17"/>
      <c r="AD423" s="17"/>
      <c r="AE423" s="17"/>
    </row>
    <row r="424">
      <c r="A424" s="150"/>
      <c r="B424" s="164"/>
      <c r="C424" s="320"/>
      <c r="D424" s="150"/>
      <c r="E424" s="164"/>
      <c r="F424" s="320"/>
      <c r="G424" s="150"/>
      <c r="H424" s="164"/>
      <c r="I424" s="320"/>
      <c r="J424" s="150"/>
      <c r="K424" s="164"/>
      <c r="L424" s="320"/>
      <c r="M424" s="326"/>
      <c r="N424" s="327"/>
      <c r="O424" s="328"/>
      <c r="P424" s="326"/>
      <c r="Q424" s="327"/>
      <c r="R424" s="328"/>
      <c r="S424" s="326"/>
      <c r="T424" s="327"/>
      <c r="U424" s="328"/>
      <c r="V424" s="150"/>
      <c r="W424" s="327"/>
      <c r="X424" s="320"/>
      <c r="Y424" s="201"/>
      <c r="Z424" s="201"/>
      <c r="AA424" s="201"/>
      <c r="AB424" s="17"/>
      <c r="AC424" s="17"/>
      <c r="AD424" s="17"/>
      <c r="AE424" s="17"/>
    </row>
    <row r="425">
      <c r="A425" s="150"/>
      <c r="B425" s="164"/>
      <c r="C425" s="320"/>
      <c r="D425" s="150"/>
      <c r="E425" s="164"/>
      <c r="F425" s="320"/>
      <c r="G425" s="150"/>
      <c r="H425" s="164"/>
      <c r="I425" s="320"/>
      <c r="J425" s="150"/>
      <c r="K425" s="164"/>
      <c r="L425" s="320"/>
      <c r="M425" s="326"/>
      <c r="N425" s="327"/>
      <c r="O425" s="328"/>
      <c r="P425" s="326"/>
      <c r="Q425" s="327"/>
      <c r="R425" s="328"/>
      <c r="S425" s="326"/>
      <c r="T425" s="327"/>
      <c r="U425" s="328"/>
      <c r="V425" s="150"/>
      <c r="W425" s="327"/>
      <c r="X425" s="320"/>
      <c r="Y425" s="201"/>
      <c r="Z425" s="201"/>
      <c r="AA425" s="201"/>
      <c r="AB425" s="17"/>
      <c r="AC425" s="17"/>
      <c r="AD425" s="17"/>
      <c r="AE425" s="17"/>
    </row>
    <row r="426">
      <c r="A426" s="150"/>
      <c r="B426" s="164"/>
      <c r="C426" s="320"/>
      <c r="D426" s="150"/>
      <c r="E426" s="164"/>
      <c r="F426" s="320"/>
      <c r="G426" s="150"/>
      <c r="H426" s="164"/>
      <c r="I426" s="320"/>
      <c r="J426" s="150"/>
      <c r="K426" s="164"/>
      <c r="L426" s="320"/>
      <c r="M426" s="326"/>
      <c r="N426" s="327"/>
      <c r="O426" s="328"/>
      <c r="P426" s="326"/>
      <c r="Q426" s="327"/>
      <c r="R426" s="328"/>
      <c r="S426" s="326"/>
      <c r="T426" s="327"/>
      <c r="U426" s="328"/>
      <c r="V426" s="150"/>
      <c r="W426" s="327"/>
      <c r="X426" s="320"/>
      <c r="Y426" s="201"/>
      <c r="Z426" s="201"/>
      <c r="AA426" s="201"/>
      <c r="AB426" s="17"/>
      <c r="AC426" s="17"/>
      <c r="AD426" s="17"/>
      <c r="AE426" s="17"/>
    </row>
    <row r="427">
      <c r="A427" s="150"/>
      <c r="B427" s="164"/>
      <c r="C427" s="320"/>
      <c r="D427" s="150"/>
      <c r="E427" s="164"/>
      <c r="F427" s="320"/>
      <c r="G427" s="150"/>
      <c r="H427" s="164"/>
      <c r="I427" s="320"/>
      <c r="J427" s="150"/>
      <c r="K427" s="164"/>
      <c r="L427" s="320"/>
      <c r="M427" s="326"/>
      <c r="N427" s="327"/>
      <c r="O427" s="328"/>
      <c r="P427" s="326"/>
      <c r="Q427" s="327"/>
      <c r="R427" s="328"/>
      <c r="S427" s="326"/>
      <c r="T427" s="327"/>
      <c r="U427" s="328"/>
      <c r="V427" s="150"/>
      <c r="W427" s="327"/>
      <c r="X427" s="320"/>
      <c r="Y427" s="201"/>
      <c r="Z427" s="201"/>
      <c r="AA427" s="201"/>
      <c r="AB427" s="17"/>
      <c r="AC427" s="17"/>
      <c r="AD427" s="17"/>
      <c r="AE427" s="17"/>
    </row>
    <row r="428">
      <c r="A428" s="150"/>
      <c r="B428" s="164"/>
      <c r="C428" s="320"/>
      <c r="D428" s="150"/>
      <c r="E428" s="164"/>
      <c r="F428" s="320"/>
      <c r="G428" s="150"/>
      <c r="H428" s="164"/>
      <c r="I428" s="320"/>
      <c r="J428" s="150"/>
      <c r="K428" s="164"/>
      <c r="L428" s="320"/>
      <c r="M428" s="326"/>
      <c r="N428" s="327"/>
      <c r="O428" s="328"/>
      <c r="P428" s="326"/>
      <c r="Q428" s="327"/>
      <c r="R428" s="328"/>
      <c r="S428" s="326"/>
      <c r="T428" s="327"/>
      <c r="U428" s="328"/>
      <c r="V428" s="150"/>
      <c r="W428" s="327"/>
      <c r="X428" s="320"/>
      <c r="Y428" s="201"/>
      <c r="Z428" s="201"/>
      <c r="AA428" s="201"/>
      <c r="AB428" s="17"/>
      <c r="AC428" s="17"/>
      <c r="AD428" s="17"/>
      <c r="AE428" s="17"/>
    </row>
    <row r="429">
      <c r="A429" s="150"/>
      <c r="B429" s="164"/>
      <c r="C429" s="320"/>
      <c r="D429" s="150"/>
      <c r="E429" s="164"/>
      <c r="F429" s="320"/>
      <c r="G429" s="150"/>
      <c r="H429" s="164"/>
      <c r="I429" s="320"/>
      <c r="J429" s="150"/>
      <c r="K429" s="164"/>
      <c r="L429" s="320"/>
      <c r="M429" s="326"/>
      <c r="N429" s="327"/>
      <c r="O429" s="328"/>
      <c r="P429" s="326"/>
      <c r="Q429" s="327"/>
      <c r="R429" s="328"/>
      <c r="S429" s="326"/>
      <c r="T429" s="327"/>
      <c r="U429" s="328"/>
      <c r="V429" s="150"/>
      <c r="W429" s="327"/>
      <c r="X429" s="320"/>
      <c r="Y429" s="201"/>
      <c r="Z429" s="201"/>
      <c r="AA429" s="201"/>
      <c r="AB429" s="17"/>
      <c r="AC429" s="17"/>
      <c r="AD429" s="17"/>
      <c r="AE429" s="17"/>
    </row>
    <row r="430">
      <c r="A430" s="150"/>
      <c r="B430" s="164"/>
      <c r="C430" s="320"/>
      <c r="D430" s="150"/>
      <c r="E430" s="164"/>
      <c r="F430" s="320"/>
      <c r="G430" s="150"/>
      <c r="H430" s="164"/>
      <c r="I430" s="320"/>
      <c r="J430" s="150"/>
      <c r="K430" s="164"/>
      <c r="L430" s="320"/>
      <c r="M430" s="326"/>
      <c r="N430" s="327"/>
      <c r="O430" s="328"/>
      <c r="P430" s="326"/>
      <c r="Q430" s="327"/>
      <c r="R430" s="328"/>
      <c r="S430" s="326"/>
      <c r="T430" s="327"/>
      <c r="U430" s="328"/>
      <c r="V430" s="150"/>
      <c r="W430" s="327"/>
      <c r="X430" s="320"/>
      <c r="Y430" s="201"/>
      <c r="Z430" s="201"/>
      <c r="AA430" s="201"/>
      <c r="AB430" s="17"/>
      <c r="AC430" s="17"/>
      <c r="AD430" s="17"/>
      <c r="AE430" s="17"/>
    </row>
    <row r="431">
      <c r="A431" s="150"/>
      <c r="B431" s="164"/>
      <c r="C431" s="320"/>
      <c r="D431" s="150"/>
      <c r="E431" s="164"/>
      <c r="F431" s="320"/>
      <c r="G431" s="150"/>
      <c r="H431" s="164"/>
      <c r="I431" s="320"/>
      <c r="J431" s="150"/>
      <c r="K431" s="164"/>
      <c r="L431" s="320"/>
      <c r="M431" s="326"/>
      <c r="N431" s="327"/>
      <c r="O431" s="328"/>
      <c r="P431" s="326"/>
      <c r="Q431" s="327"/>
      <c r="R431" s="328"/>
      <c r="S431" s="326"/>
      <c r="T431" s="327"/>
      <c r="U431" s="328"/>
      <c r="V431" s="150"/>
      <c r="W431" s="327"/>
      <c r="X431" s="320"/>
      <c r="Y431" s="201"/>
      <c r="Z431" s="201"/>
      <c r="AA431" s="201"/>
      <c r="AB431" s="17"/>
      <c r="AC431" s="17"/>
      <c r="AD431" s="17"/>
      <c r="AE431" s="17"/>
    </row>
    <row r="432">
      <c r="A432" s="150"/>
      <c r="B432" s="164"/>
      <c r="C432" s="320"/>
      <c r="D432" s="150"/>
      <c r="E432" s="164"/>
      <c r="F432" s="320"/>
      <c r="G432" s="150"/>
      <c r="H432" s="164"/>
      <c r="I432" s="320"/>
      <c r="J432" s="150"/>
      <c r="K432" s="164"/>
      <c r="L432" s="320"/>
      <c r="M432" s="326"/>
      <c r="N432" s="327"/>
      <c r="O432" s="328"/>
      <c r="P432" s="326"/>
      <c r="Q432" s="327"/>
      <c r="R432" s="328"/>
      <c r="S432" s="326"/>
      <c r="T432" s="327"/>
      <c r="U432" s="328"/>
      <c r="V432" s="150"/>
      <c r="W432" s="327"/>
      <c r="X432" s="320"/>
      <c r="Y432" s="201"/>
      <c r="Z432" s="201"/>
      <c r="AA432" s="201"/>
      <c r="AB432" s="17"/>
      <c r="AC432" s="17"/>
      <c r="AD432" s="17"/>
      <c r="AE432" s="17"/>
    </row>
    <row r="433">
      <c r="A433" s="150"/>
      <c r="B433" s="164"/>
      <c r="C433" s="320"/>
      <c r="D433" s="150"/>
      <c r="E433" s="164"/>
      <c r="F433" s="320"/>
      <c r="G433" s="150"/>
      <c r="H433" s="164"/>
      <c r="I433" s="320"/>
      <c r="J433" s="150"/>
      <c r="K433" s="164"/>
      <c r="L433" s="320"/>
      <c r="M433" s="326"/>
      <c r="N433" s="327"/>
      <c r="O433" s="328"/>
      <c r="P433" s="326"/>
      <c r="Q433" s="327"/>
      <c r="R433" s="328"/>
      <c r="S433" s="326"/>
      <c r="T433" s="327"/>
      <c r="U433" s="328"/>
      <c r="V433" s="150"/>
      <c r="W433" s="327"/>
      <c r="X433" s="320"/>
      <c r="Y433" s="201"/>
      <c r="Z433" s="201"/>
      <c r="AA433" s="201"/>
      <c r="AB433" s="17"/>
      <c r="AC433" s="17"/>
      <c r="AD433" s="17"/>
      <c r="AE433" s="17"/>
    </row>
    <row r="434">
      <c r="A434" s="150"/>
      <c r="B434" s="164"/>
      <c r="C434" s="320"/>
      <c r="D434" s="150"/>
      <c r="E434" s="164"/>
      <c r="F434" s="320"/>
      <c r="G434" s="150"/>
      <c r="H434" s="164"/>
      <c r="I434" s="320"/>
      <c r="J434" s="150"/>
      <c r="K434" s="164"/>
      <c r="L434" s="320"/>
      <c r="M434" s="326"/>
      <c r="N434" s="327"/>
      <c r="O434" s="328"/>
      <c r="P434" s="326"/>
      <c r="Q434" s="327"/>
      <c r="R434" s="328"/>
      <c r="S434" s="326"/>
      <c r="T434" s="327"/>
      <c r="U434" s="328"/>
      <c r="V434" s="150"/>
      <c r="W434" s="327"/>
      <c r="X434" s="320"/>
      <c r="Y434" s="201"/>
      <c r="Z434" s="201"/>
      <c r="AA434" s="201"/>
      <c r="AB434" s="17"/>
      <c r="AC434" s="17"/>
      <c r="AD434" s="17"/>
      <c r="AE434" s="17"/>
    </row>
    <row r="435">
      <c r="A435" s="150"/>
      <c r="B435" s="164"/>
      <c r="C435" s="320"/>
      <c r="D435" s="150"/>
      <c r="E435" s="164"/>
      <c r="F435" s="320"/>
      <c r="G435" s="150"/>
      <c r="H435" s="164"/>
      <c r="I435" s="320"/>
      <c r="J435" s="150"/>
      <c r="K435" s="164"/>
      <c r="L435" s="320"/>
      <c r="M435" s="326"/>
      <c r="N435" s="327"/>
      <c r="O435" s="328"/>
      <c r="P435" s="326"/>
      <c r="Q435" s="327"/>
      <c r="R435" s="328"/>
      <c r="S435" s="326"/>
      <c r="T435" s="327"/>
      <c r="U435" s="328"/>
      <c r="V435" s="150"/>
      <c r="W435" s="327"/>
      <c r="X435" s="320"/>
      <c r="Y435" s="201"/>
      <c r="Z435" s="201"/>
      <c r="AA435" s="201"/>
      <c r="AB435" s="17"/>
      <c r="AC435" s="17"/>
      <c r="AD435" s="17"/>
      <c r="AE435" s="17"/>
    </row>
    <row r="436">
      <c r="A436" s="150"/>
      <c r="B436" s="164"/>
      <c r="C436" s="320"/>
      <c r="D436" s="150"/>
      <c r="E436" s="164"/>
      <c r="F436" s="320"/>
      <c r="G436" s="150"/>
      <c r="H436" s="164"/>
      <c r="I436" s="320"/>
      <c r="J436" s="150"/>
      <c r="K436" s="164"/>
      <c r="L436" s="320"/>
      <c r="M436" s="326"/>
      <c r="N436" s="327"/>
      <c r="O436" s="328"/>
      <c r="P436" s="326"/>
      <c r="Q436" s="327"/>
      <c r="R436" s="328"/>
      <c r="S436" s="326"/>
      <c r="T436" s="327"/>
      <c r="U436" s="328"/>
      <c r="V436" s="150"/>
      <c r="W436" s="327"/>
      <c r="X436" s="320"/>
      <c r="Y436" s="201"/>
      <c r="Z436" s="201"/>
      <c r="AA436" s="201"/>
      <c r="AB436" s="17"/>
      <c r="AC436" s="17"/>
      <c r="AD436" s="17"/>
      <c r="AE436" s="17"/>
    </row>
    <row r="437">
      <c r="A437" s="150"/>
      <c r="B437" s="164"/>
      <c r="C437" s="320"/>
      <c r="D437" s="150"/>
      <c r="E437" s="164"/>
      <c r="F437" s="320"/>
      <c r="G437" s="150"/>
      <c r="H437" s="164"/>
      <c r="I437" s="320"/>
      <c r="J437" s="150"/>
      <c r="K437" s="164"/>
      <c r="L437" s="320"/>
      <c r="M437" s="326"/>
      <c r="N437" s="327"/>
      <c r="O437" s="328"/>
      <c r="P437" s="326"/>
      <c r="Q437" s="327"/>
      <c r="R437" s="328"/>
      <c r="S437" s="326"/>
      <c r="T437" s="327"/>
      <c r="U437" s="328"/>
      <c r="V437" s="150"/>
      <c r="W437" s="327"/>
      <c r="X437" s="320"/>
      <c r="Y437" s="201"/>
      <c r="Z437" s="201"/>
      <c r="AA437" s="201"/>
      <c r="AB437" s="17"/>
      <c r="AC437" s="17"/>
      <c r="AD437" s="17"/>
      <c r="AE437" s="17"/>
    </row>
    <row r="438">
      <c r="A438" s="150"/>
      <c r="B438" s="164"/>
      <c r="C438" s="320"/>
      <c r="D438" s="150"/>
      <c r="E438" s="164"/>
      <c r="F438" s="320"/>
      <c r="G438" s="150"/>
      <c r="H438" s="164"/>
      <c r="I438" s="320"/>
      <c r="J438" s="150"/>
      <c r="K438" s="164"/>
      <c r="L438" s="320"/>
      <c r="M438" s="326"/>
      <c r="N438" s="327"/>
      <c r="O438" s="328"/>
      <c r="P438" s="326"/>
      <c r="Q438" s="327"/>
      <c r="R438" s="328"/>
      <c r="S438" s="326"/>
      <c r="T438" s="327"/>
      <c r="U438" s="328"/>
      <c r="V438" s="150"/>
      <c r="W438" s="327"/>
      <c r="X438" s="320"/>
      <c r="Y438" s="201"/>
      <c r="Z438" s="201"/>
      <c r="AA438" s="201"/>
      <c r="AB438" s="17"/>
      <c r="AC438" s="17"/>
      <c r="AD438" s="17"/>
      <c r="AE438" s="17"/>
    </row>
    <row r="439">
      <c r="A439" s="150"/>
      <c r="B439" s="164"/>
      <c r="C439" s="320"/>
      <c r="D439" s="150"/>
      <c r="E439" s="164"/>
      <c r="F439" s="320"/>
      <c r="G439" s="150"/>
      <c r="H439" s="164"/>
      <c r="I439" s="320"/>
      <c r="J439" s="150"/>
      <c r="K439" s="164"/>
      <c r="L439" s="320"/>
      <c r="M439" s="326"/>
      <c r="N439" s="327"/>
      <c r="O439" s="328"/>
      <c r="P439" s="326"/>
      <c r="Q439" s="327"/>
      <c r="R439" s="328"/>
      <c r="S439" s="326"/>
      <c r="T439" s="327"/>
      <c r="U439" s="328"/>
      <c r="V439" s="150"/>
      <c r="W439" s="327"/>
      <c r="X439" s="320"/>
      <c r="Y439" s="201"/>
      <c r="Z439" s="201"/>
      <c r="AA439" s="201"/>
      <c r="AB439" s="17"/>
      <c r="AC439" s="17"/>
      <c r="AD439" s="17"/>
      <c r="AE439" s="17"/>
    </row>
    <row r="440">
      <c r="A440" s="150"/>
      <c r="B440" s="164"/>
      <c r="C440" s="320"/>
      <c r="D440" s="150"/>
      <c r="E440" s="164"/>
      <c r="F440" s="320"/>
      <c r="G440" s="150"/>
      <c r="H440" s="164"/>
      <c r="I440" s="320"/>
      <c r="J440" s="150"/>
      <c r="K440" s="164"/>
      <c r="L440" s="320"/>
      <c r="M440" s="326"/>
      <c r="N440" s="327"/>
      <c r="O440" s="328"/>
      <c r="P440" s="326"/>
      <c r="Q440" s="327"/>
      <c r="R440" s="328"/>
      <c r="S440" s="326"/>
      <c r="T440" s="327"/>
      <c r="U440" s="328"/>
      <c r="V440" s="150"/>
      <c r="W440" s="327"/>
      <c r="X440" s="320"/>
      <c r="Y440" s="201"/>
      <c r="Z440" s="201"/>
      <c r="AA440" s="201"/>
      <c r="AB440" s="17"/>
      <c r="AC440" s="17"/>
      <c r="AD440" s="17"/>
      <c r="AE440" s="17"/>
    </row>
    <row r="441">
      <c r="A441" s="150"/>
      <c r="B441" s="164"/>
      <c r="C441" s="320"/>
      <c r="D441" s="150"/>
      <c r="E441" s="164"/>
      <c r="F441" s="320"/>
      <c r="G441" s="150"/>
      <c r="H441" s="164"/>
      <c r="I441" s="320"/>
      <c r="J441" s="150"/>
      <c r="K441" s="164"/>
      <c r="L441" s="320"/>
      <c r="M441" s="326"/>
      <c r="N441" s="327"/>
      <c r="O441" s="328"/>
      <c r="P441" s="326"/>
      <c r="Q441" s="327"/>
      <c r="R441" s="328"/>
      <c r="S441" s="326"/>
      <c r="T441" s="327"/>
      <c r="U441" s="328"/>
      <c r="V441" s="150"/>
      <c r="W441" s="327"/>
      <c r="X441" s="320"/>
      <c r="Y441" s="201"/>
      <c r="Z441" s="201"/>
      <c r="AA441" s="201"/>
      <c r="AB441" s="17"/>
      <c r="AC441" s="17"/>
      <c r="AD441" s="17"/>
      <c r="AE441" s="17"/>
    </row>
    <row r="442">
      <c r="A442" s="150"/>
      <c r="B442" s="164"/>
      <c r="C442" s="320"/>
      <c r="D442" s="150"/>
      <c r="E442" s="164"/>
      <c r="F442" s="320"/>
      <c r="G442" s="150"/>
      <c r="H442" s="164"/>
      <c r="I442" s="320"/>
      <c r="J442" s="150"/>
      <c r="K442" s="164"/>
      <c r="L442" s="320"/>
      <c r="M442" s="326"/>
      <c r="N442" s="327"/>
      <c r="O442" s="328"/>
      <c r="P442" s="326"/>
      <c r="Q442" s="327"/>
      <c r="R442" s="328"/>
      <c r="S442" s="326"/>
      <c r="T442" s="327"/>
      <c r="U442" s="328"/>
      <c r="V442" s="150"/>
      <c r="W442" s="327"/>
      <c r="X442" s="320"/>
      <c r="Y442" s="201"/>
      <c r="Z442" s="201"/>
      <c r="AA442" s="201"/>
      <c r="AB442" s="17"/>
      <c r="AC442" s="17"/>
      <c r="AD442" s="17"/>
      <c r="AE442" s="17"/>
    </row>
    <row r="443">
      <c r="A443" s="150"/>
      <c r="B443" s="164"/>
      <c r="C443" s="320"/>
      <c r="D443" s="150"/>
      <c r="E443" s="164"/>
      <c r="F443" s="320"/>
      <c r="G443" s="150"/>
      <c r="H443" s="164"/>
      <c r="I443" s="320"/>
      <c r="J443" s="150"/>
      <c r="K443" s="164"/>
      <c r="L443" s="320"/>
      <c r="M443" s="326"/>
      <c r="N443" s="327"/>
      <c r="O443" s="328"/>
      <c r="P443" s="326"/>
      <c r="Q443" s="327"/>
      <c r="R443" s="328"/>
      <c r="S443" s="326"/>
      <c r="T443" s="327"/>
      <c r="U443" s="328"/>
      <c r="V443" s="150"/>
      <c r="W443" s="327"/>
      <c r="X443" s="320"/>
      <c r="Y443" s="201"/>
      <c r="Z443" s="201"/>
      <c r="AA443" s="201"/>
      <c r="AB443" s="17"/>
      <c r="AC443" s="17"/>
      <c r="AD443" s="17"/>
      <c r="AE443" s="17"/>
    </row>
    <row r="444">
      <c r="A444" s="150"/>
      <c r="B444" s="164"/>
      <c r="C444" s="320"/>
      <c r="D444" s="150"/>
      <c r="E444" s="164"/>
      <c r="F444" s="320"/>
      <c r="G444" s="150"/>
      <c r="H444" s="164"/>
      <c r="I444" s="320"/>
      <c r="J444" s="150"/>
      <c r="K444" s="164"/>
      <c r="L444" s="320"/>
      <c r="M444" s="326"/>
      <c r="N444" s="327"/>
      <c r="O444" s="328"/>
      <c r="P444" s="326"/>
      <c r="Q444" s="327"/>
      <c r="R444" s="328"/>
      <c r="S444" s="326"/>
      <c r="T444" s="327"/>
      <c r="U444" s="328"/>
      <c r="V444" s="150"/>
      <c r="W444" s="327"/>
      <c r="X444" s="320"/>
      <c r="Y444" s="201"/>
      <c r="Z444" s="201"/>
      <c r="AA444" s="201"/>
      <c r="AB444" s="17"/>
      <c r="AC444" s="17"/>
      <c r="AD444" s="17"/>
      <c r="AE444" s="17"/>
    </row>
    <row r="445">
      <c r="A445" s="150"/>
      <c r="B445" s="164"/>
      <c r="C445" s="320"/>
      <c r="D445" s="150"/>
      <c r="E445" s="164"/>
      <c r="F445" s="320"/>
      <c r="G445" s="150"/>
      <c r="H445" s="164"/>
      <c r="I445" s="320"/>
      <c r="J445" s="150"/>
      <c r="K445" s="164"/>
      <c r="L445" s="320"/>
      <c r="M445" s="326"/>
      <c r="N445" s="327"/>
      <c r="O445" s="328"/>
      <c r="P445" s="326"/>
      <c r="Q445" s="327"/>
      <c r="R445" s="328"/>
      <c r="S445" s="326"/>
      <c r="T445" s="327"/>
      <c r="U445" s="328"/>
      <c r="V445" s="150"/>
      <c r="W445" s="327"/>
      <c r="X445" s="320"/>
      <c r="Y445" s="201"/>
      <c r="Z445" s="201"/>
      <c r="AA445" s="201"/>
      <c r="AB445" s="17"/>
      <c r="AC445" s="17"/>
      <c r="AD445" s="17"/>
      <c r="AE445" s="17"/>
    </row>
    <row r="446">
      <c r="A446" s="150"/>
      <c r="B446" s="164"/>
      <c r="C446" s="320"/>
      <c r="D446" s="150"/>
      <c r="E446" s="164"/>
      <c r="F446" s="320"/>
      <c r="G446" s="150"/>
      <c r="H446" s="164"/>
      <c r="I446" s="320"/>
      <c r="J446" s="150"/>
      <c r="K446" s="164"/>
      <c r="L446" s="320"/>
      <c r="M446" s="326"/>
      <c r="N446" s="327"/>
      <c r="O446" s="328"/>
      <c r="P446" s="326"/>
      <c r="Q446" s="327"/>
      <c r="R446" s="328"/>
      <c r="S446" s="326"/>
      <c r="T446" s="327"/>
      <c r="U446" s="328"/>
      <c r="V446" s="150"/>
      <c r="W446" s="327"/>
      <c r="X446" s="320"/>
      <c r="Y446" s="201"/>
      <c r="Z446" s="201"/>
      <c r="AA446" s="201"/>
      <c r="AB446" s="17"/>
      <c r="AC446" s="17"/>
      <c r="AD446" s="17"/>
      <c r="AE446" s="17"/>
    </row>
    <row r="447">
      <c r="A447" s="150"/>
      <c r="B447" s="164"/>
      <c r="C447" s="320"/>
      <c r="D447" s="150"/>
      <c r="E447" s="164"/>
      <c r="F447" s="320"/>
      <c r="G447" s="150"/>
      <c r="H447" s="164"/>
      <c r="I447" s="320"/>
      <c r="J447" s="150"/>
      <c r="K447" s="164"/>
      <c r="L447" s="320"/>
      <c r="M447" s="326"/>
      <c r="N447" s="327"/>
      <c r="O447" s="328"/>
      <c r="P447" s="326"/>
      <c r="Q447" s="327"/>
      <c r="R447" s="328"/>
      <c r="S447" s="326"/>
      <c r="T447" s="327"/>
      <c r="U447" s="328"/>
      <c r="V447" s="150"/>
      <c r="W447" s="327"/>
      <c r="X447" s="320"/>
      <c r="Y447" s="201"/>
      <c r="Z447" s="201"/>
      <c r="AA447" s="201"/>
      <c r="AB447" s="17"/>
      <c r="AC447" s="17"/>
      <c r="AD447" s="17"/>
      <c r="AE447" s="17"/>
    </row>
    <row r="448">
      <c r="A448" s="150"/>
      <c r="B448" s="164"/>
      <c r="C448" s="320"/>
      <c r="D448" s="150"/>
      <c r="E448" s="164"/>
      <c r="F448" s="320"/>
      <c r="G448" s="150"/>
      <c r="H448" s="164"/>
      <c r="I448" s="320"/>
      <c r="J448" s="150"/>
      <c r="K448" s="164"/>
      <c r="L448" s="320"/>
      <c r="M448" s="326"/>
      <c r="N448" s="327"/>
      <c r="O448" s="328"/>
      <c r="P448" s="326"/>
      <c r="Q448" s="327"/>
      <c r="R448" s="328"/>
      <c r="S448" s="326"/>
      <c r="T448" s="327"/>
      <c r="U448" s="328"/>
      <c r="V448" s="150"/>
      <c r="W448" s="327"/>
      <c r="X448" s="320"/>
      <c r="Y448" s="201"/>
      <c r="Z448" s="201"/>
      <c r="AA448" s="201"/>
      <c r="AB448" s="17"/>
      <c r="AC448" s="17"/>
      <c r="AD448" s="17"/>
      <c r="AE448" s="17"/>
    </row>
    <row r="449">
      <c r="A449" s="150"/>
      <c r="B449" s="164"/>
      <c r="C449" s="320"/>
      <c r="D449" s="150"/>
      <c r="E449" s="164"/>
      <c r="F449" s="320"/>
      <c r="G449" s="150"/>
      <c r="H449" s="164"/>
      <c r="I449" s="320"/>
      <c r="J449" s="150"/>
      <c r="K449" s="164"/>
      <c r="L449" s="320"/>
      <c r="M449" s="326"/>
      <c r="N449" s="327"/>
      <c r="O449" s="328"/>
      <c r="P449" s="326"/>
      <c r="Q449" s="327"/>
      <c r="R449" s="328"/>
      <c r="S449" s="326"/>
      <c r="T449" s="327"/>
      <c r="U449" s="328"/>
      <c r="V449" s="150"/>
      <c r="W449" s="327"/>
      <c r="X449" s="320"/>
      <c r="Y449" s="201"/>
      <c r="Z449" s="201"/>
      <c r="AA449" s="201"/>
      <c r="AB449" s="17"/>
      <c r="AC449" s="17"/>
      <c r="AD449" s="17"/>
      <c r="AE449" s="17"/>
    </row>
    <row r="450">
      <c r="A450" s="150"/>
      <c r="B450" s="164"/>
      <c r="C450" s="320"/>
      <c r="D450" s="150"/>
      <c r="E450" s="164"/>
      <c r="F450" s="320"/>
      <c r="G450" s="150"/>
      <c r="H450" s="164"/>
      <c r="I450" s="320"/>
      <c r="J450" s="150"/>
      <c r="K450" s="164"/>
      <c r="L450" s="320"/>
      <c r="M450" s="326"/>
      <c r="N450" s="327"/>
      <c r="O450" s="328"/>
      <c r="P450" s="326"/>
      <c r="Q450" s="327"/>
      <c r="R450" s="328"/>
      <c r="S450" s="326"/>
      <c r="T450" s="327"/>
      <c r="U450" s="328"/>
      <c r="V450" s="150"/>
      <c r="W450" s="327"/>
      <c r="X450" s="320"/>
      <c r="Y450" s="201"/>
      <c r="Z450" s="201"/>
      <c r="AA450" s="201"/>
      <c r="AB450" s="17"/>
      <c r="AC450" s="17"/>
      <c r="AD450" s="17"/>
      <c r="AE450" s="17"/>
    </row>
    <row r="451">
      <c r="A451" s="150"/>
      <c r="B451" s="164"/>
      <c r="C451" s="320"/>
      <c r="D451" s="150"/>
      <c r="E451" s="164"/>
      <c r="F451" s="320"/>
      <c r="G451" s="150"/>
      <c r="H451" s="164"/>
      <c r="I451" s="320"/>
      <c r="J451" s="150"/>
      <c r="K451" s="164"/>
      <c r="L451" s="320"/>
      <c r="M451" s="326"/>
      <c r="N451" s="327"/>
      <c r="O451" s="328"/>
      <c r="P451" s="326"/>
      <c r="Q451" s="327"/>
      <c r="R451" s="328"/>
      <c r="S451" s="326"/>
      <c r="T451" s="327"/>
      <c r="U451" s="328"/>
      <c r="V451" s="150"/>
      <c r="W451" s="327"/>
      <c r="X451" s="320"/>
      <c r="Y451" s="201"/>
      <c r="Z451" s="201"/>
      <c r="AA451" s="201"/>
      <c r="AB451" s="17"/>
      <c r="AC451" s="17"/>
      <c r="AD451" s="17"/>
      <c r="AE451" s="17"/>
    </row>
    <row r="452">
      <c r="A452" s="150"/>
      <c r="B452" s="164"/>
      <c r="C452" s="320"/>
      <c r="D452" s="150"/>
      <c r="E452" s="164"/>
      <c r="F452" s="320"/>
      <c r="G452" s="150"/>
      <c r="H452" s="164"/>
      <c r="I452" s="320"/>
      <c r="J452" s="150"/>
      <c r="K452" s="164"/>
      <c r="L452" s="320"/>
      <c r="M452" s="326"/>
      <c r="N452" s="327"/>
      <c r="O452" s="328"/>
      <c r="P452" s="326"/>
      <c r="Q452" s="327"/>
      <c r="R452" s="328"/>
      <c r="S452" s="326"/>
      <c r="T452" s="327"/>
      <c r="U452" s="328"/>
      <c r="V452" s="150"/>
      <c r="W452" s="327"/>
      <c r="X452" s="320"/>
      <c r="Y452" s="201"/>
      <c r="Z452" s="201"/>
      <c r="AA452" s="201"/>
      <c r="AB452" s="17"/>
      <c r="AC452" s="17"/>
      <c r="AD452" s="17"/>
      <c r="AE452" s="17"/>
    </row>
    <row r="453">
      <c r="A453" s="150"/>
      <c r="B453" s="164"/>
      <c r="C453" s="320"/>
      <c r="D453" s="150"/>
      <c r="E453" s="164"/>
      <c r="F453" s="320"/>
      <c r="G453" s="150"/>
      <c r="H453" s="164"/>
      <c r="I453" s="320"/>
      <c r="J453" s="150"/>
      <c r="K453" s="164"/>
      <c r="L453" s="320"/>
      <c r="M453" s="326"/>
      <c r="N453" s="327"/>
      <c r="O453" s="328"/>
      <c r="P453" s="326"/>
      <c r="Q453" s="327"/>
      <c r="R453" s="328"/>
      <c r="S453" s="326"/>
      <c r="T453" s="327"/>
      <c r="U453" s="328"/>
      <c r="V453" s="150"/>
      <c r="W453" s="327"/>
      <c r="X453" s="320"/>
      <c r="Y453" s="201"/>
      <c r="Z453" s="201"/>
      <c r="AA453" s="201"/>
      <c r="AB453" s="17"/>
      <c r="AC453" s="17"/>
      <c r="AD453" s="17"/>
      <c r="AE453" s="17"/>
    </row>
    <row r="454">
      <c r="A454" s="150"/>
      <c r="B454" s="164"/>
      <c r="C454" s="320"/>
      <c r="D454" s="150"/>
      <c r="E454" s="164"/>
      <c r="F454" s="320"/>
      <c r="G454" s="150"/>
      <c r="H454" s="164"/>
      <c r="I454" s="320"/>
      <c r="J454" s="150"/>
      <c r="K454" s="164"/>
      <c r="L454" s="320"/>
      <c r="M454" s="326"/>
      <c r="N454" s="327"/>
      <c r="O454" s="328"/>
      <c r="P454" s="326"/>
      <c r="Q454" s="327"/>
      <c r="R454" s="328"/>
      <c r="S454" s="326"/>
      <c r="T454" s="327"/>
      <c r="U454" s="328"/>
      <c r="V454" s="150"/>
      <c r="W454" s="327"/>
      <c r="X454" s="320"/>
      <c r="Y454" s="201"/>
      <c r="Z454" s="201"/>
      <c r="AA454" s="201"/>
      <c r="AB454" s="17"/>
      <c r="AC454" s="17"/>
      <c r="AD454" s="17"/>
      <c r="AE454" s="17"/>
    </row>
    <row r="455">
      <c r="A455" s="150"/>
      <c r="B455" s="164"/>
      <c r="C455" s="320"/>
      <c r="D455" s="150"/>
      <c r="E455" s="164"/>
      <c r="F455" s="320"/>
      <c r="G455" s="150"/>
      <c r="H455" s="164"/>
      <c r="I455" s="320"/>
      <c r="J455" s="150"/>
      <c r="K455" s="164"/>
      <c r="L455" s="320"/>
      <c r="M455" s="326"/>
      <c r="N455" s="327"/>
      <c r="O455" s="328"/>
      <c r="P455" s="326"/>
      <c r="Q455" s="327"/>
      <c r="R455" s="328"/>
      <c r="S455" s="326"/>
      <c r="T455" s="327"/>
      <c r="U455" s="328"/>
      <c r="V455" s="150"/>
      <c r="W455" s="327"/>
      <c r="X455" s="320"/>
      <c r="Y455" s="201"/>
      <c r="Z455" s="201"/>
      <c r="AA455" s="201"/>
      <c r="AB455" s="17"/>
      <c r="AC455" s="17"/>
      <c r="AD455" s="17"/>
      <c r="AE455" s="17"/>
    </row>
    <row r="456">
      <c r="A456" s="150"/>
      <c r="B456" s="164"/>
      <c r="C456" s="320"/>
      <c r="D456" s="150"/>
      <c r="E456" s="164"/>
      <c r="F456" s="320"/>
      <c r="G456" s="150"/>
      <c r="H456" s="164"/>
      <c r="I456" s="320"/>
      <c r="J456" s="150"/>
      <c r="K456" s="164"/>
      <c r="L456" s="320"/>
      <c r="M456" s="326"/>
      <c r="N456" s="327"/>
      <c r="O456" s="328"/>
      <c r="P456" s="326"/>
      <c r="Q456" s="327"/>
      <c r="R456" s="328"/>
      <c r="S456" s="326"/>
      <c r="T456" s="327"/>
      <c r="U456" s="328"/>
      <c r="V456" s="150"/>
      <c r="W456" s="327"/>
      <c r="X456" s="320"/>
      <c r="Y456" s="201"/>
      <c r="Z456" s="201"/>
      <c r="AA456" s="201"/>
      <c r="AB456" s="17"/>
      <c r="AC456" s="17"/>
      <c r="AD456" s="17"/>
      <c r="AE456" s="17"/>
    </row>
    <row r="457">
      <c r="A457" s="150"/>
      <c r="B457" s="164"/>
      <c r="C457" s="320"/>
      <c r="D457" s="150"/>
      <c r="E457" s="164"/>
      <c r="F457" s="320"/>
      <c r="G457" s="150"/>
      <c r="H457" s="164"/>
      <c r="I457" s="320"/>
      <c r="J457" s="150"/>
      <c r="K457" s="164"/>
      <c r="L457" s="320"/>
      <c r="M457" s="326"/>
      <c r="N457" s="327"/>
      <c r="O457" s="328"/>
      <c r="P457" s="326"/>
      <c r="Q457" s="327"/>
      <c r="R457" s="328"/>
      <c r="S457" s="326"/>
      <c r="T457" s="327"/>
      <c r="U457" s="328"/>
      <c r="V457" s="150"/>
      <c r="W457" s="327"/>
      <c r="X457" s="320"/>
      <c r="Y457" s="201"/>
      <c r="Z457" s="201"/>
      <c r="AA457" s="201"/>
      <c r="AB457" s="17"/>
      <c r="AC457" s="17"/>
      <c r="AD457" s="17"/>
      <c r="AE457" s="17"/>
    </row>
    <row r="458">
      <c r="A458" s="150"/>
      <c r="B458" s="164"/>
      <c r="C458" s="320"/>
      <c r="D458" s="150"/>
      <c r="E458" s="164"/>
      <c r="F458" s="320"/>
      <c r="G458" s="150"/>
      <c r="H458" s="164"/>
      <c r="I458" s="320"/>
      <c r="J458" s="150"/>
      <c r="K458" s="164"/>
      <c r="L458" s="320"/>
      <c r="M458" s="326"/>
      <c r="N458" s="327"/>
      <c r="O458" s="328"/>
      <c r="P458" s="326"/>
      <c r="Q458" s="327"/>
      <c r="R458" s="328"/>
      <c r="S458" s="326"/>
      <c r="T458" s="327"/>
      <c r="U458" s="328"/>
      <c r="V458" s="150"/>
      <c r="W458" s="327"/>
      <c r="X458" s="320"/>
      <c r="Y458" s="201"/>
      <c r="Z458" s="201"/>
      <c r="AA458" s="201"/>
      <c r="AB458" s="17"/>
      <c r="AC458" s="17"/>
      <c r="AD458" s="17"/>
      <c r="AE458" s="17"/>
    </row>
    <row r="459">
      <c r="A459" s="150"/>
      <c r="B459" s="164"/>
      <c r="C459" s="320"/>
      <c r="D459" s="150"/>
      <c r="E459" s="164"/>
      <c r="F459" s="320"/>
      <c r="G459" s="150"/>
      <c r="H459" s="164"/>
      <c r="I459" s="320"/>
      <c r="J459" s="150"/>
      <c r="K459" s="164"/>
      <c r="L459" s="320"/>
      <c r="M459" s="326"/>
      <c r="N459" s="327"/>
      <c r="O459" s="328"/>
      <c r="P459" s="326"/>
      <c r="Q459" s="327"/>
      <c r="R459" s="328"/>
      <c r="S459" s="326"/>
      <c r="T459" s="327"/>
      <c r="U459" s="328"/>
      <c r="V459" s="150"/>
      <c r="W459" s="327"/>
      <c r="X459" s="320"/>
      <c r="Y459" s="201"/>
      <c r="Z459" s="201"/>
      <c r="AA459" s="201"/>
      <c r="AB459" s="17"/>
      <c r="AC459" s="17"/>
      <c r="AD459" s="17"/>
      <c r="AE459" s="17"/>
    </row>
    <row r="460">
      <c r="A460" s="150"/>
      <c r="B460" s="164"/>
      <c r="C460" s="320"/>
      <c r="D460" s="150"/>
      <c r="E460" s="164"/>
      <c r="F460" s="320"/>
      <c r="G460" s="150"/>
      <c r="H460" s="164"/>
      <c r="I460" s="320"/>
      <c r="J460" s="150"/>
      <c r="K460" s="164"/>
      <c r="L460" s="320"/>
      <c r="M460" s="326"/>
      <c r="N460" s="327"/>
      <c r="O460" s="328"/>
      <c r="P460" s="326"/>
      <c r="Q460" s="327"/>
      <c r="R460" s="328"/>
      <c r="S460" s="326"/>
      <c r="T460" s="327"/>
      <c r="U460" s="328"/>
      <c r="V460" s="150"/>
      <c r="W460" s="327"/>
      <c r="X460" s="320"/>
      <c r="Y460" s="201"/>
      <c r="Z460" s="201"/>
      <c r="AA460" s="201"/>
      <c r="AB460" s="17"/>
      <c r="AC460" s="17"/>
      <c r="AD460" s="17"/>
      <c r="AE460" s="17"/>
    </row>
    <row r="461">
      <c r="A461" s="150"/>
      <c r="B461" s="164"/>
      <c r="C461" s="320"/>
      <c r="D461" s="150"/>
      <c r="E461" s="164"/>
      <c r="F461" s="320"/>
      <c r="G461" s="150"/>
      <c r="H461" s="164"/>
      <c r="I461" s="320"/>
      <c r="J461" s="150"/>
      <c r="K461" s="164"/>
      <c r="L461" s="320"/>
      <c r="M461" s="326"/>
      <c r="N461" s="327"/>
      <c r="O461" s="328"/>
      <c r="P461" s="326"/>
      <c r="Q461" s="327"/>
      <c r="R461" s="328"/>
      <c r="S461" s="326"/>
      <c r="T461" s="327"/>
      <c r="U461" s="328"/>
      <c r="V461" s="150"/>
      <c r="W461" s="327"/>
      <c r="X461" s="320"/>
      <c r="Y461" s="201"/>
      <c r="Z461" s="201"/>
      <c r="AA461" s="201"/>
      <c r="AB461" s="17"/>
      <c r="AC461" s="17"/>
      <c r="AD461" s="17"/>
      <c r="AE461" s="17"/>
    </row>
    <row r="462">
      <c r="A462" s="150"/>
      <c r="B462" s="164"/>
      <c r="C462" s="320"/>
      <c r="D462" s="150"/>
      <c r="E462" s="164"/>
      <c r="F462" s="320"/>
      <c r="G462" s="150"/>
      <c r="H462" s="164"/>
      <c r="I462" s="320"/>
      <c r="J462" s="150"/>
      <c r="K462" s="164"/>
      <c r="L462" s="320"/>
      <c r="M462" s="326"/>
      <c r="N462" s="327"/>
      <c r="O462" s="328"/>
      <c r="P462" s="326"/>
      <c r="Q462" s="327"/>
      <c r="R462" s="328"/>
      <c r="S462" s="326"/>
      <c r="T462" s="327"/>
      <c r="U462" s="328"/>
      <c r="V462" s="150"/>
      <c r="W462" s="327"/>
      <c r="X462" s="320"/>
      <c r="Y462" s="201"/>
      <c r="Z462" s="201"/>
      <c r="AA462" s="201"/>
      <c r="AB462" s="17"/>
      <c r="AC462" s="17"/>
      <c r="AD462" s="17"/>
      <c r="AE462" s="17"/>
    </row>
    <row r="463">
      <c r="A463" s="150"/>
      <c r="B463" s="164"/>
      <c r="C463" s="320"/>
      <c r="D463" s="150"/>
      <c r="E463" s="164"/>
      <c r="F463" s="320"/>
      <c r="G463" s="150"/>
      <c r="H463" s="164"/>
      <c r="I463" s="320"/>
      <c r="J463" s="150"/>
      <c r="K463" s="164"/>
      <c r="L463" s="320"/>
      <c r="M463" s="326"/>
      <c r="N463" s="327"/>
      <c r="O463" s="328"/>
      <c r="P463" s="326"/>
      <c r="Q463" s="327"/>
      <c r="R463" s="328"/>
      <c r="S463" s="326"/>
      <c r="T463" s="327"/>
      <c r="U463" s="328"/>
      <c r="V463" s="150"/>
      <c r="W463" s="327"/>
      <c r="X463" s="320"/>
      <c r="Y463" s="201"/>
      <c r="Z463" s="201"/>
      <c r="AA463" s="201"/>
      <c r="AB463" s="17"/>
      <c r="AC463" s="17"/>
      <c r="AD463" s="17"/>
      <c r="AE463" s="17"/>
    </row>
    <row r="464">
      <c r="A464" s="150"/>
      <c r="B464" s="164"/>
      <c r="C464" s="320"/>
      <c r="D464" s="150"/>
      <c r="E464" s="164"/>
      <c r="F464" s="320"/>
      <c r="G464" s="150"/>
      <c r="H464" s="164"/>
      <c r="I464" s="320"/>
      <c r="J464" s="150"/>
      <c r="K464" s="164"/>
      <c r="L464" s="320"/>
      <c r="M464" s="326"/>
      <c r="N464" s="327"/>
      <c r="O464" s="328"/>
      <c r="P464" s="326"/>
      <c r="Q464" s="327"/>
      <c r="R464" s="328"/>
      <c r="S464" s="326"/>
      <c r="T464" s="327"/>
      <c r="U464" s="328"/>
      <c r="V464" s="150"/>
      <c r="W464" s="327"/>
      <c r="X464" s="320"/>
      <c r="Y464" s="201"/>
      <c r="Z464" s="201"/>
      <c r="AA464" s="201"/>
      <c r="AB464" s="17"/>
      <c r="AC464" s="17"/>
      <c r="AD464" s="17"/>
      <c r="AE464" s="17"/>
    </row>
    <row r="465">
      <c r="A465" s="150"/>
      <c r="B465" s="164"/>
      <c r="C465" s="320"/>
      <c r="D465" s="150"/>
      <c r="E465" s="164"/>
      <c r="F465" s="320"/>
      <c r="G465" s="150"/>
      <c r="H465" s="164"/>
      <c r="I465" s="320"/>
      <c r="J465" s="150"/>
      <c r="K465" s="164"/>
      <c r="L465" s="320"/>
      <c r="M465" s="326"/>
      <c r="N465" s="327"/>
      <c r="O465" s="328"/>
      <c r="P465" s="326"/>
      <c r="Q465" s="327"/>
      <c r="R465" s="328"/>
      <c r="S465" s="326"/>
      <c r="T465" s="327"/>
      <c r="U465" s="328"/>
      <c r="V465" s="150"/>
      <c r="W465" s="327"/>
      <c r="X465" s="320"/>
      <c r="Y465" s="201"/>
      <c r="Z465" s="201"/>
      <c r="AA465" s="201"/>
      <c r="AB465" s="17"/>
      <c r="AC465" s="17"/>
      <c r="AD465" s="17"/>
      <c r="AE465" s="17"/>
    </row>
    <row r="466">
      <c r="A466" s="150"/>
      <c r="B466" s="164"/>
      <c r="C466" s="320"/>
      <c r="D466" s="150"/>
      <c r="E466" s="164"/>
      <c r="F466" s="320"/>
      <c r="G466" s="150"/>
      <c r="H466" s="164"/>
      <c r="I466" s="320"/>
      <c r="J466" s="150"/>
      <c r="K466" s="164"/>
      <c r="L466" s="320"/>
      <c r="M466" s="326"/>
      <c r="N466" s="327"/>
      <c r="O466" s="328"/>
      <c r="P466" s="326"/>
      <c r="Q466" s="327"/>
      <c r="R466" s="328"/>
      <c r="S466" s="326"/>
      <c r="T466" s="327"/>
      <c r="U466" s="328"/>
      <c r="V466" s="150"/>
      <c r="W466" s="327"/>
      <c r="X466" s="320"/>
      <c r="Y466" s="201"/>
      <c r="Z466" s="201"/>
      <c r="AA466" s="201"/>
      <c r="AB466" s="17"/>
      <c r="AC466" s="17"/>
      <c r="AD466" s="17"/>
      <c r="AE466" s="17"/>
    </row>
    <row r="467">
      <c r="A467" s="150"/>
      <c r="B467" s="164"/>
      <c r="C467" s="320"/>
      <c r="D467" s="150"/>
      <c r="E467" s="164"/>
      <c r="F467" s="320"/>
      <c r="G467" s="150"/>
      <c r="H467" s="164"/>
      <c r="I467" s="320"/>
      <c r="J467" s="150"/>
      <c r="K467" s="164"/>
      <c r="L467" s="320"/>
      <c r="M467" s="326"/>
      <c r="N467" s="327"/>
      <c r="O467" s="328"/>
      <c r="P467" s="326"/>
      <c r="Q467" s="327"/>
      <c r="R467" s="328"/>
      <c r="S467" s="326"/>
      <c r="T467" s="327"/>
      <c r="U467" s="328"/>
      <c r="V467" s="150"/>
      <c r="W467" s="327"/>
      <c r="X467" s="320"/>
      <c r="Y467" s="201"/>
      <c r="Z467" s="201"/>
      <c r="AA467" s="201"/>
      <c r="AB467" s="17"/>
      <c r="AC467" s="17"/>
      <c r="AD467" s="17"/>
      <c r="AE467" s="17"/>
    </row>
    <row r="468">
      <c r="A468" s="150"/>
      <c r="B468" s="164"/>
      <c r="C468" s="320"/>
      <c r="D468" s="150"/>
      <c r="E468" s="164"/>
      <c r="F468" s="320"/>
      <c r="G468" s="150"/>
      <c r="H468" s="164"/>
      <c r="I468" s="320"/>
      <c r="J468" s="150"/>
      <c r="K468" s="164"/>
      <c r="L468" s="320"/>
      <c r="M468" s="326"/>
      <c r="N468" s="327"/>
      <c r="O468" s="328"/>
      <c r="P468" s="326"/>
      <c r="Q468" s="327"/>
      <c r="R468" s="328"/>
      <c r="S468" s="326"/>
      <c r="T468" s="327"/>
      <c r="U468" s="328"/>
      <c r="V468" s="150"/>
      <c r="W468" s="327"/>
      <c r="X468" s="320"/>
      <c r="Y468" s="201"/>
      <c r="Z468" s="201"/>
      <c r="AA468" s="201"/>
      <c r="AB468" s="17"/>
      <c r="AC468" s="17"/>
      <c r="AD468" s="17"/>
      <c r="AE468" s="17"/>
    </row>
    <row r="469">
      <c r="A469" s="150"/>
      <c r="B469" s="164"/>
      <c r="C469" s="320"/>
      <c r="D469" s="150"/>
      <c r="E469" s="164"/>
      <c r="F469" s="320"/>
      <c r="G469" s="150"/>
      <c r="H469" s="164"/>
      <c r="I469" s="320"/>
      <c r="J469" s="150"/>
      <c r="K469" s="164"/>
      <c r="L469" s="320"/>
      <c r="M469" s="326"/>
      <c r="N469" s="327"/>
      <c r="O469" s="328"/>
      <c r="P469" s="326"/>
      <c r="Q469" s="327"/>
      <c r="R469" s="328"/>
      <c r="S469" s="326"/>
      <c r="T469" s="327"/>
      <c r="U469" s="328"/>
      <c r="V469" s="150"/>
      <c r="W469" s="327"/>
      <c r="X469" s="320"/>
      <c r="Y469" s="201"/>
      <c r="Z469" s="201"/>
      <c r="AA469" s="201"/>
      <c r="AB469" s="17"/>
      <c r="AC469" s="17"/>
      <c r="AD469" s="17"/>
      <c r="AE469" s="17"/>
    </row>
    <row r="470">
      <c r="A470" s="150"/>
      <c r="B470" s="164"/>
      <c r="C470" s="320"/>
      <c r="D470" s="150"/>
      <c r="E470" s="164"/>
      <c r="F470" s="320"/>
      <c r="G470" s="150"/>
      <c r="H470" s="164"/>
      <c r="I470" s="320"/>
      <c r="J470" s="150"/>
      <c r="K470" s="164"/>
      <c r="L470" s="320"/>
      <c r="M470" s="326"/>
      <c r="N470" s="327"/>
      <c r="O470" s="328"/>
      <c r="P470" s="326"/>
      <c r="Q470" s="327"/>
      <c r="R470" s="328"/>
      <c r="S470" s="326"/>
      <c r="T470" s="327"/>
      <c r="U470" s="328"/>
      <c r="V470" s="150"/>
      <c r="W470" s="327"/>
      <c r="X470" s="320"/>
      <c r="Y470" s="201"/>
      <c r="Z470" s="201"/>
      <c r="AA470" s="201"/>
      <c r="AB470" s="17"/>
      <c r="AC470" s="17"/>
      <c r="AD470" s="17"/>
      <c r="AE470" s="17"/>
    </row>
    <row r="471">
      <c r="A471" s="150"/>
      <c r="B471" s="164"/>
      <c r="C471" s="320"/>
      <c r="D471" s="150"/>
      <c r="E471" s="164"/>
      <c r="F471" s="320"/>
      <c r="G471" s="150"/>
      <c r="H471" s="164"/>
      <c r="I471" s="320"/>
      <c r="J471" s="150"/>
      <c r="K471" s="164"/>
      <c r="L471" s="320"/>
      <c r="M471" s="326"/>
      <c r="N471" s="327"/>
      <c r="O471" s="328"/>
      <c r="P471" s="326"/>
      <c r="Q471" s="327"/>
      <c r="R471" s="328"/>
      <c r="S471" s="326"/>
      <c r="T471" s="327"/>
      <c r="U471" s="328"/>
      <c r="V471" s="150"/>
      <c r="W471" s="327"/>
      <c r="X471" s="320"/>
      <c r="Y471" s="201"/>
      <c r="Z471" s="201"/>
      <c r="AA471" s="201"/>
      <c r="AB471" s="17"/>
      <c r="AC471" s="17"/>
      <c r="AD471" s="17"/>
      <c r="AE471" s="17"/>
    </row>
    <row r="472">
      <c r="A472" s="150"/>
      <c r="B472" s="164"/>
      <c r="C472" s="320"/>
      <c r="D472" s="150"/>
      <c r="E472" s="164"/>
      <c r="F472" s="320"/>
      <c r="G472" s="150"/>
      <c r="H472" s="164"/>
      <c r="I472" s="320"/>
      <c r="J472" s="150"/>
      <c r="K472" s="164"/>
      <c r="L472" s="320"/>
      <c r="M472" s="326"/>
      <c r="N472" s="327"/>
      <c r="O472" s="328"/>
      <c r="P472" s="326"/>
      <c r="Q472" s="327"/>
      <c r="R472" s="328"/>
      <c r="S472" s="326"/>
      <c r="T472" s="327"/>
      <c r="U472" s="328"/>
      <c r="V472" s="150"/>
      <c r="W472" s="327"/>
      <c r="X472" s="320"/>
      <c r="Y472" s="201"/>
      <c r="Z472" s="201"/>
      <c r="AA472" s="201"/>
      <c r="AB472" s="17"/>
      <c r="AC472" s="17"/>
      <c r="AD472" s="17"/>
      <c r="AE472" s="17"/>
    </row>
    <row r="473">
      <c r="A473" s="150"/>
      <c r="B473" s="164"/>
      <c r="C473" s="320"/>
      <c r="D473" s="150"/>
      <c r="E473" s="164"/>
      <c r="F473" s="320"/>
      <c r="G473" s="150"/>
      <c r="H473" s="164"/>
      <c r="I473" s="320"/>
      <c r="J473" s="150"/>
      <c r="K473" s="164"/>
      <c r="L473" s="320"/>
      <c r="M473" s="326"/>
      <c r="N473" s="327"/>
      <c r="O473" s="328"/>
      <c r="P473" s="326"/>
      <c r="Q473" s="327"/>
      <c r="R473" s="328"/>
      <c r="S473" s="326"/>
      <c r="T473" s="327"/>
      <c r="U473" s="328"/>
      <c r="V473" s="150"/>
      <c r="W473" s="327"/>
      <c r="X473" s="320"/>
      <c r="Y473" s="201"/>
      <c r="Z473" s="201"/>
      <c r="AA473" s="201"/>
      <c r="AB473" s="17"/>
      <c r="AC473" s="17"/>
      <c r="AD473" s="17"/>
      <c r="AE473" s="17"/>
    </row>
    <row r="474">
      <c r="A474" s="150"/>
      <c r="B474" s="164"/>
      <c r="C474" s="320"/>
      <c r="D474" s="150"/>
      <c r="E474" s="164"/>
      <c r="F474" s="320"/>
      <c r="G474" s="150"/>
      <c r="H474" s="164"/>
      <c r="I474" s="320"/>
      <c r="J474" s="150"/>
      <c r="K474" s="164"/>
      <c r="L474" s="320"/>
      <c r="M474" s="326"/>
      <c r="N474" s="327"/>
      <c r="O474" s="328"/>
      <c r="P474" s="326"/>
      <c r="Q474" s="327"/>
      <c r="R474" s="328"/>
      <c r="S474" s="326"/>
      <c r="T474" s="327"/>
      <c r="U474" s="328"/>
      <c r="V474" s="150"/>
      <c r="W474" s="327"/>
      <c r="X474" s="320"/>
      <c r="Y474" s="201"/>
      <c r="Z474" s="201"/>
      <c r="AA474" s="201"/>
      <c r="AB474" s="17"/>
      <c r="AC474" s="17"/>
      <c r="AD474" s="17"/>
      <c r="AE474" s="17"/>
    </row>
    <row r="475">
      <c r="A475" s="150"/>
      <c r="B475" s="164"/>
      <c r="C475" s="320"/>
      <c r="D475" s="150"/>
      <c r="E475" s="164"/>
      <c r="F475" s="320"/>
      <c r="G475" s="150"/>
      <c r="H475" s="164"/>
      <c r="I475" s="320"/>
      <c r="J475" s="150"/>
      <c r="K475" s="164"/>
      <c r="L475" s="320"/>
      <c r="M475" s="326"/>
      <c r="N475" s="327"/>
      <c r="O475" s="328"/>
      <c r="P475" s="326"/>
      <c r="Q475" s="327"/>
      <c r="R475" s="328"/>
      <c r="S475" s="326"/>
      <c r="T475" s="327"/>
      <c r="U475" s="328"/>
      <c r="V475" s="150"/>
      <c r="W475" s="327"/>
      <c r="X475" s="320"/>
      <c r="Y475" s="201"/>
      <c r="Z475" s="201"/>
      <c r="AA475" s="201"/>
      <c r="AB475" s="17"/>
      <c r="AC475" s="17"/>
      <c r="AD475" s="17"/>
      <c r="AE475" s="17"/>
    </row>
    <row r="476">
      <c r="A476" s="150"/>
      <c r="B476" s="164"/>
      <c r="C476" s="320"/>
      <c r="D476" s="150"/>
      <c r="E476" s="164"/>
      <c r="F476" s="320"/>
      <c r="G476" s="150"/>
      <c r="H476" s="164"/>
      <c r="I476" s="320"/>
      <c r="J476" s="150"/>
      <c r="K476" s="164"/>
      <c r="L476" s="320"/>
      <c r="M476" s="326"/>
      <c r="N476" s="327"/>
      <c r="O476" s="328"/>
      <c r="P476" s="326"/>
      <c r="Q476" s="327"/>
      <c r="R476" s="328"/>
      <c r="S476" s="326"/>
      <c r="T476" s="327"/>
      <c r="U476" s="328"/>
      <c r="V476" s="150"/>
      <c r="W476" s="327"/>
      <c r="X476" s="320"/>
      <c r="Y476" s="201"/>
      <c r="Z476" s="201"/>
      <c r="AA476" s="201"/>
      <c r="AB476" s="17"/>
      <c r="AC476" s="17"/>
      <c r="AD476" s="17"/>
      <c r="AE476" s="17"/>
    </row>
    <row r="477">
      <c r="A477" s="150"/>
      <c r="B477" s="164"/>
      <c r="C477" s="320"/>
      <c r="D477" s="150"/>
      <c r="E477" s="164"/>
      <c r="F477" s="320"/>
      <c r="G477" s="150"/>
      <c r="H477" s="164"/>
      <c r="I477" s="320"/>
      <c r="J477" s="150"/>
      <c r="K477" s="164"/>
      <c r="L477" s="320"/>
      <c r="M477" s="326"/>
      <c r="N477" s="327"/>
      <c r="O477" s="328"/>
      <c r="P477" s="326"/>
      <c r="Q477" s="327"/>
      <c r="R477" s="328"/>
      <c r="S477" s="326"/>
      <c r="T477" s="327"/>
      <c r="U477" s="328"/>
      <c r="V477" s="150"/>
      <c r="W477" s="327"/>
      <c r="X477" s="320"/>
      <c r="Y477" s="201"/>
      <c r="Z477" s="201"/>
      <c r="AA477" s="201"/>
      <c r="AB477" s="17"/>
      <c r="AC477" s="17"/>
      <c r="AD477" s="17"/>
      <c r="AE477" s="17"/>
    </row>
    <row r="478">
      <c r="A478" s="150"/>
      <c r="B478" s="164"/>
      <c r="C478" s="320"/>
      <c r="D478" s="150"/>
      <c r="E478" s="164"/>
      <c r="F478" s="320"/>
      <c r="G478" s="150"/>
      <c r="H478" s="164"/>
      <c r="I478" s="320"/>
      <c r="J478" s="150"/>
      <c r="K478" s="164"/>
      <c r="L478" s="320"/>
      <c r="M478" s="326"/>
      <c r="N478" s="327"/>
      <c r="O478" s="328"/>
      <c r="P478" s="326"/>
      <c r="Q478" s="327"/>
      <c r="R478" s="328"/>
      <c r="S478" s="326"/>
      <c r="T478" s="327"/>
      <c r="U478" s="328"/>
      <c r="V478" s="150"/>
      <c r="W478" s="327"/>
      <c r="X478" s="320"/>
      <c r="Y478" s="201"/>
      <c r="Z478" s="201"/>
      <c r="AA478" s="201"/>
      <c r="AB478" s="17"/>
      <c r="AC478" s="17"/>
      <c r="AD478" s="17"/>
      <c r="AE478" s="17"/>
    </row>
    <row r="479">
      <c r="A479" s="150"/>
      <c r="B479" s="164"/>
      <c r="C479" s="320"/>
      <c r="D479" s="150"/>
      <c r="E479" s="164"/>
      <c r="F479" s="320"/>
      <c r="G479" s="150"/>
      <c r="H479" s="164"/>
      <c r="I479" s="320"/>
      <c r="J479" s="150"/>
      <c r="K479" s="164"/>
      <c r="L479" s="320"/>
      <c r="M479" s="326"/>
      <c r="N479" s="327"/>
      <c r="O479" s="328"/>
      <c r="P479" s="326"/>
      <c r="Q479" s="327"/>
      <c r="R479" s="328"/>
      <c r="S479" s="326"/>
      <c r="T479" s="327"/>
      <c r="U479" s="328"/>
      <c r="V479" s="150"/>
      <c r="W479" s="327"/>
      <c r="X479" s="320"/>
      <c r="Y479" s="201"/>
      <c r="Z479" s="201"/>
      <c r="AA479" s="201"/>
      <c r="AB479" s="17"/>
      <c r="AC479" s="17"/>
      <c r="AD479" s="17"/>
      <c r="AE479" s="17"/>
    </row>
    <row r="480">
      <c r="A480" s="150"/>
      <c r="B480" s="164"/>
      <c r="C480" s="320"/>
      <c r="D480" s="150"/>
      <c r="E480" s="164"/>
      <c r="F480" s="320"/>
      <c r="G480" s="150"/>
      <c r="H480" s="164"/>
      <c r="I480" s="320"/>
      <c r="J480" s="150"/>
      <c r="K480" s="164"/>
      <c r="L480" s="320"/>
      <c r="M480" s="326"/>
      <c r="N480" s="327"/>
      <c r="O480" s="328"/>
      <c r="P480" s="326"/>
      <c r="Q480" s="327"/>
      <c r="R480" s="328"/>
      <c r="S480" s="326"/>
      <c r="T480" s="327"/>
      <c r="U480" s="328"/>
      <c r="V480" s="150"/>
      <c r="W480" s="327"/>
      <c r="X480" s="320"/>
      <c r="Y480" s="201"/>
      <c r="Z480" s="201"/>
      <c r="AA480" s="201"/>
      <c r="AB480" s="17"/>
      <c r="AC480" s="17"/>
      <c r="AD480" s="17"/>
      <c r="AE480" s="17"/>
    </row>
    <row r="481">
      <c r="A481" s="150"/>
      <c r="B481" s="164"/>
      <c r="C481" s="320"/>
      <c r="D481" s="150"/>
      <c r="E481" s="164"/>
      <c r="F481" s="320"/>
      <c r="G481" s="150"/>
      <c r="H481" s="164"/>
      <c r="I481" s="320"/>
      <c r="J481" s="150"/>
      <c r="K481" s="164"/>
      <c r="L481" s="320"/>
      <c r="M481" s="326"/>
      <c r="N481" s="327"/>
      <c r="O481" s="328"/>
      <c r="P481" s="326"/>
      <c r="Q481" s="327"/>
      <c r="R481" s="328"/>
      <c r="S481" s="326"/>
      <c r="T481" s="327"/>
      <c r="U481" s="328"/>
      <c r="V481" s="150"/>
      <c r="W481" s="327"/>
      <c r="X481" s="320"/>
      <c r="Y481" s="201"/>
      <c r="Z481" s="201"/>
      <c r="AA481" s="201"/>
      <c r="AB481" s="17"/>
      <c r="AC481" s="17"/>
      <c r="AD481" s="17"/>
      <c r="AE481" s="17"/>
    </row>
    <row r="482">
      <c r="A482" s="150"/>
      <c r="B482" s="164"/>
      <c r="C482" s="320"/>
      <c r="D482" s="150"/>
      <c r="E482" s="164"/>
      <c r="F482" s="320"/>
      <c r="G482" s="150"/>
      <c r="H482" s="164"/>
      <c r="I482" s="320"/>
      <c r="J482" s="150"/>
      <c r="K482" s="164"/>
      <c r="L482" s="320"/>
      <c r="M482" s="326"/>
      <c r="N482" s="327"/>
      <c r="O482" s="328"/>
      <c r="P482" s="326"/>
      <c r="Q482" s="327"/>
      <c r="R482" s="328"/>
      <c r="S482" s="326"/>
      <c r="T482" s="327"/>
      <c r="U482" s="328"/>
      <c r="V482" s="150"/>
      <c r="W482" s="327"/>
      <c r="X482" s="320"/>
      <c r="Y482" s="201"/>
      <c r="Z482" s="201"/>
      <c r="AA482" s="201"/>
      <c r="AB482" s="17"/>
      <c r="AC482" s="17"/>
      <c r="AD482" s="17"/>
      <c r="AE482" s="17"/>
    </row>
    <row r="483">
      <c r="A483" s="150"/>
      <c r="B483" s="164"/>
      <c r="C483" s="320"/>
      <c r="D483" s="150"/>
      <c r="E483" s="164"/>
      <c r="F483" s="320"/>
      <c r="G483" s="150"/>
      <c r="H483" s="164"/>
      <c r="I483" s="320"/>
      <c r="J483" s="150"/>
      <c r="K483" s="164"/>
      <c r="L483" s="320"/>
      <c r="M483" s="326"/>
      <c r="N483" s="327"/>
      <c r="O483" s="328"/>
      <c r="P483" s="326"/>
      <c r="Q483" s="327"/>
      <c r="R483" s="328"/>
      <c r="S483" s="326"/>
      <c r="T483" s="327"/>
      <c r="U483" s="328"/>
      <c r="V483" s="150"/>
      <c r="W483" s="327"/>
      <c r="X483" s="320"/>
      <c r="Y483" s="201"/>
      <c r="Z483" s="201"/>
      <c r="AA483" s="201"/>
      <c r="AB483" s="17"/>
      <c r="AC483" s="17"/>
      <c r="AD483" s="17"/>
      <c r="AE483" s="17"/>
    </row>
    <row r="484">
      <c r="A484" s="150"/>
      <c r="B484" s="164"/>
      <c r="C484" s="320"/>
      <c r="D484" s="150"/>
      <c r="E484" s="164"/>
      <c r="F484" s="320"/>
      <c r="G484" s="150"/>
      <c r="H484" s="164"/>
      <c r="I484" s="320"/>
      <c r="J484" s="150"/>
      <c r="K484" s="164"/>
      <c r="L484" s="320"/>
      <c r="M484" s="326"/>
      <c r="N484" s="327"/>
      <c r="O484" s="328"/>
      <c r="P484" s="326"/>
      <c r="Q484" s="327"/>
      <c r="R484" s="328"/>
      <c r="S484" s="326"/>
      <c r="T484" s="327"/>
      <c r="U484" s="328"/>
      <c r="V484" s="150"/>
      <c r="W484" s="327"/>
      <c r="X484" s="320"/>
      <c r="Y484" s="201"/>
      <c r="Z484" s="201"/>
      <c r="AA484" s="201"/>
      <c r="AB484" s="17"/>
      <c r="AC484" s="17"/>
      <c r="AD484" s="17"/>
      <c r="AE484" s="17"/>
    </row>
    <row r="485">
      <c r="A485" s="150"/>
      <c r="B485" s="164"/>
      <c r="C485" s="320"/>
      <c r="D485" s="150"/>
      <c r="E485" s="164"/>
      <c r="F485" s="320"/>
      <c r="G485" s="150"/>
      <c r="H485" s="164"/>
      <c r="I485" s="320"/>
      <c r="J485" s="150"/>
      <c r="K485" s="164"/>
      <c r="L485" s="320"/>
      <c r="M485" s="326"/>
      <c r="N485" s="327"/>
      <c r="O485" s="328"/>
      <c r="P485" s="326"/>
      <c r="Q485" s="327"/>
      <c r="R485" s="328"/>
      <c r="S485" s="326"/>
      <c r="T485" s="327"/>
      <c r="U485" s="328"/>
      <c r="V485" s="150"/>
      <c r="W485" s="327"/>
      <c r="X485" s="320"/>
      <c r="Y485" s="201"/>
      <c r="Z485" s="201"/>
      <c r="AA485" s="201"/>
      <c r="AB485" s="17"/>
      <c r="AC485" s="17"/>
      <c r="AD485" s="17"/>
      <c r="AE485" s="17"/>
    </row>
    <row r="486">
      <c r="A486" s="150"/>
      <c r="B486" s="164"/>
      <c r="C486" s="320"/>
      <c r="D486" s="150"/>
      <c r="E486" s="164"/>
      <c r="F486" s="320"/>
      <c r="G486" s="150"/>
      <c r="H486" s="164"/>
      <c r="I486" s="320"/>
      <c r="J486" s="150"/>
      <c r="K486" s="164"/>
      <c r="L486" s="320"/>
      <c r="M486" s="326"/>
      <c r="N486" s="327"/>
      <c r="O486" s="328"/>
      <c r="P486" s="326"/>
      <c r="Q486" s="327"/>
      <c r="R486" s="328"/>
      <c r="S486" s="326"/>
      <c r="T486" s="327"/>
      <c r="U486" s="328"/>
      <c r="V486" s="150"/>
      <c r="W486" s="327"/>
      <c r="X486" s="320"/>
      <c r="Y486" s="201"/>
      <c r="Z486" s="201"/>
      <c r="AA486" s="201"/>
      <c r="AB486" s="17"/>
      <c r="AC486" s="17"/>
      <c r="AD486" s="17"/>
      <c r="AE486" s="17"/>
    </row>
    <row r="487">
      <c r="A487" s="150"/>
      <c r="B487" s="164"/>
      <c r="C487" s="320"/>
      <c r="D487" s="150"/>
      <c r="E487" s="164"/>
      <c r="F487" s="320"/>
      <c r="G487" s="150"/>
      <c r="H487" s="164"/>
      <c r="I487" s="320"/>
      <c r="J487" s="150"/>
      <c r="K487" s="164"/>
      <c r="L487" s="320"/>
      <c r="M487" s="326"/>
      <c r="N487" s="327"/>
      <c r="O487" s="328"/>
      <c r="P487" s="326"/>
      <c r="Q487" s="327"/>
      <c r="R487" s="328"/>
      <c r="S487" s="326"/>
      <c r="T487" s="327"/>
      <c r="U487" s="328"/>
      <c r="V487" s="150"/>
      <c r="W487" s="327"/>
      <c r="X487" s="320"/>
      <c r="Y487" s="201"/>
      <c r="Z487" s="201"/>
      <c r="AA487" s="201"/>
      <c r="AB487" s="17"/>
      <c r="AC487" s="17"/>
      <c r="AD487" s="17"/>
      <c r="AE487" s="17"/>
    </row>
    <row r="488">
      <c r="A488" s="150"/>
      <c r="B488" s="164"/>
      <c r="C488" s="320"/>
      <c r="D488" s="150"/>
      <c r="E488" s="164"/>
      <c r="F488" s="320"/>
      <c r="G488" s="150"/>
      <c r="H488" s="164"/>
      <c r="I488" s="320"/>
      <c r="J488" s="150"/>
      <c r="K488" s="164"/>
      <c r="L488" s="320"/>
      <c r="M488" s="326"/>
      <c r="N488" s="327"/>
      <c r="O488" s="328"/>
      <c r="P488" s="326"/>
      <c r="Q488" s="327"/>
      <c r="R488" s="328"/>
      <c r="S488" s="326"/>
      <c r="T488" s="327"/>
      <c r="U488" s="328"/>
      <c r="V488" s="150"/>
      <c r="W488" s="327"/>
      <c r="X488" s="320"/>
      <c r="Y488" s="201"/>
      <c r="Z488" s="201"/>
      <c r="AA488" s="201"/>
      <c r="AB488" s="17"/>
      <c r="AC488" s="17"/>
      <c r="AD488" s="17"/>
      <c r="AE488" s="17"/>
    </row>
    <row r="489">
      <c r="A489" s="150"/>
      <c r="B489" s="164"/>
      <c r="C489" s="320"/>
      <c r="D489" s="150"/>
      <c r="E489" s="164"/>
      <c r="F489" s="320"/>
      <c r="G489" s="150"/>
      <c r="H489" s="164"/>
      <c r="I489" s="320"/>
      <c r="J489" s="150"/>
      <c r="K489" s="164"/>
      <c r="L489" s="320"/>
      <c r="M489" s="326"/>
      <c r="N489" s="327"/>
      <c r="O489" s="328"/>
      <c r="P489" s="326"/>
      <c r="Q489" s="327"/>
      <c r="R489" s="328"/>
      <c r="S489" s="326"/>
      <c r="T489" s="327"/>
      <c r="U489" s="328"/>
      <c r="V489" s="150"/>
      <c r="W489" s="327"/>
      <c r="X489" s="320"/>
      <c r="Y489" s="201"/>
      <c r="Z489" s="201"/>
      <c r="AA489" s="201"/>
      <c r="AB489" s="17"/>
      <c r="AC489" s="17"/>
      <c r="AD489" s="17"/>
      <c r="AE489" s="17"/>
    </row>
    <row r="490">
      <c r="A490" s="150"/>
      <c r="B490" s="164"/>
      <c r="C490" s="320"/>
      <c r="D490" s="150"/>
      <c r="E490" s="164"/>
      <c r="F490" s="320"/>
      <c r="G490" s="150"/>
      <c r="H490" s="164"/>
      <c r="I490" s="320"/>
      <c r="J490" s="150"/>
      <c r="K490" s="164"/>
      <c r="L490" s="320"/>
      <c r="M490" s="326"/>
      <c r="N490" s="327"/>
      <c r="O490" s="328"/>
      <c r="P490" s="326"/>
      <c r="Q490" s="327"/>
      <c r="R490" s="328"/>
      <c r="S490" s="326"/>
      <c r="T490" s="327"/>
      <c r="U490" s="328"/>
      <c r="V490" s="150"/>
      <c r="W490" s="327"/>
      <c r="X490" s="320"/>
      <c r="Y490" s="201"/>
      <c r="Z490" s="201"/>
      <c r="AA490" s="201"/>
      <c r="AB490" s="17"/>
      <c r="AC490" s="17"/>
      <c r="AD490" s="17"/>
      <c r="AE490" s="17"/>
    </row>
    <row r="491">
      <c r="A491" s="150"/>
      <c r="B491" s="164"/>
      <c r="C491" s="320"/>
      <c r="D491" s="150"/>
      <c r="E491" s="164"/>
      <c r="F491" s="320"/>
      <c r="G491" s="150"/>
      <c r="H491" s="164"/>
      <c r="I491" s="320"/>
      <c r="J491" s="150"/>
      <c r="K491" s="164"/>
      <c r="L491" s="320"/>
      <c r="M491" s="326"/>
      <c r="N491" s="327"/>
      <c r="O491" s="328"/>
      <c r="P491" s="326"/>
      <c r="Q491" s="327"/>
      <c r="R491" s="328"/>
      <c r="S491" s="326"/>
      <c r="T491" s="327"/>
      <c r="U491" s="328"/>
      <c r="V491" s="150"/>
      <c r="W491" s="327"/>
      <c r="X491" s="320"/>
      <c r="Y491" s="201"/>
      <c r="Z491" s="201"/>
      <c r="AA491" s="201"/>
      <c r="AB491" s="17"/>
      <c r="AC491" s="17"/>
      <c r="AD491" s="17"/>
      <c r="AE491" s="17"/>
    </row>
    <row r="492">
      <c r="A492" s="150"/>
      <c r="B492" s="164"/>
      <c r="C492" s="320"/>
      <c r="D492" s="150"/>
      <c r="E492" s="164"/>
      <c r="F492" s="320"/>
      <c r="G492" s="150"/>
      <c r="H492" s="164"/>
      <c r="I492" s="320"/>
      <c r="J492" s="150"/>
      <c r="K492" s="164"/>
      <c r="L492" s="320"/>
      <c r="M492" s="326"/>
      <c r="N492" s="327"/>
      <c r="O492" s="328"/>
      <c r="P492" s="326"/>
      <c r="Q492" s="327"/>
      <c r="R492" s="328"/>
      <c r="S492" s="326"/>
      <c r="T492" s="327"/>
      <c r="U492" s="328"/>
      <c r="V492" s="150"/>
      <c r="W492" s="327"/>
      <c r="X492" s="320"/>
      <c r="Y492" s="201"/>
      <c r="Z492" s="201"/>
      <c r="AA492" s="201"/>
      <c r="AB492" s="17"/>
      <c r="AC492" s="17"/>
      <c r="AD492" s="17"/>
      <c r="AE492" s="17"/>
    </row>
    <row r="493">
      <c r="A493" s="150"/>
      <c r="B493" s="164"/>
      <c r="C493" s="320"/>
      <c r="D493" s="150"/>
      <c r="E493" s="164"/>
      <c r="F493" s="320"/>
      <c r="G493" s="150"/>
      <c r="H493" s="164"/>
      <c r="I493" s="320"/>
      <c r="J493" s="150"/>
      <c r="K493" s="164"/>
      <c r="L493" s="320"/>
      <c r="M493" s="326"/>
      <c r="N493" s="327"/>
      <c r="O493" s="328"/>
      <c r="P493" s="326"/>
      <c r="Q493" s="327"/>
      <c r="R493" s="328"/>
      <c r="S493" s="326"/>
      <c r="T493" s="327"/>
      <c r="U493" s="328"/>
      <c r="V493" s="150"/>
      <c r="W493" s="327"/>
      <c r="X493" s="320"/>
      <c r="Y493" s="201"/>
      <c r="Z493" s="201"/>
      <c r="AA493" s="201"/>
      <c r="AB493" s="17"/>
      <c r="AC493" s="17"/>
      <c r="AD493" s="17"/>
      <c r="AE493" s="17"/>
    </row>
    <row r="494">
      <c r="A494" s="150"/>
      <c r="B494" s="164"/>
      <c r="C494" s="320"/>
      <c r="D494" s="150"/>
      <c r="E494" s="164"/>
      <c r="F494" s="320"/>
      <c r="G494" s="150"/>
      <c r="H494" s="164"/>
      <c r="I494" s="320"/>
      <c r="J494" s="150"/>
      <c r="K494" s="164"/>
      <c r="L494" s="320"/>
      <c r="M494" s="326"/>
      <c r="N494" s="327"/>
      <c r="O494" s="328"/>
      <c r="P494" s="326"/>
      <c r="Q494" s="327"/>
      <c r="R494" s="328"/>
      <c r="S494" s="326"/>
      <c r="T494" s="327"/>
      <c r="U494" s="328"/>
      <c r="V494" s="150"/>
      <c r="W494" s="327"/>
      <c r="X494" s="320"/>
      <c r="Y494" s="201"/>
      <c r="Z494" s="201"/>
      <c r="AA494" s="201"/>
      <c r="AB494" s="17"/>
      <c r="AC494" s="17"/>
      <c r="AD494" s="17"/>
      <c r="AE494" s="17"/>
    </row>
    <row r="495">
      <c r="A495" s="150"/>
      <c r="B495" s="164"/>
      <c r="C495" s="320"/>
      <c r="D495" s="150"/>
      <c r="E495" s="164"/>
      <c r="F495" s="320"/>
      <c r="G495" s="150"/>
      <c r="H495" s="164"/>
      <c r="I495" s="320"/>
      <c r="J495" s="150"/>
      <c r="K495" s="164"/>
      <c r="L495" s="320"/>
      <c r="M495" s="326"/>
      <c r="N495" s="327"/>
      <c r="O495" s="328"/>
      <c r="P495" s="326"/>
      <c r="Q495" s="327"/>
      <c r="R495" s="328"/>
      <c r="S495" s="326"/>
      <c r="T495" s="327"/>
      <c r="U495" s="328"/>
      <c r="V495" s="150"/>
      <c r="W495" s="327"/>
      <c r="X495" s="320"/>
      <c r="Y495" s="201"/>
      <c r="Z495" s="201"/>
      <c r="AA495" s="201"/>
      <c r="AB495" s="17"/>
      <c r="AC495" s="17"/>
      <c r="AD495" s="17"/>
      <c r="AE495" s="17"/>
    </row>
    <row r="496">
      <c r="A496" s="150"/>
      <c r="B496" s="164"/>
      <c r="C496" s="320"/>
      <c r="D496" s="150"/>
      <c r="E496" s="164"/>
      <c r="F496" s="320"/>
      <c r="G496" s="150"/>
      <c r="H496" s="164"/>
      <c r="I496" s="320"/>
      <c r="J496" s="150"/>
      <c r="K496" s="164"/>
      <c r="L496" s="320"/>
      <c r="M496" s="326"/>
      <c r="N496" s="327"/>
      <c r="O496" s="328"/>
      <c r="P496" s="326"/>
      <c r="Q496" s="327"/>
      <c r="R496" s="328"/>
      <c r="S496" s="326"/>
      <c r="T496" s="327"/>
      <c r="U496" s="328"/>
      <c r="V496" s="150"/>
      <c r="W496" s="327"/>
      <c r="X496" s="320"/>
      <c r="Y496" s="201"/>
      <c r="Z496" s="201"/>
      <c r="AA496" s="201"/>
      <c r="AB496" s="17"/>
      <c r="AC496" s="17"/>
      <c r="AD496" s="17"/>
      <c r="AE496" s="17"/>
    </row>
    <row r="497">
      <c r="A497" s="150"/>
      <c r="B497" s="164"/>
      <c r="C497" s="320"/>
      <c r="D497" s="150"/>
      <c r="E497" s="164"/>
      <c r="F497" s="320"/>
      <c r="G497" s="150"/>
      <c r="H497" s="164"/>
      <c r="I497" s="320"/>
      <c r="J497" s="150"/>
      <c r="K497" s="164"/>
      <c r="L497" s="320"/>
      <c r="M497" s="326"/>
      <c r="N497" s="327"/>
      <c r="O497" s="328"/>
      <c r="P497" s="326"/>
      <c r="Q497" s="327"/>
      <c r="R497" s="328"/>
      <c r="S497" s="326"/>
      <c r="T497" s="327"/>
      <c r="U497" s="328"/>
      <c r="V497" s="150"/>
      <c r="W497" s="327"/>
      <c r="X497" s="320"/>
      <c r="Y497" s="201"/>
      <c r="Z497" s="201"/>
      <c r="AA497" s="201"/>
      <c r="AB497" s="17"/>
      <c r="AC497" s="17"/>
      <c r="AD497" s="17"/>
      <c r="AE497" s="17"/>
    </row>
    <row r="498">
      <c r="A498" s="150"/>
      <c r="B498" s="164"/>
      <c r="C498" s="320"/>
      <c r="D498" s="150"/>
      <c r="E498" s="164"/>
      <c r="F498" s="320"/>
      <c r="G498" s="150"/>
      <c r="H498" s="164"/>
      <c r="I498" s="320"/>
      <c r="J498" s="150"/>
      <c r="K498" s="164"/>
      <c r="L498" s="320"/>
      <c r="M498" s="326"/>
      <c r="N498" s="327"/>
      <c r="O498" s="328"/>
      <c r="P498" s="326"/>
      <c r="Q498" s="327"/>
      <c r="R498" s="328"/>
      <c r="S498" s="326"/>
      <c r="T498" s="327"/>
      <c r="U498" s="328"/>
      <c r="V498" s="150"/>
      <c r="W498" s="327"/>
      <c r="X498" s="320"/>
      <c r="Y498" s="201"/>
      <c r="Z498" s="201"/>
      <c r="AA498" s="201"/>
      <c r="AB498" s="17"/>
      <c r="AC498" s="17"/>
      <c r="AD498" s="17"/>
      <c r="AE498" s="17"/>
    </row>
    <row r="499">
      <c r="A499" s="150"/>
      <c r="B499" s="164"/>
      <c r="C499" s="320"/>
      <c r="D499" s="150"/>
      <c r="E499" s="164"/>
      <c r="F499" s="320"/>
      <c r="G499" s="150"/>
      <c r="H499" s="164"/>
      <c r="I499" s="320"/>
      <c r="J499" s="150"/>
      <c r="K499" s="164"/>
      <c r="L499" s="320"/>
      <c r="M499" s="326"/>
      <c r="N499" s="327"/>
      <c r="O499" s="328"/>
      <c r="P499" s="326"/>
      <c r="Q499" s="327"/>
      <c r="R499" s="328"/>
      <c r="S499" s="326"/>
      <c r="T499" s="327"/>
      <c r="U499" s="328"/>
      <c r="V499" s="150"/>
      <c r="W499" s="327"/>
      <c r="X499" s="320"/>
      <c r="Y499" s="201"/>
      <c r="Z499" s="201"/>
      <c r="AA499" s="201"/>
      <c r="AB499" s="17"/>
      <c r="AC499" s="17"/>
      <c r="AD499" s="17"/>
      <c r="AE499" s="17"/>
    </row>
    <row r="500">
      <c r="A500" s="150"/>
      <c r="B500" s="164"/>
      <c r="C500" s="320"/>
      <c r="D500" s="150"/>
      <c r="E500" s="164"/>
      <c r="F500" s="320"/>
      <c r="G500" s="150"/>
      <c r="H500" s="164"/>
      <c r="I500" s="320"/>
      <c r="J500" s="150"/>
      <c r="K500" s="164"/>
      <c r="L500" s="320"/>
      <c r="M500" s="326"/>
      <c r="N500" s="327"/>
      <c r="O500" s="328"/>
      <c r="P500" s="326"/>
      <c r="Q500" s="327"/>
      <c r="R500" s="328"/>
      <c r="S500" s="326"/>
      <c r="T500" s="327"/>
      <c r="U500" s="328"/>
      <c r="V500" s="150"/>
      <c r="W500" s="327"/>
      <c r="X500" s="320"/>
      <c r="Y500" s="201"/>
      <c r="Z500" s="201"/>
      <c r="AA500" s="201"/>
      <c r="AB500" s="17"/>
      <c r="AC500" s="17"/>
      <c r="AD500" s="17"/>
      <c r="AE500" s="17"/>
    </row>
    <row r="501">
      <c r="A501" s="150"/>
      <c r="B501" s="164"/>
      <c r="C501" s="320"/>
      <c r="D501" s="150"/>
      <c r="E501" s="164"/>
      <c r="F501" s="320"/>
      <c r="G501" s="150"/>
      <c r="H501" s="164"/>
      <c r="I501" s="320"/>
      <c r="J501" s="150"/>
      <c r="K501" s="164"/>
      <c r="L501" s="320"/>
      <c r="M501" s="326"/>
      <c r="N501" s="327"/>
      <c r="O501" s="328"/>
      <c r="P501" s="326"/>
      <c r="Q501" s="327"/>
      <c r="R501" s="328"/>
      <c r="S501" s="326"/>
      <c r="T501" s="327"/>
      <c r="U501" s="328"/>
      <c r="V501" s="150"/>
      <c r="W501" s="327"/>
      <c r="X501" s="320"/>
      <c r="Y501" s="201"/>
      <c r="Z501" s="201"/>
      <c r="AA501" s="201"/>
      <c r="AB501" s="17"/>
      <c r="AC501" s="17"/>
      <c r="AD501" s="17"/>
      <c r="AE501" s="17"/>
    </row>
    <row r="502">
      <c r="A502" s="150"/>
      <c r="B502" s="164"/>
      <c r="C502" s="320"/>
      <c r="D502" s="150"/>
      <c r="E502" s="164"/>
      <c r="F502" s="320"/>
      <c r="G502" s="150"/>
      <c r="H502" s="164"/>
      <c r="I502" s="320"/>
      <c r="J502" s="150"/>
      <c r="K502" s="164"/>
      <c r="L502" s="320"/>
      <c r="M502" s="326"/>
      <c r="N502" s="327"/>
      <c r="O502" s="328"/>
      <c r="P502" s="326"/>
      <c r="Q502" s="327"/>
      <c r="R502" s="328"/>
      <c r="S502" s="326"/>
      <c r="T502" s="327"/>
      <c r="U502" s="328"/>
      <c r="V502" s="150"/>
      <c r="W502" s="327"/>
      <c r="X502" s="320"/>
      <c r="Y502" s="201"/>
      <c r="Z502" s="201"/>
      <c r="AA502" s="201"/>
      <c r="AB502" s="17"/>
      <c r="AC502" s="17"/>
      <c r="AD502" s="17"/>
      <c r="AE502" s="17"/>
    </row>
    <row r="503">
      <c r="A503" s="150"/>
      <c r="B503" s="164"/>
      <c r="C503" s="320"/>
      <c r="D503" s="150"/>
      <c r="E503" s="164"/>
      <c r="F503" s="320"/>
      <c r="G503" s="150"/>
      <c r="H503" s="164"/>
      <c r="I503" s="320"/>
      <c r="J503" s="150"/>
      <c r="K503" s="164"/>
      <c r="L503" s="320"/>
      <c r="M503" s="326"/>
      <c r="N503" s="327"/>
      <c r="O503" s="328"/>
      <c r="P503" s="326"/>
      <c r="Q503" s="327"/>
      <c r="R503" s="328"/>
      <c r="S503" s="326"/>
      <c r="T503" s="327"/>
      <c r="U503" s="328"/>
      <c r="V503" s="150"/>
      <c r="W503" s="327"/>
      <c r="X503" s="320"/>
      <c r="Y503" s="201"/>
      <c r="Z503" s="201"/>
      <c r="AA503" s="201"/>
      <c r="AB503" s="17"/>
      <c r="AC503" s="17"/>
      <c r="AD503" s="17"/>
      <c r="AE503" s="17"/>
    </row>
    <row r="504">
      <c r="A504" s="150"/>
      <c r="B504" s="164"/>
      <c r="C504" s="320"/>
      <c r="D504" s="150"/>
      <c r="E504" s="164"/>
      <c r="F504" s="320"/>
      <c r="G504" s="150"/>
      <c r="H504" s="164"/>
      <c r="I504" s="320"/>
      <c r="J504" s="150"/>
      <c r="K504" s="164"/>
      <c r="L504" s="320"/>
      <c r="M504" s="326"/>
      <c r="N504" s="327"/>
      <c r="O504" s="328"/>
      <c r="P504" s="326"/>
      <c r="Q504" s="327"/>
      <c r="R504" s="328"/>
      <c r="S504" s="326"/>
      <c r="T504" s="327"/>
      <c r="U504" s="328"/>
      <c r="V504" s="150"/>
      <c r="W504" s="327"/>
      <c r="X504" s="320"/>
      <c r="Y504" s="201"/>
      <c r="Z504" s="201"/>
      <c r="AA504" s="201"/>
      <c r="AB504" s="17"/>
      <c r="AC504" s="17"/>
      <c r="AD504" s="17"/>
      <c r="AE504" s="17"/>
    </row>
    <row r="505">
      <c r="A505" s="150"/>
      <c r="B505" s="164"/>
      <c r="C505" s="320"/>
      <c r="D505" s="150"/>
      <c r="E505" s="164"/>
      <c r="F505" s="320"/>
      <c r="G505" s="150"/>
      <c r="H505" s="164"/>
      <c r="I505" s="320"/>
      <c r="J505" s="150"/>
      <c r="K505" s="164"/>
      <c r="L505" s="320"/>
      <c r="M505" s="326"/>
      <c r="N505" s="327"/>
      <c r="O505" s="328"/>
      <c r="P505" s="326"/>
      <c r="Q505" s="327"/>
      <c r="R505" s="328"/>
      <c r="S505" s="326"/>
      <c r="T505" s="327"/>
      <c r="U505" s="328"/>
      <c r="V505" s="150"/>
      <c r="W505" s="327"/>
      <c r="X505" s="320"/>
      <c r="Y505" s="201"/>
      <c r="Z505" s="201"/>
      <c r="AA505" s="201"/>
      <c r="AB505" s="17"/>
      <c r="AC505" s="17"/>
      <c r="AD505" s="17"/>
      <c r="AE505" s="17"/>
    </row>
    <row r="506">
      <c r="A506" s="150"/>
      <c r="B506" s="164"/>
      <c r="C506" s="320"/>
      <c r="D506" s="150"/>
      <c r="E506" s="164"/>
      <c r="F506" s="320"/>
      <c r="G506" s="150"/>
      <c r="H506" s="164"/>
      <c r="I506" s="320"/>
      <c r="J506" s="150"/>
      <c r="K506" s="164"/>
      <c r="L506" s="320"/>
      <c r="M506" s="326"/>
      <c r="N506" s="327"/>
      <c r="O506" s="328"/>
      <c r="P506" s="326"/>
      <c r="Q506" s="327"/>
      <c r="R506" s="328"/>
      <c r="S506" s="326"/>
      <c r="T506" s="327"/>
      <c r="U506" s="328"/>
      <c r="V506" s="150"/>
      <c r="W506" s="327"/>
      <c r="X506" s="320"/>
      <c r="Y506" s="201"/>
      <c r="Z506" s="201"/>
      <c r="AA506" s="201"/>
      <c r="AB506" s="17"/>
      <c r="AC506" s="17"/>
      <c r="AD506" s="17"/>
      <c r="AE506" s="17"/>
    </row>
    <row r="507">
      <c r="A507" s="150"/>
      <c r="B507" s="164"/>
      <c r="C507" s="320"/>
      <c r="D507" s="150"/>
      <c r="E507" s="164"/>
      <c r="F507" s="320"/>
      <c r="G507" s="150"/>
      <c r="H507" s="164"/>
      <c r="I507" s="320"/>
      <c r="J507" s="150"/>
      <c r="K507" s="164"/>
      <c r="L507" s="320"/>
      <c r="M507" s="326"/>
      <c r="N507" s="327"/>
      <c r="O507" s="328"/>
      <c r="P507" s="326"/>
      <c r="Q507" s="327"/>
      <c r="R507" s="328"/>
      <c r="S507" s="326"/>
      <c r="T507" s="327"/>
      <c r="U507" s="328"/>
      <c r="V507" s="150"/>
      <c r="W507" s="327"/>
      <c r="X507" s="320"/>
      <c r="Y507" s="201"/>
      <c r="Z507" s="201"/>
      <c r="AA507" s="201"/>
      <c r="AB507" s="17"/>
      <c r="AC507" s="17"/>
      <c r="AD507" s="17"/>
      <c r="AE507" s="17"/>
    </row>
    <row r="508">
      <c r="A508" s="150"/>
      <c r="B508" s="164"/>
      <c r="C508" s="320"/>
      <c r="D508" s="150"/>
      <c r="E508" s="164"/>
      <c r="F508" s="320"/>
      <c r="G508" s="150"/>
      <c r="H508" s="164"/>
      <c r="I508" s="320"/>
      <c r="J508" s="150"/>
      <c r="K508" s="164"/>
      <c r="L508" s="320"/>
      <c r="M508" s="326"/>
      <c r="N508" s="327"/>
      <c r="O508" s="328"/>
      <c r="P508" s="326"/>
      <c r="Q508" s="327"/>
      <c r="R508" s="328"/>
      <c r="S508" s="326"/>
      <c r="T508" s="327"/>
      <c r="U508" s="328"/>
      <c r="V508" s="150"/>
      <c r="W508" s="327"/>
      <c r="X508" s="320"/>
      <c r="Y508" s="201"/>
      <c r="Z508" s="201"/>
      <c r="AA508" s="201"/>
      <c r="AB508" s="17"/>
      <c r="AC508" s="17"/>
      <c r="AD508" s="17"/>
      <c r="AE508" s="17"/>
    </row>
    <row r="509">
      <c r="A509" s="150"/>
      <c r="B509" s="164"/>
      <c r="C509" s="320"/>
      <c r="D509" s="150"/>
      <c r="E509" s="164"/>
      <c r="F509" s="320"/>
      <c r="G509" s="150"/>
      <c r="H509" s="164"/>
      <c r="I509" s="320"/>
      <c r="J509" s="150"/>
      <c r="K509" s="164"/>
      <c r="L509" s="320"/>
      <c r="M509" s="326"/>
      <c r="N509" s="327"/>
      <c r="O509" s="328"/>
      <c r="P509" s="326"/>
      <c r="Q509" s="327"/>
      <c r="R509" s="328"/>
      <c r="S509" s="326"/>
      <c r="T509" s="327"/>
      <c r="U509" s="328"/>
      <c r="V509" s="150"/>
      <c r="W509" s="327"/>
      <c r="X509" s="320"/>
      <c r="Y509" s="201"/>
      <c r="Z509" s="201"/>
      <c r="AA509" s="201"/>
      <c r="AB509" s="17"/>
      <c r="AC509" s="17"/>
      <c r="AD509" s="17"/>
      <c r="AE509" s="17"/>
    </row>
    <row r="510">
      <c r="A510" s="150"/>
      <c r="B510" s="164"/>
      <c r="C510" s="320"/>
      <c r="D510" s="150"/>
      <c r="E510" s="164"/>
      <c r="F510" s="320"/>
      <c r="G510" s="150"/>
      <c r="H510" s="164"/>
      <c r="I510" s="320"/>
      <c r="J510" s="150"/>
      <c r="K510" s="164"/>
      <c r="L510" s="320"/>
      <c r="M510" s="326"/>
      <c r="N510" s="327"/>
      <c r="O510" s="328"/>
      <c r="P510" s="326"/>
      <c r="Q510" s="327"/>
      <c r="R510" s="328"/>
      <c r="S510" s="326"/>
      <c r="T510" s="327"/>
      <c r="U510" s="328"/>
      <c r="V510" s="150"/>
      <c r="W510" s="327"/>
      <c r="X510" s="320"/>
      <c r="Y510" s="201"/>
      <c r="Z510" s="201"/>
      <c r="AA510" s="201"/>
      <c r="AB510" s="17"/>
      <c r="AC510" s="17"/>
      <c r="AD510" s="17"/>
      <c r="AE510" s="17"/>
    </row>
    <row r="511">
      <c r="A511" s="150"/>
      <c r="B511" s="164"/>
      <c r="C511" s="320"/>
      <c r="D511" s="150"/>
      <c r="E511" s="164"/>
      <c r="F511" s="320"/>
      <c r="G511" s="150"/>
      <c r="H511" s="164"/>
      <c r="I511" s="320"/>
      <c r="J511" s="150"/>
      <c r="K511" s="164"/>
      <c r="L511" s="320"/>
      <c r="M511" s="326"/>
      <c r="N511" s="327"/>
      <c r="O511" s="328"/>
      <c r="P511" s="326"/>
      <c r="Q511" s="327"/>
      <c r="R511" s="328"/>
      <c r="S511" s="326"/>
      <c r="T511" s="327"/>
      <c r="U511" s="328"/>
      <c r="V511" s="150"/>
      <c r="W511" s="327"/>
      <c r="X511" s="320"/>
      <c r="Y511" s="201"/>
      <c r="Z511" s="201"/>
      <c r="AA511" s="201"/>
      <c r="AB511" s="17"/>
      <c r="AC511" s="17"/>
      <c r="AD511" s="17"/>
      <c r="AE511" s="17"/>
    </row>
    <row r="512">
      <c r="A512" s="150"/>
      <c r="B512" s="164"/>
      <c r="C512" s="320"/>
      <c r="D512" s="150"/>
      <c r="E512" s="164"/>
      <c r="F512" s="320"/>
      <c r="G512" s="150"/>
      <c r="H512" s="164"/>
      <c r="I512" s="320"/>
      <c r="J512" s="150"/>
      <c r="K512" s="164"/>
      <c r="L512" s="320"/>
      <c r="M512" s="326"/>
      <c r="N512" s="327"/>
      <c r="O512" s="328"/>
      <c r="P512" s="326"/>
      <c r="Q512" s="327"/>
      <c r="R512" s="328"/>
      <c r="S512" s="326"/>
      <c r="T512" s="327"/>
      <c r="U512" s="328"/>
      <c r="V512" s="150"/>
      <c r="W512" s="327"/>
      <c r="X512" s="320"/>
      <c r="Y512" s="201"/>
      <c r="Z512" s="201"/>
      <c r="AA512" s="201"/>
      <c r="AB512" s="17"/>
      <c r="AC512" s="17"/>
      <c r="AD512" s="17"/>
      <c r="AE512" s="17"/>
    </row>
    <row r="513">
      <c r="A513" s="150"/>
      <c r="B513" s="164"/>
      <c r="C513" s="320"/>
      <c r="D513" s="150"/>
      <c r="E513" s="164"/>
      <c r="F513" s="320"/>
      <c r="G513" s="150"/>
      <c r="H513" s="164"/>
      <c r="I513" s="320"/>
      <c r="J513" s="150"/>
      <c r="K513" s="164"/>
      <c r="L513" s="320"/>
      <c r="M513" s="326"/>
      <c r="N513" s="327"/>
      <c r="O513" s="328"/>
      <c r="P513" s="326"/>
      <c r="Q513" s="327"/>
      <c r="R513" s="328"/>
      <c r="S513" s="326"/>
      <c r="T513" s="327"/>
      <c r="U513" s="328"/>
      <c r="V513" s="150"/>
      <c r="W513" s="327"/>
      <c r="X513" s="320"/>
      <c r="Y513" s="201"/>
      <c r="Z513" s="201"/>
      <c r="AA513" s="201"/>
      <c r="AB513" s="17"/>
      <c r="AC513" s="17"/>
      <c r="AD513" s="17"/>
      <c r="AE513" s="17"/>
    </row>
    <row r="514">
      <c r="A514" s="150"/>
      <c r="B514" s="164"/>
      <c r="C514" s="320"/>
      <c r="D514" s="150"/>
      <c r="E514" s="164"/>
      <c r="F514" s="320"/>
      <c r="G514" s="150"/>
      <c r="H514" s="164"/>
      <c r="I514" s="320"/>
      <c r="J514" s="150"/>
      <c r="K514" s="164"/>
      <c r="L514" s="320"/>
      <c r="M514" s="326"/>
      <c r="N514" s="327"/>
      <c r="O514" s="328"/>
      <c r="P514" s="326"/>
      <c r="Q514" s="327"/>
      <c r="R514" s="328"/>
      <c r="S514" s="326"/>
      <c r="T514" s="327"/>
      <c r="U514" s="328"/>
      <c r="V514" s="150"/>
      <c r="W514" s="327"/>
      <c r="X514" s="320"/>
      <c r="Y514" s="201"/>
      <c r="Z514" s="201"/>
      <c r="AA514" s="201"/>
      <c r="AB514" s="17"/>
      <c r="AC514" s="17"/>
      <c r="AD514" s="17"/>
      <c r="AE514" s="17"/>
    </row>
    <row r="515">
      <c r="A515" s="150"/>
      <c r="B515" s="164"/>
      <c r="C515" s="320"/>
      <c r="D515" s="150"/>
      <c r="E515" s="164"/>
      <c r="F515" s="320"/>
      <c r="G515" s="150"/>
      <c r="H515" s="164"/>
      <c r="I515" s="320"/>
      <c r="J515" s="150"/>
      <c r="K515" s="164"/>
      <c r="L515" s="320"/>
      <c r="M515" s="326"/>
      <c r="N515" s="327"/>
      <c r="O515" s="328"/>
      <c r="P515" s="326"/>
      <c r="Q515" s="327"/>
      <c r="R515" s="328"/>
      <c r="S515" s="326"/>
      <c r="T515" s="327"/>
      <c r="U515" s="328"/>
      <c r="V515" s="150"/>
      <c r="W515" s="327"/>
      <c r="X515" s="320"/>
      <c r="Y515" s="201"/>
      <c r="Z515" s="201"/>
      <c r="AA515" s="201"/>
      <c r="AB515" s="17"/>
      <c r="AC515" s="17"/>
      <c r="AD515" s="17"/>
      <c r="AE515" s="17"/>
    </row>
    <row r="516">
      <c r="A516" s="150"/>
      <c r="B516" s="164"/>
      <c r="C516" s="320"/>
      <c r="D516" s="150"/>
      <c r="E516" s="164"/>
      <c r="F516" s="320"/>
      <c r="G516" s="150"/>
      <c r="H516" s="164"/>
      <c r="I516" s="320"/>
      <c r="J516" s="150"/>
      <c r="K516" s="164"/>
      <c r="L516" s="320"/>
      <c r="M516" s="326"/>
      <c r="N516" s="327"/>
      <c r="O516" s="328"/>
      <c r="P516" s="326"/>
      <c r="Q516" s="327"/>
      <c r="R516" s="328"/>
      <c r="S516" s="326"/>
      <c r="T516" s="327"/>
      <c r="U516" s="328"/>
      <c r="V516" s="150"/>
      <c r="W516" s="327"/>
      <c r="X516" s="320"/>
      <c r="Y516" s="201"/>
      <c r="Z516" s="201"/>
      <c r="AA516" s="201"/>
      <c r="AB516" s="17"/>
      <c r="AC516" s="17"/>
      <c r="AD516" s="17"/>
      <c r="AE516" s="17"/>
    </row>
    <row r="517">
      <c r="A517" s="150"/>
      <c r="B517" s="164"/>
      <c r="C517" s="320"/>
      <c r="D517" s="150"/>
      <c r="E517" s="164"/>
      <c r="F517" s="320"/>
      <c r="G517" s="150"/>
      <c r="H517" s="164"/>
      <c r="I517" s="320"/>
      <c r="J517" s="150"/>
      <c r="K517" s="164"/>
      <c r="L517" s="320"/>
      <c r="M517" s="326"/>
      <c r="N517" s="327"/>
      <c r="O517" s="328"/>
      <c r="P517" s="326"/>
      <c r="Q517" s="327"/>
      <c r="R517" s="328"/>
      <c r="S517" s="326"/>
      <c r="T517" s="327"/>
      <c r="U517" s="328"/>
      <c r="V517" s="150"/>
      <c r="W517" s="327"/>
      <c r="X517" s="320"/>
      <c r="Y517" s="201"/>
      <c r="Z517" s="201"/>
      <c r="AA517" s="201"/>
      <c r="AB517" s="17"/>
      <c r="AC517" s="17"/>
      <c r="AD517" s="17"/>
      <c r="AE517" s="17"/>
    </row>
    <row r="518">
      <c r="A518" s="150"/>
      <c r="B518" s="164"/>
      <c r="C518" s="320"/>
      <c r="D518" s="150"/>
      <c r="E518" s="164"/>
      <c r="F518" s="320"/>
      <c r="G518" s="150"/>
      <c r="H518" s="164"/>
      <c r="I518" s="320"/>
      <c r="J518" s="150"/>
      <c r="K518" s="164"/>
      <c r="L518" s="320"/>
      <c r="M518" s="326"/>
      <c r="N518" s="327"/>
      <c r="O518" s="328"/>
      <c r="P518" s="326"/>
      <c r="Q518" s="327"/>
      <c r="R518" s="328"/>
      <c r="S518" s="326"/>
      <c r="T518" s="327"/>
      <c r="U518" s="328"/>
      <c r="V518" s="150"/>
      <c r="W518" s="327"/>
      <c r="X518" s="320"/>
      <c r="Y518" s="201"/>
      <c r="Z518" s="201"/>
      <c r="AA518" s="201"/>
      <c r="AB518" s="17"/>
      <c r="AC518" s="17"/>
      <c r="AD518" s="17"/>
      <c r="AE518" s="17"/>
    </row>
    <row r="519">
      <c r="A519" s="150"/>
      <c r="B519" s="164"/>
      <c r="C519" s="320"/>
      <c r="D519" s="150"/>
      <c r="E519" s="164"/>
      <c r="F519" s="320"/>
      <c r="G519" s="150"/>
      <c r="H519" s="164"/>
      <c r="I519" s="320"/>
      <c r="J519" s="150"/>
      <c r="K519" s="164"/>
      <c r="L519" s="320"/>
      <c r="M519" s="326"/>
      <c r="N519" s="327"/>
      <c r="O519" s="328"/>
      <c r="P519" s="326"/>
      <c r="Q519" s="327"/>
      <c r="R519" s="328"/>
      <c r="S519" s="326"/>
      <c r="T519" s="327"/>
      <c r="U519" s="328"/>
      <c r="V519" s="150"/>
      <c r="W519" s="327"/>
      <c r="X519" s="320"/>
      <c r="Y519" s="201"/>
      <c r="Z519" s="201"/>
      <c r="AA519" s="201"/>
      <c r="AB519" s="17"/>
      <c r="AC519" s="17"/>
      <c r="AD519" s="17"/>
      <c r="AE519" s="17"/>
    </row>
    <row r="520">
      <c r="A520" s="150"/>
      <c r="B520" s="164"/>
      <c r="C520" s="320"/>
      <c r="D520" s="150"/>
      <c r="E520" s="164"/>
      <c r="F520" s="320"/>
      <c r="G520" s="150"/>
      <c r="H520" s="164"/>
      <c r="I520" s="320"/>
      <c r="J520" s="150"/>
      <c r="K520" s="164"/>
      <c r="L520" s="320"/>
      <c r="M520" s="326"/>
      <c r="N520" s="327"/>
      <c r="O520" s="328"/>
      <c r="P520" s="326"/>
      <c r="Q520" s="327"/>
      <c r="R520" s="328"/>
      <c r="S520" s="326"/>
      <c r="T520" s="327"/>
      <c r="U520" s="328"/>
      <c r="V520" s="150"/>
      <c r="W520" s="327"/>
      <c r="X520" s="320"/>
      <c r="Y520" s="201"/>
      <c r="Z520" s="201"/>
      <c r="AA520" s="201"/>
      <c r="AB520" s="17"/>
      <c r="AC520" s="17"/>
      <c r="AD520" s="17"/>
      <c r="AE520" s="17"/>
    </row>
    <row r="521">
      <c r="A521" s="150"/>
      <c r="B521" s="164"/>
      <c r="C521" s="320"/>
      <c r="D521" s="150"/>
      <c r="E521" s="164"/>
      <c r="F521" s="320"/>
      <c r="G521" s="150"/>
      <c r="H521" s="164"/>
      <c r="I521" s="320"/>
      <c r="J521" s="150"/>
      <c r="K521" s="164"/>
      <c r="L521" s="320"/>
      <c r="M521" s="326"/>
      <c r="N521" s="327"/>
      <c r="O521" s="328"/>
      <c r="P521" s="326"/>
      <c r="Q521" s="327"/>
      <c r="R521" s="328"/>
      <c r="S521" s="326"/>
      <c r="T521" s="327"/>
      <c r="U521" s="328"/>
      <c r="V521" s="150"/>
      <c r="W521" s="327"/>
      <c r="X521" s="320"/>
      <c r="Y521" s="201"/>
      <c r="Z521" s="201"/>
      <c r="AA521" s="201"/>
      <c r="AB521" s="17"/>
      <c r="AC521" s="17"/>
      <c r="AD521" s="17"/>
      <c r="AE521" s="17"/>
    </row>
    <row r="522">
      <c r="A522" s="150"/>
      <c r="B522" s="164"/>
      <c r="C522" s="320"/>
      <c r="D522" s="150"/>
      <c r="E522" s="164"/>
      <c r="F522" s="320"/>
      <c r="G522" s="150"/>
      <c r="H522" s="164"/>
      <c r="I522" s="320"/>
      <c r="J522" s="150"/>
      <c r="K522" s="164"/>
      <c r="L522" s="320"/>
      <c r="M522" s="326"/>
      <c r="N522" s="327"/>
      <c r="O522" s="328"/>
      <c r="P522" s="326"/>
      <c r="Q522" s="327"/>
      <c r="R522" s="328"/>
      <c r="S522" s="326"/>
      <c r="T522" s="327"/>
      <c r="U522" s="328"/>
      <c r="V522" s="150"/>
      <c r="W522" s="327"/>
      <c r="X522" s="320"/>
      <c r="Y522" s="201"/>
      <c r="Z522" s="201"/>
      <c r="AA522" s="201"/>
      <c r="AB522" s="17"/>
      <c r="AC522" s="17"/>
      <c r="AD522" s="17"/>
      <c r="AE522" s="17"/>
    </row>
    <row r="523">
      <c r="A523" s="150"/>
      <c r="B523" s="164"/>
      <c r="C523" s="320"/>
      <c r="D523" s="150"/>
      <c r="E523" s="164"/>
      <c r="F523" s="320"/>
      <c r="G523" s="150"/>
      <c r="H523" s="164"/>
      <c r="I523" s="320"/>
      <c r="J523" s="150"/>
      <c r="K523" s="164"/>
      <c r="L523" s="320"/>
      <c r="M523" s="326"/>
      <c r="N523" s="327"/>
      <c r="O523" s="328"/>
      <c r="P523" s="326"/>
      <c r="Q523" s="327"/>
      <c r="R523" s="328"/>
      <c r="S523" s="326"/>
      <c r="T523" s="327"/>
      <c r="U523" s="328"/>
      <c r="V523" s="150"/>
      <c r="W523" s="327"/>
      <c r="X523" s="320"/>
      <c r="Y523" s="201"/>
      <c r="Z523" s="201"/>
      <c r="AA523" s="201"/>
      <c r="AB523" s="17"/>
      <c r="AC523" s="17"/>
      <c r="AD523" s="17"/>
      <c r="AE523" s="17"/>
    </row>
    <row r="524">
      <c r="A524" s="150"/>
      <c r="B524" s="164"/>
      <c r="C524" s="320"/>
      <c r="D524" s="150"/>
      <c r="E524" s="164"/>
      <c r="F524" s="320"/>
      <c r="G524" s="150"/>
      <c r="H524" s="164"/>
      <c r="I524" s="320"/>
      <c r="J524" s="150"/>
      <c r="K524" s="164"/>
      <c r="L524" s="320"/>
      <c r="M524" s="326"/>
      <c r="N524" s="327"/>
      <c r="O524" s="328"/>
      <c r="P524" s="326"/>
      <c r="Q524" s="327"/>
      <c r="R524" s="328"/>
      <c r="S524" s="326"/>
      <c r="T524" s="327"/>
      <c r="U524" s="328"/>
      <c r="V524" s="150"/>
      <c r="W524" s="327"/>
      <c r="X524" s="320"/>
      <c r="Y524" s="201"/>
      <c r="Z524" s="201"/>
      <c r="AA524" s="201"/>
      <c r="AB524" s="17"/>
      <c r="AC524" s="17"/>
      <c r="AD524" s="17"/>
      <c r="AE524" s="17"/>
    </row>
    <row r="525">
      <c r="A525" s="150"/>
      <c r="B525" s="164"/>
      <c r="C525" s="320"/>
      <c r="D525" s="150"/>
      <c r="E525" s="164"/>
      <c r="F525" s="320"/>
      <c r="G525" s="150"/>
      <c r="H525" s="164"/>
      <c r="I525" s="320"/>
      <c r="J525" s="150"/>
      <c r="K525" s="164"/>
      <c r="L525" s="320"/>
      <c r="M525" s="326"/>
      <c r="N525" s="327"/>
      <c r="O525" s="328"/>
      <c r="P525" s="326"/>
      <c r="Q525" s="327"/>
      <c r="R525" s="328"/>
      <c r="S525" s="326"/>
      <c r="T525" s="327"/>
      <c r="U525" s="328"/>
      <c r="V525" s="150"/>
      <c r="W525" s="327"/>
      <c r="X525" s="320"/>
      <c r="Y525" s="201"/>
      <c r="Z525" s="201"/>
      <c r="AA525" s="201"/>
      <c r="AB525" s="17"/>
      <c r="AC525" s="17"/>
      <c r="AD525" s="17"/>
      <c r="AE525" s="17"/>
    </row>
    <row r="526">
      <c r="A526" s="150"/>
      <c r="B526" s="164"/>
      <c r="C526" s="320"/>
      <c r="D526" s="150"/>
      <c r="E526" s="164"/>
      <c r="F526" s="320"/>
      <c r="G526" s="150"/>
      <c r="H526" s="164"/>
      <c r="I526" s="320"/>
      <c r="J526" s="150"/>
      <c r="K526" s="164"/>
      <c r="L526" s="320"/>
      <c r="M526" s="326"/>
      <c r="N526" s="327"/>
      <c r="O526" s="328"/>
      <c r="P526" s="326"/>
      <c r="Q526" s="327"/>
      <c r="R526" s="328"/>
      <c r="S526" s="326"/>
      <c r="T526" s="327"/>
      <c r="U526" s="328"/>
      <c r="V526" s="150"/>
      <c r="W526" s="327"/>
      <c r="X526" s="320"/>
      <c r="Y526" s="201"/>
      <c r="Z526" s="201"/>
      <c r="AA526" s="201"/>
      <c r="AB526" s="17"/>
      <c r="AC526" s="17"/>
      <c r="AD526" s="17"/>
      <c r="AE526" s="17"/>
    </row>
    <row r="527">
      <c r="A527" s="150"/>
      <c r="B527" s="164"/>
      <c r="C527" s="320"/>
      <c r="D527" s="150"/>
      <c r="E527" s="164"/>
      <c r="F527" s="320"/>
      <c r="G527" s="150"/>
      <c r="H527" s="164"/>
      <c r="I527" s="320"/>
      <c r="J527" s="150"/>
      <c r="K527" s="164"/>
      <c r="L527" s="320"/>
      <c r="M527" s="326"/>
      <c r="N527" s="327"/>
      <c r="O527" s="328"/>
      <c r="P527" s="326"/>
      <c r="Q527" s="327"/>
      <c r="R527" s="328"/>
      <c r="S527" s="326"/>
      <c r="T527" s="327"/>
      <c r="U527" s="328"/>
      <c r="V527" s="150"/>
      <c r="W527" s="327"/>
      <c r="X527" s="320"/>
      <c r="Y527" s="201"/>
      <c r="Z527" s="201"/>
      <c r="AA527" s="201"/>
      <c r="AB527" s="17"/>
      <c r="AC527" s="17"/>
      <c r="AD527" s="17"/>
      <c r="AE527" s="17"/>
    </row>
    <row r="528">
      <c r="A528" s="150"/>
      <c r="B528" s="164"/>
      <c r="C528" s="320"/>
      <c r="D528" s="150"/>
      <c r="E528" s="164"/>
      <c r="F528" s="320"/>
      <c r="G528" s="150"/>
      <c r="H528" s="164"/>
      <c r="I528" s="320"/>
      <c r="J528" s="150"/>
      <c r="K528" s="164"/>
      <c r="L528" s="320"/>
      <c r="M528" s="326"/>
      <c r="N528" s="327"/>
      <c r="O528" s="328"/>
      <c r="P528" s="326"/>
      <c r="Q528" s="327"/>
      <c r="R528" s="328"/>
      <c r="S528" s="326"/>
      <c r="T528" s="327"/>
      <c r="U528" s="328"/>
      <c r="V528" s="150"/>
      <c r="W528" s="327"/>
      <c r="X528" s="320"/>
      <c r="Y528" s="201"/>
      <c r="Z528" s="201"/>
      <c r="AA528" s="201"/>
      <c r="AB528" s="17"/>
      <c r="AC528" s="17"/>
      <c r="AD528" s="17"/>
      <c r="AE528" s="17"/>
    </row>
    <row r="529">
      <c r="A529" s="150"/>
      <c r="B529" s="164"/>
      <c r="C529" s="320"/>
      <c r="D529" s="150"/>
      <c r="E529" s="164"/>
      <c r="F529" s="320"/>
      <c r="G529" s="150"/>
      <c r="H529" s="164"/>
      <c r="I529" s="320"/>
      <c r="J529" s="150"/>
      <c r="K529" s="164"/>
      <c r="L529" s="320"/>
      <c r="M529" s="326"/>
      <c r="N529" s="327"/>
      <c r="O529" s="328"/>
      <c r="P529" s="326"/>
      <c r="Q529" s="327"/>
      <c r="R529" s="328"/>
      <c r="S529" s="326"/>
      <c r="T529" s="327"/>
      <c r="U529" s="328"/>
      <c r="V529" s="150"/>
      <c r="W529" s="327"/>
      <c r="X529" s="320"/>
      <c r="Y529" s="201"/>
      <c r="Z529" s="201"/>
      <c r="AA529" s="201"/>
      <c r="AB529" s="17"/>
      <c r="AC529" s="17"/>
      <c r="AD529" s="17"/>
      <c r="AE529" s="17"/>
    </row>
    <row r="530">
      <c r="A530" s="150"/>
      <c r="B530" s="164"/>
      <c r="C530" s="320"/>
      <c r="D530" s="150"/>
      <c r="E530" s="164"/>
      <c r="F530" s="320"/>
      <c r="G530" s="150"/>
      <c r="H530" s="164"/>
      <c r="I530" s="320"/>
      <c r="J530" s="150"/>
      <c r="K530" s="164"/>
      <c r="L530" s="320"/>
      <c r="M530" s="326"/>
      <c r="N530" s="327"/>
      <c r="O530" s="328"/>
      <c r="P530" s="326"/>
      <c r="Q530" s="327"/>
      <c r="R530" s="328"/>
      <c r="S530" s="326"/>
      <c r="T530" s="327"/>
      <c r="U530" s="328"/>
      <c r="V530" s="150"/>
      <c r="W530" s="327"/>
      <c r="X530" s="320"/>
      <c r="Y530" s="201"/>
      <c r="Z530" s="201"/>
      <c r="AA530" s="201"/>
      <c r="AB530" s="17"/>
      <c r="AC530" s="17"/>
      <c r="AD530" s="17"/>
      <c r="AE530" s="17"/>
    </row>
    <row r="531">
      <c r="A531" s="150"/>
      <c r="B531" s="164"/>
      <c r="C531" s="320"/>
      <c r="D531" s="150"/>
      <c r="E531" s="164"/>
      <c r="F531" s="320"/>
      <c r="G531" s="150"/>
      <c r="H531" s="164"/>
      <c r="I531" s="320"/>
      <c r="J531" s="150"/>
      <c r="K531" s="164"/>
      <c r="L531" s="320"/>
      <c r="M531" s="326"/>
      <c r="N531" s="327"/>
      <c r="O531" s="328"/>
      <c r="P531" s="326"/>
      <c r="Q531" s="327"/>
      <c r="R531" s="328"/>
      <c r="S531" s="326"/>
      <c r="T531" s="327"/>
      <c r="U531" s="328"/>
      <c r="V531" s="150"/>
      <c r="W531" s="327"/>
      <c r="X531" s="320"/>
      <c r="Y531" s="201"/>
      <c r="Z531" s="201"/>
      <c r="AA531" s="201"/>
      <c r="AB531" s="17"/>
      <c r="AC531" s="17"/>
      <c r="AD531" s="17"/>
      <c r="AE531" s="17"/>
    </row>
    <row r="532">
      <c r="A532" s="150"/>
      <c r="B532" s="164"/>
      <c r="C532" s="320"/>
      <c r="D532" s="150"/>
      <c r="E532" s="164"/>
      <c r="F532" s="320"/>
      <c r="G532" s="150"/>
      <c r="H532" s="164"/>
      <c r="I532" s="320"/>
      <c r="J532" s="150"/>
      <c r="K532" s="164"/>
      <c r="L532" s="320"/>
      <c r="M532" s="326"/>
      <c r="N532" s="327"/>
      <c r="O532" s="328"/>
      <c r="P532" s="326"/>
      <c r="Q532" s="327"/>
      <c r="R532" s="328"/>
      <c r="S532" s="326"/>
      <c r="T532" s="327"/>
      <c r="U532" s="328"/>
      <c r="V532" s="150"/>
      <c r="W532" s="327"/>
      <c r="X532" s="320"/>
      <c r="Y532" s="201"/>
      <c r="Z532" s="201"/>
      <c r="AA532" s="201"/>
      <c r="AB532" s="17"/>
      <c r="AC532" s="17"/>
      <c r="AD532" s="17"/>
      <c r="AE532" s="17"/>
    </row>
    <row r="533">
      <c r="A533" s="150"/>
      <c r="B533" s="164"/>
      <c r="C533" s="320"/>
      <c r="D533" s="150"/>
      <c r="E533" s="164"/>
      <c r="F533" s="320"/>
      <c r="G533" s="150"/>
      <c r="H533" s="164"/>
      <c r="I533" s="320"/>
      <c r="J533" s="150"/>
      <c r="K533" s="164"/>
      <c r="L533" s="320"/>
      <c r="M533" s="326"/>
      <c r="N533" s="327"/>
      <c r="O533" s="328"/>
      <c r="P533" s="326"/>
      <c r="Q533" s="327"/>
      <c r="R533" s="328"/>
      <c r="S533" s="326"/>
      <c r="T533" s="327"/>
      <c r="U533" s="328"/>
      <c r="V533" s="150"/>
      <c r="W533" s="327"/>
      <c r="X533" s="320"/>
      <c r="Y533" s="201"/>
      <c r="Z533" s="201"/>
      <c r="AA533" s="201"/>
      <c r="AB533" s="17"/>
      <c r="AC533" s="17"/>
      <c r="AD533" s="17"/>
      <c r="AE533" s="17"/>
    </row>
    <row r="534">
      <c r="A534" s="150"/>
      <c r="B534" s="164"/>
      <c r="C534" s="320"/>
      <c r="D534" s="150"/>
      <c r="E534" s="164"/>
      <c r="F534" s="320"/>
      <c r="G534" s="150"/>
      <c r="H534" s="164"/>
      <c r="I534" s="320"/>
      <c r="J534" s="150"/>
      <c r="K534" s="164"/>
      <c r="L534" s="320"/>
      <c r="M534" s="326"/>
      <c r="N534" s="327"/>
      <c r="O534" s="328"/>
      <c r="P534" s="326"/>
      <c r="Q534" s="327"/>
      <c r="R534" s="328"/>
      <c r="S534" s="326"/>
      <c r="T534" s="327"/>
      <c r="U534" s="328"/>
      <c r="V534" s="150"/>
      <c r="W534" s="327"/>
      <c r="X534" s="320"/>
      <c r="Y534" s="201"/>
      <c r="Z534" s="201"/>
      <c r="AA534" s="201"/>
      <c r="AB534" s="17"/>
      <c r="AC534" s="17"/>
      <c r="AD534" s="17"/>
      <c r="AE534" s="17"/>
    </row>
    <row r="535">
      <c r="A535" s="150"/>
      <c r="B535" s="164"/>
      <c r="C535" s="320"/>
      <c r="D535" s="150"/>
      <c r="E535" s="164"/>
      <c r="F535" s="320"/>
      <c r="G535" s="150"/>
      <c r="H535" s="164"/>
      <c r="I535" s="320"/>
      <c r="J535" s="150"/>
      <c r="K535" s="164"/>
      <c r="L535" s="320"/>
      <c r="M535" s="326"/>
      <c r="N535" s="327"/>
      <c r="O535" s="328"/>
      <c r="P535" s="326"/>
      <c r="Q535" s="327"/>
      <c r="R535" s="328"/>
      <c r="S535" s="326"/>
      <c r="T535" s="327"/>
      <c r="U535" s="328"/>
      <c r="V535" s="150"/>
      <c r="W535" s="327"/>
      <c r="X535" s="320"/>
      <c r="Y535" s="201"/>
      <c r="Z535" s="201"/>
      <c r="AA535" s="201"/>
      <c r="AB535" s="17"/>
      <c r="AC535" s="17"/>
      <c r="AD535" s="17"/>
      <c r="AE535" s="17"/>
    </row>
    <row r="536">
      <c r="A536" s="150"/>
      <c r="B536" s="164"/>
      <c r="C536" s="320"/>
      <c r="D536" s="150"/>
      <c r="E536" s="164"/>
      <c r="F536" s="320"/>
      <c r="G536" s="150"/>
      <c r="H536" s="164"/>
      <c r="I536" s="320"/>
      <c r="J536" s="150"/>
      <c r="K536" s="164"/>
      <c r="L536" s="320"/>
      <c r="M536" s="326"/>
      <c r="N536" s="327"/>
      <c r="O536" s="328"/>
      <c r="P536" s="326"/>
      <c r="Q536" s="327"/>
      <c r="R536" s="328"/>
      <c r="S536" s="326"/>
      <c r="T536" s="327"/>
      <c r="U536" s="328"/>
      <c r="V536" s="150"/>
      <c r="W536" s="327"/>
      <c r="X536" s="320"/>
      <c r="Y536" s="201"/>
      <c r="Z536" s="201"/>
      <c r="AA536" s="201"/>
      <c r="AB536" s="17"/>
      <c r="AC536" s="17"/>
      <c r="AD536" s="17"/>
      <c r="AE536" s="17"/>
    </row>
    <row r="537">
      <c r="A537" s="150"/>
      <c r="B537" s="164"/>
      <c r="C537" s="320"/>
      <c r="D537" s="150"/>
      <c r="E537" s="164"/>
      <c r="F537" s="320"/>
      <c r="G537" s="150"/>
      <c r="H537" s="164"/>
      <c r="I537" s="320"/>
      <c r="J537" s="150"/>
      <c r="K537" s="164"/>
      <c r="L537" s="320"/>
      <c r="M537" s="326"/>
      <c r="N537" s="327"/>
      <c r="O537" s="328"/>
      <c r="P537" s="326"/>
      <c r="Q537" s="327"/>
      <c r="R537" s="328"/>
      <c r="S537" s="326"/>
      <c r="T537" s="327"/>
      <c r="U537" s="328"/>
      <c r="V537" s="150"/>
      <c r="W537" s="327"/>
      <c r="X537" s="320"/>
      <c r="Y537" s="201"/>
      <c r="Z537" s="201"/>
      <c r="AA537" s="201"/>
      <c r="AB537" s="17"/>
      <c r="AC537" s="17"/>
      <c r="AD537" s="17"/>
      <c r="AE537" s="17"/>
    </row>
    <row r="538">
      <c r="A538" s="150"/>
      <c r="B538" s="164"/>
      <c r="C538" s="320"/>
      <c r="D538" s="150"/>
      <c r="E538" s="164"/>
      <c r="F538" s="320"/>
      <c r="G538" s="150"/>
      <c r="H538" s="164"/>
      <c r="I538" s="320"/>
      <c r="J538" s="150"/>
      <c r="K538" s="164"/>
      <c r="L538" s="320"/>
      <c r="M538" s="326"/>
      <c r="N538" s="327"/>
      <c r="O538" s="328"/>
      <c r="P538" s="326"/>
      <c r="Q538" s="327"/>
      <c r="R538" s="328"/>
      <c r="S538" s="326"/>
      <c r="T538" s="327"/>
      <c r="U538" s="328"/>
      <c r="V538" s="150"/>
      <c r="W538" s="327"/>
      <c r="X538" s="320"/>
      <c r="Y538" s="201"/>
      <c r="Z538" s="201"/>
      <c r="AA538" s="201"/>
      <c r="AB538" s="17"/>
      <c r="AC538" s="17"/>
      <c r="AD538" s="17"/>
      <c r="AE538" s="17"/>
    </row>
    <row r="539">
      <c r="A539" s="150"/>
      <c r="B539" s="164"/>
      <c r="C539" s="320"/>
      <c r="D539" s="150"/>
      <c r="E539" s="164"/>
      <c r="F539" s="320"/>
      <c r="G539" s="150"/>
      <c r="H539" s="164"/>
      <c r="I539" s="320"/>
      <c r="J539" s="150"/>
      <c r="K539" s="164"/>
      <c r="L539" s="320"/>
      <c r="M539" s="326"/>
      <c r="N539" s="327"/>
      <c r="O539" s="328"/>
      <c r="P539" s="326"/>
      <c r="Q539" s="327"/>
      <c r="R539" s="328"/>
      <c r="S539" s="326"/>
      <c r="T539" s="327"/>
      <c r="U539" s="328"/>
      <c r="V539" s="150"/>
      <c r="W539" s="327"/>
      <c r="X539" s="320"/>
      <c r="Y539" s="201"/>
      <c r="Z539" s="201"/>
      <c r="AA539" s="201"/>
      <c r="AB539" s="17"/>
      <c r="AC539" s="17"/>
      <c r="AD539" s="17"/>
      <c r="AE539" s="17"/>
    </row>
    <row r="540">
      <c r="A540" s="150"/>
      <c r="B540" s="164"/>
      <c r="C540" s="320"/>
      <c r="D540" s="150"/>
      <c r="E540" s="164"/>
      <c r="F540" s="320"/>
      <c r="G540" s="150"/>
      <c r="H540" s="164"/>
      <c r="I540" s="320"/>
      <c r="J540" s="150"/>
      <c r="K540" s="164"/>
      <c r="L540" s="320"/>
      <c r="M540" s="326"/>
      <c r="N540" s="327"/>
      <c r="O540" s="328"/>
      <c r="P540" s="326"/>
      <c r="Q540" s="327"/>
      <c r="R540" s="328"/>
      <c r="S540" s="326"/>
      <c r="T540" s="327"/>
      <c r="U540" s="328"/>
      <c r="V540" s="150"/>
      <c r="W540" s="327"/>
      <c r="X540" s="320"/>
      <c r="Y540" s="201"/>
      <c r="Z540" s="201"/>
      <c r="AA540" s="201"/>
      <c r="AB540" s="17"/>
      <c r="AC540" s="17"/>
      <c r="AD540" s="17"/>
      <c r="AE540" s="17"/>
    </row>
    <row r="541">
      <c r="A541" s="150"/>
      <c r="B541" s="164"/>
      <c r="C541" s="320"/>
      <c r="D541" s="150"/>
      <c r="E541" s="164"/>
      <c r="F541" s="320"/>
      <c r="G541" s="150"/>
      <c r="H541" s="164"/>
      <c r="I541" s="320"/>
      <c r="J541" s="150"/>
      <c r="K541" s="164"/>
      <c r="L541" s="320"/>
      <c r="M541" s="326"/>
      <c r="N541" s="327"/>
      <c r="O541" s="328"/>
      <c r="P541" s="326"/>
      <c r="Q541" s="327"/>
      <c r="R541" s="328"/>
      <c r="S541" s="326"/>
      <c r="T541" s="327"/>
      <c r="U541" s="328"/>
      <c r="V541" s="150"/>
      <c r="W541" s="327"/>
      <c r="X541" s="320"/>
      <c r="Y541" s="201"/>
      <c r="Z541" s="201"/>
      <c r="AA541" s="201"/>
      <c r="AB541" s="17"/>
      <c r="AC541" s="17"/>
      <c r="AD541" s="17"/>
      <c r="AE541" s="17"/>
    </row>
    <row r="542">
      <c r="A542" s="150"/>
      <c r="B542" s="164"/>
      <c r="C542" s="320"/>
      <c r="D542" s="150"/>
      <c r="E542" s="164"/>
      <c r="F542" s="320"/>
      <c r="G542" s="150"/>
      <c r="H542" s="164"/>
      <c r="I542" s="320"/>
      <c r="J542" s="150"/>
      <c r="K542" s="164"/>
      <c r="L542" s="320"/>
      <c r="M542" s="326"/>
      <c r="N542" s="327"/>
      <c r="O542" s="328"/>
      <c r="P542" s="326"/>
      <c r="Q542" s="327"/>
      <c r="R542" s="328"/>
      <c r="S542" s="326"/>
      <c r="T542" s="327"/>
      <c r="U542" s="328"/>
      <c r="V542" s="150"/>
      <c r="W542" s="327"/>
      <c r="X542" s="320"/>
      <c r="Y542" s="201"/>
      <c r="Z542" s="201"/>
      <c r="AA542" s="201"/>
      <c r="AB542" s="17"/>
      <c r="AC542" s="17"/>
      <c r="AD542" s="17"/>
      <c r="AE542" s="17"/>
    </row>
    <row r="543">
      <c r="A543" s="150"/>
      <c r="B543" s="164"/>
      <c r="C543" s="320"/>
      <c r="D543" s="150"/>
      <c r="E543" s="164"/>
      <c r="F543" s="320"/>
      <c r="G543" s="150"/>
      <c r="H543" s="164"/>
      <c r="I543" s="320"/>
      <c r="J543" s="150"/>
      <c r="K543" s="164"/>
      <c r="L543" s="320"/>
      <c r="M543" s="326"/>
      <c r="N543" s="327"/>
      <c r="O543" s="328"/>
      <c r="P543" s="326"/>
      <c r="Q543" s="327"/>
      <c r="R543" s="328"/>
      <c r="S543" s="326"/>
      <c r="T543" s="327"/>
      <c r="U543" s="328"/>
      <c r="V543" s="150"/>
      <c r="W543" s="327"/>
      <c r="X543" s="320"/>
      <c r="Y543" s="201"/>
      <c r="Z543" s="201"/>
      <c r="AA543" s="201"/>
      <c r="AB543" s="17"/>
      <c r="AC543" s="17"/>
      <c r="AD543" s="17"/>
      <c r="AE543" s="17"/>
    </row>
    <row r="544">
      <c r="A544" s="150"/>
      <c r="B544" s="164"/>
      <c r="C544" s="320"/>
      <c r="D544" s="150"/>
      <c r="E544" s="164"/>
      <c r="F544" s="320"/>
      <c r="G544" s="150"/>
      <c r="H544" s="164"/>
      <c r="I544" s="320"/>
      <c r="J544" s="150"/>
      <c r="K544" s="164"/>
      <c r="L544" s="320"/>
      <c r="M544" s="326"/>
      <c r="N544" s="327"/>
      <c r="O544" s="328"/>
      <c r="P544" s="326"/>
      <c r="Q544" s="327"/>
      <c r="R544" s="328"/>
      <c r="S544" s="326"/>
      <c r="T544" s="327"/>
      <c r="U544" s="328"/>
      <c r="V544" s="150"/>
      <c r="W544" s="327"/>
      <c r="X544" s="320"/>
      <c r="Y544" s="201"/>
      <c r="Z544" s="201"/>
      <c r="AA544" s="201"/>
      <c r="AB544" s="17"/>
      <c r="AC544" s="17"/>
      <c r="AD544" s="17"/>
      <c r="AE544" s="17"/>
    </row>
    <row r="545">
      <c r="A545" s="150"/>
      <c r="B545" s="164"/>
      <c r="C545" s="320"/>
      <c r="D545" s="150"/>
      <c r="E545" s="164"/>
      <c r="F545" s="320"/>
      <c r="G545" s="150"/>
      <c r="H545" s="164"/>
      <c r="I545" s="320"/>
      <c r="J545" s="150"/>
      <c r="K545" s="164"/>
      <c r="L545" s="320"/>
      <c r="M545" s="326"/>
      <c r="N545" s="327"/>
      <c r="O545" s="328"/>
      <c r="P545" s="326"/>
      <c r="Q545" s="327"/>
      <c r="R545" s="328"/>
      <c r="S545" s="326"/>
      <c r="T545" s="327"/>
      <c r="U545" s="328"/>
      <c r="V545" s="150"/>
      <c r="W545" s="327"/>
      <c r="X545" s="320"/>
      <c r="Y545" s="201"/>
      <c r="Z545" s="201"/>
      <c r="AA545" s="201"/>
      <c r="AB545" s="17"/>
      <c r="AC545" s="17"/>
      <c r="AD545" s="17"/>
      <c r="AE545" s="17"/>
    </row>
    <row r="546">
      <c r="A546" s="150"/>
      <c r="B546" s="164"/>
      <c r="C546" s="320"/>
      <c r="D546" s="150"/>
      <c r="E546" s="164"/>
      <c r="F546" s="320"/>
      <c r="G546" s="150"/>
      <c r="H546" s="164"/>
      <c r="I546" s="320"/>
      <c r="J546" s="150"/>
      <c r="K546" s="164"/>
      <c r="L546" s="320"/>
      <c r="M546" s="326"/>
      <c r="N546" s="327"/>
      <c r="O546" s="328"/>
      <c r="P546" s="326"/>
      <c r="Q546" s="327"/>
      <c r="R546" s="328"/>
      <c r="S546" s="326"/>
      <c r="T546" s="327"/>
      <c r="U546" s="328"/>
      <c r="V546" s="150"/>
      <c r="W546" s="327"/>
      <c r="X546" s="320"/>
      <c r="Y546" s="201"/>
      <c r="Z546" s="201"/>
      <c r="AA546" s="201"/>
      <c r="AB546" s="17"/>
      <c r="AC546" s="17"/>
      <c r="AD546" s="17"/>
      <c r="AE546" s="17"/>
    </row>
    <row r="547">
      <c r="A547" s="150"/>
      <c r="B547" s="164"/>
      <c r="C547" s="320"/>
      <c r="D547" s="150"/>
      <c r="E547" s="164"/>
      <c r="F547" s="320"/>
      <c r="G547" s="150"/>
      <c r="H547" s="164"/>
      <c r="I547" s="320"/>
      <c r="J547" s="150"/>
      <c r="K547" s="164"/>
      <c r="L547" s="320"/>
      <c r="M547" s="326"/>
      <c r="N547" s="327"/>
      <c r="O547" s="328"/>
      <c r="P547" s="326"/>
      <c r="Q547" s="327"/>
      <c r="R547" s="328"/>
      <c r="S547" s="326"/>
      <c r="T547" s="327"/>
      <c r="U547" s="328"/>
      <c r="V547" s="150"/>
      <c r="W547" s="327"/>
      <c r="X547" s="320"/>
      <c r="Y547" s="201"/>
      <c r="Z547" s="201"/>
      <c r="AA547" s="201"/>
      <c r="AB547" s="17"/>
      <c r="AC547" s="17"/>
      <c r="AD547" s="17"/>
      <c r="AE547" s="17"/>
    </row>
    <row r="548">
      <c r="A548" s="150"/>
      <c r="B548" s="164"/>
      <c r="C548" s="320"/>
      <c r="D548" s="150"/>
      <c r="E548" s="164"/>
      <c r="F548" s="320"/>
      <c r="G548" s="150"/>
      <c r="H548" s="164"/>
      <c r="I548" s="320"/>
      <c r="J548" s="150"/>
      <c r="K548" s="164"/>
      <c r="L548" s="320"/>
      <c r="M548" s="326"/>
      <c r="N548" s="327"/>
      <c r="O548" s="328"/>
      <c r="P548" s="326"/>
      <c r="Q548" s="327"/>
      <c r="R548" s="328"/>
      <c r="S548" s="326"/>
      <c r="T548" s="327"/>
      <c r="U548" s="328"/>
      <c r="V548" s="150"/>
      <c r="W548" s="327"/>
      <c r="X548" s="320"/>
      <c r="Y548" s="201"/>
      <c r="Z548" s="201"/>
      <c r="AA548" s="201"/>
      <c r="AB548" s="17"/>
      <c r="AC548" s="17"/>
      <c r="AD548" s="17"/>
      <c r="AE548" s="17"/>
    </row>
    <row r="549">
      <c r="A549" s="150"/>
      <c r="B549" s="164"/>
      <c r="C549" s="320"/>
      <c r="D549" s="150"/>
      <c r="E549" s="164"/>
      <c r="F549" s="320"/>
      <c r="G549" s="150"/>
      <c r="H549" s="164"/>
      <c r="I549" s="320"/>
      <c r="J549" s="150"/>
      <c r="K549" s="164"/>
      <c r="L549" s="320"/>
      <c r="M549" s="326"/>
      <c r="N549" s="327"/>
      <c r="O549" s="328"/>
      <c r="P549" s="326"/>
      <c r="Q549" s="327"/>
      <c r="R549" s="328"/>
      <c r="S549" s="326"/>
      <c r="T549" s="327"/>
      <c r="U549" s="328"/>
      <c r="V549" s="150"/>
      <c r="W549" s="327"/>
      <c r="X549" s="320"/>
      <c r="Y549" s="201"/>
      <c r="Z549" s="201"/>
      <c r="AA549" s="201"/>
      <c r="AB549" s="17"/>
      <c r="AC549" s="17"/>
      <c r="AD549" s="17"/>
      <c r="AE549" s="17"/>
    </row>
    <row r="550">
      <c r="A550" s="150"/>
      <c r="B550" s="164"/>
      <c r="C550" s="320"/>
      <c r="D550" s="150"/>
      <c r="E550" s="164"/>
      <c r="F550" s="320"/>
      <c r="G550" s="150"/>
      <c r="H550" s="164"/>
      <c r="I550" s="320"/>
      <c r="J550" s="150"/>
      <c r="K550" s="164"/>
      <c r="L550" s="320"/>
      <c r="M550" s="326"/>
      <c r="N550" s="327"/>
      <c r="O550" s="328"/>
      <c r="P550" s="326"/>
      <c r="Q550" s="327"/>
      <c r="R550" s="328"/>
      <c r="S550" s="326"/>
      <c r="T550" s="327"/>
      <c r="U550" s="328"/>
      <c r="V550" s="150"/>
      <c r="W550" s="327"/>
      <c r="X550" s="320"/>
      <c r="Y550" s="201"/>
      <c r="Z550" s="201"/>
      <c r="AA550" s="201"/>
      <c r="AB550" s="17"/>
      <c r="AC550" s="17"/>
      <c r="AD550" s="17"/>
      <c r="AE550" s="17"/>
    </row>
    <row r="551">
      <c r="A551" s="150"/>
      <c r="B551" s="164"/>
      <c r="C551" s="320"/>
      <c r="D551" s="150"/>
      <c r="E551" s="164"/>
      <c r="F551" s="320"/>
      <c r="G551" s="150"/>
      <c r="H551" s="164"/>
      <c r="I551" s="320"/>
      <c r="J551" s="150"/>
      <c r="K551" s="164"/>
      <c r="L551" s="320"/>
      <c r="M551" s="326"/>
      <c r="N551" s="327"/>
      <c r="O551" s="328"/>
      <c r="P551" s="326"/>
      <c r="Q551" s="327"/>
      <c r="R551" s="328"/>
      <c r="S551" s="326"/>
      <c r="T551" s="327"/>
      <c r="U551" s="328"/>
      <c r="V551" s="150"/>
      <c r="W551" s="327"/>
      <c r="X551" s="320"/>
      <c r="Y551" s="201"/>
      <c r="Z551" s="201"/>
      <c r="AA551" s="201"/>
      <c r="AB551" s="17"/>
      <c r="AC551" s="17"/>
      <c r="AD551" s="17"/>
      <c r="AE551" s="17"/>
    </row>
    <row r="552">
      <c r="A552" s="150"/>
      <c r="B552" s="164"/>
      <c r="C552" s="320"/>
      <c r="D552" s="150"/>
      <c r="E552" s="164"/>
      <c r="F552" s="320"/>
      <c r="G552" s="150"/>
      <c r="H552" s="164"/>
      <c r="I552" s="320"/>
      <c r="J552" s="150"/>
      <c r="K552" s="164"/>
      <c r="L552" s="320"/>
      <c r="M552" s="326"/>
      <c r="N552" s="327"/>
      <c r="O552" s="328"/>
      <c r="P552" s="326"/>
      <c r="Q552" s="327"/>
      <c r="R552" s="328"/>
      <c r="S552" s="326"/>
      <c r="T552" s="327"/>
      <c r="U552" s="328"/>
      <c r="V552" s="150"/>
      <c r="W552" s="327"/>
      <c r="X552" s="320"/>
      <c r="Y552" s="201"/>
      <c r="Z552" s="201"/>
      <c r="AA552" s="201"/>
      <c r="AB552" s="17"/>
      <c r="AC552" s="17"/>
      <c r="AD552" s="17"/>
      <c r="AE552" s="17"/>
    </row>
    <row r="553">
      <c r="A553" s="150"/>
      <c r="B553" s="164"/>
      <c r="C553" s="320"/>
      <c r="D553" s="150"/>
      <c r="E553" s="164"/>
      <c r="F553" s="320"/>
      <c r="G553" s="150"/>
      <c r="H553" s="164"/>
      <c r="I553" s="320"/>
      <c r="J553" s="150"/>
      <c r="K553" s="164"/>
      <c r="L553" s="320"/>
      <c r="M553" s="326"/>
      <c r="N553" s="327"/>
      <c r="O553" s="328"/>
      <c r="P553" s="326"/>
      <c r="Q553" s="327"/>
      <c r="R553" s="328"/>
      <c r="S553" s="326"/>
      <c r="T553" s="327"/>
      <c r="U553" s="328"/>
      <c r="V553" s="150"/>
      <c r="W553" s="327"/>
      <c r="X553" s="320"/>
      <c r="Y553" s="201"/>
      <c r="Z553" s="201"/>
      <c r="AA553" s="201"/>
      <c r="AB553" s="17"/>
      <c r="AC553" s="17"/>
      <c r="AD553" s="17"/>
      <c r="AE553" s="17"/>
    </row>
    <row r="554">
      <c r="A554" s="150"/>
      <c r="B554" s="164"/>
      <c r="C554" s="320"/>
      <c r="D554" s="150"/>
      <c r="E554" s="164"/>
      <c r="F554" s="320"/>
      <c r="G554" s="150"/>
      <c r="H554" s="164"/>
      <c r="I554" s="320"/>
      <c r="J554" s="150"/>
      <c r="K554" s="164"/>
      <c r="L554" s="320"/>
      <c r="M554" s="326"/>
      <c r="N554" s="327"/>
      <c r="O554" s="328"/>
      <c r="P554" s="326"/>
      <c r="Q554" s="327"/>
      <c r="R554" s="328"/>
      <c r="S554" s="326"/>
      <c r="T554" s="327"/>
      <c r="U554" s="328"/>
      <c r="V554" s="150"/>
      <c r="W554" s="327"/>
      <c r="X554" s="320"/>
      <c r="Y554" s="201"/>
      <c r="Z554" s="201"/>
      <c r="AA554" s="201"/>
      <c r="AB554" s="17"/>
      <c r="AC554" s="17"/>
      <c r="AD554" s="17"/>
      <c r="AE554" s="17"/>
    </row>
    <row r="555">
      <c r="A555" s="150"/>
      <c r="B555" s="164"/>
      <c r="C555" s="320"/>
      <c r="D555" s="150"/>
      <c r="E555" s="164"/>
      <c r="F555" s="320"/>
      <c r="G555" s="150"/>
      <c r="H555" s="164"/>
      <c r="I555" s="320"/>
      <c r="J555" s="150"/>
      <c r="K555" s="164"/>
      <c r="L555" s="320"/>
      <c r="M555" s="326"/>
      <c r="N555" s="327"/>
      <c r="O555" s="328"/>
      <c r="P555" s="326"/>
      <c r="Q555" s="327"/>
      <c r="R555" s="328"/>
      <c r="S555" s="326"/>
      <c r="T555" s="327"/>
      <c r="U555" s="328"/>
      <c r="V555" s="150"/>
      <c r="W555" s="327"/>
      <c r="X555" s="320"/>
      <c r="Y555" s="201"/>
      <c r="Z555" s="201"/>
      <c r="AA555" s="201"/>
      <c r="AB555" s="17"/>
      <c r="AC555" s="17"/>
      <c r="AD555" s="17"/>
      <c r="AE555" s="17"/>
    </row>
    <row r="556">
      <c r="A556" s="150"/>
      <c r="B556" s="164"/>
      <c r="C556" s="320"/>
      <c r="D556" s="150"/>
      <c r="E556" s="164"/>
      <c r="F556" s="320"/>
      <c r="G556" s="150"/>
      <c r="H556" s="164"/>
      <c r="I556" s="320"/>
      <c r="J556" s="150"/>
      <c r="K556" s="164"/>
      <c r="L556" s="320"/>
      <c r="M556" s="326"/>
      <c r="N556" s="327"/>
      <c r="O556" s="328"/>
      <c r="P556" s="326"/>
      <c r="Q556" s="327"/>
      <c r="R556" s="328"/>
      <c r="S556" s="326"/>
      <c r="T556" s="327"/>
      <c r="U556" s="328"/>
      <c r="V556" s="150"/>
      <c r="W556" s="327"/>
      <c r="X556" s="320"/>
      <c r="Y556" s="201"/>
      <c r="Z556" s="201"/>
      <c r="AA556" s="201"/>
      <c r="AB556" s="17"/>
      <c r="AC556" s="17"/>
      <c r="AD556" s="17"/>
      <c r="AE556" s="17"/>
    </row>
    <row r="557">
      <c r="A557" s="150"/>
      <c r="B557" s="164"/>
      <c r="C557" s="320"/>
      <c r="D557" s="150"/>
      <c r="E557" s="164"/>
      <c r="F557" s="320"/>
      <c r="G557" s="150"/>
      <c r="H557" s="164"/>
      <c r="I557" s="320"/>
      <c r="J557" s="150"/>
      <c r="K557" s="164"/>
      <c r="L557" s="320"/>
      <c r="M557" s="326"/>
      <c r="N557" s="327"/>
      <c r="O557" s="328"/>
      <c r="P557" s="326"/>
      <c r="Q557" s="327"/>
      <c r="R557" s="328"/>
      <c r="S557" s="326"/>
      <c r="T557" s="327"/>
      <c r="U557" s="328"/>
      <c r="V557" s="150"/>
      <c r="W557" s="327"/>
      <c r="X557" s="320"/>
      <c r="Y557" s="201"/>
      <c r="Z557" s="201"/>
      <c r="AA557" s="201"/>
      <c r="AB557" s="17"/>
      <c r="AC557" s="17"/>
      <c r="AD557" s="17"/>
      <c r="AE557" s="17"/>
    </row>
    <row r="558">
      <c r="A558" s="150"/>
      <c r="B558" s="164"/>
      <c r="C558" s="320"/>
      <c r="D558" s="150"/>
      <c r="E558" s="164"/>
      <c r="F558" s="320"/>
      <c r="G558" s="150"/>
      <c r="H558" s="164"/>
      <c r="I558" s="320"/>
      <c r="J558" s="150"/>
      <c r="K558" s="164"/>
      <c r="L558" s="320"/>
      <c r="M558" s="326"/>
      <c r="N558" s="327"/>
      <c r="O558" s="328"/>
      <c r="P558" s="326"/>
      <c r="Q558" s="327"/>
      <c r="R558" s="328"/>
      <c r="S558" s="326"/>
      <c r="T558" s="327"/>
      <c r="U558" s="328"/>
      <c r="V558" s="150"/>
      <c r="W558" s="327"/>
      <c r="X558" s="320"/>
      <c r="Y558" s="201"/>
      <c r="Z558" s="201"/>
      <c r="AA558" s="201"/>
      <c r="AB558" s="17"/>
      <c r="AC558" s="17"/>
      <c r="AD558" s="17"/>
      <c r="AE558" s="17"/>
    </row>
    <row r="559">
      <c r="A559" s="150"/>
      <c r="B559" s="164"/>
      <c r="C559" s="320"/>
      <c r="D559" s="150"/>
      <c r="E559" s="164"/>
      <c r="F559" s="320"/>
      <c r="G559" s="150"/>
      <c r="H559" s="164"/>
      <c r="I559" s="320"/>
      <c r="J559" s="150"/>
      <c r="K559" s="164"/>
      <c r="L559" s="320"/>
      <c r="M559" s="326"/>
      <c r="N559" s="327"/>
      <c r="O559" s="328"/>
      <c r="P559" s="326"/>
      <c r="Q559" s="327"/>
      <c r="R559" s="328"/>
      <c r="S559" s="326"/>
      <c r="T559" s="327"/>
      <c r="U559" s="328"/>
      <c r="V559" s="150"/>
      <c r="W559" s="327"/>
      <c r="X559" s="320"/>
      <c r="Y559" s="201"/>
      <c r="Z559" s="201"/>
      <c r="AA559" s="201"/>
      <c r="AB559" s="17"/>
      <c r="AC559" s="17"/>
      <c r="AD559" s="17"/>
      <c r="AE559" s="17"/>
    </row>
    <row r="560">
      <c r="A560" s="150"/>
      <c r="B560" s="164"/>
      <c r="C560" s="320"/>
      <c r="D560" s="150"/>
      <c r="E560" s="164"/>
      <c r="F560" s="320"/>
      <c r="G560" s="150"/>
      <c r="H560" s="164"/>
      <c r="I560" s="320"/>
      <c r="J560" s="150"/>
      <c r="K560" s="164"/>
      <c r="L560" s="320"/>
      <c r="M560" s="326"/>
      <c r="N560" s="327"/>
      <c r="O560" s="328"/>
      <c r="P560" s="326"/>
      <c r="Q560" s="327"/>
      <c r="R560" s="328"/>
      <c r="S560" s="326"/>
      <c r="T560" s="327"/>
      <c r="U560" s="328"/>
      <c r="V560" s="150"/>
      <c r="W560" s="327"/>
      <c r="X560" s="320"/>
      <c r="Y560" s="201"/>
      <c r="Z560" s="201"/>
      <c r="AA560" s="201"/>
      <c r="AB560" s="17"/>
      <c r="AC560" s="17"/>
      <c r="AD560" s="17"/>
      <c r="AE560" s="17"/>
    </row>
    <row r="561">
      <c r="A561" s="150"/>
      <c r="B561" s="164"/>
      <c r="C561" s="320"/>
      <c r="D561" s="150"/>
      <c r="E561" s="164"/>
      <c r="F561" s="320"/>
      <c r="G561" s="150"/>
      <c r="H561" s="164"/>
      <c r="I561" s="320"/>
      <c r="J561" s="150"/>
      <c r="K561" s="164"/>
      <c r="L561" s="320"/>
      <c r="M561" s="326"/>
      <c r="N561" s="327"/>
      <c r="O561" s="328"/>
      <c r="P561" s="326"/>
      <c r="Q561" s="327"/>
      <c r="R561" s="328"/>
      <c r="S561" s="326"/>
      <c r="T561" s="327"/>
      <c r="U561" s="328"/>
      <c r="V561" s="150"/>
      <c r="W561" s="327"/>
      <c r="X561" s="320"/>
      <c r="Y561" s="201"/>
      <c r="Z561" s="201"/>
      <c r="AA561" s="201"/>
      <c r="AB561" s="17"/>
      <c r="AC561" s="17"/>
      <c r="AD561" s="17"/>
      <c r="AE561" s="17"/>
    </row>
    <row r="562">
      <c r="A562" s="150"/>
      <c r="B562" s="164"/>
      <c r="C562" s="320"/>
      <c r="D562" s="150"/>
      <c r="E562" s="164"/>
      <c r="F562" s="320"/>
      <c r="G562" s="150"/>
      <c r="H562" s="164"/>
      <c r="I562" s="320"/>
      <c r="J562" s="150"/>
      <c r="K562" s="164"/>
      <c r="L562" s="320"/>
      <c r="M562" s="326"/>
      <c r="N562" s="327"/>
      <c r="O562" s="328"/>
      <c r="P562" s="326"/>
      <c r="Q562" s="327"/>
      <c r="R562" s="328"/>
      <c r="S562" s="326"/>
      <c r="T562" s="327"/>
      <c r="U562" s="328"/>
      <c r="V562" s="150"/>
      <c r="W562" s="327"/>
      <c r="X562" s="320"/>
      <c r="Y562" s="201"/>
      <c r="Z562" s="201"/>
      <c r="AA562" s="201"/>
      <c r="AB562" s="17"/>
      <c r="AC562" s="17"/>
      <c r="AD562" s="17"/>
      <c r="AE562" s="17"/>
    </row>
    <row r="563">
      <c r="A563" s="150"/>
      <c r="B563" s="164"/>
      <c r="C563" s="320"/>
      <c r="D563" s="150"/>
      <c r="E563" s="164"/>
      <c r="F563" s="320"/>
      <c r="G563" s="150"/>
      <c r="H563" s="164"/>
      <c r="I563" s="320"/>
      <c r="J563" s="150"/>
      <c r="K563" s="164"/>
      <c r="L563" s="320"/>
      <c r="M563" s="326"/>
      <c r="N563" s="327"/>
      <c r="O563" s="328"/>
      <c r="P563" s="326"/>
      <c r="Q563" s="327"/>
      <c r="R563" s="328"/>
      <c r="S563" s="326"/>
      <c r="T563" s="327"/>
      <c r="U563" s="328"/>
      <c r="V563" s="150"/>
      <c r="W563" s="327"/>
      <c r="X563" s="320"/>
      <c r="Y563" s="201"/>
      <c r="Z563" s="201"/>
      <c r="AA563" s="201"/>
      <c r="AB563" s="17"/>
      <c r="AC563" s="17"/>
      <c r="AD563" s="17"/>
      <c r="AE563" s="17"/>
    </row>
    <row r="564">
      <c r="A564" s="150"/>
      <c r="B564" s="164"/>
      <c r="C564" s="320"/>
      <c r="D564" s="150"/>
      <c r="E564" s="164"/>
      <c r="F564" s="320"/>
      <c r="G564" s="150"/>
      <c r="H564" s="164"/>
      <c r="I564" s="320"/>
      <c r="J564" s="150"/>
      <c r="K564" s="164"/>
      <c r="L564" s="320"/>
      <c r="M564" s="326"/>
      <c r="N564" s="327"/>
      <c r="O564" s="328"/>
      <c r="P564" s="326"/>
      <c r="Q564" s="327"/>
      <c r="R564" s="328"/>
      <c r="S564" s="326"/>
      <c r="T564" s="327"/>
      <c r="U564" s="328"/>
      <c r="V564" s="150"/>
      <c r="W564" s="327"/>
      <c r="X564" s="320"/>
      <c r="Y564" s="201"/>
      <c r="Z564" s="201"/>
      <c r="AA564" s="201"/>
      <c r="AB564" s="17"/>
      <c r="AC564" s="17"/>
      <c r="AD564" s="17"/>
      <c r="AE564" s="17"/>
    </row>
    <row r="565">
      <c r="A565" s="150"/>
      <c r="B565" s="164"/>
      <c r="C565" s="320"/>
      <c r="D565" s="150"/>
      <c r="E565" s="164"/>
      <c r="F565" s="320"/>
      <c r="G565" s="150"/>
      <c r="H565" s="164"/>
      <c r="I565" s="320"/>
      <c r="J565" s="150"/>
      <c r="K565" s="164"/>
      <c r="L565" s="320"/>
      <c r="M565" s="326"/>
      <c r="N565" s="327"/>
      <c r="O565" s="328"/>
      <c r="P565" s="326"/>
      <c r="Q565" s="327"/>
      <c r="R565" s="328"/>
      <c r="S565" s="326"/>
      <c r="T565" s="327"/>
      <c r="U565" s="328"/>
      <c r="V565" s="150"/>
      <c r="W565" s="327"/>
      <c r="X565" s="320"/>
      <c r="Y565" s="201"/>
      <c r="Z565" s="201"/>
      <c r="AA565" s="201"/>
      <c r="AB565" s="17"/>
      <c r="AC565" s="17"/>
      <c r="AD565" s="17"/>
      <c r="AE565" s="17"/>
    </row>
    <row r="566">
      <c r="A566" s="150"/>
      <c r="B566" s="164"/>
      <c r="C566" s="320"/>
      <c r="D566" s="150"/>
      <c r="E566" s="164"/>
      <c r="F566" s="320"/>
      <c r="G566" s="150"/>
      <c r="H566" s="164"/>
      <c r="I566" s="320"/>
      <c r="J566" s="150"/>
      <c r="K566" s="164"/>
      <c r="L566" s="320"/>
      <c r="M566" s="326"/>
      <c r="N566" s="327"/>
      <c r="O566" s="328"/>
      <c r="P566" s="326"/>
      <c r="Q566" s="327"/>
      <c r="R566" s="328"/>
      <c r="S566" s="326"/>
      <c r="T566" s="327"/>
      <c r="U566" s="328"/>
      <c r="V566" s="150"/>
      <c r="W566" s="327"/>
      <c r="X566" s="320"/>
      <c r="Y566" s="201"/>
      <c r="Z566" s="201"/>
      <c r="AA566" s="201"/>
      <c r="AB566" s="17"/>
      <c r="AC566" s="17"/>
      <c r="AD566" s="17"/>
      <c r="AE566" s="17"/>
    </row>
    <row r="567">
      <c r="A567" s="150"/>
      <c r="B567" s="164"/>
      <c r="C567" s="320"/>
      <c r="D567" s="150"/>
      <c r="E567" s="164"/>
      <c r="F567" s="320"/>
      <c r="G567" s="150"/>
      <c r="H567" s="164"/>
      <c r="I567" s="320"/>
      <c r="J567" s="150"/>
      <c r="K567" s="164"/>
      <c r="L567" s="320"/>
      <c r="M567" s="326"/>
      <c r="N567" s="327"/>
      <c r="O567" s="328"/>
      <c r="P567" s="326"/>
      <c r="Q567" s="327"/>
      <c r="R567" s="328"/>
      <c r="S567" s="326"/>
      <c r="T567" s="327"/>
      <c r="U567" s="328"/>
      <c r="V567" s="150"/>
      <c r="W567" s="327"/>
      <c r="X567" s="320"/>
      <c r="Y567" s="201"/>
      <c r="Z567" s="201"/>
      <c r="AA567" s="201"/>
      <c r="AB567" s="17"/>
      <c r="AC567" s="17"/>
      <c r="AD567" s="17"/>
      <c r="AE567" s="17"/>
    </row>
    <row r="568">
      <c r="A568" s="150"/>
      <c r="B568" s="164"/>
      <c r="C568" s="320"/>
      <c r="D568" s="150"/>
      <c r="E568" s="164"/>
      <c r="F568" s="320"/>
      <c r="G568" s="150"/>
      <c r="H568" s="164"/>
      <c r="I568" s="320"/>
      <c r="J568" s="150"/>
      <c r="K568" s="164"/>
      <c r="L568" s="320"/>
      <c r="M568" s="326"/>
      <c r="N568" s="327"/>
      <c r="O568" s="328"/>
      <c r="P568" s="326"/>
      <c r="Q568" s="327"/>
      <c r="R568" s="328"/>
      <c r="S568" s="326"/>
      <c r="T568" s="327"/>
      <c r="U568" s="328"/>
      <c r="V568" s="150"/>
      <c r="W568" s="327"/>
      <c r="X568" s="320"/>
      <c r="Y568" s="201"/>
      <c r="Z568" s="201"/>
      <c r="AA568" s="201"/>
      <c r="AB568" s="17"/>
      <c r="AC568" s="17"/>
      <c r="AD568" s="17"/>
      <c r="AE568" s="17"/>
    </row>
    <row r="569">
      <c r="A569" s="150"/>
      <c r="B569" s="164"/>
      <c r="C569" s="320"/>
      <c r="D569" s="150"/>
      <c r="E569" s="164"/>
      <c r="F569" s="320"/>
      <c r="G569" s="150"/>
      <c r="H569" s="164"/>
      <c r="I569" s="320"/>
      <c r="J569" s="150"/>
      <c r="K569" s="164"/>
      <c r="L569" s="320"/>
      <c r="M569" s="326"/>
      <c r="N569" s="327"/>
      <c r="O569" s="328"/>
      <c r="P569" s="326"/>
      <c r="Q569" s="327"/>
      <c r="R569" s="328"/>
      <c r="S569" s="326"/>
      <c r="T569" s="327"/>
      <c r="U569" s="328"/>
      <c r="V569" s="150"/>
      <c r="W569" s="327"/>
      <c r="X569" s="320"/>
      <c r="Y569" s="201"/>
      <c r="Z569" s="201"/>
      <c r="AA569" s="201"/>
      <c r="AB569" s="17"/>
      <c r="AC569" s="17"/>
      <c r="AD569" s="17"/>
      <c r="AE569" s="17"/>
    </row>
    <row r="570">
      <c r="A570" s="150"/>
      <c r="B570" s="164"/>
      <c r="C570" s="320"/>
      <c r="D570" s="150"/>
      <c r="E570" s="164"/>
      <c r="F570" s="320"/>
      <c r="G570" s="150"/>
      <c r="H570" s="164"/>
      <c r="I570" s="320"/>
      <c r="J570" s="150"/>
      <c r="K570" s="164"/>
      <c r="L570" s="320"/>
      <c r="M570" s="326"/>
      <c r="N570" s="327"/>
      <c r="O570" s="328"/>
      <c r="P570" s="326"/>
      <c r="Q570" s="327"/>
      <c r="R570" s="328"/>
      <c r="S570" s="326"/>
      <c r="T570" s="327"/>
      <c r="U570" s="328"/>
      <c r="V570" s="150"/>
      <c r="W570" s="327"/>
      <c r="X570" s="320"/>
      <c r="Y570" s="201"/>
      <c r="Z570" s="201"/>
      <c r="AA570" s="201"/>
      <c r="AB570" s="17"/>
      <c r="AC570" s="17"/>
      <c r="AD570" s="17"/>
      <c r="AE570" s="17"/>
    </row>
    <row r="571">
      <c r="A571" s="150"/>
      <c r="B571" s="164"/>
      <c r="C571" s="320"/>
      <c r="D571" s="150"/>
      <c r="E571" s="164"/>
      <c r="F571" s="320"/>
      <c r="G571" s="150"/>
      <c r="H571" s="164"/>
      <c r="I571" s="320"/>
      <c r="J571" s="150"/>
      <c r="K571" s="164"/>
      <c r="L571" s="320"/>
      <c r="M571" s="326"/>
      <c r="N571" s="327"/>
      <c r="O571" s="328"/>
      <c r="P571" s="326"/>
      <c r="Q571" s="327"/>
      <c r="R571" s="328"/>
      <c r="S571" s="326"/>
      <c r="T571" s="327"/>
      <c r="U571" s="328"/>
      <c r="V571" s="150"/>
      <c r="W571" s="327"/>
      <c r="X571" s="320"/>
      <c r="Y571" s="201"/>
      <c r="Z571" s="201"/>
      <c r="AA571" s="201"/>
      <c r="AB571" s="17"/>
      <c r="AC571" s="17"/>
      <c r="AD571" s="17"/>
      <c r="AE571" s="17"/>
    </row>
    <row r="572">
      <c r="A572" s="150"/>
      <c r="B572" s="164"/>
      <c r="C572" s="320"/>
      <c r="D572" s="150"/>
      <c r="E572" s="164"/>
      <c r="F572" s="320"/>
      <c r="G572" s="150"/>
      <c r="H572" s="164"/>
      <c r="I572" s="320"/>
      <c r="J572" s="150"/>
      <c r="K572" s="164"/>
      <c r="L572" s="320"/>
      <c r="M572" s="326"/>
      <c r="N572" s="327"/>
      <c r="O572" s="328"/>
      <c r="P572" s="326"/>
      <c r="Q572" s="327"/>
      <c r="R572" s="328"/>
      <c r="S572" s="326"/>
      <c r="T572" s="327"/>
      <c r="U572" s="328"/>
      <c r="V572" s="150"/>
      <c r="W572" s="327"/>
      <c r="X572" s="320"/>
      <c r="Y572" s="201"/>
      <c r="Z572" s="201"/>
      <c r="AA572" s="201"/>
      <c r="AB572" s="17"/>
      <c r="AC572" s="17"/>
      <c r="AD572" s="17"/>
      <c r="AE572" s="17"/>
    </row>
    <row r="573">
      <c r="A573" s="150"/>
      <c r="B573" s="164"/>
      <c r="C573" s="320"/>
      <c r="D573" s="150"/>
      <c r="E573" s="164"/>
      <c r="F573" s="320"/>
      <c r="G573" s="150"/>
      <c r="H573" s="164"/>
      <c r="I573" s="320"/>
      <c r="J573" s="150"/>
      <c r="K573" s="164"/>
      <c r="L573" s="320"/>
      <c r="M573" s="326"/>
      <c r="N573" s="327"/>
      <c r="O573" s="328"/>
      <c r="P573" s="326"/>
      <c r="Q573" s="327"/>
      <c r="R573" s="328"/>
      <c r="S573" s="326"/>
      <c r="T573" s="327"/>
      <c r="U573" s="328"/>
      <c r="V573" s="150"/>
      <c r="W573" s="327"/>
      <c r="X573" s="320"/>
      <c r="Y573" s="201"/>
      <c r="Z573" s="201"/>
      <c r="AA573" s="201"/>
      <c r="AB573" s="17"/>
      <c r="AC573" s="17"/>
      <c r="AD573" s="17"/>
      <c r="AE573" s="17"/>
    </row>
    <row r="574">
      <c r="A574" s="150"/>
      <c r="B574" s="164"/>
      <c r="C574" s="320"/>
      <c r="D574" s="150"/>
      <c r="E574" s="164"/>
      <c r="F574" s="320"/>
      <c r="G574" s="150"/>
      <c r="H574" s="164"/>
      <c r="I574" s="320"/>
      <c r="J574" s="150"/>
      <c r="K574" s="164"/>
      <c r="L574" s="320"/>
      <c r="M574" s="326"/>
      <c r="N574" s="327"/>
      <c r="O574" s="328"/>
      <c r="P574" s="326"/>
      <c r="Q574" s="327"/>
      <c r="R574" s="328"/>
      <c r="S574" s="326"/>
      <c r="T574" s="327"/>
      <c r="U574" s="328"/>
      <c r="V574" s="150"/>
      <c r="W574" s="327"/>
      <c r="X574" s="320"/>
      <c r="Y574" s="201"/>
      <c r="Z574" s="201"/>
      <c r="AA574" s="201"/>
      <c r="AB574" s="17"/>
      <c r="AC574" s="17"/>
      <c r="AD574" s="17"/>
      <c r="AE574" s="17"/>
    </row>
    <row r="575">
      <c r="A575" s="150"/>
      <c r="B575" s="164"/>
      <c r="C575" s="320"/>
      <c r="D575" s="150"/>
      <c r="E575" s="164"/>
      <c r="F575" s="320"/>
      <c r="G575" s="150"/>
      <c r="H575" s="164"/>
      <c r="I575" s="320"/>
      <c r="J575" s="150"/>
      <c r="K575" s="164"/>
      <c r="L575" s="320"/>
      <c r="M575" s="326"/>
      <c r="N575" s="327"/>
      <c r="O575" s="328"/>
      <c r="P575" s="326"/>
      <c r="Q575" s="327"/>
      <c r="R575" s="328"/>
      <c r="S575" s="326"/>
      <c r="T575" s="327"/>
      <c r="U575" s="328"/>
      <c r="V575" s="150"/>
      <c r="W575" s="327"/>
      <c r="X575" s="320"/>
      <c r="Y575" s="201"/>
      <c r="Z575" s="201"/>
      <c r="AA575" s="201"/>
      <c r="AB575" s="17"/>
      <c r="AC575" s="17"/>
      <c r="AD575" s="17"/>
      <c r="AE575" s="17"/>
    </row>
    <row r="576">
      <c r="A576" s="150"/>
      <c r="B576" s="164"/>
      <c r="C576" s="320"/>
      <c r="D576" s="150"/>
      <c r="E576" s="164"/>
      <c r="F576" s="320"/>
      <c r="G576" s="150"/>
      <c r="H576" s="164"/>
      <c r="I576" s="320"/>
      <c r="J576" s="150"/>
      <c r="K576" s="164"/>
      <c r="L576" s="320"/>
      <c r="M576" s="326"/>
      <c r="N576" s="327"/>
      <c r="O576" s="328"/>
      <c r="P576" s="326"/>
      <c r="Q576" s="327"/>
      <c r="R576" s="328"/>
      <c r="S576" s="326"/>
      <c r="T576" s="327"/>
      <c r="U576" s="328"/>
      <c r="V576" s="150"/>
      <c r="W576" s="327"/>
      <c r="X576" s="320"/>
      <c r="Y576" s="201"/>
      <c r="Z576" s="201"/>
      <c r="AA576" s="201"/>
      <c r="AB576" s="17"/>
      <c r="AC576" s="17"/>
      <c r="AD576" s="17"/>
      <c r="AE576" s="17"/>
    </row>
    <row r="577">
      <c r="A577" s="150"/>
      <c r="B577" s="164"/>
      <c r="C577" s="320"/>
      <c r="D577" s="150"/>
      <c r="E577" s="164"/>
      <c r="F577" s="320"/>
      <c r="G577" s="150"/>
      <c r="H577" s="164"/>
      <c r="I577" s="320"/>
      <c r="J577" s="150"/>
      <c r="K577" s="164"/>
      <c r="L577" s="320"/>
      <c r="M577" s="326"/>
      <c r="N577" s="327"/>
      <c r="O577" s="328"/>
      <c r="P577" s="326"/>
      <c r="Q577" s="327"/>
      <c r="R577" s="328"/>
      <c r="S577" s="326"/>
      <c r="T577" s="327"/>
      <c r="U577" s="328"/>
      <c r="V577" s="150"/>
      <c r="W577" s="327"/>
      <c r="X577" s="320"/>
      <c r="Y577" s="201"/>
      <c r="Z577" s="201"/>
      <c r="AA577" s="201"/>
      <c r="AB577" s="17"/>
      <c r="AC577" s="17"/>
      <c r="AD577" s="17"/>
      <c r="AE577" s="17"/>
    </row>
    <row r="578">
      <c r="A578" s="150"/>
      <c r="B578" s="164"/>
      <c r="C578" s="320"/>
      <c r="D578" s="150"/>
      <c r="E578" s="164"/>
      <c r="F578" s="320"/>
      <c r="G578" s="150"/>
      <c r="H578" s="164"/>
      <c r="I578" s="320"/>
      <c r="J578" s="150"/>
      <c r="K578" s="164"/>
      <c r="L578" s="320"/>
      <c r="M578" s="326"/>
      <c r="N578" s="327"/>
      <c r="O578" s="328"/>
      <c r="P578" s="326"/>
      <c r="Q578" s="327"/>
      <c r="R578" s="328"/>
      <c r="S578" s="326"/>
      <c r="T578" s="327"/>
      <c r="U578" s="328"/>
      <c r="V578" s="150"/>
      <c r="W578" s="327"/>
      <c r="X578" s="320"/>
      <c r="Y578" s="201"/>
      <c r="Z578" s="201"/>
      <c r="AA578" s="201"/>
      <c r="AB578" s="17"/>
      <c r="AC578" s="17"/>
      <c r="AD578" s="17"/>
      <c r="AE578" s="17"/>
    </row>
    <row r="579">
      <c r="A579" s="150"/>
      <c r="B579" s="164"/>
      <c r="C579" s="320"/>
      <c r="D579" s="150"/>
      <c r="E579" s="164"/>
      <c r="F579" s="320"/>
      <c r="G579" s="150"/>
      <c r="H579" s="164"/>
      <c r="I579" s="320"/>
      <c r="J579" s="150"/>
      <c r="K579" s="164"/>
      <c r="L579" s="320"/>
      <c r="M579" s="326"/>
      <c r="N579" s="327"/>
      <c r="O579" s="328"/>
      <c r="P579" s="326"/>
      <c r="Q579" s="327"/>
      <c r="R579" s="328"/>
      <c r="S579" s="326"/>
      <c r="T579" s="327"/>
      <c r="U579" s="328"/>
      <c r="V579" s="150"/>
      <c r="W579" s="327"/>
      <c r="X579" s="320"/>
      <c r="Y579" s="201"/>
      <c r="Z579" s="201"/>
      <c r="AA579" s="201"/>
      <c r="AB579" s="17"/>
      <c r="AC579" s="17"/>
      <c r="AD579" s="17"/>
      <c r="AE579" s="17"/>
    </row>
    <row r="580">
      <c r="A580" s="150"/>
      <c r="B580" s="164"/>
      <c r="C580" s="320"/>
      <c r="D580" s="150"/>
      <c r="E580" s="164"/>
      <c r="F580" s="320"/>
      <c r="G580" s="150"/>
      <c r="H580" s="164"/>
      <c r="I580" s="320"/>
      <c r="J580" s="150"/>
      <c r="K580" s="164"/>
      <c r="L580" s="320"/>
      <c r="M580" s="326"/>
      <c r="N580" s="327"/>
      <c r="O580" s="328"/>
      <c r="P580" s="326"/>
      <c r="Q580" s="327"/>
      <c r="R580" s="328"/>
      <c r="S580" s="326"/>
      <c r="T580" s="327"/>
      <c r="U580" s="328"/>
      <c r="V580" s="150"/>
      <c r="W580" s="327"/>
      <c r="X580" s="320"/>
      <c r="Y580" s="201"/>
      <c r="Z580" s="201"/>
      <c r="AA580" s="201"/>
      <c r="AB580" s="17"/>
      <c r="AC580" s="17"/>
      <c r="AD580" s="17"/>
      <c r="AE580" s="17"/>
    </row>
    <row r="581">
      <c r="A581" s="150"/>
      <c r="B581" s="164"/>
      <c r="C581" s="320"/>
      <c r="D581" s="150"/>
      <c r="E581" s="164"/>
      <c r="F581" s="320"/>
      <c r="G581" s="150"/>
      <c r="H581" s="164"/>
      <c r="I581" s="320"/>
      <c r="J581" s="150"/>
      <c r="K581" s="164"/>
      <c r="L581" s="320"/>
      <c r="M581" s="326"/>
      <c r="N581" s="327"/>
      <c r="O581" s="328"/>
      <c r="P581" s="326"/>
      <c r="Q581" s="327"/>
      <c r="R581" s="328"/>
      <c r="S581" s="326"/>
      <c r="T581" s="327"/>
      <c r="U581" s="328"/>
      <c r="V581" s="150"/>
      <c r="W581" s="327"/>
      <c r="X581" s="320"/>
      <c r="Y581" s="201"/>
      <c r="Z581" s="201"/>
      <c r="AA581" s="201"/>
      <c r="AB581" s="17"/>
      <c r="AC581" s="17"/>
      <c r="AD581" s="17"/>
      <c r="AE581" s="17"/>
    </row>
    <row r="582">
      <c r="A582" s="150"/>
      <c r="B582" s="164"/>
      <c r="C582" s="320"/>
      <c r="D582" s="150"/>
      <c r="E582" s="164"/>
      <c r="F582" s="320"/>
      <c r="G582" s="150"/>
      <c r="H582" s="164"/>
      <c r="I582" s="320"/>
      <c r="J582" s="150"/>
      <c r="K582" s="164"/>
      <c r="L582" s="320"/>
      <c r="M582" s="326"/>
      <c r="N582" s="327"/>
      <c r="O582" s="328"/>
      <c r="P582" s="326"/>
      <c r="Q582" s="327"/>
      <c r="R582" s="328"/>
      <c r="S582" s="326"/>
      <c r="T582" s="327"/>
      <c r="U582" s="328"/>
      <c r="V582" s="150"/>
      <c r="W582" s="327"/>
      <c r="X582" s="320"/>
      <c r="Y582" s="201"/>
      <c r="Z582" s="201"/>
      <c r="AA582" s="201"/>
      <c r="AB582" s="17"/>
      <c r="AC582" s="17"/>
      <c r="AD582" s="17"/>
      <c r="AE582" s="17"/>
    </row>
    <row r="583">
      <c r="A583" s="150"/>
      <c r="B583" s="164"/>
      <c r="C583" s="320"/>
      <c r="D583" s="150"/>
      <c r="E583" s="164"/>
      <c r="F583" s="320"/>
      <c r="G583" s="150"/>
      <c r="H583" s="164"/>
      <c r="I583" s="320"/>
      <c r="J583" s="150"/>
      <c r="K583" s="164"/>
      <c r="L583" s="320"/>
      <c r="M583" s="326"/>
      <c r="N583" s="327"/>
      <c r="O583" s="328"/>
      <c r="P583" s="326"/>
      <c r="Q583" s="327"/>
      <c r="R583" s="328"/>
      <c r="S583" s="326"/>
      <c r="T583" s="327"/>
      <c r="U583" s="328"/>
      <c r="V583" s="150"/>
      <c r="W583" s="327"/>
      <c r="X583" s="320"/>
      <c r="Y583" s="201"/>
      <c r="Z583" s="201"/>
      <c r="AA583" s="201"/>
      <c r="AB583" s="17"/>
      <c r="AC583" s="17"/>
      <c r="AD583" s="17"/>
      <c r="AE583" s="17"/>
    </row>
    <row r="584">
      <c r="A584" s="150"/>
      <c r="B584" s="164"/>
      <c r="C584" s="320"/>
      <c r="D584" s="150"/>
      <c r="E584" s="164"/>
      <c r="F584" s="320"/>
      <c r="G584" s="150"/>
      <c r="H584" s="164"/>
      <c r="I584" s="320"/>
      <c r="J584" s="150"/>
      <c r="K584" s="164"/>
      <c r="L584" s="320"/>
      <c r="M584" s="326"/>
      <c r="N584" s="327"/>
      <c r="O584" s="328"/>
      <c r="P584" s="326"/>
      <c r="Q584" s="327"/>
      <c r="R584" s="328"/>
      <c r="S584" s="326"/>
      <c r="T584" s="327"/>
      <c r="U584" s="328"/>
      <c r="V584" s="150"/>
      <c r="W584" s="327"/>
      <c r="X584" s="320"/>
      <c r="Y584" s="201"/>
      <c r="Z584" s="201"/>
      <c r="AA584" s="201"/>
      <c r="AB584" s="17"/>
      <c r="AC584" s="17"/>
      <c r="AD584" s="17"/>
      <c r="AE584" s="17"/>
    </row>
    <row r="585">
      <c r="A585" s="150"/>
      <c r="B585" s="164"/>
      <c r="C585" s="320"/>
      <c r="D585" s="150"/>
      <c r="E585" s="164"/>
      <c r="F585" s="320"/>
      <c r="G585" s="150"/>
      <c r="H585" s="164"/>
      <c r="I585" s="320"/>
      <c r="J585" s="150"/>
      <c r="K585" s="164"/>
      <c r="L585" s="320"/>
      <c r="M585" s="326"/>
      <c r="N585" s="327"/>
      <c r="O585" s="328"/>
      <c r="P585" s="326"/>
      <c r="Q585" s="327"/>
      <c r="R585" s="328"/>
      <c r="S585" s="326"/>
      <c r="T585" s="327"/>
      <c r="U585" s="328"/>
      <c r="V585" s="150"/>
      <c r="W585" s="327"/>
      <c r="X585" s="320"/>
      <c r="Y585" s="201"/>
      <c r="Z585" s="201"/>
      <c r="AA585" s="201"/>
      <c r="AB585" s="17"/>
      <c r="AC585" s="17"/>
      <c r="AD585" s="17"/>
      <c r="AE585" s="17"/>
    </row>
    <row r="586">
      <c r="A586" s="150"/>
      <c r="B586" s="164"/>
      <c r="C586" s="320"/>
      <c r="D586" s="150"/>
      <c r="E586" s="164"/>
      <c r="F586" s="320"/>
      <c r="G586" s="150"/>
      <c r="H586" s="164"/>
      <c r="I586" s="320"/>
      <c r="J586" s="150"/>
      <c r="K586" s="164"/>
      <c r="L586" s="320"/>
      <c r="M586" s="326"/>
      <c r="N586" s="327"/>
      <c r="O586" s="328"/>
      <c r="P586" s="326"/>
      <c r="Q586" s="327"/>
      <c r="R586" s="328"/>
      <c r="S586" s="326"/>
      <c r="T586" s="327"/>
      <c r="U586" s="328"/>
      <c r="V586" s="150"/>
      <c r="W586" s="327"/>
      <c r="X586" s="320"/>
      <c r="Y586" s="201"/>
      <c r="Z586" s="201"/>
      <c r="AA586" s="201"/>
      <c r="AB586" s="17"/>
      <c r="AC586" s="17"/>
      <c r="AD586" s="17"/>
      <c r="AE586" s="17"/>
    </row>
    <row r="587">
      <c r="A587" s="150"/>
      <c r="B587" s="164"/>
      <c r="C587" s="320"/>
      <c r="D587" s="150"/>
      <c r="E587" s="164"/>
      <c r="F587" s="320"/>
      <c r="G587" s="150"/>
      <c r="H587" s="164"/>
      <c r="I587" s="320"/>
      <c r="J587" s="150"/>
      <c r="K587" s="164"/>
      <c r="L587" s="320"/>
      <c r="M587" s="326"/>
      <c r="N587" s="327"/>
      <c r="O587" s="328"/>
      <c r="P587" s="326"/>
      <c r="Q587" s="327"/>
      <c r="R587" s="328"/>
      <c r="S587" s="326"/>
      <c r="T587" s="327"/>
      <c r="U587" s="328"/>
      <c r="V587" s="150"/>
      <c r="W587" s="327"/>
      <c r="X587" s="320"/>
      <c r="Y587" s="201"/>
      <c r="Z587" s="201"/>
      <c r="AA587" s="201"/>
      <c r="AB587" s="17"/>
      <c r="AC587" s="17"/>
      <c r="AD587" s="17"/>
      <c r="AE587" s="17"/>
    </row>
    <row r="588">
      <c r="A588" s="150"/>
      <c r="B588" s="164"/>
      <c r="C588" s="320"/>
      <c r="D588" s="150"/>
      <c r="E588" s="164"/>
      <c r="F588" s="320"/>
      <c r="G588" s="150"/>
      <c r="H588" s="164"/>
      <c r="I588" s="320"/>
      <c r="J588" s="150"/>
      <c r="K588" s="164"/>
      <c r="L588" s="320"/>
      <c r="M588" s="326"/>
      <c r="N588" s="327"/>
      <c r="O588" s="328"/>
      <c r="P588" s="326"/>
      <c r="Q588" s="327"/>
      <c r="R588" s="328"/>
      <c r="S588" s="326"/>
      <c r="T588" s="327"/>
      <c r="U588" s="328"/>
      <c r="V588" s="150"/>
      <c r="W588" s="327"/>
      <c r="X588" s="320"/>
      <c r="Y588" s="201"/>
      <c r="Z588" s="201"/>
      <c r="AA588" s="201"/>
      <c r="AB588" s="17"/>
      <c r="AC588" s="17"/>
      <c r="AD588" s="17"/>
      <c r="AE588" s="17"/>
    </row>
    <row r="589">
      <c r="A589" s="150"/>
      <c r="B589" s="164"/>
      <c r="C589" s="320"/>
      <c r="D589" s="150"/>
      <c r="E589" s="164"/>
      <c r="F589" s="320"/>
      <c r="G589" s="150"/>
      <c r="H589" s="164"/>
      <c r="I589" s="320"/>
      <c r="J589" s="150"/>
      <c r="K589" s="164"/>
      <c r="L589" s="320"/>
      <c r="M589" s="326"/>
      <c r="N589" s="327"/>
      <c r="O589" s="328"/>
      <c r="P589" s="326"/>
      <c r="Q589" s="327"/>
      <c r="R589" s="328"/>
      <c r="S589" s="326"/>
      <c r="T589" s="327"/>
      <c r="U589" s="328"/>
      <c r="V589" s="150"/>
      <c r="W589" s="327"/>
      <c r="X589" s="320"/>
      <c r="Y589" s="201"/>
      <c r="Z589" s="201"/>
      <c r="AA589" s="201"/>
      <c r="AB589" s="17"/>
      <c r="AC589" s="17"/>
      <c r="AD589" s="17"/>
      <c r="AE589" s="17"/>
    </row>
    <row r="590">
      <c r="A590" s="150"/>
      <c r="B590" s="164"/>
      <c r="C590" s="320"/>
      <c r="D590" s="150"/>
      <c r="E590" s="164"/>
      <c r="F590" s="320"/>
      <c r="G590" s="150"/>
      <c r="H590" s="164"/>
      <c r="I590" s="320"/>
      <c r="J590" s="150"/>
      <c r="K590" s="164"/>
      <c r="L590" s="320"/>
      <c r="M590" s="326"/>
      <c r="N590" s="327"/>
      <c r="O590" s="328"/>
      <c r="P590" s="326"/>
      <c r="Q590" s="327"/>
      <c r="R590" s="328"/>
      <c r="S590" s="326"/>
      <c r="T590" s="327"/>
      <c r="U590" s="328"/>
      <c r="V590" s="150"/>
      <c r="W590" s="327"/>
      <c r="X590" s="320"/>
      <c r="Y590" s="201"/>
      <c r="Z590" s="201"/>
      <c r="AA590" s="201"/>
      <c r="AB590" s="17"/>
      <c r="AC590" s="17"/>
      <c r="AD590" s="17"/>
      <c r="AE590" s="17"/>
    </row>
    <row r="591">
      <c r="A591" s="150"/>
      <c r="B591" s="164"/>
      <c r="C591" s="320"/>
      <c r="D591" s="150"/>
      <c r="E591" s="164"/>
      <c r="F591" s="320"/>
      <c r="G591" s="150"/>
      <c r="H591" s="164"/>
      <c r="I591" s="320"/>
      <c r="J591" s="150"/>
      <c r="K591" s="164"/>
      <c r="L591" s="320"/>
      <c r="M591" s="326"/>
      <c r="N591" s="327"/>
      <c r="O591" s="328"/>
      <c r="P591" s="326"/>
      <c r="Q591" s="327"/>
      <c r="R591" s="328"/>
      <c r="S591" s="326"/>
      <c r="T591" s="327"/>
      <c r="U591" s="328"/>
      <c r="V591" s="150"/>
      <c r="W591" s="327"/>
      <c r="X591" s="320"/>
      <c r="Y591" s="201"/>
      <c r="Z591" s="201"/>
      <c r="AA591" s="201"/>
      <c r="AB591" s="17"/>
      <c r="AC591" s="17"/>
      <c r="AD591" s="17"/>
      <c r="AE591" s="17"/>
    </row>
    <row r="592">
      <c r="A592" s="150"/>
      <c r="B592" s="164"/>
      <c r="C592" s="320"/>
      <c r="D592" s="150"/>
      <c r="E592" s="164"/>
      <c r="F592" s="320"/>
      <c r="G592" s="150"/>
      <c r="H592" s="164"/>
      <c r="I592" s="320"/>
      <c r="J592" s="150"/>
      <c r="K592" s="164"/>
      <c r="L592" s="320"/>
      <c r="M592" s="326"/>
      <c r="N592" s="327"/>
      <c r="O592" s="328"/>
      <c r="P592" s="326"/>
      <c r="Q592" s="327"/>
      <c r="R592" s="328"/>
      <c r="S592" s="326"/>
      <c r="T592" s="327"/>
      <c r="U592" s="328"/>
      <c r="V592" s="150"/>
      <c r="W592" s="327"/>
      <c r="X592" s="320"/>
      <c r="Y592" s="201"/>
      <c r="Z592" s="201"/>
      <c r="AA592" s="201"/>
      <c r="AB592" s="17"/>
      <c r="AC592" s="17"/>
      <c r="AD592" s="17"/>
      <c r="AE592" s="17"/>
    </row>
    <row r="593">
      <c r="A593" s="150"/>
      <c r="B593" s="164"/>
      <c r="C593" s="320"/>
      <c r="D593" s="150"/>
      <c r="E593" s="164"/>
      <c r="F593" s="320"/>
      <c r="G593" s="150"/>
      <c r="H593" s="164"/>
      <c r="I593" s="320"/>
      <c r="J593" s="150"/>
      <c r="K593" s="164"/>
      <c r="L593" s="320"/>
      <c r="M593" s="326"/>
      <c r="N593" s="327"/>
      <c r="O593" s="328"/>
      <c r="P593" s="326"/>
      <c r="Q593" s="327"/>
      <c r="R593" s="328"/>
      <c r="S593" s="326"/>
      <c r="T593" s="327"/>
      <c r="U593" s="328"/>
      <c r="V593" s="150"/>
      <c r="W593" s="327"/>
      <c r="X593" s="320"/>
      <c r="Y593" s="201"/>
      <c r="Z593" s="201"/>
      <c r="AA593" s="201"/>
      <c r="AB593" s="17"/>
      <c r="AC593" s="17"/>
      <c r="AD593" s="17"/>
      <c r="AE593" s="17"/>
    </row>
    <row r="594">
      <c r="A594" s="150"/>
      <c r="B594" s="164"/>
      <c r="C594" s="320"/>
      <c r="D594" s="150"/>
      <c r="E594" s="164"/>
      <c r="F594" s="320"/>
      <c r="G594" s="150"/>
      <c r="H594" s="164"/>
      <c r="I594" s="320"/>
      <c r="J594" s="150"/>
      <c r="K594" s="164"/>
      <c r="L594" s="320"/>
      <c r="M594" s="326"/>
      <c r="N594" s="327"/>
      <c r="O594" s="328"/>
      <c r="P594" s="326"/>
      <c r="Q594" s="327"/>
      <c r="R594" s="328"/>
      <c r="S594" s="326"/>
      <c r="T594" s="327"/>
      <c r="U594" s="328"/>
      <c r="V594" s="150"/>
      <c r="W594" s="327"/>
      <c r="X594" s="320"/>
      <c r="Y594" s="201"/>
      <c r="Z594" s="201"/>
      <c r="AA594" s="201"/>
      <c r="AB594" s="17"/>
      <c r="AC594" s="17"/>
      <c r="AD594" s="17"/>
      <c r="AE594" s="17"/>
    </row>
    <row r="595">
      <c r="A595" s="150"/>
      <c r="B595" s="164"/>
      <c r="C595" s="320"/>
      <c r="D595" s="150"/>
      <c r="E595" s="164"/>
      <c r="F595" s="320"/>
      <c r="G595" s="150"/>
      <c r="H595" s="164"/>
      <c r="I595" s="320"/>
      <c r="J595" s="150"/>
      <c r="K595" s="164"/>
      <c r="L595" s="320"/>
      <c r="M595" s="326"/>
      <c r="N595" s="327"/>
      <c r="O595" s="328"/>
      <c r="P595" s="326"/>
      <c r="Q595" s="327"/>
      <c r="R595" s="328"/>
      <c r="S595" s="326"/>
      <c r="T595" s="327"/>
      <c r="U595" s="328"/>
      <c r="V595" s="150"/>
      <c r="W595" s="327"/>
      <c r="X595" s="320"/>
      <c r="Y595" s="201"/>
      <c r="Z595" s="201"/>
      <c r="AA595" s="201"/>
      <c r="AB595" s="17"/>
      <c r="AC595" s="17"/>
      <c r="AD595" s="17"/>
      <c r="AE595" s="17"/>
    </row>
    <row r="596">
      <c r="A596" s="150"/>
      <c r="B596" s="164"/>
      <c r="C596" s="320"/>
      <c r="D596" s="150"/>
      <c r="E596" s="164"/>
      <c r="F596" s="320"/>
      <c r="G596" s="150"/>
      <c r="H596" s="164"/>
      <c r="I596" s="320"/>
      <c r="J596" s="150"/>
      <c r="K596" s="164"/>
      <c r="L596" s="320"/>
      <c r="M596" s="326"/>
      <c r="N596" s="327"/>
      <c r="O596" s="328"/>
      <c r="P596" s="326"/>
      <c r="Q596" s="327"/>
      <c r="R596" s="328"/>
      <c r="S596" s="326"/>
      <c r="T596" s="327"/>
      <c r="U596" s="328"/>
      <c r="V596" s="150"/>
      <c r="W596" s="327"/>
      <c r="X596" s="320"/>
      <c r="Y596" s="201"/>
      <c r="Z596" s="201"/>
      <c r="AA596" s="201"/>
      <c r="AB596" s="17"/>
      <c r="AC596" s="17"/>
      <c r="AD596" s="17"/>
      <c r="AE596" s="17"/>
    </row>
    <row r="597">
      <c r="A597" s="150"/>
      <c r="B597" s="164"/>
      <c r="C597" s="320"/>
      <c r="D597" s="150"/>
      <c r="E597" s="164"/>
      <c r="F597" s="320"/>
      <c r="G597" s="150"/>
      <c r="H597" s="164"/>
      <c r="I597" s="320"/>
      <c r="J597" s="150"/>
      <c r="K597" s="164"/>
      <c r="L597" s="320"/>
      <c r="M597" s="326"/>
      <c r="N597" s="327"/>
      <c r="O597" s="328"/>
      <c r="P597" s="326"/>
      <c r="Q597" s="327"/>
      <c r="R597" s="328"/>
      <c r="S597" s="326"/>
      <c r="T597" s="327"/>
      <c r="U597" s="328"/>
      <c r="V597" s="150"/>
      <c r="W597" s="327"/>
      <c r="X597" s="320"/>
      <c r="Y597" s="201"/>
      <c r="Z597" s="201"/>
      <c r="AA597" s="201"/>
      <c r="AB597" s="17"/>
      <c r="AC597" s="17"/>
      <c r="AD597" s="17"/>
      <c r="AE597" s="17"/>
    </row>
    <row r="598">
      <c r="A598" s="150"/>
      <c r="B598" s="164"/>
      <c r="C598" s="320"/>
      <c r="D598" s="150"/>
      <c r="E598" s="164"/>
      <c r="F598" s="320"/>
      <c r="G598" s="150"/>
      <c r="H598" s="164"/>
      <c r="I598" s="320"/>
      <c r="J598" s="150"/>
      <c r="K598" s="164"/>
      <c r="L598" s="320"/>
      <c r="M598" s="326"/>
      <c r="N598" s="327"/>
      <c r="O598" s="328"/>
      <c r="P598" s="326"/>
      <c r="Q598" s="327"/>
      <c r="R598" s="328"/>
      <c r="S598" s="326"/>
      <c r="T598" s="327"/>
      <c r="U598" s="328"/>
      <c r="V598" s="150"/>
      <c r="W598" s="327"/>
      <c r="X598" s="320"/>
      <c r="Y598" s="201"/>
      <c r="Z598" s="201"/>
      <c r="AA598" s="201"/>
      <c r="AB598" s="17"/>
      <c r="AC598" s="17"/>
      <c r="AD598" s="17"/>
      <c r="AE598" s="17"/>
    </row>
    <row r="599">
      <c r="A599" s="150"/>
      <c r="B599" s="164"/>
      <c r="C599" s="320"/>
      <c r="D599" s="150"/>
      <c r="E599" s="164"/>
      <c r="F599" s="320"/>
      <c r="G599" s="150"/>
      <c r="H599" s="164"/>
      <c r="I599" s="320"/>
      <c r="J599" s="150"/>
      <c r="K599" s="164"/>
      <c r="L599" s="320"/>
      <c r="M599" s="326"/>
      <c r="N599" s="327"/>
      <c r="O599" s="328"/>
      <c r="P599" s="326"/>
      <c r="Q599" s="327"/>
      <c r="R599" s="328"/>
      <c r="S599" s="326"/>
      <c r="T599" s="327"/>
      <c r="U599" s="328"/>
      <c r="V599" s="150"/>
      <c r="W599" s="327"/>
      <c r="X599" s="320"/>
      <c r="Y599" s="201"/>
      <c r="Z599" s="201"/>
      <c r="AA599" s="201"/>
      <c r="AB599" s="17"/>
      <c r="AC599" s="17"/>
      <c r="AD599" s="17"/>
      <c r="AE599" s="17"/>
    </row>
    <row r="600">
      <c r="A600" s="150"/>
      <c r="B600" s="164"/>
      <c r="C600" s="320"/>
      <c r="D600" s="150"/>
      <c r="E600" s="164"/>
      <c r="F600" s="320"/>
      <c r="G600" s="150"/>
      <c r="H600" s="164"/>
      <c r="I600" s="320"/>
      <c r="J600" s="150"/>
      <c r="K600" s="164"/>
      <c r="L600" s="320"/>
      <c r="M600" s="326"/>
      <c r="N600" s="327"/>
      <c r="O600" s="328"/>
      <c r="P600" s="326"/>
      <c r="Q600" s="327"/>
      <c r="R600" s="328"/>
      <c r="S600" s="326"/>
      <c r="T600" s="327"/>
      <c r="U600" s="328"/>
      <c r="V600" s="150"/>
      <c r="W600" s="327"/>
      <c r="X600" s="320"/>
      <c r="Y600" s="201"/>
      <c r="Z600" s="201"/>
      <c r="AA600" s="201"/>
      <c r="AB600" s="17"/>
      <c r="AC600" s="17"/>
      <c r="AD600" s="17"/>
      <c r="AE600" s="17"/>
    </row>
    <row r="601">
      <c r="A601" s="150"/>
      <c r="B601" s="164"/>
      <c r="C601" s="320"/>
      <c r="D601" s="150"/>
      <c r="E601" s="164"/>
      <c r="F601" s="320"/>
      <c r="G601" s="150"/>
      <c r="H601" s="164"/>
      <c r="I601" s="320"/>
      <c r="J601" s="150"/>
      <c r="K601" s="164"/>
      <c r="L601" s="320"/>
      <c r="M601" s="326"/>
      <c r="N601" s="327"/>
      <c r="O601" s="328"/>
      <c r="P601" s="326"/>
      <c r="Q601" s="327"/>
      <c r="R601" s="328"/>
      <c r="S601" s="326"/>
      <c r="T601" s="327"/>
      <c r="U601" s="328"/>
      <c r="V601" s="150"/>
      <c r="W601" s="327"/>
      <c r="X601" s="320"/>
      <c r="Y601" s="201"/>
      <c r="Z601" s="201"/>
      <c r="AA601" s="201"/>
      <c r="AB601" s="17"/>
      <c r="AC601" s="17"/>
      <c r="AD601" s="17"/>
      <c r="AE601" s="17"/>
    </row>
    <row r="602">
      <c r="A602" s="150"/>
      <c r="B602" s="164"/>
      <c r="C602" s="320"/>
      <c r="D602" s="150"/>
      <c r="E602" s="164"/>
      <c r="F602" s="320"/>
      <c r="G602" s="150"/>
      <c r="H602" s="164"/>
      <c r="I602" s="320"/>
      <c r="J602" s="150"/>
      <c r="K602" s="164"/>
      <c r="L602" s="320"/>
      <c r="M602" s="326"/>
      <c r="N602" s="327"/>
      <c r="O602" s="328"/>
      <c r="P602" s="326"/>
      <c r="Q602" s="327"/>
      <c r="R602" s="328"/>
      <c r="S602" s="326"/>
      <c r="T602" s="327"/>
      <c r="U602" s="328"/>
      <c r="V602" s="150"/>
      <c r="W602" s="327"/>
      <c r="X602" s="320"/>
      <c r="Y602" s="201"/>
      <c r="Z602" s="201"/>
      <c r="AA602" s="201"/>
      <c r="AB602" s="17"/>
      <c r="AC602" s="17"/>
      <c r="AD602" s="17"/>
      <c r="AE602" s="17"/>
    </row>
    <row r="603">
      <c r="A603" s="150"/>
      <c r="B603" s="164"/>
      <c r="C603" s="320"/>
      <c r="D603" s="150"/>
      <c r="E603" s="164"/>
      <c r="F603" s="320"/>
      <c r="G603" s="150"/>
      <c r="H603" s="164"/>
      <c r="I603" s="320"/>
      <c r="J603" s="150"/>
      <c r="K603" s="164"/>
      <c r="L603" s="320"/>
      <c r="M603" s="326"/>
      <c r="N603" s="327"/>
      <c r="O603" s="328"/>
      <c r="P603" s="326"/>
      <c r="Q603" s="327"/>
      <c r="R603" s="328"/>
      <c r="S603" s="326"/>
      <c r="T603" s="327"/>
      <c r="U603" s="328"/>
      <c r="V603" s="150"/>
      <c r="W603" s="327"/>
      <c r="X603" s="320"/>
      <c r="Y603" s="201"/>
      <c r="Z603" s="201"/>
      <c r="AA603" s="201"/>
      <c r="AB603" s="17"/>
      <c r="AC603" s="17"/>
      <c r="AD603" s="17"/>
      <c r="AE603" s="17"/>
    </row>
    <row r="604">
      <c r="A604" s="150"/>
      <c r="B604" s="164"/>
      <c r="C604" s="320"/>
      <c r="D604" s="150"/>
      <c r="E604" s="164"/>
      <c r="F604" s="320"/>
      <c r="G604" s="150"/>
      <c r="H604" s="164"/>
      <c r="I604" s="320"/>
      <c r="J604" s="150"/>
      <c r="K604" s="164"/>
      <c r="L604" s="320"/>
      <c r="M604" s="326"/>
      <c r="N604" s="327"/>
      <c r="O604" s="328"/>
      <c r="P604" s="326"/>
      <c r="Q604" s="327"/>
      <c r="R604" s="328"/>
      <c r="S604" s="326"/>
      <c r="T604" s="327"/>
      <c r="U604" s="328"/>
      <c r="V604" s="150"/>
      <c r="W604" s="327"/>
      <c r="X604" s="320"/>
      <c r="Y604" s="201"/>
      <c r="Z604" s="201"/>
      <c r="AA604" s="201"/>
      <c r="AB604" s="17"/>
      <c r="AC604" s="17"/>
      <c r="AD604" s="17"/>
      <c r="AE604" s="17"/>
    </row>
    <row r="605">
      <c r="A605" s="150"/>
      <c r="B605" s="164"/>
      <c r="C605" s="320"/>
      <c r="D605" s="150"/>
      <c r="E605" s="164"/>
      <c r="F605" s="320"/>
      <c r="G605" s="150"/>
      <c r="H605" s="164"/>
      <c r="I605" s="320"/>
      <c r="J605" s="150"/>
      <c r="K605" s="164"/>
      <c r="L605" s="320"/>
      <c r="M605" s="326"/>
      <c r="N605" s="327"/>
      <c r="O605" s="328"/>
      <c r="P605" s="326"/>
      <c r="Q605" s="327"/>
      <c r="R605" s="328"/>
      <c r="S605" s="326"/>
      <c r="T605" s="327"/>
      <c r="U605" s="328"/>
      <c r="V605" s="150"/>
      <c r="W605" s="327"/>
      <c r="X605" s="320"/>
      <c r="Y605" s="201"/>
      <c r="Z605" s="201"/>
      <c r="AA605" s="201"/>
      <c r="AB605" s="17"/>
      <c r="AC605" s="17"/>
      <c r="AD605" s="17"/>
      <c r="AE605" s="17"/>
    </row>
    <row r="606">
      <c r="A606" s="150"/>
      <c r="B606" s="164"/>
      <c r="C606" s="320"/>
      <c r="D606" s="150"/>
      <c r="E606" s="164"/>
      <c r="F606" s="320"/>
      <c r="G606" s="150"/>
      <c r="H606" s="164"/>
      <c r="I606" s="320"/>
      <c r="J606" s="150"/>
      <c r="K606" s="164"/>
      <c r="L606" s="320"/>
      <c r="M606" s="326"/>
      <c r="N606" s="327"/>
      <c r="O606" s="328"/>
      <c r="P606" s="326"/>
      <c r="Q606" s="327"/>
      <c r="R606" s="328"/>
      <c r="S606" s="326"/>
      <c r="T606" s="327"/>
      <c r="U606" s="328"/>
      <c r="V606" s="150"/>
      <c r="W606" s="327"/>
      <c r="X606" s="320"/>
      <c r="Y606" s="201"/>
      <c r="Z606" s="201"/>
      <c r="AA606" s="201"/>
      <c r="AB606" s="17"/>
      <c r="AC606" s="17"/>
      <c r="AD606" s="17"/>
      <c r="AE606" s="17"/>
    </row>
    <row r="607">
      <c r="A607" s="150"/>
      <c r="B607" s="164"/>
      <c r="C607" s="320"/>
      <c r="D607" s="150"/>
      <c r="E607" s="164"/>
      <c r="F607" s="320"/>
      <c r="G607" s="150"/>
      <c r="H607" s="164"/>
      <c r="I607" s="320"/>
      <c r="J607" s="150"/>
      <c r="K607" s="164"/>
      <c r="L607" s="320"/>
      <c r="M607" s="326"/>
      <c r="N607" s="327"/>
      <c r="O607" s="328"/>
      <c r="P607" s="326"/>
      <c r="Q607" s="327"/>
      <c r="R607" s="328"/>
      <c r="S607" s="326"/>
      <c r="T607" s="327"/>
      <c r="U607" s="328"/>
      <c r="V607" s="150"/>
      <c r="W607" s="327"/>
      <c r="X607" s="320"/>
      <c r="Y607" s="201"/>
      <c r="Z607" s="201"/>
      <c r="AA607" s="201"/>
      <c r="AB607" s="17"/>
      <c r="AC607" s="17"/>
      <c r="AD607" s="17"/>
      <c r="AE607" s="17"/>
    </row>
    <row r="608">
      <c r="A608" s="150"/>
      <c r="B608" s="164"/>
      <c r="C608" s="320"/>
      <c r="D608" s="150"/>
      <c r="E608" s="164"/>
      <c r="F608" s="320"/>
      <c r="G608" s="150"/>
      <c r="H608" s="164"/>
      <c r="I608" s="320"/>
      <c r="J608" s="150"/>
      <c r="K608" s="164"/>
      <c r="L608" s="320"/>
      <c r="M608" s="326"/>
      <c r="N608" s="327"/>
      <c r="O608" s="328"/>
      <c r="P608" s="326"/>
      <c r="Q608" s="327"/>
      <c r="R608" s="328"/>
      <c r="S608" s="326"/>
      <c r="T608" s="327"/>
      <c r="U608" s="328"/>
      <c r="V608" s="150"/>
      <c r="W608" s="327"/>
      <c r="X608" s="320"/>
      <c r="Y608" s="201"/>
      <c r="Z608" s="201"/>
      <c r="AA608" s="201"/>
      <c r="AB608" s="17"/>
      <c r="AC608" s="17"/>
      <c r="AD608" s="17"/>
      <c r="AE608" s="17"/>
    </row>
    <row r="609">
      <c r="A609" s="150"/>
      <c r="B609" s="164"/>
      <c r="C609" s="320"/>
      <c r="D609" s="150"/>
      <c r="E609" s="164"/>
      <c r="F609" s="320"/>
      <c r="G609" s="150"/>
      <c r="H609" s="164"/>
      <c r="I609" s="320"/>
      <c r="J609" s="150"/>
      <c r="K609" s="164"/>
      <c r="L609" s="320"/>
      <c r="M609" s="326"/>
      <c r="N609" s="327"/>
      <c r="O609" s="328"/>
      <c r="P609" s="326"/>
      <c r="Q609" s="327"/>
      <c r="R609" s="328"/>
      <c r="S609" s="326"/>
      <c r="T609" s="327"/>
      <c r="U609" s="328"/>
      <c r="V609" s="150"/>
      <c r="W609" s="327"/>
      <c r="X609" s="320"/>
      <c r="Y609" s="201"/>
      <c r="Z609" s="201"/>
      <c r="AA609" s="201"/>
      <c r="AB609" s="17"/>
      <c r="AC609" s="17"/>
      <c r="AD609" s="17"/>
      <c r="AE609" s="17"/>
    </row>
    <row r="610">
      <c r="A610" s="150"/>
      <c r="B610" s="164"/>
      <c r="C610" s="320"/>
      <c r="D610" s="150"/>
      <c r="E610" s="164"/>
      <c r="F610" s="320"/>
      <c r="G610" s="150"/>
      <c r="H610" s="164"/>
      <c r="I610" s="320"/>
      <c r="J610" s="150"/>
      <c r="K610" s="164"/>
      <c r="L610" s="320"/>
      <c r="M610" s="326"/>
      <c r="N610" s="327"/>
      <c r="O610" s="328"/>
      <c r="P610" s="326"/>
      <c r="Q610" s="327"/>
      <c r="R610" s="328"/>
      <c r="S610" s="326"/>
      <c r="T610" s="327"/>
      <c r="U610" s="328"/>
      <c r="V610" s="150"/>
      <c r="W610" s="327"/>
      <c r="X610" s="320"/>
      <c r="Y610" s="201"/>
      <c r="Z610" s="201"/>
      <c r="AA610" s="201"/>
      <c r="AB610" s="17"/>
      <c r="AC610" s="17"/>
      <c r="AD610" s="17"/>
      <c r="AE610" s="17"/>
    </row>
    <row r="611">
      <c r="A611" s="150"/>
      <c r="B611" s="164"/>
      <c r="C611" s="320"/>
      <c r="D611" s="150"/>
      <c r="E611" s="164"/>
      <c r="F611" s="320"/>
      <c r="G611" s="150"/>
      <c r="H611" s="164"/>
      <c r="I611" s="320"/>
      <c r="J611" s="150"/>
      <c r="K611" s="164"/>
      <c r="L611" s="320"/>
      <c r="M611" s="326"/>
      <c r="N611" s="327"/>
      <c r="O611" s="328"/>
      <c r="P611" s="326"/>
      <c r="Q611" s="327"/>
      <c r="R611" s="328"/>
      <c r="S611" s="326"/>
      <c r="T611" s="327"/>
      <c r="U611" s="328"/>
      <c r="V611" s="150"/>
      <c r="W611" s="327"/>
      <c r="X611" s="320"/>
      <c r="Y611" s="201"/>
      <c r="Z611" s="201"/>
      <c r="AA611" s="201"/>
      <c r="AB611" s="17"/>
      <c r="AC611" s="17"/>
      <c r="AD611" s="17"/>
      <c r="AE611" s="17"/>
    </row>
    <row r="612">
      <c r="A612" s="150"/>
      <c r="B612" s="164"/>
      <c r="C612" s="320"/>
      <c r="D612" s="150"/>
      <c r="E612" s="164"/>
      <c r="F612" s="320"/>
      <c r="G612" s="150"/>
      <c r="H612" s="164"/>
      <c r="I612" s="320"/>
      <c r="J612" s="150"/>
      <c r="K612" s="164"/>
      <c r="L612" s="320"/>
      <c r="M612" s="326"/>
      <c r="N612" s="327"/>
      <c r="O612" s="328"/>
      <c r="P612" s="326"/>
      <c r="Q612" s="327"/>
      <c r="R612" s="328"/>
      <c r="S612" s="326"/>
      <c r="T612" s="327"/>
      <c r="U612" s="328"/>
      <c r="V612" s="150"/>
      <c r="W612" s="327"/>
      <c r="X612" s="320"/>
      <c r="Y612" s="201"/>
      <c r="Z612" s="201"/>
      <c r="AA612" s="201"/>
      <c r="AB612" s="17"/>
      <c r="AC612" s="17"/>
      <c r="AD612" s="17"/>
      <c r="AE612" s="17"/>
    </row>
    <row r="613">
      <c r="A613" s="150"/>
      <c r="B613" s="164"/>
      <c r="C613" s="320"/>
      <c r="D613" s="150"/>
      <c r="E613" s="164"/>
      <c r="F613" s="320"/>
      <c r="G613" s="150"/>
      <c r="H613" s="164"/>
      <c r="I613" s="320"/>
      <c r="J613" s="150"/>
      <c r="K613" s="164"/>
      <c r="L613" s="320"/>
      <c r="M613" s="326"/>
      <c r="N613" s="327"/>
      <c r="O613" s="328"/>
      <c r="P613" s="326"/>
      <c r="Q613" s="327"/>
      <c r="R613" s="328"/>
      <c r="S613" s="326"/>
      <c r="T613" s="327"/>
      <c r="U613" s="328"/>
      <c r="V613" s="150"/>
      <c r="W613" s="327"/>
      <c r="X613" s="320"/>
      <c r="Y613" s="201"/>
      <c r="Z613" s="201"/>
      <c r="AA613" s="201"/>
      <c r="AB613" s="17"/>
      <c r="AC613" s="17"/>
      <c r="AD613" s="17"/>
      <c r="AE613" s="17"/>
    </row>
    <row r="614">
      <c r="A614" s="150"/>
      <c r="B614" s="164"/>
      <c r="C614" s="320"/>
      <c r="D614" s="150"/>
      <c r="E614" s="164"/>
      <c r="F614" s="320"/>
      <c r="G614" s="150"/>
      <c r="H614" s="164"/>
      <c r="I614" s="320"/>
      <c r="J614" s="150"/>
      <c r="K614" s="164"/>
      <c r="L614" s="320"/>
      <c r="M614" s="326"/>
      <c r="N614" s="327"/>
      <c r="O614" s="328"/>
      <c r="P614" s="326"/>
      <c r="Q614" s="327"/>
      <c r="R614" s="328"/>
      <c r="S614" s="326"/>
      <c r="T614" s="327"/>
      <c r="U614" s="328"/>
      <c r="V614" s="150"/>
      <c r="W614" s="327"/>
      <c r="X614" s="320"/>
      <c r="Y614" s="201"/>
      <c r="Z614" s="201"/>
      <c r="AA614" s="201"/>
      <c r="AB614" s="17"/>
      <c r="AC614" s="17"/>
      <c r="AD614" s="17"/>
      <c r="AE614" s="17"/>
    </row>
    <row r="615">
      <c r="A615" s="150"/>
      <c r="B615" s="164"/>
      <c r="C615" s="320"/>
      <c r="D615" s="150"/>
      <c r="E615" s="164"/>
      <c r="F615" s="320"/>
      <c r="G615" s="150"/>
      <c r="H615" s="164"/>
      <c r="I615" s="320"/>
      <c r="J615" s="150"/>
      <c r="K615" s="164"/>
      <c r="L615" s="320"/>
      <c r="M615" s="326"/>
      <c r="N615" s="327"/>
      <c r="O615" s="328"/>
      <c r="P615" s="326"/>
      <c r="Q615" s="327"/>
      <c r="R615" s="328"/>
      <c r="S615" s="326"/>
      <c r="T615" s="327"/>
      <c r="U615" s="328"/>
      <c r="V615" s="150"/>
      <c r="W615" s="327"/>
      <c r="X615" s="320"/>
      <c r="Y615" s="201"/>
      <c r="Z615" s="201"/>
      <c r="AA615" s="201"/>
      <c r="AB615" s="17"/>
      <c r="AC615" s="17"/>
      <c r="AD615" s="17"/>
      <c r="AE615" s="17"/>
    </row>
    <row r="616">
      <c r="A616" s="150"/>
      <c r="B616" s="164"/>
      <c r="C616" s="320"/>
      <c r="D616" s="150"/>
      <c r="E616" s="164"/>
      <c r="F616" s="320"/>
      <c r="G616" s="150"/>
      <c r="H616" s="164"/>
      <c r="I616" s="320"/>
      <c r="J616" s="150"/>
      <c r="K616" s="164"/>
      <c r="L616" s="320"/>
      <c r="M616" s="326"/>
      <c r="N616" s="327"/>
      <c r="O616" s="328"/>
      <c r="P616" s="326"/>
      <c r="Q616" s="327"/>
      <c r="R616" s="328"/>
      <c r="S616" s="326"/>
      <c r="T616" s="327"/>
      <c r="U616" s="328"/>
      <c r="V616" s="150"/>
      <c r="W616" s="327"/>
      <c r="X616" s="320"/>
      <c r="Y616" s="201"/>
      <c r="Z616" s="201"/>
      <c r="AA616" s="201"/>
      <c r="AB616" s="17"/>
      <c r="AC616" s="17"/>
      <c r="AD616" s="17"/>
      <c r="AE616" s="17"/>
    </row>
    <row r="617">
      <c r="A617" s="150"/>
      <c r="B617" s="164"/>
      <c r="C617" s="320"/>
      <c r="D617" s="150"/>
      <c r="E617" s="164"/>
      <c r="F617" s="320"/>
      <c r="G617" s="150"/>
      <c r="H617" s="164"/>
      <c r="I617" s="320"/>
      <c r="J617" s="150"/>
      <c r="K617" s="164"/>
      <c r="L617" s="320"/>
      <c r="M617" s="326"/>
      <c r="N617" s="327"/>
      <c r="O617" s="328"/>
      <c r="P617" s="326"/>
      <c r="Q617" s="327"/>
      <c r="R617" s="328"/>
      <c r="S617" s="326"/>
      <c r="T617" s="327"/>
      <c r="U617" s="328"/>
      <c r="V617" s="150"/>
      <c r="W617" s="327"/>
      <c r="X617" s="320"/>
      <c r="Y617" s="201"/>
      <c r="Z617" s="201"/>
      <c r="AA617" s="201"/>
      <c r="AB617" s="17"/>
      <c r="AC617" s="17"/>
      <c r="AD617" s="17"/>
      <c r="AE617" s="17"/>
    </row>
    <row r="618">
      <c r="A618" s="150"/>
      <c r="B618" s="164"/>
      <c r="C618" s="320"/>
      <c r="D618" s="150"/>
      <c r="E618" s="164"/>
      <c r="F618" s="320"/>
      <c r="G618" s="150"/>
      <c r="H618" s="164"/>
      <c r="I618" s="320"/>
      <c r="J618" s="150"/>
      <c r="K618" s="164"/>
      <c r="L618" s="320"/>
      <c r="M618" s="326"/>
      <c r="N618" s="327"/>
      <c r="O618" s="328"/>
      <c r="P618" s="326"/>
      <c r="Q618" s="327"/>
      <c r="R618" s="328"/>
      <c r="S618" s="326"/>
      <c r="T618" s="327"/>
      <c r="U618" s="328"/>
      <c r="V618" s="150"/>
      <c r="W618" s="327"/>
      <c r="X618" s="320"/>
      <c r="Y618" s="201"/>
      <c r="Z618" s="201"/>
      <c r="AA618" s="201"/>
      <c r="AB618" s="17"/>
      <c r="AC618" s="17"/>
      <c r="AD618" s="17"/>
      <c r="AE618" s="17"/>
    </row>
    <row r="619">
      <c r="A619" s="150"/>
      <c r="B619" s="164"/>
      <c r="C619" s="320"/>
      <c r="D619" s="150"/>
      <c r="E619" s="164"/>
      <c r="F619" s="320"/>
      <c r="G619" s="150"/>
      <c r="H619" s="164"/>
      <c r="I619" s="320"/>
      <c r="J619" s="150"/>
      <c r="K619" s="164"/>
      <c r="L619" s="320"/>
      <c r="M619" s="326"/>
      <c r="N619" s="327"/>
      <c r="O619" s="328"/>
      <c r="P619" s="326"/>
      <c r="Q619" s="327"/>
      <c r="R619" s="328"/>
      <c r="S619" s="326"/>
      <c r="T619" s="327"/>
      <c r="U619" s="328"/>
      <c r="V619" s="150"/>
      <c r="W619" s="327"/>
      <c r="X619" s="320"/>
      <c r="Y619" s="201"/>
      <c r="Z619" s="201"/>
      <c r="AA619" s="201"/>
      <c r="AB619" s="17"/>
      <c r="AC619" s="17"/>
      <c r="AD619" s="17"/>
      <c r="AE619" s="17"/>
    </row>
    <row r="620">
      <c r="A620" s="150"/>
      <c r="B620" s="164"/>
      <c r="C620" s="320"/>
      <c r="D620" s="150"/>
      <c r="E620" s="164"/>
      <c r="F620" s="320"/>
      <c r="G620" s="150"/>
      <c r="H620" s="164"/>
      <c r="I620" s="320"/>
      <c r="J620" s="150"/>
      <c r="K620" s="164"/>
      <c r="L620" s="320"/>
      <c r="M620" s="326"/>
      <c r="N620" s="327"/>
      <c r="O620" s="328"/>
      <c r="P620" s="326"/>
      <c r="Q620" s="327"/>
      <c r="R620" s="328"/>
      <c r="S620" s="326"/>
      <c r="T620" s="327"/>
      <c r="U620" s="328"/>
      <c r="V620" s="150"/>
      <c r="W620" s="327"/>
      <c r="X620" s="320"/>
      <c r="Y620" s="201"/>
      <c r="Z620" s="201"/>
      <c r="AA620" s="201"/>
      <c r="AB620" s="17"/>
      <c r="AC620" s="17"/>
      <c r="AD620" s="17"/>
      <c r="AE620" s="17"/>
    </row>
    <row r="621">
      <c r="A621" s="150"/>
      <c r="B621" s="164"/>
      <c r="C621" s="320"/>
      <c r="D621" s="150"/>
      <c r="E621" s="164"/>
      <c r="F621" s="320"/>
      <c r="G621" s="150"/>
      <c r="H621" s="164"/>
      <c r="I621" s="320"/>
      <c r="J621" s="150"/>
      <c r="K621" s="164"/>
      <c r="L621" s="320"/>
      <c r="M621" s="326"/>
      <c r="N621" s="327"/>
      <c r="O621" s="328"/>
      <c r="P621" s="326"/>
      <c r="Q621" s="327"/>
      <c r="R621" s="328"/>
      <c r="S621" s="326"/>
      <c r="T621" s="327"/>
      <c r="U621" s="328"/>
      <c r="V621" s="150"/>
      <c r="W621" s="327"/>
      <c r="X621" s="320"/>
      <c r="Y621" s="201"/>
      <c r="Z621" s="201"/>
      <c r="AA621" s="201"/>
      <c r="AB621" s="17"/>
      <c r="AC621" s="17"/>
      <c r="AD621" s="17"/>
      <c r="AE621" s="17"/>
    </row>
    <row r="622">
      <c r="A622" s="150"/>
      <c r="B622" s="164"/>
      <c r="C622" s="320"/>
      <c r="D622" s="150"/>
      <c r="E622" s="164"/>
      <c r="F622" s="320"/>
      <c r="G622" s="150"/>
      <c r="H622" s="164"/>
      <c r="I622" s="320"/>
      <c r="J622" s="150"/>
      <c r="K622" s="164"/>
      <c r="L622" s="320"/>
      <c r="M622" s="326"/>
      <c r="N622" s="327"/>
      <c r="O622" s="328"/>
      <c r="P622" s="326"/>
      <c r="Q622" s="327"/>
      <c r="R622" s="328"/>
      <c r="S622" s="326"/>
      <c r="T622" s="327"/>
      <c r="U622" s="328"/>
      <c r="V622" s="150"/>
      <c r="W622" s="327"/>
      <c r="X622" s="320"/>
      <c r="Y622" s="201"/>
      <c r="Z622" s="201"/>
      <c r="AA622" s="201"/>
      <c r="AB622" s="17"/>
      <c r="AC622" s="17"/>
      <c r="AD622" s="17"/>
      <c r="AE622" s="17"/>
    </row>
    <row r="623">
      <c r="A623" s="150"/>
      <c r="B623" s="164"/>
      <c r="C623" s="320"/>
      <c r="D623" s="150"/>
      <c r="E623" s="164"/>
      <c r="F623" s="320"/>
      <c r="G623" s="150"/>
      <c r="H623" s="164"/>
      <c r="I623" s="320"/>
      <c r="J623" s="150"/>
      <c r="K623" s="164"/>
      <c r="L623" s="320"/>
      <c r="M623" s="326"/>
      <c r="N623" s="327"/>
      <c r="O623" s="328"/>
      <c r="P623" s="326"/>
      <c r="Q623" s="327"/>
      <c r="R623" s="328"/>
      <c r="S623" s="326"/>
      <c r="T623" s="327"/>
      <c r="U623" s="328"/>
      <c r="V623" s="150"/>
      <c r="W623" s="327"/>
      <c r="X623" s="320"/>
      <c r="Y623" s="201"/>
      <c r="Z623" s="201"/>
      <c r="AA623" s="201"/>
      <c r="AB623" s="17"/>
      <c r="AC623" s="17"/>
      <c r="AD623" s="17"/>
      <c r="AE623" s="17"/>
    </row>
    <row r="624">
      <c r="A624" s="150"/>
      <c r="B624" s="164"/>
      <c r="C624" s="320"/>
      <c r="D624" s="150"/>
      <c r="E624" s="164"/>
      <c r="F624" s="320"/>
      <c r="G624" s="150"/>
      <c r="H624" s="164"/>
      <c r="I624" s="320"/>
      <c r="J624" s="150"/>
      <c r="K624" s="164"/>
      <c r="L624" s="320"/>
      <c r="M624" s="326"/>
      <c r="N624" s="327"/>
      <c r="O624" s="328"/>
      <c r="P624" s="326"/>
      <c r="Q624" s="327"/>
      <c r="R624" s="328"/>
      <c r="S624" s="326"/>
      <c r="T624" s="327"/>
      <c r="U624" s="328"/>
      <c r="V624" s="150"/>
      <c r="W624" s="327"/>
      <c r="X624" s="320"/>
      <c r="Y624" s="201"/>
      <c r="Z624" s="201"/>
      <c r="AA624" s="201"/>
      <c r="AB624" s="17"/>
      <c r="AC624" s="17"/>
      <c r="AD624" s="17"/>
      <c r="AE624" s="17"/>
    </row>
    <row r="625">
      <c r="A625" s="150"/>
      <c r="B625" s="164"/>
      <c r="C625" s="320"/>
      <c r="D625" s="150"/>
      <c r="E625" s="164"/>
      <c r="F625" s="320"/>
      <c r="G625" s="150"/>
      <c r="H625" s="164"/>
      <c r="I625" s="320"/>
      <c r="J625" s="150"/>
      <c r="K625" s="164"/>
      <c r="L625" s="320"/>
      <c r="M625" s="326"/>
      <c r="N625" s="327"/>
      <c r="O625" s="328"/>
      <c r="P625" s="326"/>
      <c r="Q625" s="327"/>
      <c r="R625" s="328"/>
      <c r="S625" s="326"/>
      <c r="T625" s="327"/>
      <c r="U625" s="328"/>
      <c r="V625" s="150"/>
      <c r="W625" s="327"/>
      <c r="X625" s="320"/>
      <c r="Y625" s="201"/>
      <c r="Z625" s="201"/>
      <c r="AA625" s="201"/>
      <c r="AB625" s="17"/>
      <c r="AC625" s="17"/>
      <c r="AD625" s="17"/>
      <c r="AE625" s="17"/>
    </row>
    <row r="626">
      <c r="A626" s="150"/>
      <c r="B626" s="164"/>
      <c r="C626" s="320"/>
      <c r="D626" s="150"/>
      <c r="E626" s="164"/>
      <c r="F626" s="320"/>
      <c r="G626" s="150"/>
      <c r="H626" s="164"/>
      <c r="I626" s="320"/>
      <c r="J626" s="150"/>
      <c r="K626" s="164"/>
      <c r="L626" s="320"/>
      <c r="M626" s="326"/>
      <c r="N626" s="327"/>
      <c r="O626" s="328"/>
      <c r="P626" s="326"/>
      <c r="Q626" s="327"/>
      <c r="R626" s="328"/>
      <c r="S626" s="326"/>
      <c r="T626" s="327"/>
      <c r="U626" s="328"/>
      <c r="V626" s="150"/>
      <c r="W626" s="327"/>
      <c r="X626" s="320"/>
      <c r="Y626" s="201"/>
      <c r="Z626" s="201"/>
      <c r="AA626" s="201"/>
      <c r="AB626" s="17"/>
      <c r="AC626" s="17"/>
      <c r="AD626" s="17"/>
      <c r="AE626" s="17"/>
    </row>
    <row r="627">
      <c r="A627" s="150"/>
      <c r="B627" s="164"/>
      <c r="C627" s="320"/>
      <c r="D627" s="150"/>
      <c r="E627" s="164"/>
      <c r="F627" s="320"/>
      <c r="G627" s="150"/>
      <c r="H627" s="164"/>
      <c r="I627" s="320"/>
      <c r="J627" s="150"/>
      <c r="K627" s="164"/>
      <c r="L627" s="320"/>
      <c r="M627" s="326"/>
      <c r="N627" s="327"/>
      <c r="O627" s="328"/>
      <c r="P627" s="326"/>
      <c r="Q627" s="327"/>
      <c r="R627" s="328"/>
      <c r="S627" s="326"/>
      <c r="T627" s="327"/>
      <c r="U627" s="328"/>
      <c r="V627" s="150"/>
      <c r="W627" s="327"/>
      <c r="X627" s="320"/>
      <c r="Y627" s="201"/>
      <c r="Z627" s="201"/>
      <c r="AA627" s="201"/>
      <c r="AB627" s="17"/>
      <c r="AC627" s="17"/>
      <c r="AD627" s="17"/>
      <c r="AE627" s="17"/>
    </row>
    <row r="628">
      <c r="A628" s="150"/>
      <c r="B628" s="164"/>
      <c r="C628" s="320"/>
      <c r="D628" s="150"/>
      <c r="E628" s="164"/>
      <c r="F628" s="320"/>
      <c r="G628" s="150"/>
      <c r="H628" s="164"/>
      <c r="I628" s="320"/>
      <c r="J628" s="150"/>
      <c r="K628" s="164"/>
      <c r="L628" s="320"/>
      <c r="M628" s="326"/>
      <c r="N628" s="327"/>
      <c r="O628" s="328"/>
      <c r="P628" s="326"/>
      <c r="Q628" s="327"/>
      <c r="R628" s="328"/>
      <c r="S628" s="326"/>
      <c r="T628" s="327"/>
      <c r="U628" s="328"/>
      <c r="V628" s="150"/>
      <c r="W628" s="327"/>
      <c r="X628" s="320"/>
      <c r="Y628" s="201"/>
      <c r="Z628" s="201"/>
      <c r="AA628" s="201"/>
      <c r="AB628" s="17"/>
      <c r="AC628" s="17"/>
      <c r="AD628" s="17"/>
      <c r="AE628" s="17"/>
    </row>
    <row r="629">
      <c r="A629" s="150"/>
      <c r="B629" s="164"/>
      <c r="C629" s="320"/>
      <c r="D629" s="150"/>
      <c r="E629" s="164"/>
      <c r="F629" s="320"/>
      <c r="G629" s="150"/>
      <c r="H629" s="164"/>
      <c r="I629" s="320"/>
      <c r="J629" s="150"/>
      <c r="K629" s="164"/>
      <c r="L629" s="320"/>
      <c r="M629" s="326"/>
      <c r="N629" s="327"/>
      <c r="O629" s="328"/>
      <c r="P629" s="326"/>
      <c r="Q629" s="327"/>
      <c r="R629" s="328"/>
      <c r="S629" s="326"/>
      <c r="T629" s="327"/>
      <c r="U629" s="328"/>
      <c r="V629" s="150"/>
      <c r="W629" s="327"/>
      <c r="X629" s="320"/>
      <c r="Y629" s="201"/>
      <c r="Z629" s="201"/>
      <c r="AA629" s="201"/>
      <c r="AB629" s="17"/>
      <c r="AC629" s="17"/>
      <c r="AD629" s="17"/>
      <c r="AE629" s="17"/>
    </row>
    <row r="630">
      <c r="A630" s="150"/>
      <c r="B630" s="164"/>
      <c r="C630" s="320"/>
      <c r="D630" s="150"/>
      <c r="E630" s="164"/>
      <c r="F630" s="320"/>
      <c r="G630" s="150"/>
      <c r="H630" s="164"/>
      <c r="I630" s="320"/>
      <c r="J630" s="150"/>
      <c r="K630" s="164"/>
      <c r="L630" s="320"/>
      <c r="M630" s="326"/>
      <c r="N630" s="327"/>
      <c r="O630" s="328"/>
      <c r="P630" s="326"/>
      <c r="Q630" s="327"/>
      <c r="R630" s="328"/>
      <c r="S630" s="326"/>
      <c r="T630" s="327"/>
      <c r="U630" s="328"/>
      <c r="V630" s="150"/>
      <c r="W630" s="327"/>
      <c r="X630" s="320"/>
      <c r="Y630" s="201"/>
      <c r="Z630" s="201"/>
      <c r="AA630" s="201"/>
      <c r="AB630" s="17"/>
      <c r="AC630" s="17"/>
      <c r="AD630" s="17"/>
      <c r="AE630" s="17"/>
    </row>
    <row r="631">
      <c r="A631" s="150"/>
      <c r="B631" s="164"/>
      <c r="C631" s="320"/>
      <c r="D631" s="150"/>
      <c r="E631" s="164"/>
      <c r="F631" s="320"/>
      <c r="G631" s="150"/>
      <c r="H631" s="164"/>
      <c r="I631" s="320"/>
      <c r="J631" s="150"/>
      <c r="K631" s="164"/>
      <c r="L631" s="320"/>
      <c r="M631" s="326"/>
      <c r="N631" s="327"/>
      <c r="O631" s="328"/>
      <c r="P631" s="326"/>
      <c r="Q631" s="327"/>
      <c r="R631" s="328"/>
      <c r="S631" s="326"/>
      <c r="T631" s="327"/>
      <c r="U631" s="328"/>
      <c r="V631" s="150"/>
      <c r="W631" s="327"/>
      <c r="X631" s="320"/>
      <c r="Y631" s="201"/>
      <c r="Z631" s="201"/>
      <c r="AA631" s="201"/>
      <c r="AB631" s="17"/>
      <c r="AC631" s="17"/>
      <c r="AD631" s="17"/>
      <c r="AE631" s="17"/>
    </row>
    <row r="632">
      <c r="A632" s="150"/>
      <c r="B632" s="164"/>
      <c r="C632" s="320"/>
      <c r="D632" s="150"/>
      <c r="E632" s="164"/>
      <c r="F632" s="320"/>
      <c r="G632" s="150"/>
      <c r="H632" s="164"/>
      <c r="I632" s="320"/>
      <c r="J632" s="150"/>
      <c r="K632" s="164"/>
      <c r="L632" s="320"/>
      <c r="M632" s="326"/>
      <c r="N632" s="327"/>
      <c r="O632" s="328"/>
      <c r="P632" s="326"/>
      <c r="Q632" s="327"/>
      <c r="R632" s="328"/>
      <c r="S632" s="326"/>
      <c r="T632" s="327"/>
      <c r="U632" s="328"/>
      <c r="V632" s="150"/>
      <c r="W632" s="327"/>
      <c r="X632" s="320"/>
      <c r="Y632" s="201"/>
      <c r="Z632" s="201"/>
      <c r="AA632" s="201"/>
      <c r="AB632" s="17"/>
      <c r="AC632" s="17"/>
      <c r="AD632" s="17"/>
      <c r="AE632" s="17"/>
    </row>
    <row r="633">
      <c r="A633" s="150"/>
      <c r="B633" s="164"/>
      <c r="C633" s="320"/>
      <c r="D633" s="150"/>
      <c r="E633" s="164"/>
      <c r="F633" s="320"/>
      <c r="G633" s="150"/>
      <c r="H633" s="164"/>
      <c r="I633" s="320"/>
      <c r="J633" s="150"/>
      <c r="K633" s="164"/>
      <c r="L633" s="320"/>
      <c r="M633" s="326"/>
      <c r="N633" s="327"/>
      <c r="O633" s="328"/>
      <c r="P633" s="326"/>
      <c r="Q633" s="327"/>
      <c r="R633" s="328"/>
      <c r="S633" s="326"/>
      <c r="T633" s="327"/>
      <c r="U633" s="328"/>
      <c r="V633" s="150"/>
      <c r="W633" s="327"/>
      <c r="X633" s="320"/>
      <c r="Y633" s="201"/>
      <c r="Z633" s="201"/>
      <c r="AA633" s="201"/>
      <c r="AB633" s="17"/>
      <c r="AC633" s="17"/>
      <c r="AD633" s="17"/>
      <c r="AE633" s="17"/>
    </row>
    <row r="634">
      <c r="A634" s="150"/>
      <c r="B634" s="164"/>
      <c r="C634" s="320"/>
      <c r="D634" s="150"/>
      <c r="E634" s="164"/>
      <c r="F634" s="320"/>
      <c r="G634" s="150"/>
      <c r="H634" s="164"/>
      <c r="I634" s="320"/>
      <c r="J634" s="150"/>
      <c r="K634" s="164"/>
      <c r="L634" s="320"/>
      <c r="M634" s="326"/>
      <c r="N634" s="327"/>
      <c r="O634" s="328"/>
      <c r="P634" s="326"/>
      <c r="Q634" s="327"/>
      <c r="R634" s="328"/>
      <c r="S634" s="326"/>
      <c r="T634" s="327"/>
      <c r="U634" s="328"/>
      <c r="V634" s="150"/>
      <c r="W634" s="327"/>
      <c r="X634" s="320"/>
      <c r="Y634" s="201"/>
      <c r="Z634" s="201"/>
      <c r="AA634" s="201"/>
      <c r="AB634" s="17"/>
      <c r="AC634" s="17"/>
      <c r="AD634" s="17"/>
      <c r="AE634" s="17"/>
    </row>
    <row r="635">
      <c r="A635" s="150"/>
      <c r="B635" s="164"/>
      <c r="C635" s="320"/>
      <c r="D635" s="150"/>
      <c r="E635" s="164"/>
      <c r="F635" s="320"/>
      <c r="G635" s="150"/>
      <c r="H635" s="164"/>
      <c r="I635" s="320"/>
      <c r="J635" s="150"/>
      <c r="K635" s="164"/>
      <c r="L635" s="320"/>
      <c r="M635" s="326"/>
      <c r="N635" s="327"/>
      <c r="O635" s="328"/>
      <c r="P635" s="326"/>
      <c r="Q635" s="327"/>
      <c r="R635" s="328"/>
      <c r="S635" s="326"/>
      <c r="T635" s="327"/>
      <c r="U635" s="328"/>
      <c r="V635" s="150"/>
      <c r="W635" s="327"/>
      <c r="X635" s="320"/>
      <c r="Y635" s="201"/>
      <c r="Z635" s="201"/>
      <c r="AA635" s="201"/>
      <c r="AB635" s="17"/>
      <c r="AC635" s="17"/>
      <c r="AD635" s="17"/>
      <c r="AE635" s="17"/>
    </row>
    <row r="636">
      <c r="A636" s="150"/>
      <c r="B636" s="164"/>
      <c r="C636" s="320"/>
      <c r="D636" s="150"/>
      <c r="E636" s="164"/>
      <c r="F636" s="320"/>
      <c r="G636" s="150"/>
      <c r="H636" s="164"/>
      <c r="I636" s="320"/>
      <c r="J636" s="150"/>
      <c r="K636" s="164"/>
      <c r="L636" s="320"/>
      <c r="M636" s="326"/>
      <c r="N636" s="327"/>
      <c r="O636" s="328"/>
      <c r="P636" s="326"/>
      <c r="Q636" s="327"/>
      <c r="R636" s="328"/>
      <c r="S636" s="326"/>
      <c r="T636" s="327"/>
      <c r="U636" s="328"/>
      <c r="V636" s="150"/>
      <c r="W636" s="327"/>
      <c r="X636" s="320"/>
      <c r="Y636" s="201"/>
      <c r="Z636" s="201"/>
      <c r="AA636" s="201"/>
      <c r="AB636" s="17"/>
      <c r="AC636" s="17"/>
      <c r="AD636" s="17"/>
      <c r="AE636" s="17"/>
    </row>
    <row r="637">
      <c r="A637" s="150"/>
      <c r="B637" s="164"/>
      <c r="C637" s="320"/>
      <c r="D637" s="150"/>
      <c r="E637" s="164"/>
      <c r="F637" s="320"/>
      <c r="G637" s="150"/>
      <c r="H637" s="164"/>
      <c r="I637" s="320"/>
      <c r="J637" s="150"/>
      <c r="K637" s="164"/>
      <c r="L637" s="320"/>
      <c r="M637" s="326"/>
      <c r="N637" s="327"/>
      <c r="O637" s="328"/>
      <c r="P637" s="326"/>
      <c r="Q637" s="327"/>
      <c r="R637" s="328"/>
      <c r="S637" s="326"/>
      <c r="T637" s="327"/>
      <c r="U637" s="328"/>
      <c r="V637" s="150"/>
      <c r="W637" s="327"/>
      <c r="X637" s="320"/>
      <c r="Y637" s="201"/>
      <c r="Z637" s="201"/>
      <c r="AA637" s="201"/>
      <c r="AB637" s="17"/>
      <c r="AC637" s="17"/>
      <c r="AD637" s="17"/>
      <c r="AE637" s="17"/>
    </row>
    <row r="638">
      <c r="A638" s="150"/>
      <c r="B638" s="164"/>
      <c r="C638" s="320"/>
      <c r="D638" s="150"/>
      <c r="E638" s="164"/>
      <c r="F638" s="320"/>
      <c r="G638" s="150"/>
      <c r="H638" s="164"/>
      <c r="I638" s="320"/>
      <c r="J638" s="150"/>
      <c r="K638" s="164"/>
      <c r="L638" s="320"/>
      <c r="M638" s="326"/>
      <c r="N638" s="327"/>
      <c r="O638" s="328"/>
      <c r="P638" s="326"/>
      <c r="Q638" s="327"/>
      <c r="R638" s="328"/>
      <c r="S638" s="326"/>
      <c r="T638" s="327"/>
      <c r="U638" s="328"/>
      <c r="V638" s="150"/>
      <c r="W638" s="327"/>
      <c r="X638" s="320"/>
      <c r="Y638" s="201"/>
      <c r="Z638" s="201"/>
      <c r="AA638" s="201"/>
      <c r="AB638" s="17"/>
      <c r="AC638" s="17"/>
      <c r="AD638" s="17"/>
      <c r="AE638" s="17"/>
    </row>
    <row r="639">
      <c r="A639" s="150"/>
      <c r="B639" s="164"/>
      <c r="C639" s="320"/>
      <c r="D639" s="150"/>
      <c r="E639" s="164"/>
      <c r="F639" s="320"/>
      <c r="G639" s="150"/>
      <c r="H639" s="164"/>
      <c r="I639" s="320"/>
      <c r="J639" s="150"/>
      <c r="K639" s="164"/>
      <c r="L639" s="320"/>
      <c r="M639" s="326"/>
      <c r="N639" s="327"/>
      <c r="O639" s="328"/>
      <c r="P639" s="326"/>
      <c r="Q639" s="327"/>
      <c r="R639" s="328"/>
      <c r="S639" s="326"/>
      <c r="T639" s="327"/>
      <c r="U639" s="328"/>
      <c r="V639" s="150"/>
      <c r="W639" s="327"/>
      <c r="X639" s="320"/>
      <c r="Y639" s="201"/>
      <c r="Z639" s="201"/>
      <c r="AA639" s="201"/>
      <c r="AB639" s="17"/>
      <c r="AC639" s="17"/>
      <c r="AD639" s="17"/>
      <c r="AE639" s="17"/>
    </row>
    <row r="640">
      <c r="A640" s="150"/>
      <c r="B640" s="164"/>
      <c r="C640" s="320"/>
      <c r="D640" s="150"/>
      <c r="E640" s="164"/>
      <c r="F640" s="320"/>
      <c r="G640" s="150"/>
      <c r="H640" s="164"/>
      <c r="I640" s="320"/>
      <c r="J640" s="150"/>
      <c r="K640" s="164"/>
      <c r="L640" s="320"/>
      <c r="M640" s="326"/>
      <c r="N640" s="327"/>
      <c r="O640" s="328"/>
      <c r="P640" s="326"/>
      <c r="Q640" s="327"/>
      <c r="R640" s="328"/>
      <c r="S640" s="326"/>
      <c r="T640" s="327"/>
      <c r="U640" s="328"/>
      <c r="V640" s="150"/>
      <c r="W640" s="327"/>
      <c r="X640" s="320"/>
      <c r="Y640" s="201"/>
      <c r="Z640" s="201"/>
      <c r="AA640" s="201"/>
      <c r="AB640" s="17"/>
      <c r="AC640" s="17"/>
      <c r="AD640" s="17"/>
      <c r="AE640" s="17"/>
    </row>
    <row r="641">
      <c r="A641" s="150"/>
      <c r="B641" s="164"/>
      <c r="C641" s="320"/>
      <c r="D641" s="150"/>
      <c r="E641" s="164"/>
      <c r="F641" s="320"/>
      <c r="G641" s="150"/>
      <c r="H641" s="164"/>
      <c r="I641" s="320"/>
      <c r="J641" s="150"/>
      <c r="K641" s="164"/>
      <c r="L641" s="320"/>
      <c r="M641" s="326"/>
      <c r="N641" s="327"/>
      <c r="O641" s="328"/>
      <c r="P641" s="326"/>
      <c r="Q641" s="327"/>
      <c r="R641" s="328"/>
      <c r="S641" s="326"/>
      <c r="T641" s="327"/>
      <c r="U641" s="328"/>
      <c r="V641" s="150"/>
      <c r="W641" s="327"/>
      <c r="X641" s="320"/>
      <c r="Y641" s="201"/>
      <c r="Z641" s="201"/>
      <c r="AA641" s="201"/>
      <c r="AB641" s="17"/>
      <c r="AC641" s="17"/>
      <c r="AD641" s="17"/>
      <c r="AE641" s="17"/>
    </row>
    <row r="642">
      <c r="A642" s="150"/>
      <c r="B642" s="164"/>
      <c r="C642" s="320"/>
      <c r="D642" s="150"/>
      <c r="E642" s="164"/>
      <c r="F642" s="320"/>
      <c r="G642" s="150"/>
      <c r="H642" s="164"/>
      <c r="I642" s="320"/>
      <c r="J642" s="150"/>
      <c r="K642" s="164"/>
      <c r="L642" s="320"/>
      <c r="M642" s="326"/>
      <c r="N642" s="327"/>
      <c r="O642" s="328"/>
      <c r="P642" s="326"/>
      <c r="Q642" s="327"/>
      <c r="R642" s="328"/>
      <c r="S642" s="326"/>
      <c r="T642" s="327"/>
      <c r="U642" s="328"/>
      <c r="V642" s="150"/>
      <c r="W642" s="327"/>
      <c r="X642" s="320"/>
      <c r="Y642" s="201"/>
      <c r="Z642" s="201"/>
      <c r="AA642" s="201"/>
      <c r="AB642" s="17"/>
      <c r="AC642" s="17"/>
      <c r="AD642" s="17"/>
      <c r="AE642" s="17"/>
    </row>
    <row r="643">
      <c r="A643" s="150"/>
      <c r="B643" s="164"/>
      <c r="C643" s="320"/>
      <c r="D643" s="150"/>
      <c r="E643" s="164"/>
      <c r="F643" s="320"/>
      <c r="G643" s="150"/>
      <c r="H643" s="164"/>
      <c r="I643" s="320"/>
      <c r="J643" s="150"/>
      <c r="K643" s="164"/>
      <c r="L643" s="320"/>
      <c r="M643" s="326"/>
      <c r="N643" s="327"/>
      <c r="O643" s="328"/>
      <c r="P643" s="326"/>
      <c r="Q643" s="327"/>
      <c r="R643" s="328"/>
      <c r="S643" s="326"/>
      <c r="T643" s="327"/>
      <c r="U643" s="328"/>
      <c r="V643" s="150"/>
      <c r="W643" s="327"/>
      <c r="X643" s="320"/>
      <c r="Y643" s="201"/>
      <c r="Z643" s="201"/>
      <c r="AA643" s="201"/>
      <c r="AB643" s="17"/>
      <c r="AC643" s="17"/>
      <c r="AD643" s="17"/>
      <c r="AE643" s="17"/>
    </row>
    <row r="644">
      <c r="A644" s="150"/>
      <c r="B644" s="164"/>
      <c r="C644" s="320"/>
      <c r="D644" s="150"/>
      <c r="E644" s="164"/>
      <c r="F644" s="320"/>
      <c r="G644" s="150"/>
      <c r="H644" s="164"/>
      <c r="I644" s="320"/>
      <c r="J644" s="150"/>
      <c r="K644" s="164"/>
      <c r="L644" s="320"/>
      <c r="M644" s="326"/>
      <c r="N644" s="327"/>
      <c r="O644" s="328"/>
      <c r="P644" s="326"/>
      <c r="Q644" s="327"/>
      <c r="R644" s="328"/>
      <c r="S644" s="326"/>
      <c r="T644" s="327"/>
      <c r="U644" s="328"/>
      <c r="V644" s="150"/>
      <c r="W644" s="327"/>
      <c r="X644" s="320"/>
      <c r="Y644" s="201"/>
      <c r="Z644" s="201"/>
      <c r="AA644" s="201"/>
      <c r="AB644" s="17"/>
      <c r="AC644" s="17"/>
      <c r="AD644" s="17"/>
      <c r="AE644" s="17"/>
    </row>
    <row r="645">
      <c r="A645" s="150"/>
      <c r="B645" s="164"/>
      <c r="C645" s="320"/>
      <c r="D645" s="150"/>
      <c r="E645" s="164"/>
      <c r="F645" s="320"/>
      <c r="G645" s="150"/>
      <c r="H645" s="164"/>
      <c r="I645" s="320"/>
      <c r="J645" s="150"/>
      <c r="K645" s="164"/>
      <c r="L645" s="320"/>
      <c r="M645" s="326"/>
      <c r="N645" s="327"/>
      <c r="O645" s="328"/>
      <c r="P645" s="326"/>
      <c r="Q645" s="327"/>
      <c r="R645" s="328"/>
      <c r="S645" s="326"/>
      <c r="T645" s="327"/>
      <c r="U645" s="328"/>
      <c r="V645" s="150"/>
      <c r="W645" s="327"/>
      <c r="X645" s="320"/>
      <c r="Y645" s="201"/>
      <c r="Z645" s="201"/>
      <c r="AA645" s="201"/>
      <c r="AB645" s="17"/>
      <c r="AC645" s="17"/>
      <c r="AD645" s="17"/>
      <c r="AE645" s="17"/>
    </row>
    <row r="646">
      <c r="A646" s="150"/>
      <c r="B646" s="164"/>
      <c r="C646" s="320"/>
      <c r="D646" s="150"/>
      <c r="E646" s="164"/>
      <c r="F646" s="320"/>
      <c r="G646" s="150"/>
      <c r="H646" s="164"/>
      <c r="I646" s="320"/>
      <c r="J646" s="150"/>
      <c r="K646" s="164"/>
      <c r="L646" s="320"/>
      <c r="M646" s="326"/>
      <c r="N646" s="327"/>
      <c r="O646" s="328"/>
      <c r="P646" s="326"/>
      <c r="Q646" s="327"/>
      <c r="R646" s="328"/>
      <c r="S646" s="326"/>
      <c r="T646" s="327"/>
      <c r="U646" s="328"/>
      <c r="V646" s="150"/>
      <c r="W646" s="327"/>
      <c r="X646" s="320"/>
      <c r="Y646" s="201"/>
      <c r="Z646" s="201"/>
      <c r="AA646" s="201"/>
      <c r="AB646" s="17"/>
      <c r="AC646" s="17"/>
      <c r="AD646" s="17"/>
      <c r="AE646" s="17"/>
    </row>
    <row r="647">
      <c r="A647" s="150"/>
      <c r="B647" s="164"/>
      <c r="C647" s="320"/>
      <c r="D647" s="150"/>
      <c r="E647" s="164"/>
      <c r="F647" s="320"/>
      <c r="G647" s="150"/>
      <c r="H647" s="164"/>
      <c r="I647" s="320"/>
      <c r="J647" s="150"/>
      <c r="K647" s="164"/>
      <c r="L647" s="320"/>
      <c r="M647" s="326"/>
      <c r="N647" s="327"/>
      <c r="O647" s="328"/>
      <c r="P647" s="326"/>
      <c r="Q647" s="327"/>
      <c r="R647" s="328"/>
      <c r="S647" s="326"/>
      <c r="T647" s="327"/>
      <c r="U647" s="328"/>
      <c r="V647" s="150"/>
      <c r="W647" s="327"/>
      <c r="X647" s="320"/>
      <c r="Y647" s="201"/>
      <c r="Z647" s="201"/>
      <c r="AA647" s="201"/>
      <c r="AB647" s="17"/>
      <c r="AC647" s="17"/>
      <c r="AD647" s="17"/>
      <c r="AE647" s="17"/>
    </row>
    <row r="648">
      <c r="A648" s="150"/>
      <c r="B648" s="164"/>
      <c r="C648" s="320"/>
      <c r="D648" s="150"/>
      <c r="E648" s="164"/>
      <c r="F648" s="320"/>
      <c r="G648" s="150"/>
      <c r="H648" s="164"/>
      <c r="I648" s="320"/>
      <c r="J648" s="150"/>
      <c r="K648" s="164"/>
      <c r="L648" s="320"/>
      <c r="M648" s="326"/>
      <c r="N648" s="327"/>
      <c r="O648" s="328"/>
      <c r="P648" s="326"/>
      <c r="Q648" s="327"/>
      <c r="R648" s="328"/>
      <c r="S648" s="326"/>
      <c r="T648" s="327"/>
      <c r="U648" s="328"/>
      <c r="V648" s="150"/>
      <c r="W648" s="327"/>
      <c r="X648" s="320"/>
      <c r="Y648" s="201"/>
      <c r="Z648" s="201"/>
      <c r="AA648" s="201"/>
      <c r="AB648" s="17"/>
      <c r="AC648" s="17"/>
      <c r="AD648" s="17"/>
      <c r="AE648" s="17"/>
    </row>
    <row r="649">
      <c r="A649" s="150"/>
      <c r="B649" s="164"/>
      <c r="C649" s="320"/>
      <c r="D649" s="150"/>
      <c r="E649" s="164"/>
      <c r="F649" s="320"/>
      <c r="G649" s="150"/>
      <c r="H649" s="164"/>
      <c r="I649" s="320"/>
      <c r="J649" s="150"/>
      <c r="K649" s="164"/>
      <c r="L649" s="320"/>
      <c r="M649" s="326"/>
      <c r="N649" s="327"/>
      <c r="O649" s="328"/>
      <c r="P649" s="326"/>
      <c r="Q649" s="327"/>
      <c r="R649" s="328"/>
      <c r="S649" s="326"/>
      <c r="T649" s="327"/>
      <c r="U649" s="328"/>
      <c r="V649" s="150"/>
      <c r="W649" s="327"/>
      <c r="X649" s="320"/>
      <c r="Y649" s="201"/>
      <c r="Z649" s="201"/>
      <c r="AA649" s="201"/>
      <c r="AB649" s="17"/>
      <c r="AC649" s="17"/>
      <c r="AD649" s="17"/>
      <c r="AE649" s="17"/>
    </row>
    <row r="650">
      <c r="A650" s="150"/>
      <c r="B650" s="164"/>
      <c r="C650" s="320"/>
      <c r="D650" s="150"/>
      <c r="E650" s="164"/>
      <c r="F650" s="320"/>
      <c r="G650" s="150"/>
      <c r="H650" s="164"/>
      <c r="I650" s="320"/>
      <c r="J650" s="150"/>
      <c r="K650" s="164"/>
      <c r="L650" s="320"/>
      <c r="M650" s="326"/>
      <c r="N650" s="327"/>
      <c r="O650" s="328"/>
      <c r="P650" s="326"/>
      <c r="Q650" s="327"/>
      <c r="R650" s="328"/>
      <c r="S650" s="326"/>
      <c r="T650" s="327"/>
      <c r="U650" s="328"/>
      <c r="V650" s="150"/>
      <c r="W650" s="327"/>
      <c r="X650" s="320"/>
      <c r="Y650" s="201"/>
      <c r="Z650" s="201"/>
      <c r="AA650" s="201"/>
      <c r="AB650" s="17"/>
      <c r="AC650" s="17"/>
      <c r="AD650" s="17"/>
      <c r="AE650" s="17"/>
    </row>
    <row r="651">
      <c r="A651" s="150"/>
      <c r="B651" s="164"/>
      <c r="C651" s="320"/>
      <c r="D651" s="150"/>
      <c r="E651" s="164"/>
      <c r="F651" s="320"/>
      <c r="G651" s="150"/>
      <c r="H651" s="164"/>
      <c r="I651" s="320"/>
      <c r="J651" s="150"/>
      <c r="K651" s="164"/>
      <c r="L651" s="320"/>
      <c r="M651" s="326"/>
      <c r="N651" s="327"/>
      <c r="O651" s="328"/>
      <c r="P651" s="326"/>
      <c r="Q651" s="327"/>
      <c r="R651" s="328"/>
      <c r="S651" s="326"/>
      <c r="T651" s="327"/>
      <c r="U651" s="328"/>
      <c r="V651" s="150"/>
      <c r="W651" s="327"/>
      <c r="X651" s="320"/>
      <c r="Y651" s="201"/>
      <c r="Z651" s="201"/>
      <c r="AA651" s="201"/>
      <c r="AB651" s="17"/>
      <c r="AC651" s="17"/>
      <c r="AD651" s="17"/>
      <c r="AE651" s="17"/>
    </row>
    <row r="652">
      <c r="A652" s="150"/>
      <c r="B652" s="164"/>
      <c r="C652" s="320"/>
      <c r="D652" s="150"/>
      <c r="E652" s="164"/>
      <c r="F652" s="320"/>
      <c r="G652" s="150"/>
      <c r="H652" s="164"/>
      <c r="I652" s="320"/>
      <c r="J652" s="150"/>
      <c r="K652" s="164"/>
      <c r="L652" s="320"/>
      <c r="M652" s="326"/>
      <c r="N652" s="327"/>
      <c r="O652" s="328"/>
      <c r="P652" s="326"/>
      <c r="Q652" s="327"/>
      <c r="R652" s="328"/>
      <c r="S652" s="326"/>
      <c r="T652" s="327"/>
      <c r="U652" s="328"/>
      <c r="V652" s="150"/>
      <c r="W652" s="327"/>
      <c r="X652" s="320"/>
      <c r="Y652" s="201"/>
      <c r="Z652" s="201"/>
      <c r="AA652" s="201"/>
      <c r="AB652" s="17"/>
      <c r="AC652" s="17"/>
      <c r="AD652" s="17"/>
      <c r="AE652" s="17"/>
    </row>
    <row r="653">
      <c r="A653" s="150"/>
      <c r="B653" s="164"/>
      <c r="C653" s="320"/>
      <c r="D653" s="150"/>
      <c r="E653" s="164"/>
      <c r="F653" s="320"/>
      <c r="G653" s="150"/>
      <c r="H653" s="164"/>
      <c r="I653" s="320"/>
      <c r="J653" s="150"/>
      <c r="K653" s="164"/>
      <c r="L653" s="320"/>
      <c r="M653" s="326"/>
      <c r="N653" s="327"/>
      <c r="O653" s="328"/>
      <c r="P653" s="326"/>
      <c r="Q653" s="327"/>
      <c r="R653" s="328"/>
      <c r="S653" s="326"/>
      <c r="T653" s="327"/>
      <c r="U653" s="328"/>
      <c r="V653" s="150"/>
      <c r="W653" s="327"/>
      <c r="X653" s="320"/>
      <c r="Y653" s="201"/>
      <c r="Z653" s="201"/>
      <c r="AA653" s="201"/>
      <c r="AB653" s="17"/>
      <c r="AC653" s="17"/>
      <c r="AD653" s="17"/>
      <c r="AE653" s="17"/>
    </row>
    <row r="654">
      <c r="A654" s="150"/>
      <c r="B654" s="164"/>
      <c r="C654" s="320"/>
      <c r="D654" s="150"/>
      <c r="E654" s="164"/>
      <c r="F654" s="320"/>
      <c r="G654" s="150"/>
      <c r="H654" s="164"/>
      <c r="I654" s="320"/>
      <c r="J654" s="150"/>
      <c r="K654" s="164"/>
      <c r="L654" s="320"/>
      <c r="M654" s="326"/>
      <c r="N654" s="327"/>
      <c r="O654" s="328"/>
      <c r="P654" s="326"/>
      <c r="Q654" s="327"/>
      <c r="R654" s="328"/>
      <c r="S654" s="326"/>
      <c r="T654" s="327"/>
      <c r="U654" s="328"/>
      <c r="V654" s="150"/>
      <c r="W654" s="327"/>
      <c r="X654" s="320"/>
      <c r="Y654" s="201"/>
      <c r="Z654" s="201"/>
      <c r="AA654" s="201"/>
      <c r="AB654" s="17"/>
      <c r="AC654" s="17"/>
      <c r="AD654" s="17"/>
      <c r="AE654" s="17"/>
    </row>
    <row r="655">
      <c r="A655" s="150"/>
      <c r="B655" s="164"/>
      <c r="C655" s="320"/>
      <c r="D655" s="150"/>
      <c r="E655" s="164"/>
      <c r="F655" s="320"/>
      <c r="G655" s="150"/>
      <c r="H655" s="164"/>
      <c r="I655" s="320"/>
      <c r="J655" s="150"/>
      <c r="K655" s="164"/>
      <c r="L655" s="320"/>
      <c r="M655" s="326"/>
      <c r="N655" s="327"/>
      <c r="O655" s="328"/>
      <c r="P655" s="326"/>
      <c r="Q655" s="327"/>
      <c r="R655" s="328"/>
      <c r="S655" s="326"/>
      <c r="T655" s="327"/>
      <c r="U655" s="328"/>
      <c r="V655" s="150"/>
      <c r="W655" s="327"/>
      <c r="X655" s="320"/>
      <c r="Y655" s="201"/>
      <c r="Z655" s="201"/>
      <c r="AA655" s="201"/>
      <c r="AB655" s="17"/>
      <c r="AC655" s="17"/>
      <c r="AD655" s="17"/>
      <c r="AE655" s="17"/>
    </row>
    <row r="656">
      <c r="A656" s="150"/>
      <c r="B656" s="164"/>
      <c r="C656" s="320"/>
      <c r="D656" s="150"/>
      <c r="E656" s="164"/>
      <c r="F656" s="320"/>
      <c r="G656" s="150"/>
      <c r="H656" s="164"/>
      <c r="I656" s="320"/>
      <c r="J656" s="150"/>
      <c r="K656" s="164"/>
      <c r="L656" s="320"/>
      <c r="M656" s="326"/>
      <c r="N656" s="327"/>
      <c r="O656" s="328"/>
      <c r="P656" s="326"/>
      <c r="Q656" s="327"/>
      <c r="R656" s="328"/>
      <c r="S656" s="326"/>
      <c r="T656" s="327"/>
      <c r="U656" s="328"/>
      <c r="V656" s="150"/>
      <c r="W656" s="327"/>
      <c r="X656" s="320"/>
      <c r="Y656" s="201"/>
      <c r="Z656" s="201"/>
      <c r="AA656" s="201"/>
      <c r="AB656" s="17"/>
      <c r="AC656" s="17"/>
      <c r="AD656" s="17"/>
      <c r="AE656" s="17"/>
    </row>
    <row r="657">
      <c r="A657" s="150"/>
      <c r="B657" s="164"/>
      <c r="C657" s="320"/>
      <c r="D657" s="150"/>
      <c r="E657" s="164"/>
      <c r="F657" s="320"/>
      <c r="G657" s="150"/>
      <c r="H657" s="164"/>
      <c r="I657" s="320"/>
      <c r="J657" s="150"/>
      <c r="K657" s="164"/>
      <c r="L657" s="320"/>
      <c r="M657" s="326"/>
      <c r="N657" s="327"/>
      <c r="O657" s="328"/>
      <c r="P657" s="326"/>
      <c r="Q657" s="327"/>
      <c r="R657" s="328"/>
      <c r="S657" s="326"/>
      <c r="T657" s="327"/>
      <c r="U657" s="328"/>
      <c r="V657" s="150"/>
      <c r="W657" s="327"/>
      <c r="X657" s="320"/>
      <c r="Y657" s="201"/>
      <c r="Z657" s="201"/>
      <c r="AA657" s="201"/>
      <c r="AB657" s="17"/>
      <c r="AC657" s="17"/>
      <c r="AD657" s="17"/>
      <c r="AE657" s="17"/>
    </row>
    <row r="658">
      <c r="A658" s="150"/>
      <c r="B658" s="164"/>
      <c r="C658" s="320"/>
      <c r="D658" s="150"/>
      <c r="E658" s="164"/>
      <c r="F658" s="320"/>
      <c r="G658" s="150"/>
      <c r="H658" s="164"/>
      <c r="I658" s="320"/>
      <c r="J658" s="150"/>
      <c r="K658" s="164"/>
      <c r="L658" s="320"/>
      <c r="M658" s="326"/>
      <c r="N658" s="327"/>
      <c r="O658" s="328"/>
      <c r="P658" s="326"/>
      <c r="Q658" s="327"/>
      <c r="R658" s="328"/>
      <c r="S658" s="326"/>
      <c r="T658" s="327"/>
      <c r="U658" s="328"/>
      <c r="V658" s="150"/>
      <c r="W658" s="327"/>
      <c r="X658" s="320"/>
      <c r="Y658" s="201"/>
      <c r="Z658" s="201"/>
      <c r="AA658" s="201"/>
      <c r="AB658" s="17"/>
      <c r="AC658" s="17"/>
      <c r="AD658" s="17"/>
      <c r="AE658" s="17"/>
    </row>
    <row r="659">
      <c r="A659" s="150"/>
      <c r="B659" s="164"/>
      <c r="C659" s="320"/>
      <c r="D659" s="150"/>
      <c r="E659" s="164"/>
      <c r="F659" s="320"/>
      <c r="G659" s="150"/>
      <c r="H659" s="164"/>
      <c r="I659" s="320"/>
      <c r="J659" s="150"/>
      <c r="K659" s="164"/>
      <c r="L659" s="320"/>
      <c r="M659" s="326"/>
      <c r="N659" s="327"/>
      <c r="O659" s="328"/>
      <c r="P659" s="326"/>
      <c r="Q659" s="327"/>
      <c r="R659" s="328"/>
      <c r="S659" s="326"/>
      <c r="T659" s="327"/>
      <c r="U659" s="328"/>
      <c r="V659" s="150"/>
      <c r="W659" s="327"/>
      <c r="X659" s="320"/>
      <c r="Y659" s="201"/>
      <c r="Z659" s="201"/>
      <c r="AA659" s="201"/>
      <c r="AB659" s="17"/>
      <c r="AC659" s="17"/>
      <c r="AD659" s="17"/>
      <c r="AE659" s="17"/>
    </row>
    <row r="660">
      <c r="A660" s="150"/>
      <c r="B660" s="164"/>
      <c r="C660" s="320"/>
      <c r="D660" s="150"/>
      <c r="E660" s="164"/>
      <c r="F660" s="320"/>
      <c r="G660" s="150"/>
      <c r="H660" s="164"/>
      <c r="I660" s="320"/>
      <c r="J660" s="150"/>
      <c r="K660" s="164"/>
      <c r="L660" s="320"/>
      <c r="M660" s="326"/>
      <c r="N660" s="327"/>
      <c r="O660" s="328"/>
      <c r="P660" s="326"/>
      <c r="Q660" s="327"/>
      <c r="R660" s="328"/>
      <c r="S660" s="326"/>
      <c r="T660" s="327"/>
      <c r="U660" s="328"/>
      <c r="V660" s="150"/>
      <c r="W660" s="327"/>
      <c r="X660" s="320"/>
      <c r="Y660" s="201"/>
      <c r="Z660" s="201"/>
      <c r="AA660" s="201"/>
      <c r="AB660" s="17"/>
      <c r="AC660" s="17"/>
      <c r="AD660" s="17"/>
      <c r="AE660" s="17"/>
    </row>
    <row r="661">
      <c r="A661" s="150"/>
      <c r="B661" s="164"/>
      <c r="C661" s="320"/>
      <c r="D661" s="150"/>
      <c r="E661" s="164"/>
      <c r="F661" s="320"/>
      <c r="G661" s="150"/>
      <c r="H661" s="164"/>
      <c r="I661" s="320"/>
      <c r="J661" s="150"/>
      <c r="K661" s="164"/>
      <c r="L661" s="320"/>
      <c r="M661" s="326"/>
      <c r="N661" s="327"/>
      <c r="O661" s="328"/>
      <c r="P661" s="326"/>
      <c r="Q661" s="327"/>
      <c r="R661" s="328"/>
      <c r="S661" s="326"/>
      <c r="T661" s="327"/>
      <c r="U661" s="328"/>
      <c r="V661" s="150"/>
      <c r="W661" s="327"/>
      <c r="X661" s="320"/>
      <c r="Y661" s="201"/>
      <c r="Z661" s="201"/>
      <c r="AA661" s="201"/>
      <c r="AB661" s="17"/>
      <c r="AC661" s="17"/>
      <c r="AD661" s="17"/>
      <c r="AE661" s="17"/>
    </row>
    <row r="662">
      <c r="A662" s="150"/>
      <c r="B662" s="164"/>
      <c r="C662" s="320"/>
      <c r="D662" s="150"/>
      <c r="E662" s="164"/>
      <c r="F662" s="320"/>
      <c r="G662" s="150"/>
      <c r="H662" s="164"/>
      <c r="I662" s="320"/>
      <c r="J662" s="150"/>
      <c r="K662" s="164"/>
      <c r="L662" s="320"/>
      <c r="M662" s="326"/>
      <c r="N662" s="327"/>
      <c r="O662" s="328"/>
      <c r="P662" s="326"/>
      <c r="Q662" s="327"/>
      <c r="R662" s="328"/>
      <c r="S662" s="326"/>
      <c r="T662" s="327"/>
      <c r="U662" s="328"/>
      <c r="V662" s="150"/>
      <c r="W662" s="327"/>
      <c r="X662" s="320"/>
      <c r="Y662" s="201"/>
      <c r="Z662" s="201"/>
      <c r="AA662" s="201"/>
      <c r="AB662" s="17"/>
      <c r="AC662" s="17"/>
      <c r="AD662" s="17"/>
      <c r="AE662" s="17"/>
    </row>
    <row r="663">
      <c r="A663" s="150"/>
      <c r="B663" s="164"/>
      <c r="C663" s="320"/>
      <c r="D663" s="150"/>
      <c r="E663" s="164"/>
      <c r="F663" s="320"/>
      <c r="G663" s="150"/>
      <c r="H663" s="164"/>
      <c r="I663" s="320"/>
      <c r="J663" s="150"/>
      <c r="K663" s="164"/>
      <c r="L663" s="320"/>
      <c r="M663" s="326"/>
      <c r="N663" s="327"/>
      <c r="O663" s="328"/>
      <c r="P663" s="326"/>
      <c r="Q663" s="327"/>
      <c r="R663" s="328"/>
      <c r="S663" s="326"/>
      <c r="T663" s="327"/>
      <c r="U663" s="328"/>
      <c r="V663" s="150"/>
      <c r="W663" s="327"/>
      <c r="X663" s="320"/>
      <c r="Y663" s="201"/>
      <c r="Z663" s="201"/>
      <c r="AA663" s="201"/>
      <c r="AB663" s="17"/>
      <c r="AC663" s="17"/>
      <c r="AD663" s="17"/>
      <c r="AE663" s="17"/>
    </row>
    <row r="664">
      <c r="A664" s="150"/>
      <c r="B664" s="164"/>
      <c r="C664" s="320"/>
      <c r="D664" s="150"/>
      <c r="E664" s="164"/>
      <c r="F664" s="320"/>
      <c r="G664" s="150"/>
      <c r="H664" s="164"/>
      <c r="I664" s="320"/>
      <c r="J664" s="150"/>
      <c r="K664" s="164"/>
      <c r="L664" s="320"/>
      <c r="M664" s="326"/>
      <c r="N664" s="327"/>
      <c r="O664" s="328"/>
      <c r="P664" s="326"/>
      <c r="Q664" s="327"/>
      <c r="R664" s="328"/>
      <c r="S664" s="326"/>
      <c r="T664" s="327"/>
      <c r="U664" s="328"/>
      <c r="V664" s="150"/>
      <c r="W664" s="327"/>
      <c r="X664" s="320"/>
      <c r="Y664" s="201"/>
      <c r="Z664" s="201"/>
      <c r="AA664" s="201"/>
      <c r="AB664" s="17"/>
      <c r="AC664" s="17"/>
      <c r="AD664" s="17"/>
      <c r="AE664" s="17"/>
    </row>
    <row r="665">
      <c r="A665" s="150"/>
      <c r="B665" s="164"/>
      <c r="C665" s="320"/>
      <c r="D665" s="150"/>
      <c r="E665" s="164"/>
      <c r="F665" s="320"/>
      <c r="G665" s="150"/>
      <c r="H665" s="164"/>
      <c r="I665" s="320"/>
      <c r="J665" s="150"/>
      <c r="K665" s="164"/>
      <c r="L665" s="320"/>
      <c r="M665" s="326"/>
      <c r="N665" s="327"/>
      <c r="O665" s="328"/>
      <c r="P665" s="326"/>
      <c r="Q665" s="327"/>
      <c r="R665" s="328"/>
      <c r="S665" s="326"/>
      <c r="T665" s="327"/>
      <c r="U665" s="328"/>
      <c r="V665" s="150"/>
      <c r="W665" s="327"/>
      <c r="X665" s="320"/>
      <c r="Y665" s="201"/>
      <c r="Z665" s="201"/>
      <c r="AA665" s="201"/>
      <c r="AB665" s="17"/>
      <c r="AC665" s="17"/>
      <c r="AD665" s="17"/>
      <c r="AE665" s="17"/>
    </row>
    <row r="666">
      <c r="A666" s="150"/>
      <c r="B666" s="164"/>
      <c r="C666" s="320"/>
      <c r="D666" s="150"/>
      <c r="E666" s="164"/>
      <c r="F666" s="320"/>
      <c r="G666" s="150"/>
      <c r="H666" s="164"/>
      <c r="I666" s="320"/>
      <c r="J666" s="150"/>
      <c r="K666" s="164"/>
      <c r="L666" s="320"/>
      <c r="M666" s="326"/>
      <c r="N666" s="327"/>
      <c r="O666" s="328"/>
      <c r="P666" s="326"/>
      <c r="Q666" s="327"/>
      <c r="R666" s="328"/>
      <c r="S666" s="326"/>
      <c r="T666" s="327"/>
      <c r="U666" s="328"/>
      <c r="V666" s="150"/>
      <c r="W666" s="327"/>
      <c r="X666" s="320"/>
      <c r="Y666" s="201"/>
      <c r="Z666" s="201"/>
      <c r="AA666" s="201"/>
      <c r="AB666" s="17"/>
      <c r="AC666" s="17"/>
      <c r="AD666" s="17"/>
      <c r="AE666" s="17"/>
    </row>
    <row r="667">
      <c r="A667" s="150"/>
      <c r="B667" s="164"/>
      <c r="C667" s="320"/>
      <c r="D667" s="150"/>
      <c r="E667" s="164"/>
      <c r="F667" s="320"/>
      <c r="G667" s="150"/>
      <c r="H667" s="164"/>
      <c r="I667" s="320"/>
      <c r="J667" s="150"/>
      <c r="K667" s="164"/>
      <c r="L667" s="320"/>
      <c r="M667" s="326"/>
      <c r="N667" s="327"/>
      <c r="O667" s="328"/>
      <c r="P667" s="326"/>
      <c r="Q667" s="327"/>
      <c r="R667" s="328"/>
      <c r="S667" s="326"/>
      <c r="T667" s="327"/>
      <c r="U667" s="328"/>
      <c r="V667" s="150"/>
      <c r="W667" s="327"/>
      <c r="X667" s="320"/>
      <c r="Y667" s="201"/>
      <c r="Z667" s="201"/>
      <c r="AA667" s="201"/>
      <c r="AB667" s="17"/>
      <c r="AC667" s="17"/>
      <c r="AD667" s="17"/>
      <c r="AE667" s="17"/>
    </row>
    <row r="668">
      <c r="A668" s="150"/>
      <c r="B668" s="164"/>
      <c r="C668" s="320"/>
      <c r="D668" s="150"/>
      <c r="E668" s="164"/>
      <c r="F668" s="320"/>
      <c r="G668" s="150"/>
      <c r="H668" s="164"/>
      <c r="I668" s="320"/>
      <c r="J668" s="150"/>
      <c r="K668" s="164"/>
      <c r="L668" s="320"/>
      <c r="M668" s="326"/>
      <c r="N668" s="327"/>
      <c r="O668" s="328"/>
      <c r="P668" s="326"/>
      <c r="Q668" s="327"/>
      <c r="R668" s="328"/>
      <c r="S668" s="326"/>
      <c r="T668" s="327"/>
      <c r="U668" s="328"/>
      <c r="V668" s="150"/>
      <c r="W668" s="327"/>
      <c r="X668" s="320"/>
      <c r="Y668" s="201"/>
      <c r="Z668" s="201"/>
      <c r="AA668" s="201"/>
      <c r="AB668" s="17"/>
      <c r="AC668" s="17"/>
      <c r="AD668" s="17"/>
      <c r="AE668" s="17"/>
    </row>
    <row r="669">
      <c r="A669" s="150"/>
      <c r="B669" s="164"/>
      <c r="C669" s="320"/>
      <c r="D669" s="150"/>
      <c r="E669" s="164"/>
      <c r="F669" s="320"/>
      <c r="G669" s="150"/>
      <c r="H669" s="164"/>
      <c r="I669" s="320"/>
      <c r="J669" s="150"/>
      <c r="K669" s="164"/>
      <c r="L669" s="320"/>
      <c r="M669" s="326"/>
      <c r="N669" s="327"/>
      <c r="O669" s="328"/>
      <c r="P669" s="326"/>
      <c r="Q669" s="327"/>
      <c r="R669" s="328"/>
      <c r="S669" s="326"/>
      <c r="T669" s="327"/>
      <c r="U669" s="328"/>
      <c r="V669" s="150"/>
      <c r="W669" s="327"/>
      <c r="X669" s="320"/>
      <c r="Y669" s="201"/>
      <c r="Z669" s="201"/>
      <c r="AA669" s="201"/>
      <c r="AB669" s="17"/>
      <c r="AC669" s="17"/>
      <c r="AD669" s="17"/>
      <c r="AE669" s="17"/>
    </row>
    <row r="670">
      <c r="A670" s="150"/>
      <c r="B670" s="164"/>
      <c r="C670" s="320"/>
      <c r="D670" s="150"/>
      <c r="E670" s="164"/>
      <c r="F670" s="320"/>
      <c r="G670" s="150"/>
      <c r="H670" s="164"/>
      <c r="I670" s="320"/>
      <c r="J670" s="150"/>
      <c r="K670" s="164"/>
      <c r="L670" s="320"/>
      <c r="M670" s="326"/>
      <c r="N670" s="327"/>
      <c r="O670" s="328"/>
      <c r="P670" s="326"/>
      <c r="Q670" s="327"/>
      <c r="R670" s="328"/>
      <c r="S670" s="326"/>
      <c r="T670" s="327"/>
      <c r="U670" s="328"/>
      <c r="V670" s="150"/>
      <c r="W670" s="327"/>
      <c r="X670" s="320"/>
      <c r="Y670" s="201"/>
      <c r="Z670" s="201"/>
      <c r="AA670" s="201"/>
      <c r="AB670" s="17"/>
      <c r="AC670" s="17"/>
      <c r="AD670" s="17"/>
      <c r="AE670" s="17"/>
    </row>
    <row r="671">
      <c r="A671" s="150"/>
      <c r="B671" s="164"/>
      <c r="C671" s="320"/>
      <c r="D671" s="150"/>
      <c r="E671" s="164"/>
      <c r="F671" s="320"/>
      <c r="G671" s="150"/>
      <c r="H671" s="164"/>
      <c r="I671" s="320"/>
      <c r="J671" s="150"/>
      <c r="K671" s="164"/>
      <c r="L671" s="320"/>
      <c r="M671" s="326"/>
      <c r="N671" s="327"/>
      <c r="O671" s="328"/>
      <c r="P671" s="326"/>
      <c r="Q671" s="327"/>
      <c r="R671" s="328"/>
      <c r="S671" s="326"/>
      <c r="T671" s="327"/>
      <c r="U671" s="328"/>
      <c r="V671" s="150"/>
      <c r="W671" s="327"/>
      <c r="X671" s="320"/>
      <c r="Y671" s="201"/>
      <c r="Z671" s="201"/>
      <c r="AA671" s="201"/>
      <c r="AB671" s="17"/>
      <c r="AC671" s="17"/>
      <c r="AD671" s="17"/>
      <c r="AE671" s="17"/>
    </row>
    <row r="672">
      <c r="A672" s="150"/>
      <c r="B672" s="164"/>
      <c r="C672" s="320"/>
      <c r="D672" s="150"/>
      <c r="E672" s="164"/>
      <c r="F672" s="320"/>
      <c r="G672" s="150"/>
      <c r="H672" s="164"/>
      <c r="I672" s="320"/>
      <c r="J672" s="150"/>
      <c r="K672" s="164"/>
      <c r="L672" s="320"/>
      <c r="M672" s="326"/>
      <c r="N672" s="327"/>
      <c r="O672" s="328"/>
      <c r="P672" s="326"/>
      <c r="Q672" s="327"/>
      <c r="R672" s="328"/>
      <c r="S672" s="326"/>
      <c r="T672" s="327"/>
      <c r="U672" s="328"/>
      <c r="V672" s="150"/>
      <c r="W672" s="327"/>
      <c r="X672" s="320"/>
      <c r="Y672" s="201"/>
      <c r="Z672" s="201"/>
      <c r="AA672" s="201"/>
      <c r="AB672" s="17"/>
      <c r="AC672" s="17"/>
      <c r="AD672" s="17"/>
      <c r="AE672" s="17"/>
    </row>
    <row r="673">
      <c r="A673" s="150"/>
      <c r="B673" s="164"/>
      <c r="C673" s="320"/>
      <c r="D673" s="150"/>
      <c r="E673" s="164"/>
      <c r="F673" s="320"/>
      <c r="G673" s="150"/>
      <c r="H673" s="164"/>
      <c r="I673" s="320"/>
      <c r="J673" s="150"/>
      <c r="K673" s="164"/>
      <c r="L673" s="320"/>
      <c r="M673" s="326"/>
      <c r="N673" s="327"/>
      <c r="O673" s="328"/>
      <c r="P673" s="326"/>
      <c r="Q673" s="327"/>
      <c r="R673" s="328"/>
      <c r="S673" s="326"/>
      <c r="T673" s="327"/>
      <c r="U673" s="328"/>
      <c r="V673" s="150"/>
      <c r="W673" s="327"/>
      <c r="X673" s="320"/>
      <c r="Y673" s="201"/>
      <c r="Z673" s="201"/>
      <c r="AA673" s="201"/>
      <c r="AB673" s="17"/>
      <c r="AC673" s="17"/>
      <c r="AD673" s="17"/>
      <c r="AE673" s="17"/>
    </row>
    <row r="674">
      <c r="A674" s="150"/>
      <c r="B674" s="164"/>
      <c r="C674" s="320"/>
      <c r="D674" s="150"/>
      <c r="E674" s="164"/>
      <c r="F674" s="320"/>
      <c r="G674" s="150"/>
      <c r="H674" s="164"/>
      <c r="I674" s="320"/>
      <c r="J674" s="150"/>
      <c r="K674" s="164"/>
      <c r="L674" s="320"/>
      <c r="M674" s="326"/>
      <c r="N674" s="327"/>
      <c r="O674" s="328"/>
      <c r="P674" s="326"/>
      <c r="Q674" s="327"/>
      <c r="R674" s="328"/>
      <c r="S674" s="326"/>
      <c r="T674" s="327"/>
      <c r="U674" s="328"/>
      <c r="V674" s="150"/>
      <c r="W674" s="327"/>
      <c r="X674" s="320"/>
      <c r="Y674" s="201"/>
      <c r="Z674" s="201"/>
      <c r="AA674" s="201"/>
      <c r="AB674" s="17"/>
      <c r="AC674" s="17"/>
      <c r="AD674" s="17"/>
      <c r="AE674" s="17"/>
    </row>
    <row r="675">
      <c r="A675" s="150"/>
      <c r="B675" s="164"/>
      <c r="C675" s="320"/>
      <c r="D675" s="150"/>
      <c r="E675" s="164"/>
      <c r="F675" s="320"/>
      <c r="G675" s="150"/>
      <c r="H675" s="164"/>
      <c r="I675" s="320"/>
      <c r="J675" s="150"/>
      <c r="K675" s="164"/>
      <c r="L675" s="320"/>
      <c r="M675" s="326"/>
      <c r="N675" s="327"/>
      <c r="O675" s="328"/>
      <c r="P675" s="326"/>
      <c r="Q675" s="327"/>
      <c r="R675" s="328"/>
      <c r="S675" s="326"/>
      <c r="T675" s="327"/>
      <c r="U675" s="328"/>
      <c r="V675" s="150"/>
      <c r="W675" s="327"/>
      <c r="X675" s="320"/>
      <c r="Y675" s="201"/>
      <c r="Z675" s="201"/>
      <c r="AA675" s="201"/>
      <c r="AB675" s="17"/>
      <c r="AC675" s="17"/>
      <c r="AD675" s="17"/>
      <c r="AE675" s="17"/>
    </row>
    <row r="676">
      <c r="A676" s="150"/>
      <c r="B676" s="164"/>
      <c r="C676" s="320"/>
      <c r="D676" s="150"/>
      <c r="E676" s="164"/>
      <c r="F676" s="320"/>
      <c r="G676" s="150"/>
      <c r="H676" s="164"/>
      <c r="I676" s="320"/>
      <c r="J676" s="150"/>
      <c r="K676" s="164"/>
      <c r="L676" s="320"/>
      <c r="M676" s="326"/>
      <c r="N676" s="327"/>
      <c r="O676" s="328"/>
      <c r="P676" s="326"/>
      <c r="Q676" s="327"/>
      <c r="R676" s="328"/>
      <c r="S676" s="326"/>
      <c r="T676" s="327"/>
      <c r="U676" s="328"/>
      <c r="V676" s="150"/>
      <c r="W676" s="327"/>
      <c r="X676" s="320"/>
      <c r="Y676" s="201"/>
      <c r="Z676" s="201"/>
      <c r="AA676" s="201"/>
      <c r="AB676" s="17"/>
      <c r="AC676" s="17"/>
      <c r="AD676" s="17"/>
      <c r="AE676" s="17"/>
    </row>
    <row r="677">
      <c r="A677" s="150"/>
      <c r="B677" s="164"/>
      <c r="C677" s="320"/>
      <c r="D677" s="150"/>
      <c r="E677" s="164"/>
      <c r="F677" s="320"/>
      <c r="G677" s="150"/>
      <c r="H677" s="164"/>
      <c r="I677" s="320"/>
      <c r="J677" s="150"/>
      <c r="K677" s="164"/>
      <c r="L677" s="320"/>
      <c r="M677" s="326"/>
      <c r="N677" s="327"/>
      <c r="O677" s="328"/>
      <c r="P677" s="326"/>
      <c r="Q677" s="327"/>
      <c r="R677" s="328"/>
      <c r="S677" s="326"/>
      <c r="T677" s="327"/>
      <c r="U677" s="328"/>
      <c r="V677" s="150"/>
      <c r="W677" s="327"/>
      <c r="X677" s="320"/>
      <c r="Y677" s="201"/>
      <c r="Z677" s="201"/>
      <c r="AA677" s="201"/>
      <c r="AB677" s="17"/>
      <c r="AC677" s="17"/>
      <c r="AD677" s="17"/>
      <c r="AE677" s="17"/>
    </row>
    <row r="678">
      <c r="A678" s="150"/>
      <c r="B678" s="164"/>
      <c r="C678" s="320"/>
      <c r="D678" s="150"/>
      <c r="E678" s="164"/>
      <c r="F678" s="320"/>
      <c r="G678" s="150"/>
      <c r="H678" s="164"/>
      <c r="I678" s="320"/>
      <c r="J678" s="150"/>
      <c r="K678" s="164"/>
      <c r="L678" s="320"/>
      <c r="M678" s="326"/>
      <c r="N678" s="327"/>
      <c r="O678" s="328"/>
      <c r="P678" s="326"/>
      <c r="Q678" s="327"/>
      <c r="R678" s="328"/>
      <c r="S678" s="326"/>
      <c r="T678" s="327"/>
      <c r="U678" s="328"/>
      <c r="V678" s="150"/>
      <c r="W678" s="327"/>
      <c r="X678" s="320"/>
      <c r="Y678" s="201"/>
      <c r="Z678" s="201"/>
      <c r="AA678" s="201"/>
      <c r="AB678" s="17"/>
      <c r="AC678" s="17"/>
      <c r="AD678" s="17"/>
      <c r="AE678" s="17"/>
    </row>
    <row r="679">
      <c r="A679" s="150"/>
      <c r="B679" s="164"/>
      <c r="C679" s="320"/>
      <c r="D679" s="150"/>
      <c r="E679" s="164"/>
      <c r="F679" s="320"/>
      <c r="G679" s="150"/>
      <c r="H679" s="164"/>
      <c r="I679" s="320"/>
      <c r="J679" s="150"/>
      <c r="K679" s="164"/>
      <c r="L679" s="320"/>
      <c r="M679" s="326"/>
      <c r="N679" s="327"/>
      <c r="O679" s="328"/>
      <c r="P679" s="326"/>
      <c r="Q679" s="327"/>
      <c r="R679" s="328"/>
      <c r="S679" s="326"/>
      <c r="T679" s="327"/>
      <c r="U679" s="328"/>
      <c r="V679" s="150"/>
      <c r="W679" s="327"/>
      <c r="X679" s="320"/>
      <c r="Y679" s="201"/>
      <c r="Z679" s="201"/>
      <c r="AA679" s="201"/>
      <c r="AB679" s="17"/>
      <c r="AC679" s="17"/>
      <c r="AD679" s="17"/>
      <c r="AE679" s="17"/>
    </row>
    <row r="680">
      <c r="A680" s="150"/>
      <c r="B680" s="164"/>
      <c r="C680" s="320"/>
      <c r="D680" s="150"/>
      <c r="E680" s="164"/>
      <c r="F680" s="320"/>
      <c r="G680" s="150"/>
      <c r="H680" s="164"/>
      <c r="I680" s="320"/>
      <c r="J680" s="150"/>
      <c r="K680" s="164"/>
      <c r="L680" s="320"/>
      <c r="M680" s="326"/>
      <c r="N680" s="327"/>
      <c r="O680" s="328"/>
      <c r="P680" s="326"/>
      <c r="Q680" s="327"/>
      <c r="R680" s="328"/>
      <c r="S680" s="326"/>
      <c r="T680" s="327"/>
      <c r="U680" s="328"/>
      <c r="V680" s="150"/>
      <c r="W680" s="327"/>
      <c r="X680" s="320"/>
      <c r="Y680" s="201"/>
      <c r="Z680" s="201"/>
      <c r="AA680" s="201"/>
      <c r="AB680" s="17"/>
      <c r="AC680" s="17"/>
      <c r="AD680" s="17"/>
      <c r="AE680" s="17"/>
    </row>
    <row r="681">
      <c r="A681" s="150"/>
      <c r="B681" s="164"/>
      <c r="C681" s="320"/>
      <c r="D681" s="150"/>
      <c r="E681" s="164"/>
      <c r="F681" s="320"/>
      <c r="G681" s="150"/>
      <c r="H681" s="164"/>
      <c r="I681" s="320"/>
      <c r="J681" s="150"/>
      <c r="K681" s="164"/>
      <c r="L681" s="320"/>
      <c r="M681" s="326"/>
      <c r="N681" s="327"/>
      <c r="O681" s="328"/>
      <c r="P681" s="326"/>
      <c r="Q681" s="327"/>
      <c r="R681" s="328"/>
      <c r="S681" s="326"/>
      <c r="T681" s="327"/>
      <c r="U681" s="328"/>
      <c r="V681" s="150"/>
      <c r="W681" s="327"/>
      <c r="X681" s="320"/>
      <c r="Y681" s="201"/>
      <c r="Z681" s="201"/>
      <c r="AA681" s="201"/>
      <c r="AB681" s="17"/>
      <c r="AC681" s="17"/>
      <c r="AD681" s="17"/>
      <c r="AE681" s="17"/>
    </row>
    <row r="682">
      <c r="A682" s="150"/>
      <c r="B682" s="164"/>
      <c r="C682" s="320"/>
      <c r="D682" s="150"/>
      <c r="E682" s="164"/>
      <c r="F682" s="320"/>
      <c r="G682" s="150"/>
      <c r="H682" s="164"/>
      <c r="I682" s="320"/>
      <c r="J682" s="150"/>
      <c r="K682" s="164"/>
      <c r="L682" s="320"/>
      <c r="M682" s="326"/>
      <c r="N682" s="327"/>
      <c r="O682" s="328"/>
      <c r="P682" s="326"/>
      <c r="Q682" s="327"/>
      <c r="R682" s="328"/>
      <c r="S682" s="326"/>
      <c r="T682" s="327"/>
      <c r="U682" s="328"/>
      <c r="V682" s="150"/>
      <c r="W682" s="327"/>
      <c r="X682" s="320"/>
      <c r="Y682" s="201"/>
      <c r="Z682" s="201"/>
      <c r="AA682" s="201"/>
      <c r="AB682" s="17"/>
      <c r="AC682" s="17"/>
      <c r="AD682" s="17"/>
      <c r="AE682" s="17"/>
    </row>
    <row r="683">
      <c r="A683" s="150"/>
      <c r="B683" s="164"/>
      <c r="C683" s="320"/>
      <c r="D683" s="150"/>
      <c r="E683" s="164"/>
      <c r="F683" s="320"/>
      <c r="G683" s="150"/>
      <c r="H683" s="164"/>
      <c r="I683" s="320"/>
      <c r="J683" s="150"/>
      <c r="K683" s="164"/>
      <c r="L683" s="320"/>
      <c r="M683" s="326"/>
      <c r="N683" s="327"/>
      <c r="O683" s="328"/>
      <c r="P683" s="326"/>
      <c r="Q683" s="327"/>
      <c r="R683" s="328"/>
      <c r="S683" s="326"/>
      <c r="T683" s="327"/>
      <c r="U683" s="328"/>
      <c r="V683" s="150"/>
      <c r="W683" s="327"/>
      <c r="X683" s="320"/>
      <c r="Y683" s="201"/>
      <c r="Z683" s="201"/>
      <c r="AA683" s="201"/>
      <c r="AB683" s="17"/>
      <c r="AC683" s="17"/>
      <c r="AD683" s="17"/>
      <c r="AE683" s="17"/>
    </row>
    <row r="684">
      <c r="A684" s="150"/>
      <c r="B684" s="164"/>
      <c r="C684" s="320"/>
      <c r="D684" s="150"/>
      <c r="E684" s="164"/>
      <c r="F684" s="320"/>
      <c r="G684" s="150"/>
      <c r="H684" s="164"/>
      <c r="I684" s="320"/>
      <c r="J684" s="150"/>
      <c r="K684" s="164"/>
      <c r="L684" s="320"/>
      <c r="M684" s="326"/>
      <c r="N684" s="327"/>
      <c r="O684" s="328"/>
      <c r="P684" s="326"/>
      <c r="Q684" s="327"/>
      <c r="R684" s="328"/>
      <c r="S684" s="326"/>
      <c r="T684" s="327"/>
      <c r="U684" s="328"/>
      <c r="V684" s="150"/>
      <c r="W684" s="327"/>
      <c r="X684" s="320"/>
      <c r="Y684" s="201"/>
      <c r="Z684" s="201"/>
      <c r="AA684" s="201"/>
      <c r="AB684" s="17"/>
      <c r="AC684" s="17"/>
      <c r="AD684" s="17"/>
      <c r="AE684" s="17"/>
    </row>
    <row r="685">
      <c r="A685" s="150"/>
      <c r="B685" s="164"/>
      <c r="C685" s="320"/>
      <c r="D685" s="150"/>
      <c r="E685" s="164"/>
      <c r="F685" s="320"/>
      <c r="G685" s="150"/>
      <c r="H685" s="164"/>
      <c r="I685" s="320"/>
      <c r="J685" s="150"/>
      <c r="K685" s="164"/>
      <c r="L685" s="320"/>
      <c r="M685" s="326"/>
      <c r="N685" s="327"/>
      <c r="O685" s="328"/>
      <c r="P685" s="326"/>
      <c r="Q685" s="327"/>
      <c r="R685" s="328"/>
      <c r="S685" s="326"/>
      <c r="T685" s="327"/>
      <c r="U685" s="328"/>
      <c r="V685" s="150"/>
      <c r="W685" s="327"/>
      <c r="X685" s="320"/>
      <c r="Y685" s="201"/>
      <c r="Z685" s="201"/>
      <c r="AA685" s="201"/>
      <c r="AB685" s="17"/>
      <c r="AC685" s="17"/>
      <c r="AD685" s="17"/>
      <c r="AE685" s="17"/>
    </row>
    <row r="686">
      <c r="A686" s="150"/>
      <c r="B686" s="164"/>
      <c r="C686" s="320"/>
      <c r="D686" s="150"/>
      <c r="E686" s="164"/>
      <c r="F686" s="320"/>
      <c r="G686" s="150"/>
      <c r="H686" s="164"/>
      <c r="I686" s="320"/>
      <c r="J686" s="150"/>
      <c r="K686" s="164"/>
      <c r="L686" s="320"/>
      <c r="M686" s="326"/>
      <c r="N686" s="327"/>
      <c r="O686" s="328"/>
      <c r="P686" s="326"/>
      <c r="Q686" s="327"/>
      <c r="R686" s="328"/>
      <c r="S686" s="326"/>
      <c r="T686" s="327"/>
      <c r="U686" s="328"/>
      <c r="V686" s="150"/>
      <c r="W686" s="327"/>
      <c r="X686" s="320"/>
      <c r="Y686" s="201"/>
      <c r="Z686" s="201"/>
      <c r="AA686" s="201"/>
      <c r="AB686" s="17"/>
      <c r="AC686" s="17"/>
      <c r="AD686" s="17"/>
      <c r="AE686" s="17"/>
    </row>
    <row r="687">
      <c r="A687" s="150"/>
      <c r="B687" s="164"/>
      <c r="C687" s="320"/>
      <c r="D687" s="150"/>
      <c r="E687" s="164"/>
      <c r="F687" s="320"/>
      <c r="G687" s="150"/>
      <c r="H687" s="164"/>
      <c r="I687" s="320"/>
      <c r="J687" s="150"/>
      <c r="K687" s="164"/>
      <c r="L687" s="320"/>
      <c r="M687" s="326"/>
      <c r="N687" s="327"/>
      <c r="O687" s="328"/>
      <c r="P687" s="326"/>
      <c r="Q687" s="327"/>
      <c r="R687" s="328"/>
      <c r="S687" s="326"/>
      <c r="T687" s="327"/>
      <c r="U687" s="328"/>
      <c r="V687" s="150"/>
      <c r="W687" s="327"/>
      <c r="X687" s="320"/>
      <c r="Y687" s="201"/>
      <c r="Z687" s="201"/>
      <c r="AA687" s="201"/>
      <c r="AB687" s="17"/>
      <c r="AC687" s="17"/>
      <c r="AD687" s="17"/>
      <c r="AE687" s="17"/>
    </row>
    <row r="688">
      <c r="A688" s="150"/>
      <c r="B688" s="164"/>
      <c r="C688" s="320"/>
      <c r="D688" s="150"/>
      <c r="E688" s="164"/>
      <c r="F688" s="320"/>
      <c r="G688" s="150"/>
      <c r="H688" s="164"/>
      <c r="I688" s="320"/>
      <c r="J688" s="150"/>
      <c r="K688" s="164"/>
      <c r="L688" s="320"/>
      <c r="M688" s="326"/>
      <c r="N688" s="327"/>
      <c r="O688" s="328"/>
      <c r="P688" s="326"/>
      <c r="Q688" s="327"/>
      <c r="R688" s="328"/>
      <c r="S688" s="326"/>
      <c r="T688" s="327"/>
      <c r="U688" s="328"/>
      <c r="V688" s="150"/>
      <c r="W688" s="327"/>
      <c r="X688" s="320"/>
      <c r="Y688" s="201"/>
      <c r="Z688" s="201"/>
      <c r="AA688" s="201"/>
      <c r="AB688" s="17"/>
      <c r="AC688" s="17"/>
      <c r="AD688" s="17"/>
      <c r="AE688" s="17"/>
    </row>
    <row r="689">
      <c r="A689" s="150"/>
      <c r="B689" s="164"/>
      <c r="C689" s="320"/>
      <c r="D689" s="150"/>
      <c r="E689" s="164"/>
      <c r="F689" s="320"/>
      <c r="G689" s="150"/>
      <c r="H689" s="164"/>
      <c r="I689" s="320"/>
      <c r="J689" s="150"/>
      <c r="K689" s="164"/>
      <c r="L689" s="320"/>
      <c r="M689" s="326"/>
      <c r="N689" s="327"/>
      <c r="O689" s="328"/>
      <c r="P689" s="326"/>
      <c r="Q689" s="327"/>
      <c r="R689" s="328"/>
      <c r="S689" s="326"/>
      <c r="T689" s="327"/>
      <c r="U689" s="328"/>
      <c r="V689" s="150"/>
      <c r="W689" s="327"/>
      <c r="X689" s="320"/>
      <c r="Y689" s="201"/>
      <c r="Z689" s="201"/>
      <c r="AA689" s="201"/>
      <c r="AB689" s="17"/>
      <c r="AC689" s="17"/>
      <c r="AD689" s="17"/>
      <c r="AE689" s="17"/>
    </row>
    <row r="690">
      <c r="A690" s="150"/>
      <c r="B690" s="164"/>
      <c r="C690" s="320"/>
      <c r="D690" s="150"/>
      <c r="E690" s="164"/>
      <c r="F690" s="320"/>
      <c r="G690" s="150"/>
      <c r="H690" s="164"/>
      <c r="I690" s="320"/>
      <c r="J690" s="150"/>
      <c r="K690" s="164"/>
      <c r="L690" s="320"/>
      <c r="M690" s="326"/>
      <c r="N690" s="327"/>
      <c r="O690" s="328"/>
      <c r="P690" s="326"/>
      <c r="Q690" s="327"/>
      <c r="R690" s="328"/>
      <c r="S690" s="326"/>
      <c r="T690" s="327"/>
      <c r="U690" s="328"/>
      <c r="V690" s="150"/>
      <c r="W690" s="327"/>
      <c r="X690" s="320"/>
      <c r="Y690" s="201"/>
      <c r="Z690" s="201"/>
      <c r="AA690" s="201"/>
      <c r="AB690" s="17"/>
      <c r="AC690" s="17"/>
      <c r="AD690" s="17"/>
      <c r="AE690" s="17"/>
    </row>
    <row r="691">
      <c r="A691" s="150"/>
      <c r="B691" s="164"/>
      <c r="C691" s="320"/>
      <c r="D691" s="150"/>
      <c r="E691" s="164"/>
      <c r="F691" s="320"/>
      <c r="G691" s="150"/>
      <c r="H691" s="164"/>
      <c r="I691" s="320"/>
      <c r="J691" s="150"/>
      <c r="K691" s="164"/>
      <c r="L691" s="320"/>
      <c r="M691" s="326"/>
      <c r="N691" s="327"/>
      <c r="O691" s="328"/>
      <c r="P691" s="326"/>
      <c r="Q691" s="327"/>
      <c r="R691" s="328"/>
      <c r="S691" s="326"/>
      <c r="T691" s="327"/>
      <c r="U691" s="328"/>
      <c r="V691" s="150"/>
      <c r="W691" s="327"/>
      <c r="X691" s="320"/>
      <c r="Y691" s="201"/>
      <c r="Z691" s="201"/>
      <c r="AA691" s="201"/>
      <c r="AB691" s="17"/>
      <c r="AC691" s="17"/>
      <c r="AD691" s="17"/>
      <c r="AE691" s="17"/>
    </row>
    <row r="692">
      <c r="A692" s="150"/>
      <c r="B692" s="164"/>
      <c r="C692" s="320"/>
      <c r="D692" s="150"/>
      <c r="E692" s="164"/>
      <c r="F692" s="320"/>
      <c r="G692" s="150"/>
      <c r="H692" s="164"/>
      <c r="I692" s="320"/>
      <c r="J692" s="150"/>
      <c r="K692" s="164"/>
      <c r="L692" s="320"/>
      <c r="M692" s="326"/>
      <c r="N692" s="327"/>
      <c r="O692" s="328"/>
      <c r="P692" s="326"/>
      <c r="Q692" s="327"/>
      <c r="R692" s="328"/>
      <c r="S692" s="326"/>
      <c r="T692" s="327"/>
      <c r="U692" s="328"/>
      <c r="V692" s="150"/>
      <c r="W692" s="327"/>
      <c r="X692" s="320"/>
      <c r="Y692" s="201"/>
      <c r="Z692" s="201"/>
      <c r="AA692" s="201"/>
      <c r="AB692" s="17"/>
      <c r="AC692" s="17"/>
      <c r="AD692" s="17"/>
      <c r="AE692" s="17"/>
    </row>
    <row r="693">
      <c r="A693" s="150"/>
      <c r="B693" s="164"/>
      <c r="C693" s="320"/>
      <c r="D693" s="150"/>
      <c r="E693" s="164"/>
      <c r="F693" s="320"/>
      <c r="G693" s="150"/>
      <c r="H693" s="164"/>
      <c r="I693" s="320"/>
      <c r="J693" s="150"/>
      <c r="K693" s="164"/>
      <c r="L693" s="320"/>
      <c r="M693" s="326"/>
      <c r="N693" s="327"/>
      <c r="O693" s="328"/>
      <c r="P693" s="326"/>
      <c r="Q693" s="327"/>
      <c r="R693" s="328"/>
      <c r="S693" s="326"/>
      <c r="T693" s="327"/>
      <c r="U693" s="328"/>
      <c r="V693" s="150"/>
      <c r="W693" s="327"/>
      <c r="X693" s="320"/>
      <c r="Y693" s="201"/>
      <c r="Z693" s="201"/>
      <c r="AA693" s="201"/>
      <c r="AB693" s="17"/>
      <c r="AC693" s="17"/>
      <c r="AD693" s="17"/>
      <c r="AE693" s="17"/>
    </row>
    <row r="694">
      <c r="A694" s="150"/>
      <c r="B694" s="164"/>
      <c r="C694" s="320"/>
      <c r="D694" s="150"/>
      <c r="E694" s="164"/>
      <c r="F694" s="320"/>
      <c r="G694" s="150"/>
      <c r="H694" s="164"/>
      <c r="I694" s="320"/>
      <c r="J694" s="150"/>
      <c r="K694" s="164"/>
      <c r="L694" s="320"/>
      <c r="M694" s="326"/>
      <c r="N694" s="327"/>
      <c r="O694" s="328"/>
      <c r="P694" s="326"/>
      <c r="Q694" s="327"/>
      <c r="R694" s="328"/>
      <c r="S694" s="326"/>
      <c r="T694" s="327"/>
      <c r="U694" s="328"/>
      <c r="V694" s="150"/>
      <c r="W694" s="327"/>
      <c r="X694" s="320"/>
      <c r="Y694" s="201"/>
      <c r="Z694" s="201"/>
      <c r="AA694" s="201"/>
      <c r="AB694" s="17"/>
      <c r="AC694" s="17"/>
      <c r="AD694" s="17"/>
      <c r="AE694" s="17"/>
    </row>
    <row r="695">
      <c r="A695" s="150"/>
      <c r="B695" s="164"/>
      <c r="C695" s="320"/>
      <c r="D695" s="150"/>
      <c r="E695" s="164"/>
      <c r="F695" s="320"/>
      <c r="G695" s="150"/>
      <c r="H695" s="164"/>
      <c r="I695" s="320"/>
      <c r="J695" s="150"/>
      <c r="K695" s="164"/>
      <c r="L695" s="320"/>
      <c r="M695" s="326"/>
      <c r="N695" s="327"/>
      <c r="O695" s="328"/>
      <c r="P695" s="326"/>
      <c r="Q695" s="327"/>
      <c r="R695" s="328"/>
      <c r="S695" s="326"/>
      <c r="T695" s="327"/>
      <c r="U695" s="328"/>
      <c r="V695" s="150"/>
      <c r="W695" s="327"/>
      <c r="X695" s="320"/>
      <c r="Y695" s="201"/>
      <c r="Z695" s="201"/>
      <c r="AA695" s="201"/>
      <c r="AB695" s="17"/>
      <c r="AC695" s="17"/>
      <c r="AD695" s="17"/>
      <c r="AE695" s="17"/>
    </row>
    <row r="696">
      <c r="A696" s="150"/>
      <c r="B696" s="164"/>
      <c r="C696" s="320"/>
      <c r="D696" s="150"/>
      <c r="E696" s="164"/>
      <c r="F696" s="320"/>
      <c r="G696" s="150"/>
      <c r="H696" s="164"/>
      <c r="I696" s="320"/>
      <c r="J696" s="150"/>
      <c r="K696" s="164"/>
      <c r="L696" s="320"/>
      <c r="M696" s="326"/>
      <c r="N696" s="327"/>
      <c r="O696" s="328"/>
      <c r="P696" s="326"/>
      <c r="Q696" s="327"/>
      <c r="R696" s="328"/>
      <c r="S696" s="326"/>
      <c r="T696" s="327"/>
      <c r="U696" s="328"/>
      <c r="V696" s="150"/>
      <c r="W696" s="327"/>
      <c r="X696" s="320"/>
      <c r="Y696" s="201"/>
      <c r="Z696" s="201"/>
      <c r="AA696" s="201"/>
      <c r="AB696" s="17"/>
      <c r="AC696" s="17"/>
      <c r="AD696" s="17"/>
      <c r="AE696" s="17"/>
    </row>
    <row r="697">
      <c r="A697" s="150"/>
      <c r="B697" s="164"/>
      <c r="C697" s="320"/>
      <c r="D697" s="150"/>
      <c r="E697" s="164"/>
      <c r="F697" s="320"/>
      <c r="G697" s="150"/>
      <c r="H697" s="164"/>
      <c r="I697" s="320"/>
      <c r="J697" s="150"/>
      <c r="K697" s="164"/>
      <c r="L697" s="320"/>
      <c r="M697" s="326"/>
      <c r="N697" s="327"/>
      <c r="O697" s="328"/>
      <c r="P697" s="326"/>
      <c r="Q697" s="327"/>
      <c r="R697" s="328"/>
      <c r="S697" s="326"/>
      <c r="T697" s="327"/>
      <c r="U697" s="328"/>
      <c r="V697" s="150"/>
      <c r="W697" s="327"/>
      <c r="X697" s="320"/>
      <c r="Y697" s="201"/>
      <c r="Z697" s="201"/>
      <c r="AA697" s="201"/>
      <c r="AB697" s="17"/>
      <c r="AC697" s="17"/>
      <c r="AD697" s="17"/>
      <c r="AE697" s="17"/>
    </row>
    <row r="698">
      <c r="A698" s="150"/>
      <c r="B698" s="164"/>
      <c r="C698" s="320"/>
      <c r="D698" s="150"/>
      <c r="E698" s="164"/>
      <c r="F698" s="320"/>
      <c r="G698" s="150"/>
      <c r="H698" s="164"/>
      <c r="I698" s="320"/>
      <c r="J698" s="150"/>
      <c r="K698" s="164"/>
      <c r="L698" s="320"/>
      <c r="M698" s="326"/>
      <c r="N698" s="327"/>
      <c r="O698" s="328"/>
      <c r="P698" s="326"/>
      <c r="Q698" s="327"/>
      <c r="R698" s="328"/>
      <c r="S698" s="326"/>
      <c r="T698" s="327"/>
      <c r="U698" s="328"/>
      <c r="V698" s="150"/>
      <c r="W698" s="327"/>
      <c r="X698" s="320"/>
      <c r="Y698" s="201"/>
      <c r="Z698" s="201"/>
      <c r="AA698" s="201"/>
      <c r="AB698" s="17"/>
      <c r="AC698" s="17"/>
      <c r="AD698" s="17"/>
      <c r="AE698" s="17"/>
    </row>
    <row r="699">
      <c r="A699" s="150"/>
      <c r="B699" s="164"/>
      <c r="C699" s="320"/>
      <c r="D699" s="150"/>
      <c r="E699" s="164"/>
      <c r="F699" s="320"/>
      <c r="G699" s="150"/>
      <c r="H699" s="164"/>
      <c r="I699" s="320"/>
      <c r="J699" s="150"/>
      <c r="K699" s="164"/>
      <c r="L699" s="320"/>
      <c r="M699" s="326"/>
      <c r="N699" s="327"/>
      <c r="O699" s="328"/>
      <c r="P699" s="326"/>
      <c r="Q699" s="327"/>
      <c r="R699" s="328"/>
      <c r="S699" s="326"/>
      <c r="T699" s="327"/>
      <c r="U699" s="328"/>
      <c r="V699" s="150"/>
      <c r="W699" s="327"/>
      <c r="X699" s="320"/>
      <c r="Y699" s="201"/>
      <c r="Z699" s="201"/>
      <c r="AA699" s="201"/>
      <c r="AB699" s="17"/>
      <c r="AC699" s="17"/>
      <c r="AD699" s="17"/>
      <c r="AE699" s="17"/>
    </row>
    <row r="700">
      <c r="A700" s="150"/>
      <c r="B700" s="164"/>
      <c r="C700" s="320"/>
      <c r="D700" s="150"/>
      <c r="E700" s="164"/>
      <c r="F700" s="320"/>
      <c r="G700" s="150"/>
      <c r="H700" s="164"/>
      <c r="I700" s="320"/>
      <c r="J700" s="150"/>
      <c r="K700" s="164"/>
      <c r="L700" s="320"/>
      <c r="M700" s="326"/>
      <c r="N700" s="327"/>
      <c r="O700" s="328"/>
      <c r="P700" s="326"/>
      <c r="Q700" s="327"/>
      <c r="R700" s="328"/>
      <c r="S700" s="326"/>
      <c r="T700" s="327"/>
      <c r="U700" s="328"/>
      <c r="V700" s="150"/>
      <c r="W700" s="327"/>
      <c r="X700" s="320"/>
      <c r="Y700" s="201"/>
      <c r="Z700" s="201"/>
      <c r="AA700" s="201"/>
      <c r="AB700" s="17"/>
      <c r="AC700" s="17"/>
      <c r="AD700" s="17"/>
      <c r="AE700" s="17"/>
    </row>
    <row r="701">
      <c r="A701" s="150"/>
      <c r="B701" s="164"/>
      <c r="C701" s="320"/>
      <c r="D701" s="150"/>
      <c r="E701" s="164"/>
      <c r="F701" s="320"/>
      <c r="G701" s="150"/>
      <c r="H701" s="164"/>
      <c r="I701" s="320"/>
      <c r="J701" s="150"/>
      <c r="K701" s="164"/>
      <c r="L701" s="320"/>
      <c r="M701" s="326"/>
      <c r="N701" s="327"/>
      <c r="O701" s="328"/>
      <c r="P701" s="326"/>
      <c r="Q701" s="327"/>
      <c r="R701" s="328"/>
      <c r="S701" s="326"/>
      <c r="T701" s="327"/>
      <c r="U701" s="328"/>
      <c r="V701" s="150"/>
      <c r="W701" s="327"/>
      <c r="X701" s="320"/>
      <c r="Y701" s="201"/>
      <c r="Z701" s="201"/>
      <c r="AA701" s="201"/>
      <c r="AB701" s="17"/>
      <c r="AC701" s="17"/>
      <c r="AD701" s="17"/>
      <c r="AE701" s="17"/>
    </row>
    <row r="702">
      <c r="A702" s="150"/>
      <c r="B702" s="164"/>
      <c r="C702" s="320"/>
      <c r="D702" s="150"/>
      <c r="E702" s="164"/>
      <c r="F702" s="320"/>
      <c r="G702" s="150"/>
      <c r="H702" s="164"/>
      <c r="I702" s="320"/>
      <c r="J702" s="150"/>
      <c r="K702" s="164"/>
      <c r="L702" s="320"/>
      <c r="M702" s="326"/>
      <c r="N702" s="327"/>
      <c r="O702" s="328"/>
      <c r="P702" s="326"/>
      <c r="Q702" s="327"/>
      <c r="R702" s="328"/>
      <c r="S702" s="326"/>
      <c r="T702" s="327"/>
      <c r="U702" s="328"/>
      <c r="V702" s="150"/>
      <c r="W702" s="327"/>
      <c r="X702" s="320"/>
      <c r="Y702" s="201"/>
      <c r="Z702" s="201"/>
      <c r="AA702" s="201"/>
      <c r="AB702" s="17"/>
      <c r="AC702" s="17"/>
      <c r="AD702" s="17"/>
      <c r="AE702" s="17"/>
    </row>
    <row r="703">
      <c r="A703" s="150"/>
      <c r="B703" s="164"/>
      <c r="C703" s="320"/>
      <c r="D703" s="150"/>
      <c r="E703" s="164"/>
      <c r="F703" s="320"/>
      <c r="G703" s="150"/>
      <c r="H703" s="164"/>
      <c r="I703" s="320"/>
      <c r="J703" s="150"/>
      <c r="K703" s="164"/>
      <c r="L703" s="320"/>
      <c r="M703" s="326"/>
      <c r="N703" s="327"/>
      <c r="O703" s="328"/>
      <c r="P703" s="326"/>
      <c r="Q703" s="327"/>
      <c r="R703" s="328"/>
      <c r="S703" s="326"/>
      <c r="T703" s="327"/>
      <c r="U703" s="328"/>
      <c r="V703" s="150"/>
      <c r="W703" s="327"/>
      <c r="X703" s="320"/>
      <c r="Y703" s="201"/>
      <c r="Z703" s="201"/>
      <c r="AA703" s="201"/>
      <c r="AB703" s="17"/>
      <c r="AC703" s="17"/>
      <c r="AD703" s="17"/>
      <c r="AE703" s="17"/>
    </row>
    <row r="704">
      <c r="A704" s="150"/>
      <c r="B704" s="164"/>
      <c r="C704" s="320"/>
      <c r="D704" s="150"/>
      <c r="E704" s="164"/>
      <c r="F704" s="320"/>
      <c r="G704" s="150"/>
      <c r="H704" s="164"/>
      <c r="I704" s="320"/>
      <c r="J704" s="150"/>
      <c r="K704" s="164"/>
      <c r="L704" s="320"/>
      <c r="M704" s="326"/>
      <c r="N704" s="327"/>
      <c r="O704" s="328"/>
      <c r="P704" s="326"/>
      <c r="Q704" s="327"/>
      <c r="R704" s="328"/>
      <c r="S704" s="326"/>
      <c r="T704" s="327"/>
      <c r="U704" s="328"/>
      <c r="V704" s="150"/>
      <c r="W704" s="327"/>
      <c r="X704" s="320"/>
      <c r="Y704" s="201"/>
      <c r="Z704" s="201"/>
      <c r="AA704" s="201"/>
      <c r="AB704" s="17"/>
      <c r="AC704" s="17"/>
      <c r="AD704" s="17"/>
      <c r="AE704" s="17"/>
    </row>
    <row r="705">
      <c r="A705" s="150"/>
      <c r="B705" s="164"/>
      <c r="C705" s="320"/>
      <c r="D705" s="150"/>
      <c r="E705" s="164"/>
      <c r="F705" s="320"/>
      <c r="G705" s="150"/>
      <c r="H705" s="164"/>
      <c r="I705" s="320"/>
      <c r="J705" s="150"/>
      <c r="K705" s="164"/>
      <c r="L705" s="320"/>
      <c r="M705" s="326"/>
      <c r="N705" s="327"/>
      <c r="O705" s="328"/>
      <c r="P705" s="326"/>
      <c r="Q705" s="327"/>
      <c r="R705" s="328"/>
      <c r="S705" s="326"/>
      <c r="T705" s="327"/>
      <c r="U705" s="328"/>
      <c r="V705" s="150"/>
      <c r="W705" s="327"/>
      <c r="X705" s="320"/>
      <c r="Y705" s="201"/>
      <c r="Z705" s="201"/>
      <c r="AA705" s="201"/>
      <c r="AB705" s="17"/>
      <c r="AC705" s="17"/>
      <c r="AD705" s="17"/>
      <c r="AE705" s="17"/>
    </row>
    <row r="706">
      <c r="A706" s="150"/>
      <c r="B706" s="164"/>
      <c r="C706" s="320"/>
      <c r="D706" s="150"/>
      <c r="E706" s="164"/>
      <c r="F706" s="320"/>
      <c r="G706" s="150"/>
      <c r="H706" s="164"/>
      <c r="I706" s="320"/>
      <c r="J706" s="150"/>
      <c r="K706" s="164"/>
      <c r="L706" s="320"/>
      <c r="M706" s="326"/>
      <c r="N706" s="327"/>
      <c r="O706" s="328"/>
      <c r="P706" s="326"/>
      <c r="Q706" s="327"/>
      <c r="R706" s="328"/>
      <c r="S706" s="326"/>
      <c r="T706" s="327"/>
      <c r="U706" s="328"/>
      <c r="V706" s="150"/>
      <c r="W706" s="327"/>
      <c r="X706" s="320"/>
      <c r="Y706" s="201"/>
      <c r="Z706" s="201"/>
      <c r="AA706" s="201"/>
      <c r="AB706" s="17"/>
      <c r="AC706" s="17"/>
      <c r="AD706" s="17"/>
      <c r="AE706" s="17"/>
    </row>
    <row r="707">
      <c r="A707" s="150"/>
      <c r="B707" s="164"/>
      <c r="C707" s="320"/>
      <c r="D707" s="150"/>
      <c r="E707" s="164"/>
      <c r="F707" s="320"/>
      <c r="G707" s="150"/>
      <c r="H707" s="164"/>
      <c r="I707" s="320"/>
      <c r="J707" s="150"/>
      <c r="K707" s="164"/>
      <c r="L707" s="320"/>
      <c r="M707" s="326"/>
      <c r="N707" s="327"/>
      <c r="O707" s="328"/>
      <c r="P707" s="326"/>
      <c r="Q707" s="327"/>
      <c r="R707" s="328"/>
      <c r="S707" s="326"/>
      <c r="T707" s="327"/>
      <c r="U707" s="328"/>
      <c r="V707" s="150"/>
      <c r="W707" s="327"/>
      <c r="X707" s="320"/>
      <c r="Y707" s="201"/>
      <c r="Z707" s="201"/>
      <c r="AA707" s="201"/>
      <c r="AB707" s="17"/>
      <c r="AC707" s="17"/>
      <c r="AD707" s="17"/>
      <c r="AE707" s="17"/>
    </row>
    <row r="708">
      <c r="A708" s="150"/>
      <c r="B708" s="164"/>
      <c r="C708" s="320"/>
      <c r="D708" s="150"/>
      <c r="E708" s="164"/>
      <c r="F708" s="320"/>
      <c r="G708" s="150"/>
      <c r="H708" s="164"/>
      <c r="I708" s="320"/>
      <c r="J708" s="150"/>
      <c r="K708" s="164"/>
      <c r="L708" s="320"/>
      <c r="M708" s="326"/>
      <c r="N708" s="327"/>
      <c r="O708" s="328"/>
      <c r="P708" s="326"/>
      <c r="Q708" s="327"/>
      <c r="R708" s="328"/>
      <c r="S708" s="326"/>
      <c r="T708" s="327"/>
      <c r="U708" s="328"/>
      <c r="V708" s="150"/>
      <c r="W708" s="327"/>
      <c r="X708" s="320"/>
      <c r="Y708" s="201"/>
      <c r="Z708" s="201"/>
      <c r="AA708" s="201"/>
      <c r="AB708" s="17"/>
      <c r="AC708" s="17"/>
      <c r="AD708" s="17"/>
      <c r="AE708" s="17"/>
    </row>
    <row r="709">
      <c r="A709" s="150"/>
      <c r="B709" s="164"/>
      <c r="C709" s="320"/>
      <c r="D709" s="150"/>
      <c r="E709" s="164"/>
      <c r="F709" s="320"/>
      <c r="G709" s="150"/>
      <c r="H709" s="164"/>
      <c r="I709" s="320"/>
      <c r="J709" s="150"/>
      <c r="K709" s="164"/>
      <c r="L709" s="320"/>
      <c r="M709" s="326"/>
      <c r="N709" s="327"/>
      <c r="O709" s="328"/>
      <c r="P709" s="326"/>
      <c r="Q709" s="327"/>
      <c r="R709" s="328"/>
      <c r="S709" s="326"/>
      <c r="T709" s="327"/>
      <c r="U709" s="328"/>
      <c r="V709" s="150"/>
      <c r="W709" s="327"/>
      <c r="X709" s="320"/>
      <c r="Y709" s="201"/>
      <c r="Z709" s="201"/>
      <c r="AA709" s="201"/>
      <c r="AB709" s="17"/>
      <c r="AC709" s="17"/>
      <c r="AD709" s="17"/>
      <c r="AE709" s="17"/>
    </row>
    <row r="710">
      <c r="A710" s="150"/>
      <c r="B710" s="164"/>
      <c r="C710" s="320"/>
      <c r="D710" s="150"/>
      <c r="E710" s="164"/>
      <c r="F710" s="320"/>
      <c r="G710" s="150"/>
      <c r="H710" s="164"/>
      <c r="I710" s="320"/>
      <c r="J710" s="150"/>
      <c r="K710" s="164"/>
      <c r="L710" s="320"/>
      <c r="M710" s="326"/>
      <c r="N710" s="327"/>
      <c r="O710" s="328"/>
      <c r="P710" s="326"/>
      <c r="Q710" s="327"/>
      <c r="R710" s="328"/>
      <c r="S710" s="326"/>
      <c r="T710" s="327"/>
      <c r="U710" s="328"/>
      <c r="V710" s="150"/>
      <c r="W710" s="327"/>
      <c r="X710" s="320"/>
      <c r="Y710" s="201"/>
      <c r="Z710" s="201"/>
      <c r="AA710" s="201"/>
      <c r="AB710" s="17"/>
      <c r="AC710" s="17"/>
      <c r="AD710" s="17"/>
      <c r="AE710" s="17"/>
    </row>
    <row r="711">
      <c r="A711" s="150"/>
      <c r="B711" s="164"/>
      <c r="C711" s="320"/>
      <c r="D711" s="150"/>
      <c r="E711" s="164"/>
      <c r="F711" s="320"/>
      <c r="G711" s="150"/>
      <c r="H711" s="164"/>
      <c r="I711" s="320"/>
      <c r="J711" s="150"/>
      <c r="K711" s="164"/>
      <c r="L711" s="320"/>
      <c r="M711" s="326"/>
      <c r="N711" s="327"/>
      <c r="O711" s="328"/>
      <c r="P711" s="326"/>
      <c r="Q711" s="327"/>
      <c r="R711" s="328"/>
      <c r="S711" s="326"/>
      <c r="T711" s="327"/>
      <c r="U711" s="328"/>
      <c r="V711" s="150"/>
      <c r="W711" s="327"/>
      <c r="X711" s="320"/>
      <c r="Y711" s="201"/>
      <c r="Z711" s="201"/>
      <c r="AA711" s="201"/>
      <c r="AB711" s="17"/>
      <c r="AC711" s="17"/>
      <c r="AD711" s="17"/>
      <c r="AE711" s="17"/>
    </row>
    <row r="712">
      <c r="A712" s="150"/>
      <c r="B712" s="164"/>
      <c r="C712" s="320"/>
      <c r="D712" s="150"/>
      <c r="E712" s="164"/>
      <c r="F712" s="320"/>
      <c r="G712" s="150"/>
      <c r="H712" s="164"/>
      <c r="I712" s="320"/>
      <c r="J712" s="150"/>
      <c r="K712" s="164"/>
      <c r="L712" s="320"/>
      <c r="M712" s="326"/>
      <c r="N712" s="327"/>
      <c r="O712" s="328"/>
      <c r="P712" s="326"/>
      <c r="Q712" s="327"/>
      <c r="R712" s="328"/>
      <c r="S712" s="326"/>
      <c r="T712" s="327"/>
      <c r="U712" s="328"/>
      <c r="V712" s="150"/>
      <c r="W712" s="327"/>
      <c r="X712" s="320"/>
      <c r="Y712" s="201"/>
      <c r="Z712" s="201"/>
      <c r="AA712" s="201"/>
      <c r="AB712" s="17"/>
      <c r="AC712" s="17"/>
      <c r="AD712" s="17"/>
      <c r="AE712" s="17"/>
    </row>
    <row r="713">
      <c r="A713" s="150"/>
      <c r="B713" s="164"/>
      <c r="C713" s="320"/>
      <c r="D713" s="150"/>
      <c r="E713" s="164"/>
      <c r="F713" s="320"/>
      <c r="G713" s="150"/>
      <c r="H713" s="164"/>
      <c r="I713" s="320"/>
      <c r="J713" s="150"/>
      <c r="K713" s="164"/>
      <c r="L713" s="320"/>
      <c r="M713" s="326"/>
      <c r="N713" s="327"/>
      <c r="O713" s="328"/>
      <c r="P713" s="326"/>
      <c r="Q713" s="327"/>
      <c r="R713" s="328"/>
      <c r="S713" s="326"/>
      <c r="T713" s="327"/>
      <c r="U713" s="328"/>
      <c r="V713" s="150"/>
      <c r="W713" s="327"/>
      <c r="X713" s="320"/>
      <c r="Y713" s="201"/>
      <c r="Z713" s="201"/>
      <c r="AA713" s="201"/>
      <c r="AB713" s="17"/>
      <c r="AC713" s="17"/>
      <c r="AD713" s="17"/>
      <c r="AE713" s="17"/>
    </row>
    <row r="714">
      <c r="A714" s="150"/>
      <c r="B714" s="164"/>
      <c r="C714" s="320"/>
      <c r="D714" s="150"/>
      <c r="E714" s="164"/>
      <c r="F714" s="320"/>
      <c r="G714" s="150"/>
      <c r="H714" s="164"/>
      <c r="I714" s="320"/>
      <c r="J714" s="150"/>
      <c r="K714" s="164"/>
      <c r="L714" s="320"/>
      <c r="M714" s="326"/>
      <c r="N714" s="327"/>
      <c r="O714" s="328"/>
      <c r="P714" s="326"/>
      <c r="Q714" s="327"/>
      <c r="R714" s="328"/>
      <c r="S714" s="326"/>
      <c r="T714" s="327"/>
      <c r="U714" s="328"/>
      <c r="V714" s="150"/>
      <c r="W714" s="327"/>
      <c r="X714" s="320"/>
      <c r="Y714" s="201"/>
      <c r="Z714" s="201"/>
      <c r="AA714" s="201"/>
      <c r="AB714" s="17"/>
      <c r="AC714" s="17"/>
      <c r="AD714" s="17"/>
      <c r="AE714" s="17"/>
    </row>
    <row r="715">
      <c r="A715" s="150"/>
      <c r="B715" s="164"/>
      <c r="C715" s="320"/>
      <c r="D715" s="150"/>
      <c r="E715" s="164"/>
      <c r="F715" s="320"/>
      <c r="G715" s="150"/>
      <c r="H715" s="164"/>
      <c r="I715" s="320"/>
      <c r="J715" s="150"/>
      <c r="K715" s="164"/>
      <c r="L715" s="320"/>
      <c r="M715" s="326"/>
      <c r="N715" s="327"/>
      <c r="O715" s="328"/>
      <c r="P715" s="326"/>
      <c r="Q715" s="327"/>
      <c r="R715" s="328"/>
      <c r="S715" s="326"/>
      <c r="T715" s="327"/>
      <c r="U715" s="328"/>
      <c r="V715" s="150"/>
      <c r="W715" s="327"/>
      <c r="X715" s="320"/>
      <c r="Y715" s="201"/>
      <c r="Z715" s="201"/>
      <c r="AA715" s="201"/>
      <c r="AB715" s="17"/>
      <c r="AC715" s="17"/>
      <c r="AD715" s="17"/>
      <c r="AE715" s="17"/>
    </row>
    <row r="716">
      <c r="A716" s="150"/>
      <c r="B716" s="164"/>
      <c r="C716" s="320"/>
      <c r="D716" s="150"/>
      <c r="E716" s="164"/>
      <c r="F716" s="320"/>
      <c r="G716" s="150"/>
      <c r="H716" s="164"/>
      <c r="I716" s="320"/>
      <c r="J716" s="150"/>
      <c r="K716" s="164"/>
      <c r="L716" s="320"/>
      <c r="M716" s="326"/>
      <c r="N716" s="327"/>
      <c r="O716" s="328"/>
      <c r="P716" s="326"/>
      <c r="Q716" s="327"/>
      <c r="R716" s="328"/>
      <c r="S716" s="326"/>
      <c r="T716" s="327"/>
      <c r="U716" s="328"/>
      <c r="V716" s="150"/>
      <c r="W716" s="327"/>
      <c r="X716" s="320"/>
      <c r="Y716" s="201"/>
      <c r="Z716" s="201"/>
      <c r="AA716" s="201"/>
      <c r="AB716" s="17"/>
      <c r="AC716" s="17"/>
      <c r="AD716" s="17"/>
      <c r="AE716" s="17"/>
    </row>
    <row r="717">
      <c r="A717" s="150"/>
      <c r="B717" s="164"/>
      <c r="C717" s="320"/>
      <c r="D717" s="150"/>
      <c r="E717" s="164"/>
      <c r="F717" s="320"/>
      <c r="G717" s="150"/>
      <c r="H717" s="164"/>
      <c r="I717" s="320"/>
      <c r="J717" s="150"/>
      <c r="K717" s="164"/>
      <c r="L717" s="320"/>
      <c r="M717" s="326"/>
      <c r="N717" s="327"/>
      <c r="O717" s="328"/>
      <c r="P717" s="326"/>
      <c r="Q717" s="327"/>
      <c r="R717" s="328"/>
      <c r="S717" s="326"/>
      <c r="T717" s="327"/>
      <c r="U717" s="328"/>
      <c r="V717" s="150"/>
      <c r="W717" s="327"/>
      <c r="X717" s="320"/>
      <c r="Y717" s="201"/>
      <c r="Z717" s="201"/>
      <c r="AA717" s="201"/>
      <c r="AB717" s="17"/>
      <c r="AC717" s="17"/>
      <c r="AD717" s="17"/>
      <c r="AE717" s="17"/>
    </row>
    <row r="718">
      <c r="A718" s="150"/>
      <c r="B718" s="164"/>
      <c r="C718" s="320"/>
      <c r="D718" s="150"/>
      <c r="E718" s="164"/>
      <c r="F718" s="320"/>
      <c r="G718" s="150"/>
      <c r="H718" s="164"/>
      <c r="I718" s="320"/>
      <c r="J718" s="150"/>
      <c r="K718" s="164"/>
      <c r="L718" s="320"/>
      <c r="M718" s="326"/>
      <c r="N718" s="327"/>
      <c r="O718" s="328"/>
      <c r="P718" s="326"/>
      <c r="Q718" s="327"/>
      <c r="R718" s="328"/>
      <c r="S718" s="326"/>
      <c r="T718" s="327"/>
      <c r="U718" s="328"/>
      <c r="V718" s="150"/>
      <c r="W718" s="327"/>
      <c r="X718" s="320"/>
      <c r="Y718" s="201"/>
      <c r="Z718" s="201"/>
      <c r="AA718" s="201"/>
      <c r="AB718" s="17"/>
      <c r="AC718" s="17"/>
      <c r="AD718" s="17"/>
      <c r="AE718" s="17"/>
    </row>
    <row r="719">
      <c r="A719" s="150"/>
      <c r="B719" s="164"/>
      <c r="C719" s="320"/>
      <c r="D719" s="150"/>
      <c r="E719" s="164"/>
      <c r="F719" s="320"/>
      <c r="G719" s="150"/>
      <c r="H719" s="164"/>
      <c r="I719" s="320"/>
      <c r="J719" s="150"/>
      <c r="K719" s="164"/>
      <c r="L719" s="320"/>
      <c r="M719" s="326"/>
      <c r="N719" s="327"/>
      <c r="O719" s="328"/>
      <c r="P719" s="326"/>
      <c r="Q719" s="327"/>
      <c r="R719" s="328"/>
      <c r="S719" s="326"/>
      <c r="T719" s="327"/>
      <c r="U719" s="328"/>
      <c r="V719" s="150"/>
      <c r="W719" s="327"/>
      <c r="X719" s="320"/>
      <c r="Y719" s="201"/>
      <c r="Z719" s="201"/>
      <c r="AA719" s="201"/>
      <c r="AB719" s="17"/>
      <c r="AC719" s="17"/>
      <c r="AD719" s="17"/>
      <c r="AE719" s="17"/>
    </row>
    <row r="720">
      <c r="A720" s="150"/>
      <c r="B720" s="164"/>
      <c r="C720" s="320"/>
      <c r="D720" s="150"/>
      <c r="E720" s="164"/>
      <c r="F720" s="320"/>
      <c r="G720" s="150"/>
      <c r="H720" s="164"/>
      <c r="I720" s="320"/>
      <c r="J720" s="150"/>
      <c r="K720" s="164"/>
      <c r="L720" s="320"/>
      <c r="M720" s="326"/>
      <c r="N720" s="327"/>
      <c r="O720" s="328"/>
      <c r="P720" s="326"/>
      <c r="Q720" s="327"/>
      <c r="R720" s="328"/>
      <c r="S720" s="326"/>
      <c r="T720" s="327"/>
      <c r="U720" s="328"/>
      <c r="V720" s="150"/>
      <c r="W720" s="327"/>
      <c r="X720" s="320"/>
      <c r="Y720" s="201"/>
      <c r="Z720" s="201"/>
      <c r="AA720" s="201"/>
      <c r="AB720" s="17"/>
      <c r="AC720" s="17"/>
      <c r="AD720" s="17"/>
      <c r="AE720" s="17"/>
    </row>
    <row r="721">
      <c r="A721" s="150"/>
      <c r="B721" s="164"/>
      <c r="C721" s="320"/>
      <c r="D721" s="150"/>
      <c r="E721" s="164"/>
      <c r="F721" s="320"/>
      <c r="G721" s="150"/>
      <c r="H721" s="164"/>
      <c r="I721" s="320"/>
      <c r="J721" s="150"/>
      <c r="K721" s="164"/>
      <c r="L721" s="320"/>
      <c r="M721" s="326"/>
      <c r="N721" s="327"/>
      <c r="O721" s="328"/>
      <c r="P721" s="326"/>
      <c r="Q721" s="327"/>
      <c r="R721" s="328"/>
      <c r="S721" s="326"/>
      <c r="T721" s="327"/>
      <c r="U721" s="328"/>
      <c r="V721" s="150"/>
      <c r="W721" s="327"/>
      <c r="X721" s="320"/>
      <c r="Y721" s="201"/>
      <c r="Z721" s="201"/>
      <c r="AA721" s="201"/>
      <c r="AB721" s="17"/>
      <c r="AC721" s="17"/>
      <c r="AD721" s="17"/>
      <c r="AE721" s="17"/>
    </row>
    <row r="722">
      <c r="A722" s="150"/>
      <c r="B722" s="164"/>
      <c r="C722" s="320"/>
      <c r="D722" s="150"/>
      <c r="E722" s="164"/>
      <c r="F722" s="320"/>
      <c r="G722" s="150"/>
      <c r="H722" s="164"/>
      <c r="I722" s="320"/>
      <c r="J722" s="150"/>
      <c r="K722" s="164"/>
      <c r="L722" s="320"/>
      <c r="M722" s="326"/>
      <c r="N722" s="327"/>
      <c r="O722" s="328"/>
      <c r="P722" s="326"/>
      <c r="Q722" s="327"/>
      <c r="R722" s="328"/>
      <c r="S722" s="326"/>
      <c r="T722" s="327"/>
      <c r="U722" s="328"/>
      <c r="V722" s="150"/>
      <c r="W722" s="327"/>
      <c r="X722" s="320"/>
      <c r="Y722" s="201"/>
      <c r="Z722" s="201"/>
      <c r="AA722" s="201"/>
      <c r="AB722" s="17"/>
      <c r="AC722" s="17"/>
      <c r="AD722" s="17"/>
      <c r="AE722" s="17"/>
    </row>
    <row r="723">
      <c r="A723" s="150"/>
      <c r="B723" s="164"/>
      <c r="C723" s="320"/>
      <c r="D723" s="150"/>
      <c r="E723" s="164"/>
      <c r="F723" s="320"/>
      <c r="G723" s="150"/>
      <c r="H723" s="164"/>
      <c r="I723" s="320"/>
      <c r="J723" s="150"/>
      <c r="K723" s="164"/>
      <c r="L723" s="320"/>
      <c r="M723" s="326"/>
      <c r="N723" s="327"/>
      <c r="O723" s="328"/>
      <c r="P723" s="326"/>
      <c r="Q723" s="327"/>
      <c r="R723" s="328"/>
      <c r="S723" s="326"/>
      <c r="T723" s="327"/>
      <c r="U723" s="328"/>
      <c r="V723" s="150"/>
      <c r="W723" s="327"/>
      <c r="X723" s="320"/>
      <c r="Y723" s="201"/>
      <c r="Z723" s="201"/>
      <c r="AA723" s="201"/>
      <c r="AB723" s="17"/>
      <c r="AC723" s="17"/>
      <c r="AD723" s="17"/>
      <c r="AE723" s="17"/>
    </row>
    <row r="724">
      <c r="A724" s="150"/>
      <c r="B724" s="164"/>
      <c r="C724" s="320"/>
      <c r="D724" s="150"/>
      <c r="E724" s="164"/>
      <c r="F724" s="320"/>
      <c r="G724" s="150"/>
      <c r="H724" s="164"/>
      <c r="I724" s="320"/>
      <c r="J724" s="150"/>
      <c r="K724" s="164"/>
      <c r="L724" s="320"/>
      <c r="M724" s="326"/>
      <c r="N724" s="327"/>
      <c r="O724" s="328"/>
      <c r="P724" s="326"/>
      <c r="Q724" s="327"/>
      <c r="R724" s="328"/>
      <c r="S724" s="326"/>
      <c r="T724" s="327"/>
      <c r="U724" s="328"/>
      <c r="V724" s="150"/>
      <c r="W724" s="327"/>
      <c r="X724" s="320"/>
      <c r="Y724" s="201"/>
      <c r="Z724" s="201"/>
      <c r="AA724" s="201"/>
      <c r="AB724" s="17"/>
      <c r="AC724" s="17"/>
      <c r="AD724" s="17"/>
      <c r="AE724" s="17"/>
    </row>
    <row r="725">
      <c r="A725" s="150"/>
      <c r="B725" s="164"/>
      <c r="C725" s="320"/>
      <c r="D725" s="150"/>
      <c r="E725" s="164"/>
      <c r="F725" s="320"/>
      <c r="G725" s="150"/>
      <c r="H725" s="164"/>
      <c r="I725" s="320"/>
      <c r="J725" s="150"/>
      <c r="K725" s="164"/>
      <c r="L725" s="320"/>
      <c r="M725" s="326"/>
      <c r="N725" s="327"/>
      <c r="O725" s="328"/>
      <c r="P725" s="326"/>
      <c r="Q725" s="327"/>
      <c r="R725" s="328"/>
      <c r="S725" s="326"/>
      <c r="T725" s="327"/>
      <c r="U725" s="328"/>
      <c r="V725" s="150"/>
      <c r="W725" s="327"/>
      <c r="X725" s="320"/>
      <c r="Y725" s="201"/>
      <c r="Z725" s="201"/>
      <c r="AA725" s="201"/>
      <c r="AB725" s="17"/>
      <c r="AC725" s="17"/>
      <c r="AD725" s="17"/>
      <c r="AE725" s="17"/>
    </row>
    <row r="726">
      <c r="A726" s="150"/>
      <c r="B726" s="164"/>
      <c r="C726" s="320"/>
      <c r="D726" s="150"/>
      <c r="E726" s="164"/>
      <c r="F726" s="320"/>
      <c r="G726" s="150"/>
      <c r="H726" s="164"/>
      <c r="I726" s="320"/>
      <c r="J726" s="150"/>
      <c r="K726" s="164"/>
      <c r="L726" s="320"/>
      <c r="M726" s="326"/>
      <c r="N726" s="327"/>
      <c r="O726" s="328"/>
      <c r="P726" s="326"/>
      <c r="Q726" s="327"/>
      <c r="R726" s="328"/>
      <c r="S726" s="326"/>
      <c r="T726" s="327"/>
      <c r="U726" s="328"/>
      <c r="V726" s="150"/>
      <c r="W726" s="327"/>
      <c r="X726" s="320"/>
      <c r="Y726" s="201"/>
      <c r="Z726" s="201"/>
      <c r="AA726" s="201"/>
      <c r="AB726" s="17"/>
      <c r="AC726" s="17"/>
      <c r="AD726" s="17"/>
      <c r="AE726" s="17"/>
    </row>
    <row r="727">
      <c r="A727" s="150"/>
      <c r="B727" s="164"/>
      <c r="C727" s="320"/>
      <c r="D727" s="150"/>
      <c r="E727" s="164"/>
      <c r="F727" s="320"/>
      <c r="G727" s="150"/>
      <c r="H727" s="164"/>
      <c r="I727" s="320"/>
      <c r="J727" s="150"/>
      <c r="K727" s="164"/>
      <c r="L727" s="320"/>
      <c r="M727" s="326"/>
      <c r="N727" s="327"/>
      <c r="O727" s="328"/>
      <c r="P727" s="326"/>
      <c r="Q727" s="327"/>
      <c r="R727" s="328"/>
      <c r="S727" s="326"/>
      <c r="T727" s="327"/>
      <c r="U727" s="328"/>
      <c r="V727" s="150"/>
      <c r="W727" s="327"/>
      <c r="X727" s="320"/>
      <c r="Y727" s="201"/>
      <c r="Z727" s="201"/>
      <c r="AA727" s="201"/>
      <c r="AB727" s="17"/>
      <c r="AC727" s="17"/>
      <c r="AD727" s="17"/>
      <c r="AE727" s="17"/>
    </row>
    <row r="728">
      <c r="A728" s="150"/>
      <c r="B728" s="164"/>
      <c r="C728" s="320"/>
      <c r="D728" s="150"/>
      <c r="E728" s="164"/>
      <c r="F728" s="320"/>
      <c r="G728" s="150"/>
      <c r="H728" s="164"/>
      <c r="I728" s="320"/>
      <c r="J728" s="150"/>
      <c r="K728" s="164"/>
      <c r="L728" s="320"/>
      <c r="M728" s="326"/>
      <c r="N728" s="327"/>
      <c r="O728" s="328"/>
      <c r="P728" s="326"/>
      <c r="Q728" s="327"/>
      <c r="R728" s="328"/>
      <c r="S728" s="326"/>
      <c r="T728" s="327"/>
      <c r="U728" s="328"/>
      <c r="V728" s="150"/>
      <c r="W728" s="327"/>
      <c r="X728" s="320"/>
      <c r="Y728" s="201"/>
      <c r="Z728" s="201"/>
      <c r="AA728" s="201"/>
      <c r="AB728" s="17"/>
      <c r="AC728" s="17"/>
      <c r="AD728" s="17"/>
      <c r="AE728" s="17"/>
    </row>
    <row r="729">
      <c r="A729" s="150"/>
      <c r="B729" s="164"/>
      <c r="C729" s="320"/>
      <c r="D729" s="150"/>
      <c r="E729" s="164"/>
      <c r="F729" s="320"/>
      <c r="G729" s="150"/>
      <c r="H729" s="164"/>
      <c r="I729" s="320"/>
      <c r="J729" s="150"/>
      <c r="K729" s="164"/>
      <c r="L729" s="320"/>
      <c r="M729" s="326"/>
      <c r="N729" s="327"/>
      <c r="O729" s="328"/>
      <c r="P729" s="326"/>
      <c r="Q729" s="327"/>
      <c r="R729" s="328"/>
      <c r="S729" s="326"/>
      <c r="T729" s="327"/>
      <c r="U729" s="328"/>
      <c r="V729" s="150"/>
      <c r="W729" s="327"/>
      <c r="X729" s="320"/>
      <c r="Y729" s="201"/>
      <c r="Z729" s="201"/>
      <c r="AA729" s="201"/>
      <c r="AB729" s="17"/>
      <c r="AC729" s="17"/>
      <c r="AD729" s="17"/>
      <c r="AE729" s="17"/>
    </row>
    <row r="730">
      <c r="A730" s="150"/>
      <c r="B730" s="164"/>
      <c r="C730" s="320"/>
      <c r="D730" s="150"/>
      <c r="E730" s="164"/>
      <c r="F730" s="320"/>
      <c r="G730" s="150"/>
      <c r="H730" s="164"/>
      <c r="I730" s="320"/>
      <c r="J730" s="150"/>
      <c r="K730" s="164"/>
      <c r="L730" s="320"/>
      <c r="M730" s="326"/>
      <c r="N730" s="327"/>
      <c r="O730" s="328"/>
      <c r="P730" s="326"/>
      <c r="Q730" s="327"/>
      <c r="R730" s="328"/>
      <c r="S730" s="326"/>
      <c r="T730" s="327"/>
      <c r="U730" s="328"/>
      <c r="V730" s="150"/>
      <c r="W730" s="327"/>
      <c r="X730" s="320"/>
      <c r="Y730" s="201"/>
      <c r="Z730" s="201"/>
      <c r="AA730" s="201"/>
      <c r="AB730" s="17"/>
      <c r="AC730" s="17"/>
      <c r="AD730" s="17"/>
      <c r="AE730" s="17"/>
    </row>
    <row r="731">
      <c r="A731" s="150"/>
      <c r="B731" s="164"/>
      <c r="C731" s="320"/>
      <c r="D731" s="150"/>
      <c r="E731" s="164"/>
      <c r="F731" s="320"/>
      <c r="G731" s="150"/>
      <c r="H731" s="164"/>
      <c r="I731" s="320"/>
      <c r="J731" s="150"/>
      <c r="K731" s="164"/>
      <c r="L731" s="320"/>
      <c r="M731" s="326"/>
      <c r="N731" s="327"/>
      <c r="O731" s="328"/>
      <c r="P731" s="326"/>
      <c r="Q731" s="327"/>
      <c r="R731" s="328"/>
      <c r="S731" s="326"/>
      <c r="T731" s="327"/>
      <c r="U731" s="328"/>
      <c r="V731" s="150"/>
      <c r="W731" s="327"/>
      <c r="X731" s="320"/>
      <c r="Y731" s="201"/>
      <c r="Z731" s="201"/>
      <c r="AA731" s="201"/>
      <c r="AB731" s="17"/>
      <c r="AC731" s="17"/>
      <c r="AD731" s="17"/>
      <c r="AE731" s="17"/>
    </row>
    <row r="732">
      <c r="A732" s="150"/>
      <c r="B732" s="164"/>
      <c r="C732" s="320"/>
      <c r="D732" s="150"/>
      <c r="E732" s="164"/>
      <c r="F732" s="320"/>
      <c r="G732" s="150"/>
      <c r="H732" s="164"/>
      <c r="I732" s="320"/>
      <c r="J732" s="150"/>
      <c r="K732" s="164"/>
      <c r="L732" s="320"/>
      <c r="M732" s="326"/>
      <c r="N732" s="327"/>
      <c r="O732" s="328"/>
      <c r="P732" s="326"/>
      <c r="Q732" s="327"/>
      <c r="R732" s="328"/>
      <c r="S732" s="326"/>
      <c r="T732" s="327"/>
      <c r="U732" s="328"/>
      <c r="V732" s="150"/>
      <c r="W732" s="327"/>
      <c r="X732" s="320"/>
      <c r="Y732" s="201"/>
      <c r="Z732" s="201"/>
      <c r="AA732" s="201"/>
      <c r="AB732" s="17"/>
      <c r="AC732" s="17"/>
      <c r="AD732" s="17"/>
      <c r="AE732" s="17"/>
    </row>
    <row r="733">
      <c r="A733" s="150"/>
      <c r="B733" s="164"/>
      <c r="C733" s="320"/>
      <c r="D733" s="150"/>
      <c r="E733" s="164"/>
      <c r="F733" s="320"/>
      <c r="G733" s="150"/>
      <c r="H733" s="164"/>
      <c r="I733" s="320"/>
      <c r="J733" s="150"/>
      <c r="K733" s="164"/>
      <c r="L733" s="320"/>
      <c r="M733" s="326"/>
      <c r="N733" s="327"/>
      <c r="O733" s="328"/>
      <c r="P733" s="326"/>
      <c r="Q733" s="327"/>
      <c r="R733" s="328"/>
      <c r="S733" s="326"/>
      <c r="T733" s="327"/>
      <c r="U733" s="328"/>
      <c r="V733" s="150"/>
      <c r="W733" s="327"/>
      <c r="X733" s="320"/>
      <c r="Y733" s="201"/>
      <c r="Z733" s="201"/>
      <c r="AA733" s="201"/>
      <c r="AB733" s="17"/>
      <c r="AC733" s="17"/>
      <c r="AD733" s="17"/>
      <c r="AE733" s="17"/>
    </row>
    <row r="734">
      <c r="A734" s="150"/>
      <c r="B734" s="164"/>
      <c r="C734" s="320"/>
      <c r="D734" s="150"/>
      <c r="E734" s="164"/>
      <c r="F734" s="320"/>
      <c r="G734" s="150"/>
      <c r="H734" s="164"/>
      <c r="I734" s="320"/>
      <c r="J734" s="150"/>
      <c r="K734" s="164"/>
      <c r="L734" s="320"/>
      <c r="M734" s="326"/>
      <c r="N734" s="327"/>
      <c r="O734" s="328"/>
      <c r="P734" s="326"/>
      <c r="Q734" s="327"/>
      <c r="R734" s="328"/>
      <c r="S734" s="326"/>
      <c r="T734" s="327"/>
      <c r="U734" s="328"/>
      <c r="V734" s="150"/>
      <c r="W734" s="327"/>
      <c r="X734" s="320"/>
      <c r="Y734" s="201"/>
      <c r="Z734" s="201"/>
      <c r="AA734" s="201"/>
      <c r="AB734" s="17"/>
      <c r="AC734" s="17"/>
      <c r="AD734" s="17"/>
      <c r="AE734" s="17"/>
    </row>
    <row r="735">
      <c r="A735" s="150"/>
      <c r="B735" s="164"/>
      <c r="C735" s="320"/>
      <c r="D735" s="150"/>
      <c r="E735" s="164"/>
      <c r="F735" s="320"/>
      <c r="G735" s="150"/>
      <c r="H735" s="164"/>
      <c r="I735" s="320"/>
      <c r="J735" s="150"/>
      <c r="K735" s="164"/>
      <c r="L735" s="320"/>
      <c r="M735" s="326"/>
      <c r="N735" s="327"/>
      <c r="O735" s="328"/>
      <c r="P735" s="326"/>
      <c r="Q735" s="327"/>
      <c r="R735" s="328"/>
      <c r="S735" s="326"/>
      <c r="T735" s="327"/>
      <c r="U735" s="328"/>
      <c r="V735" s="150"/>
      <c r="W735" s="327"/>
      <c r="X735" s="320"/>
      <c r="Y735" s="201"/>
      <c r="Z735" s="201"/>
      <c r="AA735" s="201"/>
      <c r="AB735" s="17"/>
      <c r="AC735" s="17"/>
      <c r="AD735" s="17"/>
      <c r="AE735" s="17"/>
    </row>
    <row r="736">
      <c r="A736" s="150"/>
      <c r="B736" s="164"/>
      <c r="C736" s="320"/>
      <c r="D736" s="150"/>
      <c r="E736" s="164"/>
      <c r="F736" s="320"/>
      <c r="G736" s="150"/>
      <c r="H736" s="164"/>
      <c r="I736" s="320"/>
      <c r="J736" s="150"/>
      <c r="K736" s="164"/>
      <c r="L736" s="320"/>
      <c r="M736" s="326"/>
      <c r="N736" s="327"/>
      <c r="O736" s="328"/>
      <c r="P736" s="326"/>
      <c r="Q736" s="327"/>
      <c r="R736" s="328"/>
      <c r="S736" s="326"/>
      <c r="T736" s="327"/>
      <c r="U736" s="328"/>
      <c r="V736" s="150"/>
      <c r="W736" s="327"/>
      <c r="X736" s="320"/>
      <c r="Y736" s="201"/>
      <c r="Z736" s="201"/>
      <c r="AA736" s="201"/>
      <c r="AB736" s="17"/>
      <c r="AC736" s="17"/>
      <c r="AD736" s="17"/>
      <c r="AE736" s="17"/>
    </row>
    <row r="737">
      <c r="A737" s="150"/>
      <c r="B737" s="164"/>
      <c r="C737" s="320"/>
      <c r="D737" s="150"/>
      <c r="E737" s="164"/>
      <c r="F737" s="320"/>
      <c r="G737" s="150"/>
      <c r="H737" s="164"/>
      <c r="I737" s="320"/>
      <c r="J737" s="150"/>
      <c r="K737" s="164"/>
      <c r="L737" s="320"/>
      <c r="M737" s="326"/>
      <c r="N737" s="327"/>
      <c r="O737" s="328"/>
      <c r="P737" s="326"/>
      <c r="Q737" s="327"/>
      <c r="R737" s="328"/>
      <c r="S737" s="326"/>
      <c r="T737" s="327"/>
      <c r="U737" s="328"/>
      <c r="V737" s="150"/>
      <c r="W737" s="327"/>
      <c r="X737" s="320"/>
      <c r="Y737" s="201"/>
      <c r="Z737" s="201"/>
      <c r="AA737" s="201"/>
      <c r="AB737" s="17"/>
      <c r="AC737" s="17"/>
      <c r="AD737" s="17"/>
      <c r="AE737" s="17"/>
    </row>
    <row r="738">
      <c r="A738" s="150"/>
      <c r="B738" s="164"/>
      <c r="C738" s="320"/>
      <c r="D738" s="150"/>
      <c r="E738" s="164"/>
      <c r="F738" s="320"/>
      <c r="G738" s="150"/>
      <c r="H738" s="164"/>
      <c r="I738" s="320"/>
      <c r="J738" s="150"/>
      <c r="K738" s="164"/>
      <c r="L738" s="320"/>
      <c r="M738" s="326"/>
      <c r="N738" s="327"/>
      <c r="O738" s="328"/>
      <c r="P738" s="326"/>
      <c r="Q738" s="327"/>
      <c r="R738" s="328"/>
      <c r="S738" s="326"/>
      <c r="T738" s="327"/>
      <c r="U738" s="328"/>
      <c r="V738" s="150"/>
      <c r="W738" s="327"/>
      <c r="X738" s="320"/>
      <c r="Y738" s="201"/>
      <c r="Z738" s="201"/>
      <c r="AA738" s="201"/>
      <c r="AB738" s="17"/>
      <c r="AC738" s="17"/>
      <c r="AD738" s="17"/>
      <c r="AE738" s="17"/>
    </row>
    <row r="739">
      <c r="A739" s="150"/>
      <c r="B739" s="164"/>
      <c r="C739" s="320"/>
      <c r="D739" s="150"/>
      <c r="E739" s="164"/>
      <c r="F739" s="320"/>
      <c r="G739" s="150"/>
      <c r="H739" s="164"/>
      <c r="I739" s="320"/>
      <c r="J739" s="150"/>
      <c r="K739" s="164"/>
      <c r="L739" s="320"/>
      <c r="M739" s="326"/>
      <c r="N739" s="327"/>
      <c r="O739" s="328"/>
      <c r="P739" s="326"/>
      <c r="Q739" s="327"/>
      <c r="R739" s="328"/>
      <c r="S739" s="326"/>
      <c r="T739" s="327"/>
      <c r="U739" s="328"/>
      <c r="V739" s="150"/>
      <c r="W739" s="327"/>
      <c r="X739" s="320"/>
      <c r="Y739" s="201"/>
      <c r="Z739" s="201"/>
      <c r="AA739" s="201"/>
      <c r="AB739" s="17"/>
      <c r="AC739" s="17"/>
      <c r="AD739" s="17"/>
      <c r="AE739" s="17"/>
    </row>
    <row r="740">
      <c r="A740" s="150"/>
      <c r="B740" s="164"/>
      <c r="C740" s="320"/>
      <c r="D740" s="150"/>
      <c r="E740" s="164"/>
      <c r="F740" s="320"/>
      <c r="G740" s="150"/>
      <c r="H740" s="164"/>
      <c r="I740" s="320"/>
      <c r="J740" s="150"/>
      <c r="K740" s="164"/>
      <c r="L740" s="320"/>
      <c r="M740" s="326"/>
      <c r="N740" s="327"/>
      <c r="O740" s="328"/>
      <c r="P740" s="326"/>
      <c r="Q740" s="327"/>
      <c r="R740" s="328"/>
      <c r="S740" s="326"/>
      <c r="T740" s="327"/>
      <c r="U740" s="328"/>
      <c r="V740" s="150"/>
      <c r="W740" s="327"/>
      <c r="X740" s="320"/>
      <c r="Y740" s="201"/>
      <c r="Z740" s="201"/>
      <c r="AA740" s="201"/>
      <c r="AB740" s="17"/>
      <c r="AC740" s="17"/>
      <c r="AD740" s="17"/>
      <c r="AE740" s="17"/>
    </row>
    <row r="741">
      <c r="A741" s="150"/>
      <c r="B741" s="164"/>
      <c r="C741" s="320"/>
      <c r="D741" s="150"/>
      <c r="E741" s="164"/>
      <c r="F741" s="320"/>
      <c r="G741" s="150"/>
      <c r="H741" s="164"/>
      <c r="I741" s="320"/>
      <c r="J741" s="150"/>
      <c r="K741" s="164"/>
      <c r="L741" s="320"/>
      <c r="M741" s="326"/>
      <c r="N741" s="327"/>
      <c r="O741" s="328"/>
      <c r="P741" s="326"/>
      <c r="Q741" s="327"/>
      <c r="R741" s="328"/>
      <c r="S741" s="326"/>
      <c r="T741" s="327"/>
      <c r="U741" s="328"/>
      <c r="V741" s="150"/>
      <c r="W741" s="327"/>
      <c r="X741" s="320"/>
      <c r="Y741" s="201"/>
      <c r="Z741" s="201"/>
      <c r="AA741" s="201"/>
      <c r="AB741" s="17"/>
      <c r="AC741" s="17"/>
      <c r="AD741" s="17"/>
      <c r="AE741" s="17"/>
    </row>
    <row r="742">
      <c r="A742" s="150"/>
      <c r="B742" s="164"/>
      <c r="C742" s="320"/>
      <c r="D742" s="150"/>
      <c r="E742" s="164"/>
      <c r="F742" s="320"/>
      <c r="G742" s="150"/>
      <c r="H742" s="164"/>
      <c r="I742" s="320"/>
      <c r="J742" s="150"/>
      <c r="K742" s="164"/>
      <c r="L742" s="320"/>
      <c r="M742" s="326"/>
      <c r="N742" s="327"/>
      <c r="O742" s="328"/>
      <c r="P742" s="326"/>
      <c r="Q742" s="327"/>
      <c r="R742" s="328"/>
      <c r="S742" s="326"/>
      <c r="T742" s="327"/>
      <c r="U742" s="328"/>
      <c r="V742" s="150"/>
      <c r="W742" s="327"/>
      <c r="X742" s="320"/>
      <c r="Y742" s="201"/>
      <c r="Z742" s="201"/>
      <c r="AA742" s="201"/>
      <c r="AB742" s="17"/>
      <c r="AC742" s="17"/>
      <c r="AD742" s="17"/>
      <c r="AE742" s="17"/>
    </row>
    <row r="743">
      <c r="A743" s="150"/>
      <c r="B743" s="164"/>
      <c r="C743" s="320"/>
      <c r="D743" s="150"/>
      <c r="E743" s="164"/>
      <c r="F743" s="320"/>
      <c r="G743" s="150"/>
      <c r="H743" s="164"/>
      <c r="I743" s="320"/>
      <c r="J743" s="150"/>
      <c r="K743" s="164"/>
      <c r="L743" s="320"/>
      <c r="M743" s="326"/>
      <c r="N743" s="327"/>
      <c r="O743" s="328"/>
      <c r="P743" s="326"/>
      <c r="Q743" s="327"/>
      <c r="R743" s="328"/>
      <c r="S743" s="326"/>
      <c r="T743" s="327"/>
      <c r="U743" s="328"/>
      <c r="V743" s="150"/>
      <c r="W743" s="327"/>
      <c r="X743" s="320"/>
      <c r="Y743" s="201"/>
      <c r="Z743" s="201"/>
      <c r="AA743" s="201"/>
      <c r="AB743" s="17"/>
      <c r="AC743" s="17"/>
      <c r="AD743" s="17"/>
      <c r="AE743" s="17"/>
    </row>
    <row r="744">
      <c r="A744" s="150"/>
      <c r="B744" s="164"/>
      <c r="C744" s="320"/>
      <c r="D744" s="150"/>
      <c r="E744" s="164"/>
      <c r="F744" s="320"/>
      <c r="G744" s="150"/>
      <c r="H744" s="164"/>
      <c r="I744" s="320"/>
      <c r="J744" s="150"/>
      <c r="K744" s="164"/>
      <c r="L744" s="320"/>
      <c r="M744" s="326"/>
      <c r="N744" s="327"/>
      <c r="O744" s="328"/>
      <c r="P744" s="326"/>
      <c r="Q744" s="327"/>
      <c r="R744" s="328"/>
      <c r="S744" s="326"/>
      <c r="T744" s="327"/>
      <c r="U744" s="328"/>
      <c r="V744" s="150"/>
      <c r="W744" s="327"/>
      <c r="X744" s="320"/>
      <c r="Y744" s="201"/>
      <c r="Z744" s="201"/>
      <c r="AA744" s="201"/>
      <c r="AB744" s="17"/>
      <c r="AC744" s="17"/>
      <c r="AD744" s="17"/>
      <c r="AE744" s="17"/>
    </row>
    <row r="745">
      <c r="A745" s="150"/>
      <c r="B745" s="164"/>
      <c r="C745" s="320"/>
      <c r="D745" s="150"/>
      <c r="E745" s="164"/>
      <c r="F745" s="320"/>
      <c r="G745" s="150"/>
      <c r="H745" s="164"/>
      <c r="I745" s="320"/>
      <c r="J745" s="150"/>
      <c r="K745" s="164"/>
      <c r="L745" s="320"/>
      <c r="M745" s="326"/>
      <c r="N745" s="327"/>
      <c r="O745" s="328"/>
      <c r="P745" s="326"/>
      <c r="Q745" s="327"/>
      <c r="R745" s="328"/>
      <c r="S745" s="326"/>
      <c r="T745" s="327"/>
      <c r="U745" s="328"/>
      <c r="V745" s="150"/>
      <c r="W745" s="327"/>
      <c r="X745" s="320"/>
      <c r="Y745" s="201"/>
      <c r="Z745" s="201"/>
      <c r="AA745" s="201"/>
      <c r="AB745" s="17"/>
      <c r="AC745" s="17"/>
      <c r="AD745" s="17"/>
      <c r="AE745" s="17"/>
    </row>
    <row r="746">
      <c r="A746" s="150"/>
      <c r="B746" s="164"/>
      <c r="C746" s="320"/>
      <c r="D746" s="150"/>
      <c r="E746" s="164"/>
      <c r="F746" s="320"/>
      <c r="G746" s="150"/>
      <c r="H746" s="164"/>
      <c r="I746" s="320"/>
      <c r="J746" s="150"/>
      <c r="K746" s="164"/>
      <c r="L746" s="320"/>
      <c r="M746" s="326"/>
      <c r="N746" s="327"/>
      <c r="O746" s="328"/>
      <c r="P746" s="326"/>
      <c r="Q746" s="327"/>
      <c r="R746" s="328"/>
      <c r="S746" s="326"/>
      <c r="T746" s="327"/>
      <c r="U746" s="328"/>
      <c r="V746" s="150"/>
      <c r="W746" s="327"/>
      <c r="X746" s="320"/>
      <c r="Y746" s="201"/>
      <c r="Z746" s="201"/>
      <c r="AA746" s="201"/>
      <c r="AB746" s="17"/>
      <c r="AC746" s="17"/>
      <c r="AD746" s="17"/>
      <c r="AE746" s="17"/>
    </row>
    <row r="747">
      <c r="A747" s="150"/>
      <c r="B747" s="164"/>
      <c r="C747" s="320"/>
      <c r="D747" s="150"/>
      <c r="E747" s="164"/>
      <c r="F747" s="320"/>
      <c r="G747" s="150"/>
      <c r="H747" s="164"/>
      <c r="I747" s="320"/>
      <c r="J747" s="150"/>
      <c r="K747" s="164"/>
      <c r="L747" s="320"/>
      <c r="M747" s="326"/>
      <c r="N747" s="327"/>
      <c r="O747" s="328"/>
      <c r="P747" s="326"/>
      <c r="Q747" s="327"/>
      <c r="R747" s="328"/>
      <c r="S747" s="326"/>
      <c r="T747" s="327"/>
      <c r="U747" s="328"/>
      <c r="V747" s="150"/>
      <c r="W747" s="327"/>
      <c r="X747" s="320"/>
      <c r="Y747" s="201"/>
      <c r="Z747" s="201"/>
      <c r="AA747" s="201"/>
      <c r="AB747" s="17"/>
      <c r="AC747" s="17"/>
      <c r="AD747" s="17"/>
      <c r="AE747" s="17"/>
    </row>
    <row r="748">
      <c r="A748" s="150"/>
      <c r="B748" s="164"/>
      <c r="C748" s="320"/>
      <c r="D748" s="150"/>
      <c r="E748" s="164"/>
      <c r="F748" s="320"/>
      <c r="G748" s="150"/>
      <c r="H748" s="164"/>
      <c r="I748" s="320"/>
      <c r="J748" s="150"/>
      <c r="K748" s="164"/>
      <c r="L748" s="320"/>
      <c r="M748" s="326"/>
      <c r="N748" s="327"/>
      <c r="O748" s="328"/>
      <c r="P748" s="326"/>
      <c r="Q748" s="327"/>
      <c r="R748" s="328"/>
      <c r="S748" s="326"/>
      <c r="T748" s="327"/>
      <c r="U748" s="328"/>
      <c r="V748" s="150"/>
      <c r="W748" s="327"/>
      <c r="X748" s="320"/>
      <c r="Y748" s="201"/>
      <c r="Z748" s="201"/>
      <c r="AA748" s="201"/>
      <c r="AB748" s="17"/>
      <c r="AC748" s="17"/>
      <c r="AD748" s="17"/>
      <c r="AE748" s="17"/>
    </row>
    <row r="749">
      <c r="A749" s="150"/>
      <c r="B749" s="164"/>
      <c r="C749" s="320"/>
      <c r="D749" s="150"/>
      <c r="E749" s="164"/>
      <c r="F749" s="320"/>
      <c r="G749" s="150"/>
      <c r="H749" s="164"/>
      <c r="I749" s="320"/>
      <c r="J749" s="150"/>
      <c r="K749" s="164"/>
      <c r="L749" s="320"/>
      <c r="M749" s="326"/>
      <c r="N749" s="327"/>
      <c r="O749" s="328"/>
      <c r="P749" s="326"/>
      <c r="Q749" s="327"/>
      <c r="R749" s="328"/>
      <c r="S749" s="326"/>
      <c r="T749" s="327"/>
      <c r="U749" s="328"/>
      <c r="V749" s="150"/>
      <c r="W749" s="327"/>
      <c r="X749" s="320"/>
      <c r="Y749" s="201"/>
      <c r="Z749" s="201"/>
      <c r="AA749" s="201"/>
      <c r="AB749" s="17"/>
      <c r="AC749" s="17"/>
      <c r="AD749" s="17"/>
      <c r="AE749" s="17"/>
    </row>
    <row r="750">
      <c r="A750" s="150"/>
      <c r="B750" s="164"/>
      <c r="C750" s="320"/>
      <c r="D750" s="150"/>
      <c r="E750" s="164"/>
      <c r="F750" s="320"/>
      <c r="G750" s="150"/>
      <c r="H750" s="164"/>
      <c r="I750" s="320"/>
      <c r="J750" s="150"/>
      <c r="K750" s="164"/>
      <c r="L750" s="320"/>
      <c r="M750" s="326"/>
      <c r="N750" s="327"/>
      <c r="O750" s="328"/>
      <c r="P750" s="326"/>
      <c r="Q750" s="327"/>
      <c r="R750" s="328"/>
      <c r="S750" s="326"/>
      <c r="T750" s="327"/>
      <c r="U750" s="328"/>
      <c r="V750" s="150"/>
      <c r="W750" s="327"/>
      <c r="X750" s="320"/>
      <c r="Y750" s="201"/>
      <c r="Z750" s="201"/>
      <c r="AA750" s="201"/>
      <c r="AB750" s="17"/>
      <c r="AC750" s="17"/>
      <c r="AD750" s="17"/>
      <c r="AE750" s="17"/>
    </row>
    <row r="751">
      <c r="A751" s="150"/>
      <c r="B751" s="164"/>
      <c r="C751" s="320"/>
      <c r="D751" s="150"/>
      <c r="E751" s="164"/>
      <c r="F751" s="320"/>
      <c r="G751" s="150"/>
      <c r="H751" s="164"/>
      <c r="I751" s="320"/>
      <c r="J751" s="150"/>
      <c r="K751" s="164"/>
      <c r="L751" s="320"/>
      <c r="M751" s="326"/>
      <c r="N751" s="327"/>
      <c r="O751" s="328"/>
      <c r="P751" s="326"/>
      <c r="Q751" s="327"/>
      <c r="R751" s="328"/>
      <c r="S751" s="326"/>
      <c r="T751" s="327"/>
      <c r="U751" s="328"/>
      <c r="V751" s="150"/>
      <c r="W751" s="327"/>
      <c r="X751" s="320"/>
      <c r="Y751" s="201"/>
      <c r="Z751" s="201"/>
      <c r="AA751" s="201"/>
      <c r="AB751" s="17"/>
      <c r="AC751" s="17"/>
      <c r="AD751" s="17"/>
      <c r="AE751" s="17"/>
    </row>
    <row r="752">
      <c r="A752" s="150"/>
      <c r="B752" s="164"/>
      <c r="C752" s="320"/>
      <c r="D752" s="150"/>
      <c r="E752" s="164"/>
      <c r="F752" s="320"/>
      <c r="G752" s="150"/>
      <c r="H752" s="164"/>
      <c r="I752" s="320"/>
      <c r="J752" s="150"/>
      <c r="K752" s="164"/>
      <c r="L752" s="320"/>
      <c r="M752" s="326"/>
      <c r="N752" s="327"/>
      <c r="O752" s="328"/>
      <c r="P752" s="326"/>
      <c r="Q752" s="327"/>
      <c r="R752" s="328"/>
      <c r="S752" s="326"/>
      <c r="T752" s="327"/>
      <c r="U752" s="328"/>
      <c r="V752" s="150"/>
      <c r="W752" s="327"/>
      <c r="X752" s="320"/>
      <c r="Y752" s="201"/>
      <c r="Z752" s="201"/>
      <c r="AA752" s="201"/>
      <c r="AB752" s="17"/>
      <c r="AC752" s="17"/>
      <c r="AD752" s="17"/>
      <c r="AE752" s="17"/>
    </row>
    <row r="753">
      <c r="A753" s="150"/>
      <c r="B753" s="164"/>
      <c r="C753" s="320"/>
      <c r="D753" s="150"/>
      <c r="E753" s="164"/>
      <c r="F753" s="320"/>
      <c r="G753" s="150"/>
      <c r="H753" s="164"/>
      <c r="I753" s="320"/>
      <c r="J753" s="150"/>
      <c r="K753" s="164"/>
      <c r="L753" s="320"/>
      <c r="M753" s="326"/>
      <c r="N753" s="327"/>
      <c r="O753" s="328"/>
      <c r="P753" s="326"/>
      <c r="Q753" s="327"/>
      <c r="R753" s="328"/>
      <c r="S753" s="326"/>
      <c r="T753" s="327"/>
      <c r="U753" s="328"/>
      <c r="V753" s="150"/>
      <c r="W753" s="327"/>
      <c r="X753" s="320"/>
      <c r="Y753" s="201"/>
      <c r="Z753" s="201"/>
      <c r="AA753" s="201"/>
      <c r="AB753" s="17"/>
      <c r="AC753" s="17"/>
      <c r="AD753" s="17"/>
      <c r="AE753" s="17"/>
    </row>
    <row r="754">
      <c r="A754" s="150"/>
      <c r="B754" s="164"/>
      <c r="C754" s="320"/>
      <c r="D754" s="150"/>
      <c r="E754" s="164"/>
      <c r="F754" s="320"/>
      <c r="G754" s="150"/>
      <c r="H754" s="164"/>
      <c r="I754" s="320"/>
      <c r="J754" s="150"/>
      <c r="K754" s="164"/>
      <c r="L754" s="320"/>
      <c r="M754" s="326"/>
      <c r="N754" s="327"/>
      <c r="O754" s="328"/>
      <c r="P754" s="326"/>
      <c r="Q754" s="327"/>
      <c r="R754" s="328"/>
      <c r="S754" s="326"/>
      <c r="T754" s="327"/>
      <c r="U754" s="328"/>
      <c r="V754" s="150"/>
      <c r="W754" s="327"/>
      <c r="X754" s="320"/>
      <c r="Y754" s="201"/>
      <c r="Z754" s="201"/>
      <c r="AA754" s="201"/>
      <c r="AB754" s="17"/>
      <c r="AC754" s="17"/>
      <c r="AD754" s="17"/>
      <c r="AE754" s="17"/>
    </row>
    <row r="755">
      <c r="A755" s="150"/>
      <c r="B755" s="164"/>
      <c r="C755" s="320"/>
      <c r="D755" s="150"/>
      <c r="E755" s="164"/>
      <c r="F755" s="320"/>
      <c r="G755" s="150"/>
      <c r="H755" s="164"/>
      <c r="I755" s="320"/>
      <c r="J755" s="150"/>
      <c r="K755" s="164"/>
      <c r="L755" s="320"/>
      <c r="M755" s="326"/>
      <c r="N755" s="327"/>
      <c r="O755" s="328"/>
      <c r="P755" s="326"/>
      <c r="Q755" s="327"/>
      <c r="R755" s="328"/>
      <c r="S755" s="326"/>
      <c r="T755" s="327"/>
      <c r="U755" s="328"/>
      <c r="V755" s="150"/>
      <c r="W755" s="327"/>
      <c r="X755" s="320"/>
      <c r="Y755" s="201"/>
      <c r="Z755" s="201"/>
      <c r="AA755" s="201"/>
      <c r="AB755" s="17"/>
      <c r="AC755" s="17"/>
      <c r="AD755" s="17"/>
      <c r="AE755" s="17"/>
    </row>
    <row r="756">
      <c r="A756" s="150"/>
      <c r="B756" s="164"/>
      <c r="C756" s="320"/>
      <c r="D756" s="150"/>
      <c r="E756" s="164"/>
      <c r="F756" s="320"/>
      <c r="G756" s="150"/>
      <c r="H756" s="164"/>
      <c r="I756" s="320"/>
      <c r="J756" s="150"/>
      <c r="K756" s="164"/>
      <c r="L756" s="320"/>
      <c r="M756" s="326"/>
      <c r="N756" s="327"/>
      <c r="O756" s="328"/>
      <c r="P756" s="326"/>
      <c r="Q756" s="327"/>
      <c r="R756" s="328"/>
      <c r="S756" s="326"/>
      <c r="T756" s="327"/>
      <c r="U756" s="328"/>
      <c r="V756" s="150"/>
      <c r="W756" s="327"/>
      <c r="X756" s="320"/>
      <c r="Y756" s="201"/>
      <c r="Z756" s="201"/>
      <c r="AA756" s="201"/>
      <c r="AB756" s="17"/>
      <c r="AC756" s="17"/>
      <c r="AD756" s="17"/>
      <c r="AE756" s="17"/>
    </row>
    <row r="757">
      <c r="A757" s="150"/>
      <c r="B757" s="164"/>
      <c r="C757" s="320"/>
      <c r="D757" s="150"/>
      <c r="E757" s="164"/>
      <c r="F757" s="320"/>
      <c r="G757" s="150"/>
      <c r="H757" s="164"/>
      <c r="I757" s="320"/>
      <c r="J757" s="150"/>
      <c r="K757" s="164"/>
      <c r="L757" s="320"/>
      <c r="M757" s="326"/>
      <c r="N757" s="327"/>
      <c r="O757" s="328"/>
      <c r="P757" s="326"/>
      <c r="Q757" s="327"/>
      <c r="R757" s="328"/>
      <c r="S757" s="326"/>
      <c r="T757" s="327"/>
      <c r="U757" s="328"/>
      <c r="V757" s="150"/>
      <c r="W757" s="327"/>
      <c r="X757" s="320"/>
      <c r="Y757" s="201"/>
      <c r="Z757" s="201"/>
      <c r="AA757" s="201"/>
      <c r="AB757" s="17"/>
      <c r="AC757" s="17"/>
      <c r="AD757" s="17"/>
      <c r="AE757" s="17"/>
    </row>
    <row r="758">
      <c r="A758" s="150"/>
      <c r="B758" s="164"/>
      <c r="C758" s="320"/>
      <c r="D758" s="150"/>
      <c r="E758" s="164"/>
      <c r="F758" s="320"/>
      <c r="G758" s="150"/>
      <c r="H758" s="164"/>
      <c r="I758" s="320"/>
      <c r="J758" s="150"/>
      <c r="K758" s="164"/>
      <c r="L758" s="320"/>
      <c r="M758" s="326"/>
      <c r="N758" s="327"/>
      <c r="O758" s="328"/>
      <c r="P758" s="326"/>
      <c r="Q758" s="327"/>
      <c r="R758" s="328"/>
      <c r="S758" s="326"/>
      <c r="T758" s="327"/>
      <c r="U758" s="328"/>
      <c r="V758" s="150"/>
      <c r="W758" s="327"/>
      <c r="X758" s="320"/>
      <c r="Y758" s="201"/>
      <c r="Z758" s="201"/>
      <c r="AA758" s="201"/>
      <c r="AB758" s="17"/>
      <c r="AC758" s="17"/>
      <c r="AD758" s="17"/>
      <c r="AE758" s="17"/>
    </row>
    <row r="759">
      <c r="A759" s="150"/>
      <c r="B759" s="164"/>
      <c r="C759" s="320"/>
      <c r="D759" s="150"/>
      <c r="E759" s="164"/>
      <c r="F759" s="320"/>
      <c r="G759" s="150"/>
      <c r="H759" s="164"/>
      <c r="I759" s="320"/>
      <c r="J759" s="150"/>
      <c r="K759" s="164"/>
      <c r="L759" s="320"/>
      <c r="M759" s="326"/>
      <c r="N759" s="327"/>
      <c r="O759" s="328"/>
      <c r="P759" s="326"/>
      <c r="Q759" s="327"/>
      <c r="R759" s="328"/>
      <c r="S759" s="326"/>
      <c r="T759" s="327"/>
      <c r="U759" s="328"/>
      <c r="V759" s="150"/>
      <c r="W759" s="327"/>
      <c r="X759" s="320"/>
      <c r="Y759" s="201"/>
      <c r="Z759" s="201"/>
      <c r="AA759" s="201"/>
      <c r="AB759" s="17"/>
      <c r="AC759" s="17"/>
      <c r="AD759" s="17"/>
      <c r="AE759" s="17"/>
    </row>
    <row r="760">
      <c r="A760" s="150"/>
      <c r="B760" s="164"/>
      <c r="C760" s="320"/>
      <c r="D760" s="150"/>
      <c r="E760" s="164"/>
      <c r="F760" s="320"/>
      <c r="G760" s="150"/>
      <c r="H760" s="164"/>
      <c r="I760" s="320"/>
      <c r="J760" s="150"/>
      <c r="K760" s="164"/>
      <c r="L760" s="320"/>
      <c r="M760" s="326"/>
      <c r="N760" s="327"/>
      <c r="O760" s="328"/>
      <c r="P760" s="326"/>
      <c r="Q760" s="327"/>
      <c r="R760" s="328"/>
      <c r="S760" s="326"/>
      <c r="T760" s="327"/>
      <c r="U760" s="328"/>
      <c r="V760" s="150"/>
      <c r="W760" s="327"/>
      <c r="X760" s="320"/>
      <c r="Y760" s="201"/>
      <c r="Z760" s="201"/>
      <c r="AA760" s="201"/>
      <c r="AB760" s="17"/>
      <c r="AC760" s="17"/>
      <c r="AD760" s="17"/>
      <c r="AE760" s="17"/>
    </row>
    <row r="761">
      <c r="A761" s="150"/>
      <c r="B761" s="164"/>
      <c r="C761" s="320"/>
      <c r="D761" s="150"/>
      <c r="E761" s="164"/>
      <c r="F761" s="320"/>
      <c r="G761" s="150"/>
      <c r="H761" s="164"/>
      <c r="I761" s="320"/>
      <c r="J761" s="150"/>
      <c r="K761" s="164"/>
      <c r="L761" s="320"/>
      <c r="M761" s="326"/>
      <c r="N761" s="327"/>
      <c r="O761" s="328"/>
      <c r="P761" s="326"/>
      <c r="Q761" s="327"/>
      <c r="R761" s="328"/>
      <c r="S761" s="326"/>
      <c r="T761" s="327"/>
      <c r="U761" s="328"/>
      <c r="V761" s="150"/>
      <c r="W761" s="327"/>
      <c r="X761" s="320"/>
      <c r="Y761" s="201"/>
      <c r="Z761" s="201"/>
      <c r="AA761" s="201"/>
      <c r="AB761" s="17"/>
      <c r="AC761" s="17"/>
      <c r="AD761" s="17"/>
      <c r="AE761" s="17"/>
    </row>
    <row r="762">
      <c r="A762" s="150"/>
      <c r="B762" s="164"/>
      <c r="C762" s="320"/>
      <c r="D762" s="150"/>
      <c r="E762" s="164"/>
      <c r="F762" s="320"/>
      <c r="G762" s="150"/>
      <c r="H762" s="164"/>
      <c r="I762" s="320"/>
      <c r="J762" s="150"/>
      <c r="K762" s="164"/>
      <c r="L762" s="320"/>
      <c r="M762" s="326"/>
      <c r="N762" s="327"/>
      <c r="O762" s="328"/>
      <c r="P762" s="326"/>
      <c r="Q762" s="327"/>
      <c r="R762" s="328"/>
      <c r="S762" s="326"/>
      <c r="T762" s="327"/>
      <c r="U762" s="328"/>
      <c r="V762" s="150"/>
      <c r="W762" s="327"/>
      <c r="X762" s="320"/>
      <c r="Y762" s="201"/>
      <c r="Z762" s="201"/>
      <c r="AA762" s="201"/>
      <c r="AB762" s="17"/>
      <c r="AC762" s="17"/>
      <c r="AD762" s="17"/>
      <c r="AE762" s="17"/>
    </row>
    <row r="763">
      <c r="A763" s="150"/>
      <c r="B763" s="164"/>
      <c r="C763" s="320"/>
      <c r="D763" s="150"/>
      <c r="E763" s="164"/>
      <c r="F763" s="320"/>
      <c r="G763" s="150"/>
      <c r="H763" s="164"/>
      <c r="I763" s="320"/>
      <c r="J763" s="150"/>
      <c r="K763" s="164"/>
      <c r="L763" s="320"/>
      <c r="M763" s="326"/>
      <c r="N763" s="327"/>
      <c r="O763" s="328"/>
      <c r="P763" s="326"/>
      <c r="Q763" s="327"/>
      <c r="R763" s="328"/>
      <c r="S763" s="326"/>
      <c r="T763" s="327"/>
      <c r="U763" s="328"/>
      <c r="V763" s="150"/>
      <c r="W763" s="327"/>
      <c r="X763" s="320"/>
      <c r="Y763" s="201"/>
      <c r="Z763" s="201"/>
      <c r="AA763" s="201"/>
      <c r="AB763" s="17"/>
      <c r="AC763" s="17"/>
      <c r="AD763" s="17"/>
      <c r="AE763" s="17"/>
    </row>
    <row r="764">
      <c r="A764" s="150"/>
      <c r="B764" s="164"/>
      <c r="C764" s="320"/>
      <c r="D764" s="150"/>
      <c r="E764" s="164"/>
      <c r="F764" s="320"/>
      <c r="G764" s="150"/>
      <c r="H764" s="164"/>
      <c r="I764" s="320"/>
      <c r="J764" s="150"/>
      <c r="K764" s="164"/>
      <c r="L764" s="320"/>
      <c r="M764" s="326"/>
      <c r="N764" s="327"/>
      <c r="O764" s="328"/>
      <c r="P764" s="326"/>
      <c r="Q764" s="327"/>
      <c r="R764" s="328"/>
      <c r="S764" s="326"/>
      <c r="T764" s="327"/>
      <c r="U764" s="328"/>
      <c r="V764" s="150"/>
      <c r="W764" s="327"/>
      <c r="X764" s="320"/>
      <c r="Y764" s="201"/>
      <c r="Z764" s="201"/>
      <c r="AA764" s="201"/>
      <c r="AB764" s="17"/>
      <c r="AC764" s="17"/>
      <c r="AD764" s="17"/>
      <c r="AE764" s="17"/>
    </row>
    <row r="765">
      <c r="A765" s="150"/>
      <c r="B765" s="164"/>
      <c r="C765" s="320"/>
      <c r="D765" s="150"/>
      <c r="E765" s="164"/>
      <c r="F765" s="320"/>
      <c r="G765" s="150"/>
      <c r="H765" s="164"/>
      <c r="I765" s="320"/>
      <c r="J765" s="150"/>
      <c r="K765" s="164"/>
      <c r="L765" s="320"/>
      <c r="M765" s="326"/>
      <c r="N765" s="327"/>
      <c r="O765" s="328"/>
      <c r="P765" s="326"/>
      <c r="Q765" s="327"/>
      <c r="R765" s="328"/>
      <c r="S765" s="326"/>
      <c r="T765" s="327"/>
      <c r="U765" s="328"/>
      <c r="V765" s="150"/>
      <c r="W765" s="327"/>
      <c r="X765" s="320"/>
      <c r="Y765" s="201"/>
      <c r="Z765" s="201"/>
      <c r="AA765" s="201"/>
      <c r="AB765" s="17"/>
      <c r="AC765" s="17"/>
      <c r="AD765" s="17"/>
      <c r="AE765" s="17"/>
    </row>
    <row r="766">
      <c r="A766" s="150"/>
      <c r="B766" s="164"/>
      <c r="C766" s="320"/>
      <c r="D766" s="150"/>
      <c r="E766" s="164"/>
      <c r="F766" s="320"/>
      <c r="G766" s="150"/>
      <c r="H766" s="164"/>
      <c r="I766" s="320"/>
      <c r="J766" s="150"/>
      <c r="K766" s="164"/>
      <c r="L766" s="320"/>
      <c r="M766" s="326"/>
      <c r="N766" s="327"/>
      <c r="O766" s="328"/>
      <c r="P766" s="326"/>
      <c r="Q766" s="327"/>
      <c r="R766" s="328"/>
      <c r="S766" s="326"/>
      <c r="T766" s="327"/>
      <c r="U766" s="328"/>
      <c r="V766" s="150"/>
      <c r="W766" s="327"/>
      <c r="X766" s="320"/>
      <c r="Y766" s="201"/>
      <c r="Z766" s="201"/>
      <c r="AA766" s="201"/>
      <c r="AB766" s="17"/>
      <c r="AC766" s="17"/>
      <c r="AD766" s="17"/>
      <c r="AE766" s="17"/>
    </row>
    <row r="767">
      <c r="A767" s="150"/>
      <c r="B767" s="164"/>
      <c r="C767" s="320"/>
      <c r="D767" s="150"/>
      <c r="E767" s="164"/>
      <c r="F767" s="320"/>
      <c r="G767" s="150"/>
      <c r="H767" s="164"/>
      <c r="I767" s="320"/>
      <c r="J767" s="150"/>
      <c r="K767" s="164"/>
      <c r="L767" s="320"/>
      <c r="M767" s="326"/>
      <c r="N767" s="327"/>
      <c r="O767" s="328"/>
      <c r="P767" s="326"/>
      <c r="Q767" s="327"/>
      <c r="R767" s="328"/>
      <c r="S767" s="326"/>
      <c r="T767" s="327"/>
      <c r="U767" s="328"/>
      <c r="V767" s="150"/>
      <c r="W767" s="327"/>
      <c r="X767" s="320"/>
      <c r="Y767" s="201"/>
      <c r="Z767" s="201"/>
      <c r="AA767" s="201"/>
      <c r="AB767" s="17"/>
      <c r="AC767" s="17"/>
      <c r="AD767" s="17"/>
      <c r="AE767" s="17"/>
    </row>
    <row r="768">
      <c r="A768" s="150"/>
      <c r="B768" s="164"/>
      <c r="C768" s="320"/>
      <c r="D768" s="150"/>
      <c r="E768" s="164"/>
      <c r="F768" s="320"/>
      <c r="G768" s="150"/>
      <c r="H768" s="164"/>
      <c r="I768" s="320"/>
      <c r="J768" s="150"/>
      <c r="K768" s="164"/>
      <c r="L768" s="320"/>
      <c r="M768" s="326"/>
      <c r="N768" s="327"/>
      <c r="O768" s="328"/>
      <c r="P768" s="326"/>
      <c r="Q768" s="327"/>
      <c r="R768" s="328"/>
      <c r="S768" s="326"/>
      <c r="T768" s="327"/>
      <c r="U768" s="328"/>
      <c r="V768" s="150"/>
      <c r="W768" s="327"/>
      <c r="X768" s="320"/>
      <c r="Y768" s="201"/>
      <c r="Z768" s="201"/>
      <c r="AA768" s="201"/>
      <c r="AB768" s="17"/>
      <c r="AC768" s="17"/>
      <c r="AD768" s="17"/>
      <c r="AE768" s="17"/>
    </row>
    <row r="769">
      <c r="A769" s="150"/>
      <c r="B769" s="164"/>
      <c r="C769" s="320"/>
      <c r="D769" s="150"/>
      <c r="E769" s="164"/>
      <c r="F769" s="320"/>
      <c r="G769" s="150"/>
      <c r="H769" s="164"/>
      <c r="I769" s="320"/>
      <c r="J769" s="150"/>
      <c r="K769" s="164"/>
      <c r="L769" s="320"/>
      <c r="M769" s="326"/>
      <c r="N769" s="327"/>
      <c r="O769" s="328"/>
      <c r="P769" s="326"/>
      <c r="Q769" s="327"/>
      <c r="R769" s="328"/>
      <c r="S769" s="326"/>
      <c r="T769" s="327"/>
      <c r="U769" s="328"/>
      <c r="V769" s="150"/>
      <c r="W769" s="327"/>
      <c r="X769" s="320"/>
      <c r="Y769" s="201"/>
      <c r="Z769" s="201"/>
      <c r="AA769" s="201"/>
      <c r="AB769" s="17"/>
      <c r="AC769" s="17"/>
      <c r="AD769" s="17"/>
      <c r="AE769" s="17"/>
    </row>
    <row r="770">
      <c r="A770" s="150"/>
      <c r="B770" s="164"/>
      <c r="C770" s="320"/>
      <c r="D770" s="150"/>
      <c r="E770" s="164"/>
      <c r="F770" s="320"/>
      <c r="G770" s="150"/>
      <c r="H770" s="164"/>
      <c r="I770" s="320"/>
      <c r="J770" s="150"/>
      <c r="K770" s="164"/>
      <c r="L770" s="320"/>
      <c r="M770" s="326"/>
      <c r="N770" s="327"/>
      <c r="O770" s="328"/>
      <c r="P770" s="326"/>
      <c r="Q770" s="327"/>
      <c r="R770" s="328"/>
      <c r="S770" s="326"/>
      <c r="T770" s="327"/>
      <c r="U770" s="328"/>
      <c r="V770" s="150"/>
      <c r="W770" s="327"/>
      <c r="X770" s="320"/>
      <c r="Y770" s="201"/>
      <c r="Z770" s="201"/>
      <c r="AA770" s="201"/>
      <c r="AB770" s="17"/>
      <c r="AC770" s="17"/>
      <c r="AD770" s="17"/>
      <c r="AE770" s="17"/>
    </row>
    <row r="771">
      <c r="A771" s="150"/>
      <c r="B771" s="164"/>
      <c r="C771" s="320"/>
      <c r="D771" s="150"/>
      <c r="E771" s="164"/>
      <c r="F771" s="320"/>
      <c r="G771" s="150"/>
      <c r="H771" s="164"/>
      <c r="I771" s="320"/>
      <c r="J771" s="150"/>
      <c r="K771" s="164"/>
      <c r="L771" s="320"/>
      <c r="M771" s="326"/>
      <c r="N771" s="327"/>
      <c r="O771" s="328"/>
      <c r="P771" s="326"/>
      <c r="Q771" s="327"/>
      <c r="R771" s="328"/>
      <c r="S771" s="326"/>
      <c r="T771" s="327"/>
      <c r="U771" s="328"/>
      <c r="V771" s="150"/>
      <c r="W771" s="327"/>
      <c r="X771" s="320"/>
      <c r="Y771" s="201"/>
      <c r="Z771" s="201"/>
      <c r="AA771" s="201"/>
      <c r="AB771" s="17"/>
      <c r="AC771" s="17"/>
      <c r="AD771" s="17"/>
      <c r="AE771" s="17"/>
    </row>
    <row r="772">
      <c r="A772" s="150"/>
      <c r="B772" s="164"/>
      <c r="C772" s="320"/>
      <c r="D772" s="150"/>
      <c r="E772" s="164"/>
      <c r="F772" s="320"/>
      <c r="G772" s="150"/>
      <c r="H772" s="164"/>
      <c r="I772" s="320"/>
      <c r="J772" s="150"/>
      <c r="K772" s="164"/>
      <c r="L772" s="320"/>
      <c r="M772" s="326"/>
      <c r="N772" s="327"/>
      <c r="O772" s="328"/>
      <c r="P772" s="326"/>
      <c r="Q772" s="327"/>
      <c r="R772" s="328"/>
      <c r="S772" s="326"/>
      <c r="T772" s="327"/>
      <c r="U772" s="328"/>
      <c r="V772" s="150"/>
      <c r="W772" s="327"/>
      <c r="X772" s="320"/>
      <c r="Y772" s="201"/>
      <c r="Z772" s="201"/>
      <c r="AA772" s="201"/>
      <c r="AB772" s="17"/>
      <c r="AC772" s="17"/>
      <c r="AD772" s="17"/>
      <c r="AE772" s="17"/>
    </row>
    <row r="773">
      <c r="A773" s="150"/>
      <c r="B773" s="164"/>
      <c r="C773" s="320"/>
      <c r="D773" s="150"/>
      <c r="E773" s="164"/>
      <c r="F773" s="320"/>
      <c r="G773" s="150"/>
      <c r="H773" s="164"/>
      <c r="I773" s="320"/>
      <c r="J773" s="150"/>
      <c r="K773" s="164"/>
      <c r="L773" s="320"/>
      <c r="M773" s="326"/>
      <c r="N773" s="327"/>
      <c r="O773" s="328"/>
      <c r="P773" s="326"/>
      <c r="Q773" s="327"/>
      <c r="R773" s="328"/>
      <c r="S773" s="326"/>
      <c r="T773" s="327"/>
      <c r="U773" s="328"/>
      <c r="V773" s="150"/>
      <c r="W773" s="327"/>
      <c r="X773" s="320"/>
      <c r="Y773" s="201"/>
      <c r="Z773" s="201"/>
      <c r="AA773" s="201"/>
      <c r="AB773" s="17"/>
      <c r="AC773" s="17"/>
      <c r="AD773" s="17"/>
      <c r="AE773" s="17"/>
    </row>
    <row r="774">
      <c r="A774" s="150"/>
      <c r="B774" s="164"/>
      <c r="C774" s="320"/>
      <c r="D774" s="150"/>
      <c r="E774" s="164"/>
      <c r="F774" s="320"/>
      <c r="G774" s="150"/>
      <c r="H774" s="164"/>
      <c r="I774" s="320"/>
      <c r="J774" s="150"/>
      <c r="K774" s="164"/>
      <c r="L774" s="320"/>
      <c r="M774" s="326"/>
      <c r="N774" s="327"/>
      <c r="O774" s="328"/>
      <c r="P774" s="326"/>
      <c r="Q774" s="327"/>
      <c r="R774" s="328"/>
      <c r="S774" s="326"/>
      <c r="T774" s="327"/>
      <c r="U774" s="328"/>
      <c r="V774" s="150"/>
      <c r="W774" s="327"/>
      <c r="X774" s="320"/>
      <c r="Y774" s="201"/>
      <c r="Z774" s="201"/>
      <c r="AA774" s="201"/>
      <c r="AB774" s="17"/>
      <c r="AC774" s="17"/>
      <c r="AD774" s="17"/>
      <c r="AE774" s="17"/>
    </row>
    <row r="775">
      <c r="A775" s="150"/>
      <c r="B775" s="164"/>
      <c r="C775" s="320"/>
      <c r="D775" s="150"/>
      <c r="E775" s="164"/>
      <c r="F775" s="320"/>
      <c r="G775" s="150"/>
      <c r="H775" s="164"/>
      <c r="I775" s="320"/>
      <c r="J775" s="150"/>
      <c r="K775" s="164"/>
      <c r="L775" s="320"/>
      <c r="M775" s="326"/>
      <c r="N775" s="327"/>
      <c r="O775" s="328"/>
      <c r="P775" s="326"/>
      <c r="Q775" s="327"/>
      <c r="R775" s="328"/>
      <c r="S775" s="326"/>
      <c r="T775" s="327"/>
      <c r="U775" s="328"/>
      <c r="V775" s="150"/>
      <c r="W775" s="327"/>
      <c r="X775" s="320"/>
      <c r="Y775" s="201"/>
      <c r="Z775" s="201"/>
      <c r="AA775" s="201"/>
      <c r="AB775" s="17"/>
      <c r="AC775" s="17"/>
      <c r="AD775" s="17"/>
      <c r="AE775" s="17"/>
    </row>
    <row r="776">
      <c r="A776" s="150"/>
      <c r="B776" s="164"/>
      <c r="C776" s="320"/>
      <c r="D776" s="150"/>
      <c r="E776" s="164"/>
      <c r="F776" s="320"/>
      <c r="G776" s="150"/>
      <c r="H776" s="164"/>
      <c r="I776" s="320"/>
      <c r="J776" s="150"/>
      <c r="K776" s="164"/>
      <c r="L776" s="320"/>
      <c r="M776" s="326"/>
      <c r="N776" s="327"/>
      <c r="O776" s="328"/>
      <c r="P776" s="326"/>
      <c r="Q776" s="327"/>
      <c r="R776" s="328"/>
      <c r="S776" s="326"/>
      <c r="T776" s="327"/>
      <c r="U776" s="328"/>
      <c r="V776" s="150"/>
      <c r="W776" s="327"/>
      <c r="X776" s="320"/>
      <c r="Y776" s="201"/>
      <c r="Z776" s="201"/>
      <c r="AA776" s="201"/>
      <c r="AB776" s="17"/>
      <c r="AC776" s="17"/>
      <c r="AD776" s="17"/>
      <c r="AE776" s="17"/>
    </row>
    <row r="777">
      <c r="A777" s="150"/>
      <c r="B777" s="164"/>
      <c r="C777" s="320"/>
      <c r="D777" s="150"/>
      <c r="E777" s="164"/>
      <c r="F777" s="320"/>
      <c r="G777" s="150"/>
      <c r="H777" s="164"/>
      <c r="I777" s="320"/>
      <c r="J777" s="150"/>
      <c r="K777" s="164"/>
      <c r="L777" s="320"/>
      <c r="M777" s="326"/>
      <c r="N777" s="327"/>
      <c r="O777" s="328"/>
      <c r="P777" s="326"/>
      <c r="Q777" s="327"/>
      <c r="R777" s="328"/>
      <c r="S777" s="326"/>
      <c r="T777" s="327"/>
      <c r="U777" s="328"/>
      <c r="V777" s="150"/>
      <c r="W777" s="327"/>
      <c r="X777" s="320"/>
      <c r="Y777" s="201"/>
      <c r="Z777" s="201"/>
      <c r="AA777" s="201"/>
      <c r="AB777" s="17"/>
      <c r="AC777" s="17"/>
      <c r="AD777" s="17"/>
      <c r="AE777" s="17"/>
    </row>
    <row r="778">
      <c r="A778" s="150"/>
      <c r="B778" s="164"/>
      <c r="C778" s="320"/>
      <c r="D778" s="150"/>
      <c r="E778" s="164"/>
      <c r="F778" s="320"/>
      <c r="G778" s="150"/>
      <c r="H778" s="164"/>
      <c r="I778" s="320"/>
      <c r="J778" s="150"/>
      <c r="K778" s="164"/>
      <c r="L778" s="320"/>
      <c r="M778" s="326"/>
      <c r="N778" s="327"/>
      <c r="O778" s="328"/>
      <c r="P778" s="326"/>
      <c r="Q778" s="327"/>
      <c r="R778" s="328"/>
      <c r="S778" s="326"/>
      <c r="T778" s="327"/>
      <c r="U778" s="328"/>
      <c r="V778" s="150"/>
      <c r="W778" s="327"/>
      <c r="X778" s="320"/>
      <c r="Y778" s="201"/>
      <c r="Z778" s="201"/>
      <c r="AA778" s="201"/>
      <c r="AB778" s="17"/>
      <c r="AC778" s="17"/>
      <c r="AD778" s="17"/>
      <c r="AE778" s="17"/>
    </row>
    <row r="779">
      <c r="A779" s="150"/>
      <c r="B779" s="164"/>
      <c r="C779" s="320"/>
      <c r="D779" s="150"/>
      <c r="E779" s="164"/>
      <c r="F779" s="320"/>
      <c r="G779" s="150"/>
      <c r="H779" s="164"/>
      <c r="I779" s="320"/>
      <c r="J779" s="150"/>
      <c r="K779" s="164"/>
      <c r="L779" s="320"/>
      <c r="M779" s="326"/>
      <c r="N779" s="327"/>
      <c r="O779" s="328"/>
      <c r="P779" s="326"/>
      <c r="Q779" s="327"/>
      <c r="R779" s="328"/>
      <c r="S779" s="326"/>
      <c r="T779" s="327"/>
      <c r="U779" s="328"/>
      <c r="V779" s="150"/>
      <c r="W779" s="327"/>
      <c r="X779" s="320"/>
      <c r="Y779" s="201"/>
      <c r="Z779" s="201"/>
      <c r="AA779" s="201"/>
      <c r="AB779" s="17"/>
      <c r="AC779" s="17"/>
      <c r="AD779" s="17"/>
      <c r="AE779" s="17"/>
    </row>
    <row r="780">
      <c r="A780" s="150"/>
      <c r="B780" s="164"/>
      <c r="C780" s="320"/>
      <c r="D780" s="150"/>
      <c r="E780" s="164"/>
      <c r="F780" s="320"/>
      <c r="G780" s="150"/>
      <c r="H780" s="164"/>
      <c r="I780" s="320"/>
      <c r="J780" s="150"/>
      <c r="K780" s="164"/>
      <c r="L780" s="320"/>
      <c r="M780" s="326"/>
      <c r="N780" s="327"/>
      <c r="O780" s="328"/>
      <c r="P780" s="326"/>
      <c r="Q780" s="327"/>
      <c r="R780" s="328"/>
      <c r="S780" s="326"/>
      <c r="T780" s="327"/>
      <c r="U780" s="328"/>
      <c r="V780" s="150"/>
      <c r="W780" s="327"/>
      <c r="X780" s="320"/>
      <c r="Y780" s="201"/>
      <c r="Z780" s="201"/>
      <c r="AA780" s="201"/>
      <c r="AB780" s="17"/>
      <c r="AC780" s="17"/>
      <c r="AD780" s="17"/>
      <c r="AE780" s="17"/>
    </row>
    <row r="781">
      <c r="A781" s="150"/>
      <c r="B781" s="164"/>
      <c r="C781" s="320"/>
      <c r="D781" s="150"/>
      <c r="E781" s="164"/>
      <c r="F781" s="320"/>
      <c r="G781" s="150"/>
      <c r="H781" s="164"/>
      <c r="I781" s="320"/>
      <c r="J781" s="150"/>
      <c r="K781" s="164"/>
      <c r="L781" s="320"/>
      <c r="M781" s="326"/>
      <c r="N781" s="327"/>
      <c r="O781" s="328"/>
      <c r="P781" s="326"/>
      <c r="Q781" s="327"/>
      <c r="R781" s="328"/>
      <c r="S781" s="326"/>
      <c r="T781" s="327"/>
      <c r="U781" s="328"/>
      <c r="V781" s="150"/>
      <c r="W781" s="327"/>
      <c r="X781" s="320"/>
      <c r="Y781" s="201"/>
      <c r="Z781" s="201"/>
      <c r="AA781" s="201"/>
      <c r="AB781" s="17"/>
      <c r="AC781" s="17"/>
      <c r="AD781" s="17"/>
      <c r="AE781" s="17"/>
    </row>
    <row r="782">
      <c r="A782" s="150"/>
      <c r="B782" s="164"/>
      <c r="C782" s="320"/>
      <c r="D782" s="150"/>
      <c r="E782" s="164"/>
      <c r="F782" s="320"/>
      <c r="G782" s="150"/>
      <c r="H782" s="164"/>
      <c r="I782" s="320"/>
      <c r="J782" s="150"/>
      <c r="K782" s="164"/>
      <c r="L782" s="320"/>
      <c r="M782" s="326"/>
      <c r="N782" s="327"/>
      <c r="O782" s="328"/>
      <c r="P782" s="326"/>
      <c r="Q782" s="327"/>
      <c r="R782" s="328"/>
      <c r="S782" s="326"/>
      <c r="T782" s="327"/>
      <c r="U782" s="328"/>
      <c r="V782" s="150"/>
      <c r="W782" s="327"/>
      <c r="X782" s="320"/>
      <c r="Y782" s="201"/>
      <c r="Z782" s="201"/>
      <c r="AA782" s="201"/>
      <c r="AB782" s="17"/>
      <c r="AC782" s="17"/>
      <c r="AD782" s="17"/>
      <c r="AE782" s="17"/>
    </row>
    <row r="783">
      <c r="A783" s="150"/>
      <c r="B783" s="164"/>
      <c r="C783" s="320"/>
      <c r="D783" s="150"/>
      <c r="E783" s="164"/>
      <c r="F783" s="320"/>
      <c r="G783" s="150"/>
      <c r="H783" s="164"/>
      <c r="I783" s="320"/>
      <c r="J783" s="150"/>
      <c r="K783" s="164"/>
      <c r="L783" s="320"/>
      <c r="M783" s="326"/>
      <c r="N783" s="327"/>
      <c r="O783" s="328"/>
      <c r="P783" s="326"/>
      <c r="Q783" s="327"/>
      <c r="R783" s="328"/>
      <c r="S783" s="326"/>
      <c r="T783" s="327"/>
      <c r="U783" s="328"/>
      <c r="V783" s="150"/>
      <c r="W783" s="327"/>
      <c r="X783" s="320"/>
      <c r="Y783" s="201"/>
      <c r="Z783" s="201"/>
      <c r="AA783" s="201"/>
      <c r="AB783" s="17"/>
      <c r="AC783" s="17"/>
      <c r="AD783" s="17"/>
      <c r="AE783" s="17"/>
    </row>
    <row r="784">
      <c r="A784" s="150"/>
      <c r="B784" s="164"/>
      <c r="C784" s="320"/>
      <c r="D784" s="150"/>
      <c r="E784" s="164"/>
      <c r="F784" s="320"/>
      <c r="G784" s="150"/>
      <c r="H784" s="164"/>
      <c r="I784" s="320"/>
      <c r="J784" s="150"/>
      <c r="K784" s="164"/>
      <c r="L784" s="320"/>
      <c r="M784" s="326"/>
      <c r="N784" s="327"/>
      <c r="O784" s="328"/>
      <c r="P784" s="326"/>
      <c r="Q784" s="327"/>
      <c r="R784" s="328"/>
      <c r="S784" s="326"/>
      <c r="T784" s="327"/>
      <c r="U784" s="328"/>
      <c r="V784" s="150"/>
      <c r="W784" s="327"/>
      <c r="X784" s="320"/>
      <c r="Y784" s="201"/>
      <c r="Z784" s="201"/>
      <c r="AA784" s="201"/>
      <c r="AB784" s="17"/>
      <c r="AC784" s="17"/>
      <c r="AD784" s="17"/>
      <c r="AE784" s="17"/>
    </row>
    <row r="785">
      <c r="A785" s="150"/>
      <c r="B785" s="164"/>
      <c r="C785" s="320"/>
      <c r="D785" s="150"/>
      <c r="E785" s="164"/>
      <c r="F785" s="320"/>
      <c r="G785" s="150"/>
      <c r="H785" s="164"/>
      <c r="I785" s="320"/>
      <c r="J785" s="150"/>
      <c r="K785" s="164"/>
      <c r="L785" s="320"/>
      <c r="M785" s="326"/>
      <c r="N785" s="327"/>
      <c r="O785" s="328"/>
      <c r="P785" s="326"/>
      <c r="Q785" s="327"/>
      <c r="R785" s="328"/>
      <c r="S785" s="326"/>
      <c r="T785" s="327"/>
      <c r="U785" s="328"/>
      <c r="V785" s="150"/>
      <c r="W785" s="327"/>
      <c r="X785" s="320"/>
      <c r="Y785" s="201"/>
      <c r="Z785" s="201"/>
      <c r="AA785" s="201"/>
      <c r="AB785" s="17"/>
      <c r="AC785" s="17"/>
      <c r="AD785" s="17"/>
      <c r="AE785" s="17"/>
    </row>
    <row r="786">
      <c r="A786" s="150"/>
      <c r="B786" s="164"/>
      <c r="C786" s="320"/>
      <c r="D786" s="150"/>
      <c r="E786" s="164"/>
      <c r="F786" s="320"/>
      <c r="G786" s="150"/>
      <c r="H786" s="164"/>
      <c r="I786" s="320"/>
      <c r="J786" s="150"/>
      <c r="K786" s="164"/>
      <c r="L786" s="320"/>
      <c r="M786" s="326"/>
      <c r="N786" s="327"/>
      <c r="O786" s="328"/>
      <c r="P786" s="326"/>
      <c r="Q786" s="327"/>
      <c r="R786" s="328"/>
      <c r="S786" s="326"/>
      <c r="T786" s="327"/>
      <c r="U786" s="328"/>
      <c r="V786" s="150"/>
      <c r="W786" s="327"/>
      <c r="X786" s="320"/>
      <c r="Y786" s="201"/>
      <c r="Z786" s="201"/>
      <c r="AA786" s="201"/>
      <c r="AB786" s="17"/>
      <c r="AC786" s="17"/>
      <c r="AD786" s="17"/>
      <c r="AE786" s="17"/>
    </row>
    <row r="787">
      <c r="A787" s="150"/>
      <c r="B787" s="164"/>
      <c r="C787" s="320"/>
      <c r="D787" s="150"/>
      <c r="E787" s="164"/>
      <c r="F787" s="320"/>
      <c r="G787" s="150"/>
      <c r="H787" s="164"/>
      <c r="I787" s="320"/>
      <c r="J787" s="150"/>
      <c r="K787" s="164"/>
      <c r="L787" s="320"/>
      <c r="M787" s="326"/>
      <c r="N787" s="327"/>
      <c r="O787" s="328"/>
      <c r="P787" s="326"/>
      <c r="Q787" s="327"/>
      <c r="R787" s="328"/>
      <c r="S787" s="326"/>
      <c r="T787" s="327"/>
      <c r="U787" s="328"/>
      <c r="V787" s="150"/>
      <c r="W787" s="327"/>
      <c r="X787" s="320"/>
      <c r="Y787" s="201"/>
      <c r="Z787" s="201"/>
      <c r="AA787" s="201"/>
      <c r="AB787" s="17"/>
      <c r="AC787" s="17"/>
      <c r="AD787" s="17"/>
      <c r="AE787" s="17"/>
    </row>
    <row r="788">
      <c r="A788" s="150"/>
      <c r="B788" s="164"/>
      <c r="C788" s="320"/>
      <c r="D788" s="150"/>
      <c r="E788" s="164"/>
      <c r="F788" s="320"/>
      <c r="G788" s="150"/>
      <c r="H788" s="164"/>
      <c r="I788" s="320"/>
      <c r="J788" s="150"/>
      <c r="K788" s="164"/>
      <c r="L788" s="320"/>
      <c r="M788" s="326"/>
      <c r="N788" s="327"/>
      <c r="O788" s="328"/>
      <c r="P788" s="326"/>
      <c r="Q788" s="327"/>
      <c r="R788" s="328"/>
      <c r="S788" s="326"/>
      <c r="T788" s="327"/>
      <c r="U788" s="328"/>
      <c r="V788" s="150"/>
      <c r="W788" s="327"/>
      <c r="X788" s="320"/>
      <c r="Y788" s="201"/>
      <c r="Z788" s="201"/>
      <c r="AA788" s="201"/>
      <c r="AB788" s="17"/>
      <c r="AC788" s="17"/>
      <c r="AD788" s="17"/>
      <c r="AE788" s="17"/>
    </row>
    <row r="789">
      <c r="A789" s="150"/>
      <c r="B789" s="164"/>
      <c r="C789" s="320"/>
      <c r="D789" s="150"/>
      <c r="E789" s="164"/>
      <c r="F789" s="320"/>
      <c r="G789" s="150"/>
      <c r="H789" s="164"/>
      <c r="I789" s="320"/>
      <c r="J789" s="150"/>
      <c r="K789" s="164"/>
      <c r="L789" s="320"/>
      <c r="M789" s="326"/>
      <c r="N789" s="327"/>
      <c r="O789" s="328"/>
      <c r="P789" s="326"/>
      <c r="Q789" s="327"/>
      <c r="R789" s="328"/>
      <c r="S789" s="326"/>
      <c r="T789" s="327"/>
      <c r="U789" s="328"/>
      <c r="V789" s="150"/>
      <c r="W789" s="327"/>
      <c r="X789" s="320"/>
      <c r="Y789" s="201"/>
      <c r="Z789" s="201"/>
      <c r="AA789" s="201"/>
      <c r="AB789" s="17"/>
      <c r="AC789" s="17"/>
      <c r="AD789" s="17"/>
      <c r="AE789" s="17"/>
    </row>
    <row r="790">
      <c r="A790" s="150"/>
      <c r="B790" s="164"/>
      <c r="C790" s="320"/>
      <c r="D790" s="150"/>
      <c r="E790" s="164"/>
      <c r="F790" s="320"/>
      <c r="G790" s="150"/>
      <c r="H790" s="164"/>
      <c r="I790" s="320"/>
      <c r="J790" s="150"/>
      <c r="K790" s="164"/>
      <c r="L790" s="320"/>
      <c r="M790" s="326"/>
      <c r="N790" s="327"/>
      <c r="O790" s="328"/>
      <c r="P790" s="326"/>
      <c r="Q790" s="327"/>
      <c r="R790" s="328"/>
      <c r="S790" s="326"/>
      <c r="T790" s="327"/>
      <c r="U790" s="328"/>
      <c r="V790" s="150"/>
      <c r="W790" s="327"/>
      <c r="X790" s="320"/>
      <c r="Y790" s="201"/>
      <c r="Z790" s="201"/>
      <c r="AA790" s="201"/>
      <c r="AB790" s="17"/>
      <c r="AC790" s="17"/>
      <c r="AD790" s="17"/>
      <c r="AE790" s="17"/>
    </row>
    <row r="791">
      <c r="A791" s="150"/>
      <c r="B791" s="164"/>
      <c r="C791" s="320"/>
      <c r="D791" s="150"/>
      <c r="E791" s="164"/>
      <c r="F791" s="320"/>
      <c r="G791" s="150"/>
      <c r="H791" s="164"/>
      <c r="I791" s="320"/>
      <c r="J791" s="150"/>
      <c r="K791" s="164"/>
      <c r="L791" s="320"/>
      <c r="M791" s="326"/>
      <c r="N791" s="327"/>
      <c r="O791" s="328"/>
      <c r="P791" s="326"/>
      <c r="Q791" s="327"/>
      <c r="R791" s="328"/>
      <c r="S791" s="326"/>
      <c r="T791" s="327"/>
      <c r="U791" s="328"/>
      <c r="V791" s="150"/>
      <c r="W791" s="327"/>
      <c r="X791" s="320"/>
      <c r="Y791" s="201"/>
      <c r="Z791" s="201"/>
      <c r="AA791" s="201"/>
      <c r="AB791" s="17"/>
      <c r="AC791" s="17"/>
      <c r="AD791" s="17"/>
      <c r="AE791" s="17"/>
    </row>
    <row r="792">
      <c r="A792" s="150"/>
      <c r="B792" s="164"/>
      <c r="C792" s="320"/>
      <c r="D792" s="150"/>
      <c r="E792" s="164"/>
      <c r="F792" s="320"/>
      <c r="G792" s="150"/>
      <c r="H792" s="164"/>
      <c r="I792" s="320"/>
      <c r="J792" s="150"/>
      <c r="K792" s="164"/>
      <c r="L792" s="320"/>
      <c r="M792" s="326"/>
      <c r="N792" s="327"/>
      <c r="O792" s="328"/>
      <c r="P792" s="326"/>
      <c r="Q792" s="327"/>
      <c r="R792" s="328"/>
      <c r="S792" s="326"/>
      <c r="T792" s="327"/>
      <c r="U792" s="328"/>
      <c r="V792" s="150"/>
      <c r="W792" s="327"/>
      <c r="X792" s="320"/>
      <c r="Y792" s="201"/>
      <c r="Z792" s="201"/>
      <c r="AA792" s="201"/>
      <c r="AB792" s="17"/>
      <c r="AC792" s="17"/>
      <c r="AD792" s="17"/>
      <c r="AE792" s="17"/>
    </row>
    <row r="793">
      <c r="A793" s="150"/>
      <c r="B793" s="164"/>
      <c r="C793" s="320"/>
      <c r="D793" s="150"/>
      <c r="E793" s="164"/>
      <c r="F793" s="320"/>
      <c r="G793" s="150"/>
      <c r="H793" s="164"/>
      <c r="I793" s="320"/>
      <c r="J793" s="150"/>
      <c r="K793" s="164"/>
      <c r="L793" s="320"/>
      <c r="M793" s="326"/>
      <c r="N793" s="327"/>
      <c r="O793" s="328"/>
      <c r="P793" s="326"/>
      <c r="Q793" s="327"/>
      <c r="R793" s="328"/>
      <c r="S793" s="326"/>
      <c r="T793" s="327"/>
      <c r="U793" s="328"/>
      <c r="V793" s="150"/>
      <c r="W793" s="327"/>
      <c r="X793" s="320"/>
      <c r="Y793" s="201"/>
      <c r="Z793" s="201"/>
      <c r="AA793" s="201"/>
      <c r="AB793" s="17"/>
      <c r="AC793" s="17"/>
      <c r="AD793" s="17"/>
      <c r="AE793" s="17"/>
    </row>
    <row r="794">
      <c r="A794" s="150"/>
      <c r="B794" s="164"/>
      <c r="C794" s="320"/>
      <c r="D794" s="150"/>
      <c r="E794" s="164"/>
      <c r="F794" s="320"/>
      <c r="G794" s="150"/>
      <c r="H794" s="164"/>
      <c r="I794" s="320"/>
      <c r="J794" s="150"/>
      <c r="K794" s="164"/>
      <c r="L794" s="320"/>
      <c r="M794" s="326"/>
      <c r="N794" s="327"/>
      <c r="O794" s="328"/>
      <c r="P794" s="326"/>
      <c r="Q794" s="327"/>
      <c r="R794" s="328"/>
      <c r="S794" s="326"/>
      <c r="T794" s="327"/>
      <c r="U794" s="328"/>
      <c r="V794" s="150"/>
      <c r="W794" s="327"/>
      <c r="X794" s="320"/>
      <c r="Y794" s="201"/>
      <c r="Z794" s="201"/>
      <c r="AA794" s="201"/>
      <c r="AB794" s="17"/>
      <c r="AC794" s="17"/>
      <c r="AD794" s="17"/>
      <c r="AE794" s="17"/>
    </row>
    <row r="795">
      <c r="A795" s="150"/>
      <c r="B795" s="164"/>
      <c r="C795" s="320"/>
      <c r="D795" s="150"/>
      <c r="E795" s="164"/>
      <c r="F795" s="320"/>
      <c r="G795" s="150"/>
      <c r="H795" s="164"/>
      <c r="I795" s="320"/>
      <c r="J795" s="150"/>
      <c r="K795" s="164"/>
      <c r="L795" s="320"/>
      <c r="M795" s="326"/>
      <c r="N795" s="327"/>
      <c r="O795" s="328"/>
      <c r="P795" s="326"/>
      <c r="Q795" s="327"/>
      <c r="R795" s="328"/>
      <c r="S795" s="326"/>
      <c r="T795" s="327"/>
      <c r="U795" s="328"/>
      <c r="V795" s="150"/>
      <c r="W795" s="327"/>
      <c r="X795" s="320"/>
      <c r="Y795" s="201"/>
      <c r="Z795" s="201"/>
      <c r="AA795" s="201"/>
      <c r="AB795" s="17"/>
      <c r="AC795" s="17"/>
      <c r="AD795" s="17"/>
      <c r="AE795" s="17"/>
    </row>
    <row r="796">
      <c r="A796" s="150"/>
      <c r="B796" s="164"/>
      <c r="C796" s="320"/>
      <c r="D796" s="150"/>
      <c r="E796" s="164"/>
      <c r="F796" s="320"/>
      <c r="G796" s="150"/>
      <c r="H796" s="164"/>
      <c r="I796" s="320"/>
      <c r="J796" s="150"/>
      <c r="K796" s="164"/>
      <c r="L796" s="320"/>
      <c r="M796" s="326"/>
      <c r="N796" s="327"/>
      <c r="O796" s="328"/>
      <c r="P796" s="326"/>
      <c r="Q796" s="327"/>
      <c r="R796" s="328"/>
      <c r="S796" s="326"/>
      <c r="T796" s="327"/>
      <c r="U796" s="328"/>
      <c r="V796" s="150"/>
      <c r="W796" s="327"/>
      <c r="X796" s="320"/>
      <c r="Y796" s="201"/>
      <c r="Z796" s="201"/>
      <c r="AA796" s="201"/>
      <c r="AB796" s="17"/>
      <c r="AC796" s="17"/>
      <c r="AD796" s="17"/>
      <c r="AE796" s="17"/>
    </row>
    <row r="797">
      <c r="A797" s="150"/>
      <c r="B797" s="164"/>
      <c r="C797" s="320"/>
      <c r="D797" s="150"/>
      <c r="E797" s="164"/>
      <c r="F797" s="320"/>
      <c r="G797" s="150"/>
      <c r="H797" s="164"/>
      <c r="I797" s="320"/>
      <c r="J797" s="150"/>
      <c r="K797" s="164"/>
      <c r="L797" s="320"/>
      <c r="M797" s="326"/>
      <c r="N797" s="327"/>
      <c r="O797" s="328"/>
      <c r="P797" s="326"/>
      <c r="Q797" s="327"/>
      <c r="R797" s="328"/>
      <c r="S797" s="326"/>
      <c r="T797" s="327"/>
      <c r="U797" s="328"/>
      <c r="V797" s="150"/>
      <c r="W797" s="327"/>
      <c r="X797" s="320"/>
      <c r="Y797" s="201"/>
      <c r="Z797" s="201"/>
      <c r="AA797" s="201"/>
      <c r="AB797" s="17"/>
      <c r="AC797" s="17"/>
      <c r="AD797" s="17"/>
      <c r="AE797" s="17"/>
    </row>
    <row r="798">
      <c r="A798" s="150"/>
      <c r="B798" s="164"/>
      <c r="C798" s="320"/>
      <c r="D798" s="150"/>
      <c r="E798" s="164"/>
      <c r="F798" s="320"/>
      <c r="G798" s="150"/>
      <c r="H798" s="164"/>
      <c r="I798" s="320"/>
      <c r="J798" s="150"/>
      <c r="K798" s="164"/>
      <c r="L798" s="320"/>
      <c r="M798" s="326"/>
      <c r="N798" s="327"/>
      <c r="O798" s="328"/>
      <c r="P798" s="326"/>
      <c r="Q798" s="327"/>
      <c r="R798" s="328"/>
      <c r="S798" s="326"/>
      <c r="T798" s="327"/>
      <c r="U798" s="328"/>
      <c r="V798" s="150"/>
      <c r="W798" s="327"/>
      <c r="X798" s="320"/>
      <c r="Y798" s="201"/>
      <c r="Z798" s="201"/>
      <c r="AA798" s="201"/>
      <c r="AB798" s="17"/>
      <c r="AC798" s="17"/>
      <c r="AD798" s="17"/>
      <c r="AE798" s="17"/>
    </row>
    <row r="799">
      <c r="A799" s="150"/>
      <c r="B799" s="164"/>
      <c r="C799" s="320"/>
      <c r="D799" s="150"/>
      <c r="E799" s="164"/>
      <c r="F799" s="320"/>
      <c r="G799" s="150"/>
      <c r="H799" s="164"/>
      <c r="I799" s="320"/>
      <c r="J799" s="150"/>
      <c r="K799" s="164"/>
      <c r="L799" s="320"/>
      <c r="M799" s="326"/>
      <c r="N799" s="327"/>
      <c r="O799" s="328"/>
      <c r="P799" s="326"/>
      <c r="Q799" s="327"/>
      <c r="R799" s="328"/>
      <c r="S799" s="326"/>
      <c r="T799" s="327"/>
      <c r="U799" s="328"/>
      <c r="V799" s="150"/>
      <c r="W799" s="327"/>
      <c r="X799" s="320"/>
      <c r="Y799" s="201"/>
      <c r="Z799" s="201"/>
      <c r="AA799" s="201"/>
      <c r="AB799" s="17"/>
      <c r="AC799" s="17"/>
      <c r="AD799" s="17"/>
      <c r="AE799" s="17"/>
    </row>
    <row r="800">
      <c r="A800" s="150"/>
      <c r="B800" s="164"/>
      <c r="C800" s="320"/>
      <c r="D800" s="150"/>
      <c r="E800" s="164"/>
      <c r="F800" s="320"/>
      <c r="G800" s="150"/>
      <c r="H800" s="164"/>
      <c r="I800" s="320"/>
      <c r="J800" s="150"/>
      <c r="K800" s="164"/>
      <c r="L800" s="320"/>
      <c r="M800" s="326"/>
      <c r="N800" s="327"/>
      <c r="O800" s="328"/>
      <c r="P800" s="326"/>
      <c r="Q800" s="327"/>
      <c r="R800" s="328"/>
      <c r="S800" s="326"/>
      <c r="T800" s="327"/>
      <c r="U800" s="328"/>
      <c r="V800" s="150"/>
      <c r="W800" s="327"/>
      <c r="X800" s="320"/>
      <c r="Y800" s="201"/>
      <c r="Z800" s="201"/>
      <c r="AA800" s="201"/>
      <c r="AB800" s="17"/>
      <c r="AC800" s="17"/>
      <c r="AD800" s="17"/>
      <c r="AE800" s="17"/>
    </row>
    <row r="801">
      <c r="A801" s="150"/>
      <c r="B801" s="164"/>
      <c r="C801" s="320"/>
      <c r="D801" s="150"/>
      <c r="E801" s="164"/>
      <c r="F801" s="320"/>
      <c r="G801" s="150"/>
      <c r="H801" s="164"/>
      <c r="I801" s="320"/>
      <c r="J801" s="150"/>
      <c r="K801" s="164"/>
      <c r="L801" s="320"/>
      <c r="M801" s="326"/>
      <c r="N801" s="327"/>
      <c r="O801" s="328"/>
      <c r="P801" s="326"/>
      <c r="Q801" s="327"/>
      <c r="R801" s="328"/>
      <c r="S801" s="326"/>
      <c r="T801" s="327"/>
      <c r="U801" s="328"/>
      <c r="V801" s="150"/>
      <c r="W801" s="327"/>
      <c r="X801" s="320"/>
      <c r="Y801" s="201"/>
      <c r="Z801" s="201"/>
      <c r="AA801" s="201"/>
      <c r="AB801" s="17"/>
      <c r="AC801" s="17"/>
      <c r="AD801" s="17"/>
      <c r="AE801" s="17"/>
    </row>
    <row r="802">
      <c r="A802" s="150"/>
      <c r="B802" s="164"/>
      <c r="C802" s="320"/>
      <c r="D802" s="150"/>
      <c r="E802" s="164"/>
      <c r="F802" s="320"/>
      <c r="G802" s="150"/>
      <c r="H802" s="164"/>
      <c r="I802" s="320"/>
      <c r="J802" s="150"/>
      <c r="K802" s="164"/>
      <c r="L802" s="320"/>
      <c r="M802" s="326"/>
      <c r="N802" s="327"/>
      <c r="O802" s="328"/>
      <c r="P802" s="326"/>
      <c r="Q802" s="327"/>
      <c r="R802" s="328"/>
      <c r="S802" s="326"/>
      <c r="T802" s="327"/>
      <c r="U802" s="328"/>
      <c r="V802" s="150"/>
      <c r="W802" s="327"/>
      <c r="X802" s="320"/>
      <c r="Y802" s="201"/>
      <c r="Z802" s="201"/>
      <c r="AA802" s="201"/>
      <c r="AB802" s="17"/>
      <c r="AC802" s="17"/>
      <c r="AD802" s="17"/>
      <c r="AE802" s="17"/>
    </row>
    <row r="803">
      <c r="A803" s="150"/>
      <c r="B803" s="164"/>
      <c r="C803" s="320"/>
      <c r="D803" s="150"/>
      <c r="E803" s="164"/>
      <c r="F803" s="320"/>
      <c r="G803" s="150"/>
      <c r="H803" s="164"/>
      <c r="I803" s="320"/>
      <c r="J803" s="150"/>
      <c r="K803" s="164"/>
      <c r="L803" s="320"/>
      <c r="M803" s="326"/>
      <c r="N803" s="327"/>
      <c r="O803" s="328"/>
      <c r="P803" s="326"/>
      <c r="Q803" s="327"/>
      <c r="R803" s="328"/>
      <c r="S803" s="326"/>
      <c r="T803" s="327"/>
      <c r="U803" s="328"/>
      <c r="V803" s="150"/>
      <c r="W803" s="327"/>
      <c r="X803" s="320"/>
      <c r="Y803" s="201"/>
      <c r="Z803" s="201"/>
      <c r="AA803" s="201"/>
      <c r="AB803" s="17"/>
      <c r="AC803" s="17"/>
      <c r="AD803" s="17"/>
      <c r="AE803" s="17"/>
    </row>
    <row r="804">
      <c r="A804" s="150"/>
      <c r="B804" s="164"/>
      <c r="C804" s="320"/>
      <c r="D804" s="150"/>
      <c r="E804" s="164"/>
      <c r="F804" s="320"/>
      <c r="G804" s="150"/>
      <c r="H804" s="164"/>
      <c r="I804" s="320"/>
      <c r="J804" s="150"/>
      <c r="K804" s="164"/>
      <c r="L804" s="320"/>
      <c r="M804" s="326"/>
      <c r="N804" s="327"/>
      <c r="O804" s="328"/>
      <c r="P804" s="326"/>
      <c r="Q804" s="327"/>
      <c r="R804" s="328"/>
      <c r="S804" s="326"/>
      <c r="T804" s="327"/>
      <c r="U804" s="328"/>
      <c r="V804" s="150"/>
      <c r="W804" s="327"/>
      <c r="X804" s="320"/>
      <c r="Y804" s="201"/>
      <c r="Z804" s="201"/>
      <c r="AA804" s="201"/>
      <c r="AB804" s="17"/>
      <c r="AC804" s="17"/>
      <c r="AD804" s="17"/>
      <c r="AE804" s="17"/>
    </row>
    <row r="805">
      <c r="A805" s="150"/>
      <c r="B805" s="164"/>
      <c r="C805" s="320"/>
      <c r="D805" s="150"/>
      <c r="E805" s="164"/>
      <c r="F805" s="320"/>
      <c r="G805" s="150"/>
      <c r="H805" s="164"/>
      <c r="I805" s="320"/>
      <c r="J805" s="150"/>
      <c r="K805" s="164"/>
      <c r="L805" s="320"/>
      <c r="M805" s="326"/>
      <c r="N805" s="327"/>
      <c r="O805" s="328"/>
      <c r="P805" s="326"/>
      <c r="Q805" s="327"/>
      <c r="R805" s="328"/>
      <c r="S805" s="326"/>
      <c r="T805" s="327"/>
      <c r="U805" s="328"/>
      <c r="V805" s="150"/>
      <c r="W805" s="327"/>
      <c r="X805" s="320"/>
      <c r="Y805" s="201"/>
      <c r="Z805" s="201"/>
      <c r="AA805" s="201"/>
      <c r="AB805" s="17"/>
      <c r="AC805" s="17"/>
      <c r="AD805" s="17"/>
      <c r="AE805" s="17"/>
    </row>
    <row r="806">
      <c r="A806" s="150"/>
      <c r="B806" s="164"/>
      <c r="C806" s="320"/>
      <c r="D806" s="150"/>
      <c r="E806" s="164"/>
      <c r="F806" s="320"/>
      <c r="G806" s="150"/>
      <c r="H806" s="164"/>
      <c r="I806" s="320"/>
      <c r="J806" s="150"/>
      <c r="K806" s="164"/>
      <c r="L806" s="320"/>
      <c r="M806" s="326"/>
      <c r="N806" s="327"/>
      <c r="O806" s="328"/>
      <c r="P806" s="326"/>
      <c r="Q806" s="327"/>
      <c r="R806" s="328"/>
      <c r="S806" s="326"/>
      <c r="T806" s="327"/>
      <c r="U806" s="328"/>
      <c r="V806" s="150"/>
      <c r="W806" s="327"/>
      <c r="X806" s="320"/>
      <c r="Y806" s="201"/>
      <c r="Z806" s="201"/>
      <c r="AA806" s="201"/>
      <c r="AB806" s="17"/>
      <c r="AC806" s="17"/>
      <c r="AD806" s="17"/>
      <c r="AE806" s="17"/>
    </row>
    <row r="807">
      <c r="A807" s="150"/>
      <c r="B807" s="164"/>
      <c r="C807" s="320"/>
      <c r="D807" s="150"/>
      <c r="E807" s="164"/>
      <c r="F807" s="320"/>
      <c r="G807" s="150"/>
      <c r="H807" s="164"/>
      <c r="I807" s="320"/>
      <c r="J807" s="150"/>
      <c r="K807" s="164"/>
      <c r="L807" s="320"/>
      <c r="M807" s="326"/>
      <c r="N807" s="327"/>
      <c r="O807" s="328"/>
      <c r="P807" s="326"/>
      <c r="Q807" s="327"/>
      <c r="R807" s="328"/>
      <c r="S807" s="326"/>
      <c r="T807" s="327"/>
      <c r="U807" s="328"/>
      <c r="V807" s="150"/>
      <c r="W807" s="327"/>
      <c r="X807" s="320"/>
      <c r="Y807" s="201"/>
      <c r="Z807" s="201"/>
      <c r="AA807" s="201"/>
      <c r="AB807" s="17"/>
      <c r="AC807" s="17"/>
      <c r="AD807" s="17"/>
      <c r="AE807" s="17"/>
    </row>
    <row r="808">
      <c r="A808" s="150"/>
      <c r="B808" s="164"/>
      <c r="C808" s="320"/>
      <c r="D808" s="150"/>
      <c r="E808" s="164"/>
      <c r="F808" s="320"/>
      <c r="G808" s="150"/>
      <c r="H808" s="164"/>
      <c r="I808" s="320"/>
      <c r="J808" s="150"/>
      <c r="K808" s="164"/>
      <c r="L808" s="320"/>
      <c r="M808" s="326"/>
      <c r="N808" s="327"/>
      <c r="O808" s="328"/>
      <c r="P808" s="326"/>
      <c r="Q808" s="327"/>
      <c r="R808" s="328"/>
      <c r="S808" s="326"/>
      <c r="T808" s="327"/>
      <c r="U808" s="328"/>
      <c r="V808" s="150"/>
      <c r="W808" s="327"/>
      <c r="X808" s="320"/>
      <c r="Y808" s="201"/>
      <c r="Z808" s="201"/>
      <c r="AA808" s="201"/>
      <c r="AB808" s="17"/>
      <c r="AC808" s="17"/>
      <c r="AD808" s="17"/>
      <c r="AE808" s="17"/>
    </row>
    <row r="809">
      <c r="A809" s="150"/>
      <c r="B809" s="164"/>
      <c r="C809" s="320"/>
      <c r="D809" s="150"/>
      <c r="E809" s="164"/>
      <c r="F809" s="320"/>
      <c r="G809" s="150"/>
      <c r="H809" s="164"/>
      <c r="I809" s="320"/>
      <c r="J809" s="150"/>
      <c r="K809" s="164"/>
      <c r="L809" s="320"/>
      <c r="M809" s="326"/>
      <c r="N809" s="327"/>
      <c r="O809" s="328"/>
      <c r="P809" s="326"/>
      <c r="Q809" s="327"/>
      <c r="R809" s="328"/>
      <c r="S809" s="326"/>
      <c r="T809" s="327"/>
      <c r="U809" s="328"/>
      <c r="V809" s="150"/>
      <c r="W809" s="327"/>
      <c r="X809" s="320"/>
      <c r="Y809" s="201"/>
      <c r="Z809" s="201"/>
      <c r="AA809" s="201"/>
      <c r="AB809" s="17"/>
      <c r="AC809" s="17"/>
      <c r="AD809" s="17"/>
      <c r="AE809" s="17"/>
    </row>
    <row r="810">
      <c r="A810" s="150"/>
      <c r="B810" s="164"/>
      <c r="C810" s="320"/>
      <c r="D810" s="150"/>
      <c r="E810" s="164"/>
      <c r="F810" s="320"/>
      <c r="G810" s="150"/>
      <c r="H810" s="164"/>
      <c r="I810" s="320"/>
      <c r="J810" s="150"/>
      <c r="K810" s="164"/>
      <c r="L810" s="320"/>
      <c r="M810" s="326"/>
      <c r="N810" s="327"/>
      <c r="O810" s="328"/>
      <c r="P810" s="326"/>
      <c r="Q810" s="327"/>
      <c r="R810" s="328"/>
      <c r="S810" s="326"/>
      <c r="T810" s="327"/>
      <c r="U810" s="328"/>
      <c r="V810" s="150"/>
      <c r="W810" s="327"/>
      <c r="X810" s="320"/>
      <c r="Y810" s="201"/>
      <c r="Z810" s="201"/>
      <c r="AA810" s="201"/>
      <c r="AB810" s="17"/>
      <c r="AC810" s="17"/>
      <c r="AD810" s="17"/>
      <c r="AE810" s="17"/>
    </row>
    <row r="811">
      <c r="A811" s="150"/>
      <c r="B811" s="164"/>
      <c r="C811" s="320"/>
      <c r="D811" s="150"/>
      <c r="E811" s="164"/>
      <c r="F811" s="320"/>
      <c r="G811" s="150"/>
      <c r="H811" s="164"/>
      <c r="I811" s="320"/>
      <c r="J811" s="150"/>
      <c r="K811" s="164"/>
      <c r="L811" s="320"/>
      <c r="M811" s="326"/>
      <c r="N811" s="327"/>
      <c r="O811" s="328"/>
      <c r="P811" s="326"/>
      <c r="Q811" s="327"/>
      <c r="R811" s="328"/>
      <c r="S811" s="326"/>
      <c r="T811" s="327"/>
      <c r="U811" s="328"/>
      <c r="V811" s="150"/>
      <c r="W811" s="327"/>
      <c r="X811" s="320"/>
      <c r="Y811" s="201"/>
      <c r="Z811" s="201"/>
      <c r="AA811" s="201"/>
      <c r="AB811" s="17"/>
      <c r="AC811" s="17"/>
      <c r="AD811" s="17"/>
      <c r="AE811" s="17"/>
    </row>
    <row r="812">
      <c r="A812" s="150"/>
      <c r="B812" s="164"/>
      <c r="C812" s="320"/>
      <c r="D812" s="150"/>
      <c r="E812" s="164"/>
      <c r="F812" s="320"/>
      <c r="G812" s="150"/>
      <c r="H812" s="164"/>
      <c r="I812" s="320"/>
      <c r="J812" s="150"/>
      <c r="K812" s="164"/>
      <c r="L812" s="320"/>
      <c r="M812" s="326"/>
      <c r="N812" s="327"/>
      <c r="O812" s="328"/>
      <c r="P812" s="326"/>
      <c r="Q812" s="327"/>
      <c r="R812" s="328"/>
      <c r="S812" s="326"/>
      <c r="T812" s="327"/>
      <c r="U812" s="328"/>
      <c r="V812" s="150"/>
      <c r="W812" s="327"/>
      <c r="X812" s="320"/>
      <c r="Y812" s="201"/>
      <c r="Z812" s="201"/>
      <c r="AA812" s="201"/>
      <c r="AB812" s="17"/>
      <c r="AC812" s="17"/>
      <c r="AD812" s="17"/>
      <c r="AE812" s="17"/>
    </row>
    <row r="813">
      <c r="A813" s="150"/>
      <c r="B813" s="164"/>
      <c r="C813" s="320"/>
      <c r="D813" s="150"/>
      <c r="E813" s="164"/>
      <c r="F813" s="320"/>
      <c r="G813" s="150"/>
      <c r="H813" s="164"/>
      <c r="I813" s="320"/>
      <c r="J813" s="150"/>
      <c r="K813" s="164"/>
      <c r="L813" s="320"/>
      <c r="M813" s="326"/>
      <c r="N813" s="327"/>
      <c r="O813" s="328"/>
      <c r="P813" s="326"/>
      <c r="Q813" s="327"/>
      <c r="R813" s="328"/>
      <c r="S813" s="326"/>
      <c r="T813" s="327"/>
      <c r="U813" s="328"/>
      <c r="V813" s="150"/>
      <c r="W813" s="327"/>
      <c r="X813" s="320"/>
      <c r="Y813" s="201"/>
      <c r="Z813" s="201"/>
      <c r="AA813" s="201"/>
      <c r="AB813" s="17"/>
      <c r="AC813" s="17"/>
      <c r="AD813" s="17"/>
      <c r="AE813" s="17"/>
    </row>
    <row r="814">
      <c r="A814" s="150"/>
      <c r="B814" s="164"/>
      <c r="C814" s="320"/>
      <c r="D814" s="150"/>
      <c r="E814" s="164"/>
      <c r="F814" s="320"/>
      <c r="G814" s="150"/>
      <c r="H814" s="164"/>
      <c r="I814" s="320"/>
      <c r="J814" s="150"/>
      <c r="K814" s="164"/>
      <c r="L814" s="320"/>
      <c r="M814" s="326"/>
      <c r="N814" s="327"/>
      <c r="O814" s="328"/>
      <c r="P814" s="326"/>
      <c r="Q814" s="327"/>
      <c r="R814" s="328"/>
      <c r="S814" s="326"/>
      <c r="T814" s="327"/>
      <c r="U814" s="328"/>
      <c r="V814" s="150"/>
      <c r="W814" s="327"/>
      <c r="X814" s="320"/>
      <c r="Y814" s="201"/>
      <c r="Z814" s="201"/>
      <c r="AA814" s="201"/>
      <c r="AB814" s="17"/>
      <c r="AC814" s="17"/>
      <c r="AD814" s="17"/>
      <c r="AE814" s="17"/>
    </row>
    <row r="815">
      <c r="A815" s="150"/>
      <c r="B815" s="164"/>
      <c r="C815" s="320"/>
      <c r="D815" s="150"/>
      <c r="E815" s="164"/>
      <c r="F815" s="320"/>
      <c r="G815" s="150"/>
      <c r="H815" s="164"/>
      <c r="I815" s="320"/>
      <c r="J815" s="150"/>
      <c r="K815" s="164"/>
      <c r="L815" s="320"/>
      <c r="M815" s="326"/>
      <c r="N815" s="327"/>
      <c r="O815" s="328"/>
      <c r="P815" s="326"/>
      <c r="Q815" s="327"/>
      <c r="R815" s="328"/>
      <c r="S815" s="326"/>
      <c r="T815" s="327"/>
      <c r="U815" s="328"/>
      <c r="V815" s="150"/>
      <c r="W815" s="327"/>
      <c r="X815" s="320"/>
      <c r="Y815" s="201"/>
      <c r="Z815" s="201"/>
      <c r="AA815" s="201"/>
      <c r="AB815" s="17"/>
      <c r="AC815" s="17"/>
      <c r="AD815" s="17"/>
      <c r="AE815" s="17"/>
    </row>
    <row r="816">
      <c r="A816" s="150"/>
      <c r="B816" s="164"/>
      <c r="C816" s="320"/>
      <c r="D816" s="150"/>
      <c r="E816" s="164"/>
      <c r="F816" s="320"/>
      <c r="G816" s="150"/>
      <c r="H816" s="164"/>
      <c r="I816" s="320"/>
      <c r="J816" s="150"/>
      <c r="K816" s="164"/>
      <c r="L816" s="320"/>
      <c r="M816" s="326"/>
      <c r="N816" s="327"/>
      <c r="O816" s="328"/>
      <c r="P816" s="326"/>
      <c r="Q816" s="327"/>
      <c r="R816" s="328"/>
      <c r="S816" s="326"/>
      <c r="T816" s="327"/>
      <c r="U816" s="328"/>
      <c r="V816" s="150"/>
      <c r="W816" s="327"/>
      <c r="X816" s="320"/>
      <c r="Y816" s="201"/>
      <c r="Z816" s="201"/>
      <c r="AA816" s="201"/>
      <c r="AB816" s="17"/>
      <c r="AC816" s="17"/>
      <c r="AD816" s="17"/>
      <c r="AE816" s="17"/>
    </row>
    <row r="817">
      <c r="A817" s="150"/>
      <c r="B817" s="164"/>
      <c r="C817" s="320"/>
      <c r="D817" s="150"/>
      <c r="E817" s="164"/>
      <c r="F817" s="320"/>
      <c r="G817" s="150"/>
      <c r="H817" s="164"/>
      <c r="I817" s="320"/>
      <c r="J817" s="150"/>
      <c r="K817" s="164"/>
      <c r="L817" s="320"/>
      <c r="M817" s="326"/>
      <c r="N817" s="327"/>
      <c r="O817" s="328"/>
      <c r="P817" s="326"/>
      <c r="Q817" s="327"/>
      <c r="R817" s="328"/>
      <c r="S817" s="326"/>
      <c r="T817" s="327"/>
      <c r="U817" s="328"/>
      <c r="V817" s="150"/>
      <c r="W817" s="327"/>
      <c r="X817" s="320"/>
      <c r="Y817" s="201"/>
      <c r="Z817" s="201"/>
      <c r="AA817" s="201"/>
      <c r="AB817" s="17"/>
      <c r="AC817" s="17"/>
      <c r="AD817" s="17"/>
      <c r="AE817" s="17"/>
    </row>
    <row r="818">
      <c r="A818" s="150"/>
      <c r="B818" s="164"/>
      <c r="C818" s="320"/>
      <c r="D818" s="150"/>
      <c r="E818" s="164"/>
      <c r="F818" s="320"/>
      <c r="G818" s="150"/>
      <c r="H818" s="164"/>
      <c r="I818" s="320"/>
      <c r="J818" s="150"/>
      <c r="K818" s="164"/>
      <c r="L818" s="320"/>
      <c r="M818" s="326"/>
      <c r="N818" s="327"/>
      <c r="O818" s="328"/>
      <c r="P818" s="326"/>
      <c r="Q818" s="327"/>
      <c r="R818" s="328"/>
      <c r="S818" s="326"/>
      <c r="T818" s="327"/>
      <c r="U818" s="328"/>
      <c r="V818" s="150"/>
      <c r="W818" s="327"/>
      <c r="X818" s="320"/>
      <c r="Y818" s="201"/>
      <c r="Z818" s="201"/>
      <c r="AA818" s="201"/>
      <c r="AB818" s="17"/>
      <c r="AC818" s="17"/>
      <c r="AD818" s="17"/>
      <c r="AE818" s="17"/>
    </row>
    <row r="819">
      <c r="A819" s="150"/>
      <c r="B819" s="164"/>
      <c r="C819" s="320"/>
      <c r="D819" s="150"/>
      <c r="E819" s="164"/>
      <c r="F819" s="320"/>
      <c r="G819" s="150"/>
      <c r="H819" s="164"/>
      <c r="I819" s="320"/>
      <c r="J819" s="150"/>
      <c r="K819" s="164"/>
      <c r="L819" s="320"/>
      <c r="M819" s="326"/>
      <c r="N819" s="327"/>
      <c r="O819" s="328"/>
      <c r="P819" s="326"/>
      <c r="Q819" s="327"/>
      <c r="R819" s="328"/>
      <c r="S819" s="326"/>
      <c r="T819" s="327"/>
      <c r="U819" s="328"/>
      <c r="V819" s="150"/>
      <c r="W819" s="327"/>
      <c r="X819" s="320"/>
      <c r="Y819" s="201"/>
      <c r="Z819" s="201"/>
      <c r="AA819" s="201"/>
      <c r="AB819" s="17"/>
      <c r="AC819" s="17"/>
      <c r="AD819" s="17"/>
      <c r="AE819" s="17"/>
    </row>
    <row r="820">
      <c r="A820" s="150"/>
      <c r="B820" s="164"/>
      <c r="C820" s="320"/>
      <c r="D820" s="150"/>
      <c r="E820" s="164"/>
      <c r="F820" s="320"/>
      <c r="G820" s="150"/>
      <c r="H820" s="164"/>
      <c r="I820" s="320"/>
      <c r="J820" s="150"/>
      <c r="K820" s="164"/>
      <c r="L820" s="320"/>
      <c r="M820" s="326"/>
      <c r="N820" s="327"/>
      <c r="O820" s="328"/>
      <c r="P820" s="326"/>
      <c r="Q820" s="327"/>
      <c r="R820" s="328"/>
      <c r="S820" s="326"/>
      <c r="T820" s="327"/>
      <c r="U820" s="328"/>
      <c r="V820" s="150"/>
      <c r="W820" s="327"/>
      <c r="X820" s="320"/>
      <c r="Y820" s="201"/>
      <c r="Z820" s="201"/>
      <c r="AA820" s="201"/>
      <c r="AB820" s="17"/>
      <c r="AC820" s="17"/>
      <c r="AD820" s="17"/>
      <c r="AE820" s="17"/>
    </row>
    <row r="821">
      <c r="A821" s="150"/>
      <c r="B821" s="164"/>
      <c r="C821" s="320"/>
      <c r="D821" s="150"/>
      <c r="E821" s="164"/>
      <c r="F821" s="320"/>
      <c r="G821" s="150"/>
      <c r="H821" s="164"/>
      <c r="I821" s="320"/>
      <c r="J821" s="150"/>
      <c r="K821" s="164"/>
      <c r="L821" s="320"/>
      <c r="M821" s="326"/>
      <c r="N821" s="327"/>
      <c r="O821" s="328"/>
      <c r="P821" s="326"/>
      <c r="Q821" s="327"/>
      <c r="R821" s="328"/>
      <c r="S821" s="326"/>
      <c r="T821" s="327"/>
      <c r="U821" s="328"/>
      <c r="V821" s="150"/>
      <c r="W821" s="327"/>
      <c r="X821" s="320"/>
      <c r="Y821" s="201"/>
      <c r="Z821" s="201"/>
      <c r="AA821" s="201"/>
      <c r="AB821" s="17"/>
      <c r="AC821" s="17"/>
      <c r="AD821" s="17"/>
      <c r="AE821" s="17"/>
    </row>
    <row r="822">
      <c r="A822" s="150"/>
      <c r="B822" s="164"/>
      <c r="C822" s="320"/>
      <c r="D822" s="150"/>
      <c r="E822" s="164"/>
      <c r="F822" s="320"/>
      <c r="G822" s="150"/>
      <c r="H822" s="164"/>
      <c r="I822" s="320"/>
      <c r="J822" s="150"/>
      <c r="K822" s="164"/>
      <c r="L822" s="320"/>
      <c r="M822" s="326"/>
      <c r="N822" s="327"/>
      <c r="O822" s="328"/>
      <c r="P822" s="326"/>
      <c r="Q822" s="327"/>
      <c r="R822" s="328"/>
      <c r="S822" s="326"/>
      <c r="T822" s="327"/>
      <c r="U822" s="328"/>
      <c r="V822" s="150"/>
      <c r="W822" s="327"/>
      <c r="X822" s="320"/>
      <c r="Y822" s="201"/>
      <c r="Z822" s="201"/>
      <c r="AA822" s="201"/>
      <c r="AB822" s="17"/>
      <c r="AC822" s="17"/>
      <c r="AD822" s="17"/>
      <c r="AE822" s="17"/>
    </row>
    <row r="823">
      <c r="A823" s="150"/>
      <c r="B823" s="164"/>
      <c r="C823" s="320"/>
      <c r="D823" s="150"/>
      <c r="E823" s="164"/>
      <c r="F823" s="320"/>
      <c r="G823" s="150"/>
      <c r="H823" s="164"/>
      <c r="I823" s="320"/>
      <c r="J823" s="150"/>
      <c r="K823" s="164"/>
      <c r="L823" s="320"/>
      <c r="M823" s="326"/>
      <c r="N823" s="327"/>
      <c r="O823" s="328"/>
      <c r="P823" s="326"/>
      <c r="Q823" s="327"/>
      <c r="R823" s="328"/>
      <c r="S823" s="326"/>
      <c r="T823" s="327"/>
      <c r="U823" s="328"/>
      <c r="V823" s="150"/>
      <c r="W823" s="327"/>
      <c r="X823" s="320"/>
      <c r="Y823" s="201"/>
      <c r="Z823" s="201"/>
      <c r="AA823" s="201"/>
      <c r="AB823" s="17"/>
      <c r="AC823" s="17"/>
      <c r="AD823" s="17"/>
      <c r="AE823" s="17"/>
    </row>
    <row r="824">
      <c r="A824" s="150"/>
      <c r="B824" s="164"/>
      <c r="C824" s="320"/>
      <c r="D824" s="150"/>
      <c r="E824" s="164"/>
      <c r="F824" s="320"/>
      <c r="G824" s="150"/>
      <c r="H824" s="164"/>
      <c r="I824" s="320"/>
      <c r="J824" s="150"/>
      <c r="K824" s="164"/>
      <c r="L824" s="320"/>
      <c r="M824" s="326"/>
      <c r="N824" s="327"/>
      <c r="O824" s="328"/>
      <c r="P824" s="326"/>
      <c r="Q824" s="327"/>
      <c r="R824" s="328"/>
      <c r="S824" s="326"/>
      <c r="T824" s="327"/>
      <c r="U824" s="328"/>
      <c r="V824" s="150"/>
      <c r="W824" s="327"/>
      <c r="X824" s="320"/>
      <c r="Y824" s="201"/>
      <c r="Z824" s="201"/>
      <c r="AA824" s="201"/>
      <c r="AB824" s="17"/>
      <c r="AC824" s="17"/>
      <c r="AD824" s="17"/>
      <c r="AE824" s="17"/>
    </row>
    <row r="825">
      <c r="A825" s="150"/>
      <c r="B825" s="164"/>
      <c r="C825" s="320"/>
      <c r="D825" s="150"/>
      <c r="E825" s="164"/>
      <c r="F825" s="320"/>
      <c r="G825" s="150"/>
      <c r="H825" s="164"/>
      <c r="I825" s="320"/>
      <c r="J825" s="150"/>
      <c r="K825" s="164"/>
      <c r="L825" s="320"/>
      <c r="M825" s="326"/>
      <c r="N825" s="327"/>
      <c r="O825" s="328"/>
      <c r="P825" s="326"/>
      <c r="Q825" s="327"/>
      <c r="R825" s="328"/>
      <c r="S825" s="326"/>
      <c r="T825" s="327"/>
      <c r="U825" s="328"/>
      <c r="V825" s="150"/>
      <c r="W825" s="327"/>
      <c r="X825" s="320"/>
      <c r="Y825" s="201"/>
      <c r="Z825" s="201"/>
      <c r="AA825" s="201"/>
      <c r="AB825" s="17"/>
      <c r="AC825" s="17"/>
      <c r="AD825" s="17"/>
      <c r="AE825" s="17"/>
    </row>
    <row r="826">
      <c r="A826" s="150"/>
      <c r="B826" s="164"/>
      <c r="C826" s="320"/>
      <c r="D826" s="150"/>
      <c r="E826" s="164"/>
      <c r="F826" s="320"/>
      <c r="G826" s="150"/>
      <c r="H826" s="164"/>
      <c r="I826" s="320"/>
      <c r="J826" s="150"/>
      <c r="K826" s="164"/>
      <c r="L826" s="320"/>
      <c r="M826" s="326"/>
      <c r="N826" s="327"/>
      <c r="O826" s="328"/>
      <c r="P826" s="326"/>
      <c r="Q826" s="327"/>
      <c r="R826" s="328"/>
      <c r="S826" s="326"/>
      <c r="T826" s="327"/>
      <c r="U826" s="328"/>
      <c r="V826" s="150"/>
      <c r="W826" s="327"/>
      <c r="X826" s="320"/>
      <c r="Y826" s="201"/>
      <c r="Z826" s="201"/>
      <c r="AA826" s="201"/>
      <c r="AB826" s="17"/>
      <c r="AC826" s="17"/>
      <c r="AD826" s="17"/>
      <c r="AE826" s="17"/>
    </row>
    <row r="827">
      <c r="A827" s="150"/>
      <c r="B827" s="164"/>
      <c r="C827" s="320"/>
      <c r="D827" s="150"/>
      <c r="E827" s="164"/>
      <c r="F827" s="320"/>
      <c r="G827" s="150"/>
      <c r="H827" s="164"/>
      <c r="I827" s="320"/>
      <c r="J827" s="150"/>
      <c r="K827" s="164"/>
      <c r="L827" s="320"/>
      <c r="M827" s="326"/>
      <c r="N827" s="327"/>
      <c r="O827" s="328"/>
      <c r="P827" s="326"/>
      <c r="Q827" s="327"/>
      <c r="R827" s="328"/>
      <c r="S827" s="326"/>
      <c r="T827" s="327"/>
      <c r="U827" s="328"/>
      <c r="V827" s="150"/>
      <c r="W827" s="327"/>
      <c r="X827" s="320"/>
      <c r="Y827" s="201"/>
      <c r="Z827" s="201"/>
      <c r="AA827" s="201"/>
      <c r="AB827" s="17"/>
      <c r="AC827" s="17"/>
      <c r="AD827" s="17"/>
      <c r="AE827" s="17"/>
    </row>
    <row r="828">
      <c r="A828" s="150"/>
      <c r="B828" s="164"/>
      <c r="C828" s="320"/>
      <c r="D828" s="150"/>
      <c r="E828" s="164"/>
      <c r="F828" s="320"/>
      <c r="G828" s="150"/>
      <c r="H828" s="164"/>
      <c r="I828" s="320"/>
      <c r="J828" s="150"/>
      <c r="K828" s="164"/>
      <c r="L828" s="320"/>
      <c r="M828" s="326"/>
      <c r="N828" s="327"/>
      <c r="O828" s="328"/>
      <c r="P828" s="326"/>
      <c r="Q828" s="327"/>
      <c r="R828" s="328"/>
      <c r="S828" s="326"/>
      <c r="T828" s="327"/>
      <c r="U828" s="328"/>
      <c r="V828" s="150"/>
      <c r="W828" s="327"/>
      <c r="X828" s="320"/>
      <c r="Y828" s="201"/>
      <c r="Z828" s="201"/>
      <c r="AA828" s="201"/>
      <c r="AB828" s="17"/>
      <c r="AC828" s="17"/>
      <c r="AD828" s="17"/>
      <c r="AE828" s="17"/>
    </row>
    <row r="829">
      <c r="A829" s="150"/>
      <c r="B829" s="164"/>
      <c r="C829" s="320"/>
      <c r="D829" s="150"/>
      <c r="E829" s="164"/>
      <c r="F829" s="320"/>
      <c r="G829" s="150"/>
      <c r="H829" s="164"/>
      <c r="I829" s="320"/>
      <c r="J829" s="150"/>
      <c r="K829" s="164"/>
      <c r="L829" s="320"/>
      <c r="M829" s="326"/>
      <c r="N829" s="327"/>
      <c r="O829" s="328"/>
      <c r="P829" s="326"/>
      <c r="Q829" s="327"/>
      <c r="R829" s="328"/>
      <c r="S829" s="326"/>
      <c r="T829" s="327"/>
      <c r="U829" s="328"/>
      <c r="V829" s="150"/>
      <c r="W829" s="327"/>
      <c r="X829" s="320"/>
      <c r="Y829" s="201"/>
      <c r="Z829" s="201"/>
      <c r="AA829" s="201"/>
      <c r="AB829" s="17"/>
      <c r="AC829" s="17"/>
      <c r="AD829" s="17"/>
      <c r="AE829" s="17"/>
    </row>
    <row r="830">
      <c r="A830" s="150"/>
      <c r="B830" s="164"/>
      <c r="C830" s="320"/>
      <c r="D830" s="150"/>
      <c r="E830" s="164"/>
      <c r="F830" s="320"/>
      <c r="G830" s="150"/>
      <c r="H830" s="164"/>
      <c r="I830" s="320"/>
      <c r="J830" s="150"/>
      <c r="K830" s="164"/>
      <c r="L830" s="320"/>
      <c r="M830" s="326"/>
      <c r="N830" s="327"/>
      <c r="O830" s="328"/>
      <c r="P830" s="326"/>
      <c r="Q830" s="327"/>
      <c r="R830" s="328"/>
      <c r="S830" s="326"/>
      <c r="T830" s="327"/>
      <c r="U830" s="328"/>
      <c r="V830" s="150"/>
      <c r="W830" s="327"/>
      <c r="X830" s="320"/>
      <c r="Y830" s="201"/>
      <c r="Z830" s="201"/>
      <c r="AA830" s="201"/>
      <c r="AB830" s="17"/>
      <c r="AC830" s="17"/>
      <c r="AD830" s="17"/>
      <c r="AE830" s="17"/>
    </row>
    <row r="831">
      <c r="A831" s="150"/>
      <c r="B831" s="164"/>
      <c r="C831" s="320"/>
      <c r="D831" s="150"/>
      <c r="E831" s="164"/>
      <c r="F831" s="320"/>
      <c r="G831" s="150"/>
      <c r="H831" s="164"/>
      <c r="I831" s="320"/>
      <c r="J831" s="150"/>
      <c r="K831" s="164"/>
      <c r="L831" s="320"/>
      <c r="M831" s="326"/>
      <c r="N831" s="327"/>
      <c r="O831" s="328"/>
      <c r="P831" s="326"/>
      <c r="Q831" s="327"/>
      <c r="R831" s="328"/>
      <c r="S831" s="326"/>
      <c r="T831" s="327"/>
      <c r="U831" s="328"/>
      <c r="V831" s="150"/>
      <c r="W831" s="327"/>
      <c r="X831" s="320"/>
      <c r="Y831" s="201"/>
      <c r="Z831" s="201"/>
      <c r="AA831" s="201"/>
      <c r="AB831" s="17"/>
      <c r="AC831" s="17"/>
      <c r="AD831" s="17"/>
      <c r="AE831" s="17"/>
    </row>
    <row r="832">
      <c r="A832" s="150"/>
      <c r="B832" s="164"/>
      <c r="C832" s="320"/>
      <c r="D832" s="150"/>
      <c r="E832" s="164"/>
      <c r="F832" s="320"/>
      <c r="G832" s="150"/>
      <c r="H832" s="164"/>
      <c r="I832" s="320"/>
      <c r="J832" s="150"/>
      <c r="K832" s="164"/>
      <c r="L832" s="320"/>
      <c r="M832" s="326"/>
      <c r="N832" s="327"/>
      <c r="O832" s="328"/>
      <c r="P832" s="326"/>
      <c r="Q832" s="327"/>
      <c r="R832" s="328"/>
      <c r="S832" s="326"/>
      <c r="T832" s="327"/>
      <c r="U832" s="328"/>
      <c r="V832" s="150"/>
      <c r="W832" s="327"/>
      <c r="X832" s="320"/>
      <c r="Y832" s="201"/>
      <c r="Z832" s="201"/>
      <c r="AA832" s="201"/>
      <c r="AB832" s="17"/>
      <c r="AC832" s="17"/>
      <c r="AD832" s="17"/>
      <c r="AE832" s="17"/>
    </row>
    <row r="833">
      <c r="A833" s="150"/>
      <c r="B833" s="164"/>
      <c r="C833" s="320"/>
      <c r="D833" s="150"/>
      <c r="E833" s="164"/>
      <c r="F833" s="320"/>
      <c r="G833" s="150"/>
      <c r="H833" s="164"/>
      <c r="I833" s="320"/>
      <c r="J833" s="150"/>
      <c r="K833" s="164"/>
      <c r="L833" s="320"/>
      <c r="M833" s="326"/>
      <c r="N833" s="327"/>
      <c r="O833" s="328"/>
      <c r="P833" s="326"/>
      <c r="Q833" s="327"/>
      <c r="R833" s="328"/>
      <c r="S833" s="326"/>
      <c r="T833" s="327"/>
      <c r="U833" s="328"/>
      <c r="V833" s="150"/>
      <c r="W833" s="327"/>
      <c r="X833" s="320"/>
      <c r="Y833" s="201"/>
      <c r="Z833" s="201"/>
      <c r="AA833" s="201"/>
      <c r="AB833" s="17"/>
      <c r="AC833" s="17"/>
      <c r="AD833" s="17"/>
      <c r="AE833" s="17"/>
    </row>
    <row r="834">
      <c r="A834" s="150"/>
      <c r="B834" s="164"/>
      <c r="C834" s="320"/>
      <c r="D834" s="150"/>
      <c r="E834" s="164"/>
      <c r="F834" s="320"/>
      <c r="G834" s="150"/>
      <c r="H834" s="164"/>
      <c r="I834" s="320"/>
      <c r="J834" s="150"/>
      <c r="K834" s="164"/>
      <c r="L834" s="320"/>
      <c r="M834" s="326"/>
      <c r="N834" s="327"/>
      <c r="O834" s="328"/>
      <c r="P834" s="326"/>
      <c r="Q834" s="327"/>
      <c r="R834" s="328"/>
      <c r="S834" s="326"/>
      <c r="T834" s="327"/>
      <c r="U834" s="328"/>
      <c r="V834" s="150"/>
      <c r="W834" s="327"/>
      <c r="X834" s="320"/>
      <c r="Y834" s="201"/>
      <c r="Z834" s="201"/>
      <c r="AA834" s="201"/>
      <c r="AB834" s="17"/>
      <c r="AC834" s="17"/>
      <c r="AD834" s="17"/>
      <c r="AE834" s="17"/>
    </row>
    <row r="835">
      <c r="A835" s="150"/>
      <c r="B835" s="164"/>
      <c r="C835" s="320"/>
      <c r="D835" s="150"/>
      <c r="E835" s="164"/>
      <c r="F835" s="320"/>
      <c r="G835" s="150"/>
      <c r="H835" s="164"/>
      <c r="I835" s="320"/>
      <c r="J835" s="150"/>
      <c r="K835" s="164"/>
      <c r="L835" s="320"/>
      <c r="M835" s="326"/>
      <c r="N835" s="327"/>
      <c r="O835" s="328"/>
      <c r="P835" s="326"/>
      <c r="Q835" s="327"/>
      <c r="R835" s="328"/>
      <c r="S835" s="326"/>
      <c r="T835" s="327"/>
      <c r="U835" s="328"/>
      <c r="V835" s="150"/>
      <c r="W835" s="327"/>
      <c r="X835" s="320"/>
      <c r="Y835" s="201"/>
      <c r="Z835" s="201"/>
      <c r="AA835" s="201"/>
      <c r="AB835" s="17"/>
      <c r="AC835" s="17"/>
      <c r="AD835" s="17"/>
      <c r="AE835" s="17"/>
    </row>
    <row r="836">
      <c r="A836" s="150"/>
      <c r="B836" s="164"/>
      <c r="C836" s="320"/>
      <c r="D836" s="150"/>
      <c r="E836" s="164"/>
      <c r="F836" s="320"/>
      <c r="G836" s="150"/>
      <c r="H836" s="164"/>
      <c r="I836" s="320"/>
      <c r="J836" s="150"/>
      <c r="K836" s="164"/>
      <c r="L836" s="320"/>
      <c r="M836" s="326"/>
      <c r="N836" s="327"/>
      <c r="O836" s="328"/>
      <c r="P836" s="326"/>
      <c r="Q836" s="327"/>
      <c r="R836" s="328"/>
      <c r="S836" s="326"/>
      <c r="T836" s="327"/>
      <c r="U836" s="328"/>
      <c r="V836" s="150"/>
      <c r="W836" s="327"/>
      <c r="X836" s="320"/>
      <c r="Y836" s="201"/>
      <c r="Z836" s="201"/>
      <c r="AA836" s="201"/>
      <c r="AB836" s="17"/>
      <c r="AC836" s="17"/>
      <c r="AD836" s="17"/>
      <c r="AE836" s="17"/>
    </row>
    <row r="837">
      <c r="A837" s="150"/>
      <c r="B837" s="164"/>
      <c r="C837" s="320"/>
      <c r="D837" s="150"/>
      <c r="E837" s="164"/>
      <c r="F837" s="320"/>
      <c r="G837" s="150"/>
      <c r="H837" s="164"/>
      <c r="I837" s="320"/>
      <c r="J837" s="150"/>
      <c r="K837" s="164"/>
      <c r="L837" s="320"/>
      <c r="M837" s="326"/>
      <c r="N837" s="327"/>
      <c r="O837" s="328"/>
      <c r="P837" s="326"/>
      <c r="Q837" s="327"/>
      <c r="R837" s="328"/>
      <c r="S837" s="326"/>
      <c r="T837" s="327"/>
      <c r="U837" s="328"/>
      <c r="V837" s="150"/>
      <c r="W837" s="327"/>
      <c r="X837" s="320"/>
      <c r="Y837" s="201"/>
      <c r="Z837" s="201"/>
      <c r="AA837" s="201"/>
      <c r="AB837" s="17"/>
      <c r="AC837" s="17"/>
      <c r="AD837" s="17"/>
      <c r="AE837" s="17"/>
    </row>
    <row r="838">
      <c r="A838" s="150"/>
      <c r="B838" s="164"/>
      <c r="C838" s="320"/>
      <c r="D838" s="150"/>
      <c r="E838" s="164"/>
      <c r="F838" s="320"/>
      <c r="G838" s="150"/>
      <c r="H838" s="164"/>
      <c r="I838" s="320"/>
      <c r="J838" s="150"/>
      <c r="K838" s="164"/>
      <c r="L838" s="320"/>
      <c r="M838" s="326"/>
      <c r="N838" s="327"/>
      <c r="O838" s="328"/>
      <c r="P838" s="326"/>
      <c r="Q838" s="327"/>
      <c r="R838" s="328"/>
      <c r="S838" s="326"/>
      <c r="T838" s="327"/>
      <c r="U838" s="328"/>
      <c r="V838" s="150"/>
      <c r="W838" s="327"/>
      <c r="X838" s="320"/>
      <c r="Y838" s="201"/>
      <c r="Z838" s="201"/>
      <c r="AA838" s="201"/>
      <c r="AB838" s="17"/>
      <c r="AC838" s="17"/>
      <c r="AD838" s="17"/>
      <c r="AE838" s="17"/>
    </row>
    <row r="839">
      <c r="A839" s="150"/>
      <c r="B839" s="164"/>
      <c r="C839" s="320"/>
      <c r="D839" s="150"/>
      <c r="E839" s="164"/>
      <c r="F839" s="320"/>
      <c r="G839" s="150"/>
      <c r="H839" s="164"/>
      <c r="I839" s="320"/>
      <c r="J839" s="150"/>
      <c r="K839" s="164"/>
      <c r="L839" s="320"/>
      <c r="M839" s="326"/>
      <c r="N839" s="327"/>
      <c r="O839" s="328"/>
      <c r="P839" s="326"/>
      <c r="Q839" s="327"/>
      <c r="R839" s="328"/>
      <c r="S839" s="326"/>
      <c r="T839" s="327"/>
      <c r="U839" s="328"/>
      <c r="V839" s="150"/>
      <c r="W839" s="327"/>
      <c r="X839" s="320"/>
      <c r="Y839" s="201"/>
      <c r="Z839" s="201"/>
      <c r="AA839" s="201"/>
      <c r="AB839" s="17"/>
      <c r="AC839" s="17"/>
      <c r="AD839" s="17"/>
      <c r="AE839" s="17"/>
    </row>
    <row r="840">
      <c r="A840" s="150"/>
      <c r="B840" s="164"/>
      <c r="C840" s="320"/>
      <c r="D840" s="150"/>
      <c r="E840" s="164"/>
      <c r="F840" s="320"/>
      <c r="G840" s="150"/>
      <c r="H840" s="164"/>
      <c r="I840" s="320"/>
      <c r="J840" s="150"/>
      <c r="K840" s="164"/>
      <c r="L840" s="320"/>
      <c r="M840" s="326"/>
      <c r="N840" s="327"/>
      <c r="O840" s="328"/>
      <c r="P840" s="326"/>
      <c r="Q840" s="327"/>
      <c r="R840" s="328"/>
      <c r="S840" s="326"/>
      <c r="T840" s="327"/>
      <c r="U840" s="328"/>
      <c r="V840" s="150"/>
      <c r="W840" s="327"/>
      <c r="X840" s="320"/>
      <c r="Y840" s="201"/>
      <c r="Z840" s="201"/>
      <c r="AA840" s="201"/>
      <c r="AB840" s="17"/>
      <c r="AC840" s="17"/>
      <c r="AD840" s="17"/>
      <c r="AE840" s="17"/>
    </row>
    <row r="841">
      <c r="A841" s="150"/>
      <c r="B841" s="164"/>
      <c r="C841" s="320"/>
      <c r="D841" s="150"/>
      <c r="E841" s="164"/>
      <c r="F841" s="320"/>
      <c r="G841" s="150"/>
      <c r="H841" s="164"/>
      <c r="I841" s="320"/>
      <c r="J841" s="150"/>
      <c r="K841" s="164"/>
      <c r="L841" s="320"/>
      <c r="M841" s="326"/>
      <c r="N841" s="327"/>
      <c r="O841" s="328"/>
      <c r="P841" s="326"/>
      <c r="Q841" s="327"/>
      <c r="R841" s="328"/>
      <c r="S841" s="326"/>
      <c r="T841" s="327"/>
      <c r="U841" s="328"/>
      <c r="V841" s="150"/>
      <c r="W841" s="327"/>
      <c r="X841" s="320"/>
      <c r="Y841" s="201"/>
      <c r="Z841" s="201"/>
      <c r="AA841" s="201"/>
      <c r="AB841" s="17"/>
      <c r="AC841" s="17"/>
      <c r="AD841" s="17"/>
      <c r="AE841" s="17"/>
    </row>
    <row r="842">
      <c r="A842" s="150"/>
      <c r="B842" s="164"/>
      <c r="C842" s="320"/>
      <c r="D842" s="150"/>
      <c r="E842" s="164"/>
      <c r="F842" s="320"/>
      <c r="G842" s="150"/>
      <c r="H842" s="164"/>
      <c r="I842" s="320"/>
      <c r="J842" s="150"/>
      <c r="K842" s="164"/>
      <c r="L842" s="320"/>
      <c r="M842" s="326"/>
      <c r="N842" s="327"/>
      <c r="O842" s="328"/>
      <c r="P842" s="326"/>
      <c r="Q842" s="327"/>
      <c r="R842" s="328"/>
      <c r="S842" s="326"/>
      <c r="T842" s="327"/>
      <c r="U842" s="328"/>
      <c r="V842" s="150"/>
      <c r="W842" s="327"/>
      <c r="X842" s="320"/>
      <c r="Y842" s="201"/>
      <c r="Z842" s="201"/>
      <c r="AA842" s="201"/>
      <c r="AB842" s="17"/>
      <c r="AC842" s="17"/>
      <c r="AD842" s="17"/>
      <c r="AE842" s="17"/>
    </row>
    <row r="843">
      <c r="A843" s="150"/>
      <c r="B843" s="164"/>
      <c r="C843" s="320"/>
      <c r="D843" s="150"/>
      <c r="E843" s="164"/>
      <c r="F843" s="320"/>
      <c r="G843" s="150"/>
      <c r="H843" s="164"/>
      <c r="I843" s="320"/>
      <c r="J843" s="150"/>
      <c r="K843" s="164"/>
      <c r="L843" s="320"/>
      <c r="M843" s="326"/>
      <c r="N843" s="327"/>
      <c r="O843" s="328"/>
      <c r="P843" s="326"/>
      <c r="Q843" s="327"/>
      <c r="R843" s="328"/>
      <c r="S843" s="326"/>
      <c r="T843" s="327"/>
      <c r="U843" s="328"/>
      <c r="V843" s="150"/>
      <c r="W843" s="327"/>
      <c r="X843" s="320"/>
      <c r="Y843" s="201"/>
      <c r="Z843" s="201"/>
      <c r="AA843" s="201"/>
      <c r="AB843" s="17"/>
      <c r="AC843" s="17"/>
      <c r="AD843" s="17"/>
      <c r="AE843" s="17"/>
    </row>
    <row r="844">
      <c r="A844" s="150"/>
      <c r="B844" s="164"/>
      <c r="C844" s="320"/>
      <c r="D844" s="150"/>
      <c r="E844" s="164"/>
      <c r="F844" s="320"/>
      <c r="G844" s="150"/>
      <c r="H844" s="164"/>
      <c r="I844" s="320"/>
      <c r="J844" s="150"/>
      <c r="K844" s="164"/>
      <c r="L844" s="320"/>
      <c r="M844" s="326"/>
      <c r="N844" s="327"/>
      <c r="O844" s="328"/>
      <c r="P844" s="326"/>
      <c r="Q844" s="327"/>
      <c r="R844" s="328"/>
      <c r="S844" s="326"/>
      <c r="T844" s="327"/>
      <c r="U844" s="328"/>
      <c r="V844" s="150"/>
      <c r="W844" s="327"/>
      <c r="X844" s="320"/>
      <c r="Y844" s="201"/>
      <c r="Z844" s="201"/>
      <c r="AA844" s="201"/>
      <c r="AB844" s="17"/>
      <c r="AC844" s="17"/>
      <c r="AD844" s="17"/>
      <c r="AE844" s="17"/>
    </row>
    <row r="845">
      <c r="A845" s="150"/>
      <c r="B845" s="164"/>
      <c r="C845" s="320"/>
      <c r="D845" s="150"/>
      <c r="E845" s="164"/>
      <c r="F845" s="320"/>
      <c r="G845" s="150"/>
      <c r="H845" s="164"/>
      <c r="I845" s="320"/>
      <c r="J845" s="150"/>
      <c r="K845" s="164"/>
      <c r="L845" s="320"/>
      <c r="M845" s="326"/>
      <c r="N845" s="327"/>
      <c r="O845" s="328"/>
      <c r="P845" s="326"/>
      <c r="Q845" s="327"/>
      <c r="R845" s="328"/>
      <c r="S845" s="326"/>
      <c r="T845" s="327"/>
      <c r="U845" s="328"/>
      <c r="V845" s="150"/>
      <c r="W845" s="327"/>
      <c r="X845" s="320"/>
      <c r="Y845" s="201"/>
      <c r="Z845" s="201"/>
      <c r="AA845" s="201"/>
      <c r="AB845" s="17"/>
      <c r="AC845" s="17"/>
      <c r="AD845" s="17"/>
      <c r="AE845" s="17"/>
    </row>
    <row r="846">
      <c r="A846" s="150"/>
      <c r="B846" s="164"/>
      <c r="C846" s="320"/>
      <c r="D846" s="150"/>
      <c r="E846" s="164"/>
      <c r="F846" s="320"/>
      <c r="G846" s="150"/>
      <c r="H846" s="164"/>
      <c r="I846" s="320"/>
      <c r="J846" s="150"/>
      <c r="K846" s="164"/>
      <c r="L846" s="320"/>
      <c r="M846" s="326"/>
      <c r="N846" s="327"/>
      <c r="O846" s="328"/>
      <c r="P846" s="326"/>
      <c r="Q846" s="327"/>
      <c r="R846" s="328"/>
      <c r="S846" s="326"/>
      <c r="T846" s="327"/>
      <c r="U846" s="328"/>
      <c r="V846" s="150"/>
      <c r="W846" s="327"/>
      <c r="X846" s="320"/>
      <c r="Y846" s="201"/>
      <c r="Z846" s="201"/>
      <c r="AA846" s="201"/>
      <c r="AB846" s="17"/>
      <c r="AC846" s="17"/>
      <c r="AD846" s="17"/>
      <c r="AE846" s="17"/>
    </row>
    <row r="847">
      <c r="A847" s="150"/>
      <c r="B847" s="164"/>
      <c r="C847" s="320"/>
      <c r="D847" s="150"/>
      <c r="E847" s="164"/>
      <c r="F847" s="320"/>
      <c r="G847" s="150"/>
      <c r="H847" s="164"/>
      <c r="I847" s="320"/>
      <c r="J847" s="150"/>
      <c r="K847" s="164"/>
      <c r="L847" s="320"/>
      <c r="M847" s="326"/>
      <c r="N847" s="327"/>
      <c r="O847" s="328"/>
      <c r="P847" s="326"/>
      <c r="Q847" s="327"/>
      <c r="R847" s="328"/>
      <c r="S847" s="326"/>
      <c r="T847" s="327"/>
      <c r="U847" s="328"/>
      <c r="V847" s="150"/>
      <c r="W847" s="327"/>
      <c r="X847" s="320"/>
      <c r="Y847" s="201"/>
      <c r="Z847" s="201"/>
      <c r="AA847" s="201"/>
      <c r="AB847" s="17"/>
      <c r="AC847" s="17"/>
      <c r="AD847" s="17"/>
      <c r="AE847" s="17"/>
    </row>
    <row r="848">
      <c r="A848" s="150"/>
      <c r="B848" s="164"/>
      <c r="C848" s="320"/>
      <c r="D848" s="150"/>
      <c r="E848" s="164"/>
      <c r="F848" s="320"/>
      <c r="G848" s="150"/>
      <c r="H848" s="164"/>
      <c r="I848" s="320"/>
      <c r="J848" s="150"/>
      <c r="K848" s="164"/>
      <c r="L848" s="320"/>
      <c r="M848" s="326"/>
      <c r="N848" s="327"/>
      <c r="O848" s="328"/>
      <c r="P848" s="326"/>
      <c r="Q848" s="327"/>
      <c r="R848" s="328"/>
      <c r="S848" s="326"/>
      <c r="T848" s="327"/>
      <c r="U848" s="328"/>
      <c r="V848" s="150"/>
      <c r="W848" s="327"/>
      <c r="X848" s="320"/>
      <c r="Y848" s="201"/>
      <c r="Z848" s="201"/>
      <c r="AA848" s="201"/>
      <c r="AB848" s="17"/>
      <c r="AC848" s="17"/>
      <c r="AD848" s="17"/>
      <c r="AE848" s="17"/>
    </row>
    <row r="849">
      <c r="A849" s="150"/>
      <c r="B849" s="164"/>
      <c r="C849" s="320"/>
      <c r="D849" s="150"/>
      <c r="E849" s="164"/>
      <c r="F849" s="320"/>
      <c r="G849" s="150"/>
      <c r="H849" s="164"/>
      <c r="I849" s="320"/>
      <c r="J849" s="150"/>
      <c r="K849" s="164"/>
      <c r="L849" s="320"/>
      <c r="M849" s="326"/>
      <c r="N849" s="327"/>
      <c r="O849" s="328"/>
      <c r="P849" s="326"/>
      <c r="Q849" s="327"/>
      <c r="R849" s="328"/>
      <c r="S849" s="326"/>
      <c r="T849" s="327"/>
      <c r="U849" s="328"/>
      <c r="V849" s="150"/>
      <c r="W849" s="327"/>
      <c r="X849" s="320"/>
      <c r="Y849" s="201"/>
      <c r="Z849" s="201"/>
      <c r="AA849" s="201"/>
      <c r="AB849" s="17"/>
      <c r="AC849" s="17"/>
      <c r="AD849" s="17"/>
      <c r="AE849" s="17"/>
    </row>
    <row r="850">
      <c r="A850" s="150"/>
      <c r="B850" s="164"/>
      <c r="C850" s="320"/>
      <c r="D850" s="150"/>
      <c r="E850" s="164"/>
      <c r="F850" s="320"/>
      <c r="G850" s="150"/>
      <c r="H850" s="164"/>
      <c r="I850" s="320"/>
      <c r="J850" s="150"/>
      <c r="K850" s="164"/>
      <c r="L850" s="320"/>
      <c r="M850" s="326"/>
      <c r="N850" s="327"/>
      <c r="O850" s="328"/>
      <c r="P850" s="326"/>
      <c r="Q850" s="327"/>
      <c r="R850" s="328"/>
      <c r="S850" s="326"/>
      <c r="T850" s="327"/>
      <c r="U850" s="328"/>
      <c r="V850" s="150"/>
      <c r="W850" s="327"/>
      <c r="X850" s="320"/>
      <c r="Y850" s="201"/>
      <c r="Z850" s="201"/>
      <c r="AA850" s="201"/>
      <c r="AB850" s="17"/>
      <c r="AC850" s="17"/>
      <c r="AD850" s="17"/>
      <c r="AE850" s="17"/>
    </row>
    <row r="851">
      <c r="A851" s="150"/>
      <c r="B851" s="164"/>
      <c r="C851" s="320"/>
      <c r="D851" s="150"/>
      <c r="E851" s="164"/>
      <c r="F851" s="320"/>
      <c r="G851" s="150"/>
      <c r="H851" s="164"/>
      <c r="I851" s="320"/>
      <c r="J851" s="150"/>
      <c r="K851" s="164"/>
      <c r="L851" s="320"/>
      <c r="M851" s="326"/>
      <c r="N851" s="327"/>
      <c r="O851" s="328"/>
      <c r="P851" s="326"/>
      <c r="Q851" s="327"/>
      <c r="R851" s="328"/>
      <c r="S851" s="326"/>
      <c r="T851" s="327"/>
      <c r="U851" s="328"/>
      <c r="V851" s="150"/>
      <c r="W851" s="327"/>
      <c r="X851" s="320"/>
      <c r="Y851" s="201"/>
      <c r="Z851" s="201"/>
      <c r="AA851" s="201"/>
      <c r="AB851" s="17"/>
      <c r="AC851" s="17"/>
      <c r="AD851" s="17"/>
      <c r="AE851" s="17"/>
    </row>
    <row r="852">
      <c r="A852" s="150"/>
      <c r="B852" s="164"/>
      <c r="C852" s="320"/>
      <c r="D852" s="150"/>
      <c r="E852" s="164"/>
      <c r="F852" s="320"/>
      <c r="G852" s="150"/>
      <c r="H852" s="164"/>
      <c r="I852" s="320"/>
      <c r="J852" s="150"/>
      <c r="K852" s="164"/>
      <c r="L852" s="320"/>
      <c r="M852" s="326"/>
      <c r="N852" s="327"/>
      <c r="O852" s="328"/>
      <c r="P852" s="326"/>
      <c r="Q852" s="327"/>
      <c r="R852" s="328"/>
      <c r="S852" s="326"/>
      <c r="T852" s="327"/>
      <c r="U852" s="328"/>
      <c r="V852" s="150"/>
      <c r="W852" s="327"/>
      <c r="X852" s="320"/>
      <c r="Y852" s="201"/>
      <c r="Z852" s="201"/>
      <c r="AA852" s="201"/>
      <c r="AB852" s="17"/>
      <c r="AC852" s="17"/>
      <c r="AD852" s="17"/>
      <c r="AE852" s="17"/>
    </row>
    <row r="853">
      <c r="A853" s="150"/>
      <c r="B853" s="164"/>
      <c r="C853" s="320"/>
      <c r="D853" s="150"/>
      <c r="E853" s="164"/>
      <c r="F853" s="320"/>
      <c r="G853" s="150"/>
      <c r="H853" s="164"/>
      <c r="I853" s="320"/>
      <c r="J853" s="150"/>
      <c r="K853" s="164"/>
      <c r="L853" s="320"/>
      <c r="M853" s="326"/>
      <c r="N853" s="327"/>
      <c r="O853" s="328"/>
      <c r="P853" s="326"/>
      <c r="Q853" s="327"/>
      <c r="R853" s="328"/>
      <c r="S853" s="326"/>
      <c r="T853" s="327"/>
      <c r="U853" s="328"/>
      <c r="V853" s="150"/>
      <c r="W853" s="327"/>
      <c r="X853" s="320"/>
      <c r="Y853" s="201"/>
      <c r="Z853" s="201"/>
      <c r="AA853" s="201"/>
      <c r="AB853" s="17"/>
      <c r="AC853" s="17"/>
      <c r="AD853" s="17"/>
      <c r="AE853" s="17"/>
    </row>
    <row r="854">
      <c r="A854" s="150"/>
      <c r="B854" s="164"/>
      <c r="C854" s="320"/>
      <c r="D854" s="150"/>
      <c r="E854" s="164"/>
      <c r="F854" s="320"/>
      <c r="G854" s="150"/>
      <c r="H854" s="164"/>
      <c r="I854" s="320"/>
      <c r="J854" s="150"/>
      <c r="K854" s="164"/>
      <c r="L854" s="320"/>
      <c r="M854" s="326"/>
      <c r="N854" s="327"/>
      <c r="O854" s="328"/>
      <c r="P854" s="326"/>
      <c r="Q854" s="327"/>
      <c r="R854" s="328"/>
      <c r="S854" s="326"/>
      <c r="T854" s="327"/>
      <c r="U854" s="328"/>
      <c r="V854" s="150"/>
      <c r="W854" s="327"/>
      <c r="X854" s="320"/>
      <c r="Y854" s="201"/>
      <c r="Z854" s="201"/>
      <c r="AA854" s="201"/>
      <c r="AB854" s="17"/>
      <c r="AC854" s="17"/>
      <c r="AD854" s="17"/>
      <c r="AE854" s="17"/>
    </row>
    <row r="855">
      <c r="A855" s="150"/>
      <c r="B855" s="164"/>
      <c r="C855" s="320"/>
      <c r="D855" s="150"/>
      <c r="E855" s="164"/>
      <c r="F855" s="320"/>
      <c r="G855" s="150"/>
      <c r="H855" s="164"/>
      <c r="I855" s="320"/>
      <c r="J855" s="150"/>
      <c r="K855" s="164"/>
      <c r="L855" s="320"/>
      <c r="M855" s="326"/>
      <c r="N855" s="327"/>
      <c r="O855" s="328"/>
      <c r="P855" s="326"/>
      <c r="Q855" s="327"/>
      <c r="R855" s="328"/>
      <c r="S855" s="326"/>
      <c r="T855" s="327"/>
      <c r="U855" s="328"/>
      <c r="V855" s="150"/>
      <c r="W855" s="327"/>
      <c r="X855" s="320"/>
      <c r="Y855" s="201"/>
      <c r="Z855" s="201"/>
      <c r="AA855" s="201"/>
      <c r="AB855" s="17"/>
      <c r="AC855" s="17"/>
      <c r="AD855" s="17"/>
      <c r="AE855" s="17"/>
    </row>
    <row r="856">
      <c r="A856" s="150"/>
      <c r="B856" s="164"/>
      <c r="C856" s="320"/>
      <c r="D856" s="150"/>
      <c r="E856" s="164"/>
      <c r="F856" s="320"/>
      <c r="G856" s="150"/>
      <c r="H856" s="164"/>
      <c r="I856" s="320"/>
      <c r="J856" s="150"/>
      <c r="K856" s="164"/>
      <c r="L856" s="320"/>
      <c r="M856" s="326"/>
      <c r="N856" s="327"/>
      <c r="O856" s="328"/>
      <c r="P856" s="326"/>
      <c r="Q856" s="327"/>
      <c r="R856" s="328"/>
      <c r="S856" s="326"/>
      <c r="T856" s="327"/>
      <c r="U856" s="328"/>
      <c r="V856" s="150"/>
      <c r="W856" s="327"/>
      <c r="X856" s="320"/>
      <c r="Y856" s="201"/>
      <c r="Z856" s="201"/>
      <c r="AA856" s="201"/>
      <c r="AB856" s="17"/>
      <c r="AC856" s="17"/>
      <c r="AD856" s="17"/>
      <c r="AE856" s="17"/>
    </row>
    <row r="857">
      <c r="A857" s="150"/>
      <c r="B857" s="164"/>
      <c r="C857" s="320"/>
      <c r="D857" s="150"/>
      <c r="E857" s="164"/>
      <c r="F857" s="320"/>
      <c r="G857" s="150"/>
      <c r="H857" s="164"/>
      <c r="I857" s="320"/>
      <c r="J857" s="150"/>
      <c r="K857" s="164"/>
      <c r="L857" s="320"/>
      <c r="M857" s="326"/>
      <c r="N857" s="327"/>
      <c r="O857" s="328"/>
      <c r="P857" s="326"/>
      <c r="Q857" s="327"/>
      <c r="R857" s="328"/>
      <c r="S857" s="326"/>
      <c r="T857" s="327"/>
      <c r="U857" s="328"/>
      <c r="V857" s="150"/>
      <c r="W857" s="327"/>
      <c r="X857" s="320"/>
      <c r="Y857" s="201"/>
      <c r="Z857" s="201"/>
      <c r="AA857" s="201"/>
      <c r="AB857" s="17"/>
      <c r="AC857" s="17"/>
      <c r="AD857" s="17"/>
      <c r="AE857" s="17"/>
    </row>
    <row r="858">
      <c r="A858" s="150"/>
      <c r="B858" s="164"/>
      <c r="C858" s="320"/>
      <c r="D858" s="150"/>
      <c r="E858" s="164"/>
      <c r="F858" s="320"/>
      <c r="G858" s="150"/>
      <c r="H858" s="164"/>
      <c r="I858" s="320"/>
      <c r="J858" s="150"/>
      <c r="K858" s="164"/>
      <c r="L858" s="320"/>
      <c r="M858" s="326"/>
      <c r="N858" s="327"/>
      <c r="O858" s="328"/>
      <c r="P858" s="326"/>
      <c r="Q858" s="327"/>
      <c r="R858" s="328"/>
      <c r="S858" s="326"/>
      <c r="T858" s="327"/>
      <c r="U858" s="328"/>
      <c r="V858" s="150"/>
      <c r="W858" s="327"/>
      <c r="X858" s="320"/>
      <c r="Y858" s="201"/>
      <c r="Z858" s="201"/>
      <c r="AA858" s="201"/>
      <c r="AB858" s="17"/>
      <c r="AC858" s="17"/>
      <c r="AD858" s="17"/>
      <c r="AE858" s="17"/>
    </row>
    <row r="859">
      <c r="A859" s="150"/>
      <c r="B859" s="164"/>
      <c r="C859" s="320"/>
      <c r="D859" s="150"/>
      <c r="E859" s="164"/>
      <c r="F859" s="320"/>
      <c r="G859" s="150"/>
      <c r="H859" s="164"/>
      <c r="I859" s="320"/>
      <c r="J859" s="150"/>
      <c r="K859" s="164"/>
      <c r="L859" s="320"/>
      <c r="M859" s="326"/>
      <c r="N859" s="327"/>
      <c r="O859" s="328"/>
      <c r="P859" s="326"/>
      <c r="Q859" s="327"/>
      <c r="R859" s="328"/>
      <c r="S859" s="326"/>
      <c r="T859" s="327"/>
      <c r="U859" s="328"/>
      <c r="V859" s="150"/>
      <c r="W859" s="327"/>
      <c r="X859" s="320"/>
      <c r="Y859" s="201"/>
      <c r="Z859" s="201"/>
      <c r="AA859" s="201"/>
      <c r="AB859" s="17"/>
      <c r="AC859" s="17"/>
      <c r="AD859" s="17"/>
      <c r="AE859" s="17"/>
    </row>
    <row r="860">
      <c r="A860" s="150"/>
      <c r="B860" s="164"/>
      <c r="C860" s="320"/>
      <c r="D860" s="150"/>
      <c r="E860" s="164"/>
      <c r="F860" s="320"/>
      <c r="G860" s="150"/>
      <c r="H860" s="164"/>
      <c r="I860" s="320"/>
      <c r="J860" s="150"/>
      <c r="K860" s="164"/>
      <c r="L860" s="320"/>
      <c r="M860" s="326"/>
      <c r="N860" s="327"/>
      <c r="O860" s="328"/>
      <c r="P860" s="326"/>
      <c r="Q860" s="327"/>
      <c r="R860" s="328"/>
      <c r="S860" s="326"/>
      <c r="T860" s="327"/>
      <c r="U860" s="328"/>
      <c r="V860" s="150"/>
      <c r="W860" s="327"/>
      <c r="X860" s="320"/>
      <c r="Y860" s="201"/>
      <c r="Z860" s="201"/>
      <c r="AA860" s="201"/>
      <c r="AB860" s="17"/>
      <c r="AC860" s="17"/>
      <c r="AD860" s="17"/>
      <c r="AE860" s="17"/>
    </row>
    <row r="861">
      <c r="A861" s="150"/>
      <c r="B861" s="164"/>
      <c r="C861" s="320"/>
      <c r="D861" s="150"/>
      <c r="E861" s="164"/>
      <c r="F861" s="320"/>
      <c r="G861" s="150"/>
      <c r="H861" s="164"/>
      <c r="I861" s="320"/>
      <c r="J861" s="150"/>
      <c r="K861" s="164"/>
      <c r="L861" s="320"/>
      <c r="M861" s="326"/>
      <c r="N861" s="327"/>
      <c r="O861" s="328"/>
      <c r="P861" s="326"/>
      <c r="Q861" s="327"/>
      <c r="R861" s="328"/>
      <c r="S861" s="326"/>
      <c r="T861" s="327"/>
      <c r="U861" s="328"/>
      <c r="V861" s="150"/>
      <c r="W861" s="327"/>
      <c r="X861" s="320"/>
      <c r="Y861" s="201"/>
      <c r="Z861" s="201"/>
      <c r="AA861" s="201"/>
      <c r="AB861" s="17"/>
      <c r="AC861" s="17"/>
      <c r="AD861" s="17"/>
      <c r="AE861" s="17"/>
    </row>
    <row r="862">
      <c r="A862" s="150"/>
      <c r="B862" s="164"/>
      <c r="C862" s="320"/>
      <c r="D862" s="150"/>
      <c r="E862" s="164"/>
      <c r="F862" s="320"/>
      <c r="G862" s="150"/>
      <c r="H862" s="164"/>
      <c r="I862" s="320"/>
      <c r="J862" s="150"/>
      <c r="K862" s="164"/>
      <c r="L862" s="320"/>
      <c r="M862" s="326"/>
      <c r="N862" s="327"/>
      <c r="O862" s="328"/>
      <c r="P862" s="326"/>
      <c r="Q862" s="327"/>
      <c r="R862" s="328"/>
      <c r="S862" s="326"/>
      <c r="T862" s="327"/>
      <c r="U862" s="328"/>
      <c r="V862" s="150"/>
      <c r="W862" s="327"/>
      <c r="X862" s="320"/>
      <c r="Y862" s="201"/>
      <c r="Z862" s="201"/>
      <c r="AA862" s="201"/>
      <c r="AB862" s="17"/>
      <c r="AC862" s="17"/>
      <c r="AD862" s="17"/>
      <c r="AE862" s="17"/>
    </row>
    <row r="863">
      <c r="A863" s="150"/>
      <c r="B863" s="164"/>
      <c r="C863" s="320"/>
      <c r="D863" s="150"/>
      <c r="E863" s="164"/>
      <c r="F863" s="320"/>
      <c r="G863" s="150"/>
      <c r="H863" s="164"/>
      <c r="I863" s="320"/>
      <c r="J863" s="150"/>
      <c r="K863" s="164"/>
      <c r="L863" s="320"/>
      <c r="M863" s="326"/>
      <c r="N863" s="327"/>
      <c r="O863" s="328"/>
      <c r="P863" s="326"/>
      <c r="Q863" s="327"/>
      <c r="R863" s="328"/>
      <c r="S863" s="326"/>
      <c r="T863" s="327"/>
      <c r="U863" s="328"/>
      <c r="V863" s="150"/>
      <c r="W863" s="327"/>
      <c r="X863" s="320"/>
      <c r="Y863" s="201"/>
      <c r="Z863" s="201"/>
      <c r="AA863" s="201"/>
      <c r="AB863" s="17"/>
      <c r="AC863" s="17"/>
      <c r="AD863" s="17"/>
      <c r="AE863" s="17"/>
    </row>
    <row r="864">
      <c r="A864" s="150"/>
      <c r="B864" s="164"/>
      <c r="C864" s="320"/>
      <c r="D864" s="150"/>
      <c r="E864" s="164"/>
      <c r="F864" s="320"/>
      <c r="G864" s="150"/>
      <c r="H864" s="164"/>
      <c r="I864" s="320"/>
      <c r="J864" s="150"/>
      <c r="K864" s="164"/>
      <c r="L864" s="320"/>
      <c r="M864" s="326"/>
      <c r="N864" s="327"/>
      <c r="O864" s="328"/>
      <c r="P864" s="326"/>
      <c r="Q864" s="327"/>
      <c r="R864" s="328"/>
      <c r="S864" s="326"/>
      <c r="T864" s="327"/>
      <c r="U864" s="328"/>
      <c r="V864" s="150"/>
      <c r="W864" s="327"/>
      <c r="X864" s="320"/>
      <c r="Y864" s="201"/>
      <c r="Z864" s="201"/>
      <c r="AA864" s="201"/>
      <c r="AB864" s="17"/>
      <c r="AC864" s="17"/>
      <c r="AD864" s="17"/>
      <c r="AE864" s="17"/>
    </row>
    <row r="865">
      <c r="A865" s="150"/>
      <c r="B865" s="164"/>
      <c r="C865" s="320"/>
      <c r="D865" s="150"/>
      <c r="E865" s="164"/>
      <c r="F865" s="320"/>
      <c r="G865" s="150"/>
      <c r="H865" s="164"/>
      <c r="I865" s="320"/>
      <c r="J865" s="150"/>
      <c r="K865" s="164"/>
      <c r="L865" s="320"/>
      <c r="M865" s="326"/>
      <c r="N865" s="327"/>
      <c r="O865" s="328"/>
      <c r="P865" s="326"/>
      <c r="Q865" s="327"/>
      <c r="R865" s="328"/>
      <c r="S865" s="326"/>
      <c r="T865" s="327"/>
      <c r="U865" s="328"/>
      <c r="V865" s="150"/>
      <c r="W865" s="327"/>
      <c r="X865" s="320"/>
      <c r="Y865" s="201"/>
      <c r="Z865" s="201"/>
      <c r="AA865" s="201"/>
      <c r="AB865" s="17"/>
      <c r="AC865" s="17"/>
      <c r="AD865" s="17"/>
      <c r="AE865" s="17"/>
    </row>
    <row r="866">
      <c r="A866" s="150"/>
      <c r="B866" s="164"/>
      <c r="C866" s="320"/>
      <c r="D866" s="150"/>
      <c r="E866" s="164"/>
      <c r="F866" s="320"/>
      <c r="G866" s="150"/>
      <c r="H866" s="164"/>
      <c r="I866" s="320"/>
      <c r="J866" s="150"/>
      <c r="K866" s="164"/>
      <c r="L866" s="320"/>
      <c r="M866" s="326"/>
      <c r="N866" s="327"/>
      <c r="O866" s="328"/>
      <c r="P866" s="326"/>
      <c r="Q866" s="327"/>
      <c r="R866" s="328"/>
      <c r="S866" s="326"/>
      <c r="T866" s="327"/>
      <c r="U866" s="328"/>
      <c r="V866" s="150"/>
      <c r="W866" s="327"/>
      <c r="X866" s="320"/>
      <c r="Y866" s="201"/>
      <c r="Z866" s="201"/>
      <c r="AA866" s="201"/>
      <c r="AB866" s="17"/>
      <c r="AC866" s="17"/>
      <c r="AD866" s="17"/>
      <c r="AE866" s="17"/>
    </row>
    <row r="867">
      <c r="A867" s="150"/>
      <c r="B867" s="164"/>
      <c r="C867" s="320"/>
      <c r="D867" s="150"/>
      <c r="E867" s="164"/>
      <c r="F867" s="320"/>
      <c r="G867" s="150"/>
      <c r="H867" s="164"/>
      <c r="I867" s="320"/>
      <c r="J867" s="150"/>
      <c r="K867" s="164"/>
      <c r="L867" s="320"/>
      <c r="M867" s="326"/>
      <c r="N867" s="327"/>
      <c r="O867" s="328"/>
      <c r="P867" s="326"/>
      <c r="Q867" s="327"/>
      <c r="R867" s="328"/>
      <c r="S867" s="326"/>
      <c r="T867" s="327"/>
      <c r="U867" s="328"/>
      <c r="V867" s="150"/>
      <c r="W867" s="327"/>
      <c r="X867" s="320"/>
      <c r="Y867" s="201"/>
      <c r="Z867" s="201"/>
      <c r="AA867" s="201"/>
      <c r="AB867" s="17"/>
      <c r="AC867" s="17"/>
      <c r="AD867" s="17"/>
      <c r="AE867" s="17"/>
    </row>
    <row r="868">
      <c r="A868" s="150"/>
      <c r="B868" s="164"/>
      <c r="C868" s="320"/>
      <c r="D868" s="150"/>
      <c r="E868" s="164"/>
      <c r="F868" s="320"/>
      <c r="G868" s="150"/>
      <c r="H868" s="164"/>
      <c r="I868" s="320"/>
      <c r="J868" s="150"/>
      <c r="K868" s="164"/>
      <c r="L868" s="320"/>
      <c r="M868" s="326"/>
      <c r="N868" s="327"/>
      <c r="O868" s="328"/>
      <c r="P868" s="326"/>
      <c r="Q868" s="327"/>
      <c r="R868" s="328"/>
      <c r="S868" s="326"/>
      <c r="T868" s="327"/>
      <c r="U868" s="328"/>
      <c r="V868" s="150"/>
      <c r="W868" s="327"/>
      <c r="X868" s="320"/>
      <c r="Y868" s="201"/>
      <c r="Z868" s="201"/>
      <c r="AA868" s="201"/>
      <c r="AB868" s="17"/>
      <c r="AC868" s="17"/>
      <c r="AD868" s="17"/>
      <c r="AE868" s="17"/>
    </row>
    <row r="869">
      <c r="A869" s="150"/>
      <c r="B869" s="164"/>
      <c r="C869" s="320"/>
      <c r="D869" s="150"/>
      <c r="E869" s="164"/>
      <c r="F869" s="320"/>
      <c r="G869" s="150"/>
      <c r="H869" s="164"/>
      <c r="I869" s="320"/>
      <c r="J869" s="150"/>
      <c r="K869" s="164"/>
      <c r="L869" s="320"/>
      <c r="M869" s="326"/>
      <c r="N869" s="327"/>
      <c r="O869" s="328"/>
      <c r="P869" s="326"/>
      <c r="Q869" s="327"/>
      <c r="R869" s="328"/>
      <c r="S869" s="326"/>
      <c r="T869" s="327"/>
      <c r="U869" s="328"/>
      <c r="V869" s="150"/>
      <c r="W869" s="327"/>
      <c r="X869" s="320"/>
      <c r="Y869" s="201"/>
      <c r="Z869" s="201"/>
      <c r="AA869" s="201"/>
      <c r="AB869" s="17"/>
      <c r="AC869" s="17"/>
      <c r="AD869" s="17"/>
      <c r="AE869" s="17"/>
    </row>
    <row r="870">
      <c r="A870" s="150"/>
      <c r="B870" s="164"/>
      <c r="C870" s="320"/>
      <c r="D870" s="150"/>
      <c r="E870" s="164"/>
      <c r="F870" s="320"/>
      <c r="G870" s="150"/>
      <c r="H870" s="164"/>
      <c r="I870" s="320"/>
      <c r="J870" s="150"/>
      <c r="K870" s="164"/>
      <c r="L870" s="320"/>
      <c r="M870" s="326"/>
      <c r="N870" s="327"/>
      <c r="O870" s="328"/>
      <c r="P870" s="326"/>
      <c r="Q870" s="327"/>
      <c r="R870" s="328"/>
      <c r="S870" s="326"/>
      <c r="T870" s="327"/>
      <c r="U870" s="328"/>
      <c r="V870" s="150"/>
      <c r="W870" s="327"/>
      <c r="X870" s="320"/>
      <c r="Y870" s="201"/>
      <c r="Z870" s="201"/>
      <c r="AA870" s="201"/>
      <c r="AB870" s="17"/>
      <c r="AC870" s="17"/>
      <c r="AD870" s="17"/>
      <c r="AE870" s="17"/>
    </row>
    <row r="871">
      <c r="A871" s="150"/>
      <c r="B871" s="164"/>
      <c r="C871" s="320"/>
      <c r="D871" s="150"/>
      <c r="E871" s="164"/>
      <c r="F871" s="320"/>
      <c r="G871" s="150"/>
      <c r="H871" s="164"/>
      <c r="I871" s="320"/>
      <c r="J871" s="150"/>
      <c r="K871" s="164"/>
      <c r="L871" s="320"/>
      <c r="M871" s="326"/>
      <c r="N871" s="327"/>
      <c r="O871" s="328"/>
      <c r="P871" s="326"/>
      <c r="Q871" s="327"/>
      <c r="R871" s="328"/>
      <c r="S871" s="326"/>
      <c r="T871" s="327"/>
      <c r="U871" s="328"/>
      <c r="V871" s="150"/>
      <c r="W871" s="327"/>
      <c r="X871" s="320"/>
      <c r="Y871" s="201"/>
      <c r="Z871" s="201"/>
      <c r="AA871" s="201"/>
      <c r="AB871" s="17"/>
      <c r="AC871" s="17"/>
      <c r="AD871" s="17"/>
      <c r="AE871" s="17"/>
    </row>
    <row r="872">
      <c r="A872" s="150"/>
      <c r="B872" s="164"/>
      <c r="C872" s="320"/>
      <c r="D872" s="150"/>
      <c r="E872" s="164"/>
      <c r="F872" s="320"/>
      <c r="G872" s="150"/>
      <c r="H872" s="164"/>
      <c r="I872" s="320"/>
      <c r="J872" s="150"/>
      <c r="K872" s="164"/>
      <c r="L872" s="320"/>
      <c r="M872" s="326"/>
      <c r="N872" s="327"/>
      <c r="O872" s="328"/>
      <c r="P872" s="326"/>
      <c r="Q872" s="327"/>
      <c r="R872" s="328"/>
      <c r="S872" s="326"/>
      <c r="T872" s="327"/>
      <c r="U872" s="328"/>
      <c r="V872" s="150"/>
      <c r="W872" s="327"/>
      <c r="X872" s="320"/>
      <c r="Y872" s="201"/>
      <c r="Z872" s="201"/>
      <c r="AA872" s="201"/>
      <c r="AB872" s="17"/>
      <c r="AC872" s="17"/>
      <c r="AD872" s="17"/>
      <c r="AE872" s="17"/>
    </row>
    <row r="873">
      <c r="A873" s="150"/>
      <c r="B873" s="164"/>
      <c r="C873" s="320"/>
      <c r="D873" s="150"/>
      <c r="E873" s="164"/>
      <c r="F873" s="320"/>
      <c r="G873" s="150"/>
      <c r="H873" s="164"/>
      <c r="I873" s="320"/>
      <c r="J873" s="150"/>
      <c r="K873" s="164"/>
      <c r="L873" s="320"/>
      <c r="M873" s="326"/>
      <c r="N873" s="327"/>
      <c r="O873" s="328"/>
      <c r="P873" s="326"/>
      <c r="Q873" s="327"/>
      <c r="R873" s="328"/>
      <c r="S873" s="326"/>
      <c r="T873" s="327"/>
      <c r="U873" s="328"/>
      <c r="V873" s="150"/>
      <c r="W873" s="327"/>
      <c r="X873" s="320"/>
      <c r="Y873" s="201"/>
      <c r="Z873" s="201"/>
      <c r="AA873" s="201"/>
      <c r="AB873" s="17"/>
      <c r="AC873" s="17"/>
      <c r="AD873" s="17"/>
      <c r="AE873" s="17"/>
    </row>
    <row r="874">
      <c r="A874" s="150"/>
      <c r="B874" s="164"/>
      <c r="C874" s="320"/>
      <c r="D874" s="150"/>
      <c r="E874" s="164"/>
      <c r="F874" s="320"/>
      <c r="G874" s="150"/>
      <c r="H874" s="164"/>
      <c r="I874" s="320"/>
      <c r="J874" s="150"/>
      <c r="K874" s="164"/>
      <c r="L874" s="320"/>
      <c r="M874" s="326"/>
      <c r="N874" s="327"/>
      <c r="O874" s="328"/>
      <c r="P874" s="326"/>
      <c r="Q874" s="327"/>
      <c r="R874" s="328"/>
      <c r="S874" s="326"/>
      <c r="T874" s="327"/>
      <c r="U874" s="328"/>
      <c r="V874" s="150"/>
      <c r="W874" s="327"/>
      <c r="X874" s="320"/>
      <c r="Y874" s="201"/>
      <c r="Z874" s="201"/>
      <c r="AA874" s="201"/>
      <c r="AB874" s="17"/>
      <c r="AC874" s="17"/>
      <c r="AD874" s="17"/>
      <c r="AE874" s="17"/>
    </row>
    <row r="875">
      <c r="A875" s="150"/>
      <c r="B875" s="164"/>
      <c r="C875" s="320"/>
      <c r="D875" s="150"/>
      <c r="E875" s="164"/>
      <c r="F875" s="320"/>
      <c r="G875" s="150"/>
      <c r="H875" s="164"/>
      <c r="I875" s="320"/>
      <c r="J875" s="150"/>
      <c r="K875" s="164"/>
      <c r="L875" s="320"/>
      <c r="M875" s="326"/>
      <c r="N875" s="327"/>
      <c r="O875" s="328"/>
      <c r="P875" s="326"/>
      <c r="Q875" s="327"/>
      <c r="R875" s="328"/>
      <c r="S875" s="326"/>
      <c r="T875" s="327"/>
      <c r="U875" s="328"/>
      <c r="V875" s="150"/>
      <c r="W875" s="327"/>
      <c r="X875" s="320"/>
      <c r="Y875" s="201"/>
      <c r="Z875" s="201"/>
      <c r="AA875" s="201"/>
      <c r="AB875" s="17"/>
      <c r="AC875" s="17"/>
      <c r="AD875" s="17"/>
      <c r="AE875" s="17"/>
    </row>
    <row r="876">
      <c r="A876" s="150"/>
      <c r="B876" s="164"/>
      <c r="C876" s="320"/>
      <c r="D876" s="150"/>
      <c r="E876" s="164"/>
      <c r="F876" s="320"/>
      <c r="G876" s="150"/>
      <c r="H876" s="164"/>
      <c r="I876" s="320"/>
      <c r="J876" s="150"/>
      <c r="K876" s="164"/>
      <c r="L876" s="320"/>
      <c r="M876" s="326"/>
      <c r="N876" s="327"/>
      <c r="O876" s="328"/>
      <c r="P876" s="326"/>
      <c r="Q876" s="327"/>
      <c r="R876" s="328"/>
      <c r="S876" s="326"/>
      <c r="T876" s="327"/>
      <c r="U876" s="328"/>
      <c r="V876" s="150"/>
      <c r="W876" s="327"/>
      <c r="X876" s="320"/>
      <c r="Y876" s="201"/>
      <c r="Z876" s="201"/>
      <c r="AA876" s="201"/>
      <c r="AB876" s="17"/>
      <c r="AC876" s="17"/>
      <c r="AD876" s="17"/>
      <c r="AE876" s="17"/>
    </row>
    <row r="877">
      <c r="A877" s="150"/>
      <c r="B877" s="164"/>
      <c r="C877" s="320"/>
      <c r="D877" s="150"/>
      <c r="E877" s="164"/>
      <c r="F877" s="320"/>
      <c r="G877" s="150"/>
      <c r="H877" s="164"/>
      <c r="I877" s="320"/>
      <c r="J877" s="150"/>
      <c r="K877" s="164"/>
      <c r="L877" s="320"/>
      <c r="M877" s="326"/>
      <c r="N877" s="327"/>
      <c r="O877" s="328"/>
      <c r="P877" s="326"/>
      <c r="Q877" s="327"/>
      <c r="R877" s="328"/>
      <c r="S877" s="326"/>
      <c r="T877" s="327"/>
      <c r="U877" s="328"/>
      <c r="V877" s="150"/>
      <c r="W877" s="327"/>
      <c r="X877" s="320"/>
      <c r="Y877" s="201"/>
      <c r="Z877" s="201"/>
      <c r="AA877" s="201"/>
      <c r="AB877" s="17"/>
      <c r="AC877" s="17"/>
      <c r="AD877" s="17"/>
      <c r="AE877" s="17"/>
    </row>
    <row r="878">
      <c r="A878" s="150"/>
      <c r="B878" s="164"/>
      <c r="C878" s="320"/>
      <c r="D878" s="150"/>
      <c r="E878" s="164"/>
      <c r="F878" s="320"/>
      <c r="G878" s="150"/>
      <c r="H878" s="164"/>
      <c r="I878" s="320"/>
      <c r="J878" s="150"/>
      <c r="K878" s="164"/>
      <c r="L878" s="320"/>
      <c r="M878" s="326"/>
      <c r="N878" s="327"/>
      <c r="O878" s="328"/>
      <c r="P878" s="326"/>
      <c r="Q878" s="327"/>
      <c r="R878" s="328"/>
      <c r="S878" s="326"/>
      <c r="T878" s="327"/>
      <c r="U878" s="328"/>
      <c r="V878" s="150"/>
      <c r="W878" s="327"/>
      <c r="X878" s="320"/>
      <c r="Y878" s="201"/>
      <c r="Z878" s="201"/>
      <c r="AA878" s="201"/>
      <c r="AB878" s="17"/>
      <c r="AC878" s="17"/>
      <c r="AD878" s="17"/>
      <c r="AE878" s="17"/>
    </row>
    <row r="879">
      <c r="A879" s="150"/>
      <c r="B879" s="164"/>
      <c r="C879" s="320"/>
      <c r="D879" s="150"/>
      <c r="E879" s="164"/>
      <c r="F879" s="320"/>
      <c r="G879" s="150"/>
      <c r="H879" s="164"/>
      <c r="I879" s="320"/>
      <c r="J879" s="150"/>
      <c r="K879" s="164"/>
      <c r="L879" s="320"/>
      <c r="M879" s="326"/>
      <c r="N879" s="327"/>
      <c r="O879" s="328"/>
      <c r="P879" s="326"/>
      <c r="Q879" s="327"/>
      <c r="R879" s="328"/>
      <c r="S879" s="326"/>
      <c r="T879" s="327"/>
      <c r="U879" s="328"/>
      <c r="V879" s="150"/>
      <c r="W879" s="327"/>
      <c r="X879" s="320"/>
      <c r="Y879" s="201"/>
      <c r="Z879" s="201"/>
      <c r="AA879" s="201"/>
      <c r="AB879" s="17"/>
      <c r="AC879" s="17"/>
      <c r="AD879" s="17"/>
      <c r="AE879" s="17"/>
    </row>
    <row r="880">
      <c r="A880" s="150"/>
      <c r="B880" s="164"/>
      <c r="C880" s="320"/>
      <c r="D880" s="150"/>
      <c r="E880" s="164"/>
      <c r="F880" s="320"/>
      <c r="G880" s="150"/>
      <c r="H880" s="164"/>
      <c r="I880" s="320"/>
      <c r="J880" s="150"/>
      <c r="K880" s="164"/>
      <c r="L880" s="320"/>
      <c r="M880" s="326"/>
      <c r="N880" s="327"/>
      <c r="O880" s="328"/>
      <c r="P880" s="326"/>
      <c r="Q880" s="327"/>
      <c r="R880" s="328"/>
      <c r="S880" s="326"/>
      <c r="T880" s="327"/>
      <c r="U880" s="328"/>
      <c r="V880" s="150"/>
      <c r="W880" s="327"/>
      <c r="X880" s="320"/>
      <c r="Y880" s="201"/>
      <c r="Z880" s="201"/>
      <c r="AA880" s="201"/>
      <c r="AB880" s="17"/>
      <c r="AC880" s="17"/>
      <c r="AD880" s="17"/>
      <c r="AE880" s="17"/>
    </row>
    <row r="881">
      <c r="A881" s="150"/>
      <c r="B881" s="164"/>
      <c r="C881" s="320"/>
      <c r="D881" s="150"/>
      <c r="E881" s="164"/>
      <c r="F881" s="320"/>
      <c r="G881" s="150"/>
      <c r="H881" s="164"/>
      <c r="I881" s="320"/>
      <c r="J881" s="150"/>
      <c r="K881" s="164"/>
      <c r="L881" s="320"/>
      <c r="M881" s="326"/>
      <c r="N881" s="327"/>
      <c r="O881" s="328"/>
      <c r="P881" s="326"/>
      <c r="Q881" s="327"/>
      <c r="R881" s="328"/>
      <c r="S881" s="326"/>
      <c r="T881" s="327"/>
      <c r="U881" s="328"/>
      <c r="V881" s="150"/>
      <c r="W881" s="327"/>
      <c r="X881" s="320"/>
      <c r="Y881" s="201"/>
      <c r="Z881" s="201"/>
      <c r="AA881" s="201"/>
      <c r="AB881" s="17"/>
      <c r="AC881" s="17"/>
      <c r="AD881" s="17"/>
      <c r="AE881" s="17"/>
    </row>
    <row r="882">
      <c r="A882" s="150"/>
      <c r="B882" s="164"/>
      <c r="C882" s="320"/>
      <c r="D882" s="150"/>
      <c r="E882" s="164"/>
      <c r="F882" s="320"/>
      <c r="G882" s="150"/>
      <c r="H882" s="164"/>
      <c r="I882" s="320"/>
      <c r="J882" s="150"/>
      <c r="K882" s="164"/>
      <c r="L882" s="320"/>
      <c r="M882" s="326"/>
      <c r="N882" s="327"/>
      <c r="O882" s="328"/>
      <c r="P882" s="326"/>
      <c r="Q882" s="327"/>
      <c r="R882" s="328"/>
      <c r="S882" s="326"/>
      <c r="T882" s="327"/>
      <c r="U882" s="328"/>
      <c r="V882" s="150"/>
      <c r="W882" s="327"/>
      <c r="X882" s="320"/>
      <c r="Y882" s="201"/>
      <c r="Z882" s="201"/>
      <c r="AA882" s="201"/>
      <c r="AB882" s="17"/>
      <c r="AC882" s="17"/>
      <c r="AD882" s="17"/>
      <c r="AE882" s="17"/>
    </row>
    <row r="883">
      <c r="A883" s="150"/>
      <c r="B883" s="164"/>
      <c r="C883" s="320"/>
      <c r="D883" s="150"/>
      <c r="E883" s="164"/>
      <c r="F883" s="320"/>
      <c r="G883" s="150"/>
      <c r="H883" s="164"/>
      <c r="I883" s="320"/>
      <c r="J883" s="150"/>
      <c r="K883" s="164"/>
      <c r="L883" s="320"/>
      <c r="M883" s="326"/>
      <c r="N883" s="327"/>
      <c r="O883" s="328"/>
      <c r="P883" s="326"/>
      <c r="Q883" s="327"/>
      <c r="R883" s="328"/>
      <c r="S883" s="326"/>
      <c r="T883" s="327"/>
      <c r="U883" s="328"/>
      <c r="V883" s="150"/>
      <c r="W883" s="327"/>
      <c r="X883" s="320"/>
      <c r="Y883" s="201"/>
      <c r="Z883" s="201"/>
      <c r="AA883" s="201"/>
      <c r="AB883" s="17"/>
      <c r="AC883" s="17"/>
      <c r="AD883" s="17"/>
      <c r="AE883" s="17"/>
    </row>
    <row r="884">
      <c r="A884" s="150"/>
      <c r="B884" s="164"/>
      <c r="C884" s="320"/>
      <c r="D884" s="150"/>
      <c r="E884" s="164"/>
      <c r="F884" s="320"/>
      <c r="G884" s="150"/>
      <c r="H884" s="164"/>
      <c r="I884" s="320"/>
      <c r="J884" s="150"/>
      <c r="K884" s="164"/>
      <c r="L884" s="320"/>
      <c r="M884" s="326"/>
      <c r="N884" s="327"/>
      <c r="O884" s="328"/>
      <c r="P884" s="326"/>
      <c r="Q884" s="327"/>
      <c r="R884" s="328"/>
      <c r="S884" s="326"/>
      <c r="T884" s="327"/>
      <c r="U884" s="328"/>
      <c r="V884" s="150"/>
      <c r="W884" s="327"/>
      <c r="X884" s="320"/>
      <c r="Y884" s="201"/>
      <c r="Z884" s="201"/>
      <c r="AA884" s="201"/>
      <c r="AB884" s="17"/>
      <c r="AC884" s="17"/>
      <c r="AD884" s="17"/>
      <c r="AE884" s="17"/>
    </row>
    <row r="885">
      <c r="A885" s="150"/>
      <c r="B885" s="164"/>
      <c r="C885" s="320"/>
      <c r="D885" s="150"/>
      <c r="E885" s="164"/>
      <c r="F885" s="320"/>
      <c r="G885" s="150"/>
      <c r="H885" s="164"/>
      <c r="I885" s="320"/>
      <c r="J885" s="150"/>
      <c r="K885" s="164"/>
      <c r="L885" s="320"/>
      <c r="M885" s="326"/>
      <c r="N885" s="327"/>
      <c r="O885" s="328"/>
      <c r="P885" s="326"/>
      <c r="Q885" s="327"/>
      <c r="R885" s="328"/>
      <c r="S885" s="326"/>
      <c r="T885" s="327"/>
      <c r="U885" s="328"/>
      <c r="V885" s="150"/>
      <c r="W885" s="327"/>
      <c r="X885" s="320"/>
      <c r="Y885" s="201"/>
      <c r="Z885" s="201"/>
      <c r="AA885" s="201"/>
      <c r="AB885" s="17"/>
      <c r="AC885" s="17"/>
      <c r="AD885" s="17"/>
      <c r="AE885" s="17"/>
    </row>
    <row r="886">
      <c r="A886" s="150"/>
      <c r="B886" s="164"/>
      <c r="C886" s="320"/>
      <c r="D886" s="150"/>
      <c r="E886" s="164"/>
      <c r="F886" s="320"/>
      <c r="G886" s="150"/>
      <c r="H886" s="164"/>
      <c r="I886" s="320"/>
      <c r="J886" s="150"/>
      <c r="K886" s="164"/>
      <c r="L886" s="320"/>
      <c r="M886" s="326"/>
      <c r="N886" s="327"/>
      <c r="O886" s="328"/>
      <c r="P886" s="326"/>
      <c r="Q886" s="327"/>
      <c r="R886" s="328"/>
      <c r="S886" s="326"/>
      <c r="T886" s="327"/>
      <c r="U886" s="328"/>
      <c r="V886" s="150"/>
      <c r="W886" s="327"/>
      <c r="X886" s="320"/>
      <c r="Y886" s="201"/>
      <c r="Z886" s="201"/>
      <c r="AA886" s="201"/>
      <c r="AB886" s="17"/>
      <c r="AC886" s="17"/>
      <c r="AD886" s="17"/>
      <c r="AE886" s="17"/>
    </row>
    <row r="887">
      <c r="A887" s="150"/>
      <c r="B887" s="164"/>
      <c r="C887" s="320"/>
      <c r="D887" s="150"/>
      <c r="E887" s="164"/>
      <c r="F887" s="320"/>
      <c r="G887" s="150"/>
      <c r="H887" s="164"/>
      <c r="I887" s="320"/>
      <c r="J887" s="150"/>
      <c r="K887" s="164"/>
      <c r="L887" s="320"/>
      <c r="M887" s="326"/>
      <c r="N887" s="327"/>
      <c r="O887" s="328"/>
      <c r="P887" s="326"/>
      <c r="Q887" s="327"/>
      <c r="R887" s="328"/>
      <c r="S887" s="326"/>
      <c r="T887" s="327"/>
      <c r="U887" s="328"/>
      <c r="V887" s="150"/>
      <c r="W887" s="327"/>
      <c r="X887" s="320"/>
      <c r="Y887" s="201"/>
      <c r="Z887" s="201"/>
      <c r="AA887" s="201"/>
      <c r="AB887" s="17"/>
      <c r="AC887" s="17"/>
      <c r="AD887" s="17"/>
      <c r="AE887" s="17"/>
    </row>
    <row r="888">
      <c r="A888" s="150"/>
      <c r="B888" s="164"/>
      <c r="C888" s="320"/>
      <c r="D888" s="150"/>
      <c r="E888" s="164"/>
      <c r="F888" s="320"/>
      <c r="G888" s="150"/>
      <c r="H888" s="164"/>
      <c r="I888" s="320"/>
      <c r="J888" s="150"/>
      <c r="K888" s="164"/>
      <c r="L888" s="320"/>
      <c r="M888" s="326"/>
      <c r="N888" s="327"/>
      <c r="O888" s="328"/>
      <c r="P888" s="326"/>
      <c r="Q888" s="327"/>
      <c r="R888" s="328"/>
      <c r="S888" s="326"/>
      <c r="T888" s="327"/>
      <c r="U888" s="328"/>
      <c r="V888" s="150"/>
      <c r="W888" s="327"/>
      <c r="X888" s="320"/>
      <c r="Y888" s="201"/>
      <c r="Z888" s="201"/>
      <c r="AA888" s="201"/>
      <c r="AB888" s="17"/>
      <c r="AC888" s="17"/>
      <c r="AD888" s="17"/>
      <c r="AE888" s="17"/>
    </row>
    <row r="889">
      <c r="A889" s="150"/>
      <c r="B889" s="164"/>
      <c r="C889" s="320"/>
      <c r="D889" s="150"/>
      <c r="E889" s="164"/>
      <c r="F889" s="320"/>
      <c r="G889" s="150"/>
      <c r="H889" s="164"/>
      <c r="I889" s="320"/>
      <c r="J889" s="150"/>
      <c r="K889" s="164"/>
      <c r="L889" s="320"/>
      <c r="M889" s="326"/>
      <c r="N889" s="327"/>
      <c r="O889" s="328"/>
      <c r="P889" s="326"/>
      <c r="Q889" s="327"/>
      <c r="R889" s="328"/>
      <c r="S889" s="326"/>
      <c r="T889" s="327"/>
      <c r="U889" s="328"/>
      <c r="V889" s="150"/>
      <c r="W889" s="327"/>
      <c r="X889" s="320"/>
      <c r="Y889" s="201"/>
      <c r="Z889" s="201"/>
      <c r="AA889" s="201"/>
      <c r="AB889" s="17"/>
      <c r="AC889" s="17"/>
      <c r="AD889" s="17"/>
      <c r="AE889" s="17"/>
    </row>
    <row r="890">
      <c r="A890" s="150"/>
      <c r="B890" s="164"/>
      <c r="C890" s="320"/>
      <c r="D890" s="150"/>
      <c r="E890" s="164"/>
      <c r="F890" s="320"/>
      <c r="G890" s="150"/>
      <c r="H890" s="164"/>
      <c r="I890" s="320"/>
      <c r="J890" s="150"/>
      <c r="K890" s="164"/>
      <c r="L890" s="320"/>
      <c r="M890" s="326"/>
      <c r="N890" s="327"/>
      <c r="O890" s="328"/>
      <c r="P890" s="326"/>
      <c r="Q890" s="327"/>
      <c r="R890" s="328"/>
      <c r="S890" s="326"/>
      <c r="T890" s="327"/>
      <c r="U890" s="328"/>
      <c r="V890" s="150"/>
      <c r="W890" s="327"/>
      <c r="X890" s="320"/>
      <c r="Y890" s="201"/>
      <c r="Z890" s="201"/>
      <c r="AA890" s="201"/>
      <c r="AB890" s="17"/>
      <c r="AC890" s="17"/>
      <c r="AD890" s="17"/>
      <c r="AE890" s="17"/>
    </row>
    <row r="891">
      <c r="A891" s="150"/>
      <c r="B891" s="164"/>
      <c r="C891" s="320"/>
      <c r="D891" s="150"/>
      <c r="E891" s="164"/>
      <c r="F891" s="320"/>
      <c r="G891" s="150"/>
      <c r="H891" s="164"/>
      <c r="I891" s="320"/>
      <c r="J891" s="150"/>
      <c r="K891" s="164"/>
      <c r="L891" s="320"/>
      <c r="M891" s="326"/>
      <c r="N891" s="327"/>
      <c r="O891" s="328"/>
      <c r="P891" s="326"/>
      <c r="Q891" s="327"/>
      <c r="R891" s="328"/>
      <c r="S891" s="326"/>
      <c r="T891" s="327"/>
      <c r="U891" s="328"/>
      <c r="V891" s="150"/>
      <c r="W891" s="327"/>
      <c r="X891" s="320"/>
      <c r="Y891" s="201"/>
      <c r="Z891" s="201"/>
      <c r="AA891" s="201"/>
      <c r="AB891" s="17"/>
      <c r="AC891" s="17"/>
      <c r="AD891" s="17"/>
      <c r="AE891" s="17"/>
    </row>
    <row r="892">
      <c r="A892" s="150"/>
      <c r="B892" s="164"/>
      <c r="C892" s="320"/>
      <c r="D892" s="150"/>
      <c r="E892" s="164"/>
      <c r="F892" s="320"/>
      <c r="G892" s="150"/>
      <c r="H892" s="164"/>
      <c r="I892" s="320"/>
      <c r="J892" s="150"/>
      <c r="K892" s="164"/>
      <c r="L892" s="320"/>
      <c r="M892" s="326"/>
      <c r="N892" s="327"/>
      <c r="O892" s="328"/>
      <c r="P892" s="326"/>
      <c r="Q892" s="327"/>
      <c r="R892" s="328"/>
      <c r="S892" s="326"/>
      <c r="T892" s="327"/>
      <c r="U892" s="328"/>
      <c r="V892" s="150"/>
      <c r="W892" s="327"/>
      <c r="X892" s="320"/>
      <c r="Y892" s="201"/>
      <c r="Z892" s="201"/>
      <c r="AA892" s="201"/>
      <c r="AB892" s="17"/>
      <c r="AC892" s="17"/>
      <c r="AD892" s="17"/>
      <c r="AE892" s="17"/>
    </row>
    <row r="893">
      <c r="A893" s="150"/>
      <c r="B893" s="164"/>
      <c r="C893" s="320"/>
      <c r="D893" s="150"/>
      <c r="E893" s="164"/>
      <c r="F893" s="320"/>
      <c r="G893" s="150"/>
      <c r="H893" s="164"/>
      <c r="I893" s="320"/>
      <c r="J893" s="150"/>
      <c r="K893" s="164"/>
      <c r="L893" s="320"/>
      <c r="M893" s="326"/>
      <c r="N893" s="327"/>
      <c r="O893" s="328"/>
      <c r="P893" s="326"/>
      <c r="Q893" s="327"/>
      <c r="R893" s="328"/>
      <c r="S893" s="326"/>
      <c r="T893" s="327"/>
      <c r="U893" s="328"/>
      <c r="V893" s="150"/>
      <c r="W893" s="327"/>
      <c r="X893" s="320"/>
      <c r="Y893" s="201"/>
      <c r="Z893" s="201"/>
      <c r="AA893" s="201"/>
      <c r="AB893" s="17"/>
      <c r="AC893" s="17"/>
      <c r="AD893" s="17"/>
      <c r="AE893" s="17"/>
    </row>
    <row r="894">
      <c r="A894" s="150"/>
      <c r="B894" s="164"/>
      <c r="C894" s="320"/>
      <c r="D894" s="150"/>
      <c r="E894" s="164"/>
      <c r="F894" s="320"/>
      <c r="G894" s="150"/>
      <c r="H894" s="164"/>
      <c r="I894" s="320"/>
      <c r="J894" s="150"/>
      <c r="K894" s="164"/>
      <c r="L894" s="320"/>
      <c r="M894" s="326"/>
      <c r="N894" s="327"/>
      <c r="O894" s="328"/>
      <c r="P894" s="326"/>
      <c r="Q894" s="327"/>
      <c r="R894" s="328"/>
      <c r="S894" s="326"/>
      <c r="T894" s="327"/>
      <c r="U894" s="328"/>
      <c r="V894" s="150"/>
      <c r="W894" s="327"/>
      <c r="X894" s="320"/>
      <c r="Y894" s="201"/>
      <c r="Z894" s="201"/>
      <c r="AA894" s="201"/>
      <c r="AB894" s="17"/>
      <c r="AC894" s="17"/>
      <c r="AD894" s="17"/>
      <c r="AE894" s="17"/>
    </row>
    <row r="895">
      <c r="A895" s="150"/>
      <c r="B895" s="164"/>
      <c r="C895" s="320"/>
      <c r="D895" s="150"/>
      <c r="E895" s="164"/>
      <c r="F895" s="320"/>
      <c r="G895" s="150"/>
      <c r="H895" s="164"/>
      <c r="I895" s="320"/>
      <c r="J895" s="150"/>
      <c r="K895" s="164"/>
      <c r="L895" s="320"/>
      <c r="M895" s="326"/>
      <c r="N895" s="327"/>
      <c r="O895" s="328"/>
      <c r="P895" s="326"/>
      <c r="Q895" s="327"/>
      <c r="R895" s="328"/>
      <c r="S895" s="326"/>
      <c r="T895" s="327"/>
      <c r="U895" s="328"/>
      <c r="V895" s="150"/>
      <c r="W895" s="327"/>
      <c r="X895" s="320"/>
      <c r="Y895" s="201"/>
      <c r="Z895" s="201"/>
      <c r="AA895" s="201"/>
      <c r="AB895" s="17"/>
      <c r="AC895" s="17"/>
      <c r="AD895" s="17"/>
      <c r="AE895" s="17"/>
    </row>
    <row r="896">
      <c r="A896" s="150"/>
      <c r="B896" s="164"/>
      <c r="C896" s="320"/>
      <c r="D896" s="150"/>
      <c r="E896" s="164"/>
      <c r="F896" s="320"/>
      <c r="G896" s="150"/>
      <c r="H896" s="164"/>
      <c r="I896" s="320"/>
      <c r="J896" s="150"/>
      <c r="K896" s="164"/>
      <c r="L896" s="320"/>
      <c r="M896" s="326"/>
      <c r="N896" s="327"/>
      <c r="O896" s="328"/>
      <c r="P896" s="326"/>
      <c r="Q896" s="327"/>
      <c r="R896" s="328"/>
      <c r="S896" s="326"/>
      <c r="T896" s="327"/>
      <c r="U896" s="328"/>
      <c r="V896" s="150"/>
      <c r="W896" s="327"/>
      <c r="X896" s="320"/>
      <c r="Y896" s="201"/>
      <c r="Z896" s="201"/>
      <c r="AA896" s="201"/>
      <c r="AB896" s="17"/>
      <c r="AC896" s="17"/>
      <c r="AD896" s="17"/>
      <c r="AE896" s="17"/>
    </row>
    <row r="897">
      <c r="A897" s="150"/>
      <c r="B897" s="164"/>
      <c r="C897" s="320"/>
      <c r="D897" s="150"/>
      <c r="E897" s="164"/>
      <c r="F897" s="320"/>
      <c r="G897" s="150"/>
      <c r="H897" s="164"/>
      <c r="I897" s="320"/>
      <c r="J897" s="150"/>
      <c r="K897" s="164"/>
      <c r="L897" s="320"/>
      <c r="M897" s="326"/>
      <c r="N897" s="327"/>
      <c r="O897" s="328"/>
      <c r="P897" s="326"/>
      <c r="Q897" s="327"/>
      <c r="R897" s="328"/>
      <c r="S897" s="326"/>
      <c r="T897" s="327"/>
      <c r="U897" s="328"/>
      <c r="V897" s="150"/>
      <c r="W897" s="327"/>
      <c r="X897" s="320"/>
      <c r="Y897" s="201"/>
      <c r="Z897" s="201"/>
      <c r="AA897" s="201"/>
      <c r="AB897" s="17"/>
      <c r="AC897" s="17"/>
      <c r="AD897" s="17"/>
      <c r="AE897" s="17"/>
    </row>
    <row r="898">
      <c r="A898" s="150"/>
      <c r="B898" s="164"/>
      <c r="C898" s="320"/>
      <c r="D898" s="150"/>
      <c r="E898" s="164"/>
      <c r="F898" s="320"/>
      <c r="G898" s="150"/>
      <c r="H898" s="164"/>
      <c r="I898" s="320"/>
      <c r="J898" s="150"/>
      <c r="K898" s="164"/>
      <c r="L898" s="320"/>
      <c r="M898" s="326"/>
      <c r="N898" s="327"/>
      <c r="O898" s="328"/>
      <c r="P898" s="326"/>
      <c r="Q898" s="327"/>
      <c r="R898" s="328"/>
      <c r="S898" s="326"/>
      <c r="T898" s="327"/>
      <c r="U898" s="328"/>
      <c r="V898" s="150"/>
      <c r="W898" s="327"/>
      <c r="X898" s="320"/>
      <c r="Y898" s="201"/>
      <c r="Z898" s="201"/>
      <c r="AA898" s="201"/>
      <c r="AB898" s="17"/>
      <c r="AC898" s="17"/>
      <c r="AD898" s="17"/>
      <c r="AE898" s="17"/>
    </row>
    <row r="899">
      <c r="A899" s="150"/>
      <c r="B899" s="164"/>
      <c r="C899" s="320"/>
      <c r="D899" s="150"/>
      <c r="E899" s="164"/>
      <c r="F899" s="320"/>
      <c r="G899" s="150"/>
      <c r="H899" s="164"/>
      <c r="I899" s="320"/>
      <c r="J899" s="150"/>
      <c r="K899" s="164"/>
      <c r="L899" s="320"/>
      <c r="M899" s="326"/>
      <c r="N899" s="327"/>
      <c r="O899" s="328"/>
      <c r="P899" s="326"/>
      <c r="Q899" s="327"/>
      <c r="R899" s="328"/>
      <c r="S899" s="326"/>
      <c r="T899" s="327"/>
      <c r="U899" s="328"/>
      <c r="V899" s="150"/>
      <c r="W899" s="327"/>
      <c r="X899" s="320"/>
      <c r="Y899" s="201"/>
      <c r="Z899" s="201"/>
      <c r="AA899" s="201"/>
      <c r="AB899" s="17"/>
      <c r="AC899" s="17"/>
      <c r="AD899" s="17"/>
      <c r="AE899" s="17"/>
    </row>
    <row r="900">
      <c r="A900" s="150"/>
      <c r="B900" s="164"/>
      <c r="C900" s="320"/>
      <c r="D900" s="150"/>
      <c r="E900" s="164"/>
      <c r="F900" s="320"/>
      <c r="G900" s="150"/>
      <c r="H900" s="164"/>
      <c r="I900" s="320"/>
      <c r="J900" s="150"/>
      <c r="K900" s="164"/>
      <c r="L900" s="320"/>
      <c r="M900" s="326"/>
      <c r="N900" s="327"/>
      <c r="O900" s="328"/>
      <c r="P900" s="326"/>
      <c r="Q900" s="327"/>
      <c r="R900" s="328"/>
      <c r="S900" s="326"/>
      <c r="T900" s="327"/>
      <c r="U900" s="328"/>
      <c r="V900" s="150"/>
      <c r="W900" s="327"/>
      <c r="X900" s="320"/>
      <c r="Y900" s="201"/>
      <c r="Z900" s="201"/>
      <c r="AA900" s="201"/>
      <c r="AB900" s="17"/>
      <c r="AC900" s="17"/>
      <c r="AD900" s="17"/>
      <c r="AE900" s="17"/>
    </row>
    <row r="901">
      <c r="A901" s="150"/>
      <c r="B901" s="164"/>
      <c r="C901" s="320"/>
      <c r="D901" s="150"/>
      <c r="E901" s="164"/>
      <c r="F901" s="320"/>
      <c r="G901" s="150"/>
      <c r="H901" s="164"/>
      <c r="I901" s="320"/>
      <c r="J901" s="150"/>
      <c r="K901" s="164"/>
      <c r="L901" s="320"/>
      <c r="M901" s="326"/>
      <c r="N901" s="327"/>
      <c r="O901" s="328"/>
      <c r="P901" s="326"/>
      <c r="Q901" s="327"/>
      <c r="R901" s="328"/>
      <c r="S901" s="326"/>
      <c r="T901" s="327"/>
      <c r="U901" s="328"/>
      <c r="V901" s="150"/>
      <c r="W901" s="327"/>
      <c r="X901" s="320"/>
      <c r="Y901" s="201"/>
      <c r="Z901" s="201"/>
      <c r="AA901" s="201"/>
      <c r="AB901" s="17"/>
      <c r="AC901" s="17"/>
      <c r="AD901" s="17"/>
      <c r="AE901" s="17"/>
    </row>
    <row r="902">
      <c r="A902" s="150"/>
      <c r="B902" s="164"/>
      <c r="C902" s="320"/>
      <c r="D902" s="150"/>
      <c r="E902" s="164"/>
      <c r="F902" s="320"/>
      <c r="G902" s="150"/>
      <c r="H902" s="164"/>
      <c r="I902" s="320"/>
      <c r="J902" s="150"/>
      <c r="K902" s="164"/>
      <c r="L902" s="320"/>
      <c r="M902" s="326"/>
      <c r="N902" s="327"/>
      <c r="O902" s="328"/>
      <c r="P902" s="326"/>
      <c r="Q902" s="327"/>
      <c r="R902" s="328"/>
      <c r="S902" s="326"/>
      <c r="T902" s="327"/>
      <c r="U902" s="328"/>
      <c r="V902" s="150"/>
      <c r="W902" s="327"/>
      <c r="X902" s="320"/>
      <c r="Y902" s="201"/>
      <c r="Z902" s="201"/>
      <c r="AA902" s="201"/>
      <c r="AB902" s="17"/>
      <c r="AC902" s="17"/>
      <c r="AD902" s="17"/>
      <c r="AE902" s="17"/>
    </row>
    <row r="903">
      <c r="A903" s="150"/>
      <c r="B903" s="164"/>
      <c r="C903" s="320"/>
      <c r="D903" s="150"/>
      <c r="E903" s="164"/>
      <c r="F903" s="320"/>
      <c r="G903" s="150"/>
      <c r="H903" s="164"/>
      <c r="I903" s="320"/>
      <c r="J903" s="150"/>
      <c r="K903" s="164"/>
      <c r="L903" s="320"/>
      <c r="M903" s="326"/>
      <c r="N903" s="327"/>
      <c r="O903" s="328"/>
      <c r="P903" s="326"/>
      <c r="Q903" s="327"/>
      <c r="R903" s="328"/>
      <c r="S903" s="326"/>
      <c r="T903" s="327"/>
      <c r="U903" s="328"/>
      <c r="V903" s="150"/>
      <c r="W903" s="327"/>
      <c r="X903" s="320"/>
      <c r="Y903" s="201"/>
      <c r="Z903" s="201"/>
      <c r="AA903" s="201"/>
      <c r="AB903" s="17"/>
      <c r="AC903" s="17"/>
      <c r="AD903" s="17"/>
      <c r="AE903" s="17"/>
    </row>
    <row r="904">
      <c r="A904" s="150"/>
      <c r="B904" s="164"/>
      <c r="C904" s="320"/>
      <c r="D904" s="150"/>
      <c r="E904" s="164"/>
      <c r="F904" s="320"/>
      <c r="G904" s="150"/>
      <c r="H904" s="164"/>
      <c r="I904" s="320"/>
      <c r="J904" s="150"/>
      <c r="K904" s="164"/>
      <c r="L904" s="320"/>
      <c r="M904" s="326"/>
      <c r="N904" s="327"/>
      <c r="O904" s="328"/>
      <c r="P904" s="326"/>
      <c r="Q904" s="327"/>
      <c r="R904" s="328"/>
      <c r="S904" s="326"/>
      <c r="T904" s="327"/>
      <c r="U904" s="328"/>
      <c r="V904" s="150"/>
      <c r="W904" s="327"/>
      <c r="X904" s="320"/>
      <c r="Y904" s="201"/>
      <c r="Z904" s="201"/>
      <c r="AA904" s="201"/>
      <c r="AB904" s="17"/>
      <c r="AC904" s="17"/>
      <c r="AD904" s="17"/>
      <c r="AE904" s="17"/>
    </row>
    <row r="905">
      <c r="A905" s="150"/>
      <c r="B905" s="164"/>
      <c r="C905" s="320"/>
      <c r="D905" s="150"/>
      <c r="E905" s="164"/>
      <c r="F905" s="320"/>
      <c r="G905" s="150"/>
      <c r="H905" s="164"/>
      <c r="I905" s="320"/>
      <c r="J905" s="150"/>
      <c r="K905" s="164"/>
      <c r="L905" s="320"/>
      <c r="M905" s="326"/>
      <c r="N905" s="327"/>
      <c r="O905" s="328"/>
      <c r="P905" s="326"/>
      <c r="Q905" s="327"/>
      <c r="R905" s="328"/>
      <c r="S905" s="326"/>
      <c r="T905" s="327"/>
      <c r="U905" s="328"/>
      <c r="V905" s="150"/>
      <c r="W905" s="327"/>
      <c r="X905" s="320"/>
      <c r="Y905" s="201"/>
      <c r="Z905" s="201"/>
      <c r="AA905" s="201"/>
      <c r="AB905" s="17"/>
      <c r="AC905" s="17"/>
      <c r="AD905" s="17"/>
      <c r="AE905" s="17"/>
    </row>
    <row r="906">
      <c r="A906" s="150"/>
      <c r="B906" s="164"/>
      <c r="C906" s="320"/>
      <c r="D906" s="150"/>
      <c r="E906" s="164"/>
      <c r="F906" s="320"/>
      <c r="G906" s="150"/>
      <c r="H906" s="164"/>
      <c r="I906" s="320"/>
      <c r="J906" s="150"/>
      <c r="K906" s="164"/>
      <c r="L906" s="320"/>
      <c r="M906" s="326"/>
      <c r="N906" s="327"/>
      <c r="O906" s="328"/>
      <c r="P906" s="326"/>
      <c r="Q906" s="327"/>
      <c r="R906" s="328"/>
      <c r="S906" s="326"/>
      <c r="T906" s="327"/>
      <c r="U906" s="328"/>
      <c r="V906" s="150"/>
      <c r="W906" s="327"/>
      <c r="X906" s="320"/>
      <c r="Y906" s="201"/>
      <c r="Z906" s="201"/>
      <c r="AA906" s="201"/>
      <c r="AB906" s="17"/>
      <c r="AC906" s="17"/>
      <c r="AD906" s="17"/>
      <c r="AE906" s="17"/>
    </row>
    <row r="907">
      <c r="A907" s="150"/>
      <c r="B907" s="164"/>
      <c r="C907" s="320"/>
      <c r="D907" s="150"/>
      <c r="E907" s="164"/>
      <c r="F907" s="320"/>
      <c r="G907" s="150"/>
      <c r="H907" s="164"/>
      <c r="I907" s="320"/>
      <c r="J907" s="150"/>
      <c r="K907" s="164"/>
      <c r="L907" s="320"/>
      <c r="M907" s="326"/>
      <c r="N907" s="327"/>
      <c r="O907" s="328"/>
      <c r="P907" s="326"/>
      <c r="Q907" s="327"/>
      <c r="R907" s="328"/>
      <c r="S907" s="326"/>
      <c r="T907" s="327"/>
      <c r="U907" s="328"/>
      <c r="V907" s="150"/>
      <c r="W907" s="327"/>
      <c r="X907" s="320"/>
      <c r="Y907" s="201"/>
      <c r="Z907" s="201"/>
      <c r="AA907" s="201"/>
      <c r="AB907" s="17"/>
      <c r="AC907" s="17"/>
      <c r="AD907" s="17"/>
      <c r="AE907" s="17"/>
    </row>
    <row r="908">
      <c r="A908" s="150"/>
      <c r="B908" s="164"/>
      <c r="C908" s="320"/>
      <c r="D908" s="150"/>
      <c r="E908" s="164"/>
      <c r="F908" s="320"/>
      <c r="G908" s="150"/>
      <c r="H908" s="164"/>
      <c r="I908" s="320"/>
      <c r="J908" s="150"/>
      <c r="K908" s="164"/>
      <c r="L908" s="320"/>
      <c r="M908" s="326"/>
      <c r="N908" s="327"/>
      <c r="O908" s="328"/>
      <c r="P908" s="326"/>
      <c r="Q908" s="327"/>
      <c r="R908" s="328"/>
      <c r="S908" s="326"/>
      <c r="T908" s="327"/>
      <c r="U908" s="328"/>
      <c r="V908" s="150"/>
      <c r="W908" s="327"/>
      <c r="X908" s="320"/>
      <c r="Y908" s="201"/>
      <c r="Z908" s="201"/>
      <c r="AA908" s="201"/>
      <c r="AB908" s="17"/>
      <c r="AC908" s="17"/>
      <c r="AD908" s="17"/>
      <c r="AE908" s="17"/>
    </row>
    <row r="909">
      <c r="A909" s="150"/>
      <c r="B909" s="164"/>
      <c r="C909" s="320"/>
      <c r="D909" s="150"/>
      <c r="E909" s="164"/>
      <c r="F909" s="320"/>
      <c r="G909" s="150"/>
      <c r="H909" s="164"/>
      <c r="I909" s="320"/>
      <c r="J909" s="150"/>
      <c r="K909" s="164"/>
      <c r="L909" s="320"/>
      <c r="M909" s="326"/>
      <c r="N909" s="327"/>
      <c r="O909" s="328"/>
      <c r="P909" s="326"/>
      <c r="Q909" s="327"/>
      <c r="R909" s="328"/>
      <c r="S909" s="326"/>
      <c r="T909" s="327"/>
      <c r="U909" s="328"/>
      <c r="V909" s="150"/>
      <c r="W909" s="327"/>
      <c r="X909" s="320"/>
      <c r="Y909" s="201"/>
      <c r="Z909" s="201"/>
      <c r="AA909" s="201"/>
      <c r="AB909" s="17"/>
      <c r="AC909" s="17"/>
      <c r="AD909" s="17"/>
      <c r="AE909" s="17"/>
    </row>
    <row r="910">
      <c r="A910" s="150"/>
      <c r="B910" s="164"/>
      <c r="C910" s="320"/>
      <c r="D910" s="150"/>
      <c r="E910" s="164"/>
      <c r="F910" s="320"/>
      <c r="G910" s="150"/>
      <c r="H910" s="164"/>
      <c r="I910" s="320"/>
      <c r="J910" s="150"/>
      <c r="K910" s="164"/>
      <c r="L910" s="320"/>
      <c r="M910" s="326"/>
      <c r="N910" s="327"/>
      <c r="O910" s="328"/>
      <c r="P910" s="326"/>
      <c r="Q910" s="327"/>
      <c r="R910" s="328"/>
      <c r="S910" s="326"/>
      <c r="T910" s="327"/>
      <c r="U910" s="328"/>
      <c r="V910" s="150"/>
      <c r="W910" s="327"/>
      <c r="X910" s="320"/>
      <c r="Y910" s="201"/>
      <c r="Z910" s="201"/>
      <c r="AA910" s="201"/>
      <c r="AB910" s="17"/>
      <c r="AC910" s="17"/>
      <c r="AD910" s="17"/>
      <c r="AE910" s="17"/>
    </row>
    <row r="911">
      <c r="A911" s="150"/>
      <c r="B911" s="164"/>
      <c r="C911" s="320"/>
      <c r="D911" s="150"/>
      <c r="E911" s="164"/>
      <c r="F911" s="320"/>
      <c r="G911" s="150"/>
      <c r="H911" s="164"/>
      <c r="I911" s="320"/>
      <c r="J911" s="150"/>
      <c r="K911" s="164"/>
      <c r="L911" s="320"/>
      <c r="M911" s="326"/>
      <c r="N911" s="327"/>
      <c r="O911" s="328"/>
      <c r="P911" s="326"/>
      <c r="Q911" s="327"/>
      <c r="R911" s="328"/>
      <c r="S911" s="326"/>
      <c r="T911" s="327"/>
      <c r="U911" s="328"/>
      <c r="V911" s="150"/>
      <c r="W911" s="327"/>
      <c r="X911" s="320"/>
      <c r="Y911" s="201"/>
      <c r="Z911" s="201"/>
      <c r="AA911" s="201"/>
      <c r="AB911" s="17"/>
      <c r="AC911" s="17"/>
      <c r="AD911" s="17"/>
      <c r="AE911" s="17"/>
    </row>
    <row r="912">
      <c r="A912" s="150"/>
      <c r="B912" s="164"/>
      <c r="C912" s="320"/>
      <c r="D912" s="150"/>
      <c r="E912" s="164"/>
      <c r="F912" s="320"/>
      <c r="G912" s="150"/>
      <c r="H912" s="164"/>
      <c r="I912" s="320"/>
      <c r="J912" s="150"/>
      <c r="K912" s="164"/>
      <c r="L912" s="320"/>
      <c r="M912" s="326"/>
      <c r="N912" s="327"/>
      <c r="O912" s="328"/>
      <c r="P912" s="326"/>
      <c r="Q912" s="327"/>
      <c r="R912" s="328"/>
      <c r="S912" s="326"/>
      <c r="T912" s="327"/>
      <c r="U912" s="328"/>
      <c r="V912" s="150"/>
      <c r="W912" s="327"/>
      <c r="X912" s="320"/>
      <c r="Y912" s="201"/>
      <c r="Z912" s="201"/>
      <c r="AA912" s="201"/>
      <c r="AB912" s="17"/>
      <c r="AC912" s="17"/>
      <c r="AD912" s="17"/>
      <c r="AE912" s="17"/>
    </row>
    <row r="913">
      <c r="A913" s="150"/>
      <c r="B913" s="164"/>
      <c r="C913" s="320"/>
      <c r="D913" s="150"/>
      <c r="E913" s="164"/>
      <c r="F913" s="320"/>
      <c r="G913" s="150"/>
      <c r="H913" s="164"/>
      <c r="I913" s="320"/>
      <c r="J913" s="150"/>
      <c r="K913" s="164"/>
      <c r="L913" s="320"/>
      <c r="M913" s="326"/>
      <c r="N913" s="327"/>
      <c r="O913" s="328"/>
      <c r="P913" s="326"/>
      <c r="Q913" s="327"/>
      <c r="R913" s="328"/>
      <c r="S913" s="326"/>
      <c r="T913" s="327"/>
      <c r="U913" s="328"/>
      <c r="V913" s="150"/>
      <c r="W913" s="327"/>
      <c r="X913" s="320"/>
      <c r="Y913" s="201"/>
      <c r="Z913" s="201"/>
      <c r="AA913" s="201"/>
      <c r="AB913" s="17"/>
      <c r="AC913" s="17"/>
      <c r="AD913" s="17"/>
      <c r="AE913" s="17"/>
    </row>
    <row r="914">
      <c r="A914" s="150"/>
      <c r="B914" s="164"/>
      <c r="C914" s="320"/>
      <c r="D914" s="150"/>
      <c r="E914" s="164"/>
      <c r="F914" s="320"/>
      <c r="G914" s="150"/>
      <c r="H914" s="164"/>
      <c r="I914" s="320"/>
      <c r="J914" s="150"/>
      <c r="K914" s="164"/>
      <c r="L914" s="320"/>
      <c r="M914" s="326"/>
      <c r="N914" s="327"/>
      <c r="O914" s="328"/>
      <c r="P914" s="326"/>
      <c r="Q914" s="327"/>
      <c r="R914" s="328"/>
      <c r="S914" s="326"/>
      <c r="T914" s="327"/>
      <c r="U914" s="328"/>
      <c r="V914" s="150"/>
      <c r="W914" s="327"/>
      <c r="X914" s="320"/>
      <c r="Y914" s="201"/>
      <c r="Z914" s="201"/>
      <c r="AA914" s="201"/>
      <c r="AB914" s="17"/>
      <c r="AC914" s="17"/>
      <c r="AD914" s="17"/>
      <c r="AE914" s="17"/>
    </row>
    <row r="915">
      <c r="A915" s="150"/>
      <c r="B915" s="164"/>
      <c r="C915" s="320"/>
      <c r="D915" s="150"/>
      <c r="E915" s="164"/>
      <c r="F915" s="320"/>
      <c r="G915" s="150"/>
      <c r="H915" s="164"/>
      <c r="I915" s="320"/>
      <c r="J915" s="150"/>
      <c r="K915" s="164"/>
      <c r="L915" s="320"/>
      <c r="M915" s="326"/>
      <c r="N915" s="327"/>
      <c r="O915" s="328"/>
      <c r="P915" s="326"/>
      <c r="Q915" s="327"/>
      <c r="R915" s="328"/>
      <c r="S915" s="326"/>
      <c r="T915" s="327"/>
      <c r="U915" s="328"/>
      <c r="V915" s="150"/>
      <c r="W915" s="327"/>
      <c r="X915" s="320"/>
      <c r="Y915" s="201"/>
      <c r="Z915" s="201"/>
      <c r="AA915" s="201"/>
      <c r="AB915" s="17"/>
      <c r="AC915" s="17"/>
      <c r="AD915" s="17"/>
      <c r="AE915" s="17"/>
    </row>
    <row r="916">
      <c r="A916" s="150"/>
      <c r="B916" s="164"/>
      <c r="C916" s="320"/>
      <c r="D916" s="150"/>
      <c r="E916" s="164"/>
      <c r="F916" s="320"/>
      <c r="G916" s="150"/>
      <c r="H916" s="164"/>
      <c r="I916" s="320"/>
      <c r="J916" s="150"/>
      <c r="K916" s="164"/>
      <c r="L916" s="320"/>
      <c r="M916" s="326"/>
      <c r="N916" s="327"/>
      <c r="O916" s="328"/>
      <c r="P916" s="326"/>
      <c r="Q916" s="327"/>
      <c r="R916" s="328"/>
      <c r="S916" s="326"/>
      <c r="T916" s="327"/>
      <c r="U916" s="328"/>
      <c r="V916" s="150"/>
      <c r="W916" s="327"/>
      <c r="X916" s="320"/>
      <c r="Y916" s="201"/>
      <c r="Z916" s="201"/>
      <c r="AA916" s="201"/>
      <c r="AB916" s="17"/>
      <c r="AC916" s="17"/>
      <c r="AD916" s="17"/>
      <c r="AE916" s="17"/>
    </row>
    <row r="917">
      <c r="A917" s="150"/>
      <c r="B917" s="164"/>
      <c r="C917" s="320"/>
      <c r="D917" s="150"/>
      <c r="E917" s="164"/>
      <c r="F917" s="320"/>
      <c r="G917" s="150"/>
      <c r="H917" s="164"/>
      <c r="I917" s="320"/>
      <c r="J917" s="150"/>
      <c r="K917" s="164"/>
      <c r="L917" s="320"/>
      <c r="M917" s="326"/>
      <c r="N917" s="327"/>
      <c r="O917" s="328"/>
      <c r="P917" s="326"/>
      <c r="Q917" s="327"/>
      <c r="R917" s="328"/>
      <c r="S917" s="326"/>
      <c r="T917" s="327"/>
      <c r="U917" s="328"/>
      <c r="V917" s="150"/>
      <c r="W917" s="327"/>
      <c r="X917" s="320"/>
      <c r="Y917" s="201"/>
      <c r="Z917" s="201"/>
      <c r="AA917" s="201"/>
      <c r="AB917" s="17"/>
      <c r="AC917" s="17"/>
      <c r="AD917" s="17"/>
      <c r="AE917" s="17"/>
    </row>
    <row r="918">
      <c r="A918" s="150"/>
      <c r="B918" s="164"/>
      <c r="C918" s="320"/>
      <c r="D918" s="150"/>
      <c r="E918" s="164"/>
      <c r="F918" s="320"/>
      <c r="G918" s="150"/>
      <c r="H918" s="164"/>
      <c r="I918" s="320"/>
      <c r="J918" s="150"/>
      <c r="K918" s="164"/>
      <c r="L918" s="320"/>
      <c r="M918" s="326"/>
      <c r="N918" s="327"/>
      <c r="O918" s="328"/>
      <c r="P918" s="326"/>
      <c r="Q918" s="327"/>
      <c r="R918" s="328"/>
      <c r="S918" s="326"/>
      <c r="T918" s="327"/>
      <c r="U918" s="328"/>
      <c r="V918" s="150"/>
      <c r="W918" s="327"/>
      <c r="X918" s="320"/>
      <c r="Y918" s="201"/>
      <c r="Z918" s="201"/>
      <c r="AA918" s="201"/>
      <c r="AB918" s="17"/>
      <c r="AC918" s="17"/>
      <c r="AD918" s="17"/>
      <c r="AE918" s="17"/>
    </row>
    <row r="919">
      <c r="A919" s="150"/>
      <c r="B919" s="164"/>
      <c r="C919" s="320"/>
      <c r="D919" s="150"/>
      <c r="E919" s="164"/>
      <c r="F919" s="320"/>
      <c r="G919" s="150"/>
      <c r="H919" s="164"/>
      <c r="I919" s="320"/>
      <c r="J919" s="150"/>
      <c r="K919" s="164"/>
      <c r="L919" s="320"/>
      <c r="M919" s="326"/>
      <c r="N919" s="327"/>
      <c r="O919" s="328"/>
      <c r="P919" s="326"/>
      <c r="Q919" s="327"/>
      <c r="R919" s="328"/>
      <c r="S919" s="326"/>
      <c r="T919" s="327"/>
      <c r="U919" s="328"/>
      <c r="V919" s="150"/>
      <c r="W919" s="327"/>
      <c r="X919" s="320"/>
      <c r="Y919" s="201"/>
      <c r="Z919" s="201"/>
      <c r="AA919" s="201"/>
      <c r="AB919" s="17"/>
      <c r="AC919" s="17"/>
      <c r="AD919" s="17"/>
      <c r="AE919" s="17"/>
    </row>
    <row r="920">
      <c r="A920" s="150"/>
      <c r="B920" s="164"/>
      <c r="C920" s="320"/>
      <c r="D920" s="150"/>
      <c r="E920" s="164"/>
      <c r="F920" s="320"/>
      <c r="G920" s="150"/>
      <c r="H920" s="164"/>
      <c r="I920" s="320"/>
      <c r="J920" s="150"/>
      <c r="K920" s="164"/>
      <c r="L920" s="320"/>
      <c r="M920" s="326"/>
      <c r="N920" s="327"/>
      <c r="O920" s="328"/>
      <c r="P920" s="326"/>
      <c r="Q920" s="327"/>
      <c r="R920" s="328"/>
      <c r="S920" s="326"/>
      <c r="T920" s="327"/>
      <c r="U920" s="328"/>
      <c r="V920" s="150"/>
      <c r="W920" s="327"/>
      <c r="X920" s="320"/>
      <c r="Y920" s="201"/>
      <c r="Z920" s="201"/>
      <c r="AA920" s="201"/>
      <c r="AB920" s="17"/>
      <c r="AC920" s="17"/>
      <c r="AD920" s="17"/>
      <c r="AE920" s="17"/>
    </row>
    <row r="921">
      <c r="A921" s="150"/>
      <c r="B921" s="164"/>
      <c r="C921" s="320"/>
      <c r="D921" s="150"/>
      <c r="E921" s="164"/>
      <c r="F921" s="320"/>
      <c r="G921" s="150"/>
      <c r="H921" s="164"/>
      <c r="I921" s="320"/>
      <c r="J921" s="150"/>
      <c r="K921" s="164"/>
      <c r="L921" s="320"/>
      <c r="M921" s="326"/>
      <c r="N921" s="327"/>
      <c r="O921" s="328"/>
      <c r="P921" s="326"/>
      <c r="Q921" s="327"/>
      <c r="R921" s="328"/>
      <c r="S921" s="326"/>
      <c r="T921" s="327"/>
      <c r="U921" s="328"/>
      <c r="V921" s="150"/>
      <c r="W921" s="327"/>
      <c r="X921" s="320"/>
      <c r="Y921" s="201"/>
      <c r="Z921" s="201"/>
      <c r="AA921" s="201"/>
      <c r="AB921" s="17"/>
      <c r="AC921" s="17"/>
      <c r="AD921" s="17"/>
      <c r="AE921" s="17"/>
    </row>
    <row r="922">
      <c r="A922" s="150"/>
      <c r="B922" s="164"/>
      <c r="C922" s="320"/>
      <c r="D922" s="150"/>
      <c r="E922" s="164"/>
      <c r="F922" s="320"/>
      <c r="G922" s="150"/>
      <c r="H922" s="164"/>
      <c r="I922" s="320"/>
      <c r="J922" s="150"/>
      <c r="K922" s="164"/>
      <c r="L922" s="320"/>
      <c r="M922" s="326"/>
      <c r="N922" s="327"/>
      <c r="O922" s="328"/>
      <c r="P922" s="326"/>
      <c r="Q922" s="327"/>
      <c r="R922" s="328"/>
      <c r="S922" s="326"/>
      <c r="T922" s="327"/>
      <c r="U922" s="328"/>
      <c r="V922" s="150"/>
      <c r="W922" s="327"/>
      <c r="X922" s="320"/>
      <c r="Y922" s="201"/>
      <c r="Z922" s="201"/>
      <c r="AA922" s="201"/>
      <c r="AB922" s="17"/>
      <c r="AC922" s="17"/>
      <c r="AD922" s="17"/>
      <c r="AE922" s="17"/>
    </row>
    <row r="923">
      <c r="A923" s="150"/>
      <c r="B923" s="164"/>
      <c r="C923" s="320"/>
      <c r="D923" s="150"/>
      <c r="E923" s="164"/>
      <c r="F923" s="320"/>
      <c r="G923" s="150"/>
      <c r="H923" s="164"/>
      <c r="I923" s="320"/>
      <c r="J923" s="150"/>
      <c r="K923" s="164"/>
      <c r="L923" s="320"/>
      <c r="M923" s="326"/>
      <c r="N923" s="327"/>
      <c r="O923" s="328"/>
      <c r="P923" s="326"/>
      <c r="Q923" s="327"/>
      <c r="R923" s="328"/>
      <c r="S923" s="326"/>
      <c r="T923" s="327"/>
      <c r="U923" s="328"/>
      <c r="V923" s="150"/>
      <c r="W923" s="327"/>
      <c r="X923" s="320"/>
      <c r="Y923" s="201"/>
      <c r="Z923" s="201"/>
      <c r="AA923" s="201"/>
      <c r="AB923" s="17"/>
      <c r="AC923" s="17"/>
      <c r="AD923" s="17"/>
      <c r="AE923" s="17"/>
    </row>
    <row r="924">
      <c r="A924" s="150"/>
      <c r="B924" s="164"/>
      <c r="C924" s="320"/>
      <c r="D924" s="150"/>
      <c r="E924" s="164"/>
      <c r="F924" s="320"/>
      <c r="G924" s="150"/>
      <c r="H924" s="164"/>
      <c r="I924" s="320"/>
      <c r="J924" s="150"/>
      <c r="K924" s="164"/>
      <c r="L924" s="320"/>
      <c r="M924" s="326"/>
      <c r="N924" s="327"/>
      <c r="O924" s="328"/>
      <c r="P924" s="326"/>
      <c r="Q924" s="327"/>
      <c r="R924" s="328"/>
      <c r="S924" s="326"/>
      <c r="T924" s="327"/>
      <c r="U924" s="328"/>
      <c r="V924" s="150"/>
      <c r="W924" s="327"/>
      <c r="X924" s="320"/>
      <c r="Y924" s="201"/>
      <c r="Z924" s="201"/>
      <c r="AA924" s="201"/>
      <c r="AB924" s="17"/>
      <c r="AC924" s="17"/>
      <c r="AD924" s="17"/>
      <c r="AE924" s="17"/>
    </row>
    <row r="925">
      <c r="A925" s="150"/>
      <c r="B925" s="164"/>
      <c r="C925" s="320"/>
      <c r="D925" s="150"/>
      <c r="E925" s="164"/>
      <c r="F925" s="320"/>
      <c r="G925" s="150"/>
      <c r="H925" s="164"/>
      <c r="I925" s="320"/>
      <c r="J925" s="150"/>
      <c r="K925" s="164"/>
      <c r="L925" s="320"/>
      <c r="M925" s="326"/>
      <c r="N925" s="327"/>
      <c r="O925" s="328"/>
      <c r="P925" s="326"/>
      <c r="Q925" s="327"/>
      <c r="R925" s="328"/>
      <c r="S925" s="326"/>
      <c r="T925" s="327"/>
      <c r="U925" s="328"/>
      <c r="V925" s="150"/>
      <c r="W925" s="327"/>
      <c r="X925" s="320"/>
      <c r="Y925" s="201"/>
      <c r="Z925" s="201"/>
      <c r="AA925" s="201"/>
      <c r="AB925" s="17"/>
      <c r="AC925" s="17"/>
      <c r="AD925" s="17"/>
      <c r="AE925" s="17"/>
    </row>
    <row r="926">
      <c r="A926" s="150"/>
      <c r="B926" s="164"/>
      <c r="C926" s="320"/>
      <c r="D926" s="150"/>
      <c r="E926" s="164"/>
      <c r="F926" s="320"/>
      <c r="G926" s="150"/>
      <c r="H926" s="164"/>
      <c r="I926" s="320"/>
      <c r="J926" s="150"/>
      <c r="K926" s="164"/>
      <c r="L926" s="320"/>
      <c r="M926" s="326"/>
      <c r="N926" s="327"/>
      <c r="O926" s="328"/>
      <c r="P926" s="326"/>
      <c r="Q926" s="327"/>
      <c r="R926" s="328"/>
      <c r="S926" s="326"/>
      <c r="T926" s="327"/>
      <c r="U926" s="328"/>
      <c r="V926" s="150"/>
      <c r="W926" s="327"/>
      <c r="X926" s="320"/>
      <c r="Y926" s="201"/>
      <c r="Z926" s="201"/>
      <c r="AA926" s="201"/>
      <c r="AB926" s="17"/>
      <c r="AC926" s="17"/>
      <c r="AD926" s="17"/>
      <c r="AE926" s="17"/>
    </row>
    <row r="927">
      <c r="A927" s="150"/>
      <c r="B927" s="164"/>
      <c r="C927" s="320"/>
      <c r="D927" s="150"/>
      <c r="E927" s="164"/>
      <c r="F927" s="320"/>
      <c r="G927" s="150"/>
      <c r="H927" s="164"/>
      <c r="I927" s="320"/>
      <c r="J927" s="150"/>
      <c r="K927" s="164"/>
      <c r="L927" s="320"/>
      <c r="M927" s="326"/>
      <c r="N927" s="327"/>
      <c r="O927" s="328"/>
      <c r="P927" s="326"/>
      <c r="Q927" s="327"/>
      <c r="R927" s="328"/>
      <c r="S927" s="326"/>
      <c r="T927" s="327"/>
      <c r="U927" s="328"/>
      <c r="V927" s="150"/>
      <c r="W927" s="327"/>
      <c r="X927" s="320"/>
      <c r="Y927" s="201"/>
      <c r="Z927" s="201"/>
      <c r="AA927" s="201"/>
      <c r="AB927" s="17"/>
      <c r="AC927" s="17"/>
      <c r="AD927" s="17"/>
      <c r="AE927" s="17"/>
    </row>
    <row r="928">
      <c r="A928" s="150"/>
      <c r="B928" s="164"/>
      <c r="C928" s="320"/>
      <c r="D928" s="150"/>
      <c r="E928" s="164"/>
      <c r="F928" s="320"/>
      <c r="G928" s="150"/>
      <c r="H928" s="164"/>
      <c r="I928" s="320"/>
      <c r="J928" s="150"/>
      <c r="K928" s="164"/>
      <c r="L928" s="320"/>
      <c r="M928" s="326"/>
      <c r="N928" s="327"/>
      <c r="O928" s="328"/>
      <c r="P928" s="326"/>
      <c r="Q928" s="327"/>
      <c r="R928" s="328"/>
      <c r="S928" s="326"/>
      <c r="T928" s="327"/>
      <c r="U928" s="328"/>
      <c r="V928" s="150"/>
      <c r="W928" s="327"/>
      <c r="X928" s="320"/>
      <c r="Y928" s="201"/>
      <c r="Z928" s="201"/>
      <c r="AA928" s="201"/>
      <c r="AB928" s="17"/>
      <c r="AC928" s="17"/>
      <c r="AD928" s="17"/>
      <c r="AE928" s="17"/>
    </row>
    <row r="929">
      <c r="A929" s="150"/>
      <c r="B929" s="164"/>
      <c r="C929" s="320"/>
      <c r="D929" s="150"/>
      <c r="E929" s="164"/>
      <c r="F929" s="320"/>
      <c r="G929" s="150"/>
      <c r="H929" s="164"/>
      <c r="I929" s="320"/>
      <c r="J929" s="150"/>
      <c r="K929" s="164"/>
      <c r="L929" s="320"/>
      <c r="M929" s="326"/>
      <c r="N929" s="327"/>
      <c r="O929" s="328"/>
      <c r="P929" s="326"/>
      <c r="Q929" s="327"/>
      <c r="R929" s="328"/>
      <c r="S929" s="326"/>
      <c r="T929" s="327"/>
      <c r="U929" s="328"/>
      <c r="V929" s="150"/>
      <c r="W929" s="327"/>
      <c r="X929" s="320"/>
      <c r="Y929" s="201"/>
      <c r="Z929" s="201"/>
      <c r="AA929" s="201"/>
      <c r="AB929" s="17"/>
      <c r="AC929" s="17"/>
      <c r="AD929" s="17"/>
      <c r="AE929" s="17"/>
    </row>
    <row r="930">
      <c r="A930" s="150"/>
      <c r="B930" s="164"/>
      <c r="C930" s="320"/>
      <c r="D930" s="150"/>
      <c r="E930" s="164"/>
      <c r="F930" s="320"/>
      <c r="G930" s="150"/>
      <c r="H930" s="164"/>
      <c r="I930" s="320"/>
      <c r="J930" s="150"/>
      <c r="K930" s="164"/>
      <c r="L930" s="320"/>
      <c r="M930" s="326"/>
      <c r="N930" s="327"/>
      <c r="O930" s="328"/>
      <c r="P930" s="326"/>
      <c r="Q930" s="327"/>
      <c r="R930" s="328"/>
      <c r="S930" s="326"/>
      <c r="T930" s="327"/>
      <c r="U930" s="328"/>
      <c r="V930" s="150"/>
      <c r="W930" s="327"/>
      <c r="X930" s="320"/>
      <c r="Y930" s="201"/>
      <c r="Z930" s="201"/>
      <c r="AA930" s="201"/>
      <c r="AB930" s="17"/>
      <c r="AC930" s="17"/>
      <c r="AD930" s="17"/>
      <c r="AE930" s="17"/>
    </row>
    <row r="931">
      <c r="A931" s="150"/>
      <c r="B931" s="164"/>
      <c r="C931" s="320"/>
      <c r="D931" s="150"/>
      <c r="E931" s="164"/>
      <c r="F931" s="320"/>
      <c r="G931" s="150"/>
      <c r="H931" s="164"/>
      <c r="I931" s="320"/>
      <c r="J931" s="150"/>
      <c r="K931" s="164"/>
      <c r="L931" s="320"/>
      <c r="M931" s="326"/>
      <c r="N931" s="327"/>
      <c r="O931" s="328"/>
      <c r="P931" s="326"/>
      <c r="Q931" s="327"/>
      <c r="R931" s="328"/>
      <c r="S931" s="326"/>
      <c r="T931" s="327"/>
      <c r="U931" s="328"/>
      <c r="V931" s="150"/>
      <c r="W931" s="327"/>
      <c r="X931" s="320"/>
      <c r="Y931" s="201"/>
      <c r="Z931" s="201"/>
      <c r="AA931" s="201"/>
      <c r="AB931" s="17"/>
      <c r="AC931" s="17"/>
      <c r="AD931" s="17"/>
      <c r="AE931" s="17"/>
    </row>
    <row r="932">
      <c r="A932" s="150"/>
      <c r="B932" s="164"/>
      <c r="C932" s="320"/>
      <c r="D932" s="150"/>
      <c r="E932" s="164"/>
      <c r="F932" s="320"/>
      <c r="G932" s="150"/>
      <c r="H932" s="164"/>
      <c r="I932" s="320"/>
      <c r="J932" s="150"/>
      <c r="K932" s="164"/>
      <c r="L932" s="320"/>
      <c r="M932" s="326"/>
      <c r="N932" s="327"/>
      <c r="O932" s="328"/>
      <c r="P932" s="326"/>
      <c r="Q932" s="327"/>
      <c r="R932" s="328"/>
      <c r="S932" s="326"/>
      <c r="T932" s="327"/>
      <c r="U932" s="328"/>
      <c r="V932" s="150"/>
      <c r="W932" s="327"/>
      <c r="X932" s="320"/>
      <c r="Y932" s="201"/>
      <c r="Z932" s="201"/>
      <c r="AA932" s="201"/>
      <c r="AB932" s="17"/>
      <c r="AC932" s="17"/>
      <c r="AD932" s="17"/>
      <c r="AE932" s="17"/>
    </row>
    <row r="933">
      <c r="A933" s="150"/>
      <c r="B933" s="164"/>
      <c r="C933" s="320"/>
      <c r="D933" s="150"/>
      <c r="E933" s="164"/>
      <c r="F933" s="320"/>
      <c r="G933" s="150"/>
      <c r="H933" s="164"/>
      <c r="I933" s="320"/>
      <c r="J933" s="150"/>
      <c r="K933" s="164"/>
      <c r="L933" s="320"/>
      <c r="M933" s="326"/>
      <c r="N933" s="327"/>
      <c r="O933" s="328"/>
      <c r="P933" s="326"/>
      <c r="Q933" s="327"/>
      <c r="R933" s="328"/>
      <c r="S933" s="326"/>
      <c r="T933" s="327"/>
      <c r="U933" s="328"/>
      <c r="V933" s="150"/>
      <c r="W933" s="327"/>
      <c r="X933" s="320"/>
      <c r="Y933" s="201"/>
      <c r="Z933" s="201"/>
      <c r="AA933" s="201"/>
      <c r="AB933" s="17"/>
      <c r="AC933" s="17"/>
      <c r="AD933" s="17"/>
      <c r="AE933" s="17"/>
    </row>
    <row r="934">
      <c r="A934" s="150"/>
      <c r="B934" s="164"/>
      <c r="C934" s="320"/>
      <c r="D934" s="150"/>
      <c r="E934" s="164"/>
      <c r="F934" s="320"/>
      <c r="G934" s="150"/>
      <c r="H934" s="164"/>
      <c r="I934" s="320"/>
      <c r="J934" s="150"/>
      <c r="K934" s="164"/>
      <c r="L934" s="320"/>
      <c r="M934" s="326"/>
      <c r="N934" s="327"/>
      <c r="O934" s="328"/>
      <c r="P934" s="326"/>
      <c r="Q934" s="327"/>
      <c r="R934" s="328"/>
      <c r="S934" s="326"/>
      <c r="T934" s="327"/>
      <c r="U934" s="328"/>
      <c r="V934" s="150"/>
      <c r="W934" s="327"/>
      <c r="X934" s="320"/>
      <c r="Y934" s="201"/>
      <c r="Z934" s="201"/>
      <c r="AA934" s="201"/>
      <c r="AB934" s="17"/>
      <c r="AC934" s="17"/>
      <c r="AD934" s="17"/>
      <c r="AE934" s="17"/>
    </row>
    <row r="935">
      <c r="A935" s="150"/>
      <c r="B935" s="164"/>
      <c r="C935" s="320"/>
      <c r="D935" s="150"/>
      <c r="E935" s="164"/>
      <c r="F935" s="320"/>
      <c r="G935" s="150"/>
      <c r="H935" s="164"/>
      <c r="I935" s="320"/>
      <c r="J935" s="150"/>
      <c r="K935" s="164"/>
      <c r="L935" s="320"/>
      <c r="M935" s="326"/>
      <c r="N935" s="327"/>
      <c r="O935" s="328"/>
      <c r="P935" s="326"/>
      <c r="Q935" s="327"/>
      <c r="R935" s="328"/>
      <c r="S935" s="326"/>
      <c r="T935" s="327"/>
      <c r="U935" s="328"/>
      <c r="V935" s="150"/>
      <c r="W935" s="327"/>
      <c r="X935" s="320"/>
      <c r="Y935" s="201"/>
      <c r="Z935" s="201"/>
      <c r="AA935" s="201"/>
      <c r="AB935" s="17"/>
      <c r="AC935" s="17"/>
      <c r="AD935" s="17"/>
      <c r="AE935" s="17"/>
    </row>
    <row r="936">
      <c r="A936" s="150"/>
      <c r="B936" s="164"/>
      <c r="C936" s="320"/>
      <c r="D936" s="150"/>
      <c r="E936" s="164"/>
      <c r="F936" s="320"/>
      <c r="G936" s="150"/>
      <c r="H936" s="164"/>
      <c r="I936" s="320"/>
      <c r="J936" s="150"/>
      <c r="K936" s="164"/>
      <c r="L936" s="320"/>
      <c r="M936" s="326"/>
      <c r="N936" s="327"/>
      <c r="O936" s="328"/>
      <c r="P936" s="326"/>
      <c r="Q936" s="327"/>
      <c r="R936" s="328"/>
      <c r="S936" s="326"/>
      <c r="T936" s="327"/>
      <c r="U936" s="328"/>
      <c r="V936" s="150"/>
      <c r="W936" s="327"/>
      <c r="X936" s="320"/>
      <c r="Y936" s="201"/>
      <c r="Z936" s="201"/>
      <c r="AA936" s="201"/>
      <c r="AB936" s="17"/>
      <c r="AC936" s="17"/>
      <c r="AD936" s="17"/>
      <c r="AE936" s="17"/>
    </row>
    <row r="937">
      <c r="A937" s="150"/>
      <c r="B937" s="164"/>
      <c r="C937" s="320"/>
      <c r="D937" s="150"/>
      <c r="E937" s="164"/>
      <c r="F937" s="320"/>
      <c r="G937" s="150"/>
      <c r="H937" s="164"/>
      <c r="I937" s="320"/>
      <c r="J937" s="150"/>
      <c r="K937" s="164"/>
      <c r="L937" s="320"/>
      <c r="M937" s="326"/>
      <c r="N937" s="327"/>
      <c r="O937" s="328"/>
      <c r="P937" s="326"/>
      <c r="Q937" s="327"/>
      <c r="R937" s="328"/>
      <c r="S937" s="326"/>
      <c r="T937" s="327"/>
      <c r="U937" s="328"/>
      <c r="V937" s="150"/>
      <c r="W937" s="327"/>
      <c r="X937" s="320"/>
      <c r="Y937" s="201"/>
      <c r="Z937" s="201"/>
      <c r="AA937" s="201"/>
      <c r="AB937" s="17"/>
      <c r="AC937" s="17"/>
      <c r="AD937" s="17"/>
      <c r="AE937" s="17"/>
    </row>
    <row r="938">
      <c r="A938" s="150"/>
      <c r="B938" s="164"/>
      <c r="C938" s="320"/>
      <c r="D938" s="150"/>
      <c r="E938" s="164"/>
      <c r="F938" s="320"/>
      <c r="G938" s="150"/>
      <c r="H938" s="164"/>
      <c r="I938" s="320"/>
      <c r="J938" s="150"/>
      <c r="K938" s="164"/>
      <c r="L938" s="320"/>
      <c r="M938" s="326"/>
      <c r="N938" s="327"/>
      <c r="O938" s="328"/>
      <c r="P938" s="326"/>
      <c r="Q938" s="327"/>
      <c r="R938" s="328"/>
      <c r="S938" s="326"/>
      <c r="T938" s="327"/>
      <c r="U938" s="328"/>
      <c r="V938" s="150"/>
      <c r="W938" s="327"/>
      <c r="X938" s="320"/>
      <c r="Y938" s="201"/>
      <c r="Z938" s="201"/>
      <c r="AA938" s="201"/>
      <c r="AB938" s="17"/>
      <c r="AC938" s="17"/>
      <c r="AD938" s="17"/>
      <c r="AE938" s="17"/>
    </row>
    <row r="939">
      <c r="A939" s="150"/>
      <c r="B939" s="164"/>
      <c r="C939" s="320"/>
      <c r="D939" s="150"/>
      <c r="E939" s="164"/>
      <c r="F939" s="320"/>
      <c r="G939" s="150"/>
      <c r="H939" s="164"/>
      <c r="I939" s="320"/>
      <c r="J939" s="150"/>
      <c r="K939" s="164"/>
      <c r="L939" s="320"/>
      <c r="M939" s="326"/>
      <c r="N939" s="327"/>
      <c r="O939" s="328"/>
      <c r="P939" s="326"/>
      <c r="Q939" s="327"/>
      <c r="R939" s="328"/>
      <c r="S939" s="326"/>
      <c r="T939" s="327"/>
      <c r="U939" s="328"/>
      <c r="V939" s="150"/>
      <c r="W939" s="327"/>
      <c r="X939" s="320"/>
      <c r="Y939" s="201"/>
      <c r="Z939" s="201"/>
      <c r="AA939" s="201"/>
      <c r="AB939" s="17"/>
      <c r="AC939" s="17"/>
      <c r="AD939" s="17"/>
      <c r="AE939" s="17"/>
    </row>
    <row r="940">
      <c r="A940" s="150"/>
      <c r="B940" s="164"/>
      <c r="C940" s="320"/>
      <c r="D940" s="150"/>
      <c r="E940" s="164"/>
      <c r="F940" s="320"/>
      <c r="G940" s="150"/>
      <c r="H940" s="164"/>
      <c r="I940" s="320"/>
      <c r="J940" s="150"/>
      <c r="K940" s="164"/>
      <c r="L940" s="320"/>
      <c r="M940" s="326"/>
      <c r="N940" s="327"/>
      <c r="O940" s="328"/>
      <c r="P940" s="326"/>
      <c r="Q940" s="327"/>
      <c r="R940" s="328"/>
      <c r="S940" s="326"/>
      <c r="T940" s="327"/>
      <c r="U940" s="328"/>
      <c r="V940" s="150"/>
      <c r="W940" s="327"/>
      <c r="X940" s="320"/>
      <c r="Y940" s="201"/>
      <c r="Z940" s="201"/>
      <c r="AA940" s="201"/>
      <c r="AB940" s="17"/>
      <c r="AC940" s="17"/>
      <c r="AD940" s="17"/>
      <c r="AE940" s="17"/>
    </row>
    <row r="941">
      <c r="A941" s="150"/>
      <c r="B941" s="164"/>
      <c r="C941" s="320"/>
      <c r="D941" s="150"/>
      <c r="E941" s="164"/>
      <c r="F941" s="320"/>
      <c r="G941" s="150"/>
      <c r="H941" s="164"/>
      <c r="I941" s="320"/>
      <c r="J941" s="150"/>
      <c r="K941" s="164"/>
      <c r="L941" s="320"/>
      <c r="M941" s="326"/>
      <c r="N941" s="327"/>
      <c r="O941" s="328"/>
      <c r="P941" s="326"/>
      <c r="Q941" s="327"/>
      <c r="R941" s="328"/>
      <c r="S941" s="326"/>
      <c r="T941" s="327"/>
      <c r="U941" s="328"/>
      <c r="V941" s="150"/>
      <c r="W941" s="327"/>
      <c r="X941" s="320"/>
      <c r="Y941" s="201"/>
      <c r="Z941" s="201"/>
      <c r="AA941" s="201"/>
      <c r="AB941" s="17"/>
      <c r="AC941" s="17"/>
      <c r="AD941" s="17"/>
      <c r="AE941" s="17"/>
    </row>
    <row r="942">
      <c r="A942" s="150"/>
      <c r="B942" s="164"/>
      <c r="C942" s="320"/>
      <c r="D942" s="150"/>
      <c r="E942" s="164"/>
      <c r="F942" s="320"/>
      <c r="G942" s="150"/>
      <c r="H942" s="164"/>
      <c r="I942" s="320"/>
      <c r="J942" s="150"/>
      <c r="K942" s="164"/>
      <c r="L942" s="320"/>
      <c r="M942" s="326"/>
      <c r="N942" s="327"/>
      <c r="O942" s="328"/>
      <c r="P942" s="326"/>
      <c r="Q942" s="327"/>
      <c r="R942" s="328"/>
      <c r="S942" s="326"/>
      <c r="T942" s="327"/>
      <c r="U942" s="328"/>
      <c r="V942" s="150"/>
      <c r="W942" s="327"/>
      <c r="X942" s="320"/>
      <c r="Y942" s="201"/>
      <c r="Z942" s="201"/>
      <c r="AA942" s="201"/>
      <c r="AB942" s="17"/>
      <c r="AC942" s="17"/>
      <c r="AD942" s="17"/>
      <c r="AE942" s="17"/>
    </row>
    <row r="943">
      <c r="A943" s="150"/>
      <c r="B943" s="164"/>
      <c r="C943" s="320"/>
      <c r="D943" s="150"/>
      <c r="E943" s="164"/>
      <c r="F943" s="320"/>
      <c r="G943" s="150"/>
      <c r="H943" s="164"/>
      <c r="I943" s="320"/>
      <c r="J943" s="150"/>
      <c r="K943" s="164"/>
      <c r="L943" s="320"/>
      <c r="M943" s="326"/>
      <c r="N943" s="327"/>
      <c r="O943" s="328"/>
      <c r="P943" s="326"/>
      <c r="Q943" s="327"/>
      <c r="R943" s="328"/>
      <c r="S943" s="326"/>
      <c r="T943" s="327"/>
      <c r="U943" s="328"/>
      <c r="V943" s="150"/>
      <c r="W943" s="327"/>
      <c r="X943" s="320"/>
      <c r="Y943" s="201"/>
      <c r="Z943" s="201"/>
      <c r="AA943" s="201"/>
      <c r="AB943" s="17"/>
      <c r="AC943" s="17"/>
      <c r="AD943" s="17"/>
      <c r="AE943" s="17"/>
    </row>
    <row r="944">
      <c r="A944" s="150"/>
      <c r="B944" s="164"/>
      <c r="C944" s="320"/>
      <c r="D944" s="150"/>
      <c r="E944" s="164"/>
      <c r="F944" s="320"/>
      <c r="G944" s="150"/>
      <c r="H944" s="164"/>
      <c r="I944" s="320"/>
      <c r="J944" s="150"/>
      <c r="K944" s="164"/>
      <c r="L944" s="320"/>
      <c r="M944" s="326"/>
      <c r="N944" s="327"/>
      <c r="O944" s="328"/>
      <c r="P944" s="326"/>
      <c r="Q944" s="327"/>
      <c r="R944" s="328"/>
      <c r="S944" s="326"/>
      <c r="T944" s="327"/>
      <c r="U944" s="328"/>
      <c r="V944" s="150"/>
      <c r="W944" s="327"/>
      <c r="X944" s="320"/>
      <c r="Y944" s="201"/>
      <c r="Z944" s="201"/>
      <c r="AA944" s="201"/>
      <c r="AB944" s="17"/>
      <c r="AC944" s="17"/>
      <c r="AD944" s="17"/>
      <c r="AE944" s="17"/>
    </row>
    <row r="945">
      <c r="A945" s="150"/>
      <c r="B945" s="164"/>
      <c r="C945" s="320"/>
      <c r="D945" s="150"/>
      <c r="E945" s="164"/>
      <c r="F945" s="320"/>
      <c r="G945" s="150"/>
      <c r="H945" s="164"/>
      <c r="I945" s="320"/>
      <c r="J945" s="150"/>
      <c r="K945" s="164"/>
      <c r="L945" s="320"/>
      <c r="M945" s="326"/>
      <c r="N945" s="327"/>
      <c r="O945" s="328"/>
      <c r="P945" s="326"/>
      <c r="Q945" s="327"/>
      <c r="R945" s="328"/>
      <c r="S945" s="326"/>
      <c r="T945" s="327"/>
      <c r="U945" s="328"/>
      <c r="V945" s="150"/>
      <c r="W945" s="327"/>
      <c r="X945" s="320"/>
      <c r="Y945" s="201"/>
      <c r="Z945" s="201"/>
      <c r="AA945" s="201"/>
      <c r="AB945" s="17"/>
      <c r="AC945" s="17"/>
      <c r="AD945" s="17"/>
      <c r="AE945" s="17"/>
    </row>
    <row r="946">
      <c r="A946" s="150"/>
      <c r="B946" s="164"/>
      <c r="C946" s="320"/>
      <c r="D946" s="150"/>
      <c r="E946" s="164"/>
      <c r="F946" s="320"/>
      <c r="G946" s="150"/>
      <c r="H946" s="164"/>
      <c r="I946" s="320"/>
      <c r="J946" s="150"/>
      <c r="K946" s="164"/>
      <c r="L946" s="320"/>
      <c r="M946" s="326"/>
      <c r="N946" s="327"/>
      <c r="O946" s="328"/>
      <c r="P946" s="326"/>
      <c r="Q946" s="327"/>
      <c r="R946" s="328"/>
      <c r="S946" s="326"/>
      <c r="T946" s="327"/>
      <c r="U946" s="328"/>
      <c r="V946" s="150"/>
      <c r="W946" s="327"/>
      <c r="X946" s="320"/>
      <c r="Y946" s="201"/>
      <c r="Z946" s="201"/>
      <c r="AA946" s="201"/>
      <c r="AB946" s="17"/>
      <c r="AC946" s="17"/>
      <c r="AD946" s="17"/>
      <c r="AE946" s="17"/>
    </row>
    <row r="947">
      <c r="A947" s="150"/>
      <c r="B947" s="164"/>
      <c r="C947" s="320"/>
      <c r="D947" s="150"/>
      <c r="E947" s="164"/>
      <c r="F947" s="320"/>
      <c r="G947" s="150"/>
      <c r="H947" s="164"/>
      <c r="I947" s="320"/>
      <c r="J947" s="150"/>
      <c r="K947" s="164"/>
      <c r="L947" s="320"/>
      <c r="M947" s="326"/>
      <c r="N947" s="327"/>
      <c r="O947" s="328"/>
      <c r="P947" s="326"/>
      <c r="Q947" s="327"/>
      <c r="R947" s="328"/>
      <c r="S947" s="326"/>
      <c r="T947" s="327"/>
      <c r="U947" s="328"/>
      <c r="V947" s="150"/>
      <c r="W947" s="327"/>
      <c r="X947" s="320"/>
      <c r="Y947" s="201"/>
      <c r="Z947" s="201"/>
      <c r="AA947" s="201"/>
      <c r="AB947" s="17"/>
      <c r="AC947" s="17"/>
      <c r="AD947" s="17"/>
      <c r="AE947" s="17"/>
    </row>
    <row r="948">
      <c r="A948" s="150"/>
      <c r="B948" s="164"/>
      <c r="C948" s="320"/>
      <c r="D948" s="150"/>
      <c r="E948" s="164"/>
      <c r="F948" s="320"/>
      <c r="G948" s="150"/>
      <c r="H948" s="164"/>
      <c r="I948" s="320"/>
      <c r="J948" s="150"/>
      <c r="K948" s="164"/>
      <c r="L948" s="320"/>
      <c r="M948" s="326"/>
      <c r="N948" s="327"/>
      <c r="O948" s="328"/>
      <c r="P948" s="326"/>
      <c r="Q948" s="327"/>
      <c r="R948" s="328"/>
      <c r="S948" s="326"/>
      <c r="T948" s="327"/>
      <c r="U948" s="328"/>
      <c r="V948" s="150"/>
      <c r="W948" s="327"/>
      <c r="X948" s="320"/>
      <c r="Y948" s="201"/>
      <c r="Z948" s="201"/>
      <c r="AA948" s="201"/>
      <c r="AB948" s="17"/>
      <c r="AC948" s="17"/>
      <c r="AD948" s="17"/>
      <c r="AE948" s="17"/>
    </row>
    <row r="949">
      <c r="A949" s="150"/>
      <c r="B949" s="164"/>
      <c r="C949" s="320"/>
      <c r="D949" s="150"/>
      <c r="E949" s="164"/>
      <c r="F949" s="320"/>
      <c r="G949" s="150"/>
      <c r="H949" s="164"/>
      <c r="I949" s="320"/>
      <c r="J949" s="150"/>
      <c r="K949" s="164"/>
      <c r="L949" s="320"/>
      <c r="M949" s="326"/>
      <c r="N949" s="327"/>
      <c r="O949" s="328"/>
      <c r="P949" s="326"/>
      <c r="Q949" s="327"/>
      <c r="R949" s="328"/>
      <c r="S949" s="326"/>
      <c r="T949" s="327"/>
      <c r="U949" s="328"/>
      <c r="V949" s="150"/>
      <c r="W949" s="327"/>
      <c r="X949" s="320"/>
      <c r="Y949" s="201"/>
      <c r="Z949" s="201"/>
      <c r="AA949" s="201"/>
      <c r="AB949" s="17"/>
      <c r="AC949" s="17"/>
      <c r="AD949" s="17"/>
      <c r="AE949" s="17"/>
    </row>
    <row r="950">
      <c r="A950" s="150"/>
      <c r="B950" s="164"/>
      <c r="C950" s="320"/>
      <c r="D950" s="150"/>
      <c r="E950" s="164"/>
      <c r="F950" s="320"/>
      <c r="G950" s="150"/>
      <c r="H950" s="164"/>
      <c r="I950" s="320"/>
      <c r="J950" s="150"/>
      <c r="K950" s="164"/>
      <c r="L950" s="320"/>
      <c r="M950" s="326"/>
      <c r="N950" s="327"/>
      <c r="O950" s="328"/>
      <c r="P950" s="326"/>
      <c r="Q950" s="327"/>
      <c r="R950" s="328"/>
      <c r="S950" s="326"/>
      <c r="T950" s="327"/>
      <c r="U950" s="328"/>
      <c r="V950" s="150"/>
      <c r="W950" s="327"/>
      <c r="X950" s="320"/>
      <c r="Y950" s="201"/>
      <c r="Z950" s="201"/>
      <c r="AA950" s="201"/>
      <c r="AB950" s="17"/>
      <c r="AC950" s="17"/>
      <c r="AD950" s="17"/>
      <c r="AE950" s="17"/>
    </row>
    <row r="951">
      <c r="A951" s="150"/>
      <c r="B951" s="164"/>
      <c r="C951" s="320"/>
      <c r="D951" s="150"/>
      <c r="E951" s="164"/>
      <c r="F951" s="320"/>
      <c r="G951" s="150"/>
      <c r="H951" s="164"/>
      <c r="I951" s="320"/>
      <c r="J951" s="150"/>
      <c r="K951" s="164"/>
      <c r="L951" s="320"/>
      <c r="M951" s="326"/>
      <c r="N951" s="327"/>
      <c r="O951" s="328"/>
      <c r="P951" s="326"/>
      <c r="Q951" s="327"/>
      <c r="R951" s="328"/>
      <c r="S951" s="326"/>
      <c r="T951" s="327"/>
      <c r="U951" s="328"/>
      <c r="V951" s="150"/>
      <c r="W951" s="327"/>
      <c r="X951" s="320"/>
      <c r="Y951" s="201"/>
      <c r="Z951" s="201"/>
      <c r="AA951" s="201"/>
      <c r="AB951" s="17"/>
      <c r="AC951" s="17"/>
      <c r="AD951" s="17"/>
      <c r="AE951" s="17"/>
    </row>
    <row r="952">
      <c r="A952" s="150"/>
      <c r="B952" s="164"/>
      <c r="C952" s="320"/>
      <c r="D952" s="150"/>
      <c r="E952" s="164"/>
      <c r="F952" s="320"/>
      <c r="G952" s="150"/>
      <c r="H952" s="164"/>
      <c r="I952" s="320"/>
      <c r="J952" s="150"/>
      <c r="K952" s="164"/>
      <c r="L952" s="320"/>
      <c r="M952" s="326"/>
      <c r="N952" s="327"/>
      <c r="O952" s="328"/>
      <c r="P952" s="326"/>
      <c r="Q952" s="327"/>
      <c r="R952" s="328"/>
      <c r="S952" s="326"/>
      <c r="T952" s="327"/>
      <c r="U952" s="328"/>
      <c r="V952" s="150"/>
      <c r="W952" s="327"/>
      <c r="X952" s="320"/>
      <c r="Y952" s="201"/>
      <c r="Z952" s="201"/>
      <c r="AA952" s="201"/>
      <c r="AB952" s="17"/>
      <c r="AC952" s="17"/>
      <c r="AD952" s="17"/>
      <c r="AE952" s="17"/>
    </row>
    <row r="953">
      <c r="A953" s="150"/>
      <c r="B953" s="164"/>
      <c r="C953" s="320"/>
      <c r="D953" s="150"/>
      <c r="E953" s="164"/>
      <c r="F953" s="320"/>
      <c r="G953" s="150"/>
      <c r="H953" s="164"/>
      <c r="I953" s="320"/>
      <c r="J953" s="150"/>
      <c r="K953" s="164"/>
      <c r="L953" s="320"/>
      <c r="M953" s="326"/>
      <c r="N953" s="327"/>
      <c r="O953" s="328"/>
      <c r="P953" s="326"/>
      <c r="Q953" s="327"/>
      <c r="R953" s="328"/>
      <c r="S953" s="326"/>
      <c r="T953" s="327"/>
      <c r="U953" s="328"/>
      <c r="V953" s="150"/>
      <c r="W953" s="327"/>
      <c r="X953" s="320"/>
      <c r="Y953" s="201"/>
      <c r="Z953" s="201"/>
      <c r="AA953" s="201"/>
      <c r="AB953" s="17"/>
      <c r="AC953" s="17"/>
      <c r="AD953" s="17"/>
      <c r="AE953" s="17"/>
    </row>
    <row r="954">
      <c r="A954" s="150"/>
      <c r="B954" s="164"/>
      <c r="C954" s="320"/>
      <c r="D954" s="150"/>
      <c r="E954" s="164"/>
      <c r="F954" s="320"/>
      <c r="G954" s="150"/>
      <c r="H954" s="164"/>
      <c r="I954" s="320"/>
      <c r="J954" s="150"/>
      <c r="K954" s="164"/>
      <c r="L954" s="320"/>
      <c r="M954" s="326"/>
      <c r="N954" s="327"/>
      <c r="O954" s="328"/>
      <c r="P954" s="326"/>
      <c r="Q954" s="327"/>
      <c r="R954" s="328"/>
      <c r="S954" s="326"/>
      <c r="T954" s="327"/>
      <c r="U954" s="328"/>
      <c r="V954" s="150"/>
      <c r="W954" s="327"/>
      <c r="X954" s="320"/>
      <c r="Y954" s="201"/>
      <c r="Z954" s="201"/>
      <c r="AA954" s="201"/>
      <c r="AB954" s="17"/>
      <c r="AC954" s="17"/>
      <c r="AD954" s="17"/>
      <c r="AE954" s="17"/>
    </row>
    <row r="955">
      <c r="A955" s="150"/>
      <c r="B955" s="164"/>
      <c r="C955" s="320"/>
      <c r="D955" s="150"/>
      <c r="E955" s="164"/>
      <c r="F955" s="320"/>
      <c r="G955" s="150"/>
      <c r="H955" s="164"/>
      <c r="I955" s="320"/>
      <c r="J955" s="150"/>
      <c r="K955" s="164"/>
      <c r="L955" s="320"/>
      <c r="M955" s="326"/>
      <c r="N955" s="327"/>
      <c r="O955" s="328"/>
      <c r="P955" s="326"/>
      <c r="Q955" s="327"/>
      <c r="R955" s="328"/>
      <c r="S955" s="326"/>
      <c r="T955" s="327"/>
      <c r="U955" s="328"/>
      <c r="V955" s="150"/>
      <c r="W955" s="327"/>
      <c r="X955" s="320"/>
      <c r="Y955" s="201"/>
      <c r="Z955" s="201"/>
      <c r="AA955" s="201"/>
      <c r="AB955" s="17"/>
      <c r="AC955" s="17"/>
      <c r="AD955" s="17"/>
      <c r="AE955" s="17"/>
    </row>
    <row r="956">
      <c r="A956" s="150"/>
      <c r="B956" s="164"/>
      <c r="C956" s="320"/>
      <c r="D956" s="150"/>
      <c r="E956" s="164"/>
      <c r="F956" s="320"/>
      <c r="G956" s="150"/>
      <c r="H956" s="164"/>
      <c r="I956" s="320"/>
      <c r="J956" s="150"/>
      <c r="K956" s="164"/>
      <c r="L956" s="320"/>
      <c r="M956" s="326"/>
      <c r="N956" s="327"/>
      <c r="O956" s="328"/>
      <c r="P956" s="326"/>
      <c r="Q956" s="327"/>
      <c r="R956" s="328"/>
      <c r="S956" s="326"/>
      <c r="T956" s="327"/>
      <c r="U956" s="328"/>
      <c r="V956" s="150"/>
      <c r="W956" s="327"/>
      <c r="X956" s="320"/>
      <c r="Y956" s="201"/>
      <c r="Z956" s="201"/>
      <c r="AA956" s="201"/>
      <c r="AB956" s="17"/>
      <c r="AC956" s="17"/>
      <c r="AD956" s="17"/>
      <c r="AE956" s="17"/>
    </row>
    <row r="957">
      <c r="A957" s="150"/>
      <c r="B957" s="164"/>
      <c r="C957" s="320"/>
      <c r="D957" s="150"/>
      <c r="E957" s="164"/>
      <c r="F957" s="320"/>
      <c r="G957" s="150"/>
      <c r="H957" s="164"/>
      <c r="I957" s="320"/>
      <c r="J957" s="150"/>
      <c r="K957" s="164"/>
      <c r="L957" s="320"/>
      <c r="M957" s="326"/>
      <c r="N957" s="327"/>
      <c r="O957" s="328"/>
      <c r="P957" s="326"/>
      <c r="Q957" s="327"/>
      <c r="R957" s="328"/>
      <c r="S957" s="326"/>
      <c r="T957" s="327"/>
      <c r="U957" s="328"/>
      <c r="V957" s="150"/>
      <c r="W957" s="327"/>
      <c r="X957" s="320"/>
      <c r="Y957" s="201"/>
      <c r="Z957" s="201"/>
      <c r="AA957" s="201"/>
      <c r="AB957" s="17"/>
      <c r="AC957" s="17"/>
      <c r="AD957" s="17"/>
      <c r="AE957" s="17"/>
    </row>
    <row r="958">
      <c r="A958" s="150"/>
      <c r="B958" s="164"/>
      <c r="C958" s="320"/>
      <c r="D958" s="150"/>
      <c r="E958" s="164"/>
      <c r="F958" s="320"/>
      <c r="G958" s="150"/>
      <c r="H958" s="164"/>
      <c r="I958" s="320"/>
      <c r="J958" s="150"/>
      <c r="K958" s="164"/>
      <c r="L958" s="320"/>
      <c r="M958" s="326"/>
      <c r="N958" s="327"/>
      <c r="O958" s="328"/>
      <c r="P958" s="326"/>
      <c r="Q958" s="327"/>
      <c r="R958" s="328"/>
      <c r="S958" s="326"/>
      <c r="T958" s="327"/>
      <c r="U958" s="328"/>
      <c r="V958" s="150"/>
      <c r="W958" s="327"/>
      <c r="X958" s="320"/>
      <c r="Y958" s="201"/>
      <c r="Z958" s="201"/>
      <c r="AA958" s="201"/>
      <c r="AB958" s="17"/>
      <c r="AC958" s="17"/>
      <c r="AD958" s="17"/>
      <c r="AE958" s="17"/>
    </row>
    <row r="959">
      <c r="A959" s="150"/>
      <c r="B959" s="164"/>
      <c r="C959" s="320"/>
      <c r="D959" s="150"/>
      <c r="E959" s="164"/>
      <c r="F959" s="320"/>
      <c r="G959" s="150"/>
      <c r="H959" s="164"/>
      <c r="I959" s="320"/>
      <c r="J959" s="150"/>
      <c r="K959" s="164"/>
      <c r="L959" s="320"/>
      <c r="M959" s="326"/>
      <c r="N959" s="327"/>
      <c r="O959" s="328"/>
      <c r="P959" s="326"/>
      <c r="Q959" s="327"/>
      <c r="R959" s="328"/>
      <c r="S959" s="326"/>
      <c r="T959" s="327"/>
      <c r="U959" s="328"/>
      <c r="V959" s="150"/>
      <c r="W959" s="327"/>
      <c r="X959" s="320"/>
      <c r="Y959" s="201"/>
      <c r="Z959" s="201"/>
      <c r="AA959" s="201"/>
      <c r="AB959" s="17"/>
      <c r="AC959" s="17"/>
      <c r="AD959" s="17"/>
      <c r="AE959" s="17"/>
    </row>
    <row r="960">
      <c r="A960" s="150"/>
      <c r="B960" s="164"/>
      <c r="C960" s="320"/>
      <c r="D960" s="150"/>
      <c r="E960" s="164"/>
      <c r="F960" s="320"/>
      <c r="G960" s="150"/>
      <c r="H960" s="164"/>
      <c r="I960" s="320"/>
      <c r="J960" s="150"/>
      <c r="K960" s="164"/>
      <c r="L960" s="320"/>
      <c r="M960" s="326"/>
      <c r="N960" s="327"/>
      <c r="O960" s="328"/>
      <c r="P960" s="326"/>
      <c r="Q960" s="327"/>
      <c r="R960" s="328"/>
      <c r="S960" s="326"/>
      <c r="T960" s="327"/>
      <c r="U960" s="328"/>
      <c r="V960" s="150"/>
      <c r="W960" s="327"/>
      <c r="X960" s="320"/>
      <c r="Y960" s="201"/>
      <c r="Z960" s="201"/>
      <c r="AA960" s="201"/>
      <c r="AB960" s="17"/>
      <c r="AC960" s="17"/>
      <c r="AD960" s="17"/>
      <c r="AE960" s="17"/>
    </row>
    <row r="961">
      <c r="A961" s="150"/>
      <c r="B961" s="164"/>
      <c r="C961" s="320"/>
      <c r="D961" s="150"/>
      <c r="E961" s="164"/>
      <c r="F961" s="320"/>
      <c r="G961" s="150"/>
      <c r="H961" s="164"/>
      <c r="I961" s="320"/>
      <c r="J961" s="150"/>
      <c r="K961" s="164"/>
      <c r="L961" s="320"/>
      <c r="M961" s="326"/>
      <c r="N961" s="327"/>
      <c r="O961" s="328"/>
      <c r="P961" s="326"/>
      <c r="Q961" s="327"/>
      <c r="R961" s="328"/>
      <c r="S961" s="326"/>
      <c r="T961" s="327"/>
      <c r="U961" s="328"/>
      <c r="V961" s="150"/>
      <c r="W961" s="327"/>
      <c r="X961" s="320"/>
      <c r="Y961" s="201"/>
      <c r="Z961" s="201"/>
      <c r="AA961" s="201"/>
      <c r="AB961" s="17"/>
      <c r="AC961" s="17"/>
      <c r="AD961" s="17"/>
      <c r="AE961" s="17"/>
    </row>
    <row r="962">
      <c r="A962" s="150"/>
      <c r="B962" s="164"/>
      <c r="C962" s="320"/>
      <c r="D962" s="150"/>
      <c r="E962" s="164"/>
      <c r="F962" s="320"/>
      <c r="G962" s="150"/>
      <c r="H962" s="164"/>
      <c r="I962" s="320"/>
      <c r="J962" s="150"/>
      <c r="K962" s="164"/>
      <c r="L962" s="320"/>
      <c r="M962" s="326"/>
      <c r="N962" s="327"/>
      <c r="O962" s="328"/>
      <c r="P962" s="326"/>
      <c r="Q962" s="327"/>
      <c r="R962" s="328"/>
      <c r="S962" s="326"/>
      <c r="T962" s="327"/>
      <c r="U962" s="328"/>
      <c r="V962" s="150"/>
      <c r="W962" s="327"/>
      <c r="X962" s="320"/>
      <c r="Y962" s="201"/>
      <c r="Z962" s="201"/>
      <c r="AA962" s="201"/>
      <c r="AB962" s="17"/>
      <c r="AC962" s="17"/>
      <c r="AD962" s="17"/>
      <c r="AE962" s="17"/>
    </row>
    <row r="963">
      <c r="A963" s="150"/>
      <c r="B963" s="164"/>
      <c r="C963" s="320"/>
      <c r="D963" s="150"/>
      <c r="E963" s="164"/>
      <c r="F963" s="320"/>
      <c r="G963" s="150"/>
      <c r="H963" s="164"/>
      <c r="I963" s="320"/>
      <c r="J963" s="150"/>
      <c r="K963" s="164"/>
      <c r="L963" s="320"/>
      <c r="M963" s="326"/>
      <c r="N963" s="327"/>
      <c r="O963" s="328"/>
      <c r="P963" s="326"/>
      <c r="Q963" s="327"/>
      <c r="R963" s="328"/>
      <c r="S963" s="326"/>
      <c r="T963" s="327"/>
      <c r="U963" s="328"/>
      <c r="V963" s="150"/>
      <c r="W963" s="327"/>
      <c r="X963" s="320"/>
      <c r="Y963" s="201"/>
      <c r="Z963" s="201"/>
      <c r="AA963" s="201"/>
      <c r="AB963" s="17"/>
      <c r="AC963" s="17"/>
      <c r="AD963" s="17"/>
      <c r="AE963" s="17"/>
    </row>
    <row r="964">
      <c r="A964" s="150"/>
      <c r="B964" s="164"/>
      <c r="C964" s="320"/>
      <c r="D964" s="150"/>
      <c r="E964" s="164"/>
      <c r="F964" s="320"/>
      <c r="G964" s="150"/>
      <c r="H964" s="164"/>
      <c r="I964" s="320"/>
      <c r="J964" s="150"/>
      <c r="K964" s="164"/>
      <c r="L964" s="320"/>
      <c r="M964" s="326"/>
      <c r="N964" s="327"/>
      <c r="O964" s="328"/>
      <c r="P964" s="326"/>
      <c r="Q964" s="327"/>
      <c r="R964" s="328"/>
      <c r="S964" s="326"/>
      <c r="T964" s="327"/>
      <c r="U964" s="328"/>
      <c r="V964" s="150"/>
      <c r="W964" s="327"/>
      <c r="X964" s="320"/>
      <c r="Y964" s="201"/>
      <c r="Z964" s="201"/>
      <c r="AA964" s="201"/>
      <c r="AB964" s="17"/>
      <c r="AC964" s="17"/>
      <c r="AD964" s="17"/>
      <c r="AE964" s="17"/>
    </row>
    <row r="965">
      <c r="A965" s="150"/>
      <c r="B965" s="164"/>
      <c r="C965" s="320"/>
      <c r="D965" s="150"/>
      <c r="E965" s="164"/>
      <c r="F965" s="320"/>
      <c r="G965" s="150"/>
      <c r="H965" s="164"/>
      <c r="I965" s="320"/>
      <c r="J965" s="150"/>
      <c r="K965" s="164"/>
      <c r="L965" s="320"/>
      <c r="M965" s="326"/>
      <c r="N965" s="327"/>
      <c r="O965" s="328"/>
      <c r="P965" s="326"/>
      <c r="Q965" s="327"/>
      <c r="R965" s="328"/>
      <c r="S965" s="326"/>
      <c r="T965" s="327"/>
      <c r="U965" s="328"/>
      <c r="V965" s="150"/>
      <c r="W965" s="327"/>
      <c r="X965" s="320"/>
      <c r="Y965" s="201"/>
      <c r="Z965" s="201"/>
      <c r="AA965" s="201"/>
      <c r="AB965" s="17"/>
      <c r="AC965" s="17"/>
      <c r="AD965" s="17"/>
      <c r="AE965" s="17"/>
    </row>
    <row r="966">
      <c r="A966" s="150"/>
      <c r="B966" s="164"/>
      <c r="C966" s="320"/>
      <c r="D966" s="150"/>
      <c r="E966" s="164"/>
      <c r="F966" s="320"/>
      <c r="G966" s="150"/>
      <c r="H966" s="164"/>
      <c r="I966" s="320"/>
      <c r="J966" s="150"/>
      <c r="K966" s="164"/>
      <c r="L966" s="320"/>
      <c r="M966" s="326"/>
      <c r="N966" s="327"/>
      <c r="O966" s="328"/>
      <c r="P966" s="326"/>
      <c r="Q966" s="327"/>
      <c r="R966" s="328"/>
      <c r="S966" s="326"/>
      <c r="T966" s="327"/>
      <c r="U966" s="328"/>
      <c r="V966" s="150"/>
      <c r="W966" s="327"/>
      <c r="X966" s="320"/>
      <c r="Y966" s="201"/>
      <c r="Z966" s="201"/>
      <c r="AA966" s="201"/>
      <c r="AB966" s="17"/>
      <c r="AC966" s="17"/>
      <c r="AD966" s="17"/>
      <c r="AE966" s="17"/>
    </row>
    <row r="967">
      <c r="A967" s="150"/>
      <c r="B967" s="164"/>
      <c r="C967" s="320"/>
      <c r="D967" s="150"/>
      <c r="E967" s="164"/>
      <c r="F967" s="320"/>
      <c r="G967" s="150"/>
      <c r="H967" s="164"/>
      <c r="I967" s="320"/>
      <c r="J967" s="150"/>
      <c r="K967" s="164"/>
      <c r="L967" s="320"/>
      <c r="M967" s="326"/>
      <c r="N967" s="327"/>
      <c r="O967" s="328"/>
      <c r="P967" s="326"/>
      <c r="Q967" s="327"/>
      <c r="R967" s="328"/>
      <c r="S967" s="326"/>
      <c r="T967" s="327"/>
      <c r="U967" s="328"/>
      <c r="V967" s="150"/>
      <c r="W967" s="327"/>
      <c r="X967" s="320"/>
      <c r="Y967" s="201"/>
      <c r="Z967" s="201"/>
      <c r="AA967" s="201"/>
      <c r="AB967" s="17"/>
      <c r="AC967" s="17"/>
      <c r="AD967" s="17"/>
      <c r="AE967" s="17"/>
    </row>
    <row r="968">
      <c r="A968" s="150"/>
      <c r="B968" s="164"/>
      <c r="C968" s="320"/>
      <c r="D968" s="150"/>
      <c r="E968" s="164"/>
      <c r="F968" s="320"/>
      <c r="G968" s="150"/>
      <c r="H968" s="164"/>
      <c r="I968" s="320"/>
      <c r="J968" s="150"/>
      <c r="K968" s="164"/>
      <c r="L968" s="320"/>
      <c r="M968" s="326"/>
      <c r="N968" s="327"/>
      <c r="O968" s="328"/>
      <c r="P968" s="326"/>
      <c r="Q968" s="327"/>
      <c r="R968" s="328"/>
      <c r="S968" s="326"/>
      <c r="T968" s="327"/>
      <c r="U968" s="328"/>
      <c r="V968" s="150"/>
      <c r="W968" s="327"/>
      <c r="X968" s="320"/>
      <c r="Y968" s="201"/>
      <c r="Z968" s="201"/>
      <c r="AA968" s="201"/>
      <c r="AB968" s="17"/>
      <c r="AC968" s="17"/>
      <c r="AD968" s="17"/>
      <c r="AE968" s="17"/>
    </row>
    <row r="969">
      <c r="A969" s="150"/>
      <c r="B969" s="164"/>
      <c r="C969" s="320"/>
      <c r="D969" s="150"/>
      <c r="E969" s="164"/>
      <c r="F969" s="320"/>
      <c r="G969" s="150"/>
      <c r="H969" s="164"/>
      <c r="I969" s="320"/>
      <c r="J969" s="150"/>
      <c r="K969" s="164"/>
      <c r="L969" s="320"/>
      <c r="M969" s="326"/>
      <c r="N969" s="327"/>
      <c r="O969" s="328"/>
      <c r="P969" s="326"/>
      <c r="Q969" s="327"/>
      <c r="R969" s="328"/>
      <c r="S969" s="326"/>
      <c r="T969" s="327"/>
      <c r="U969" s="328"/>
      <c r="V969" s="150"/>
      <c r="W969" s="327"/>
      <c r="X969" s="320"/>
      <c r="Y969" s="201"/>
      <c r="Z969" s="201"/>
      <c r="AA969" s="201"/>
      <c r="AB969" s="17"/>
      <c r="AC969" s="17"/>
      <c r="AD969" s="17"/>
      <c r="AE969" s="17"/>
    </row>
    <row r="970">
      <c r="A970" s="150"/>
      <c r="B970" s="164"/>
      <c r="C970" s="320"/>
      <c r="D970" s="150"/>
      <c r="E970" s="164"/>
      <c r="F970" s="320"/>
      <c r="G970" s="150"/>
      <c r="H970" s="164"/>
      <c r="I970" s="320"/>
      <c r="J970" s="150"/>
      <c r="K970" s="164"/>
      <c r="L970" s="320"/>
      <c r="M970" s="326"/>
      <c r="N970" s="327"/>
      <c r="O970" s="328"/>
      <c r="P970" s="326"/>
      <c r="Q970" s="327"/>
      <c r="R970" s="328"/>
      <c r="S970" s="326"/>
      <c r="T970" s="327"/>
      <c r="U970" s="328"/>
      <c r="V970" s="150"/>
      <c r="W970" s="327"/>
      <c r="X970" s="320"/>
      <c r="Y970" s="201"/>
      <c r="Z970" s="201"/>
      <c r="AA970" s="201"/>
      <c r="AB970" s="17"/>
      <c r="AC970" s="17"/>
      <c r="AD970" s="17"/>
      <c r="AE970" s="17"/>
    </row>
    <row r="971">
      <c r="A971" s="150"/>
      <c r="B971" s="164"/>
      <c r="C971" s="320"/>
      <c r="D971" s="150"/>
      <c r="E971" s="164"/>
      <c r="F971" s="320"/>
      <c r="G971" s="150"/>
      <c r="H971" s="164"/>
      <c r="I971" s="320"/>
      <c r="J971" s="150"/>
      <c r="K971" s="164"/>
      <c r="L971" s="320"/>
      <c r="M971" s="326"/>
      <c r="N971" s="327"/>
      <c r="O971" s="328"/>
      <c r="P971" s="326"/>
      <c r="Q971" s="327"/>
      <c r="R971" s="328"/>
      <c r="S971" s="326"/>
      <c r="T971" s="327"/>
      <c r="U971" s="328"/>
      <c r="V971" s="150"/>
      <c r="W971" s="327"/>
      <c r="X971" s="320"/>
      <c r="Y971" s="201"/>
      <c r="Z971" s="201"/>
      <c r="AA971" s="201"/>
      <c r="AB971" s="17"/>
      <c r="AC971" s="17"/>
      <c r="AD971" s="17"/>
      <c r="AE971" s="17"/>
    </row>
    <row r="972">
      <c r="A972" s="150"/>
      <c r="B972" s="164"/>
      <c r="C972" s="320"/>
      <c r="D972" s="150"/>
      <c r="E972" s="164"/>
      <c r="F972" s="320"/>
      <c r="G972" s="150"/>
      <c r="H972" s="164"/>
      <c r="I972" s="320"/>
      <c r="J972" s="150"/>
      <c r="K972" s="164"/>
      <c r="L972" s="320"/>
      <c r="M972" s="326"/>
      <c r="N972" s="327"/>
      <c r="O972" s="328"/>
      <c r="P972" s="326"/>
      <c r="Q972" s="327"/>
      <c r="R972" s="328"/>
      <c r="S972" s="326"/>
      <c r="T972" s="327"/>
      <c r="U972" s="328"/>
      <c r="V972" s="150"/>
      <c r="W972" s="327"/>
      <c r="X972" s="320"/>
      <c r="Y972" s="201"/>
      <c r="Z972" s="201"/>
      <c r="AA972" s="201"/>
      <c r="AB972" s="17"/>
      <c r="AC972" s="17"/>
      <c r="AD972" s="17"/>
      <c r="AE972" s="17"/>
    </row>
    <row r="973">
      <c r="A973" s="150"/>
      <c r="B973" s="164"/>
      <c r="C973" s="320"/>
      <c r="D973" s="150"/>
      <c r="E973" s="164"/>
      <c r="F973" s="320"/>
      <c r="G973" s="150"/>
      <c r="H973" s="164"/>
      <c r="I973" s="320"/>
      <c r="J973" s="150"/>
      <c r="K973" s="164"/>
      <c r="L973" s="320"/>
      <c r="M973" s="326"/>
      <c r="N973" s="327"/>
      <c r="O973" s="328"/>
      <c r="P973" s="326"/>
      <c r="Q973" s="327"/>
      <c r="R973" s="328"/>
      <c r="S973" s="326"/>
      <c r="T973" s="327"/>
      <c r="U973" s="328"/>
      <c r="V973" s="150"/>
      <c r="W973" s="327"/>
      <c r="X973" s="320"/>
      <c r="Y973" s="201"/>
      <c r="Z973" s="201"/>
      <c r="AA973" s="201"/>
      <c r="AB973" s="17"/>
      <c r="AC973" s="17"/>
      <c r="AD973" s="17"/>
      <c r="AE973" s="17"/>
    </row>
    <row r="974">
      <c r="A974" s="150"/>
      <c r="B974" s="164"/>
      <c r="C974" s="320"/>
      <c r="D974" s="150"/>
      <c r="E974" s="164"/>
      <c r="F974" s="320"/>
      <c r="G974" s="150"/>
      <c r="H974" s="164"/>
      <c r="I974" s="320"/>
      <c r="J974" s="150"/>
      <c r="K974" s="164"/>
      <c r="L974" s="320"/>
      <c r="M974" s="326"/>
      <c r="N974" s="327"/>
      <c r="O974" s="328"/>
      <c r="P974" s="326"/>
      <c r="Q974" s="327"/>
      <c r="R974" s="328"/>
      <c r="S974" s="326"/>
      <c r="T974" s="327"/>
      <c r="U974" s="328"/>
      <c r="V974" s="150"/>
      <c r="W974" s="327"/>
      <c r="X974" s="320"/>
      <c r="Y974" s="201"/>
      <c r="Z974" s="201"/>
      <c r="AA974" s="201"/>
      <c r="AB974" s="17"/>
      <c r="AC974" s="17"/>
      <c r="AD974" s="17"/>
      <c r="AE974" s="17"/>
    </row>
    <row r="975">
      <c r="A975" s="150"/>
      <c r="B975" s="164"/>
      <c r="C975" s="320"/>
      <c r="D975" s="150"/>
      <c r="E975" s="164"/>
      <c r="F975" s="320"/>
      <c r="G975" s="150"/>
      <c r="H975" s="164"/>
      <c r="I975" s="320"/>
      <c r="J975" s="150"/>
      <c r="K975" s="164"/>
      <c r="L975" s="320"/>
      <c r="M975" s="326"/>
      <c r="N975" s="327"/>
      <c r="O975" s="328"/>
      <c r="P975" s="326"/>
      <c r="Q975" s="327"/>
      <c r="R975" s="328"/>
      <c r="S975" s="326"/>
      <c r="T975" s="327"/>
      <c r="U975" s="328"/>
      <c r="V975" s="150"/>
      <c r="W975" s="327"/>
      <c r="X975" s="320"/>
      <c r="Y975" s="201"/>
      <c r="Z975" s="201"/>
      <c r="AA975" s="201"/>
      <c r="AB975" s="17"/>
      <c r="AC975" s="17"/>
      <c r="AD975" s="17"/>
      <c r="AE975" s="17"/>
    </row>
    <row r="976">
      <c r="A976" s="150"/>
      <c r="B976" s="164"/>
      <c r="C976" s="320"/>
      <c r="D976" s="150"/>
      <c r="E976" s="164"/>
      <c r="F976" s="320"/>
      <c r="G976" s="150"/>
      <c r="H976" s="164"/>
      <c r="I976" s="320"/>
      <c r="J976" s="150"/>
      <c r="K976" s="164"/>
      <c r="L976" s="320"/>
      <c r="M976" s="326"/>
      <c r="N976" s="327"/>
      <c r="O976" s="328"/>
      <c r="P976" s="326"/>
      <c r="Q976" s="327"/>
      <c r="R976" s="328"/>
      <c r="S976" s="326"/>
      <c r="T976" s="327"/>
      <c r="U976" s="328"/>
      <c r="V976" s="150"/>
      <c r="W976" s="327"/>
      <c r="X976" s="320"/>
      <c r="Y976" s="201"/>
      <c r="Z976" s="201"/>
      <c r="AA976" s="201"/>
      <c r="AB976" s="17"/>
      <c r="AC976" s="17"/>
      <c r="AD976" s="17"/>
      <c r="AE976" s="17"/>
    </row>
    <row r="977">
      <c r="A977" s="150"/>
      <c r="B977" s="164"/>
      <c r="C977" s="320"/>
      <c r="D977" s="150"/>
      <c r="E977" s="164"/>
      <c r="F977" s="320"/>
      <c r="G977" s="150"/>
      <c r="H977" s="164"/>
      <c r="I977" s="320"/>
      <c r="J977" s="150"/>
      <c r="K977" s="164"/>
      <c r="L977" s="320"/>
      <c r="M977" s="326"/>
      <c r="N977" s="327"/>
      <c r="O977" s="328"/>
      <c r="P977" s="326"/>
      <c r="Q977" s="327"/>
      <c r="R977" s="328"/>
      <c r="S977" s="326"/>
      <c r="T977" s="327"/>
      <c r="U977" s="328"/>
      <c r="V977" s="150"/>
      <c r="W977" s="327"/>
      <c r="X977" s="320"/>
      <c r="Y977" s="201"/>
      <c r="Z977" s="201"/>
      <c r="AA977" s="201"/>
      <c r="AB977" s="17"/>
      <c r="AC977" s="17"/>
      <c r="AD977" s="17"/>
      <c r="AE977" s="17"/>
    </row>
    <row r="978">
      <c r="A978" s="150"/>
      <c r="B978" s="164"/>
      <c r="C978" s="320"/>
      <c r="D978" s="150"/>
      <c r="E978" s="164"/>
      <c r="F978" s="320"/>
      <c r="G978" s="150"/>
      <c r="H978" s="164"/>
      <c r="I978" s="320"/>
      <c r="J978" s="150"/>
      <c r="K978" s="164"/>
      <c r="L978" s="320"/>
      <c r="M978" s="326"/>
      <c r="N978" s="327"/>
      <c r="O978" s="328"/>
      <c r="P978" s="326"/>
      <c r="Q978" s="327"/>
      <c r="R978" s="328"/>
      <c r="S978" s="326"/>
      <c r="T978" s="327"/>
      <c r="U978" s="328"/>
      <c r="V978" s="150"/>
      <c r="W978" s="327"/>
      <c r="X978" s="320"/>
      <c r="Y978" s="201"/>
      <c r="Z978" s="201"/>
      <c r="AA978" s="201"/>
      <c r="AB978" s="17"/>
      <c r="AC978" s="17"/>
      <c r="AD978" s="17"/>
      <c r="AE978" s="17"/>
    </row>
    <row r="979">
      <c r="A979" s="150"/>
      <c r="B979" s="164"/>
      <c r="C979" s="320"/>
      <c r="D979" s="150"/>
      <c r="E979" s="164"/>
      <c r="F979" s="320"/>
      <c r="G979" s="150"/>
      <c r="H979" s="164"/>
      <c r="I979" s="320"/>
      <c r="J979" s="150"/>
      <c r="K979" s="164"/>
      <c r="L979" s="320"/>
      <c r="M979" s="326"/>
      <c r="N979" s="327"/>
      <c r="O979" s="328"/>
      <c r="P979" s="326"/>
      <c r="Q979" s="327"/>
      <c r="R979" s="328"/>
      <c r="S979" s="326"/>
      <c r="T979" s="327"/>
      <c r="U979" s="328"/>
      <c r="V979" s="150"/>
      <c r="W979" s="327"/>
      <c r="X979" s="320"/>
      <c r="Y979" s="201"/>
      <c r="Z979" s="201"/>
      <c r="AA979" s="201"/>
      <c r="AB979" s="17"/>
      <c r="AC979" s="17"/>
      <c r="AD979" s="17"/>
      <c r="AE979" s="17"/>
    </row>
    <row r="980">
      <c r="A980" s="150"/>
      <c r="B980" s="164"/>
      <c r="C980" s="320"/>
      <c r="D980" s="150"/>
      <c r="E980" s="164"/>
      <c r="F980" s="320"/>
      <c r="G980" s="150"/>
      <c r="H980" s="164"/>
      <c r="I980" s="320"/>
      <c r="J980" s="150"/>
      <c r="K980" s="164"/>
      <c r="L980" s="320"/>
      <c r="M980" s="326"/>
      <c r="N980" s="327"/>
      <c r="O980" s="328"/>
      <c r="P980" s="326"/>
      <c r="Q980" s="327"/>
      <c r="R980" s="328"/>
      <c r="S980" s="326"/>
      <c r="T980" s="327"/>
      <c r="U980" s="328"/>
      <c r="V980" s="150"/>
      <c r="W980" s="327"/>
      <c r="X980" s="320"/>
      <c r="Y980" s="201"/>
      <c r="Z980" s="201"/>
      <c r="AA980" s="201"/>
      <c r="AB980" s="17"/>
      <c r="AC980" s="17"/>
      <c r="AD980" s="17"/>
      <c r="AE980" s="17"/>
    </row>
    <row r="981">
      <c r="A981" s="150"/>
      <c r="B981" s="164"/>
      <c r="C981" s="320"/>
      <c r="D981" s="150"/>
      <c r="E981" s="164"/>
      <c r="F981" s="320"/>
      <c r="G981" s="150"/>
      <c r="H981" s="164"/>
      <c r="I981" s="320"/>
      <c r="J981" s="150"/>
      <c r="K981" s="164"/>
      <c r="L981" s="320"/>
      <c r="M981" s="326"/>
      <c r="N981" s="327"/>
      <c r="O981" s="328"/>
      <c r="P981" s="326"/>
      <c r="Q981" s="327"/>
      <c r="R981" s="328"/>
      <c r="S981" s="326"/>
      <c r="T981" s="327"/>
      <c r="U981" s="328"/>
      <c r="V981" s="150"/>
      <c r="W981" s="327"/>
      <c r="X981" s="320"/>
      <c r="Y981" s="201"/>
      <c r="Z981" s="201"/>
      <c r="AA981" s="201"/>
      <c r="AB981" s="17"/>
      <c r="AC981" s="17"/>
      <c r="AD981" s="17"/>
      <c r="AE981" s="17"/>
    </row>
    <row r="982">
      <c r="A982" s="150"/>
      <c r="B982" s="164"/>
      <c r="C982" s="320"/>
      <c r="D982" s="150"/>
      <c r="E982" s="164"/>
      <c r="F982" s="320"/>
      <c r="G982" s="150"/>
      <c r="H982" s="164"/>
      <c r="I982" s="320"/>
      <c r="J982" s="150"/>
      <c r="K982" s="164"/>
      <c r="L982" s="320"/>
      <c r="M982" s="326"/>
      <c r="N982" s="327"/>
      <c r="O982" s="328"/>
      <c r="P982" s="326"/>
      <c r="Q982" s="327"/>
      <c r="R982" s="328"/>
      <c r="S982" s="326"/>
      <c r="T982" s="327"/>
      <c r="U982" s="328"/>
      <c r="V982" s="150"/>
      <c r="W982" s="327"/>
      <c r="X982" s="320"/>
      <c r="Y982" s="201"/>
      <c r="Z982" s="201"/>
      <c r="AA982" s="201"/>
      <c r="AB982" s="17"/>
      <c r="AC982" s="17"/>
      <c r="AD982" s="17"/>
      <c r="AE982" s="17"/>
    </row>
    <row r="983">
      <c r="A983" s="150"/>
      <c r="B983" s="164"/>
      <c r="C983" s="320"/>
      <c r="D983" s="150"/>
      <c r="E983" s="164"/>
      <c r="F983" s="320"/>
      <c r="G983" s="150"/>
      <c r="H983" s="164"/>
      <c r="I983" s="320"/>
      <c r="J983" s="150"/>
      <c r="K983" s="164"/>
      <c r="L983" s="320"/>
      <c r="M983" s="326"/>
      <c r="N983" s="327"/>
      <c r="O983" s="328"/>
      <c r="P983" s="326"/>
      <c r="Q983" s="327"/>
      <c r="R983" s="328"/>
      <c r="S983" s="326"/>
      <c r="T983" s="327"/>
      <c r="U983" s="328"/>
      <c r="V983" s="150"/>
      <c r="W983" s="327"/>
      <c r="X983" s="320"/>
      <c r="Y983" s="201"/>
      <c r="Z983" s="201"/>
      <c r="AA983" s="201"/>
      <c r="AB983" s="17"/>
      <c r="AC983" s="17"/>
      <c r="AD983" s="17"/>
      <c r="AE983" s="17"/>
    </row>
    <row r="984">
      <c r="A984" s="150"/>
      <c r="B984" s="164"/>
      <c r="C984" s="320"/>
      <c r="D984" s="150"/>
      <c r="E984" s="164"/>
      <c r="F984" s="320"/>
      <c r="G984" s="150"/>
      <c r="H984" s="164"/>
      <c r="I984" s="320"/>
      <c r="J984" s="150"/>
      <c r="K984" s="164"/>
      <c r="L984" s="320"/>
      <c r="M984" s="326"/>
      <c r="N984" s="327"/>
      <c r="O984" s="328"/>
      <c r="P984" s="326"/>
      <c r="Q984" s="327"/>
      <c r="R984" s="328"/>
      <c r="S984" s="326"/>
      <c r="T984" s="327"/>
      <c r="U984" s="328"/>
      <c r="V984" s="150"/>
      <c r="W984" s="327"/>
      <c r="X984" s="320"/>
      <c r="Y984" s="201"/>
      <c r="Z984" s="201"/>
      <c r="AA984" s="201"/>
      <c r="AB984" s="17"/>
      <c r="AC984" s="17"/>
      <c r="AD984" s="17"/>
      <c r="AE984" s="17"/>
    </row>
    <row r="985">
      <c r="A985" s="150"/>
      <c r="B985" s="164"/>
      <c r="C985" s="320"/>
      <c r="D985" s="150"/>
      <c r="E985" s="164"/>
      <c r="F985" s="320"/>
      <c r="G985" s="150"/>
      <c r="H985" s="164"/>
      <c r="I985" s="320"/>
      <c r="J985" s="150"/>
      <c r="K985" s="164"/>
      <c r="L985" s="320"/>
      <c r="M985" s="326"/>
      <c r="N985" s="327"/>
      <c r="O985" s="328"/>
      <c r="P985" s="326"/>
      <c r="Q985" s="327"/>
      <c r="R985" s="328"/>
      <c r="S985" s="326"/>
      <c r="T985" s="327"/>
      <c r="U985" s="328"/>
      <c r="V985" s="150"/>
      <c r="W985" s="327"/>
      <c r="X985" s="320"/>
      <c r="Y985" s="201"/>
      <c r="Z985" s="201"/>
      <c r="AA985" s="201"/>
      <c r="AB985" s="17"/>
      <c r="AC985" s="17"/>
      <c r="AD985" s="17"/>
      <c r="AE985" s="17"/>
    </row>
    <row r="986">
      <c r="A986" s="150"/>
      <c r="B986" s="164"/>
      <c r="C986" s="320"/>
      <c r="D986" s="150"/>
      <c r="E986" s="164"/>
      <c r="F986" s="320"/>
      <c r="G986" s="150"/>
      <c r="H986" s="164"/>
      <c r="I986" s="320"/>
      <c r="J986" s="150"/>
      <c r="K986" s="164"/>
      <c r="L986" s="320"/>
      <c r="M986" s="326"/>
      <c r="N986" s="327"/>
      <c r="O986" s="328"/>
      <c r="P986" s="326"/>
      <c r="Q986" s="327"/>
      <c r="R986" s="328"/>
      <c r="S986" s="326"/>
      <c r="T986" s="327"/>
      <c r="U986" s="328"/>
      <c r="V986" s="150"/>
      <c r="W986" s="327"/>
      <c r="X986" s="320"/>
      <c r="Y986" s="201"/>
      <c r="Z986" s="201"/>
      <c r="AA986" s="201"/>
      <c r="AB986" s="17"/>
      <c r="AC986" s="17"/>
      <c r="AD986" s="17"/>
      <c r="AE986" s="17"/>
    </row>
    <row r="987">
      <c r="A987" s="150"/>
      <c r="B987" s="164"/>
      <c r="C987" s="320"/>
      <c r="D987" s="150"/>
      <c r="E987" s="164"/>
      <c r="F987" s="320"/>
      <c r="G987" s="150"/>
      <c r="H987" s="164"/>
      <c r="I987" s="320"/>
      <c r="J987" s="150"/>
      <c r="K987" s="164"/>
      <c r="L987" s="320"/>
      <c r="M987" s="326"/>
      <c r="N987" s="327"/>
      <c r="O987" s="328"/>
      <c r="P987" s="326"/>
      <c r="Q987" s="327"/>
      <c r="R987" s="328"/>
      <c r="S987" s="326"/>
      <c r="T987" s="327"/>
      <c r="U987" s="328"/>
      <c r="V987" s="150"/>
      <c r="W987" s="327"/>
      <c r="X987" s="320"/>
      <c r="Y987" s="201"/>
      <c r="Z987" s="201"/>
      <c r="AA987" s="201"/>
      <c r="AB987" s="17"/>
      <c r="AC987" s="17"/>
      <c r="AD987" s="17"/>
      <c r="AE987" s="17"/>
    </row>
    <row r="988">
      <c r="A988" s="150"/>
      <c r="B988" s="164"/>
      <c r="C988" s="320"/>
      <c r="D988" s="150"/>
      <c r="E988" s="164"/>
      <c r="F988" s="320"/>
      <c r="G988" s="150"/>
      <c r="H988" s="164"/>
      <c r="I988" s="320"/>
      <c r="J988" s="150"/>
      <c r="K988" s="164"/>
      <c r="L988" s="320"/>
      <c r="M988" s="326"/>
      <c r="N988" s="327"/>
      <c r="O988" s="328"/>
      <c r="P988" s="326"/>
      <c r="Q988" s="327"/>
      <c r="R988" s="328"/>
      <c r="S988" s="326"/>
      <c r="T988" s="327"/>
      <c r="U988" s="328"/>
      <c r="V988" s="150"/>
      <c r="W988" s="327"/>
      <c r="X988" s="320"/>
      <c r="Y988" s="201"/>
      <c r="Z988" s="201"/>
      <c r="AA988" s="201"/>
      <c r="AB988" s="17"/>
      <c r="AC988" s="17"/>
      <c r="AD988" s="17"/>
      <c r="AE988" s="17"/>
    </row>
    <row r="989">
      <c r="A989" s="150"/>
      <c r="B989" s="164"/>
      <c r="C989" s="320"/>
      <c r="D989" s="150"/>
      <c r="E989" s="164"/>
      <c r="F989" s="320"/>
      <c r="G989" s="150"/>
      <c r="H989" s="164"/>
      <c r="I989" s="320"/>
      <c r="J989" s="150"/>
      <c r="K989" s="164"/>
      <c r="L989" s="320"/>
      <c r="M989" s="326"/>
      <c r="N989" s="327"/>
      <c r="O989" s="328"/>
      <c r="P989" s="326"/>
      <c r="Q989" s="327"/>
      <c r="R989" s="328"/>
      <c r="S989" s="326"/>
      <c r="T989" s="327"/>
      <c r="U989" s="328"/>
      <c r="V989" s="150"/>
      <c r="W989" s="327"/>
      <c r="X989" s="320"/>
      <c r="Y989" s="201"/>
      <c r="Z989" s="201"/>
      <c r="AA989" s="201"/>
      <c r="AB989" s="17"/>
      <c r="AC989" s="17"/>
      <c r="AD989" s="17"/>
      <c r="AE989" s="17"/>
    </row>
    <row r="990">
      <c r="A990" s="150"/>
      <c r="B990" s="164"/>
      <c r="C990" s="320"/>
      <c r="D990" s="150"/>
      <c r="E990" s="164"/>
      <c r="F990" s="320"/>
      <c r="G990" s="150"/>
      <c r="H990" s="164"/>
      <c r="I990" s="320"/>
      <c r="J990" s="150"/>
      <c r="K990" s="164"/>
      <c r="L990" s="320"/>
      <c r="M990" s="326"/>
      <c r="N990" s="327"/>
      <c r="O990" s="328"/>
      <c r="P990" s="326"/>
      <c r="Q990" s="327"/>
      <c r="R990" s="328"/>
      <c r="S990" s="326"/>
      <c r="T990" s="327"/>
      <c r="U990" s="328"/>
      <c r="V990" s="150"/>
      <c r="W990" s="327"/>
      <c r="X990" s="320"/>
      <c r="Y990" s="201"/>
      <c r="Z990" s="201"/>
      <c r="AA990" s="201"/>
      <c r="AB990" s="17"/>
      <c r="AC990" s="17"/>
      <c r="AD990" s="17"/>
      <c r="AE990" s="17"/>
    </row>
    <row r="991">
      <c r="A991" s="150"/>
      <c r="B991" s="164"/>
      <c r="C991" s="320"/>
      <c r="D991" s="150"/>
      <c r="E991" s="164"/>
      <c r="F991" s="320"/>
      <c r="G991" s="150"/>
      <c r="H991" s="164"/>
      <c r="I991" s="320"/>
      <c r="J991" s="150"/>
      <c r="K991" s="164"/>
      <c r="L991" s="320"/>
      <c r="M991" s="326"/>
      <c r="N991" s="327"/>
      <c r="O991" s="328"/>
      <c r="P991" s="326"/>
      <c r="Q991" s="327"/>
      <c r="R991" s="328"/>
      <c r="S991" s="326"/>
      <c r="T991" s="327"/>
      <c r="U991" s="328"/>
      <c r="V991" s="150"/>
      <c r="W991" s="327"/>
      <c r="X991" s="320"/>
      <c r="Y991" s="201"/>
      <c r="Z991" s="201"/>
      <c r="AA991" s="201"/>
      <c r="AB991" s="17"/>
      <c r="AC991" s="17"/>
      <c r="AD991" s="17"/>
      <c r="AE991" s="17"/>
    </row>
    <row r="992">
      <c r="A992" s="150"/>
      <c r="B992" s="164"/>
      <c r="C992" s="320"/>
      <c r="D992" s="150"/>
      <c r="E992" s="164"/>
      <c r="F992" s="320"/>
      <c r="G992" s="150"/>
      <c r="H992" s="164"/>
      <c r="I992" s="320"/>
      <c r="J992" s="150"/>
      <c r="K992" s="164"/>
      <c r="L992" s="320"/>
      <c r="M992" s="326"/>
      <c r="N992" s="327"/>
      <c r="O992" s="328"/>
      <c r="P992" s="326"/>
      <c r="Q992" s="327"/>
      <c r="R992" s="328"/>
      <c r="S992" s="326"/>
      <c r="T992" s="327"/>
      <c r="U992" s="328"/>
      <c r="V992" s="150"/>
      <c r="W992" s="327"/>
      <c r="X992" s="320"/>
      <c r="Y992" s="201"/>
      <c r="Z992" s="201"/>
      <c r="AA992" s="201"/>
      <c r="AB992" s="17"/>
      <c r="AC992" s="17"/>
      <c r="AD992" s="17"/>
      <c r="AE992" s="17"/>
    </row>
    <row r="993">
      <c r="A993" s="150"/>
      <c r="B993" s="164"/>
      <c r="C993" s="320"/>
      <c r="D993" s="150"/>
      <c r="E993" s="164"/>
      <c r="F993" s="320"/>
      <c r="G993" s="150"/>
      <c r="H993" s="164"/>
      <c r="I993" s="320"/>
      <c r="J993" s="150"/>
      <c r="K993" s="164"/>
      <c r="L993" s="320"/>
      <c r="M993" s="326"/>
      <c r="N993" s="327"/>
      <c r="O993" s="328"/>
      <c r="P993" s="326"/>
      <c r="Q993" s="327"/>
      <c r="R993" s="328"/>
      <c r="S993" s="326"/>
      <c r="T993" s="327"/>
      <c r="U993" s="328"/>
      <c r="V993" s="150"/>
      <c r="W993" s="327"/>
      <c r="X993" s="320"/>
      <c r="Y993" s="201"/>
      <c r="Z993" s="201"/>
      <c r="AA993" s="201"/>
      <c r="AB993" s="17"/>
      <c r="AC993" s="17"/>
      <c r="AD993" s="17"/>
      <c r="AE993" s="17"/>
    </row>
    <row r="994">
      <c r="A994" s="150"/>
      <c r="B994" s="164"/>
      <c r="C994" s="320"/>
      <c r="D994" s="150"/>
      <c r="E994" s="164"/>
      <c r="F994" s="320"/>
      <c r="G994" s="150"/>
      <c r="H994" s="164"/>
      <c r="I994" s="320"/>
      <c r="J994" s="150"/>
      <c r="K994" s="164"/>
      <c r="L994" s="320"/>
      <c r="M994" s="326"/>
      <c r="N994" s="327"/>
      <c r="O994" s="328"/>
      <c r="P994" s="326"/>
      <c r="Q994" s="327"/>
      <c r="R994" s="328"/>
      <c r="S994" s="326"/>
      <c r="T994" s="327"/>
      <c r="U994" s="328"/>
      <c r="V994" s="150"/>
      <c r="W994" s="327"/>
      <c r="X994" s="320"/>
      <c r="Y994" s="201"/>
      <c r="Z994" s="201"/>
      <c r="AA994" s="201"/>
      <c r="AB994" s="17"/>
      <c r="AC994" s="17"/>
      <c r="AD994" s="17"/>
      <c r="AE994" s="17"/>
    </row>
    <row r="995">
      <c r="A995" s="150"/>
      <c r="B995" s="164"/>
      <c r="C995" s="320"/>
      <c r="D995" s="150"/>
      <c r="E995" s="164"/>
      <c r="F995" s="320"/>
      <c r="G995" s="150"/>
      <c r="H995" s="164"/>
      <c r="I995" s="320"/>
      <c r="J995" s="150"/>
      <c r="K995" s="164"/>
      <c r="L995" s="320"/>
      <c r="M995" s="326"/>
      <c r="N995" s="327"/>
      <c r="O995" s="328"/>
      <c r="P995" s="326"/>
      <c r="Q995" s="327"/>
      <c r="R995" s="328"/>
      <c r="S995" s="326"/>
      <c r="T995" s="327"/>
      <c r="U995" s="328"/>
      <c r="V995" s="150"/>
      <c r="W995" s="327"/>
      <c r="X995" s="320"/>
      <c r="Y995" s="201"/>
      <c r="Z995" s="201"/>
      <c r="AA995" s="201"/>
      <c r="AB995" s="17"/>
      <c r="AC995" s="17"/>
      <c r="AD995" s="17"/>
      <c r="AE995" s="17"/>
    </row>
    <row r="996">
      <c r="A996" s="150"/>
      <c r="B996" s="164"/>
      <c r="C996" s="320"/>
      <c r="D996" s="150"/>
      <c r="E996" s="164"/>
      <c r="F996" s="320"/>
      <c r="G996" s="150"/>
      <c r="H996" s="164"/>
      <c r="I996" s="320"/>
      <c r="J996" s="150"/>
      <c r="K996" s="164"/>
      <c r="L996" s="320"/>
      <c r="M996" s="326"/>
      <c r="N996" s="327"/>
      <c r="O996" s="328"/>
      <c r="P996" s="326"/>
      <c r="Q996" s="327"/>
      <c r="R996" s="328"/>
      <c r="S996" s="326"/>
      <c r="T996" s="327"/>
      <c r="U996" s="328"/>
      <c r="V996" s="150"/>
      <c r="W996" s="327"/>
      <c r="X996" s="320"/>
      <c r="Y996" s="201"/>
      <c r="Z996" s="201"/>
      <c r="AA996" s="201"/>
      <c r="AB996" s="17"/>
      <c r="AC996" s="17"/>
      <c r="AD996" s="17"/>
      <c r="AE996" s="17"/>
    </row>
    <row r="997">
      <c r="A997" s="150"/>
      <c r="B997" s="164"/>
      <c r="C997" s="320"/>
      <c r="D997" s="150"/>
      <c r="E997" s="164"/>
      <c r="F997" s="320"/>
      <c r="G997" s="150"/>
      <c r="H997" s="164"/>
      <c r="I997" s="320"/>
      <c r="J997" s="150"/>
      <c r="K997" s="164"/>
      <c r="L997" s="320"/>
      <c r="M997" s="326"/>
      <c r="N997" s="327"/>
      <c r="O997" s="328"/>
      <c r="P997" s="326"/>
      <c r="Q997" s="327"/>
      <c r="R997" s="328"/>
      <c r="S997" s="326"/>
      <c r="T997" s="327"/>
      <c r="U997" s="328"/>
      <c r="V997" s="150"/>
      <c r="W997" s="327"/>
      <c r="X997" s="320"/>
      <c r="Y997" s="201"/>
      <c r="Z997" s="201"/>
      <c r="AA997" s="201"/>
      <c r="AB997" s="17"/>
      <c r="AC997" s="17"/>
      <c r="AD997" s="17"/>
      <c r="AE997" s="17"/>
    </row>
    <row r="998">
      <c r="A998" s="150"/>
      <c r="B998" s="164"/>
      <c r="C998" s="320"/>
      <c r="D998" s="150"/>
      <c r="E998" s="164"/>
      <c r="F998" s="320"/>
      <c r="G998" s="150"/>
      <c r="H998" s="164"/>
      <c r="I998" s="320"/>
      <c r="J998" s="150"/>
      <c r="K998" s="164"/>
      <c r="L998" s="320"/>
      <c r="M998" s="326"/>
      <c r="N998" s="327"/>
      <c r="O998" s="328"/>
      <c r="P998" s="326"/>
      <c r="Q998" s="327"/>
      <c r="R998" s="328"/>
      <c r="S998" s="326"/>
      <c r="T998" s="327"/>
      <c r="U998" s="328"/>
      <c r="V998" s="150"/>
      <c r="W998" s="327"/>
      <c r="X998" s="320"/>
      <c r="Y998" s="201"/>
      <c r="Z998" s="201"/>
      <c r="AA998" s="201"/>
      <c r="AB998" s="17"/>
      <c r="AC998" s="17"/>
      <c r="AD998" s="17"/>
      <c r="AE998" s="17"/>
    </row>
    <row r="999">
      <c r="A999" s="150"/>
      <c r="B999" s="164"/>
      <c r="C999" s="320"/>
      <c r="D999" s="150"/>
      <c r="E999" s="164"/>
      <c r="F999" s="320"/>
      <c r="G999" s="150"/>
      <c r="H999" s="164"/>
      <c r="I999" s="320"/>
      <c r="J999" s="150"/>
      <c r="K999" s="164"/>
      <c r="L999" s="320"/>
      <c r="M999" s="326"/>
      <c r="N999" s="327"/>
      <c r="O999" s="328"/>
      <c r="P999" s="326"/>
      <c r="Q999" s="327"/>
      <c r="R999" s="328"/>
      <c r="S999" s="326"/>
      <c r="T999" s="327"/>
      <c r="U999" s="328"/>
      <c r="V999" s="150"/>
      <c r="W999" s="327"/>
      <c r="X999" s="320"/>
      <c r="Y999" s="201"/>
      <c r="Z999" s="201"/>
      <c r="AA999" s="201"/>
      <c r="AB999" s="17"/>
      <c r="AC999" s="17"/>
      <c r="AD999" s="17"/>
      <c r="AE999" s="17"/>
    </row>
    <row r="1000">
      <c r="A1000" s="150"/>
      <c r="B1000" s="164"/>
      <c r="C1000" s="320"/>
      <c r="D1000" s="150"/>
      <c r="E1000" s="164"/>
      <c r="F1000" s="320"/>
      <c r="G1000" s="150"/>
      <c r="H1000" s="164"/>
      <c r="I1000" s="320"/>
      <c r="J1000" s="150"/>
      <c r="K1000" s="164"/>
      <c r="L1000" s="320"/>
      <c r="M1000" s="326"/>
      <c r="N1000" s="327"/>
      <c r="O1000" s="328"/>
      <c r="P1000" s="326"/>
      <c r="Q1000" s="327"/>
      <c r="R1000" s="328"/>
      <c r="S1000" s="326"/>
      <c r="T1000" s="327"/>
      <c r="U1000" s="328"/>
      <c r="V1000" s="150"/>
      <c r="W1000" s="327"/>
      <c r="X1000" s="320"/>
      <c r="Y1000" s="201"/>
      <c r="Z1000" s="201"/>
      <c r="AA1000" s="201"/>
      <c r="AB1000" s="17"/>
      <c r="AC1000" s="17"/>
      <c r="AD1000" s="17"/>
      <c r="AE1000" s="17"/>
    </row>
    <row r="1001">
      <c r="A1001" s="150"/>
      <c r="B1001" s="164"/>
      <c r="C1001" s="320"/>
      <c r="D1001" s="150"/>
      <c r="E1001" s="164"/>
      <c r="F1001" s="320"/>
      <c r="G1001" s="150"/>
      <c r="H1001" s="164"/>
      <c r="I1001" s="320"/>
      <c r="J1001" s="150"/>
      <c r="K1001" s="164"/>
      <c r="L1001" s="320"/>
      <c r="M1001" s="326"/>
      <c r="N1001" s="327"/>
      <c r="O1001" s="328"/>
      <c r="P1001" s="326"/>
      <c r="Q1001" s="327"/>
      <c r="R1001" s="328"/>
      <c r="S1001" s="326"/>
      <c r="T1001" s="327"/>
      <c r="U1001" s="328"/>
      <c r="V1001" s="150"/>
      <c r="W1001" s="327"/>
      <c r="X1001" s="320"/>
      <c r="Y1001" s="201"/>
      <c r="Z1001" s="201"/>
      <c r="AA1001" s="201"/>
      <c r="AB1001" s="17"/>
      <c r="AC1001" s="17"/>
      <c r="AD1001" s="17"/>
      <c r="AE1001" s="17"/>
    </row>
    <row r="1002">
      <c r="A1002" s="150"/>
      <c r="B1002" s="164"/>
      <c r="C1002" s="320"/>
      <c r="D1002" s="150"/>
      <c r="E1002" s="164"/>
      <c r="F1002" s="320"/>
      <c r="G1002" s="150"/>
      <c r="H1002" s="164"/>
      <c r="I1002" s="320"/>
      <c r="J1002" s="150"/>
      <c r="K1002" s="164"/>
      <c r="L1002" s="320"/>
      <c r="M1002" s="326"/>
      <c r="N1002" s="327"/>
      <c r="O1002" s="328"/>
      <c r="P1002" s="326"/>
      <c r="Q1002" s="327"/>
      <c r="R1002" s="328"/>
      <c r="S1002" s="326"/>
      <c r="T1002" s="327"/>
      <c r="U1002" s="328"/>
      <c r="V1002" s="150"/>
      <c r="W1002" s="327"/>
      <c r="X1002" s="320"/>
      <c r="Y1002" s="150"/>
      <c r="Z1002" s="164"/>
      <c r="AA1002" s="320"/>
      <c r="AB1002" s="17"/>
      <c r="AC1002" s="17"/>
      <c r="AD1002" s="17"/>
      <c r="AE1002" s="17"/>
    </row>
    <row r="1003">
      <c r="A1003" s="150"/>
      <c r="B1003" s="164"/>
      <c r="C1003" s="320"/>
      <c r="D1003" s="150"/>
      <c r="E1003" s="164"/>
      <c r="F1003" s="320"/>
      <c r="G1003" s="150"/>
      <c r="H1003" s="164"/>
      <c r="I1003" s="320"/>
      <c r="J1003" s="150"/>
      <c r="K1003" s="164"/>
      <c r="L1003" s="320"/>
      <c r="M1003" s="326"/>
      <c r="N1003" s="327"/>
      <c r="O1003" s="328"/>
      <c r="P1003" s="326"/>
      <c r="Q1003" s="327"/>
      <c r="R1003" s="328"/>
      <c r="S1003" s="326"/>
      <c r="T1003" s="327"/>
      <c r="U1003" s="328"/>
      <c r="V1003" s="150"/>
      <c r="W1003" s="327"/>
      <c r="X1003" s="320"/>
      <c r="Y1003" s="150"/>
      <c r="Z1003" s="164"/>
      <c r="AA1003" s="320"/>
      <c r="AB1003" s="17"/>
      <c r="AC1003" s="17"/>
      <c r="AD1003" s="17"/>
      <c r="AE1003" s="17"/>
    </row>
    <row r="1004">
      <c r="A1004" s="150"/>
      <c r="B1004" s="164"/>
      <c r="C1004" s="320"/>
      <c r="D1004" s="150"/>
      <c r="E1004" s="164"/>
      <c r="F1004" s="320"/>
      <c r="G1004" s="150"/>
      <c r="H1004" s="164"/>
      <c r="I1004" s="320"/>
      <c r="J1004" s="150"/>
      <c r="K1004" s="164"/>
      <c r="L1004" s="320"/>
      <c r="M1004" s="326"/>
      <c r="N1004" s="327"/>
      <c r="O1004" s="328"/>
      <c r="P1004" s="326"/>
      <c r="Q1004" s="327"/>
      <c r="R1004" s="328"/>
      <c r="S1004" s="326"/>
      <c r="T1004" s="327"/>
      <c r="U1004" s="328"/>
      <c r="V1004" s="150"/>
      <c r="W1004" s="327"/>
      <c r="X1004" s="320"/>
      <c r="Y1004" s="150"/>
      <c r="Z1004" s="164"/>
      <c r="AA1004" s="320"/>
      <c r="AB1004" s="17"/>
      <c r="AC1004" s="17"/>
      <c r="AD1004" s="17"/>
      <c r="AE1004" s="17"/>
    </row>
    <row r="1005">
      <c r="A1005" s="150"/>
      <c r="B1005" s="164"/>
      <c r="C1005" s="320"/>
      <c r="D1005" s="150"/>
      <c r="E1005" s="164"/>
      <c r="F1005" s="320"/>
      <c r="G1005" s="150"/>
      <c r="H1005" s="164"/>
      <c r="I1005" s="320"/>
      <c r="J1005" s="150"/>
      <c r="K1005" s="164"/>
      <c r="L1005" s="320"/>
      <c r="M1005" s="326"/>
      <c r="N1005" s="327"/>
      <c r="O1005" s="328"/>
      <c r="P1005" s="326"/>
      <c r="Q1005" s="327"/>
      <c r="R1005" s="328"/>
      <c r="S1005" s="326"/>
      <c r="T1005" s="327"/>
      <c r="U1005" s="328"/>
      <c r="V1005" s="150"/>
      <c r="W1005" s="327"/>
      <c r="X1005" s="320"/>
      <c r="Y1005" s="150"/>
      <c r="Z1005" s="164"/>
      <c r="AA1005" s="320"/>
      <c r="AB1005" s="17"/>
      <c r="AC1005" s="17"/>
      <c r="AD1005" s="17"/>
      <c r="AE1005" s="17"/>
    </row>
    <row r="1006">
      <c r="A1006" s="150"/>
      <c r="B1006" s="164"/>
      <c r="C1006" s="320"/>
      <c r="D1006" s="150"/>
      <c r="E1006" s="164"/>
      <c r="F1006" s="320"/>
      <c r="G1006" s="150"/>
      <c r="H1006" s="164"/>
      <c r="I1006" s="320"/>
      <c r="J1006" s="150"/>
      <c r="K1006" s="164"/>
      <c r="L1006" s="320"/>
      <c r="M1006" s="326"/>
      <c r="N1006" s="327"/>
      <c r="O1006" s="328"/>
      <c r="P1006" s="326"/>
      <c r="Q1006" s="327"/>
      <c r="R1006" s="328"/>
      <c r="S1006" s="326"/>
      <c r="T1006" s="327"/>
      <c r="U1006" s="328"/>
      <c r="V1006" s="150"/>
      <c r="W1006" s="327"/>
      <c r="X1006" s="320"/>
      <c r="Y1006" s="150"/>
      <c r="Z1006" s="164"/>
      <c r="AA1006" s="320"/>
      <c r="AB1006" s="17"/>
      <c r="AC1006" s="17"/>
      <c r="AD1006" s="17"/>
      <c r="AE1006" s="17"/>
    </row>
    <row r="1007">
      <c r="A1007" s="150"/>
      <c r="B1007" s="164"/>
      <c r="C1007" s="320"/>
      <c r="D1007" s="150"/>
      <c r="E1007" s="164"/>
      <c r="F1007" s="320"/>
      <c r="G1007" s="150"/>
      <c r="H1007" s="164"/>
      <c r="I1007" s="320"/>
      <c r="J1007" s="150"/>
      <c r="K1007" s="164"/>
      <c r="L1007" s="320"/>
      <c r="M1007" s="326"/>
      <c r="N1007" s="327"/>
      <c r="O1007" s="328"/>
      <c r="P1007" s="326"/>
      <c r="Q1007" s="327"/>
      <c r="R1007" s="328"/>
      <c r="S1007" s="326"/>
      <c r="T1007" s="327"/>
      <c r="U1007" s="328"/>
      <c r="V1007" s="150"/>
      <c r="W1007" s="327"/>
      <c r="X1007" s="320"/>
      <c r="Y1007" s="150"/>
      <c r="Z1007" s="164"/>
      <c r="AA1007" s="320"/>
      <c r="AB1007" s="17"/>
      <c r="AC1007" s="17"/>
      <c r="AD1007" s="17"/>
      <c r="AE1007" s="17"/>
    </row>
    <row r="1008">
      <c r="A1008" s="150"/>
      <c r="B1008" s="164"/>
      <c r="C1008" s="320"/>
      <c r="D1008" s="150"/>
      <c r="E1008" s="164"/>
      <c r="F1008" s="320"/>
      <c r="G1008" s="150"/>
      <c r="H1008" s="164"/>
      <c r="I1008" s="320"/>
      <c r="J1008" s="150"/>
      <c r="K1008" s="164"/>
      <c r="L1008" s="320"/>
      <c r="M1008" s="326"/>
      <c r="N1008" s="327"/>
      <c r="O1008" s="328"/>
      <c r="P1008" s="326"/>
      <c r="Q1008" s="327"/>
      <c r="R1008" s="328"/>
      <c r="S1008" s="326"/>
      <c r="T1008" s="327"/>
      <c r="U1008" s="328"/>
      <c r="V1008" s="150"/>
      <c r="W1008" s="327"/>
      <c r="X1008" s="320"/>
      <c r="Y1008" s="150"/>
      <c r="Z1008" s="164"/>
      <c r="AA1008" s="320"/>
      <c r="AB1008" s="17"/>
      <c r="AC1008" s="17"/>
      <c r="AD1008" s="17"/>
      <c r="AE1008" s="17"/>
    </row>
    <row r="1009">
      <c r="A1009" s="150"/>
      <c r="B1009" s="164"/>
      <c r="C1009" s="320"/>
      <c r="D1009" s="150"/>
      <c r="E1009" s="164"/>
      <c r="F1009" s="320"/>
      <c r="G1009" s="150"/>
      <c r="H1009" s="164"/>
      <c r="I1009" s="320"/>
      <c r="J1009" s="150"/>
      <c r="K1009" s="164"/>
      <c r="L1009" s="320"/>
      <c r="M1009" s="326"/>
      <c r="N1009" s="327"/>
      <c r="O1009" s="328"/>
      <c r="P1009" s="326"/>
      <c r="Q1009" s="327"/>
      <c r="R1009" s="328"/>
      <c r="S1009" s="326"/>
      <c r="T1009" s="327"/>
      <c r="U1009" s="328"/>
      <c r="V1009" s="150"/>
      <c r="W1009" s="327"/>
      <c r="X1009" s="320"/>
      <c r="Y1009" s="150"/>
      <c r="Z1009" s="164"/>
      <c r="AA1009" s="320"/>
      <c r="AB1009" s="17"/>
      <c r="AC1009" s="17"/>
      <c r="AD1009" s="17"/>
      <c r="AE1009" s="17"/>
    </row>
    <row r="1010">
      <c r="A1010" s="150"/>
      <c r="B1010" s="164"/>
      <c r="C1010" s="320"/>
      <c r="D1010" s="150"/>
      <c r="E1010" s="164"/>
      <c r="F1010" s="320"/>
      <c r="G1010" s="150"/>
      <c r="H1010" s="164"/>
      <c r="I1010" s="320"/>
      <c r="J1010" s="150"/>
      <c r="K1010" s="164"/>
      <c r="L1010" s="320"/>
      <c r="M1010" s="326"/>
      <c r="N1010" s="327"/>
      <c r="O1010" s="328"/>
      <c r="P1010" s="326"/>
      <c r="Q1010" s="327"/>
      <c r="R1010" s="328"/>
      <c r="S1010" s="326"/>
      <c r="T1010" s="327"/>
      <c r="U1010" s="328"/>
      <c r="V1010" s="150"/>
      <c r="W1010" s="327"/>
      <c r="X1010" s="320"/>
      <c r="Y1010" s="150"/>
      <c r="Z1010" s="164"/>
      <c r="AA1010" s="320"/>
      <c r="AB1010" s="17"/>
      <c r="AC1010" s="17"/>
      <c r="AD1010" s="17"/>
      <c r="AE1010" s="17"/>
    </row>
    <row r="1011">
      <c r="A1011" s="150"/>
      <c r="B1011" s="164"/>
      <c r="C1011" s="320"/>
      <c r="D1011" s="150"/>
      <c r="E1011" s="164"/>
      <c r="F1011" s="320"/>
      <c r="G1011" s="150"/>
      <c r="H1011" s="164"/>
      <c r="I1011" s="320"/>
      <c r="J1011" s="150"/>
      <c r="K1011" s="164"/>
      <c r="L1011" s="320"/>
      <c r="M1011" s="326"/>
      <c r="N1011" s="327"/>
      <c r="O1011" s="328"/>
      <c r="P1011" s="326"/>
      <c r="Q1011" s="327"/>
      <c r="R1011" s="328"/>
      <c r="S1011" s="326"/>
      <c r="T1011" s="327"/>
      <c r="U1011" s="328"/>
      <c r="V1011" s="150"/>
      <c r="W1011" s="327"/>
      <c r="X1011" s="320"/>
      <c r="Y1011" s="150"/>
      <c r="Z1011" s="164"/>
      <c r="AA1011" s="320"/>
      <c r="AB1011" s="17"/>
      <c r="AC1011" s="17"/>
      <c r="AD1011" s="17"/>
      <c r="AE1011" s="17"/>
    </row>
    <row r="1012">
      <c r="A1012" s="150"/>
      <c r="B1012" s="164"/>
      <c r="C1012" s="320"/>
      <c r="D1012" s="150"/>
      <c r="E1012" s="164"/>
      <c r="F1012" s="320"/>
      <c r="G1012" s="150"/>
      <c r="H1012" s="164"/>
      <c r="I1012" s="320"/>
      <c r="J1012" s="150"/>
      <c r="K1012" s="164"/>
      <c r="L1012" s="320"/>
      <c r="M1012" s="326"/>
      <c r="N1012" s="327"/>
      <c r="O1012" s="328"/>
      <c r="P1012" s="326"/>
      <c r="Q1012" s="327"/>
      <c r="R1012" s="328"/>
      <c r="S1012" s="326"/>
      <c r="T1012" s="327"/>
      <c r="U1012" s="328"/>
      <c r="V1012" s="150"/>
      <c r="W1012" s="327"/>
      <c r="X1012" s="320"/>
      <c r="Y1012" s="150"/>
      <c r="Z1012" s="164"/>
      <c r="AA1012" s="320"/>
      <c r="AB1012" s="17"/>
      <c r="AC1012" s="17"/>
      <c r="AD1012" s="17"/>
      <c r="AE1012" s="17"/>
    </row>
    <row r="1013">
      <c r="A1013" s="150"/>
      <c r="B1013" s="164"/>
      <c r="C1013" s="320"/>
      <c r="D1013" s="150"/>
      <c r="E1013" s="164"/>
      <c r="F1013" s="320"/>
      <c r="G1013" s="150"/>
      <c r="H1013" s="164"/>
      <c r="I1013" s="320"/>
      <c r="J1013" s="150"/>
      <c r="K1013" s="164"/>
      <c r="L1013" s="320"/>
      <c r="M1013" s="326"/>
      <c r="N1013" s="327"/>
      <c r="O1013" s="328"/>
      <c r="P1013" s="326"/>
      <c r="Q1013" s="327"/>
      <c r="R1013" s="328"/>
      <c r="S1013" s="326"/>
      <c r="T1013" s="327"/>
      <c r="U1013" s="328"/>
      <c r="V1013" s="150"/>
      <c r="W1013" s="327"/>
      <c r="X1013" s="320"/>
      <c r="Y1013" s="150"/>
      <c r="Z1013" s="164"/>
      <c r="AA1013" s="320"/>
      <c r="AB1013" s="17"/>
      <c r="AC1013" s="17"/>
      <c r="AD1013" s="17"/>
      <c r="AE1013" s="17"/>
    </row>
    <row r="1014">
      <c r="A1014" s="150"/>
      <c r="B1014" s="164"/>
      <c r="C1014" s="320"/>
      <c r="D1014" s="150"/>
      <c r="E1014" s="164"/>
      <c r="F1014" s="320"/>
      <c r="G1014" s="150"/>
      <c r="H1014" s="164"/>
      <c r="I1014" s="320"/>
      <c r="J1014" s="150"/>
      <c r="K1014" s="164"/>
      <c r="L1014" s="320"/>
      <c r="M1014" s="326"/>
      <c r="N1014" s="327"/>
      <c r="O1014" s="328"/>
      <c r="P1014" s="326"/>
      <c r="Q1014" s="327"/>
      <c r="R1014" s="328"/>
      <c r="S1014" s="326"/>
      <c r="T1014" s="327"/>
      <c r="U1014" s="328"/>
      <c r="V1014" s="150"/>
      <c r="W1014" s="327"/>
      <c r="X1014" s="320"/>
      <c r="Y1014" s="150"/>
      <c r="Z1014" s="164"/>
      <c r="AA1014" s="320"/>
      <c r="AB1014" s="17"/>
      <c r="AC1014" s="17"/>
      <c r="AD1014" s="17"/>
      <c r="AE1014" s="17"/>
    </row>
    <row r="1015">
      <c r="A1015" s="150"/>
      <c r="B1015" s="164"/>
      <c r="C1015" s="320"/>
      <c r="D1015" s="150"/>
      <c r="E1015" s="164"/>
      <c r="F1015" s="320"/>
      <c r="G1015" s="150"/>
      <c r="H1015" s="164"/>
      <c r="I1015" s="320"/>
      <c r="J1015" s="150"/>
      <c r="K1015" s="164"/>
      <c r="L1015" s="320"/>
      <c r="M1015" s="326"/>
      <c r="N1015" s="327"/>
      <c r="O1015" s="328"/>
      <c r="P1015" s="326"/>
      <c r="Q1015" s="327"/>
      <c r="R1015" s="328"/>
      <c r="S1015" s="326"/>
      <c r="T1015" s="327"/>
      <c r="U1015" s="328"/>
      <c r="V1015" s="150"/>
      <c r="W1015" s="327"/>
      <c r="X1015" s="320"/>
      <c r="Y1015" s="150"/>
      <c r="Z1015" s="164"/>
      <c r="AA1015" s="320"/>
      <c r="AB1015" s="17"/>
      <c r="AC1015" s="17"/>
      <c r="AD1015" s="17"/>
      <c r="AE1015" s="17"/>
    </row>
  </sheetData>
  <mergeCells count="9">
    <mergeCell ref="V1:X2"/>
    <mergeCell ref="Y1:AA2"/>
    <mergeCell ref="A1:C2"/>
    <mergeCell ref="D1:F2"/>
    <mergeCell ref="G1:I2"/>
    <mergeCell ref="J1:L2"/>
    <mergeCell ref="M1:O2"/>
    <mergeCell ref="P1:R2"/>
    <mergeCell ref="S1:U2"/>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5.25"/>
    <col customWidth="1" min="3" max="3" width="20.5"/>
    <col customWidth="1" min="4" max="4" width="25.25"/>
    <col customWidth="1" min="5" max="5" width="20.5"/>
    <col customWidth="1" min="6" max="6" width="31.38"/>
    <col customWidth="1" min="7" max="7" width="21.38"/>
    <col customWidth="1" min="8" max="8" width="25.5"/>
    <col customWidth="1" min="9" max="9" width="21.38"/>
    <col customWidth="1" min="10" max="10" width="25.5"/>
    <col customWidth="1" min="11" max="11" width="21.38"/>
    <col customWidth="1" min="12" max="12" width="25.5"/>
    <col customWidth="1" min="13" max="13" width="21.38"/>
    <col customWidth="1" min="14" max="14" width="25.5"/>
    <col customWidth="1" min="15" max="15" width="21.38"/>
    <col customWidth="1" min="16" max="16" width="25.5"/>
    <col customWidth="1" min="17" max="17" width="21.38"/>
    <col customWidth="1" min="18" max="18" width="28.88"/>
  </cols>
  <sheetData>
    <row r="1" ht="55.5" customHeight="1">
      <c r="A1" s="57" t="s">
        <v>213</v>
      </c>
      <c r="C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E1" s="57" t="s">
        <v>214</v>
      </c>
      <c r="G1" s="5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I1" s="58"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K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M1" s="5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O1" s="58"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Q1" s="329" t="s">
        <v>216</v>
      </c>
      <c r="S1" s="302"/>
      <c r="T1" s="302"/>
    </row>
    <row r="2" ht="55.5" customHeight="1">
      <c r="S2" s="302"/>
      <c r="T2" s="302"/>
    </row>
    <row r="3">
      <c r="A3" s="330" t="s">
        <v>4391</v>
      </c>
      <c r="B3" s="72" t="s">
        <v>4392</v>
      </c>
      <c r="C3" s="330" t="str">
        <f>IFERROR(__xludf.DUMMYFUNCTION("GOOGLETRANSLATE(A3,""zh-tw"",""ja"")"),"武器プロジェクト")</f>
        <v>武器プロジェクト</v>
      </c>
      <c r="D3" s="72" t="str">
        <f>IFERROR(__xludf.DUMMYFUNCTION("GOOGLETRANSLATE(B3,""zh-tw"",""ja"")"),"武器の属性")</f>
        <v>武器の属性</v>
      </c>
      <c r="E3" s="330" t="s">
        <v>4393</v>
      </c>
      <c r="F3" s="72" t="s">
        <v>4394</v>
      </c>
      <c r="G3" s="330" t="str">
        <f>IFERROR(__xludf.DUMMYFUNCTION("GOOGLETRANSLATE(A3,""zh-tw"",""zh"")"),"武器项目")</f>
        <v>武器项目</v>
      </c>
      <c r="H3" s="72" t="str">
        <f>IFERROR(__xludf.DUMMYFUNCTION("GOOGLETRANSLATE(B3,""zh-tw"",""zh"")"),"武器属性")</f>
        <v>武器属性</v>
      </c>
      <c r="I3" s="331" t="str">
        <f>IFERROR(__xludf.DUMMYFUNCTION("GOOGLETRANSLATE(A3,""zh-tw"",""es-MX"")"),"Proyecto de armas")</f>
        <v>Proyecto de armas</v>
      </c>
      <c r="J3" s="34" t="str">
        <f>IFERROR(__xludf.DUMMYFUNCTION("GOOGLETRANSLATE(B3,""zh-tw"",""es-MX"")"),"atributos del arma")</f>
        <v>atributos del arma</v>
      </c>
      <c r="K3" s="332" t="str">
        <f>IFERROR(__xludf.DUMMYFUNCTION("GOOGLETRANSLATE(A3,""zh-tw"",""KO"")"),"무기 프로젝트")</f>
        <v>무기 프로젝트</v>
      </c>
      <c r="L3" s="69" t="str">
        <f>IFERROR(__xludf.DUMMYFUNCTION("GOOGLETRANSLATE(B3,""zh-tw"",""KO"")"),"무기 속성")</f>
        <v>무기 속성</v>
      </c>
      <c r="M3" s="331" t="str">
        <f>IFERROR(__xludf.DUMMYFUNCTION("GOOGLETRANSLATE(A3,""zh-tw"",""ru"")"),"Проект «Оружие»")</f>
        <v>Проект «Оружие»</v>
      </c>
      <c r="N3" s="34" t="str">
        <f>IFERROR(__xludf.DUMMYFUNCTION("GOOGLETRANSLATE(B3,""zh-tw"",""ru"")"),"Атрибуты оружия")</f>
        <v>Атрибуты оружия</v>
      </c>
      <c r="O3" s="330" t="s">
        <v>4395</v>
      </c>
      <c r="P3" s="72" t="s">
        <v>4396</v>
      </c>
      <c r="Q3" s="333" t="s">
        <v>4397</v>
      </c>
      <c r="R3" s="334" t="s">
        <v>4398</v>
      </c>
      <c r="S3" s="314"/>
      <c r="T3" s="314"/>
    </row>
    <row r="4">
      <c r="A4" s="335" t="s">
        <v>4399</v>
      </c>
      <c r="B4" s="163" t="s">
        <v>4400</v>
      </c>
      <c r="C4" s="336" t="str">
        <f>IFERROR(__xludf.DUMMYFUNCTION("GOOGLETRANSLATE(A4,""zh-tw"",""ja"")"),"握りしめた拳")</f>
        <v>握りしめた拳</v>
      </c>
      <c r="D4" s="319" t="str">
        <f>IFERROR(__xludf.DUMMYFUNCTION("GOOGLETRANSLATE(B4,""zh-tw"",""ja"")"),"物理攻撃：2連続攻撃。最大HPに応じて攻撃力が上昇。")</f>
        <v>物理攻撃：2連続攻撃。最大HPに応じて攻撃力が上昇。</v>
      </c>
      <c r="E4" s="336" t="s">
        <v>4401</v>
      </c>
      <c r="F4" s="319" t="s">
        <v>4402</v>
      </c>
      <c r="G4" s="336" t="str">
        <f>IFERROR(__xludf.DUMMYFUNCTION("GOOGLETRANSLATE(A4,""zh-tw"",""zh"")"),"握紧的拳头")</f>
        <v>握紧的拳头</v>
      </c>
      <c r="H4" s="319" t="str">
        <f>IFERROR(__xludf.DUMMYFUNCTION("GOOGLETRANSLATE(B4,""zh-tw"",""zh"")"),"物攻：2消
攻击依照最大体力增加")</f>
        <v>物攻：2消
攻击依照最大体力增加</v>
      </c>
      <c r="I4" s="337" t="str">
        <f>IFERROR(__xludf.DUMMYFUNCTION("GOOGLETRANSLATE(A4,""zh-tw"",""es-MX"")"),"puño cerrado")</f>
        <v>puño cerrado</v>
      </c>
      <c r="J4" s="164" t="str">
        <f>IFERROR(__xludf.DUMMYFUNCTION("GOOGLETRANSLATE(B4,""zh-tw"",""es-MX"")"),"Ataque físico: Ataque de cadena de 2. El poder de ataque aumenta según los PS máximos.")</f>
        <v>Ataque físico: Ataque de cadena de 2. El poder de ataque aumenta según los PS máximos.</v>
      </c>
      <c r="K4" s="335" t="s">
        <v>4403</v>
      </c>
      <c r="L4" s="163" t="s">
        <v>4404</v>
      </c>
      <c r="M4" s="338" t="str">
        <f>IFERROR(__xludf.DUMMYFUNCTION("GOOGLETRANSLATE(A4,""zh-tw"",""ru"")"),"Сжатый кулак")</f>
        <v>Сжатый кулак</v>
      </c>
      <c r="N4" s="317" t="str">
        <f>IFERROR(__xludf.DUMMYFUNCTION("GOOGLETRANSLATE(B4,""zh-tw"",""ru"")"),"Физическая атака: цепная атака из двух ударов. Сила атаки увеличивается с увеличением максимального запаса здоровья.")</f>
        <v>Физическая атака: цепная атака из двух ударов. Сила атаки увеличивается с увеличением максимального запаса здоровья.</v>
      </c>
      <c r="O4" s="336" t="s">
        <v>4405</v>
      </c>
      <c r="P4" s="319" t="s">
        <v>4406</v>
      </c>
      <c r="Q4" s="339" t="s">
        <v>4407</v>
      </c>
      <c r="R4" s="340" t="s">
        <v>4408</v>
      </c>
      <c r="S4" s="17"/>
      <c r="T4" s="17"/>
    </row>
    <row r="5">
      <c r="A5" s="336" t="s">
        <v>4409</v>
      </c>
      <c r="B5" s="319" t="s">
        <v>4410</v>
      </c>
      <c r="C5" s="336" t="s">
        <v>4411</v>
      </c>
      <c r="D5" s="319" t="str">
        <f>IFERROR(__xludf.DUMMYFUNCTION("GOOGLETRANSLATE(B5,""zh-tw"",""ja"")"),"物理攻撃力: 15")</f>
        <v>物理攻撃力: 15</v>
      </c>
      <c r="E5" s="336" t="s">
        <v>4412</v>
      </c>
      <c r="F5" s="319" t="s">
        <v>4413</v>
      </c>
      <c r="G5" s="336" t="str">
        <f>IFERROR(__xludf.DUMMYFUNCTION("GOOGLETRANSLATE(A5,""zh-tw"",""zh"")"),"硬木剑")</f>
        <v>硬木剑</v>
      </c>
      <c r="H5" s="319" t="str">
        <f>IFERROR(__xludf.DUMMYFUNCTION("GOOGLETRANSLATE(B5,""zh-tw"",""zh"")"),"物攻：15")</f>
        <v>物攻：15</v>
      </c>
      <c r="I5" s="337" t="str">
        <f>IFERROR(__xludf.DUMMYFUNCTION("GOOGLETRANSLATE(A5,""zh-tw"",""es-MX"")"),"espada de madera dura")</f>
        <v>espada de madera dura</v>
      </c>
      <c r="J5" s="164" t="str">
        <f>IFERROR(__xludf.DUMMYFUNCTION("GOOGLETRANSLATE(B5,""zh-tw"",""es-MX"")"),"Ataque físico: 15")</f>
        <v>Ataque físico: 15</v>
      </c>
      <c r="K5" s="336" t="s">
        <v>4414</v>
      </c>
      <c r="L5" s="163" t="s">
        <v>4415</v>
      </c>
      <c r="M5" s="338" t="str">
        <f>IFERROR(__xludf.DUMMYFUNCTION("GOOGLETRANSLATE(A5,""zh-tw"",""ru"")"),"Меч из твердой древесины")</f>
        <v>Меч из твердой древесины</v>
      </c>
      <c r="N5" s="317" t="str">
        <f>IFERROR(__xludf.DUMMYFUNCTION("GOOGLETRANSLATE(B5,""zh-tw"",""ru"")"),"Физическая атака: 15")</f>
        <v>Физическая атака: 15</v>
      </c>
      <c r="O5" s="336" t="s">
        <v>4416</v>
      </c>
      <c r="P5" s="319" t="s">
        <v>4417</v>
      </c>
      <c r="Q5" s="339" t="s">
        <v>4418</v>
      </c>
      <c r="R5" s="340" t="s">
        <v>4419</v>
      </c>
      <c r="S5" s="206"/>
      <c r="T5" s="206"/>
    </row>
    <row r="6">
      <c r="A6" s="336" t="s">
        <v>4420</v>
      </c>
      <c r="B6" s="319" t="s">
        <v>4421</v>
      </c>
      <c r="C6" s="336" t="s">
        <v>4422</v>
      </c>
      <c r="D6" s="319" t="str">
        <f>IFERROR(__xludf.DUMMYFUNCTION("GOOGLETRANSLATE(B6,""zh-tw"",""ja"")"),"物理攻撃力: 14")</f>
        <v>物理攻撃力: 14</v>
      </c>
      <c r="E6" s="336" t="s">
        <v>4423</v>
      </c>
      <c r="F6" s="319" t="s">
        <v>4424</v>
      </c>
      <c r="G6" s="336" t="str">
        <f>IFERROR(__xludf.DUMMYFUNCTION("GOOGLETRANSLATE(A6,""zh-tw"",""zh"")"),"硬木棒")</f>
        <v>硬木棒</v>
      </c>
      <c r="H6" s="319" t="str">
        <f>IFERROR(__xludf.DUMMYFUNCTION("GOOGLETRANSLATE(B6,""zh-tw"",""zh"")"),"物攻：14")</f>
        <v>物攻：14</v>
      </c>
      <c r="I6" s="337" t="str">
        <f>IFERROR(__xludf.DUMMYFUNCTION("GOOGLETRANSLATE(A6,""zh-tw"",""es-MX"")"),"palo de madera dura")</f>
        <v>palo de madera dura</v>
      </c>
      <c r="J6" s="164" t="str">
        <f>IFERROR(__xludf.DUMMYFUNCTION("GOOGLETRANSLATE(B6,""zh-tw"",""es-MX"")"),"Ataque físico: 14")</f>
        <v>Ataque físico: 14</v>
      </c>
      <c r="K6" s="337" t="str">
        <f>IFERROR(__xludf.DUMMYFUNCTION("GOOGLETRANSLATE(A6,""zh-tw"",""KO"")"),"단단한 나무 막대기")</f>
        <v>단단한 나무 막대기</v>
      </c>
      <c r="L6" s="163" t="s">
        <v>4425</v>
      </c>
      <c r="M6" s="338" t="str">
        <f>IFERROR(__xludf.DUMMYFUNCTION("GOOGLETRANSLATE(A6,""zh-tw"",""ru"")"),"палка из твердой древесины")</f>
        <v>палка из твердой древесины</v>
      </c>
      <c r="N6" s="317" t="str">
        <f>IFERROR(__xludf.DUMMYFUNCTION("GOOGLETRANSLATE(B6,""zh-tw"",""ru"")"),"Физическая атака: 14")</f>
        <v>Физическая атака: 14</v>
      </c>
      <c r="O6" s="336" t="s">
        <v>4426</v>
      </c>
      <c r="P6" s="319" t="s">
        <v>4427</v>
      </c>
      <c r="Q6" s="339" t="s">
        <v>4428</v>
      </c>
      <c r="R6" s="340" t="s">
        <v>4429</v>
      </c>
      <c r="S6" s="206"/>
      <c r="T6" s="206"/>
    </row>
    <row r="7">
      <c r="A7" s="336" t="s">
        <v>4430</v>
      </c>
      <c r="B7" s="319" t="s">
        <v>4431</v>
      </c>
      <c r="C7" s="336" t="str">
        <f>IFERROR(__xludf.DUMMYFUNCTION("GOOGLETRANSLATE(A7,""zh-tw"",""ja"")"),"伐採斧")</f>
        <v>伐採斧</v>
      </c>
      <c r="D7" s="319" t="str">
        <f>IFERROR(__xludf.DUMMYFUNCTION("GOOGLETRANSLATE(B7,""zh-tw"",""ja"")"),"物理攻撃力: 24")</f>
        <v>物理攻撃力: 24</v>
      </c>
      <c r="E7" s="336" t="s">
        <v>4432</v>
      </c>
      <c r="F7" s="319" t="s">
        <v>4433</v>
      </c>
      <c r="G7" s="336" t="str">
        <f>IFERROR(__xludf.DUMMYFUNCTION("GOOGLETRANSLATE(A7,""zh-tw"",""zh"")"),"伐木斧")</f>
        <v>伐木斧</v>
      </c>
      <c r="H7" s="319" t="str">
        <f>IFERROR(__xludf.DUMMYFUNCTION("GOOGLETRANSLATE(B7,""zh-tw"",""zh"")"),"物攻：24")</f>
        <v>物攻：24</v>
      </c>
      <c r="I7" s="337" t="str">
        <f>IFERROR(__xludf.DUMMYFUNCTION("GOOGLETRANSLATE(A7,""zh-tw"",""es-MX"")"),"hacha de leñador")</f>
        <v>hacha de leñador</v>
      </c>
      <c r="J7" s="164" t="str">
        <f>IFERROR(__xludf.DUMMYFUNCTION("GOOGLETRANSLATE(B7,""zh-tw"",""es-MX"")"),"Ataque físico: 24")</f>
        <v>Ataque físico: 24</v>
      </c>
      <c r="K7" s="335" t="s">
        <v>4434</v>
      </c>
      <c r="L7" s="163" t="s">
        <v>4435</v>
      </c>
      <c r="M7" s="338" t="str">
        <f>IFERROR(__xludf.DUMMYFUNCTION("GOOGLETRANSLATE(A7,""zh-tw"",""ru"")"),"топор для рубки леса")</f>
        <v>топор для рубки леса</v>
      </c>
      <c r="N7" s="317" t="str">
        <f>IFERROR(__xludf.DUMMYFUNCTION("GOOGLETRANSLATE(B7,""zh-tw"",""ru"")"),"Физическая атака: 24")</f>
        <v>Физическая атака: 24</v>
      </c>
      <c r="O7" s="336" t="s">
        <v>4436</v>
      </c>
      <c r="P7" s="319" t="s">
        <v>4437</v>
      </c>
      <c r="Q7" s="339" t="s">
        <v>4438</v>
      </c>
      <c r="R7" s="340" t="s">
        <v>4439</v>
      </c>
      <c r="S7" s="206"/>
      <c r="T7" s="206"/>
    </row>
    <row r="8">
      <c r="A8" s="336" t="s">
        <v>4440</v>
      </c>
      <c r="B8" s="319" t="s">
        <v>4441</v>
      </c>
      <c r="C8" s="336" t="str">
        <f>IFERROR(__xludf.DUMMYFUNCTION("GOOGLETRANSLATE(A8,""zh-tw"",""ja"")"),"騎士の剣")</f>
        <v>騎士の剣</v>
      </c>
      <c r="D8" s="319" t="str">
        <f>IFERROR(__xludf.DUMMYFUNCTION("GOOGLETRANSLATE(B8,""zh-tw"",""ja"")"),"物理攻撃力：30（条件を満たすと2倍）")</f>
        <v>物理攻撃力：30（条件を満たすと2倍）</v>
      </c>
      <c r="E8" s="336" t="s">
        <v>4008</v>
      </c>
      <c r="F8" s="319" t="s">
        <v>4442</v>
      </c>
      <c r="G8" s="336" t="str">
        <f>IFERROR(__xludf.DUMMYFUNCTION("GOOGLETRANSLATE(A8,""zh-tw"",""zh"")"),"骑士之剑")</f>
        <v>骑士之剑</v>
      </c>
      <c r="H8" s="319" t="str">
        <f>IFERROR(__xludf.DUMMYFUNCTION("GOOGLETRANSLATE(B8,""zh-tw"",""zh"")"),"物攻：30
满足条件后翻倍")</f>
        <v>物攻：30
满足条件后翻倍</v>
      </c>
      <c r="I8" s="337" t="str">
        <f>IFERROR(__xludf.DUMMYFUNCTION("GOOGLETRANSLATE(A8,""zh-tw"",""es-MX"")"),"Espada de caballero")</f>
        <v>Espada de caballero</v>
      </c>
      <c r="J8" s="164" t="str">
        <f>IFERROR(__xludf.DUMMYFUNCTION("GOOGLETRANSLATE(B8,""zh-tw"",""es-MX"")"),"Ataque físico: 30 (Se duplica al cumplir ciertas condiciones)")</f>
        <v>Ataque físico: 30 (Se duplica al cumplir ciertas condiciones)</v>
      </c>
      <c r="K8" s="337" t="str">
        <f>IFERROR(__xludf.DUMMYFUNCTION("GOOGLETRANSLATE(A8,""zh-tw"",""KO"")"),"기사의 검")</f>
        <v>기사의 검</v>
      </c>
      <c r="L8" s="163" t="s">
        <v>4443</v>
      </c>
      <c r="M8" s="338" t="str">
        <f>IFERROR(__xludf.DUMMYFUNCTION("GOOGLETRANSLATE(A8,""zh-tw"",""ru"")"),"Рыцарский меч")</f>
        <v>Рыцарский меч</v>
      </c>
      <c r="N8" s="317" t="str">
        <f>IFERROR(__xludf.DUMMYFUNCTION("GOOGLETRANSLATE(B8,""zh-tw"",""ru"")"),"Физическая атака: 30 (удваивается при выполнении определенных условий)")</f>
        <v>Физическая атака: 30 (удваивается при выполнении определенных условий)</v>
      </c>
      <c r="O8" s="336" t="s">
        <v>4012</v>
      </c>
      <c r="P8" s="319" t="s">
        <v>4444</v>
      </c>
      <c r="Q8" s="339" t="s">
        <v>4445</v>
      </c>
      <c r="R8" s="340" t="s">
        <v>4446</v>
      </c>
      <c r="S8" s="206"/>
      <c r="T8" s="206"/>
    </row>
    <row r="9">
      <c r="A9" s="336" t="s">
        <v>4447</v>
      </c>
      <c r="B9" s="319" t="s">
        <v>4448</v>
      </c>
      <c r="C9" s="336" t="s">
        <v>4449</v>
      </c>
      <c r="D9" s="319" t="str">
        <f>IFERROR(__xludf.DUMMYFUNCTION("GOOGLETRANSLATE(B9,""zh-tw"",""ja"")"),"物理攻撃力: 42")</f>
        <v>物理攻撃力: 42</v>
      </c>
      <c r="E9" s="336" t="s">
        <v>4450</v>
      </c>
      <c r="F9" s="319" t="s">
        <v>4451</v>
      </c>
      <c r="G9" s="336" t="str">
        <f>IFERROR(__xludf.DUMMYFUNCTION("GOOGLETRANSLATE(A9,""zh-tw"",""zh"")"),"兽人的骨釜")</f>
        <v>兽人的骨釜</v>
      </c>
      <c r="H9" s="319" t="str">
        <f>IFERROR(__xludf.DUMMYFUNCTION("GOOGLETRANSLATE(B9,""zh-tw"",""zh"")"),"物攻：42")</f>
        <v>物攻：42</v>
      </c>
      <c r="I9" s="337" t="str">
        <f>IFERROR(__xludf.DUMMYFUNCTION("GOOGLETRANSLATE(A9,""zh-tw"",""es-MX"")"),"Caldero de hueso de orco")</f>
        <v>Caldero de hueso de orco</v>
      </c>
      <c r="J9" s="164" t="str">
        <f>IFERROR(__xludf.DUMMYFUNCTION("GOOGLETRANSLATE(B9,""zh-tw"",""es-MX"")"),"Ataque físico: 42")</f>
        <v>Ataque físico: 42</v>
      </c>
      <c r="K9" s="336" t="s">
        <v>4452</v>
      </c>
      <c r="L9" s="163" t="s">
        <v>4453</v>
      </c>
      <c r="M9" s="338" t="str">
        <f>IFERROR(__xludf.DUMMYFUNCTION("GOOGLETRANSLATE(A9,""zh-tw"",""ru"")"),"Орочий костяной котел")</f>
        <v>Орочий костяной котел</v>
      </c>
      <c r="N9" s="317" t="str">
        <f>IFERROR(__xludf.DUMMYFUNCTION("GOOGLETRANSLATE(B9,""zh-tw"",""ru"")"),"Физическая атака: 42")</f>
        <v>Физическая атака: 42</v>
      </c>
      <c r="O9" s="336" t="s">
        <v>4454</v>
      </c>
      <c r="P9" s="319" t="s">
        <v>4455</v>
      </c>
      <c r="Q9" s="339" t="s">
        <v>4456</v>
      </c>
      <c r="R9" s="340" t="s">
        <v>4457</v>
      </c>
      <c r="S9" s="206"/>
      <c r="T9" s="206"/>
    </row>
    <row r="10">
      <c r="A10" s="337" t="s">
        <v>4458</v>
      </c>
      <c r="B10" s="164" t="s">
        <v>4459</v>
      </c>
      <c r="C10" s="337" t="s">
        <v>4460</v>
      </c>
      <c r="D10" s="324" t="s">
        <v>4461</v>
      </c>
      <c r="E10" s="341" t="s">
        <v>4462</v>
      </c>
      <c r="F10" s="324" t="s">
        <v>4463</v>
      </c>
      <c r="G10" s="336" t="str">
        <f>IFERROR(__xludf.DUMMYFUNCTION("GOOGLETRANSLATE(A10,""zh-tw"",""zh"")"),"怪鸟的羽毛")</f>
        <v>怪鸟的羽毛</v>
      </c>
      <c r="H10" s="319" t="str">
        <f>IFERROR(__xludf.DUMMYFUNCTION("GOOGLETRANSLATE(B10,""zh-tw"",""zh"")"),"物攻：18
旋风斩提升移速
旋风斩进入漂浮状态")</f>
        <v>物攻：18
旋风斩提升移速
旋风斩进入漂浮状态</v>
      </c>
      <c r="I10" s="337" t="str">
        <f>IFERROR(__xludf.DUMMYFUNCTION("GOOGLETRANSLATE(A10,""zh-tw"",""es-MX"")"),"Las plumas del extraño pájaro")</f>
        <v>Las plumas del extraño pájaro</v>
      </c>
      <c r="J10" s="164" t="str">
        <f>IFERROR(__xludf.DUMMYFUNCTION("GOOGLETRANSLATE(B10,""zh-tw"",""es-MX"")"),"Ataque físico: 18. Golpe Torbellino aumenta la velocidad de movimiento. Golpe Torbellino entra en un estado de levitación.")</f>
        <v>Ataque físico: 18. Golpe Torbellino aumenta la velocidad de movimiento. Golpe Torbellino entra en un estado de levitación.</v>
      </c>
      <c r="K10" s="337" t="str">
        <f>IFERROR(__xludf.DUMMYFUNCTION("GOOGLETRANSLATE(A10,""zh-tw"",""KO"")"),"이상한 새의 깃털")</f>
        <v>이상한 새의 깃털</v>
      </c>
      <c r="L10" s="164" t="str">
        <f>IFERROR(__xludf.DUMMYFUNCTION("GOOGLETRANSLATE(B10,""zh-tw"",""KO"")"),"물리 공격력 : 18 회오리바람 베기 시 이동 속도 증가 회오리바람 베기가 부유 상태로 전환됩니다.")</f>
        <v>물리 공격력 : 18 회오리바람 베기 시 이동 속도 증가 회오리바람 베기가 부유 상태로 전환됩니다.</v>
      </c>
      <c r="M10" s="338" t="str">
        <f>IFERROR(__xludf.DUMMYFUNCTION("GOOGLETRANSLATE(A10,""zh-tw"",""ru"")"),"Перья странной птицы")</f>
        <v>Перья странной птицы</v>
      </c>
      <c r="N10" s="317" t="str">
        <f>IFERROR(__xludf.DUMMYFUNCTION("GOOGLETRANSLATE(B10,""zh-tw"",""ru"")"),"Физическая атака: 18 «Вихревой удар» увеличивает скорость передвижения. «Вихревой удар» переходит в состояние парения.")</f>
        <v>Физическая атака: 18 «Вихревой удар» увеличивает скорость передвижения. «Вихревой удар» переходит в состояние парения.</v>
      </c>
      <c r="O10" s="341" t="s">
        <v>4464</v>
      </c>
      <c r="P10" s="324" t="s">
        <v>4465</v>
      </c>
      <c r="Q10" s="339" t="s">
        <v>4466</v>
      </c>
      <c r="R10" s="340" t="s">
        <v>4467</v>
      </c>
      <c r="S10" s="17"/>
      <c r="T10" s="17"/>
    </row>
    <row r="11">
      <c r="A11" s="336" t="s">
        <v>4468</v>
      </c>
      <c r="B11" s="319" t="s">
        <v>4469</v>
      </c>
      <c r="C11" s="336" t="s">
        <v>4470</v>
      </c>
      <c r="D11" s="319" t="str">
        <f>IFERROR(__xludf.DUMMYFUNCTION("GOOGLETRANSLATE(B11,""zh-tw"",""ja"")"),"物理攻撃: 20 飛び道具を反射する")</f>
        <v>物理攻撃: 20 飛び道具を反射する</v>
      </c>
      <c r="E11" s="336" t="s">
        <v>4471</v>
      </c>
      <c r="F11" s="319" t="s">
        <v>4472</v>
      </c>
      <c r="G11" s="336" t="str">
        <f>IFERROR(__xludf.DUMMYFUNCTION("GOOGLETRANSLATE(A11,""zh-tw"",""zh"")"),"棒球棍")</f>
        <v>棒球棍</v>
      </c>
      <c r="H11" s="319" t="str">
        <f>IFERROR(__xludf.DUMMYFUNCTION("GOOGLETRANSLATE(B11,""zh-tw"",""zh"")"),"物攻：20
反弹抛射物")</f>
        <v>物攻：20
反弹抛射物</v>
      </c>
      <c r="I11" s="337" t="str">
        <f>IFERROR(__xludf.DUMMYFUNCTION("GOOGLETRANSLATE(A11,""zh-tw"",""es-MX"")"),"bate de béisbol")</f>
        <v>bate de béisbol</v>
      </c>
      <c r="J11" s="164" t="str">
        <f>IFERROR(__xludf.DUMMYFUNCTION("GOOGLETRANSLATE(B11,""zh-tw"",""es-MX"")"),"Ataque físico: 20 Refleja proyectiles")</f>
        <v>Ataque físico: 20 Refleja proyectiles</v>
      </c>
      <c r="K11" s="335" t="s">
        <v>4473</v>
      </c>
      <c r="L11" s="163" t="s">
        <v>4474</v>
      </c>
      <c r="M11" s="338" t="str">
        <f>IFERROR(__xludf.DUMMYFUNCTION("GOOGLETRANSLATE(A11,""zh-tw"",""ru"")"),"бейсбольная бита")</f>
        <v>бейсбольная бита</v>
      </c>
      <c r="N11" s="317" t="str">
        <f>IFERROR(__xludf.DUMMYFUNCTION("GOOGLETRANSLATE(B11,""zh-tw"",""ru"")"),"Физическая атака: 20 отражает снаряды")</f>
        <v>Физическая атака: 20 отражает снаряды</v>
      </c>
      <c r="O11" s="336" t="s">
        <v>4475</v>
      </c>
      <c r="P11" s="319" t="s">
        <v>4476</v>
      </c>
      <c r="Q11" s="339" t="s">
        <v>4477</v>
      </c>
      <c r="R11" s="340" t="s">
        <v>4478</v>
      </c>
      <c r="S11" s="206"/>
      <c r="T11" s="206"/>
    </row>
    <row r="12">
      <c r="A12" s="336" t="s">
        <v>4479</v>
      </c>
      <c r="B12" s="319" t="s">
        <v>4480</v>
      </c>
      <c r="C12" s="336" t="s">
        <v>4481</v>
      </c>
      <c r="D12" s="319" t="str">
        <f>IFERROR(__xludf.DUMMYFUNCTION("GOOGLETRANSLATE(B12,""zh-tw"",""ja"")"),"物理攻撃力: 14 悪臭を放つ")</f>
        <v>物理攻撃力: 14 悪臭を放つ</v>
      </c>
      <c r="E12" s="336" t="s">
        <v>4482</v>
      </c>
      <c r="F12" s="319" t="s">
        <v>4483</v>
      </c>
      <c r="G12" s="336" t="str">
        <f>IFERROR(__xludf.DUMMYFUNCTION("GOOGLETRANSLATE(A12,""zh-tw"",""zh"")"),"臭鱼骨")</f>
        <v>臭鱼骨</v>
      </c>
      <c r="H12" s="319" t="str">
        <f>IFERROR(__xludf.DUMMYFUNCTION("GOOGLETRANSLATE(B12,""zh-tw"",""zh"")"),"物攻：14
散发恶臭")</f>
        <v>物攻：14
散发恶臭</v>
      </c>
      <c r="I12" s="337" t="str">
        <f>IFERROR(__xludf.DUMMYFUNCTION("GOOGLETRANSLATE(A12,""zh-tw"",""es-MX"")"),"Huesas de pescado apestosas")</f>
        <v>Huesas de pescado apestosas</v>
      </c>
      <c r="J12" s="164" t="str">
        <f>IFERROR(__xludf.DUMMYFUNCTION("GOOGLETRANSLATE(B12,""zh-tw"",""es-MX"")"),"Ataque físico: 14 Emite un hedor nauseabundo")</f>
        <v>Ataque físico: 14 Emite un hedor nauseabundo</v>
      </c>
      <c r="K12" s="337" t="str">
        <f>IFERROR(__xludf.DUMMYFUNCTION("GOOGLETRANSLATE(A12,""zh-tw"",""KO"")"),"냄새나는 생선 뼈")</f>
        <v>냄새나는 생선 뼈</v>
      </c>
      <c r="L12" s="163" t="s">
        <v>4484</v>
      </c>
      <c r="M12" s="338" t="str">
        <f>IFERROR(__xludf.DUMMYFUNCTION("GOOGLETRANSLATE(A12,""zh-tw"",""ru"")"),"Вонючие рыбьи кости")</f>
        <v>Вонючие рыбьи кости</v>
      </c>
      <c r="N12" s="317" t="str">
        <f>IFERROR(__xludf.DUMMYFUNCTION("GOOGLETRANSLATE(B12,""zh-tw"",""ru"")"),"Физическая атака: 14. Издает неприятный запах.")</f>
        <v>Физическая атака: 14. Издает неприятный запах.</v>
      </c>
      <c r="O12" s="336" t="s">
        <v>4485</v>
      </c>
      <c r="P12" s="319" t="s">
        <v>4486</v>
      </c>
      <c r="Q12" s="339" t="s">
        <v>4487</v>
      </c>
      <c r="R12" s="340" t="s">
        <v>4488</v>
      </c>
      <c r="S12" s="206"/>
      <c r="T12" s="206"/>
    </row>
    <row r="13">
      <c r="A13" s="336" t="s">
        <v>4489</v>
      </c>
      <c r="B13" s="319" t="s">
        <v>4490</v>
      </c>
      <c r="C13" s="336" t="str">
        <f>IFERROR(__xludf.DUMMYFUNCTION("GOOGLETRANSLATE(A13,""zh-tw"",""ja"")"),"かげろう")</f>
        <v>かげろう</v>
      </c>
      <c r="D13" s="319" t="str">
        <f>IFERROR(__xludf.DUMMYFUNCTION("GOOGLETRANSLATE(B13,""zh-tw"",""ja"")"),"物理攻撃力：32
魔法攻撃力：16
火属性")</f>
        <v>物理攻撃力：32
魔法攻撃力：16
火属性</v>
      </c>
      <c r="E13" s="336" t="s">
        <v>4491</v>
      </c>
      <c r="F13" s="319" t="s">
        <v>4492</v>
      </c>
      <c r="G13" s="336" t="str">
        <f>IFERROR(__xludf.DUMMYFUNCTION("GOOGLETRANSLATE(A13,""zh-tw"",""zh"")"),"阳炎")</f>
        <v>阳炎</v>
      </c>
      <c r="H13" s="319" t="str">
        <f>IFERROR(__xludf.DUMMYFUNCTION("GOOGLETRANSLATE(B13,""zh-tw"",""zh"")"),"物攻：32
魔攻：16
炎属性")</f>
        <v>物攻：32
魔攻：16
炎属性</v>
      </c>
      <c r="I13" s="337" t="str">
        <f>IFERROR(__xludf.DUMMYFUNCTION("GOOGLETRANSLATE(A13,""zh-tw"",""es-MX"")"),"kagerou")</f>
        <v>kagerou</v>
      </c>
      <c r="J13" s="164" t="str">
        <f>IFERROR(__xludf.DUMMYFUNCTION("GOOGLETRANSLATE(B13,""zh-tw"",""es-MX"")"),"Ataque físico: 32
Ataque mágico: 16
Atributo de fuego")</f>
        <v>Ataque físico: 32
Ataque mágico: 16
Atributo de fuego</v>
      </c>
      <c r="K13" s="336" t="s">
        <v>4493</v>
      </c>
      <c r="L13" s="163" t="s">
        <v>4494</v>
      </c>
      <c r="M13" s="338" t="str">
        <f>IFERROR(__xludf.DUMMYFUNCTION("GOOGLETRANSLATE(A13,""zh-tw"",""ru"")"),"Кагеро")</f>
        <v>Кагеро</v>
      </c>
      <c r="N13" s="317" t="str">
        <f>IFERROR(__xludf.DUMMYFUNCTION("GOOGLETRANSLATE(B13,""zh-tw"",""ru"")"),"Физическая атака: 32
Магическая атака: 16
Атрибут огня")</f>
        <v>Физическая атака: 32
Магическая атака: 16
Атрибут огня</v>
      </c>
      <c r="O13" s="336" t="s">
        <v>4495</v>
      </c>
      <c r="P13" s="319" t="s">
        <v>4496</v>
      </c>
      <c r="Q13" s="339" t="s">
        <v>4497</v>
      </c>
      <c r="R13" s="340" t="s">
        <v>4498</v>
      </c>
      <c r="S13" s="206"/>
      <c r="T13" s="206"/>
    </row>
    <row r="14">
      <c r="A14" s="336" t="s">
        <v>4499</v>
      </c>
      <c r="B14" s="319" t="s">
        <v>4500</v>
      </c>
      <c r="C14" s="336" t="s">
        <v>4499</v>
      </c>
      <c r="D14" s="319" t="str">
        <f>IFERROR(__xludf.DUMMYFUNCTION("GOOGLETRANSLATE(B14,""zh-tw"",""ja"")"),"物理攻撃力：20
魔法攻撃力：14
氷属性")</f>
        <v>物理攻撃力：20
魔法攻撃力：14
氷属性</v>
      </c>
      <c r="E14" s="336" t="s">
        <v>4501</v>
      </c>
      <c r="F14" s="319" t="s">
        <v>4502</v>
      </c>
      <c r="G14" s="336" t="str">
        <f>IFERROR(__xludf.DUMMYFUNCTION("GOOGLETRANSLATE(A14,""zh-tw"",""zh"")"),"霜月")</f>
        <v>霜月</v>
      </c>
      <c r="H14" s="319" t="str">
        <f>IFERROR(__xludf.DUMMYFUNCTION("GOOGLETRANSLATE(B14,""zh-tw"",""zh"")"),"物攻：20
魔攻：14
冰属性")</f>
        <v>物攻：20
魔攻：14
冰属性</v>
      </c>
      <c r="I14" s="337" t="str">
        <f>IFERROR(__xludf.DUMMYFUNCTION("GOOGLETRANSLATE(A14,""zh-tw"",""es-MX"")"),"luna helada")</f>
        <v>luna helada</v>
      </c>
      <c r="J14" s="164" t="str">
        <f>IFERROR(__xludf.DUMMYFUNCTION("GOOGLETRANSLATE(B14,""zh-tw"",""es-MX"")"),"Ataque físico: 20
Ataque mágico: 14
Atributo de hielo")</f>
        <v>Ataque físico: 20
Ataque mágico: 14
Atributo de hielo</v>
      </c>
      <c r="K14" s="335" t="s">
        <v>4503</v>
      </c>
      <c r="L14" s="163" t="s">
        <v>4504</v>
      </c>
      <c r="M14" s="338" t="str">
        <f>IFERROR(__xludf.DUMMYFUNCTION("GOOGLETRANSLATE(A14,""zh-tw"",""ru"")"),"морозная луна")</f>
        <v>морозная луна</v>
      </c>
      <c r="N14" s="317" t="str">
        <f>IFERROR(__xludf.DUMMYFUNCTION("GOOGLETRANSLATE(B14,""zh-tw"",""ru"")"),"Физическая атака: 20
Магическая атака: 14
Атрибут льда")</f>
        <v>Физическая атака: 20
Магическая атака: 14
Атрибут льда</v>
      </c>
      <c r="O14" s="336" t="s">
        <v>4505</v>
      </c>
      <c r="P14" s="319" t="s">
        <v>4506</v>
      </c>
      <c r="Q14" s="339" t="s">
        <v>4507</v>
      </c>
      <c r="R14" s="340" t="s">
        <v>4508</v>
      </c>
      <c r="S14" s="206"/>
      <c r="T14" s="206"/>
    </row>
    <row r="15">
      <c r="A15" s="336" t="s">
        <v>4509</v>
      </c>
      <c r="B15" s="319" t="s">
        <v>4510</v>
      </c>
      <c r="C15" s="336" t="str">
        <f>IFERROR(__xludf.DUMMYFUNCTION("GOOGLETRANSLATE(A15,""zh-tw"",""ja"")"),"漏電の可能性がある欠陥製品")</f>
        <v>漏電の可能性がある欠陥製品</v>
      </c>
      <c r="D15" s="319" t="str">
        <f>IFERROR(__xludf.DUMMYFUNCTION("GOOGLETRANSLATE(B15,""zh-tw"",""ja"")"),"物理攻撃力：32
魔法攻撃力：12
電撃属性")</f>
        <v>物理攻撃力：32
魔法攻撃力：12
電撃属性</v>
      </c>
      <c r="E15" s="336" t="s">
        <v>4511</v>
      </c>
      <c r="F15" s="319" t="s">
        <v>4512</v>
      </c>
      <c r="G15" s="336" t="str">
        <f>IFERROR(__xludf.DUMMYFUNCTION("GOOGLETRANSLATE(A15,""zh-tw"",""zh"")"),"会漏电的不良品")</f>
        <v>会漏电的不良品</v>
      </c>
      <c r="H15" s="319" t="str">
        <f>IFERROR(__xludf.DUMMYFUNCTION("GOOGLETRANSLATE(B15,""zh-tw"",""zh"")"),"物攻：32
魔攻：12
电属性")</f>
        <v>物攻：32
魔攻：12
电属性</v>
      </c>
      <c r="I15" s="337" t="str">
        <f>IFERROR(__xludf.DUMMYFUNCTION("GOOGLETRANSLATE(A15,""zh-tw"",""es-MX"")"),"Productos defectuosos que pueden tener fugas de electricidad.")</f>
        <v>Productos defectuosos que pueden tener fugas de electricidad.</v>
      </c>
      <c r="J15" s="164" t="str">
        <f>IFERROR(__xludf.DUMMYFUNCTION("GOOGLETRANSLATE(B15,""zh-tw"",""es-MX"")"),"Ataque físico: 32
Ataque mágico: 12
Atributo eléctrico")</f>
        <v>Ataque físico: 32
Ataque mágico: 12
Atributo eléctrico</v>
      </c>
      <c r="K15" s="335" t="s">
        <v>4513</v>
      </c>
      <c r="L15" s="164" t="str">
        <f>IFERROR(__xludf.DUMMYFUNCTION("GOOGLETRANSLATE(B15,""zh-tw"",""KO"")"),"물리 공격력: 32
마법 공격력: 12
전기 속성")</f>
        <v>물리 공격력: 32
마법 공격력: 12
전기 속성</v>
      </c>
      <c r="M15" s="338" t="str">
        <f>IFERROR(__xludf.DUMMYFUNCTION("GOOGLETRANSLATE(A15,""zh-tw"",""ru"")"),"Дефектные изделия, которые могут стать причиной утечки электричества")</f>
        <v>Дефектные изделия, которые могут стать причиной утечки электричества</v>
      </c>
      <c r="N15" s="317" t="str">
        <f>IFERROR(__xludf.DUMMYFUNCTION("GOOGLETRANSLATE(B15,""zh-tw"",""ru"")"),"Физическая атака: 32
Магическая атака: 12
Атрибут электричества")</f>
        <v>Физическая атака: 32
Магическая атака: 12
Атрибут электричества</v>
      </c>
      <c r="O15" s="336" t="s">
        <v>4514</v>
      </c>
      <c r="P15" s="319" t="s">
        <v>4515</v>
      </c>
      <c r="Q15" s="339" t="s">
        <v>4516</v>
      </c>
      <c r="R15" s="340" t="s">
        <v>4517</v>
      </c>
      <c r="S15" s="206"/>
      <c r="T15" s="206"/>
    </row>
    <row r="16">
      <c r="A16" s="336" t="s">
        <v>4518</v>
      </c>
      <c r="B16" s="319" t="s">
        <v>4519</v>
      </c>
      <c r="C16" s="336" t="s">
        <v>4520</v>
      </c>
      <c r="D16" s="319" t="str">
        <f>IFERROR(__xludf.DUMMYFUNCTION("GOOGLETRANSLATE(B16,""zh-tw"",""ja"")"),"物理攻撃：毒属性14")</f>
        <v>物理攻撃：毒属性14</v>
      </c>
      <c r="E16" s="336" t="s">
        <v>4521</v>
      </c>
      <c r="F16" s="319" t="s">
        <v>4522</v>
      </c>
      <c r="G16" s="336" t="str">
        <f>IFERROR(__xludf.DUMMYFUNCTION("GOOGLETRANSLATE(A16,""zh-tw"",""zh"")"),"毒孢针")</f>
        <v>毒孢针</v>
      </c>
      <c r="H16" s="319" t="str">
        <f>IFERROR(__xludf.DUMMYFUNCTION("GOOGLETRANSLATE(B16,""zh-tw"",""zh"")"),"物攻：14
毒属性")</f>
        <v>物攻：14
毒属性</v>
      </c>
      <c r="I16" s="337" t="str">
        <f>IFERROR(__xludf.DUMMYFUNCTION("GOOGLETRANSLATE(A16,""zh-tw"",""es-MX"")"),"aguja de esporas venenosas")</f>
        <v>aguja de esporas venenosas</v>
      </c>
      <c r="J16" s="164" t="str">
        <f>IFERROR(__xludf.DUMMYFUNCTION("GOOGLETRANSLATE(B16,""zh-tw"",""es-MX"")"),"Ataque físico: 14 Atributo de veneno")</f>
        <v>Ataque físico: 14 Atributo de veneno</v>
      </c>
      <c r="K16" s="335" t="s">
        <v>4523</v>
      </c>
      <c r="L16" s="164" t="str">
        <f>IFERROR(__xludf.DUMMYFUNCTION("GOOGLETRANSLATE(B16,""zh-tw"",""KO"")"),"물리 공격력: 14 독 속성")</f>
        <v>물리 공격력: 14 독 속성</v>
      </c>
      <c r="M16" s="338" t="str">
        <f>IFERROR(__xludf.DUMMYFUNCTION("GOOGLETRANSLATE(A16,""zh-tw"",""ru"")"),"Игла с ядовитыми спорами")</f>
        <v>Игла с ядовитыми спорами</v>
      </c>
      <c r="N16" s="317" t="str">
        <f>IFERROR(__xludf.DUMMYFUNCTION("GOOGLETRANSLATE(B16,""zh-tw"",""ru"")"),"Физическая атака: 14 Атрибут Яда")</f>
        <v>Физическая атака: 14 Атрибут Яда</v>
      </c>
      <c r="O16" s="336" t="s">
        <v>4524</v>
      </c>
      <c r="P16" s="319" t="s">
        <v>4525</v>
      </c>
      <c r="Q16" s="339" t="s">
        <v>4526</v>
      </c>
      <c r="R16" s="340" t="s">
        <v>4527</v>
      </c>
      <c r="S16" s="206"/>
      <c r="T16" s="206"/>
    </row>
    <row r="17">
      <c r="A17" s="336" t="s">
        <v>4528</v>
      </c>
      <c r="B17" s="319" t="s">
        <v>4529</v>
      </c>
      <c r="C17" s="336" t="s">
        <v>4530</v>
      </c>
      <c r="D17" s="319" t="str">
        <f>IFERROR(__xludf.DUMMYFUNCTION("GOOGLETRANSLATE(B17,""zh-tw"",""ja"")"),"物理攻撃力：42 分割攻撃")</f>
        <v>物理攻撃力：42 分割攻撃</v>
      </c>
      <c r="E17" s="335" t="s">
        <v>4531</v>
      </c>
      <c r="F17" s="163" t="s">
        <v>4532</v>
      </c>
      <c r="G17" s="336" t="str">
        <f>IFERROR(__xludf.DUMMYFUNCTION("GOOGLETRANSLATE(A17,""zh-tw"",""zh"")"),"柳叶刀")</f>
        <v>柳叶刀</v>
      </c>
      <c r="H17" s="319" t="str">
        <f>IFERROR(__xludf.DUMMYFUNCTION("GOOGLETRANSLATE(B17,""zh-tw"",""zh"")"),"物攻：42
分裂攻击")</f>
        <v>物攻：42
分裂攻击</v>
      </c>
      <c r="I17" s="337" t="str">
        <f>IFERROR(__xludf.DUMMYFUNCTION("GOOGLETRANSLATE(A17,""zh-tw"",""es-MX"")"),"Lanceta")</f>
        <v>Lanceta</v>
      </c>
      <c r="J17" s="164" t="str">
        <f>IFERROR(__xludf.DUMMYFUNCTION("GOOGLETRANSLATE(B17,""zh-tw"",""es-MX"")"),"Ataque físico: 42 Ataque dividido")</f>
        <v>Ataque físico: 42 Ataque dividido</v>
      </c>
      <c r="K17" s="337" t="str">
        <f>IFERROR(__xludf.DUMMYFUNCTION("GOOGLETRANSLATE(A17,""zh-tw"",""KO"")"),"랜싯")</f>
        <v>랜싯</v>
      </c>
      <c r="L17" s="164" t="str">
        <f>IFERROR(__xludf.DUMMYFUNCTION("GOOGLETRANSLATE(B17,""zh-tw"",""KO"")"),"물리 공격: 42 분할 공격")</f>
        <v>물리 공격: 42 분할 공격</v>
      </c>
      <c r="M17" s="338" t="str">
        <f>IFERROR(__xludf.DUMMYFUNCTION("GOOGLETRANSLATE(A17,""zh-tw"",""ru"")"),"Ланцет")</f>
        <v>Ланцет</v>
      </c>
      <c r="N17" s="317" t="str">
        <f>IFERROR(__xludf.DUMMYFUNCTION("GOOGLETRANSLATE(B17,""zh-tw"",""ru"")"),"Физическая атака: 42-я раздельная атака")</f>
        <v>Физическая атака: 42-я раздельная атака</v>
      </c>
      <c r="O17" s="336" t="s">
        <v>4533</v>
      </c>
      <c r="P17" s="319" t="s">
        <v>4534</v>
      </c>
      <c r="Q17" s="339" t="s">
        <v>4535</v>
      </c>
      <c r="R17" s="340" t="s">
        <v>4536</v>
      </c>
      <c r="S17" s="206"/>
      <c r="T17" s="206"/>
    </row>
    <row r="18" ht="49.5" customHeight="1">
      <c r="A18" s="336" t="s">
        <v>4537</v>
      </c>
      <c r="B18" s="319" t="s">
        <v>4538</v>
      </c>
      <c r="C18" s="336" t="s">
        <v>4539</v>
      </c>
      <c r="D18" s="319" t="str">
        <f>IFERROR(__xludf.DUMMYFUNCTION("GOOGLETRANSLATE(B18,""zh-tw"",""ja"")"),"物理攻撃力：48
魔法耐性：20
条件を満たす武器種")</f>
        <v>物理攻撃力：48
魔法耐性：20
条件を満たす武器種</v>
      </c>
      <c r="E18" s="336" t="s">
        <v>4540</v>
      </c>
      <c r="F18" s="319" t="s">
        <v>4541</v>
      </c>
      <c r="G18" s="336" t="str">
        <f>IFERROR(__xludf.DUMMYFUNCTION("GOOGLETRANSLATE(A18,""zh-tw"",""zh"")"),"银辉大剑")</f>
        <v>银辉大剑</v>
      </c>
      <c r="H18" s="319" t="str">
        <f>IFERROR(__xludf.DUMMYFUNCTION("GOOGLETRANSLATE(B18,""zh-tw"",""zh"")"),"物攻：48
魔抗：20
满足条件类型武器")</f>
        <v>物攻：48
魔抗：20
满足条件类型武器</v>
      </c>
      <c r="I18" s="337" t="str">
        <f>IFERROR(__xludf.DUMMYFUNCTION("GOOGLETRANSLATE(A18,""zh-tw"",""es-MX"")"),"Gran espada de plata")</f>
        <v>Gran espada de plata</v>
      </c>
      <c r="J18" s="164" t="str">
        <f>IFERROR(__xludf.DUMMYFUNCTION("GOOGLETRANSLATE(B18,""zh-tw"",""es-MX"")"),"Ataque físico: 48
Resistencia mágica: 20
Tipo de arma que cumpla los requisitos")</f>
        <v>Ataque físico: 48
Resistencia mágica: 20
Tipo de arma que cumpla los requisitos</v>
      </c>
      <c r="K18" s="335" t="s">
        <v>4542</v>
      </c>
      <c r="L18" s="164" t="str">
        <f>IFERROR(__xludf.DUMMYFUNCTION("GOOGLETRANSLATE(B18,""zh-tw"",""KO"")"),"물리 공격력: 48
마법 저항력: 20
조건을 충족하는 무기 종류")</f>
        <v>물리 공격력: 48
마법 저항력: 20
조건을 충족하는 무기 종류</v>
      </c>
      <c r="M18" s="338" t="str">
        <f>IFERROR(__xludf.DUMMYFUNCTION("GOOGLETRANSLATE(A18,""zh-tw"",""ru"")"),"Серебряный большой меч")</f>
        <v>Серебряный большой меч</v>
      </c>
      <c r="N18" s="317" t="str">
        <f>IFERROR(__xludf.DUMMYFUNCTION("GOOGLETRANSLATE(B18,""zh-tw"",""ru"")"),"Физическая атака: 48
Сопротивление магии: 20
Тип оружия, соответствующий требованиям")</f>
        <v>Физическая атака: 48
Сопротивление магии: 20
Тип оружия, соответствующий требованиям</v>
      </c>
      <c r="O18" s="336" t="s">
        <v>4543</v>
      </c>
      <c r="P18" s="319" t="s">
        <v>4544</v>
      </c>
      <c r="Q18" s="339" t="s">
        <v>4545</v>
      </c>
      <c r="R18" s="340" t="s">
        <v>4546</v>
      </c>
      <c r="S18" s="206"/>
      <c r="T18" s="206"/>
    </row>
    <row r="19">
      <c r="A19" s="336" t="s">
        <v>4547</v>
      </c>
      <c r="B19" s="319" t="s">
        <v>4548</v>
      </c>
      <c r="C19" s="336" t="s">
        <v>4549</v>
      </c>
      <c r="D19" s="319" t="str">
        <f>IFERROR(__xludf.DUMMYFUNCTION("GOOGLETRANSLATE(B19,""zh-tw"",""ja"")"),"物理攻撃：1累積ダメージ武器")</f>
        <v>物理攻撃：1累積ダメージ武器</v>
      </c>
      <c r="E19" s="336" t="s">
        <v>4550</v>
      </c>
      <c r="F19" s="319" t="s">
        <v>4551</v>
      </c>
      <c r="G19" s="336" t="str">
        <f>IFERROR(__xludf.DUMMYFUNCTION("GOOGLETRANSLATE(A19,""zh-tw"",""zh"")"),"甜筒大剑")</f>
        <v>甜筒大剑</v>
      </c>
      <c r="H19" s="319" t="str">
        <f>IFERROR(__xludf.DUMMYFUNCTION("GOOGLETRANSLATE(B19,""zh-tw"",""zh"")"),"物攻：1
累计伤害型武器")</f>
        <v>物攻：1
累计伤害型武器</v>
      </c>
      <c r="I19" s="337" t="str">
        <f>IFERROR(__xludf.DUMMYFUNCTION("GOOGLETRANSLATE(A19,""zh-tw"",""es-MX"")"),"Espada de cono de helado")</f>
        <v>Espada de cono de helado</v>
      </c>
      <c r="J19" s="164" t="str">
        <f>IFERROR(__xludf.DUMMYFUNCTION("GOOGLETRANSLATE(B19,""zh-tw"",""es-MX"")"),"Ataque físico: 1 arma de daño acumulativo")</f>
        <v>Ataque físico: 1 arma de daño acumulativo</v>
      </c>
      <c r="K19" s="337" t="str">
        <f>IFERROR(__xludf.DUMMYFUNCTION("GOOGLETRANSLATE(A19,""zh-tw"",""KO"")"),"아이스크림 콘 검")</f>
        <v>아이스크림 콘 검</v>
      </c>
      <c r="L19" s="164" t="str">
        <f>IFERROR(__xludf.DUMMYFUNCTION("GOOGLETRANSLATE(B19,""zh-tw"",""KO"")"),"물리 공격력: 1 누적 데미지 무기")</f>
        <v>물리 공격력: 1 누적 데미지 무기</v>
      </c>
      <c r="M19" s="338" t="str">
        <f>IFERROR(__xludf.DUMMYFUNCTION("GOOGLETRANSLATE(A19,""zh-tw"",""ru"")"),"Меч из рожка мороженого")</f>
        <v>Меч из рожка мороженого</v>
      </c>
      <c r="N19" s="317" t="str">
        <f>IFERROR(__xludf.DUMMYFUNCTION("GOOGLETRANSLATE(B19,""zh-tw"",""ru"")"),"Физическая атака: 1 оружие с кумулятивным уроном")</f>
        <v>Физическая атака: 1 оружие с кумулятивным уроном</v>
      </c>
      <c r="O19" s="336" t="s">
        <v>4552</v>
      </c>
      <c r="P19" s="319" t="s">
        <v>4553</v>
      </c>
      <c r="Q19" s="339" t="s">
        <v>4554</v>
      </c>
      <c r="R19" s="340" t="s">
        <v>4555</v>
      </c>
      <c r="S19" s="206"/>
      <c r="T19" s="206"/>
    </row>
    <row r="20">
      <c r="A20" s="336" t="s">
        <v>4556</v>
      </c>
      <c r="B20" s="319" t="s">
        <v>4557</v>
      </c>
      <c r="C20" s="336" t="s">
        <v>4558</v>
      </c>
      <c r="D20" s="319" t="str">
        <f>IFERROR(__xludf.DUMMYFUNCTION("GOOGLETRANSLATE(B20,""zh-tw"",""ja"")"),"物理攻撃力：20
物理耐性：2
累積ステータスベースの武器")</f>
        <v>物理攻撃力：20
物理耐性：2
累積ステータスベースの武器</v>
      </c>
      <c r="E20" s="336" t="s">
        <v>4559</v>
      </c>
      <c r="F20" s="319" t="s">
        <v>4560</v>
      </c>
      <c r="G20" s="336" t="str">
        <f>IFERROR(__xludf.DUMMYFUNCTION("GOOGLETRANSLATE(A20,""zh-tw"",""zh"")"),"古树残骸")</f>
        <v>古树残骸</v>
      </c>
      <c r="H20" s="319" t="str">
        <f>IFERROR(__xludf.DUMMYFUNCTION("GOOGLETRANSLATE(B20,""zh-tw"",""zh"")"),"物攻：20
物抗：2
累计素质型武器")</f>
        <v>物攻：20
物抗：2
累计素质型武器</v>
      </c>
      <c r="I20" s="337" t="str">
        <f>IFERROR(__xludf.DUMMYFUNCTION("GOOGLETRANSLATE(A20,""zh-tw"",""es-MX"")"),"restos de árboles antiguos")</f>
        <v>restos de árboles antiguos</v>
      </c>
      <c r="J20" s="164" t="str">
        <f>IFERROR(__xludf.DUMMYFUNCTION("GOOGLETRANSLATE(B20,""zh-tw"",""es-MX"")"),"Ataque físico: 20
Resistencia física: 2
Arma con estadísticas acumulativas")</f>
        <v>Ataque físico: 20
Resistencia física: 2
Arma con estadísticas acumulativas</v>
      </c>
      <c r="K20" s="337" t="str">
        <f>IFERROR(__xludf.DUMMYFUNCTION("GOOGLETRANSLATE(A20,""zh-tw"",""KO"")"),"고대 나무 유적")</f>
        <v>고대 나무 유적</v>
      </c>
      <c r="L20" s="164" t="str">
        <f>IFERROR(__xludf.DUMMYFUNCTION("GOOGLETRANSLATE(B20,""zh-tw"",""KO"")"),"물리 공격력: 20
물리 저항력: 2
누적 능력치 기반 무기")</f>
        <v>물리 공격력: 20
물리 저항력: 2
누적 능력치 기반 무기</v>
      </c>
      <c r="M20" s="338" t="str">
        <f>IFERROR(__xludf.DUMMYFUNCTION("GOOGLETRANSLATE(A20,""zh-tw"",""ru"")"),"Останки древних деревьев")</f>
        <v>Останки древних деревьев</v>
      </c>
      <c r="N20" s="317" t="str">
        <f>IFERROR(__xludf.DUMMYFUNCTION("GOOGLETRANSLATE(B20,""zh-tw"",""ru"")"),"Физическая атака: 20
Физическая устойчивость: 2
Оружие, основанное на кумулятивных характеристиках")</f>
        <v>Физическая атака: 20
Физическая устойчивость: 2
Оружие, основанное на кумулятивных характеристиках</v>
      </c>
      <c r="O20" s="336" t="s">
        <v>4561</v>
      </c>
      <c r="P20" s="319" t="s">
        <v>4562</v>
      </c>
      <c r="Q20" s="339" t="s">
        <v>4563</v>
      </c>
      <c r="R20" s="340" t="s">
        <v>4564</v>
      </c>
      <c r="S20" s="206"/>
      <c r="T20" s="206"/>
    </row>
    <row r="21">
      <c r="A21" s="336" t="s">
        <v>4565</v>
      </c>
      <c r="B21" s="319" t="s">
        <v>4566</v>
      </c>
      <c r="C21" s="336" t="s">
        <v>4567</v>
      </c>
      <c r="D21" s="319" t="str">
        <f>IFERROR(__xludf.DUMMYFUNCTION("GOOGLETRANSLATE(B21,""zh-tw"",""ja"")"),"物理攻撃力：40 剣波を発射する")</f>
        <v>物理攻撃力：40 剣波を発射する</v>
      </c>
      <c r="E21" s="336" t="s">
        <v>4568</v>
      </c>
      <c r="F21" s="319" t="s">
        <v>4569</v>
      </c>
      <c r="G21" s="336" t="str">
        <f>IFERROR(__xludf.DUMMYFUNCTION("GOOGLETRANSLATE(A21,""zh-tw"",""zh"")"),"斩裂剑提尔锋")</f>
        <v>斩裂剑提尔锋</v>
      </c>
      <c r="H21" s="319" t="str">
        <f>IFERROR(__xludf.DUMMYFUNCTION("GOOGLETRANSLATE(B21,""zh-tw"",""zh"")"),"物攻：40
发射剑波")</f>
        <v>物攻：40
发射剑波</v>
      </c>
      <c r="I21" s="337" t="str">
        <f>IFERROR(__xludf.DUMMYFUNCTION("GOOGLETRANSLATE(A21,""zh-tw"",""es-MX"")"),"La hoja de la espada cortante, el filo de Tyr")</f>
        <v>La hoja de la espada cortante, el filo de Tyr</v>
      </c>
      <c r="J21" s="164" t="str">
        <f>IFERROR(__xludf.DUMMYFUNCTION("GOOGLETRANSLATE(B21,""zh-tw"",""es-MX"")"),"Ataque físico: 40 Lanza una onda de espada")</f>
        <v>Ataque físico: 40 Lanza una onda de espada</v>
      </c>
      <c r="K21" s="337" t="str">
        <f>IFERROR(__xludf.DUMMYFUNCTION("GOOGLETRANSLATE(A21,""zh-tw"",""KO"")"),"절단검의 칼날, 티르의 칼날")</f>
        <v>절단검의 칼날, 티르의 칼날</v>
      </c>
      <c r="L21" s="164" t="str">
        <f>IFERROR(__xludf.DUMMYFUNCTION("GOOGLETRANSLATE(B21,""zh-tw"",""KO"")"),"물리 공격력 : 40 검파 발사")</f>
        <v>물리 공격력 : 40 검파 발사</v>
      </c>
      <c r="M21" s="338" t="str">
        <f>IFERROR(__xludf.DUMMYFUNCTION("GOOGLETRANSLATE(A21,""zh-tw"",""ru"")"),"Клинок Разрубающего Меча, Лезвие Тира")</f>
        <v>Клинок Разрубающего Меча, Лезвие Тира</v>
      </c>
      <c r="N21" s="317" t="str">
        <f>IFERROR(__xludf.DUMMYFUNCTION("GOOGLETRANSLATE(B21,""zh-tw"",""ru"")"),"Физическая атака: 40. Запускает волну мечом.")</f>
        <v>Физическая атака: 40. Запускает волну мечом.</v>
      </c>
      <c r="O21" s="336" t="s">
        <v>4570</v>
      </c>
      <c r="P21" s="319" t="s">
        <v>4571</v>
      </c>
      <c r="Q21" s="339" t="s">
        <v>4572</v>
      </c>
      <c r="R21" s="340" t="s">
        <v>4573</v>
      </c>
      <c r="S21" s="206"/>
      <c r="T21" s="206"/>
    </row>
    <row r="22">
      <c r="A22" s="336" t="s">
        <v>4574</v>
      </c>
      <c r="B22" s="319" t="s">
        <v>4575</v>
      </c>
      <c r="C22" s="336" t="s">
        <v>4576</v>
      </c>
      <c r="D22" s="319" t="str">
        <f>IFERROR(__xludf.DUMMYFUNCTION("GOOGLETRANSLATE(B22,""zh-tw"",""ja"")"),"物理攻撃：出血30")</f>
        <v>物理攻撃：出血30</v>
      </c>
      <c r="E22" s="336" t="s">
        <v>4577</v>
      </c>
      <c r="F22" s="319" t="s">
        <v>4578</v>
      </c>
      <c r="G22" s="336" t="str">
        <f>IFERROR(__xludf.DUMMYFUNCTION("GOOGLETRANSLATE(A22,""zh-tw"",""zh"")"),"来自地狱")</f>
        <v>来自地狱</v>
      </c>
      <c r="H22" s="319" t="str">
        <f>IFERROR(__xludf.DUMMYFUNCTION("GOOGLETRANSLATE(B22,""zh-tw"",""zh"")"),"物攻：30
出血")</f>
        <v>物攻：30
出血</v>
      </c>
      <c r="I22" s="337" t="str">
        <f>IFERROR(__xludf.DUMMYFUNCTION("GOOGLETRANSLATE(A22,""zh-tw"",""es-MX"")"),"Desde el infierno")</f>
        <v>Desde el infierno</v>
      </c>
      <c r="J22" s="164" t="str">
        <f>IFERROR(__xludf.DUMMYFUNCTION("GOOGLETRANSLATE(B22,""zh-tw"",""es-MX"")"),"Ataque físico: 30 Sangrado")</f>
        <v>Ataque físico: 30 Sangrado</v>
      </c>
      <c r="K22" s="335" t="s">
        <v>4579</v>
      </c>
      <c r="L22" s="164" t="str">
        <f>IFERROR(__xludf.DUMMYFUNCTION("GOOGLETRANSLATE(B22,""zh-tw"",""KO"")"),"물리 공격력: 30 출혈")</f>
        <v>물리 공격력: 30 출혈</v>
      </c>
      <c r="M22" s="338" t="str">
        <f>IFERROR(__xludf.DUMMYFUNCTION("GOOGLETRANSLATE(A22,""zh-tw"",""ru"")"),"Из ада")</f>
        <v>Из ада</v>
      </c>
      <c r="N22" s="317" t="str">
        <f>IFERROR(__xludf.DUMMYFUNCTION("GOOGLETRANSLATE(B22,""zh-tw"",""ru"")"),"Физическая атака: 30 кровотечения")</f>
        <v>Физическая атака: 30 кровотечения</v>
      </c>
      <c r="O22" s="336" t="s">
        <v>4580</v>
      </c>
      <c r="P22" s="319" t="s">
        <v>4581</v>
      </c>
      <c r="Q22" s="339" t="s">
        <v>4582</v>
      </c>
      <c r="R22" s="340" t="s">
        <v>4583</v>
      </c>
      <c r="S22" s="206"/>
      <c r="T22" s="206"/>
    </row>
    <row r="23">
      <c r="A23" s="336" t="s">
        <v>4584</v>
      </c>
      <c r="B23" s="319" t="s">
        <v>4585</v>
      </c>
      <c r="C23" s="336" t="s">
        <v>4586</v>
      </c>
      <c r="D23" s="319" t="str">
        <f>IFERROR(__xludf.DUMMYFUNCTION("GOOGLETRANSLATE(B23,""zh-tw"",""ja"")"),"物理攻撃：ノックダウン回復32")</f>
        <v>物理攻撃：ノックダウン回復32</v>
      </c>
      <c r="E23" s="336" t="s">
        <v>4587</v>
      </c>
      <c r="F23" s="319" t="s">
        <v>4588</v>
      </c>
      <c r="G23" s="336" t="str">
        <f>IFERROR(__xludf.DUMMYFUNCTION("GOOGLETRANSLATE(A23,""zh-tw"",""zh"")"),"寄生刃")</f>
        <v>寄生刃</v>
      </c>
      <c r="H23" s="319" t="str">
        <f>IFERROR(__xludf.DUMMYFUNCTION("GOOGLETRANSLATE(B23,""zh-tw"",""zh"")"),"物攻：32
击倒回复")</f>
        <v>物攻：32
击倒回复</v>
      </c>
      <c r="I23" s="337" t="str">
        <f>IFERROR(__xludf.DUMMYFUNCTION("GOOGLETRANSLATE(A23,""zh-tw"",""es-MX"")"),"Hoja parásita")</f>
        <v>Hoja parásita</v>
      </c>
      <c r="J23" s="164" t="str">
        <f>IFERROR(__xludf.DUMMYFUNCTION("GOOGLETRANSLATE(B23,""zh-tw"",""es-MX"")"),"Ataque físico: 32 Recuperación tras derribo")</f>
        <v>Ataque físico: 32 Recuperación tras derribo</v>
      </c>
      <c r="K23" s="335" t="s">
        <v>4589</v>
      </c>
      <c r="L23" s="163" t="s">
        <v>4590</v>
      </c>
      <c r="M23" s="338" t="str">
        <f>IFERROR(__xludf.DUMMYFUNCTION("GOOGLETRANSLATE(A23,""zh-tw"",""ru"")"),"Паразитарный клинок")</f>
        <v>Паразитарный клинок</v>
      </c>
      <c r="N23" s="317" t="str">
        <f>IFERROR(__xludf.DUMMYFUNCTION("GOOGLETRANSLATE(B23,""zh-tw"",""ru"")"),"Физическая атака: 32 восстановления после нокдауна")</f>
        <v>Физическая атака: 32 восстановления после нокдауна</v>
      </c>
      <c r="O23" s="336" t="s">
        <v>4591</v>
      </c>
      <c r="P23" s="319" t="s">
        <v>4592</v>
      </c>
      <c r="Q23" s="339" t="s">
        <v>4593</v>
      </c>
      <c r="R23" s="340" t="s">
        <v>4594</v>
      </c>
      <c r="S23" s="206"/>
      <c r="T23" s="206"/>
    </row>
    <row r="24">
      <c r="A24" s="341" t="s">
        <v>4595</v>
      </c>
      <c r="B24" s="324" t="s">
        <v>4596</v>
      </c>
      <c r="C24" s="341" t="s">
        <v>4597</v>
      </c>
      <c r="D24" s="324" t="s">
        <v>4598</v>
      </c>
      <c r="E24" s="341" t="s">
        <v>4599</v>
      </c>
      <c r="F24" s="324" t="s">
        <v>4600</v>
      </c>
      <c r="G24" s="336" t="str">
        <f>IFERROR(__xludf.DUMMYFUNCTION("GOOGLETRANSLATE(A24,""zh-tw"",""zh"")"),"寄坏剑")</f>
        <v>寄坏剑</v>
      </c>
      <c r="H24" s="319" t="str">
        <f>IFERROR(__xludf.DUMMYFUNCTION("GOOGLETRANSLATE(B24,""zh-tw"",""zh"")"),"物攻：36
1.对出血目标增加额外伤害
2.击杀出血状态的目标后，回复血量
(血量允许超量回复，突破生命值上限并且获得霸体)")</f>
        <v>物攻：36
1.对出血目标增加额外伤害
2.击杀出血状态的目标后，回复血量
(血量允许超量回复，突破生命值上限并且获得霸体)</v>
      </c>
      <c r="I24" s="337" t="str">
        <f>IFERROR(__xludf.DUMMYFUNCTION("GOOGLETRANSLATE(A24,""zh-tw"",""es-MX"")"),"Enviar una espada rota")</f>
        <v>Enviar una espada rota</v>
      </c>
      <c r="J24" s="164" t="str">
        <f>IFERROR(__xludf.DUMMYFUNCTION("GOOGLETRANSLATE(B24,""zh-tw"",""es-MX"")"),"Ataque físico: 36
1. Inflige daño adicional a los objetivos sangrantes.
2. Restaura salud al derrotar a un objetivo sangrante.
(La salud puede restaurarse en exceso, superando el máximo y otorgando invulnerabilidad).")</f>
        <v>Ataque físico: 36
1. Inflige daño adicional a los objetivos sangrantes.
2. Restaura salud al derrotar a un objetivo sangrante.
(La salud puede restaurarse en exceso, superando el máximo y otorgando invulnerabilidad).</v>
      </c>
      <c r="K24" s="335" t="s">
        <v>4601</v>
      </c>
      <c r="L24" s="164" t="str">
        <f>IFERROR(__xludf.DUMMYFUNCTION("GOOGLETRANSLATE(B24,""zh-tw"",""KO"")"),"물리 공격력: 36
1. 출혈 상태의 대상에게 추가 피해를 입힙니다.
2. 출혈 상태의 대상을 처치하면 체력을 회복합니다.
(체력은 최대 체력을 초과하여 회복될 수 있으며, 무적 상태가 됩니다.)")</f>
        <v>물리 공격력: 36
1. 출혈 상태의 대상에게 추가 피해를 입힙니다.
2. 출혈 상태의 대상을 처치하면 체력을 회복합니다.
(체력은 최대 체력을 초과하여 회복될 수 있으며, 무적 상태가 됩니다.)</v>
      </c>
      <c r="M24" s="338" t="str">
        <f>IFERROR(__xludf.DUMMYFUNCTION("GOOGLETRANSLATE(A24,""zh-tw"",""ru"")"),"Пошли сломанный меч")</f>
        <v>Пошли сломанный меч</v>
      </c>
      <c r="N24" s="317" t="str">
        <f>IFERROR(__xludf.DUMMYFUNCTION("GOOGLETRANSLATE(B24,""zh-tw"",""ru"")"),"Физическая атака: 36
1. Наносит дополнительный урон кровоточащим целям
2. Восстанавливает здоровье после победы над кровоточащей целью
(Здоровье может быть восстановлено сверх нормы, превышая максимальный запас здоровья и давая неуязвимость)")</f>
        <v>Физическая атака: 36
1. Наносит дополнительный урон кровоточащим целям
2. Восстанавливает здоровье после победы над кровоточащей целью
(Здоровье может быть восстановлено сверх нормы, превышая максимальный запас здоровья и давая неуязвимость)</v>
      </c>
      <c r="O24" s="341" t="s">
        <v>4602</v>
      </c>
      <c r="P24" s="324" t="s">
        <v>4603</v>
      </c>
      <c r="Q24" s="339" t="s">
        <v>4604</v>
      </c>
      <c r="R24" s="340" t="s">
        <v>4605</v>
      </c>
      <c r="S24" s="206"/>
      <c r="T24" s="206"/>
    </row>
    <row r="25">
      <c r="A25" s="341" t="s">
        <v>4606</v>
      </c>
      <c r="B25" s="324" t="s">
        <v>4607</v>
      </c>
      <c r="C25" s="341" t="s">
        <v>4608</v>
      </c>
      <c r="D25" s="324" t="s">
        <v>4609</v>
      </c>
      <c r="E25" s="341" t="s">
        <v>4610</v>
      </c>
      <c r="F25" s="324" t="s">
        <v>4611</v>
      </c>
      <c r="G25" s="336" t="str">
        <f>IFERROR(__xludf.DUMMYFUNCTION("GOOGLETRANSLATE(A25,""zh-tw"",""zh"")"),"血狩")</f>
        <v>血狩</v>
      </c>
      <c r="H25" s="319" t="str">
        <f>IFERROR(__xludf.DUMMYFUNCTION("GOOGLETRANSLATE(B25,""zh-tw"",""zh"")"),"物攻：26
1.续力可使用穿血箭
2.消耗自身血量提升攻击，击杀目标后回复血量
(血量允许超量回复，突破生命值上限并且获得霸体)")</f>
        <v>物攻：26
1.续力可使用穿血箭
2.消耗自身血量提升攻击，击杀目标后回复血量
(血量允许超量回复，突破生命值上限并且获得霸体)</v>
      </c>
      <c r="I25" s="337" t="str">
        <f>IFERROR(__xludf.DUMMYFUNCTION("GOOGLETRANSLATE(A25,""zh-tw"",""es-MX"")"),"Cacería de sangre")</f>
        <v>Cacería de sangre</v>
      </c>
      <c r="J25" s="164" t="str">
        <f>IFERROR(__xludf.DUMMYFUNCTION("GOOGLETRANSLATE(B25,""zh-tw"",""es-MX"")"),"Ataque físico: 26
1. Puede usar Flecha Perforante tras cargarla.
2. Consume sus propios PV para aumentar el ataque y recupera PV tras derrotar a un objetivo.
(Puede recuperar más PV de los máximos y obtener invulnerabilidad).")</f>
        <v>Ataque físico: 26
1. Puede usar Flecha Perforante tras cargarla.
2. Consume sus propios PV para aumentar el ataque y recupera PV tras derrotar a un objetivo.
(Puede recuperar más PV de los máximos y obtener invulnerabilidad).</v>
      </c>
      <c r="K25" s="337" t="str">
        <f>IFERROR(__xludf.DUMMYFUNCTION("GOOGLETRANSLATE(A25,""zh-tw"",""KO"")"),"블러드 헌트")</f>
        <v>블러드 헌트</v>
      </c>
      <c r="L25" s="164" t="str">
        <f>IFERROR(__xludf.DUMMYFUNCTION("GOOGLETRANSLATE(B25,""zh-tw"",""KO"")"),"물리 공격력: 26
1. 충전 후 피어싱 애로우 사용 가능
2. 자신의 HP를 소모하여 공격력 증가, 대상 처치 시 HP 회복
(HP가 과도하게 회복되어 최대 HP를 초과하고 무적 상태가 될 수 있음)")</f>
        <v>물리 공격력: 26
1. 충전 후 피어싱 애로우 사용 가능
2. 자신의 HP를 소모하여 공격력 증가, 대상 처치 시 HP 회복
(HP가 과도하게 회복되어 최대 HP를 초과하고 무적 상태가 될 수 있음)</v>
      </c>
      <c r="M25" s="338" t="str">
        <f>IFERROR(__xludf.DUMMYFUNCTION("GOOGLETRANSLATE(A25,""zh-tw"",""ru"")"),"Кровавая охота")</f>
        <v>Кровавая охота</v>
      </c>
      <c r="N25" s="317" t="str">
        <f>IFERROR(__xludf.DUMMYFUNCTION("GOOGLETRANSLATE(B25,""zh-tw"",""ru"")"),"Физическая атака: 26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п"&amp;"олучив неуязвимость).")</f>
        <v>Физическая атака: 26
1. Может использовать Пронзающую стрелу после зарядки.
2. Расходует своё здоровье для усиления атаки, восстанавливает здоровье после поражения цели.
(Здоровье может быть восстановлено сверх нормы, превысив максимальное значение и получив неуязвимость).</v>
      </c>
      <c r="O25" s="341" t="s">
        <v>4612</v>
      </c>
      <c r="P25" s="324" t="s">
        <v>4613</v>
      </c>
      <c r="Q25" s="339" t="s">
        <v>4614</v>
      </c>
      <c r="R25" s="340" t="s">
        <v>4615</v>
      </c>
      <c r="S25" s="206"/>
      <c r="T25" s="206"/>
    </row>
    <row r="26">
      <c r="A26" s="336" t="s">
        <v>4616</v>
      </c>
      <c r="B26" s="319" t="s">
        <v>4617</v>
      </c>
      <c r="C26" s="336" t="s">
        <v>4618</v>
      </c>
      <c r="D26" s="319" t="s">
        <v>4619</v>
      </c>
      <c r="E26" s="336" t="s">
        <v>4620</v>
      </c>
      <c r="F26" s="319" t="s">
        <v>4621</v>
      </c>
      <c r="G26" s="336" t="str">
        <f>IFERROR(__xludf.DUMMYFUNCTION("GOOGLETRANSLATE(A26,""zh-tw"",""zh"")"),"荒古荣光")</f>
        <v>荒古荣光</v>
      </c>
      <c r="H26" s="319" t="str">
        <f>IFERROR(__xludf.DUMMYFUNCTION("GOOGLETRANSLATE(B26,""zh-tw"",""zh"")"),"物攻：36
特殊指令强化
*稀有品扭蛋品")</f>
        <v>物攻：36
特殊指令强化
*稀有品扭蛋品</v>
      </c>
      <c r="I26" s="337" t="str">
        <f>IFERROR(__xludf.DUMMYFUNCTION("GOOGLETRANSLATE(A26,""zh-tw"",""es-MX"")"),"Gloria Antigua")</f>
        <v>Gloria Antigua</v>
      </c>
      <c r="J26" s="164" t="str">
        <f>IFERROR(__xludf.DUMMYFUNCTION("GOOGLETRANSLATE(B26,""zh-tw"",""es-MX"")"),"Ataque físico: 36
Mejora de comando especial
*Objeto raro de gacha")</f>
        <v>Ataque físico: 36
Mejora de comando especial
*Objeto raro de gacha</v>
      </c>
      <c r="K26" s="337" t="str">
        <f>IFERROR(__xludf.DUMMYFUNCTION("GOOGLETRANSLATE(A26,""zh-tw"",""KO"")"),"고대의 영광")</f>
        <v>고대의 영광</v>
      </c>
      <c r="L26" s="164" t="str">
        <f>IFERROR(__xludf.DUMMYFUNCTION("GOOGLETRANSLATE(B26,""zh-tw"",""KO"")"),"물리 공격력: 36
특수 커맨드 강화
*레어 가챠 아이템")</f>
        <v>물리 공격력: 36
특수 커맨드 강화
*레어 가챠 아이템</v>
      </c>
      <c r="M26" s="338" t="str">
        <f>IFERROR(__xludf.DUMMYFUNCTION("GOOGLETRANSLATE(A26,""zh-tw"",""ru"")"),"Древняя слава")</f>
        <v>Древняя слава</v>
      </c>
      <c r="N26" s="317" t="str">
        <f>IFERROR(__xludf.DUMMYFUNCTION("GOOGLETRANSLATE(B26,""zh-tw"",""ru"")"),"Физическая атака: 36
Усиление специальной команды
*Редкий предмет Гачи")</f>
        <v>Физическая атака: 36
Усиление специальной команды
*Редкий предмет Гачи</v>
      </c>
      <c r="O26" s="336" t="s">
        <v>4622</v>
      </c>
      <c r="P26" s="319" t="s">
        <v>4623</v>
      </c>
      <c r="Q26" s="339" t="s">
        <v>4624</v>
      </c>
      <c r="R26" s="340" t="s">
        <v>4625</v>
      </c>
      <c r="S26" s="206"/>
      <c r="T26" s="206"/>
    </row>
    <row r="27">
      <c r="A27" s="336" t="s">
        <v>4626</v>
      </c>
      <c r="B27" s="319" t="s">
        <v>4627</v>
      </c>
      <c r="C27" s="336" t="s">
        <v>4628</v>
      </c>
      <c r="D27" s="319" t="str">
        <f>IFERROR(__xludf.DUMMYFUNCTION("GOOGLETRANSLATE(B27,""zh-tw"",""ja"")"),"物理攻撃力：32
魔法攻撃力：36
防御力無視、インビジブルブレード
*レアガチャアイテム")</f>
        <v>物理攻撃力：32
魔法攻撃力：36
防御力無視、インビジブルブレード
*レアガチャアイテム</v>
      </c>
      <c r="E27" s="336" t="s">
        <v>4629</v>
      </c>
      <c r="F27" s="319" t="s">
        <v>4630</v>
      </c>
      <c r="G27" s="336" t="str">
        <f>IFERROR(__xludf.DUMMYFUNCTION("GOOGLETRANSLATE(A27,""zh-tw"",""zh"")"),"克里乌之光")</f>
        <v>克里乌之光</v>
      </c>
      <c r="H27" s="319" t="s">
        <v>4631</v>
      </c>
      <c r="I27" s="337" t="str">
        <f>IFERROR(__xludf.DUMMYFUNCTION("GOOGLETRANSLATE(A27,""zh-tw"",""es-MX"")"),"La luz de Kriu")</f>
        <v>La luz de Kriu</v>
      </c>
      <c r="J27" s="164" t="str">
        <f>IFERROR(__xludf.DUMMYFUNCTION("GOOGLETRANSLATE(B27,""zh-tw"",""es-MX"")"),"Ataque físico: 32
Ataque mágico: 36
Ignora la defensa, Hoja invisible
*Objeto raro de gacha")</f>
        <v>Ataque físico: 32
Ataque mágico: 36
Ignora la defensa, Hoja invisible
*Objeto raro de gacha</v>
      </c>
      <c r="K27" s="337" t="str">
        <f>IFERROR(__xludf.DUMMYFUNCTION("GOOGLETRANSLATE(A27,""zh-tw"",""KO"")"),"크리우의 빛")</f>
        <v>크리우의 빛</v>
      </c>
      <c r="L27" s="164" t="str">
        <f>IFERROR(__xludf.DUMMYFUNCTION("GOOGLETRANSLATE(B27,""zh-tw"",""KO"")"),"물리 공격력: 32
마법 공격력: 36
방어력 무시, 투명 칼날
*레어 가챠 아이템")</f>
        <v>물리 공격력: 32
마법 공격력: 36
방어력 무시, 투명 칼날
*레어 가챠 아이템</v>
      </c>
      <c r="M27" s="338" t="str">
        <f>IFERROR(__xludf.DUMMYFUNCTION("GOOGLETRANSLATE(A27,""zh-tw"",""ru"")"),"Свет Криу")</f>
        <v>Свет Криу</v>
      </c>
      <c r="N27" s="317" t="str">
        <f>IFERROR(__xludf.DUMMYFUNCTION("GOOGLETRANSLATE(B27,""zh-tw"",""ru"")"),"Физическая атака: 32
Магическая атака: 36
Игнорирует защиту, Невидимый клинок
*Редкий предмет Гачи")</f>
        <v>Физическая атака: 32
Магическая атака: 36
Игнорирует защиту, Невидимый клинок
*Редкий предмет Гачи</v>
      </c>
      <c r="O27" s="336" t="s">
        <v>4632</v>
      </c>
      <c r="P27" s="319" t="s">
        <v>4633</v>
      </c>
      <c r="Q27" s="339" t="s">
        <v>4634</v>
      </c>
      <c r="R27" s="340" t="s">
        <v>4635</v>
      </c>
      <c r="S27" s="206"/>
      <c r="T27" s="206"/>
    </row>
    <row r="28">
      <c r="A28" s="336" t="s">
        <v>4636</v>
      </c>
      <c r="B28" s="319" t="s">
        <v>4637</v>
      </c>
      <c r="C28" s="336" t="str">
        <f>IFERROR(__xludf.DUMMYFUNCTION("GOOGLETRANSLATE(A28,""zh-tw"",""ja"")"),"木製の弓")</f>
        <v>木製の弓</v>
      </c>
      <c r="D28" s="319" t="str">
        <f>IFERROR(__xludf.DUMMYFUNCTION("GOOGLETRANSLATE(B28,""zh-tw"",""ja"")"),"物理攻撃力: 20")</f>
        <v>物理攻撃力: 20</v>
      </c>
      <c r="E28" s="336" t="s">
        <v>4638</v>
      </c>
      <c r="F28" s="319" t="s">
        <v>4639</v>
      </c>
      <c r="G28" s="336" t="str">
        <f>IFERROR(__xludf.DUMMYFUNCTION("GOOGLETRANSLATE(A28,""zh-tw"",""zh"")"),"木弓")</f>
        <v>木弓</v>
      </c>
      <c r="H28" s="319" t="str">
        <f>IFERROR(__xludf.DUMMYFUNCTION("GOOGLETRANSLATE(B28,""zh-tw"",""zh"")"),"物攻：20")</f>
        <v>物攻：20</v>
      </c>
      <c r="I28" s="337" t="str">
        <f>IFERROR(__xludf.DUMMYFUNCTION("GOOGLETRANSLATE(A28,""zh-tw"",""es-MX"")"),"arco de madera")</f>
        <v>arco de madera</v>
      </c>
      <c r="J28" s="164" t="str">
        <f>IFERROR(__xludf.DUMMYFUNCTION("GOOGLETRANSLATE(B28,""zh-tw"",""es-MX"")"),"Ataque físico: 20")</f>
        <v>Ataque físico: 20</v>
      </c>
      <c r="K28" s="337" t="str">
        <f>IFERROR(__xludf.DUMMYFUNCTION("GOOGLETRANSLATE(A28,""zh-tw"",""KO"")"),"나무 활")</f>
        <v>나무 활</v>
      </c>
      <c r="L28" s="164" t="str">
        <f>IFERROR(__xludf.DUMMYFUNCTION("GOOGLETRANSLATE(B28,""zh-tw"",""KO"")"),"물리 공격력: 20")</f>
        <v>물리 공격력: 20</v>
      </c>
      <c r="M28" s="338" t="str">
        <f>IFERROR(__xludf.DUMMYFUNCTION("GOOGLETRANSLATE(A28,""zh-tw"",""ru"")"),"деревянный лук")</f>
        <v>деревянный лук</v>
      </c>
      <c r="N28" s="317" t="str">
        <f>IFERROR(__xludf.DUMMYFUNCTION("GOOGLETRANSLATE(B28,""zh-tw"",""ru"")"),"Физическая атака: 20")</f>
        <v>Физическая атака: 20</v>
      </c>
      <c r="O28" s="336" t="s">
        <v>4640</v>
      </c>
      <c r="P28" s="319" t="s">
        <v>4641</v>
      </c>
      <c r="Q28" s="339" t="s">
        <v>4642</v>
      </c>
      <c r="R28" s="340" t="s">
        <v>4643</v>
      </c>
      <c r="S28" s="206"/>
      <c r="T28" s="206"/>
    </row>
    <row r="29">
      <c r="A29" s="336" t="s">
        <v>4644</v>
      </c>
      <c r="B29" s="319" t="s">
        <v>4645</v>
      </c>
      <c r="C29" s="336" t="s">
        <v>4646</v>
      </c>
      <c r="D29" s="319" t="str">
        <f>IFERROR(__xludf.DUMMYFUNCTION("GOOGLETRANSLATE(B29,""zh-tw"",""ja"")"),"物理攻撃：貫通力24")</f>
        <v>物理攻撃：貫通力24</v>
      </c>
      <c r="E29" s="336" t="s">
        <v>4647</v>
      </c>
      <c r="F29" s="319" t="s">
        <v>4648</v>
      </c>
      <c r="G29" s="336" t="str">
        <f>IFERROR(__xludf.DUMMYFUNCTION("GOOGLETRANSLATE(A29,""zh-tw"",""zh"")"),"猎人之弓")</f>
        <v>猎人之弓</v>
      </c>
      <c r="H29" s="319" t="str">
        <f>IFERROR(__xludf.DUMMYFUNCTION("GOOGLETRANSLATE(B29,""zh-tw"",""zh"")"),"物攻：24
穿透")</f>
        <v>物攻：24
穿透</v>
      </c>
      <c r="I29" s="337" t="str">
        <f>IFERROR(__xludf.DUMMYFUNCTION("GOOGLETRANSLATE(A29,""zh-tw"",""es-MX"")"),"Arco de cazador")</f>
        <v>Arco de cazador</v>
      </c>
      <c r="J29" s="164" t="str">
        <f>IFERROR(__xludf.DUMMYFUNCTION("GOOGLETRANSLATE(B29,""zh-tw"",""es-MX"")"),"Ataque físico: 24 de penetración")</f>
        <v>Ataque físico: 24 de penetración</v>
      </c>
      <c r="K29" s="337" t="str">
        <f>IFERROR(__xludf.DUMMYFUNCTION("GOOGLETRANSLATE(A29,""zh-tw"",""KO"")"),"사냥꾼의 활")</f>
        <v>사냥꾼의 활</v>
      </c>
      <c r="L29" s="164" t="str">
        <f>IFERROR(__xludf.DUMMYFUNCTION("GOOGLETRANSLATE(B29,""zh-tw"",""KO"")"),"물리 공격력: 24 관통력")</f>
        <v>물리 공격력: 24 관통력</v>
      </c>
      <c r="M29" s="338" t="str">
        <f>IFERROR(__xludf.DUMMYFUNCTION("GOOGLETRANSLATE(A29,""zh-tw"",""ru"")"),"Лук Охотника")</f>
        <v>Лук Охотника</v>
      </c>
      <c r="N29" s="317" t="str">
        <f>IFERROR(__xludf.DUMMYFUNCTION("GOOGLETRANSLATE(B29,""zh-tw"",""ru"")"),"Физическая атака: 24 Проникновение")</f>
        <v>Физическая атака: 24 Проникновение</v>
      </c>
      <c r="O29" s="336" t="s">
        <v>4649</v>
      </c>
      <c r="P29" s="319" t="s">
        <v>4650</v>
      </c>
      <c r="Q29" s="339" t="s">
        <v>4651</v>
      </c>
      <c r="R29" s="340" t="s">
        <v>4652</v>
      </c>
      <c r="S29" s="206"/>
      <c r="T29" s="206"/>
    </row>
    <row r="30">
      <c r="A30" s="336" t="s">
        <v>4653</v>
      </c>
      <c r="B30" s="319" t="s">
        <v>4654</v>
      </c>
      <c r="C30" s="336" t="s">
        <v>4655</v>
      </c>
      <c r="D30" s="319" t="str">
        <f>IFERROR(__xludf.DUMMYFUNCTION("GOOGLETRANSLATE(B30,""zh-tw"",""ja"")"),"物理攻撃力：18
魔法攻撃力：18
火属性")</f>
        <v>物理攻撃力：18
魔法攻撃力：18
火属性</v>
      </c>
      <c r="E30" s="336" t="s">
        <v>4656</v>
      </c>
      <c r="F30" s="319" t="s">
        <v>4657</v>
      </c>
      <c r="G30" s="336" t="str">
        <f>IFERROR(__xludf.DUMMYFUNCTION("GOOGLETRANSLATE(A30,""zh-tw"",""zh"")"),"火烧云")</f>
        <v>火烧云</v>
      </c>
      <c r="H30" s="319" t="str">
        <f>IFERROR(__xludf.DUMMYFUNCTION("GOOGLETRANSLATE(B30,""zh-tw"",""zh"")"),"物攻：18
魔攻：18
炎属性")</f>
        <v>物攻：18
魔攻：18
炎属性</v>
      </c>
      <c r="I30" s="337" t="str">
        <f>IFERROR(__xludf.DUMMYFUNCTION("GOOGLETRANSLATE(A30,""zh-tw"",""es-MX"")"),"Nubes de fuego")</f>
        <v>Nubes de fuego</v>
      </c>
      <c r="J30" s="164" t="str">
        <f>IFERROR(__xludf.DUMMYFUNCTION("GOOGLETRANSLATE(B30,""zh-tw"",""es-MX"")"),"Ataque físico: 18
Ataque mágico: 18
Atributo de fuego")</f>
        <v>Ataque físico: 18
Ataque mágico: 18
Atributo de fuego</v>
      </c>
      <c r="K30" s="337" t="str">
        <f>IFERROR(__xludf.DUMMYFUNCTION("GOOGLETRANSLATE(A30,""zh-tw"",""KO"")"),"불타는 구름")</f>
        <v>불타는 구름</v>
      </c>
      <c r="L30" s="164" t="str">
        <f>IFERROR(__xludf.DUMMYFUNCTION("GOOGLETRANSLATE(B30,""zh-tw"",""KO"")"),"물리 공격력: 18
마법 공격력: 18
화염 속성")</f>
        <v>물리 공격력: 18
마법 공격력: 18
화염 속성</v>
      </c>
      <c r="M30" s="338" t="str">
        <f>IFERROR(__xludf.DUMMYFUNCTION("GOOGLETRANSLATE(A30,""zh-tw"",""ru"")"),"Огненные облака")</f>
        <v>Огненные облака</v>
      </c>
      <c r="N30" s="317" t="str">
        <f>IFERROR(__xludf.DUMMYFUNCTION("GOOGLETRANSLATE(B30,""zh-tw"",""ru"")"),"Физическая атака: 18
Магическая атака: 18
Атрибут огня")</f>
        <v>Физическая атака: 18
Магическая атака: 18
Атрибут огня</v>
      </c>
      <c r="O30" s="336" t="s">
        <v>4658</v>
      </c>
      <c r="P30" s="319" t="s">
        <v>4659</v>
      </c>
      <c r="Q30" s="339" t="s">
        <v>4660</v>
      </c>
      <c r="R30" s="340" t="s">
        <v>4661</v>
      </c>
      <c r="S30" s="206"/>
      <c r="T30" s="206"/>
    </row>
    <row r="31">
      <c r="A31" s="336" t="s">
        <v>4662</v>
      </c>
      <c r="B31" s="319" t="s">
        <v>4663</v>
      </c>
      <c r="C31" s="336" t="s">
        <v>4662</v>
      </c>
      <c r="D31" s="319" t="str">
        <f>IFERROR(__xludf.DUMMYFUNCTION("GOOGLETRANSLATE(B31,""zh-tw"",""ja"")"),"物理攻撃力：16
魔法攻撃力：16
氷属性")</f>
        <v>物理攻撃力：16
魔法攻撃力：16
氷属性</v>
      </c>
      <c r="E31" s="336" t="s">
        <v>4664</v>
      </c>
      <c r="F31" s="319" t="s">
        <v>4665</v>
      </c>
      <c r="G31" s="336" t="str">
        <f>IFERROR(__xludf.DUMMYFUNCTION("GOOGLETRANSLATE(A31,""zh-tw"",""zh"")"),"雪见")</f>
        <v>雪见</v>
      </c>
      <c r="H31" s="319" t="str">
        <f>IFERROR(__xludf.DUMMYFUNCTION("GOOGLETRANSLATE(B31,""zh-tw"",""zh"")"),"物攻：16
魔攻：16
冰属性")</f>
        <v>物攻：16
魔攻：16
冰属性</v>
      </c>
      <c r="I31" s="337" t="str">
        <f>IFERROR(__xludf.DUMMYFUNCTION("GOOGLETRANSLATE(A31,""zh-tw"",""es-MX"")"),"Xuejian")</f>
        <v>Xuejian</v>
      </c>
      <c r="J31" s="164" t="str">
        <f>IFERROR(__xludf.DUMMYFUNCTION("GOOGLETRANSLATE(B31,""zh-tw"",""es-MX"")"),"Ataque físico: 16
Ataque mágico: 16
Atributo de hielo")</f>
        <v>Ataque físico: 16
Ataque mágico: 16
Atributo de hielo</v>
      </c>
      <c r="K31" s="337" t="str">
        <f>IFERROR(__xludf.DUMMYFUNCTION("GOOGLETRANSLATE(A31,""zh-tw"",""KO"")"),"쉐지안")</f>
        <v>쉐지안</v>
      </c>
      <c r="L31" s="164" t="str">
        <f>IFERROR(__xludf.DUMMYFUNCTION("GOOGLETRANSLATE(B31,""zh-tw"",""KO"")"),"물리 공격력: 16
마법 공격력: 16
얼음 속성")</f>
        <v>물리 공격력: 16
마법 공격력: 16
얼음 속성</v>
      </c>
      <c r="M31" s="338" t="str">
        <f>IFERROR(__xludf.DUMMYFUNCTION("GOOGLETRANSLATE(A31,""zh-tw"",""ru"")"),"Сюэцзянь")</f>
        <v>Сюэцзянь</v>
      </c>
      <c r="N31" s="317" t="str">
        <f>IFERROR(__xludf.DUMMYFUNCTION("GOOGLETRANSLATE(B31,""zh-tw"",""ru"")"),"Физическая атака: 16
Магическая атака: 16
Атрибут льда")</f>
        <v>Физическая атака: 16
Магическая атака: 16
Атрибут льда</v>
      </c>
      <c r="O31" s="336" t="s">
        <v>4666</v>
      </c>
      <c r="P31" s="319" t="s">
        <v>4667</v>
      </c>
      <c r="Q31" s="339" t="s">
        <v>4668</v>
      </c>
      <c r="R31" s="340" t="s">
        <v>4669</v>
      </c>
      <c r="S31" s="206"/>
      <c r="T31" s="206"/>
    </row>
    <row r="32">
      <c r="A32" s="336" t="s">
        <v>4670</v>
      </c>
      <c r="B32" s="319" t="s">
        <v>4671</v>
      </c>
      <c r="C32" s="336" t="str">
        <f>IFERROR(__xludf.DUMMYFUNCTION("GOOGLETRANSLATE(A32,""zh-tw"",""ja"")"),"千鳥")</f>
        <v>千鳥</v>
      </c>
      <c r="D32" s="319" t="str">
        <f>IFERROR(__xludf.DUMMYFUNCTION("GOOGLETRANSLATE(B32,""zh-tw"",""ja"")"),"物理攻撃力：16
魔法攻撃力：16
雷属性")</f>
        <v>物理攻撃力：16
魔法攻撃力：16
雷属性</v>
      </c>
      <c r="E32" s="336" t="s">
        <v>4672</v>
      </c>
      <c r="F32" s="319" t="s">
        <v>4673</v>
      </c>
      <c r="G32" s="336" t="str">
        <f>IFERROR(__xludf.DUMMYFUNCTION("GOOGLETRANSLATE(A32,""zh-tw"",""zh"")"),"千鸟")</f>
        <v>千鸟</v>
      </c>
      <c r="H32" s="319" t="str">
        <f>IFERROR(__xludf.DUMMYFUNCTION("GOOGLETRANSLATE(B32,""zh-tw"",""zh"")"),"物攻：16
魔攻：16
雷属性")</f>
        <v>物攻：16
魔攻：16
雷属性</v>
      </c>
      <c r="I32" s="337" t="str">
        <f>IFERROR(__xludf.DUMMYFUNCTION("GOOGLETRANSLATE(A32,""zh-tw"",""es-MX"")"),"Chidori")</f>
        <v>Chidori</v>
      </c>
      <c r="J32" s="164" t="str">
        <f>IFERROR(__xludf.DUMMYFUNCTION("GOOGLETRANSLATE(B32,""zh-tw"",""es-MX"")"),"Ataque físico: 16
Ataque mágico: 16
Atributo de rayo")</f>
        <v>Ataque físico: 16
Ataque mágico: 16
Atributo de rayo</v>
      </c>
      <c r="K32" s="337" t="str">
        <f>IFERROR(__xludf.DUMMYFUNCTION("GOOGLETRANSLATE(A32,""zh-tw"",""KO"")"),"치도리")</f>
        <v>치도리</v>
      </c>
      <c r="L32" s="164" t="str">
        <f>IFERROR(__xludf.DUMMYFUNCTION("GOOGLETRANSLATE(B32,""zh-tw"",""KO"")"),"물리 공격력: 16
마법 공격력: 16
번개 속성")</f>
        <v>물리 공격력: 16
마법 공격력: 16
번개 속성</v>
      </c>
      <c r="M32" s="338" t="str">
        <f>IFERROR(__xludf.DUMMYFUNCTION("GOOGLETRANSLATE(A32,""zh-tw"",""ru"")"),"Чидори")</f>
        <v>Чидори</v>
      </c>
      <c r="N32" s="317" t="str">
        <f>IFERROR(__xludf.DUMMYFUNCTION("GOOGLETRANSLATE(B32,""zh-tw"",""ru"")"),"Физическая атака: 16
Магическая атака: 16
Атрибут «Молния»")</f>
        <v>Физическая атака: 16
Магическая атака: 16
Атрибут «Молния»</v>
      </c>
      <c r="O32" s="336" t="s">
        <v>4674</v>
      </c>
      <c r="P32" s="319" t="s">
        <v>4675</v>
      </c>
      <c r="Q32" s="339" t="s">
        <v>4676</v>
      </c>
      <c r="R32" s="340" t="s">
        <v>4677</v>
      </c>
      <c r="S32" s="206"/>
      <c r="T32" s="206"/>
    </row>
    <row r="33">
      <c r="A33" s="336" t="s">
        <v>4678</v>
      </c>
      <c r="B33" s="319" t="s">
        <v>4679</v>
      </c>
      <c r="C33" s="336" t="s">
        <v>4680</v>
      </c>
      <c r="D33" s="319" t="str">
        <f>IFERROR(__xludf.DUMMYFUNCTION("GOOGLETRANSLATE(B33,""zh-tw"",""ja"")"),"物理攻撃力：32（連射）")</f>
        <v>物理攻撃力：32（連射）</v>
      </c>
      <c r="E33" s="336" t="s">
        <v>4681</v>
      </c>
      <c r="F33" s="319" t="s">
        <v>4682</v>
      </c>
      <c r="G33" s="336" t="str">
        <f>IFERROR(__xludf.DUMMYFUNCTION("GOOGLETRANSLATE(A33,""zh-tw"",""zh"")"),"三头连弓地狱犬")</f>
        <v>三头连弓地狱犬</v>
      </c>
      <c r="H33" s="319" t="str">
        <f>IFERROR(__xludf.DUMMYFUNCTION("GOOGLETRANSLATE(B33,""zh-tw"",""zh"")"),"物攻：32
连发")</f>
        <v>物攻：32
连发</v>
      </c>
      <c r="I33" s="337" t="str">
        <f>IFERROR(__xludf.DUMMYFUNCTION("GOOGLETRANSLATE(A33,""zh-tw"",""es-MX"")"),"Cerbero de tres cabezas")</f>
        <v>Cerbero de tres cabezas</v>
      </c>
      <c r="J33" s="164" t="str">
        <f>IFERROR(__xludf.DUMMYFUNCTION("GOOGLETRANSLATE(B33,""zh-tw"",""es-MX"")"),"Ataque físico: 32 (Fuego rápido)")</f>
        <v>Ataque físico: 32 (Fuego rápido)</v>
      </c>
      <c r="K33" s="337" t="str">
        <f>IFERROR(__xludf.DUMMYFUNCTION("GOOGLETRANSLATE(A33,""zh-tw"",""KO"")"),"세 개의 머리를 가진 세르베루스")</f>
        <v>세 개의 머리를 가진 세르베루스</v>
      </c>
      <c r="L33" s="164" t="str">
        <f>IFERROR(__xludf.DUMMYFUNCTION("GOOGLETRANSLATE(B33,""zh-tw"",""KO"")"),"물리 공격력: 32 (연사)")</f>
        <v>물리 공격력: 32 (연사)</v>
      </c>
      <c r="M33" s="338" t="str">
        <f>IFERROR(__xludf.DUMMYFUNCTION("GOOGLETRANSLATE(A33,""zh-tw"",""ru"")"),"Трехголовый Цербер")</f>
        <v>Трехголовый Цербер</v>
      </c>
      <c r="N33" s="317" t="str">
        <f>IFERROR(__xludf.DUMMYFUNCTION("GOOGLETRANSLATE(B33,""zh-tw"",""ru"")"),"Физическая атака: 32 (Быстрая стрельба)")</f>
        <v>Физическая атака: 32 (Быстрая стрельба)</v>
      </c>
      <c r="O33" s="336" t="s">
        <v>4683</v>
      </c>
      <c r="P33" s="319" t="s">
        <v>4684</v>
      </c>
      <c r="Q33" s="339" t="s">
        <v>4685</v>
      </c>
      <c r="R33" s="340" t="s">
        <v>4686</v>
      </c>
      <c r="S33" s="206"/>
      <c r="T33" s="206"/>
    </row>
    <row r="34">
      <c r="A34" s="336" t="s">
        <v>4268</v>
      </c>
      <c r="B34" s="319" t="s">
        <v>4687</v>
      </c>
      <c r="C34" s="336" t="str">
        <f>IFERROR(__xludf.DUMMYFUNCTION("GOOGLETRANSLATE(A34,""zh-tw"",""ja"")"),"溶岩の杖")</f>
        <v>溶岩の杖</v>
      </c>
      <c r="D34" s="319" t="str">
        <f>IFERROR(__xludf.DUMMYFUNCTION("GOOGLETRANSLATE(B34,""zh-tw"",""ja"")"),"物理攻撃力：1
魔法攻撃力：86
火属性")</f>
        <v>物理攻撃力：1
魔法攻撃力：86
火属性</v>
      </c>
      <c r="E34" s="336" t="s">
        <v>4272</v>
      </c>
      <c r="F34" s="319" t="s">
        <v>4688</v>
      </c>
      <c r="G34" s="336" t="str">
        <f>IFERROR(__xludf.DUMMYFUNCTION("GOOGLETRANSLATE(A34,""zh-tw"",""zh"")"),"熔岩杖")</f>
        <v>熔岩杖</v>
      </c>
      <c r="H34" s="319" t="str">
        <f>IFERROR(__xludf.DUMMYFUNCTION("GOOGLETRANSLATE(B34,""zh-tw"",""zh"")"),"物攻：1
魔攻：86
炎属性")</f>
        <v>物攻：1
魔攻：86
炎属性</v>
      </c>
      <c r="I34" s="337" t="str">
        <f>IFERROR(__xludf.DUMMYFUNCTION("GOOGLETRANSLATE(A34,""zh-tw"",""es-MX"")"),"Bastón de lava")</f>
        <v>Bastón de lava</v>
      </c>
      <c r="J34" s="164" t="str">
        <f>IFERROR(__xludf.DUMMYFUNCTION("GOOGLETRANSLATE(B34,""zh-tw"",""es-MX"")"),"Ataque físico: 1
Ataque mágico: 86
Atributo de fuego")</f>
        <v>Ataque físico: 1
Ataque mágico: 86
Atributo de fuego</v>
      </c>
      <c r="K34" s="337" t="str">
        <f>IFERROR(__xludf.DUMMYFUNCTION("GOOGLETRANSLATE(A34,""zh-tw"",""KO"")"),"라바 스태프")</f>
        <v>라바 스태프</v>
      </c>
      <c r="L34" s="164" t="str">
        <f>IFERROR(__xludf.DUMMYFUNCTION("GOOGLETRANSLATE(B34,""zh-tw"",""KO"")"),"물리 공격력: 1
마법 공격력: 86
화속성")</f>
        <v>물리 공격력: 1
마법 공격력: 86
화속성</v>
      </c>
      <c r="M34" s="338" t="str">
        <f>IFERROR(__xludf.DUMMYFUNCTION("GOOGLETRANSLATE(A34,""zh-tw"",""ru"")"),"Лавовый посох")</f>
        <v>Лавовый посох</v>
      </c>
      <c r="N34" s="317" t="str">
        <f>IFERROR(__xludf.DUMMYFUNCTION("GOOGLETRANSLATE(B34,""zh-tw"",""ru"")"),"Физическая атака: 1
Магическая атака: 86
Атрибут огня")</f>
        <v>Физическая атака: 1
Магическая атака: 86
Атрибут огня</v>
      </c>
      <c r="O34" s="336" t="s">
        <v>4275</v>
      </c>
      <c r="P34" s="319" t="s">
        <v>4689</v>
      </c>
      <c r="Q34" s="339" t="s">
        <v>4690</v>
      </c>
      <c r="R34" s="340" t="s">
        <v>4691</v>
      </c>
      <c r="S34" s="206"/>
      <c r="T34" s="206"/>
    </row>
    <row r="35">
      <c r="A35" s="336" t="s">
        <v>4692</v>
      </c>
      <c r="B35" s="319" t="s">
        <v>4693</v>
      </c>
      <c r="C35" s="336" t="s">
        <v>4694</v>
      </c>
      <c r="D35" s="319" t="str">
        <f>IFERROR(__xludf.DUMMYFUNCTION("GOOGLETRANSLATE(B35,""zh-tw"",""ja"")"),"物理攻撃: 1 魔法攻撃: 55 氷属性")</f>
        <v>物理攻撃: 1 魔法攻撃: 55 氷属性</v>
      </c>
      <c r="E35" s="336" t="s">
        <v>4695</v>
      </c>
      <c r="F35" s="319" t="s">
        <v>4696</v>
      </c>
      <c r="G35" s="336" t="str">
        <f>IFERROR(__xludf.DUMMYFUNCTION("GOOGLETRANSLATE(A35,""zh-tw"",""zh"")"),"寒冰杖")</f>
        <v>寒冰杖</v>
      </c>
      <c r="H35" s="319" t="str">
        <f>IFERROR(__xludf.DUMMYFUNCTION("GOOGLETRANSLATE(B35,""zh-tw"",""zh"")"),"物攻：1
魔攻：55
冰属性")</f>
        <v>物攻：1
魔攻：55
冰属性</v>
      </c>
      <c r="I35" s="337" t="str">
        <f>IFERROR(__xludf.DUMMYFUNCTION("GOOGLETRANSLATE(A35,""zh-tw"",""es-MX"")"),"Personal de hielo")</f>
        <v>Personal de hielo</v>
      </c>
      <c r="J35" s="164" t="str">
        <f>IFERROR(__xludf.DUMMYFUNCTION("GOOGLETRANSLATE(B35,""zh-tw"",""es-MX"")"),"Ataque físico: 1 Ataque mágico: 55 Atributo de hielo")</f>
        <v>Ataque físico: 1 Ataque mágico: 55 Atributo de hielo</v>
      </c>
      <c r="K35" s="337" t="str">
        <f>IFERROR(__xludf.DUMMYFUNCTION("GOOGLETRANSLATE(A35,""zh-tw"",""KO"")"),"얼음 지팡이")</f>
        <v>얼음 지팡이</v>
      </c>
      <c r="L35" s="164" t="str">
        <f>IFERROR(__xludf.DUMMYFUNCTION("GOOGLETRANSLATE(B35,""zh-tw"",""KO"")"),"물리 공격력: 1 마법 공격력: 55 얼음 속성")</f>
        <v>물리 공격력: 1 마법 공격력: 55 얼음 속성</v>
      </c>
      <c r="M35" s="338" t="str">
        <f>IFERROR(__xludf.DUMMYFUNCTION("GOOGLETRANSLATE(A35,""zh-tw"",""ru"")"),"Ледяной посох")</f>
        <v>Ледяной посох</v>
      </c>
      <c r="N35" s="317" t="str">
        <f>IFERROR(__xludf.DUMMYFUNCTION("GOOGLETRANSLATE(B35,""zh-tw"",""ru"")"),"Физическая атака: 1 Магическая атака: 55 Атрибут льда")</f>
        <v>Физическая атака: 1 Магическая атака: 55 Атрибут льда</v>
      </c>
      <c r="O35" s="336" t="s">
        <v>4697</v>
      </c>
      <c r="P35" s="319" t="s">
        <v>4698</v>
      </c>
      <c r="Q35" s="339" t="s">
        <v>4699</v>
      </c>
      <c r="R35" s="340" t="s">
        <v>4700</v>
      </c>
      <c r="S35" s="206"/>
      <c r="T35" s="206"/>
    </row>
    <row r="36">
      <c r="A36" s="336" t="s">
        <v>4701</v>
      </c>
      <c r="B36" s="319" t="s">
        <v>4702</v>
      </c>
      <c r="C36" s="336" t="str">
        <f>IFERROR(__xludf.DUMMYFUNCTION("GOOGLETRANSLATE(A36,""zh-tw"",""ja"")"),"星空の夜")</f>
        <v>星空の夜</v>
      </c>
      <c r="D36" s="319" t="str">
        <f>IFERROR(__xludf.DUMMYFUNCTION("GOOGLETRANSLATE(B36,""zh-tw"",""ja"")"),"物理攻撃力: 1 魔法攻撃力: 68 ブラックホール")</f>
        <v>物理攻撃力: 1 魔法攻撃力: 68 ブラックホール</v>
      </c>
      <c r="E36" s="336" t="s">
        <v>4703</v>
      </c>
      <c r="F36" s="319" t="s">
        <v>4704</v>
      </c>
      <c r="G36" s="336" t="str">
        <f>IFERROR(__xludf.DUMMYFUNCTION("GOOGLETRANSLATE(A36,""zh-tw"",""zh"")"),"星月夜")</f>
        <v>星月夜</v>
      </c>
      <c r="H36" s="319" t="str">
        <f>IFERROR(__xludf.DUMMYFUNCTION("GOOGLETRANSLATE(B36,""zh-tw"",""zh"")"),"物攻：1
魔攻：68
黑洞")</f>
        <v>物攻：1
魔攻：68
黑洞</v>
      </c>
      <c r="I36" s="337" t="str">
        <f>IFERROR(__xludf.DUMMYFUNCTION("GOOGLETRANSLATE(A36,""zh-tw"",""es-MX"")"),"noche de luna estrellada")</f>
        <v>noche de luna estrellada</v>
      </c>
      <c r="J36" s="164" t="str">
        <f>IFERROR(__xludf.DUMMYFUNCTION("GOOGLETRANSLATE(B36,""zh-tw"",""es-MX"")"),"Ataque físico: 1 Ataque mágico: 68 Agujero negro")</f>
        <v>Ataque físico: 1 Ataque mágico: 68 Agujero negro</v>
      </c>
      <c r="K36" s="337" t="str">
        <f>IFERROR(__xludf.DUMMYFUNCTION("GOOGLETRANSLATE(A36,""zh-tw"",""KO"")"),"별이 빛나는 달밤")</f>
        <v>별이 빛나는 달밤</v>
      </c>
      <c r="L36" s="164" t="str">
        <f>IFERROR(__xludf.DUMMYFUNCTION("GOOGLETRANSLATE(B36,""zh-tw"",""KO"")"),"물리 공격력: 1 마법 공격력: 68 블랙홀")</f>
        <v>물리 공격력: 1 마법 공격력: 68 블랙홀</v>
      </c>
      <c r="M36" s="338" t="str">
        <f>IFERROR(__xludf.DUMMYFUNCTION("GOOGLETRANSLATE(A36,""zh-tw"",""ru"")"),"звездная лунная ночь")</f>
        <v>звездная лунная ночь</v>
      </c>
      <c r="N36" s="317" t="str">
        <f>IFERROR(__xludf.DUMMYFUNCTION("GOOGLETRANSLATE(B36,""zh-tw"",""ru"")"),"Физическая атака: 1 Магическая атака: 68 Черная дыра")</f>
        <v>Физическая атака: 1 Магическая атака: 68 Черная дыра</v>
      </c>
      <c r="O36" s="336" t="s">
        <v>4705</v>
      </c>
      <c r="P36" s="319" t="s">
        <v>4706</v>
      </c>
      <c r="Q36" s="339" t="s">
        <v>4707</v>
      </c>
      <c r="R36" s="340" t="s">
        <v>4708</v>
      </c>
      <c r="S36" s="206"/>
      <c r="T36" s="206"/>
    </row>
    <row r="37">
      <c r="A37" s="336" t="s">
        <v>4709</v>
      </c>
      <c r="B37" s="319" t="s">
        <v>4710</v>
      </c>
      <c r="C37" s="336" t="str">
        <f>IFERROR(__xludf.DUMMYFUNCTION("GOOGLETRANSLATE(A37,""zh-tw"",""ja"")"),"バナナ？")</f>
        <v>バナナ？</v>
      </c>
      <c r="D37" s="319" t="str">
        <f>IFERROR(__xludf.DUMMYFUNCTION("GOOGLETRANSLATE(B37,""zh-tw"",""ja"")"),"物理攻撃力：10爆発")</f>
        <v>物理攻撃力：10爆発</v>
      </c>
      <c r="E37" s="336" t="s">
        <v>4711</v>
      </c>
      <c r="F37" s="319" t="s">
        <v>4712</v>
      </c>
      <c r="G37" s="336" t="str">
        <f>IFERROR(__xludf.DUMMYFUNCTION("GOOGLETRANSLATE(A37,""zh-tw"",""zh"")"),"香蕉?")</f>
        <v>香蕉?</v>
      </c>
      <c r="H37" s="319" t="str">
        <f>IFERROR(__xludf.DUMMYFUNCTION("GOOGLETRANSLATE(B37,""zh-tw"",""zh"")"),"物攻：10
爆炸")</f>
        <v>物攻：10
爆炸</v>
      </c>
      <c r="I37" s="337" t="str">
        <f>IFERROR(__xludf.DUMMYFUNCTION("GOOGLETRANSLATE(A37,""zh-tw"",""es-MX"")"),"¿banana?")</f>
        <v>¿banana?</v>
      </c>
      <c r="J37" s="164" t="str">
        <f>IFERROR(__xludf.DUMMYFUNCTION("GOOGLETRANSLATE(B37,""zh-tw"",""es-MX"")"),"Ataque físico: 10 Explosión")</f>
        <v>Ataque físico: 10 Explosión</v>
      </c>
      <c r="K37" s="337" t="str">
        <f>IFERROR(__xludf.DUMMYFUNCTION("GOOGLETRANSLATE(A37,""zh-tw"",""KO"")"),"바나나?")</f>
        <v>바나나?</v>
      </c>
      <c r="L37" s="164" t="str">
        <f>IFERROR(__xludf.DUMMYFUNCTION("GOOGLETRANSLATE(B37,""zh-tw"",""KO"")"),"물리 공격력: 10 폭발")</f>
        <v>물리 공격력: 10 폭발</v>
      </c>
      <c r="M37" s="338" t="str">
        <f>IFERROR(__xludf.DUMMYFUNCTION("GOOGLETRANSLATE(A37,""zh-tw"",""ru"")"),"банан?")</f>
        <v>банан?</v>
      </c>
      <c r="N37" s="317" t="str">
        <f>IFERROR(__xludf.DUMMYFUNCTION("GOOGLETRANSLATE(B37,""zh-tw"",""ru"")"),"Физическая атака: 10 взрывов")</f>
        <v>Физическая атака: 10 взрывов</v>
      </c>
      <c r="O37" s="336" t="s">
        <v>4713</v>
      </c>
      <c r="P37" s="319" t="s">
        <v>4714</v>
      </c>
      <c r="Q37" s="339" t="s">
        <v>4715</v>
      </c>
      <c r="R37" s="340" t="s">
        <v>4716</v>
      </c>
      <c r="S37" s="206"/>
      <c r="T37" s="206"/>
    </row>
    <row r="38" ht="68.25" customHeight="1">
      <c r="A38" s="336" t="s">
        <v>4717</v>
      </c>
      <c r="B38" s="319" t="s">
        <v>4718</v>
      </c>
      <c r="C38" s="336" t="s">
        <v>4719</v>
      </c>
      <c r="D38" s="319" t="str">
        <f>IFERROR(__xludf.DUMMYFUNCTION("GOOGLETRANSLATE(B38,""zh-tw"",""ja"")"),"物理攻撃力：1
魔法攻撃力：1
アイテム吸収")</f>
        <v>物理攻撃力：1
魔法攻撃力：1
アイテム吸収</v>
      </c>
      <c r="E38" s="336" t="s">
        <v>4720</v>
      </c>
      <c r="F38" s="319" t="s">
        <v>4721</v>
      </c>
      <c r="G38" s="336" t="str">
        <f>IFERROR(__xludf.DUMMYFUNCTION("GOOGLETRANSLATE(A38,""zh-tw"",""zh"")"),"巨蜗吸尘器")</f>
        <v>巨蜗吸尘器</v>
      </c>
      <c r="H38" s="319" t="str">
        <f>IFERROR(__xludf.DUMMYFUNCTION("GOOGLETRANSLATE(B38,""zh-tw"",""zh"")"),"物攻：1
魔攻：1
吸取物品")</f>
        <v>物攻：1
魔攻：1
吸取物品</v>
      </c>
      <c r="I38" s="337" t="str">
        <f>IFERROR(__xludf.DUMMYFUNCTION("GOOGLETRANSLATE(A38,""zh-tw"",""es-MX"")"),"Aspiradora de caracol gigante")</f>
        <v>Aspiradora de caracol gigante</v>
      </c>
      <c r="J38" s="164" t="str">
        <f>IFERROR(__xludf.DUMMYFUNCTION("GOOGLETRANSLATE(B38,""zh-tw"",""es-MX"")"),"Ataque físico: 1
Ataque mágico: 1
Absorción de objetos")</f>
        <v>Ataque físico: 1
Ataque mágico: 1
Absorción de objetos</v>
      </c>
      <c r="K38" s="337" t="str">
        <f>IFERROR(__xludf.DUMMYFUNCTION("GOOGLETRANSLATE(A38,""zh-tw"",""KO"")"),"자이언트 스네일 진공 청소기")</f>
        <v>자이언트 스네일 진공 청소기</v>
      </c>
      <c r="L38" s="164" t="str">
        <f>IFERROR(__xludf.DUMMYFUNCTION("GOOGLETRANSLATE(B38,""zh-tw"",""KO"")"),"물리 공격력: 1
마법 공격력: 1
아이템 흡수")</f>
        <v>물리 공격력: 1
마법 공격력: 1
아이템 흡수</v>
      </c>
      <c r="M38" s="338" t="str">
        <f>IFERROR(__xludf.DUMMYFUNCTION("GOOGLETRANSLATE(A38,""zh-tw"",""ru"")"),"Гигантский пылесос-улитка")</f>
        <v>Гигантский пылесос-улитка</v>
      </c>
      <c r="N38" s="317" t="str">
        <f>IFERROR(__xludf.DUMMYFUNCTION("GOOGLETRANSLATE(B38,""zh-tw"",""ru"")"),"Физическая атака: 1
Магическая атака: 1
Поглощение предметов")</f>
        <v>Физическая атака: 1
Магическая атака: 1
Поглощение предметов</v>
      </c>
      <c r="O38" s="336" t="s">
        <v>4722</v>
      </c>
      <c r="P38" s="319" t="s">
        <v>4723</v>
      </c>
      <c r="Q38" s="339" t="s">
        <v>4724</v>
      </c>
      <c r="R38" s="340" t="s">
        <v>4725</v>
      </c>
      <c r="S38" s="206"/>
      <c r="T38" s="206"/>
    </row>
    <row r="39">
      <c r="A39" s="336" t="s">
        <v>4726</v>
      </c>
      <c r="B39" s="319" t="s">
        <v>4727</v>
      </c>
      <c r="C39" s="336" t="s">
        <v>4728</v>
      </c>
      <c r="D39" s="319" t="str">
        <f>IFERROR(__xludf.DUMMYFUNCTION("GOOGLETRANSLATE(B39,""zh-tw"",""ja"")"),"物理攻撃: 15 ターゲットをクランプする")</f>
        <v>物理攻撃: 15 ターゲットをクランプする</v>
      </c>
      <c r="E39" s="336" t="s">
        <v>4729</v>
      </c>
      <c r="F39" s="319" t="s">
        <v>4730</v>
      </c>
      <c r="G39" s="336" t="str">
        <f>IFERROR(__xludf.DUMMYFUNCTION("GOOGLETRANSLATE(A39,""zh-tw"",""zh"")"),"巨大蟹钳")</f>
        <v>巨大蟹钳</v>
      </c>
      <c r="H39" s="319" t="str">
        <f>IFERROR(__xludf.DUMMYFUNCTION("GOOGLETRANSLATE(B39,""zh-tw"",""zh"")"),"物攻：15
夹住目标")</f>
        <v>物攻：15
夹住目标</v>
      </c>
      <c r="I39" s="337" t="str">
        <f>IFERROR(__xludf.DUMMYFUNCTION("GOOGLETRANSLATE(A39,""zh-tw"",""es-MX"")"),"pinzas de cangrejo gigantes")</f>
        <v>pinzas de cangrejo gigantes</v>
      </c>
      <c r="J39" s="164" t="str">
        <f>IFERROR(__xludf.DUMMYFUNCTION("GOOGLETRANSLATE(B39,""zh-tw"",""es-MX"")"),"Ataque físico: 15 Sujetar al objetivo")</f>
        <v>Ataque físico: 15 Sujetar al objetivo</v>
      </c>
      <c r="K39" s="337" t="str">
        <f>IFERROR(__xludf.DUMMYFUNCTION("GOOGLETRANSLATE(A39,""zh-tw"",""KO"")"),"거대한 게 발톱")</f>
        <v>거대한 게 발톱</v>
      </c>
      <c r="L39" s="164" t="str">
        <f>IFERROR(__xludf.DUMMYFUNCTION("GOOGLETRANSLATE(B39,""zh-tw"",""KO"")"),"물리공격력 : 15 대상을 고정합니다.")</f>
        <v>물리공격력 : 15 대상을 고정합니다.</v>
      </c>
      <c r="M39" s="338" t="str">
        <f>IFERROR(__xludf.DUMMYFUNCTION("GOOGLETRANSLATE(A39,""zh-tw"",""ru"")"),"Клешни гигантского краба")</f>
        <v>Клешни гигантского краба</v>
      </c>
      <c r="N39" s="317" t="str">
        <f>IFERROR(__xludf.DUMMYFUNCTION("GOOGLETRANSLATE(B39,""zh-tw"",""ru"")"),"Физическая атака: 15 Захват цели")</f>
        <v>Физическая атака: 15 Захват цели</v>
      </c>
      <c r="O39" s="336" t="s">
        <v>4731</v>
      </c>
      <c r="P39" s="319" t="s">
        <v>4732</v>
      </c>
      <c r="Q39" s="339" t="s">
        <v>4733</v>
      </c>
      <c r="R39" s="340" t="s">
        <v>4734</v>
      </c>
      <c r="S39" s="206"/>
      <c r="T39" s="206"/>
    </row>
    <row r="40">
      <c r="A40" s="335" t="s">
        <v>4735</v>
      </c>
      <c r="B40" s="163" t="s">
        <v>4736</v>
      </c>
      <c r="C40" s="336" t="s">
        <v>4735</v>
      </c>
      <c r="D40" s="319" t="str">
        <f>IFERROR(__xludf.DUMMYFUNCTION("GOOGLETRANSLATE(B40,""zh-tw"",""ja"")"),"物理攻撃：スタンの確率36%")</f>
        <v>物理攻撃：スタンの確率36%</v>
      </c>
      <c r="E40" s="336" t="s">
        <v>4737</v>
      </c>
      <c r="F40" s="319" t="s">
        <v>4738</v>
      </c>
      <c r="G40" s="336" t="str">
        <f>IFERROR(__xludf.DUMMYFUNCTION("GOOGLETRANSLATE(A40,""zh-tw"",""zh"")"),"大木槌")</f>
        <v>大木槌</v>
      </c>
      <c r="H40" s="319" t="str">
        <f>IFERROR(__xludf.DUMMYFUNCTION("GOOGLETRANSLATE(B40,""zh-tw"",""zh"")"),"物攻：36
机率晕眩")</f>
        <v>物攻：36
机率晕眩</v>
      </c>
      <c r="I40" s="337" t="str">
        <f>IFERROR(__xludf.DUMMYFUNCTION("GOOGLETRANSLATE(A40,""zh-tw"",""es-MX"")"),"mazo de madera grande")</f>
        <v>mazo de madera grande</v>
      </c>
      <c r="J40" s="164" t="str">
        <f>IFERROR(__xludf.DUMMYFUNCTION("GOOGLETRANSLATE(B40,""zh-tw"",""es-MX"")"),"Ataque físico: 36% de probabilidad de aturdir")</f>
        <v>Ataque físico: 36% de probabilidad de aturdir</v>
      </c>
      <c r="K40" s="337" t="str">
        <f>IFERROR(__xludf.DUMMYFUNCTION("GOOGLETRANSLATE(A40,""zh-tw"",""KO"")"),"큰 나무 망치")</f>
        <v>큰 나무 망치</v>
      </c>
      <c r="L40" s="164" t="str">
        <f>IFERROR(__xludf.DUMMYFUNCTION("GOOGLETRANSLATE(B40,""zh-tw"",""KO"")"),"물리 공격: 36% 확률로 기절")</f>
        <v>물리 공격: 36% 확률로 기절</v>
      </c>
      <c r="M40" s="338" t="str">
        <f>IFERROR(__xludf.DUMMYFUNCTION("GOOGLETRANSLATE(A40,""zh-tw"",""ru"")"),"Большой деревянный молоток")</f>
        <v>Большой деревянный молоток</v>
      </c>
      <c r="N40" s="317" t="str">
        <f>IFERROR(__xludf.DUMMYFUNCTION("GOOGLETRANSLATE(B40,""zh-tw"",""ru"")"),"Физическая атака: 36% шанс оглушения")</f>
        <v>Физическая атака: 36% шанс оглушения</v>
      </c>
      <c r="O40" s="336" t="s">
        <v>4739</v>
      </c>
      <c r="P40" s="319" t="s">
        <v>4740</v>
      </c>
      <c r="Q40" s="339" t="s">
        <v>4741</v>
      </c>
      <c r="R40" s="340" t="s">
        <v>4742</v>
      </c>
      <c r="S40" s="17"/>
      <c r="T40" s="17"/>
    </row>
    <row r="41">
      <c r="A41" s="337" t="s">
        <v>4743</v>
      </c>
      <c r="B41" s="164" t="s">
        <v>4744</v>
      </c>
      <c r="C41" s="337" t="s">
        <v>4743</v>
      </c>
      <c r="D41" s="164" t="s">
        <v>4745</v>
      </c>
      <c r="E41" s="337" t="s">
        <v>4746</v>
      </c>
      <c r="F41" s="164" t="s">
        <v>4747</v>
      </c>
      <c r="G41" s="336" t="str">
        <f>IFERROR(__xludf.DUMMYFUNCTION("GOOGLETRANSLATE(A41,""zh-tw"",""zh"")"),"日轮")</f>
        <v>日轮</v>
      </c>
      <c r="H41" s="319" t="str">
        <f>IFERROR(__xludf.DUMMYFUNCTION("GOOGLETRANSLATE(B41,""zh-tw"",""zh"")"),"物攻：12
魔攻：30
魔防：30
召唤陨石")</f>
        <v>物攻：12
魔攻：30
魔防：30
召唤陨石</v>
      </c>
      <c r="I41" s="337" t="str">
        <f>IFERROR(__xludf.DUMMYFUNCTION("GOOGLETRANSLATE(A41,""zh-tw"",""es-MX"")"),"Rueda solar")</f>
        <v>Rueda solar</v>
      </c>
      <c r="J41" s="164" t="str">
        <f>IFERROR(__xludf.DUMMYFUNCTION("GOOGLETRANSLATE(B41,""zh-tw"",""es-MX"")"),"Ataque físico: 12
Ataque mágico: 30
Defensa mágica: 30
Invocar meteorito")</f>
        <v>Ataque físico: 12
Ataque mágico: 30
Defensa mágica: 30
Invocar meteorito</v>
      </c>
      <c r="K41" s="337" t="str">
        <f>IFERROR(__xludf.DUMMYFUNCTION("GOOGLETRANSLATE(A41,""zh-tw"",""KO"")"),"썬 휠")</f>
        <v>썬 휠</v>
      </c>
      <c r="L41" s="164" t="str">
        <f>IFERROR(__xludf.DUMMYFUNCTION("GOOGLETRANSLATE(B41,""zh-tw"",""KO"")"),"물리 공격력: 12
마법 공격력: 30
마법 방어력: 30
유성 소환")</f>
        <v>물리 공격력: 12
마법 공격력: 30
마법 방어력: 30
유성 소환</v>
      </c>
      <c r="M41" s="338" t="str">
        <f>IFERROR(__xludf.DUMMYFUNCTION("GOOGLETRANSLATE(A41,""zh-tw"",""ru"")"),"Солнечное колесо")</f>
        <v>Солнечное колесо</v>
      </c>
      <c r="N41" s="317" t="str">
        <f>IFERROR(__xludf.DUMMYFUNCTION("GOOGLETRANSLATE(B41,""zh-tw"",""ru"")"),"Физическая атака: 12
Магическая атака: 30
Магическая защита: 30
Призыв Метеора")</f>
        <v>Физическая атака: 12
Магическая атака: 30
Магическая защита: 30
Призыв Метеора</v>
      </c>
      <c r="O41" s="341" t="s">
        <v>4748</v>
      </c>
      <c r="P41" s="324" t="s">
        <v>4749</v>
      </c>
      <c r="Q41" s="339" t="s">
        <v>4750</v>
      </c>
      <c r="R41" s="340" t="s">
        <v>4751</v>
      </c>
      <c r="S41" s="17"/>
      <c r="T41" s="17"/>
    </row>
    <row r="42">
      <c r="A42" s="337" t="s">
        <v>4752</v>
      </c>
      <c r="B42" s="163" t="s">
        <v>4753</v>
      </c>
      <c r="C42" s="337" t="s">
        <v>4754</v>
      </c>
      <c r="D42" s="164" t="s">
        <v>4755</v>
      </c>
      <c r="E42" s="337" t="s">
        <v>4756</v>
      </c>
      <c r="F42" s="164" t="s">
        <v>4757</v>
      </c>
      <c r="G42" s="336" t="str">
        <f>IFERROR(__xludf.DUMMYFUNCTION("GOOGLETRANSLATE(A42,""zh-tw"",""zh"")"),"登的阴郁手镰")</f>
        <v>登的阴郁手镰</v>
      </c>
      <c r="H42" s="319" t="str">
        <f>IFERROR(__xludf.DUMMYFUNCTION("GOOGLETRANSLATE(B42,""zh-tw"",""zh"")"),"
物攻：18
魔攻：9
回力镖类型武器")</f>
        <v>
物攻：18
魔攻：9
回力镖类型武器</v>
      </c>
      <c r="I42" s="337" t="str">
        <f>IFERROR(__xludf.DUMMYFUNCTION("GOOGLETRANSLATE(A42,""zh-tw"",""es-MX"")"),"La sombría hoz de Deng")</f>
        <v>La sombría hoz de Deng</v>
      </c>
      <c r="J42" s="164" t="str">
        <f>IFERROR(__xludf.DUMMYFUNCTION("GOOGLETRANSLATE(B42,""zh-tw"",""es-MX"")"),"Ataque físico: 18 Ataque mágico: 9 Arma tipo bumerán")</f>
        <v>Ataque físico: 18 Ataque mágico: 9 Arma tipo bumerán</v>
      </c>
      <c r="K42" s="337" t="str">
        <f>IFERROR(__xludf.DUMMYFUNCTION("GOOGLETRANSLATE(A42,""zh-tw"",""KO"")"),"덩의 우울한 낫")</f>
        <v>덩의 우울한 낫</v>
      </c>
      <c r="L42" s="164" t="str">
        <f>IFERROR(__xludf.DUMMYFUNCTION("GOOGLETRANSLATE(B42,""zh-tw"",""KO"")"),"물리 공격력: 18 마법 공격력: 9 부메랑 계열 무기")</f>
        <v>물리 공격력: 18 마법 공격력: 9 부메랑 계열 무기</v>
      </c>
      <c r="M42" s="338" t="str">
        <f>IFERROR(__xludf.DUMMYFUNCTION("GOOGLETRANSLATE(A42,""zh-tw"",""ru"")"),"Мрачный серп Дэнга")</f>
        <v>Мрачный серп Дэнга</v>
      </c>
      <c r="N42" s="317" t="str">
        <f>IFERROR(__xludf.DUMMYFUNCTION("GOOGLETRANSLATE(B42,""zh-tw"",""ru"")"),"Физическая атака: 18 Магическая атака: 9 Оружие типа «Бумеранг»")</f>
        <v>Физическая атака: 18 Магическая атака: 9 Оружие типа «Бумеранг»</v>
      </c>
      <c r="O42" s="341" t="s">
        <v>4758</v>
      </c>
      <c r="P42" s="324" t="s">
        <v>4759</v>
      </c>
      <c r="Q42" s="339" t="s">
        <v>4760</v>
      </c>
      <c r="R42" s="340" t="s">
        <v>4761</v>
      </c>
      <c r="S42" s="17"/>
      <c r="T42" s="17"/>
    </row>
    <row r="43">
      <c r="A43" s="335" t="s">
        <v>4762</v>
      </c>
      <c r="B43" s="163" t="s">
        <v>4763</v>
      </c>
      <c r="C43" s="337" t="str">
        <f>IFERROR(__xludf.DUMMYFUNCTION("GOOGLETRANSLATE(A43,""zh-tw"",""ja"")"),"錆びた鉄の剣")</f>
        <v>錆びた鉄の剣</v>
      </c>
      <c r="D43" s="164" t="str">
        <f>IFERROR(__xludf.DUMMYFUNCTION("GOOGLETRANSLATE(B43,""zh-tw"",""ja"")"),"物理攻撃: 毒または出血を与える確率 15%。毒は必ず発生します。")</f>
        <v>物理攻撃: 毒または出血を与える確率 15%。毒は必ず発生します。</v>
      </c>
      <c r="E43" s="335" t="s">
        <v>4764</v>
      </c>
      <c r="F43" s="163" t="s">
        <v>4765</v>
      </c>
      <c r="G43" s="336" t="str">
        <f>IFERROR(__xludf.DUMMYFUNCTION("GOOGLETRANSLATE(A43,""zh-tw"",""zh"")"),"生锈的铁剑")</f>
        <v>生锈的铁剑</v>
      </c>
      <c r="H43" s="319" t="str">
        <f>IFERROR(__xludf.DUMMYFUNCTION("GOOGLETRANSLATE(B43,""zh-tw"",""zh"")"),"物攻：15
机率附加中毒、出血必定中毒")</f>
        <v>物攻：15
机率附加中毒、出血必定中毒</v>
      </c>
      <c r="I43" s="337" t="str">
        <f>IFERROR(__xludf.DUMMYFUNCTION("GOOGLETRANSLATE(A43,""zh-tw"",""es-MX"")"),"espada de hierro oxidada")</f>
        <v>espada de hierro oxidada</v>
      </c>
      <c r="J43" s="164" t="str">
        <f>IFERROR(__xludf.DUMMYFUNCTION("GOOGLETRANSLATE(B43,""zh-tw"",""es-MX"")"),"Ataque físico: 15% de probabilidad de infligir veneno o sangrado; el envenenamiento está garantizado.")</f>
        <v>Ataque físico: 15% de probabilidad de infligir veneno o sangrado; el envenenamiento está garantizado.</v>
      </c>
      <c r="K43" s="337" t="str">
        <f>IFERROR(__xludf.DUMMYFUNCTION("GOOGLETRANSLATE(A43,""zh-tw"",""KO"")"),"녹슨 철검")</f>
        <v>녹슨 철검</v>
      </c>
      <c r="L43" s="164" t="str">
        <f>IFERROR(__xludf.DUMMYFUNCTION("GOOGLETRANSLATE(B43,""zh-tw"",""KO"")"),"물리 공격: 15% 확률로 독이나 출혈을 유발합니다. 중독은 보장됩니다.")</f>
        <v>물리 공격: 15% 확률로 독이나 출혈을 유발합니다. 중독은 보장됩니다.</v>
      </c>
      <c r="M43" s="338" t="str">
        <f>IFERROR(__xludf.DUMMYFUNCTION("GOOGLETRANSLATE(A43,""zh-tw"",""ru"")"),"Ржавый железный меч")</f>
        <v>Ржавый железный меч</v>
      </c>
      <c r="N43" s="317" t="str">
        <f>IFERROR(__xludf.DUMMYFUNCTION("GOOGLETRANSLATE(B43,""zh-tw"",""ru"")"),"Физическая атака: 15% вероятность вызвать отравление или кровотечение; отравление гарантировано.")</f>
        <v>Физическая атака: 15% вероятность вызвать отравление или кровотечение; отравление гарантировано.</v>
      </c>
      <c r="O43" s="335" t="s">
        <v>4766</v>
      </c>
      <c r="P43" s="163" t="s">
        <v>4767</v>
      </c>
      <c r="Q43" s="339" t="s">
        <v>4768</v>
      </c>
      <c r="R43" s="340" t="s">
        <v>4769</v>
      </c>
      <c r="S43" s="17"/>
      <c r="T43" s="17"/>
    </row>
    <row r="44">
      <c r="A44" s="335" t="s">
        <v>4770</v>
      </c>
      <c r="B44" s="163" t="s">
        <v>4771</v>
      </c>
      <c r="C44" s="337" t="str">
        <f>IFERROR(__xludf.DUMMYFUNCTION("GOOGLETRANSLATE(A44,""zh-tw"",""ja"")"),"鍛造ハンマー")</f>
        <v>鍛造ハンマー</v>
      </c>
      <c r="D44" s="164" t="str">
        <f>IFERROR(__xludf.DUMMYFUNCTION("GOOGLETRANSLATE(B44,""zh-tw"",""ja"")"),"物理攻撃：6。鍛造の使用については、詳細はTIPSを参照してください。")</f>
        <v>物理攻撃：6。鍛造の使用については、詳細はTIPSを参照してください。</v>
      </c>
      <c r="E44" s="335" t="s">
        <v>4772</v>
      </c>
      <c r="F44" s="163" t="s">
        <v>4773</v>
      </c>
      <c r="G44" s="336" t="str">
        <f>IFERROR(__xludf.DUMMYFUNCTION("GOOGLETRANSLATE(A44,""zh-tw"",""zh"")"),"锻造锤")</f>
        <v>锻造锤</v>
      </c>
      <c r="H44" s="319" t="str">
        <f>IFERROR(__xludf.DUMMYFUNCTION("GOOGLETRANSLATE(B44,""zh-tw"",""zh"")"),"物攻：6
锻造用途，详情于TIPS")</f>
        <v>物攻：6
锻造用途，详情于TIPS</v>
      </c>
      <c r="I44" s="337" t="str">
        <f>IFERROR(__xludf.DUMMYFUNCTION("GOOGLETRANSLATE(A44,""zh-tw"",""es-MX"")"),"Martillo de forja")</f>
        <v>Martillo de forja</v>
      </c>
      <c r="J44" s="164" t="str">
        <f>IFERROR(__xludf.DUMMYFUNCTION("GOOGLETRANSLATE(B44,""zh-tw"",""es-MX"")"),"Ataque físico: 6. Usos de forja, consulte CONSEJOS para obtener más detalles.")</f>
        <v>Ataque físico: 6. Usos de forja, consulte CONSEJOS para obtener más detalles.</v>
      </c>
      <c r="K44" s="337" t="str">
        <f>IFERROR(__xludf.DUMMYFUNCTION("GOOGLETRANSLATE(A44,""zh-tw"",""KO"")"),"단조 망치")</f>
        <v>단조 망치</v>
      </c>
      <c r="L44" s="164" t="str">
        <f>IFERROR(__xludf.DUMMYFUNCTION("GOOGLETRANSLATE(B44,""zh-tw"",""KO"")"),"물리적 공격력: 6. 단조에 사용 가능. 자세한 내용은 TIPS를 참조하세요.")</f>
        <v>물리적 공격력: 6. 단조에 사용 가능. 자세한 내용은 TIPS를 참조하세요.</v>
      </c>
      <c r="M44" s="338" t="str">
        <f>IFERROR(__xludf.DUMMYFUNCTION("GOOGLETRANSLATE(A44,""zh-tw"",""ru"")"),"Кузнечный молот")</f>
        <v>Кузнечный молот</v>
      </c>
      <c r="N44" s="317" t="str">
        <f>IFERROR(__xludf.DUMMYFUNCTION("GOOGLETRANSLATE(B44,""zh-tw"",""ru"")"),"Физическая атака: 6. Использование ковки, подробности см. в СОВЕТАХ.")</f>
        <v>Физическая атака: 6. Использование ковки, подробности см. в СОВЕТАХ.</v>
      </c>
      <c r="O44" s="335" t="s">
        <v>4774</v>
      </c>
      <c r="P44" s="163" t="s">
        <v>4775</v>
      </c>
      <c r="Q44" s="339" t="s">
        <v>4776</v>
      </c>
      <c r="R44" s="340" t="s">
        <v>4777</v>
      </c>
      <c r="S44" s="17"/>
      <c r="T44" s="17"/>
    </row>
    <row r="45">
      <c r="A45" s="336" t="s">
        <v>4778</v>
      </c>
      <c r="B45" s="319" t="s">
        <v>4779</v>
      </c>
      <c r="C45" s="336" t="s">
        <v>4780</v>
      </c>
      <c r="D45" s="319" t="str">
        <f>IFERROR(__xludf.DUMMYFUNCTION("GOOGLETRANSLATE(B45,""zh-tw"",""ja"")"),"ゴールドコインを消費して攻撃します。
物理攻撃力：2
魔法防御力：20
幸運：20
※このアイテムは初期コアのアップグレードに使用できます。
（ショップカートから購入可能）")</f>
        <v>ゴールドコインを消費して攻撃します。
物理攻撃力：2
魔法防御力：20
幸運：20
※このアイテムは初期コアのアップグレードに使用できます。
（ショップカートから購入可能）</v>
      </c>
      <c r="E45" s="336" t="s">
        <v>4781</v>
      </c>
      <c r="F45" s="319" t="s">
        <v>4782</v>
      </c>
      <c r="G45" s="336" t="str">
        <f>IFERROR(__xludf.DUMMYFUNCTION("GOOGLETRANSLATE(A45,""zh-tw"",""zh"")"),"2号机")</f>
        <v>2号机</v>
      </c>
      <c r="H45" s="319" t="str">
        <f>IFERROR(__xludf.DUMMYFUNCTION("GOOGLETRANSLATE(B45,""zh-tw"",""zh"")"),"消耗金币进行攻击
物攻：2
魔防：20
幸运：20
*可消耗此物品使初号核心升级
(可于商店车购买)")</f>
        <v>消耗金币进行攻击
物攻：2
魔防：20
幸运：20
*可消耗此物品使初号核心升级
(可于商店车购买)</v>
      </c>
      <c r="I45" s="337" t="str">
        <f>IFERROR(__xludf.DUMMYFUNCTION("GOOGLETRANSLATE(A45,""zh-tw"",""es-MX"")"),"Unidad 2")</f>
        <v>Unidad 2</v>
      </c>
      <c r="J45" s="164" t="str">
        <f>IFERROR(__xludf.DUMMYFUNCTION("GOOGLETRANSLATE(B45,""zh-tw"",""es-MX"")"),"Ataca consumiendo monedas de oro.
Ataque físico: 2
Defensa mágica: 20
Suerte: 20
*Este objeto se puede usar para mejorar el núcleo inicial.
(Disponible en la tienda)")</f>
        <v>Ataca consumiendo monedas de oro.
Ataque físico: 2
Defensa mágica: 20
Suerte: 20
*Este objeto se puede usar para mejorar el núcleo inicial.
(Disponible en la tienda)</v>
      </c>
      <c r="K45" s="337" t="str">
        <f>IFERROR(__xludf.DUMMYFUNCTION("GOOGLETRANSLATE(A45,""zh-tw"",""KO"")"),"2단원")</f>
        <v>2단원</v>
      </c>
      <c r="L45" s="164" t="str">
        <f>IFERROR(__xludf.DUMMYFUNCTION("GOOGLETRANSLATE(B45,""zh-tw"",""KO"")"),"금화를 소모하여 공격합니다.
물리 공격력: 2
마법 방어력: 20
행운: 20
*이 아이템은 초기 코어를 업그레이드하는 데 사용할 수 있습니다.
(상점 카트에서 구매 가능)")</f>
        <v>금화를 소모하여 공격합니다.
물리 공격력: 2
마법 방어력: 20
행운: 20
*이 아이템은 초기 코어를 업그레이드하는 데 사용할 수 있습니다.
(상점 카트에서 구매 가능)</v>
      </c>
      <c r="M45" s="338" t="str">
        <f>IFERROR(__xludf.DUMMYFUNCTION("GOOGLETRANSLATE(A45,""zh-tw"",""ru"")"),"Блок 2")</f>
        <v>Блок 2</v>
      </c>
      <c r="N45" s="317" t="str">
        <f>IFERROR(__xludf.DUMMYFUNCTION("GOOGLETRANSLATE(B45,""zh-tw"",""ru"")"),"Атакует,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f>
        <v>Атакует, потребляя золотые монеты.
Физическая атака: 2
Магическая защита: 20
Удача: 20
*Этот предмет можно использовать для улучшения начального ядра.
(Можно приобрести в корзине магазина)</v>
      </c>
      <c r="O45" s="336" t="s">
        <v>4783</v>
      </c>
      <c r="P45" s="319" t="s">
        <v>4784</v>
      </c>
      <c r="Q45" s="339" t="s">
        <v>4785</v>
      </c>
      <c r="R45" s="340" t="s">
        <v>4786</v>
      </c>
      <c r="S45" s="206"/>
      <c r="T45" s="206"/>
    </row>
    <row r="46">
      <c r="A46" s="335" t="s">
        <v>4787</v>
      </c>
      <c r="B46" s="163" t="s">
        <v>4788</v>
      </c>
      <c r="C46" s="335" t="s">
        <v>4789</v>
      </c>
      <c r="D46" s="169" t="s">
        <v>4790</v>
      </c>
      <c r="E46" s="335" t="s">
        <v>4791</v>
      </c>
      <c r="F46" s="163" t="s">
        <v>4792</v>
      </c>
      <c r="G46" s="336" t="str">
        <f>IFERROR(__xludf.DUMMYFUNCTION("GOOGLETRANSLATE(A46,""zh-tw"",""zh"")"),"潮汐之诗")</f>
        <v>潮汐之诗</v>
      </c>
      <c r="H46" s="319" t="str">
        <f>IFERROR(__xludf.DUMMYFUNCTION("GOOGLETRANSLATE(B46,""zh-tw"",""zh"")"),"物攻：1
魔攻：45
魔防：20
于水中作战时可以提升攻击力
(波纹穿刺：可以用于炸水面；无法配合猫爪增加炸鱼次数)")</f>
        <v>物攻：1
魔攻：45
魔防：20
于水中作战时可以提升攻击力
(波纹穿刺：可以用于炸水面；无法配合猫爪增加炸鱼次数)</v>
      </c>
      <c r="I46" s="337" t="str">
        <f>IFERROR(__xludf.DUMMYFUNCTION("GOOGLETRANSLATE(A46,""zh-tw"",""es-MX"")"),"Poema de las mareas")</f>
        <v>Poema de las mareas</v>
      </c>
      <c r="J46" s="164" t="str">
        <f>IFERROR(__xludf.DUMMYFUNCTION("GOOGLETRANSLATE(B46,""zh-tw"",""es-MX"")"),"Ataque físico: 1
Ataque mágico: 45
Defensa mágica: 20
El poder de ataque aumenta al luchar en el agua.
(Onda Perforante: Puede usarse para crear ondas en la superficie del agua; no se puede combinar con Garra de Gato para aumentar el número de ondas).")</f>
        <v>Ataque físico: 1
Ataque mágico: 45
Defensa mágica: 20
El poder de ataque aumenta al luchar en el agua.
(Onda Perforante: Puede usarse para crear ondas en la superficie del agua; no se puede combinar con Garra de Gato para aumentar el número de ondas).</v>
      </c>
      <c r="K46" s="337" t="str">
        <f>IFERROR(__xludf.DUMMYFUNCTION("GOOGLETRANSLATE(A46,""zh-tw"",""KO"")"),"조수의 시")</f>
        <v>조수의 시</v>
      </c>
      <c r="L46" s="164" t="str">
        <f>IFERROR(__xludf.DUMMYFUNCTION("GOOGLETRANSLATE(B46,""zh-tw"",""KO"")"),"물리 공격력: 1
마법 공격력: 45
마법 방어력: 20
물속에서 싸울 때 공격력이 증가합니다.
(잔물결 피어스: 수면을 폭파하는 데 사용할 수 있습니다. 캣츠 클로와 함께 사용하면 물고기 폭발 횟수를 늘릴 수 없습니다.)")</f>
        <v>물리 공격력: 1
마법 공격력: 45
마법 방어력: 20
물속에서 싸울 때 공격력이 증가합니다.
(잔물결 피어스: 수면을 폭파하는 데 사용할 수 있습니다. 캣츠 클로와 함께 사용하면 물고기 폭발 횟수를 늘릴 수 없습니다.)</v>
      </c>
      <c r="M46" s="338" t="str">
        <f>IFERROR(__xludf.DUMMYFUNCTION("GOOGLETRANSLATE(A46,""zh-tw"",""ru"")"),"Поэма приливов")</f>
        <v>Поэма приливов</v>
      </c>
      <c r="N46" s="317" t="str">
        <f>IFERROR(__xludf.DUMMYFUNCTION("GOOGLETRANSLATE(B46,""zh-tw"",""ru"")"),"Физическая атака: 1
Магическая атака: 45
Магическая защита: 20
Сила атаки увеличивается при сражении в воде.
(«Пронзание волн»: может использоваться для взрыва поверхности воды; нельзя комбинировать с «Кошачьим когтем» для увеличения количества взрывов р"&amp;"ыбы)")</f>
        <v>Физическая атака: 1
Магическая атака: 45
Магическая защита: 20
Сила атаки увеличивается при сражении в воде.
(«Пронзание волн»: может использоваться для взрыва поверхности воды; нельзя комбинировать с «Кошачьим когтем» для увеличения количества взрывов рыбы)</v>
      </c>
      <c r="O46" s="335" t="s">
        <v>4793</v>
      </c>
      <c r="P46" s="163" t="s">
        <v>4794</v>
      </c>
      <c r="Q46" s="342" t="s">
        <v>4795</v>
      </c>
      <c r="R46" s="166" t="s">
        <v>4796</v>
      </c>
      <c r="S46" s="17"/>
      <c r="T46" s="17"/>
    </row>
    <row r="47">
      <c r="A47" s="341" t="s">
        <v>4797</v>
      </c>
      <c r="B47" s="163" t="s">
        <v>4798</v>
      </c>
      <c r="C47" s="335" t="s">
        <v>3194</v>
      </c>
      <c r="D47" s="163" t="s">
        <v>4799</v>
      </c>
      <c r="E47" s="335" t="s">
        <v>3207</v>
      </c>
      <c r="F47" s="163" t="s">
        <v>4800</v>
      </c>
      <c r="G47" s="336" t="str">
        <f>IFERROR(__xludf.DUMMYFUNCTION("GOOGLETRANSLATE(A47,""zh-tw"",""zh"")"),"胡萝卜大剑")</f>
        <v>胡萝卜大剑</v>
      </c>
      <c r="H47" s="319" t="str">
        <f>IFERROR(__xludf.DUMMYFUNCTION("GOOGLETRANSLATE(B47,""zh-tw"",""zh"")"),"物攻：1
累计伤害型武器
投掷穿刺效果
*特殊传送效果(请参考TIPS)")</f>
        <v>物攻：1
累计伤害型武器
投掷穿刺效果
*特殊传送效果(请参考TIPS)</v>
      </c>
      <c r="I47" s="337" t="str">
        <f>IFERROR(__xludf.DUMMYFUNCTION("GOOGLETRANSLATE(A47,""zh-tw"",""es-MX"")"),"Espada de zanahoria")</f>
        <v>Espada de zanahoria</v>
      </c>
      <c r="J47" s="164" t="str">
        <f>IFERROR(__xludf.DUMMYFUNCTION("GOOGLETRANSLATE(B47,""zh-tw"",""es-MX"")"),"Ataque físico: 1 de daño acumulativo. Efecto perforante al lanzar armas. *Efecto especial de teletransportación (Consulta los consejos).")</f>
        <v>Ataque físico: 1 de daño acumulativo. Efecto perforante al lanzar armas. *Efecto especial de teletransportación (Consulta los consejos).</v>
      </c>
      <c r="K47" s="337" t="str">
        <f>IFERROR(__xludf.DUMMYFUNCTION("GOOGLETRANSLATE(A47,""zh-tw"",""KO"")"),"당근 검")</f>
        <v>당근 검</v>
      </c>
      <c r="L47" s="164" t="str">
        <f>IFERROR(__xludf.DUMMYFUNCTION("GOOGLETRANSLATE(B47,""zh-tw"",""KO"")"),"물리 공격력 : 누적 데미지 1 무기 던지기 관통 효과 *특수 순간이동 효과 (TIPS 참조)")</f>
        <v>물리 공격력 : 누적 데미지 1 무기 던지기 관통 효과 *특수 순간이동 효과 (TIPS 참조)</v>
      </c>
      <c r="M47" s="338" t="str">
        <f>IFERROR(__xludf.DUMMYFUNCTION("GOOGLETRANSLATE(A47,""zh-tw"",""ru"")"),"Морковный меч")</f>
        <v>Морковный меч</v>
      </c>
      <c r="N47" s="317" t="str">
        <f>IFERROR(__xludf.DUMMYFUNCTION("GOOGLETRANSLATE(B47,""zh-tw"",""ru"")"),"Физическая атака: 1 кумулятивный урон от метательного оружия, проникающий эффект *специальный эффект телепортации (см. СОВЕТЫ)")</f>
        <v>Физическая атака: 1 кумулятивный урон от метательного оружия, проникающий эффект *специальный эффект телепортации (см. СОВЕТЫ)</v>
      </c>
      <c r="O47" s="341"/>
      <c r="P47" s="324"/>
      <c r="Q47" s="339" t="s">
        <v>3210</v>
      </c>
      <c r="R47" s="340" t="s">
        <v>4801</v>
      </c>
      <c r="S47" s="17"/>
      <c r="T47" s="17"/>
    </row>
    <row r="48">
      <c r="A48" s="335" t="s">
        <v>4802</v>
      </c>
      <c r="B48" s="163" t="s">
        <v>4803</v>
      </c>
      <c r="C48" s="335" t="s">
        <v>4804</v>
      </c>
      <c r="D48" s="169" t="s">
        <v>4805</v>
      </c>
      <c r="E48" s="335" t="s">
        <v>3196</v>
      </c>
      <c r="F48" s="163" t="s">
        <v>4806</v>
      </c>
      <c r="G48" s="336" t="str">
        <f>IFERROR(__xludf.DUMMYFUNCTION("GOOGLETRANSLATE(A48,""zh-tw"",""zh"")"),"冻萝卜大剑")</f>
        <v>冻萝卜大剑</v>
      </c>
      <c r="H48" s="319" t="str">
        <f>IFERROR(__xludf.DUMMYFUNCTION("GOOGLETRANSLATE(B48,""zh-tw"",""zh"")"),"物攻：26
物防：2
冻结效果
投掷穿刺效果")</f>
        <v>物攻：26
物防：2
冻结效果
投掷穿刺效果</v>
      </c>
      <c r="I48" s="337" t="str">
        <f>IFERROR(__xludf.DUMMYFUNCTION("GOOGLETRANSLATE(A48,""zh-tw"",""es-MX"")"),"Espada de rábano congelado")</f>
        <v>Espada de rábano congelado</v>
      </c>
      <c r="J48" s="164" t="str">
        <f>IFERROR(__xludf.DUMMYFUNCTION("GOOGLETRANSLATE(B48,""zh-tw"",""es-MX"")"),"Ataque físico: 26
Defensa física: 2
Efecto de congelación
Efecto de perforación al lanzar")</f>
        <v>Ataque físico: 26
Defensa física: 2
Efecto de congelación
Efecto de perforación al lanzar</v>
      </c>
      <c r="K48" s="337" t="str">
        <f>IFERROR(__xludf.DUMMYFUNCTION("GOOGLETRANSLATE(A48,""zh-tw"",""KO"")"),"냉동 무 칼")</f>
        <v>냉동 무 칼</v>
      </c>
      <c r="L48" s="164" t="str">
        <f>IFERROR(__xludf.DUMMYFUNCTION("GOOGLETRANSLATE(B48,""zh-tw"",""KO"")"),"물리 공격력: 26
물리 방어력: 2
동결 효과
투척 관통 효과")</f>
        <v>물리 공격력: 26
물리 방어력: 2
동결 효과
투척 관통 효과</v>
      </c>
      <c r="M48" s="338" t="str">
        <f>IFERROR(__xludf.DUMMYFUNCTION("GOOGLETRANSLATE(A48,""zh-tw"",""ru"")"),"Замороженный меч из редиса")</f>
        <v>Замороженный меч из редиса</v>
      </c>
      <c r="N48" s="317" t="str">
        <f>IFERROR(__xludf.DUMMYFUNCTION("GOOGLETRANSLATE(B48,""zh-tw"",""ru"")"),"Физическая атака: 26
Физическая защита: 2
Эффект заморозки
Эффект пронзания при броске")</f>
        <v>Физическая атака: 26
Физическая защита: 2
Эффект заморозки
Эффект пронзания при броске</v>
      </c>
      <c r="O48" s="337"/>
      <c r="P48" s="164"/>
      <c r="Q48" s="343" t="s">
        <v>4807</v>
      </c>
      <c r="R48" s="183" t="s">
        <v>4808</v>
      </c>
      <c r="S48" s="17"/>
      <c r="T48" s="17"/>
    </row>
    <row r="49">
      <c r="A49" s="335" t="s">
        <v>4809</v>
      </c>
      <c r="B49" s="163" t="s">
        <v>4810</v>
      </c>
      <c r="C49" s="335" t="s">
        <v>4811</v>
      </c>
      <c r="D49" s="169" t="s">
        <v>4812</v>
      </c>
      <c r="E49" s="335" t="s">
        <v>4813</v>
      </c>
      <c r="F49" s="163" t="s">
        <v>4814</v>
      </c>
      <c r="G49" s="336" t="str">
        <f>IFERROR(__xludf.DUMMYFUNCTION("GOOGLETRANSLATE(A49,""zh-tw"",""zh"")"),"霉萝卜大剑")</f>
        <v>霉萝卜大剑</v>
      </c>
      <c r="H49" s="319" t="str">
        <f>IFERROR(__xludf.DUMMYFUNCTION("GOOGLETRANSLATE(B49,""zh-tw"",""zh"")"),"物攻：10
魔攻：10
中毒效果
投掷穿刺效果")</f>
        <v>物攻：10
魔攻：10
中毒效果
投掷穿刺效果</v>
      </c>
      <c r="I49" s="337" t="str">
        <f>IFERROR(__xludf.DUMMYFUNCTION("GOOGLETRANSLATE(A49,""zh-tw"",""es-MX"")"),"Espada de rábano mohoso")</f>
        <v>Espada de rábano mohoso</v>
      </c>
      <c r="J49" s="164" t="str">
        <f>IFERROR(__xludf.DUMMYFUNCTION("GOOGLETRANSLATE(B49,""zh-tw"",""es-MX"")"),"Ataque físico: 10
Ataque mágico: 10
Efecto de veneno
Efecto de perforación al lanzar")</f>
        <v>Ataque físico: 10
Ataque mágico: 10
Efecto de veneno
Efecto de perforación al lanzar</v>
      </c>
      <c r="K49" s="337" t="str">
        <f>IFERROR(__xludf.DUMMYFUNCTION("GOOGLETRANSLATE(A49,""zh-tw"",""KO"")"),"곰팡이 핀 무우 검")</f>
        <v>곰팡이 핀 무우 검</v>
      </c>
      <c r="L49" s="164" t="str">
        <f>IFERROR(__xludf.DUMMYFUNCTION("GOOGLETRANSLATE(B49,""zh-tw"",""KO"")"),"물리 공격력: 10
마법 공격력: 10
독 효과
투척 관통 효과")</f>
        <v>물리 공격력: 10
마법 공격력: 10
독 효과
투척 관통 효과</v>
      </c>
      <c r="M49" s="338" t="str">
        <f>IFERROR(__xludf.DUMMYFUNCTION("GOOGLETRANSLATE(A49,""zh-tw"",""ru"")"),"Заплесневелый меч из редьки")</f>
        <v>Заплесневелый меч из редьки</v>
      </c>
      <c r="N49" s="317" t="str">
        <f>IFERROR(__xludf.DUMMYFUNCTION("GOOGLETRANSLATE(B49,""zh-tw"",""ru"")"),"Физическая атака: 10
Магическая атака: 10
Эффект отравления
Эффект пронзания при метании")</f>
        <v>Физическая атака: 10
Магическая атака: 10
Эффект отравления
Эффект пронзания при метании</v>
      </c>
      <c r="O49" s="337"/>
      <c r="P49" s="164"/>
      <c r="Q49" s="343" t="s">
        <v>4815</v>
      </c>
      <c r="R49" s="183" t="s">
        <v>4816</v>
      </c>
      <c r="S49" s="17"/>
      <c r="T49" s="17"/>
    </row>
    <row r="50">
      <c r="A50" s="337"/>
      <c r="B50" s="164"/>
      <c r="C50" s="337"/>
      <c r="D50" s="177"/>
      <c r="E50" s="337"/>
      <c r="F50" s="164"/>
      <c r="G50" s="337"/>
      <c r="H50" s="164"/>
      <c r="I50" s="344"/>
      <c r="J50" s="177"/>
      <c r="K50" s="344"/>
      <c r="L50" s="177"/>
      <c r="M50" s="344"/>
      <c r="N50" s="177"/>
      <c r="O50" s="337"/>
      <c r="P50" s="164"/>
      <c r="Q50" s="343"/>
      <c r="R50" s="183"/>
      <c r="S50" s="17"/>
      <c r="T50" s="17"/>
    </row>
    <row r="51">
      <c r="A51" s="337"/>
      <c r="B51" s="164"/>
      <c r="C51" s="337"/>
      <c r="D51" s="177"/>
      <c r="E51" s="337"/>
      <c r="F51" s="164"/>
      <c r="G51" s="337"/>
      <c r="H51" s="164"/>
      <c r="I51" s="344"/>
      <c r="J51" s="177"/>
      <c r="K51" s="344"/>
      <c r="L51" s="177"/>
      <c r="M51" s="344"/>
      <c r="N51" s="177"/>
      <c r="O51" s="337"/>
      <c r="P51" s="164"/>
      <c r="Q51" s="343"/>
      <c r="R51" s="183"/>
      <c r="S51" s="17"/>
      <c r="T51" s="17"/>
    </row>
    <row r="52">
      <c r="A52" s="337"/>
      <c r="B52" s="164"/>
      <c r="C52" s="337"/>
      <c r="D52" s="177"/>
      <c r="E52" s="337"/>
      <c r="F52" s="164"/>
      <c r="G52" s="337"/>
      <c r="H52" s="164"/>
      <c r="I52" s="344"/>
      <c r="J52" s="177"/>
      <c r="K52" s="344"/>
      <c r="L52" s="177"/>
      <c r="M52" s="344"/>
      <c r="N52" s="177"/>
      <c r="O52" s="337"/>
      <c r="P52" s="164"/>
      <c r="Q52" s="343"/>
      <c r="R52" s="183"/>
      <c r="S52" s="17"/>
      <c r="T52" s="17"/>
    </row>
    <row r="53">
      <c r="A53" s="337"/>
      <c r="B53" s="164"/>
      <c r="C53" s="337"/>
      <c r="D53" s="177"/>
      <c r="E53" s="337"/>
      <c r="F53" s="164"/>
      <c r="G53" s="337"/>
      <c r="H53" s="164"/>
      <c r="I53" s="344"/>
      <c r="J53" s="177"/>
      <c r="K53" s="344"/>
      <c r="L53" s="177"/>
      <c r="M53" s="344"/>
      <c r="N53" s="177"/>
      <c r="O53" s="337"/>
      <c r="P53" s="164"/>
      <c r="Q53" s="343"/>
      <c r="R53" s="183"/>
      <c r="S53" s="17"/>
      <c r="T53" s="17"/>
    </row>
    <row r="54">
      <c r="A54" s="337"/>
      <c r="B54" s="164"/>
      <c r="C54" s="337"/>
      <c r="D54" s="177"/>
      <c r="E54" s="337"/>
      <c r="F54" s="164"/>
      <c r="G54" s="337"/>
      <c r="H54" s="164"/>
      <c r="I54" s="344"/>
      <c r="J54" s="177"/>
      <c r="K54" s="344"/>
      <c r="L54" s="177"/>
      <c r="M54" s="344"/>
      <c r="N54" s="177"/>
      <c r="O54" s="337"/>
      <c r="P54" s="164"/>
      <c r="Q54" s="343"/>
      <c r="R54" s="183"/>
      <c r="S54" s="17"/>
      <c r="T54" s="17"/>
    </row>
    <row r="55">
      <c r="A55" s="337"/>
      <c r="B55" s="164"/>
      <c r="C55" s="337"/>
      <c r="D55" s="177"/>
      <c r="E55" s="337"/>
      <c r="F55" s="164"/>
      <c r="G55" s="337"/>
      <c r="H55" s="164"/>
      <c r="I55" s="344"/>
      <c r="J55" s="177"/>
      <c r="K55" s="344"/>
      <c r="L55" s="177"/>
      <c r="M55" s="344"/>
      <c r="N55" s="177"/>
      <c r="O55" s="337"/>
      <c r="P55" s="164"/>
      <c r="Q55" s="343"/>
      <c r="R55" s="183"/>
      <c r="S55" s="17"/>
      <c r="T55" s="17"/>
    </row>
    <row r="56">
      <c r="A56" s="337"/>
      <c r="B56" s="164"/>
      <c r="C56" s="337"/>
      <c r="D56" s="177"/>
      <c r="E56" s="337"/>
      <c r="F56" s="164"/>
      <c r="G56" s="337"/>
      <c r="H56" s="164"/>
      <c r="I56" s="344"/>
      <c r="J56" s="177"/>
      <c r="K56" s="344"/>
      <c r="L56" s="177"/>
      <c r="M56" s="344"/>
      <c r="N56" s="177"/>
      <c r="O56" s="337"/>
      <c r="P56" s="164"/>
      <c r="Q56" s="343"/>
      <c r="R56" s="183"/>
      <c r="S56" s="17"/>
      <c r="T56" s="17"/>
    </row>
    <row r="57">
      <c r="A57" s="337"/>
      <c r="B57" s="164"/>
      <c r="C57" s="337"/>
      <c r="D57" s="177"/>
      <c r="E57" s="337"/>
      <c r="F57" s="164"/>
      <c r="G57" s="337"/>
      <c r="H57" s="164"/>
      <c r="I57" s="344"/>
      <c r="J57" s="177"/>
      <c r="K57" s="344"/>
      <c r="L57" s="177"/>
      <c r="M57" s="344"/>
      <c r="N57" s="177"/>
      <c r="O57" s="337"/>
      <c r="P57" s="164"/>
      <c r="Q57" s="343"/>
      <c r="R57" s="183"/>
      <c r="S57" s="17"/>
      <c r="T57" s="17"/>
    </row>
    <row r="58">
      <c r="A58" s="337"/>
      <c r="B58" s="164"/>
      <c r="C58" s="337"/>
      <c r="D58" s="177"/>
      <c r="E58" s="337"/>
      <c r="F58" s="164"/>
      <c r="G58" s="337"/>
      <c r="H58" s="164"/>
      <c r="I58" s="344"/>
      <c r="J58" s="177"/>
      <c r="K58" s="344"/>
      <c r="L58" s="177"/>
      <c r="M58" s="344"/>
      <c r="N58" s="177"/>
      <c r="O58" s="337"/>
      <c r="P58" s="164"/>
      <c r="Q58" s="343"/>
      <c r="R58" s="183"/>
      <c r="S58" s="17"/>
      <c r="T58" s="17"/>
    </row>
    <row r="59">
      <c r="A59" s="337"/>
      <c r="B59" s="164"/>
      <c r="C59" s="337"/>
      <c r="D59" s="177"/>
      <c r="E59" s="337"/>
      <c r="F59" s="164"/>
      <c r="G59" s="337"/>
      <c r="H59" s="164"/>
      <c r="I59" s="344"/>
      <c r="J59" s="177"/>
      <c r="K59" s="344"/>
      <c r="L59" s="177"/>
      <c r="M59" s="344"/>
      <c r="N59" s="177"/>
      <c r="O59" s="337"/>
      <c r="P59" s="164"/>
      <c r="Q59" s="343"/>
      <c r="R59" s="183"/>
      <c r="S59" s="17"/>
      <c r="T59" s="17"/>
    </row>
    <row r="60">
      <c r="A60" s="337"/>
      <c r="B60" s="164"/>
      <c r="C60" s="337"/>
      <c r="D60" s="177"/>
      <c r="E60" s="337"/>
      <c r="F60" s="164"/>
      <c r="G60" s="337"/>
      <c r="H60" s="164"/>
      <c r="I60" s="344"/>
      <c r="J60" s="177"/>
      <c r="K60" s="344"/>
      <c r="L60" s="177"/>
      <c r="M60" s="344"/>
      <c r="N60" s="177"/>
      <c r="O60" s="337"/>
      <c r="P60" s="164"/>
      <c r="Q60" s="343"/>
      <c r="R60" s="183"/>
      <c r="S60" s="17"/>
      <c r="T60" s="17"/>
    </row>
    <row r="61">
      <c r="A61" s="337"/>
      <c r="B61" s="164"/>
      <c r="C61" s="337"/>
      <c r="D61" s="177"/>
      <c r="E61" s="337"/>
      <c r="F61" s="164"/>
      <c r="G61" s="337"/>
      <c r="H61" s="164"/>
      <c r="I61" s="344"/>
      <c r="J61" s="177"/>
      <c r="K61" s="344"/>
      <c r="L61" s="177"/>
      <c r="M61" s="344"/>
      <c r="N61" s="177"/>
      <c r="O61" s="337"/>
      <c r="P61" s="164"/>
      <c r="Q61" s="343"/>
      <c r="R61" s="183"/>
      <c r="S61" s="17"/>
      <c r="T61" s="17"/>
    </row>
    <row r="62">
      <c r="A62" s="337"/>
      <c r="B62" s="164"/>
      <c r="C62" s="337"/>
      <c r="D62" s="177"/>
      <c r="E62" s="337"/>
      <c r="F62" s="164"/>
      <c r="G62" s="337"/>
      <c r="H62" s="164"/>
      <c r="I62" s="344"/>
      <c r="J62" s="177"/>
      <c r="K62" s="344"/>
      <c r="L62" s="177"/>
      <c r="M62" s="344"/>
      <c r="N62" s="177"/>
      <c r="O62" s="337"/>
      <c r="P62" s="164"/>
      <c r="Q62" s="343"/>
      <c r="R62" s="183"/>
      <c r="S62" s="17"/>
      <c r="T62" s="17"/>
    </row>
    <row r="63">
      <c r="A63" s="337"/>
      <c r="B63" s="164"/>
      <c r="C63" s="337"/>
      <c r="D63" s="177"/>
      <c r="E63" s="337"/>
      <c r="F63" s="164"/>
      <c r="G63" s="337"/>
      <c r="H63" s="164"/>
      <c r="I63" s="344"/>
      <c r="J63" s="177"/>
      <c r="K63" s="344"/>
      <c r="L63" s="177"/>
      <c r="M63" s="344"/>
      <c r="N63" s="177"/>
      <c r="O63" s="337"/>
      <c r="P63" s="164"/>
      <c r="Q63" s="343"/>
      <c r="R63" s="183"/>
      <c r="S63" s="17"/>
      <c r="T63" s="17"/>
    </row>
    <row r="64">
      <c r="A64" s="337"/>
      <c r="B64" s="164"/>
      <c r="C64" s="337"/>
      <c r="D64" s="177"/>
      <c r="E64" s="337"/>
      <c r="F64" s="164"/>
      <c r="G64" s="337"/>
      <c r="H64" s="164"/>
      <c r="I64" s="344"/>
      <c r="J64" s="177"/>
      <c r="K64" s="344"/>
      <c r="L64" s="177"/>
      <c r="M64" s="344"/>
      <c r="N64" s="177"/>
      <c r="O64" s="337"/>
      <c r="P64" s="164"/>
      <c r="Q64" s="343"/>
      <c r="R64" s="183"/>
      <c r="S64" s="17"/>
      <c r="T64" s="17"/>
    </row>
    <row r="65">
      <c r="A65" s="337"/>
      <c r="B65" s="164"/>
      <c r="C65" s="337"/>
      <c r="D65" s="177"/>
      <c r="E65" s="337"/>
      <c r="F65" s="164"/>
      <c r="G65" s="337"/>
      <c r="H65" s="164"/>
      <c r="I65" s="344"/>
      <c r="J65" s="177"/>
      <c r="K65" s="344"/>
      <c r="L65" s="177"/>
      <c r="M65" s="344"/>
      <c r="N65" s="177"/>
      <c r="O65" s="337"/>
      <c r="P65" s="164"/>
      <c r="Q65" s="343"/>
      <c r="R65" s="183"/>
      <c r="S65" s="17"/>
      <c r="T65" s="17"/>
    </row>
    <row r="66">
      <c r="A66" s="337"/>
      <c r="B66" s="164"/>
      <c r="C66" s="337"/>
      <c r="D66" s="177"/>
      <c r="E66" s="337"/>
      <c r="F66" s="164"/>
      <c r="G66" s="337"/>
      <c r="H66" s="164"/>
      <c r="I66" s="344"/>
      <c r="J66" s="177"/>
      <c r="K66" s="344"/>
      <c r="L66" s="177"/>
      <c r="M66" s="344"/>
      <c r="N66" s="177"/>
      <c r="O66" s="337"/>
      <c r="P66" s="164"/>
      <c r="Q66" s="343"/>
      <c r="R66" s="183"/>
      <c r="S66" s="17"/>
      <c r="T66" s="17"/>
    </row>
    <row r="67">
      <c r="A67" s="337"/>
      <c r="B67" s="164"/>
      <c r="C67" s="337"/>
      <c r="D67" s="177"/>
      <c r="E67" s="337"/>
      <c r="F67" s="164"/>
      <c r="G67" s="337"/>
      <c r="H67" s="164"/>
      <c r="I67" s="344"/>
      <c r="J67" s="177"/>
      <c r="K67" s="344"/>
      <c r="L67" s="177"/>
      <c r="M67" s="344"/>
      <c r="N67" s="177"/>
      <c r="O67" s="337"/>
      <c r="P67" s="164"/>
      <c r="Q67" s="343"/>
      <c r="R67" s="183"/>
      <c r="S67" s="17"/>
      <c r="T67" s="17"/>
    </row>
    <row r="68">
      <c r="A68" s="337"/>
      <c r="B68" s="164"/>
      <c r="C68" s="337"/>
      <c r="D68" s="177"/>
      <c r="E68" s="337"/>
      <c r="F68" s="164"/>
      <c r="G68" s="337"/>
      <c r="H68" s="164"/>
      <c r="I68" s="344"/>
      <c r="J68" s="177"/>
      <c r="K68" s="344"/>
      <c r="L68" s="177"/>
      <c r="M68" s="344"/>
      <c r="N68" s="177"/>
      <c r="O68" s="337"/>
      <c r="P68" s="164"/>
      <c r="Q68" s="343"/>
      <c r="R68" s="183"/>
      <c r="S68" s="17"/>
      <c r="T68" s="17"/>
    </row>
    <row r="69">
      <c r="A69" s="337"/>
      <c r="B69" s="164"/>
      <c r="C69" s="337"/>
      <c r="D69" s="177"/>
      <c r="E69" s="337"/>
      <c r="F69" s="164"/>
      <c r="G69" s="337"/>
      <c r="H69" s="164"/>
      <c r="I69" s="344"/>
      <c r="J69" s="177"/>
      <c r="K69" s="344"/>
      <c r="L69" s="177"/>
      <c r="M69" s="344"/>
      <c r="N69" s="177"/>
      <c r="O69" s="337"/>
      <c r="P69" s="164"/>
      <c r="Q69" s="343"/>
      <c r="R69" s="183"/>
      <c r="S69" s="17"/>
      <c r="T69" s="17"/>
    </row>
    <row r="70">
      <c r="A70" s="337"/>
      <c r="B70" s="164"/>
      <c r="C70" s="337"/>
      <c r="D70" s="177"/>
      <c r="E70" s="337"/>
      <c r="F70" s="164"/>
      <c r="G70" s="337"/>
      <c r="H70" s="164"/>
      <c r="I70" s="344"/>
      <c r="J70" s="177"/>
      <c r="K70" s="344"/>
      <c r="L70" s="177"/>
      <c r="M70" s="344"/>
      <c r="N70" s="177"/>
      <c r="O70" s="337"/>
      <c r="P70" s="164"/>
      <c r="Q70" s="343"/>
      <c r="R70" s="183"/>
      <c r="S70" s="17"/>
      <c r="T70" s="17"/>
    </row>
    <row r="71">
      <c r="A71" s="337"/>
      <c r="B71" s="164"/>
      <c r="C71" s="337"/>
      <c r="D71" s="177"/>
      <c r="E71" s="337"/>
      <c r="F71" s="164"/>
      <c r="G71" s="337"/>
      <c r="H71" s="164"/>
      <c r="I71" s="344"/>
      <c r="J71" s="177"/>
      <c r="K71" s="344"/>
      <c r="L71" s="177"/>
      <c r="M71" s="344"/>
      <c r="N71" s="177"/>
      <c r="O71" s="337"/>
      <c r="P71" s="164"/>
      <c r="Q71" s="343"/>
      <c r="R71" s="183"/>
      <c r="S71" s="17"/>
      <c r="T71" s="17"/>
    </row>
    <row r="72">
      <c r="A72" s="337"/>
      <c r="B72" s="164"/>
      <c r="C72" s="337"/>
      <c r="D72" s="177"/>
      <c r="E72" s="337"/>
      <c r="F72" s="164"/>
      <c r="G72" s="337"/>
      <c r="H72" s="164"/>
      <c r="I72" s="344"/>
      <c r="J72" s="177"/>
      <c r="K72" s="344"/>
      <c r="L72" s="177"/>
      <c r="M72" s="344"/>
      <c r="N72" s="177"/>
      <c r="O72" s="337"/>
      <c r="P72" s="164"/>
      <c r="Q72" s="343"/>
      <c r="R72" s="183"/>
      <c r="S72" s="17"/>
      <c r="T72" s="17"/>
    </row>
    <row r="73">
      <c r="A73" s="337"/>
      <c r="B73" s="164"/>
      <c r="C73" s="337"/>
      <c r="D73" s="177"/>
      <c r="E73" s="337"/>
      <c r="F73" s="164"/>
      <c r="G73" s="337"/>
      <c r="H73" s="164"/>
      <c r="I73" s="344"/>
      <c r="J73" s="177"/>
      <c r="K73" s="344"/>
      <c r="L73" s="177"/>
      <c r="M73" s="344"/>
      <c r="N73" s="177"/>
      <c r="O73" s="337"/>
      <c r="P73" s="164"/>
      <c r="Q73" s="343"/>
      <c r="R73" s="183"/>
      <c r="S73" s="17"/>
      <c r="T73" s="17"/>
    </row>
    <row r="74">
      <c r="A74" s="337"/>
      <c r="B74" s="164"/>
      <c r="C74" s="337"/>
      <c r="D74" s="177"/>
      <c r="E74" s="337"/>
      <c r="F74" s="164"/>
      <c r="G74" s="337"/>
      <c r="H74" s="164"/>
      <c r="I74" s="344"/>
      <c r="J74" s="177"/>
      <c r="K74" s="344"/>
      <c r="L74" s="177"/>
      <c r="M74" s="344"/>
      <c r="N74" s="177"/>
      <c r="O74" s="337"/>
      <c r="P74" s="164"/>
      <c r="Q74" s="343"/>
      <c r="R74" s="183"/>
      <c r="S74" s="17"/>
      <c r="T74" s="17"/>
    </row>
    <row r="75">
      <c r="A75" s="337"/>
      <c r="B75" s="164"/>
      <c r="C75" s="337"/>
      <c r="D75" s="177"/>
      <c r="E75" s="337"/>
      <c r="F75" s="164"/>
      <c r="G75" s="337"/>
      <c r="H75" s="164"/>
      <c r="I75" s="344"/>
      <c r="J75" s="177"/>
      <c r="K75" s="344"/>
      <c r="L75" s="177"/>
      <c r="M75" s="344"/>
      <c r="N75" s="177"/>
      <c r="O75" s="337"/>
      <c r="P75" s="164"/>
      <c r="Q75" s="343"/>
      <c r="R75" s="183"/>
      <c r="S75" s="17"/>
      <c r="T75" s="17"/>
    </row>
    <row r="76">
      <c r="A76" s="337"/>
      <c r="B76" s="164"/>
      <c r="C76" s="337"/>
      <c r="D76" s="177"/>
      <c r="E76" s="337"/>
      <c r="F76" s="164"/>
      <c r="G76" s="337"/>
      <c r="H76" s="164"/>
      <c r="I76" s="344"/>
      <c r="J76" s="177"/>
      <c r="K76" s="344"/>
      <c r="L76" s="177"/>
      <c r="M76" s="344"/>
      <c r="N76" s="177"/>
      <c r="O76" s="337"/>
      <c r="P76" s="164"/>
      <c r="Q76" s="343"/>
      <c r="R76" s="183"/>
      <c r="S76" s="17"/>
      <c r="T76" s="17"/>
    </row>
    <row r="77">
      <c r="A77" s="337"/>
      <c r="B77" s="164"/>
      <c r="C77" s="337"/>
      <c r="D77" s="177"/>
      <c r="E77" s="337"/>
      <c r="F77" s="164"/>
      <c r="G77" s="337"/>
      <c r="H77" s="164"/>
      <c r="I77" s="344"/>
      <c r="J77" s="177"/>
      <c r="K77" s="344"/>
      <c r="L77" s="177"/>
      <c r="M77" s="344"/>
      <c r="N77" s="177"/>
      <c r="O77" s="337"/>
      <c r="P77" s="164"/>
      <c r="Q77" s="343"/>
      <c r="R77" s="183"/>
      <c r="S77" s="17"/>
      <c r="T77" s="17"/>
    </row>
    <row r="78">
      <c r="A78" s="337"/>
      <c r="B78" s="164"/>
      <c r="C78" s="337"/>
      <c r="D78" s="177"/>
      <c r="E78" s="337"/>
      <c r="F78" s="164"/>
      <c r="G78" s="337"/>
      <c r="H78" s="164"/>
      <c r="I78" s="344"/>
      <c r="J78" s="177"/>
      <c r="K78" s="344"/>
      <c r="L78" s="177"/>
      <c r="M78" s="344"/>
      <c r="N78" s="177"/>
      <c r="O78" s="337"/>
      <c r="P78" s="164"/>
      <c r="Q78" s="343"/>
      <c r="R78" s="183"/>
      <c r="S78" s="17"/>
      <c r="T78" s="17"/>
    </row>
    <row r="79">
      <c r="A79" s="337"/>
      <c r="B79" s="164"/>
      <c r="C79" s="337"/>
      <c r="D79" s="177"/>
      <c r="E79" s="337"/>
      <c r="F79" s="164"/>
      <c r="G79" s="337"/>
      <c r="H79" s="164"/>
      <c r="I79" s="344"/>
      <c r="J79" s="177"/>
      <c r="K79" s="344"/>
      <c r="L79" s="177"/>
      <c r="M79" s="344"/>
      <c r="N79" s="177"/>
      <c r="O79" s="337"/>
      <c r="P79" s="164"/>
      <c r="Q79" s="343"/>
      <c r="R79" s="183"/>
      <c r="S79" s="17"/>
      <c r="T79" s="17"/>
    </row>
    <row r="80">
      <c r="A80" s="337"/>
      <c r="B80" s="164"/>
      <c r="C80" s="337"/>
      <c r="D80" s="177"/>
      <c r="E80" s="337"/>
      <c r="F80" s="164"/>
      <c r="G80" s="337"/>
      <c r="H80" s="164"/>
      <c r="I80" s="344"/>
      <c r="J80" s="177"/>
      <c r="K80" s="344"/>
      <c r="L80" s="177"/>
      <c r="M80" s="344"/>
      <c r="N80" s="177"/>
      <c r="O80" s="337"/>
      <c r="P80" s="164"/>
      <c r="Q80" s="343"/>
      <c r="R80" s="183"/>
      <c r="S80" s="17"/>
      <c r="T80" s="17"/>
    </row>
    <row r="81">
      <c r="A81" s="337"/>
      <c r="B81" s="164"/>
      <c r="C81" s="337"/>
      <c r="D81" s="177"/>
      <c r="E81" s="337"/>
      <c r="F81" s="164"/>
      <c r="G81" s="337"/>
      <c r="H81" s="164"/>
      <c r="I81" s="344"/>
      <c r="J81" s="177"/>
      <c r="K81" s="344"/>
      <c r="L81" s="177"/>
      <c r="M81" s="344"/>
      <c r="N81" s="177"/>
      <c r="O81" s="337"/>
      <c r="P81" s="164"/>
      <c r="Q81" s="343"/>
      <c r="R81" s="183"/>
      <c r="S81" s="17"/>
      <c r="T81" s="17"/>
    </row>
    <row r="82">
      <c r="A82" s="337"/>
      <c r="B82" s="164"/>
      <c r="C82" s="337"/>
      <c r="D82" s="177"/>
      <c r="E82" s="337"/>
      <c r="F82" s="164"/>
      <c r="G82" s="337"/>
      <c r="H82" s="164"/>
      <c r="I82" s="344"/>
      <c r="J82" s="177"/>
      <c r="K82" s="344"/>
      <c r="L82" s="177"/>
      <c r="M82" s="344"/>
      <c r="N82" s="177"/>
      <c r="O82" s="337"/>
      <c r="P82" s="164"/>
      <c r="Q82" s="343"/>
      <c r="R82" s="183"/>
      <c r="S82" s="17"/>
      <c r="T82" s="17"/>
    </row>
    <row r="83">
      <c r="A83" s="337"/>
      <c r="B83" s="164"/>
      <c r="C83" s="337"/>
      <c r="D83" s="177"/>
      <c r="E83" s="337"/>
      <c r="F83" s="164"/>
      <c r="G83" s="337"/>
      <c r="H83" s="164"/>
      <c r="I83" s="344"/>
      <c r="J83" s="177"/>
      <c r="K83" s="344"/>
      <c r="L83" s="177"/>
      <c r="M83" s="344"/>
      <c r="N83" s="177"/>
      <c r="O83" s="337"/>
      <c r="P83" s="164"/>
      <c r="Q83" s="343"/>
      <c r="R83" s="183"/>
      <c r="S83" s="17"/>
      <c r="T83" s="17"/>
    </row>
    <row r="84">
      <c r="A84" s="337"/>
      <c r="B84" s="164"/>
      <c r="C84" s="337"/>
      <c r="D84" s="177"/>
      <c r="E84" s="337"/>
      <c r="F84" s="164"/>
      <c r="G84" s="337"/>
      <c r="H84" s="164"/>
      <c r="I84" s="344"/>
      <c r="J84" s="177"/>
      <c r="K84" s="344"/>
      <c r="L84" s="177"/>
      <c r="M84" s="344"/>
      <c r="N84" s="177"/>
      <c r="O84" s="337"/>
      <c r="P84" s="164"/>
      <c r="Q84" s="343"/>
      <c r="R84" s="183"/>
      <c r="S84" s="17"/>
      <c r="T84" s="17"/>
    </row>
    <row r="85">
      <c r="A85" s="337"/>
      <c r="B85" s="164"/>
      <c r="C85" s="337"/>
      <c r="D85" s="177"/>
      <c r="E85" s="337"/>
      <c r="F85" s="164"/>
      <c r="G85" s="337"/>
      <c r="H85" s="164"/>
      <c r="I85" s="344"/>
      <c r="J85" s="177"/>
      <c r="K85" s="344"/>
      <c r="L85" s="177"/>
      <c r="M85" s="344"/>
      <c r="N85" s="177"/>
      <c r="O85" s="337"/>
      <c r="P85" s="164"/>
      <c r="Q85" s="343"/>
      <c r="R85" s="183"/>
      <c r="S85" s="17"/>
      <c r="T85" s="17"/>
    </row>
    <row r="86">
      <c r="A86" s="337"/>
      <c r="B86" s="164"/>
      <c r="C86" s="337"/>
      <c r="D86" s="177"/>
      <c r="E86" s="337"/>
      <c r="F86" s="164"/>
      <c r="G86" s="337"/>
      <c r="H86" s="164"/>
      <c r="I86" s="344"/>
      <c r="J86" s="177"/>
      <c r="K86" s="344"/>
      <c r="L86" s="177"/>
      <c r="M86" s="344"/>
      <c r="N86" s="177"/>
      <c r="O86" s="337"/>
      <c r="P86" s="164"/>
      <c r="Q86" s="343"/>
      <c r="R86" s="183"/>
      <c r="S86" s="17"/>
      <c r="T86" s="17"/>
    </row>
    <row r="87">
      <c r="A87" s="337"/>
      <c r="B87" s="164"/>
      <c r="C87" s="337"/>
      <c r="D87" s="177"/>
      <c r="E87" s="337"/>
      <c r="F87" s="164"/>
      <c r="G87" s="337"/>
      <c r="H87" s="164"/>
      <c r="I87" s="344"/>
      <c r="J87" s="177"/>
      <c r="K87" s="344"/>
      <c r="L87" s="177"/>
      <c r="M87" s="344"/>
      <c r="N87" s="177"/>
      <c r="O87" s="337"/>
      <c r="P87" s="164"/>
      <c r="Q87" s="343"/>
      <c r="R87" s="183"/>
      <c r="S87" s="17"/>
      <c r="T87" s="17"/>
    </row>
    <row r="88">
      <c r="A88" s="337"/>
      <c r="B88" s="164"/>
      <c r="C88" s="337"/>
      <c r="D88" s="177"/>
      <c r="E88" s="337"/>
      <c r="F88" s="164"/>
      <c r="G88" s="337"/>
      <c r="H88" s="164"/>
      <c r="I88" s="344"/>
      <c r="J88" s="177"/>
      <c r="K88" s="344"/>
      <c r="L88" s="177"/>
      <c r="M88" s="344"/>
      <c r="N88" s="177"/>
      <c r="O88" s="337"/>
      <c r="P88" s="164"/>
      <c r="Q88" s="343"/>
      <c r="R88" s="183"/>
      <c r="S88" s="17"/>
      <c r="T88" s="17"/>
    </row>
    <row r="89">
      <c r="A89" s="337"/>
      <c r="B89" s="164"/>
      <c r="C89" s="337"/>
      <c r="D89" s="177"/>
      <c r="E89" s="337"/>
      <c r="F89" s="164"/>
      <c r="G89" s="337"/>
      <c r="H89" s="164"/>
      <c r="I89" s="344"/>
      <c r="J89" s="177"/>
      <c r="K89" s="344"/>
      <c r="L89" s="177"/>
      <c r="M89" s="344"/>
      <c r="N89" s="177"/>
      <c r="O89" s="337"/>
      <c r="P89" s="164"/>
      <c r="Q89" s="343"/>
      <c r="R89" s="183"/>
      <c r="S89" s="17"/>
      <c r="T89" s="17"/>
    </row>
    <row r="90">
      <c r="A90" s="337"/>
      <c r="B90" s="164"/>
      <c r="C90" s="337"/>
      <c r="D90" s="177"/>
      <c r="E90" s="337"/>
      <c r="F90" s="164"/>
      <c r="G90" s="337"/>
      <c r="H90" s="164"/>
      <c r="I90" s="344"/>
      <c r="J90" s="177"/>
      <c r="K90" s="344"/>
      <c r="L90" s="177"/>
      <c r="M90" s="344"/>
      <c r="N90" s="177"/>
      <c r="O90" s="337"/>
      <c r="P90" s="164"/>
      <c r="Q90" s="201"/>
      <c r="R90" s="201"/>
      <c r="S90" s="17"/>
      <c r="T90" s="17"/>
    </row>
    <row r="91">
      <c r="A91" s="337"/>
      <c r="B91" s="164"/>
      <c r="C91" s="337"/>
      <c r="D91" s="177"/>
      <c r="E91" s="337"/>
      <c r="F91" s="164"/>
      <c r="G91" s="337"/>
      <c r="H91" s="164"/>
      <c r="I91" s="344"/>
      <c r="J91" s="177"/>
      <c r="K91" s="344"/>
      <c r="L91" s="177"/>
      <c r="M91" s="344"/>
      <c r="N91" s="177"/>
      <c r="O91" s="337"/>
      <c r="P91" s="164"/>
      <c r="Q91" s="201"/>
      <c r="R91" s="201"/>
      <c r="S91" s="17"/>
      <c r="T91" s="17"/>
    </row>
    <row r="92">
      <c r="A92" s="337"/>
      <c r="B92" s="164"/>
      <c r="C92" s="337"/>
      <c r="D92" s="177"/>
      <c r="E92" s="337"/>
      <c r="F92" s="164"/>
      <c r="G92" s="337"/>
      <c r="H92" s="164"/>
      <c r="I92" s="344"/>
      <c r="J92" s="177"/>
      <c r="K92" s="344"/>
      <c r="L92" s="177"/>
      <c r="M92" s="344"/>
      <c r="N92" s="177"/>
      <c r="O92" s="337"/>
      <c r="P92" s="164"/>
      <c r="Q92" s="201"/>
      <c r="R92" s="201"/>
      <c r="S92" s="17"/>
      <c r="T92" s="17"/>
    </row>
    <row r="93">
      <c r="A93" s="337"/>
      <c r="B93" s="164"/>
      <c r="C93" s="337"/>
      <c r="D93" s="177"/>
      <c r="E93" s="337"/>
      <c r="F93" s="164"/>
      <c r="G93" s="337"/>
      <c r="H93" s="164"/>
      <c r="I93" s="344"/>
      <c r="J93" s="177"/>
      <c r="K93" s="344"/>
      <c r="L93" s="177"/>
      <c r="M93" s="344"/>
      <c r="N93" s="177"/>
      <c r="O93" s="337"/>
      <c r="P93" s="164"/>
      <c r="Q93" s="201"/>
      <c r="R93" s="201"/>
      <c r="S93" s="17"/>
      <c r="T93" s="17"/>
    </row>
    <row r="94">
      <c r="A94" s="337"/>
      <c r="B94" s="164"/>
      <c r="C94" s="337"/>
      <c r="D94" s="177"/>
      <c r="E94" s="337"/>
      <c r="F94" s="164"/>
      <c r="G94" s="337"/>
      <c r="H94" s="164"/>
      <c r="I94" s="344"/>
      <c r="J94" s="177"/>
      <c r="K94" s="344"/>
      <c r="L94" s="177"/>
      <c r="M94" s="344"/>
      <c r="N94" s="177"/>
      <c r="O94" s="337"/>
      <c r="P94" s="164"/>
      <c r="Q94" s="201"/>
      <c r="R94" s="201"/>
      <c r="S94" s="17"/>
      <c r="T94" s="17"/>
    </row>
    <row r="95">
      <c r="A95" s="337"/>
      <c r="B95" s="164"/>
      <c r="C95" s="337"/>
      <c r="D95" s="177"/>
      <c r="E95" s="337"/>
      <c r="F95" s="164"/>
      <c r="G95" s="337"/>
      <c r="H95" s="164"/>
      <c r="I95" s="344"/>
      <c r="J95" s="177"/>
      <c r="K95" s="344"/>
      <c r="L95" s="177"/>
      <c r="M95" s="344"/>
      <c r="N95" s="177"/>
      <c r="O95" s="337"/>
      <c r="P95" s="164"/>
      <c r="Q95" s="201"/>
      <c r="R95" s="201"/>
      <c r="S95" s="17"/>
      <c r="T95" s="17"/>
    </row>
    <row r="96">
      <c r="A96" s="337"/>
      <c r="B96" s="164"/>
      <c r="C96" s="337"/>
      <c r="D96" s="177"/>
      <c r="E96" s="337"/>
      <c r="F96" s="164"/>
      <c r="G96" s="337"/>
      <c r="H96" s="164"/>
      <c r="I96" s="344"/>
      <c r="J96" s="177"/>
      <c r="K96" s="344"/>
      <c r="L96" s="177"/>
      <c r="M96" s="344"/>
      <c r="N96" s="177"/>
      <c r="O96" s="337"/>
      <c r="P96" s="164"/>
      <c r="Q96" s="201"/>
      <c r="R96" s="201"/>
      <c r="S96" s="17"/>
      <c r="T96" s="17"/>
    </row>
    <row r="97">
      <c r="A97" s="337"/>
      <c r="B97" s="164"/>
      <c r="C97" s="337"/>
      <c r="D97" s="177"/>
      <c r="E97" s="337"/>
      <c r="F97" s="164"/>
      <c r="G97" s="337"/>
      <c r="H97" s="164"/>
      <c r="I97" s="344"/>
      <c r="J97" s="177"/>
      <c r="K97" s="344"/>
      <c r="L97" s="177"/>
      <c r="M97" s="344"/>
      <c r="N97" s="177"/>
      <c r="O97" s="337"/>
      <c r="P97" s="164"/>
      <c r="Q97" s="201"/>
      <c r="R97" s="201"/>
      <c r="S97" s="17"/>
      <c r="T97" s="17"/>
    </row>
    <row r="98">
      <c r="A98" s="337"/>
      <c r="B98" s="164"/>
      <c r="C98" s="337"/>
      <c r="D98" s="177"/>
      <c r="E98" s="337"/>
      <c r="F98" s="164"/>
      <c r="G98" s="337"/>
      <c r="H98" s="164"/>
      <c r="I98" s="344"/>
      <c r="J98" s="177"/>
      <c r="K98" s="344"/>
      <c r="L98" s="177"/>
      <c r="M98" s="344"/>
      <c r="N98" s="177"/>
      <c r="O98" s="337"/>
      <c r="P98" s="164"/>
      <c r="Q98" s="201"/>
      <c r="R98" s="201"/>
      <c r="S98" s="17"/>
      <c r="T98" s="17"/>
    </row>
    <row r="99">
      <c r="A99" s="337"/>
      <c r="B99" s="164"/>
      <c r="C99" s="337"/>
      <c r="D99" s="177"/>
      <c r="E99" s="337"/>
      <c r="F99" s="164"/>
      <c r="G99" s="337"/>
      <c r="H99" s="164"/>
      <c r="I99" s="344"/>
      <c r="J99" s="177"/>
      <c r="K99" s="344"/>
      <c r="L99" s="177"/>
      <c r="M99" s="344"/>
      <c r="N99" s="177"/>
      <c r="O99" s="337"/>
      <c r="P99" s="164"/>
      <c r="Q99" s="201"/>
      <c r="R99" s="201"/>
      <c r="S99" s="17"/>
      <c r="T99" s="17"/>
    </row>
    <row r="100">
      <c r="A100" s="337"/>
      <c r="B100" s="164"/>
      <c r="C100" s="337"/>
      <c r="D100" s="177"/>
      <c r="E100" s="337"/>
      <c r="F100" s="164"/>
      <c r="G100" s="337"/>
      <c r="H100" s="164"/>
      <c r="I100" s="344"/>
      <c r="J100" s="177"/>
      <c r="K100" s="344"/>
      <c r="L100" s="177"/>
      <c r="M100" s="344"/>
      <c r="N100" s="177"/>
      <c r="O100" s="337"/>
      <c r="P100" s="164"/>
      <c r="Q100" s="201"/>
      <c r="R100" s="201"/>
      <c r="S100" s="17"/>
      <c r="T100" s="17"/>
    </row>
    <row r="101">
      <c r="A101" s="337"/>
      <c r="B101" s="164"/>
      <c r="C101" s="337"/>
      <c r="D101" s="177"/>
      <c r="E101" s="337"/>
      <c r="F101" s="164"/>
      <c r="G101" s="337"/>
      <c r="H101" s="164"/>
      <c r="I101" s="344"/>
      <c r="J101" s="177"/>
      <c r="K101" s="344"/>
      <c r="L101" s="177"/>
      <c r="M101" s="344"/>
      <c r="N101" s="177"/>
      <c r="O101" s="337"/>
      <c r="P101" s="164"/>
      <c r="Q101" s="201"/>
      <c r="R101" s="201"/>
      <c r="S101" s="17"/>
      <c r="T101" s="17"/>
    </row>
    <row r="102">
      <c r="A102" s="337"/>
      <c r="B102" s="164"/>
      <c r="C102" s="337"/>
      <c r="D102" s="177"/>
      <c r="E102" s="337"/>
      <c r="F102" s="164"/>
      <c r="G102" s="337"/>
      <c r="H102" s="164"/>
      <c r="I102" s="344"/>
      <c r="J102" s="177"/>
      <c r="K102" s="344"/>
      <c r="L102" s="177"/>
      <c r="M102" s="344"/>
      <c r="N102" s="177"/>
      <c r="O102" s="337"/>
      <c r="P102" s="164"/>
      <c r="Q102" s="201"/>
      <c r="R102" s="201"/>
      <c r="S102" s="17"/>
      <c r="T102" s="17"/>
    </row>
    <row r="103">
      <c r="A103" s="337"/>
      <c r="B103" s="164"/>
      <c r="C103" s="337"/>
      <c r="D103" s="177"/>
      <c r="E103" s="337"/>
      <c r="F103" s="164"/>
      <c r="G103" s="337"/>
      <c r="H103" s="164"/>
      <c r="I103" s="344"/>
      <c r="J103" s="177"/>
      <c r="K103" s="344"/>
      <c r="L103" s="177"/>
      <c r="M103" s="344"/>
      <c r="N103" s="177"/>
      <c r="O103" s="337"/>
      <c r="P103" s="164"/>
      <c r="Q103" s="201"/>
      <c r="R103" s="201"/>
      <c r="S103" s="17"/>
      <c r="T103" s="17"/>
    </row>
    <row r="104">
      <c r="A104" s="337"/>
      <c r="B104" s="164"/>
      <c r="C104" s="337"/>
      <c r="D104" s="177"/>
      <c r="E104" s="337"/>
      <c r="F104" s="164"/>
      <c r="G104" s="337"/>
      <c r="H104" s="164"/>
      <c r="I104" s="344"/>
      <c r="J104" s="177"/>
      <c r="K104" s="344"/>
      <c r="L104" s="177"/>
      <c r="M104" s="344"/>
      <c r="N104" s="177"/>
      <c r="O104" s="337"/>
      <c r="P104" s="164"/>
      <c r="Q104" s="201"/>
      <c r="R104" s="201"/>
      <c r="S104" s="17"/>
      <c r="T104" s="17"/>
    </row>
    <row r="105">
      <c r="A105" s="337"/>
      <c r="B105" s="164"/>
      <c r="C105" s="337"/>
      <c r="D105" s="177"/>
      <c r="E105" s="337"/>
      <c r="F105" s="164"/>
      <c r="G105" s="337"/>
      <c r="H105" s="164"/>
      <c r="I105" s="344"/>
      <c r="J105" s="177"/>
      <c r="K105" s="344"/>
      <c r="L105" s="177"/>
      <c r="M105" s="344"/>
      <c r="N105" s="177"/>
      <c r="O105" s="337"/>
      <c r="P105" s="164"/>
      <c r="Q105" s="201"/>
      <c r="R105" s="201"/>
      <c r="S105" s="17"/>
      <c r="T105" s="17"/>
    </row>
    <row r="106">
      <c r="A106" s="337"/>
      <c r="B106" s="164"/>
      <c r="C106" s="337"/>
      <c r="D106" s="177"/>
      <c r="E106" s="337"/>
      <c r="F106" s="164"/>
      <c r="G106" s="337"/>
      <c r="H106" s="164"/>
      <c r="I106" s="344"/>
      <c r="J106" s="177"/>
      <c r="K106" s="344"/>
      <c r="L106" s="177"/>
      <c r="M106" s="344"/>
      <c r="N106" s="177"/>
      <c r="O106" s="337"/>
      <c r="P106" s="164"/>
      <c r="Q106" s="201"/>
      <c r="R106" s="201"/>
      <c r="S106" s="17"/>
      <c r="T106" s="17"/>
    </row>
    <row r="107">
      <c r="A107" s="337"/>
      <c r="B107" s="164"/>
      <c r="C107" s="337"/>
      <c r="D107" s="177"/>
      <c r="E107" s="337"/>
      <c r="F107" s="164"/>
      <c r="G107" s="337"/>
      <c r="H107" s="164"/>
      <c r="I107" s="344"/>
      <c r="J107" s="177"/>
      <c r="K107" s="344"/>
      <c r="L107" s="177"/>
      <c r="M107" s="344"/>
      <c r="N107" s="177"/>
      <c r="O107" s="337"/>
      <c r="P107" s="164"/>
      <c r="Q107" s="201"/>
      <c r="R107" s="201"/>
      <c r="S107" s="17"/>
      <c r="T107" s="17"/>
    </row>
    <row r="108">
      <c r="A108" s="337"/>
      <c r="B108" s="164"/>
      <c r="C108" s="337"/>
      <c r="D108" s="177"/>
      <c r="E108" s="337"/>
      <c r="F108" s="164"/>
      <c r="G108" s="337"/>
      <c r="H108" s="164"/>
      <c r="I108" s="344"/>
      <c r="J108" s="177"/>
      <c r="K108" s="344"/>
      <c r="L108" s="177"/>
      <c r="M108" s="344"/>
      <c r="N108" s="177"/>
      <c r="O108" s="337"/>
      <c r="P108" s="164"/>
      <c r="Q108" s="201"/>
      <c r="R108" s="201"/>
      <c r="S108" s="17"/>
      <c r="T108" s="17"/>
    </row>
    <row r="109">
      <c r="A109" s="337"/>
      <c r="B109" s="164"/>
      <c r="C109" s="337"/>
      <c r="D109" s="177"/>
      <c r="E109" s="337"/>
      <c r="F109" s="164"/>
      <c r="G109" s="337"/>
      <c r="H109" s="164"/>
      <c r="I109" s="344"/>
      <c r="J109" s="177"/>
      <c r="K109" s="344"/>
      <c r="L109" s="177"/>
      <c r="M109" s="344"/>
      <c r="N109" s="177"/>
      <c r="O109" s="337"/>
      <c r="P109" s="164"/>
      <c r="Q109" s="201"/>
      <c r="R109" s="201"/>
      <c r="S109" s="17"/>
      <c r="T109" s="17"/>
    </row>
    <row r="110">
      <c r="A110" s="337"/>
      <c r="B110" s="164"/>
      <c r="C110" s="337"/>
      <c r="D110" s="177"/>
      <c r="E110" s="337"/>
      <c r="F110" s="164"/>
      <c r="G110" s="337"/>
      <c r="H110" s="164"/>
      <c r="I110" s="344"/>
      <c r="J110" s="177"/>
      <c r="K110" s="344"/>
      <c r="L110" s="177"/>
      <c r="M110" s="344"/>
      <c r="N110" s="177"/>
      <c r="O110" s="337"/>
      <c r="P110" s="164"/>
      <c r="Q110" s="201"/>
      <c r="R110" s="201"/>
      <c r="S110" s="17"/>
      <c r="T110" s="17"/>
    </row>
    <row r="111">
      <c r="A111" s="337"/>
      <c r="B111" s="164"/>
      <c r="C111" s="337"/>
      <c r="D111" s="177"/>
      <c r="E111" s="337"/>
      <c r="F111" s="164"/>
      <c r="G111" s="337"/>
      <c r="H111" s="164"/>
      <c r="I111" s="344"/>
      <c r="J111" s="177"/>
      <c r="K111" s="344"/>
      <c r="L111" s="177"/>
      <c r="M111" s="344"/>
      <c r="N111" s="177"/>
      <c r="O111" s="337"/>
      <c r="P111" s="164"/>
      <c r="Q111" s="201"/>
      <c r="R111" s="201"/>
      <c r="S111" s="17"/>
      <c r="T111" s="17"/>
    </row>
    <row r="112">
      <c r="A112" s="337"/>
      <c r="B112" s="164"/>
      <c r="C112" s="337"/>
      <c r="D112" s="177"/>
      <c r="E112" s="337"/>
      <c r="F112" s="164"/>
      <c r="G112" s="337"/>
      <c r="H112" s="164"/>
      <c r="I112" s="344"/>
      <c r="J112" s="177"/>
      <c r="K112" s="344"/>
      <c r="L112" s="177"/>
      <c r="M112" s="344"/>
      <c r="N112" s="177"/>
      <c r="O112" s="337"/>
      <c r="P112" s="164"/>
      <c r="Q112" s="201"/>
      <c r="R112" s="201"/>
      <c r="S112" s="17"/>
      <c r="T112" s="17"/>
    </row>
    <row r="113">
      <c r="A113" s="337"/>
      <c r="B113" s="164"/>
      <c r="C113" s="337"/>
      <c r="D113" s="177"/>
      <c r="E113" s="337"/>
      <c r="F113" s="164"/>
      <c r="G113" s="337"/>
      <c r="H113" s="164"/>
      <c r="I113" s="344"/>
      <c r="J113" s="177"/>
      <c r="K113" s="344"/>
      <c r="L113" s="177"/>
      <c r="M113" s="344"/>
      <c r="N113" s="177"/>
      <c r="O113" s="337"/>
      <c r="P113" s="164"/>
      <c r="Q113" s="201"/>
      <c r="R113" s="201"/>
      <c r="S113" s="17"/>
      <c r="T113" s="17"/>
    </row>
    <row r="114">
      <c r="A114" s="337"/>
      <c r="B114" s="164"/>
      <c r="C114" s="337"/>
      <c r="D114" s="177"/>
      <c r="E114" s="337"/>
      <c r="F114" s="164"/>
      <c r="G114" s="337"/>
      <c r="H114" s="164"/>
      <c r="I114" s="344"/>
      <c r="J114" s="177"/>
      <c r="K114" s="344"/>
      <c r="L114" s="177"/>
      <c r="M114" s="344"/>
      <c r="N114" s="177"/>
      <c r="O114" s="337"/>
      <c r="P114" s="164"/>
      <c r="Q114" s="201"/>
      <c r="R114" s="201"/>
      <c r="S114" s="17"/>
      <c r="T114" s="17"/>
    </row>
    <row r="115">
      <c r="A115" s="337"/>
      <c r="B115" s="164"/>
      <c r="C115" s="337"/>
      <c r="D115" s="177"/>
      <c r="E115" s="337"/>
      <c r="F115" s="164"/>
      <c r="G115" s="337"/>
      <c r="H115" s="164"/>
      <c r="I115" s="344"/>
      <c r="J115" s="177"/>
      <c r="K115" s="344"/>
      <c r="L115" s="177"/>
      <c r="M115" s="344"/>
      <c r="N115" s="177"/>
      <c r="O115" s="337"/>
      <c r="P115" s="164"/>
      <c r="Q115" s="201"/>
      <c r="R115" s="201"/>
      <c r="S115" s="17"/>
      <c r="T115" s="17"/>
    </row>
    <row r="116">
      <c r="A116" s="337"/>
      <c r="B116" s="164"/>
      <c r="C116" s="337"/>
      <c r="D116" s="177"/>
      <c r="E116" s="337"/>
      <c r="F116" s="164"/>
      <c r="G116" s="337"/>
      <c r="H116" s="164"/>
      <c r="I116" s="344"/>
      <c r="J116" s="177"/>
      <c r="K116" s="344"/>
      <c r="L116" s="177"/>
      <c r="M116" s="344"/>
      <c r="N116" s="177"/>
      <c r="O116" s="337"/>
      <c r="P116" s="164"/>
      <c r="Q116" s="201"/>
      <c r="R116" s="201"/>
      <c r="S116" s="17"/>
      <c r="T116" s="17"/>
    </row>
    <row r="117">
      <c r="A117" s="337"/>
      <c r="B117" s="164"/>
      <c r="C117" s="337"/>
      <c r="D117" s="177"/>
      <c r="E117" s="337"/>
      <c r="F117" s="164"/>
      <c r="G117" s="337"/>
      <c r="H117" s="164"/>
      <c r="I117" s="344"/>
      <c r="J117" s="177"/>
      <c r="K117" s="344"/>
      <c r="L117" s="177"/>
      <c r="M117" s="344"/>
      <c r="N117" s="177"/>
      <c r="O117" s="337"/>
      <c r="P117" s="164"/>
      <c r="Q117" s="201"/>
      <c r="R117" s="201"/>
      <c r="S117" s="17"/>
      <c r="T117" s="17"/>
    </row>
    <row r="118">
      <c r="A118" s="337"/>
      <c r="B118" s="164"/>
      <c r="C118" s="337"/>
      <c r="D118" s="177"/>
      <c r="E118" s="337"/>
      <c r="F118" s="164"/>
      <c r="G118" s="337"/>
      <c r="H118" s="164"/>
      <c r="I118" s="344"/>
      <c r="J118" s="177"/>
      <c r="K118" s="344"/>
      <c r="L118" s="177"/>
      <c r="M118" s="344"/>
      <c r="N118" s="177"/>
      <c r="O118" s="337"/>
      <c r="P118" s="164"/>
      <c r="Q118" s="201"/>
      <c r="R118" s="201"/>
      <c r="S118" s="17"/>
      <c r="T118" s="17"/>
    </row>
    <row r="119">
      <c r="A119" s="337"/>
      <c r="B119" s="164"/>
      <c r="C119" s="337"/>
      <c r="D119" s="177"/>
      <c r="E119" s="337"/>
      <c r="F119" s="164"/>
      <c r="G119" s="337"/>
      <c r="H119" s="164"/>
      <c r="I119" s="344"/>
      <c r="J119" s="177"/>
      <c r="K119" s="344"/>
      <c r="L119" s="177"/>
      <c r="M119" s="344"/>
      <c r="N119" s="177"/>
      <c r="O119" s="337"/>
      <c r="P119" s="164"/>
      <c r="Q119" s="201"/>
      <c r="R119" s="201"/>
      <c r="S119" s="17"/>
      <c r="T119" s="17"/>
    </row>
    <row r="120">
      <c r="A120" s="337"/>
      <c r="B120" s="164"/>
      <c r="C120" s="337"/>
      <c r="D120" s="177"/>
      <c r="E120" s="337"/>
      <c r="F120" s="164"/>
      <c r="G120" s="337"/>
      <c r="H120" s="164"/>
      <c r="I120" s="344"/>
      <c r="J120" s="177"/>
      <c r="K120" s="344"/>
      <c r="L120" s="177"/>
      <c r="M120" s="344"/>
      <c r="N120" s="177"/>
      <c r="O120" s="337"/>
      <c r="P120" s="164"/>
      <c r="Q120" s="201"/>
      <c r="R120" s="201"/>
      <c r="S120" s="17"/>
      <c r="T120" s="17"/>
    </row>
    <row r="121">
      <c r="A121" s="337"/>
      <c r="B121" s="164"/>
      <c r="C121" s="337"/>
      <c r="D121" s="177"/>
      <c r="E121" s="337"/>
      <c r="F121" s="164"/>
      <c r="G121" s="337"/>
      <c r="H121" s="164"/>
      <c r="I121" s="344"/>
      <c r="J121" s="177"/>
      <c r="K121" s="344"/>
      <c r="L121" s="177"/>
      <c r="M121" s="344"/>
      <c r="N121" s="177"/>
      <c r="O121" s="337"/>
      <c r="P121" s="164"/>
      <c r="Q121" s="201"/>
      <c r="R121" s="201"/>
      <c r="S121" s="17"/>
      <c r="T121" s="17"/>
    </row>
    <row r="122">
      <c r="A122" s="337"/>
      <c r="B122" s="164"/>
      <c r="C122" s="337"/>
      <c r="D122" s="177"/>
      <c r="E122" s="337"/>
      <c r="F122" s="164"/>
      <c r="G122" s="337"/>
      <c r="H122" s="164"/>
      <c r="I122" s="344"/>
      <c r="J122" s="177"/>
      <c r="K122" s="344"/>
      <c r="L122" s="177"/>
      <c r="M122" s="344"/>
      <c r="N122" s="177"/>
      <c r="O122" s="337"/>
      <c r="P122" s="164"/>
      <c r="Q122" s="201"/>
      <c r="R122" s="201"/>
      <c r="S122" s="17"/>
      <c r="T122" s="17"/>
    </row>
    <row r="123">
      <c r="A123" s="337"/>
      <c r="B123" s="164"/>
      <c r="C123" s="337"/>
      <c r="D123" s="177"/>
      <c r="E123" s="337"/>
      <c r="F123" s="164"/>
      <c r="G123" s="337"/>
      <c r="H123" s="164"/>
      <c r="I123" s="344"/>
      <c r="J123" s="177"/>
      <c r="K123" s="344"/>
      <c r="L123" s="177"/>
      <c r="M123" s="344"/>
      <c r="N123" s="177"/>
      <c r="O123" s="337"/>
      <c r="P123" s="164"/>
      <c r="Q123" s="201"/>
      <c r="R123" s="201"/>
      <c r="S123" s="17"/>
      <c r="T123" s="17"/>
    </row>
    <row r="124">
      <c r="A124" s="337"/>
      <c r="B124" s="164"/>
      <c r="C124" s="337"/>
      <c r="D124" s="177"/>
      <c r="E124" s="337"/>
      <c r="F124" s="164"/>
      <c r="G124" s="337"/>
      <c r="H124" s="164"/>
      <c r="I124" s="344"/>
      <c r="J124" s="177"/>
      <c r="K124" s="344"/>
      <c r="L124" s="177"/>
      <c r="M124" s="344"/>
      <c r="N124" s="177"/>
      <c r="O124" s="337"/>
      <c r="P124" s="164"/>
      <c r="Q124" s="201"/>
      <c r="R124" s="201"/>
      <c r="S124" s="17"/>
      <c r="T124" s="17"/>
    </row>
    <row r="125">
      <c r="A125" s="337"/>
      <c r="B125" s="164"/>
      <c r="C125" s="337"/>
      <c r="D125" s="177"/>
      <c r="E125" s="337"/>
      <c r="F125" s="164"/>
      <c r="G125" s="337"/>
      <c r="H125" s="164"/>
      <c r="I125" s="344"/>
      <c r="J125" s="177"/>
      <c r="K125" s="344"/>
      <c r="L125" s="177"/>
      <c r="M125" s="344"/>
      <c r="N125" s="177"/>
      <c r="O125" s="337"/>
      <c r="P125" s="164"/>
      <c r="Q125" s="201"/>
      <c r="R125" s="201"/>
      <c r="S125" s="17"/>
      <c r="T125" s="17"/>
    </row>
    <row r="126">
      <c r="A126" s="337"/>
      <c r="B126" s="164"/>
      <c r="C126" s="337"/>
      <c r="D126" s="177"/>
      <c r="E126" s="337"/>
      <c r="F126" s="164"/>
      <c r="G126" s="337"/>
      <c r="H126" s="164"/>
      <c r="I126" s="344"/>
      <c r="J126" s="177"/>
      <c r="K126" s="344"/>
      <c r="L126" s="177"/>
      <c r="M126" s="344"/>
      <c r="N126" s="177"/>
      <c r="O126" s="337"/>
      <c r="P126" s="164"/>
      <c r="Q126" s="201"/>
      <c r="R126" s="201"/>
      <c r="S126" s="17"/>
      <c r="T126" s="17"/>
    </row>
    <row r="127">
      <c r="A127" s="337"/>
      <c r="B127" s="164"/>
      <c r="C127" s="337"/>
      <c r="D127" s="177"/>
      <c r="E127" s="337"/>
      <c r="F127" s="164"/>
      <c r="G127" s="337"/>
      <c r="H127" s="164"/>
      <c r="I127" s="344"/>
      <c r="J127" s="177"/>
      <c r="K127" s="344"/>
      <c r="L127" s="177"/>
      <c r="M127" s="344"/>
      <c r="N127" s="177"/>
      <c r="O127" s="337"/>
      <c r="P127" s="164"/>
      <c r="Q127" s="201"/>
      <c r="R127" s="201"/>
      <c r="S127" s="17"/>
      <c r="T127" s="17"/>
    </row>
    <row r="128">
      <c r="A128" s="337"/>
      <c r="B128" s="164"/>
      <c r="C128" s="337"/>
      <c r="D128" s="177"/>
      <c r="E128" s="337"/>
      <c r="F128" s="164"/>
      <c r="G128" s="337"/>
      <c r="H128" s="164"/>
      <c r="I128" s="344"/>
      <c r="J128" s="177"/>
      <c r="K128" s="344"/>
      <c r="L128" s="177"/>
      <c r="M128" s="344"/>
      <c r="N128" s="177"/>
      <c r="O128" s="337"/>
      <c r="P128" s="164"/>
      <c r="Q128" s="201"/>
      <c r="R128" s="201"/>
      <c r="S128" s="17"/>
      <c r="T128" s="17"/>
    </row>
    <row r="129">
      <c r="A129" s="337"/>
      <c r="B129" s="164"/>
      <c r="C129" s="337"/>
      <c r="D129" s="177"/>
      <c r="E129" s="337"/>
      <c r="F129" s="164"/>
      <c r="G129" s="337"/>
      <c r="H129" s="164"/>
      <c r="I129" s="344"/>
      <c r="J129" s="177"/>
      <c r="K129" s="344"/>
      <c r="L129" s="177"/>
      <c r="M129" s="344"/>
      <c r="N129" s="177"/>
      <c r="O129" s="337"/>
      <c r="P129" s="164"/>
      <c r="Q129" s="201"/>
      <c r="R129" s="201"/>
      <c r="S129" s="17"/>
      <c r="T129" s="17"/>
    </row>
    <row r="130">
      <c r="A130" s="337"/>
      <c r="B130" s="164"/>
      <c r="C130" s="337"/>
      <c r="D130" s="177"/>
      <c r="E130" s="337"/>
      <c r="F130" s="164"/>
      <c r="G130" s="337"/>
      <c r="H130" s="164"/>
      <c r="I130" s="344"/>
      <c r="J130" s="177"/>
      <c r="K130" s="344"/>
      <c r="L130" s="177"/>
      <c r="M130" s="344"/>
      <c r="N130" s="177"/>
      <c r="O130" s="337"/>
      <c r="P130" s="164"/>
      <c r="Q130" s="201"/>
      <c r="R130" s="201"/>
      <c r="S130" s="17"/>
      <c r="T130" s="17"/>
    </row>
    <row r="131">
      <c r="A131" s="337"/>
      <c r="B131" s="164"/>
      <c r="C131" s="337"/>
      <c r="D131" s="177"/>
      <c r="E131" s="337"/>
      <c r="F131" s="164"/>
      <c r="G131" s="337"/>
      <c r="H131" s="164"/>
      <c r="I131" s="344"/>
      <c r="J131" s="177"/>
      <c r="K131" s="344"/>
      <c r="L131" s="177"/>
      <c r="M131" s="344"/>
      <c r="N131" s="177"/>
      <c r="O131" s="337"/>
      <c r="P131" s="164"/>
      <c r="Q131" s="201"/>
      <c r="R131" s="201"/>
      <c r="S131" s="17"/>
      <c r="T131" s="17"/>
    </row>
    <row r="132">
      <c r="A132" s="337"/>
      <c r="B132" s="164"/>
      <c r="C132" s="337"/>
      <c r="D132" s="177"/>
      <c r="E132" s="337"/>
      <c r="F132" s="164"/>
      <c r="G132" s="337"/>
      <c r="H132" s="164"/>
      <c r="I132" s="344"/>
      <c r="J132" s="177"/>
      <c r="K132" s="344"/>
      <c r="L132" s="177"/>
      <c r="M132" s="344"/>
      <c r="N132" s="177"/>
      <c r="O132" s="337"/>
      <c r="P132" s="164"/>
      <c r="Q132" s="201"/>
      <c r="R132" s="201"/>
      <c r="S132" s="17"/>
      <c r="T132" s="17"/>
    </row>
    <row r="133">
      <c r="A133" s="337"/>
      <c r="B133" s="164"/>
      <c r="C133" s="337"/>
      <c r="D133" s="177"/>
      <c r="E133" s="337"/>
      <c r="F133" s="164"/>
      <c r="G133" s="337"/>
      <c r="H133" s="164"/>
      <c r="I133" s="344"/>
      <c r="J133" s="177"/>
      <c r="K133" s="344"/>
      <c r="L133" s="177"/>
      <c r="M133" s="344"/>
      <c r="N133" s="177"/>
      <c r="O133" s="337"/>
      <c r="P133" s="164"/>
      <c r="Q133" s="201"/>
      <c r="R133" s="201"/>
      <c r="S133" s="17"/>
      <c r="T133" s="17"/>
    </row>
    <row r="134">
      <c r="A134" s="337"/>
      <c r="B134" s="164"/>
      <c r="C134" s="337"/>
      <c r="D134" s="177"/>
      <c r="E134" s="337"/>
      <c r="F134" s="164"/>
      <c r="G134" s="337"/>
      <c r="H134" s="164"/>
      <c r="I134" s="344"/>
      <c r="J134" s="177"/>
      <c r="K134" s="344"/>
      <c r="L134" s="177"/>
      <c r="M134" s="344"/>
      <c r="N134" s="177"/>
      <c r="O134" s="337"/>
      <c r="P134" s="164"/>
      <c r="Q134" s="201"/>
      <c r="R134" s="201"/>
      <c r="S134" s="17"/>
      <c r="T134" s="17"/>
    </row>
    <row r="135">
      <c r="A135" s="337"/>
      <c r="B135" s="164"/>
      <c r="C135" s="337"/>
      <c r="D135" s="177"/>
      <c r="E135" s="337"/>
      <c r="F135" s="164"/>
      <c r="G135" s="337"/>
      <c r="H135" s="164"/>
      <c r="I135" s="344"/>
      <c r="J135" s="177"/>
      <c r="K135" s="344"/>
      <c r="L135" s="177"/>
      <c r="M135" s="344"/>
      <c r="N135" s="177"/>
      <c r="O135" s="337"/>
      <c r="P135" s="164"/>
      <c r="Q135" s="201"/>
      <c r="R135" s="201"/>
      <c r="S135" s="17"/>
      <c r="T135" s="17"/>
    </row>
    <row r="136">
      <c r="A136" s="337"/>
      <c r="B136" s="164"/>
      <c r="C136" s="337"/>
      <c r="D136" s="177"/>
      <c r="E136" s="337"/>
      <c r="F136" s="164"/>
      <c r="G136" s="337"/>
      <c r="H136" s="164"/>
      <c r="I136" s="344"/>
      <c r="J136" s="177"/>
      <c r="K136" s="344"/>
      <c r="L136" s="177"/>
      <c r="M136" s="344"/>
      <c r="N136" s="177"/>
      <c r="O136" s="337"/>
      <c r="P136" s="164"/>
      <c r="Q136" s="201"/>
      <c r="R136" s="201"/>
      <c r="S136" s="17"/>
      <c r="T136" s="17"/>
    </row>
    <row r="137">
      <c r="A137" s="337"/>
      <c r="B137" s="164"/>
      <c r="C137" s="337"/>
      <c r="D137" s="177"/>
      <c r="E137" s="337"/>
      <c r="F137" s="164"/>
      <c r="G137" s="337"/>
      <c r="H137" s="164"/>
      <c r="I137" s="344"/>
      <c r="J137" s="177"/>
      <c r="K137" s="344"/>
      <c r="L137" s="177"/>
      <c r="M137" s="344"/>
      <c r="N137" s="177"/>
      <c r="O137" s="337"/>
      <c r="P137" s="164"/>
      <c r="Q137" s="201"/>
      <c r="R137" s="201"/>
      <c r="S137" s="17"/>
      <c r="T137" s="17"/>
    </row>
    <row r="138">
      <c r="A138" s="337"/>
      <c r="B138" s="164"/>
      <c r="C138" s="337"/>
      <c r="D138" s="177"/>
      <c r="E138" s="337"/>
      <c r="F138" s="164"/>
      <c r="G138" s="337"/>
      <c r="H138" s="164"/>
      <c r="I138" s="344"/>
      <c r="J138" s="177"/>
      <c r="K138" s="344"/>
      <c r="L138" s="177"/>
      <c r="M138" s="344"/>
      <c r="N138" s="177"/>
      <c r="O138" s="337"/>
      <c r="P138" s="164"/>
      <c r="Q138" s="201"/>
      <c r="R138" s="201"/>
      <c r="S138" s="17"/>
      <c r="T138" s="17"/>
    </row>
    <row r="139">
      <c r="A139" s="337"/>
      <c r="B139" s="164"/>
      <c r="C139" s="337"/>
      <c r="D139" s="177"/>
      <c r="E139" s="337"/>
      <c r="F139" s="164"/>
      <c r="G139" s="337"/>
      <c r="H139" s="164"/>
      <c r="I139" s="344"/>
      <c r="J139" s="177"/>
      <c r="K139" s="344"/>
      <c r="L139" s="177"/>
      <c r="M139" s="344"/>
      <c r="N139" s="177"/>
      <c r="O139" s="337"/>
      <c r="P139" s="164"/>
      <c r="Q139" s="201"/>
      <c r="R139" s="201"/>
      <c r="S139" s="17"/>
      <c r="T139" s="17"/>
    </row>
    <row r="140">
      <c r="A140" s="337"/>
      <c r="B140" s="164"/>
      <c r="C140" s="337"/>
      <c r="D140" s="177"/>
      <c r="E140" s="337"/>
      <c r="F140" s="164"/>
      <c r="G140" s="337"/>
      <c r="H140" s="164"/>
      <c r="I140" s="344"/>
      <c r="J140" s="177"/>
      <c r="K140" s="344"/>
      <c r="L140" s="177"/>
      <c r="M140" s="344"/>
      <c r="N140" s="177"/>
      <c r="O140" s="337"/>
      <c r="P140" s="164"/>
      <c r="Q140" s="201"/>
      <c r="R140" s="201"/>
      <c r="S140" s="17"/>
      <c r="T140" s="17"/>
    </row>
    <row r="141">
      <c r="A141" s="337"/>
      <c r="B141" s="164"/>
      <c r="C141" s="337"/>
      <c r="D141" s="177"/>
      <c r="E141" s="337"/>
      <c r="F141" s="164"/>
      <c r="G141" s="337"/>
      <c r="H141" s="164"/>
      <c r="I141" s="344"/>
      <c r="J141" s="177"/>
      <c r="K141" s="344"/>
      <c r="L141" s="177"/>
      <c r="M141" s="344"/>
      <c r="N141" s="177"/>
      <c r="O141" s="337"/>
      <c r="P141" s="164"/>
      <c r="Q141" s="201"/>
      <c r="R141" s="201"/>
      <c r="S141" s="17"/>
      <c r="T141" s="17"/>
    </row>
    <row r="142">
      <c r="A142" s="337"/>
      <c r="B142" s="164"/>
      <c r="C142" s="337"/>
      <c r="D142" s="177"/>
      <c r="E142" s="337"/>
      <c r="F142" s="164"/>
      <c r="G142" s="337"/>
      <c r="H142" s="164"/>
      <c r="I142" s="344"/>
      <c r="J142" s="177"/>
      <c r="K142" s="344"/>
      <c r="L142" s="177"/>
      <c r="M142" s="344"/>
      <c r="N142" s="177"/>
      <c r="O142" s="337"/>
      <c r="P142" s="164"/>
      <c r="Q142" s="201"/>
      <c r="R142" s="201"/>
      <c r="S142" s="17"/>
      <c r="T142" s="17"/>
    </row>
    <row r="143">
      <c r="A143" s="337"/>
      <c r="B143" s="164"/>
      <c r="C143" s="337"/>
      <c r="D143" s="177"/>
      <c r="E143" s="337"/>
      <c r="F143" s="164"/>
      <c r="G143" s="337"/>
      <c r="H143" s="164"/>
      <c r="I143" s="344"/>
      <c r="J143" s="177"/>
      <c r="K143" s="344"/>
      <c r="L143" s="177"/>
      <c r="M143" s="344"/>
      <c r="N143" s="177"/>
      <c r="O143" s="337"/>
      <c r="P143" s="164"/>
      <c r="Q143" s="201"/>
      <c r="R143" s="201"/>
      <c r="S143" s="17"/>
      <c r="T143" s="17"/>
    </row>
    <row r="144">
      <c r="A144" s="337"/>
      <c r="B144" s="164"/>
      <c r="C144" s="337"/>
      <c r="D144" s="177"/>
      <c r="E144" s="337"/>
      <c r="F144" s="164"/>
      <c r="G144" s="337"/>
      <c r="H144" s="164"/>
      <c r="I144" s="344"/>
      <c r="J144" s="177"/>
      <c r="K144" s="344"/>
      <c r="L144" s="177"/>
      <c r="M144" s="344"/>
      <c r="N144" s="177"/>
      <c r="O144" s="337"/>
      <c r="P144" s="164"/>
      <c r="Q144" s="201"/>
      <c r="R144" s="201"/>
      <c r="S144" s="17"/>
      <c r="T144" s="17"/>
    </row>
    <row r="145">
      <c r="A145" s="337"/>
      <c r="B145" s="164"/>
      <c r="C145" s="337"/>
      <c r="D145" s="177"/>
      <c r="E145" s="337"/>
      <c r="F145" s="164"/>
      <c r="G145" s="337"/>
      <c r="H145" s="164"/>
      <c r="I145" s="344"/>
      <c r="J145" s="177"/>
      <c r="K145" s="344"/>
      <c r="L145" s="177"/>
      <c r="M145" s="344"/>
      <c r="N145" s="177"/>
      <c r="O145" s="337"/>
      <c r="P145" s="164"/>
      <c r="Q145" s="201"/>
      <c r="R145" s="201"/>
      <c r="S145" s="17"/>
      <c r="T145" s="17"/>
    </row>
    <row r="146">
      <c r="A146" s="337"/>
      <c r="B146" s="164"/>
      <c r="C146" s="337"/>
      <c r="D146" s="177"/>
      <c r="E146" s="337"/>
      <c r="F146" s="164"/>
      <c r="G146" s="337"/>
      <c r="H146" s="164"/>
      <c r="I146" s="344"/>
      <c r="J146" s="177"/>
      <c r="K146" s="344"/>
      <c r="L146" s="177"/>
      <c r="M146" s="344"/>
      <c r="N146" s="177"/>
      <c r="O146" s="337"/>
      <c r="P146" s="164"/>
      <c r="Q146" s="201"/>
      <c r="R146" s="201"/>
      <c r="S146" s="17"/>
      <c r="T146" s="17"/>
    </row>
    <row r="147">
      <c r="A147" s="337"/>
      <c r="B147" s="164"/>
      <c r="C147" s="337"/>
      <c r="D147" s="177"/>
      <c r="E147" s="337"/>
      <c r="F147" s="164"/>
      <c r="G147" s="337"/>
      <c r="H147" s="164"/>
      <c r="I147" s="344"/>
      <c r="J147" s="177"/>
      <c r="K147" s="344"/>
      <c r="L147" s="177"/>
      <c r="M147" s="344"/>
      <c r="N147" s="177"/>
      <c r="O147" s="337"/>
      <c r="P147" s="164"/>
      <c r="Q147" s="201"/>
      <c r="R147" s="201"/>
      <c r="S147" s="17"/>
      <c r="T147" s="17"/>
    </row>
    <row r="148">
      <c r="A148" s="337"/>
      <c r="B148" s="164"/>
      <c r="C148" s="337"/>
      <c r="D148" s="177"/>
      <c r="E148" s="337"/>
      <c r="F148" s="164"/>
      <c r="G148" s="337"/>
      <c r="H148" s="164"/>
      <c r="I148" s="344"/>
      <c r="J148" s="177"/>
      <c r="K148" s="344"/>
      <c r="L148" s="177"/>
      <c r="M148" s="344"/>
      <c r="N148" s="177"/>
      <c r="O148" s="337"/>
      <c r="P148" s="164"/>
      <c r="Q148" s="201"/>
      <c r="R148" s="201"/>
      <c r="S148" s="17"/>
      <c r="T148" s="17"/>
    </row>
    <row r="149">
      <c r="A149" s="337"/>
      <c r="B149" s="164"/>
      <c r="C149" s="337"/>
      <c r="D149" s="177"/>
      <c r="E149" s="337"/>
      <c r="F149" s="164"/>
      <c r="G149" s="337"/>
      <c r="H149" s="164"/>
      <c r="I149" s="344"/>
      <c r="J149" s="177"/>
      <c r="K149" s="344"/>
      <c r="L149" s="177"/>
      <c r="M149" s="344"/>
      <c r="N149" s="177"/>
      <c r="O149" s="337"/>
      <c r="P149" s="164"/>
      <c r="Q149" s="201"/>
      <c r="R149" s="201"/>
      <c r="S149" s="17"/>
      <c r="T149" s="17"/>
    </row>
    <row r="150">
      <c r="A150" s="337"/>
      <c r="B150" s="164"/>
      <c r="C150" s="337"/>
      <c r="D150" s="177"/>
      <c r="E150" s="337"/>
      <c r="F150" s="164"/>
      <c r="G150" s="337"/>
      <c r="H150" s="164"/>
      <c r="I150" s="344"/>
      <c r="J150" s="177"/>
      <c r="K150" s="344"/>
      <c r="L150" s="177"/>
      <c r="M150" s="344"/>
      <c r="N150" s="177"/>
      <c r="O150" s="337"/>
      <c r="P150" s="164"/>
      <c r="Q150" s="201"/>
      <c r="R150" s="201"/>
      <c r="S150" s="17"/>
      <c r="T150" s="17"/>
    </row>
    <row r="151">
      <c r="A151" s="337"/>
      <c r="B151" s="164"/>
      <c r="C151" s="337"/>
      <c r="D151" s="177"/>
      <c r="E151" s="337"/>
      <c r="F151" s="164"/>
      <c r="G151" s="337"/>
      <c r="H151" s="164"/>
      <c r="I151" s="344"/>
      <c r="J151" s="177"/>
      <c r="K151" s="344"/>
      <c r="L151" s="177"/>
      <c r="M151" s="344"/>
      <c r="N151" s="177"/>
      <c r="O151" s="337"/>
      <c r="P151" s="164"/>
      <c r="Q151" s="201"/>
      <c r="R151" s="201"/>
      <c r="S151" s="17"/>
      <c r="T151" s="17"/>
    </row>
    <row r="152">
      <c r="A152" s="337"/>
      <c r="B152" s="164"/>
      <c r="C152" s="337"/>
      <c r="D152" s="177"/>
      <c r="E152" s="337"/>
      <c r="F152" s="164"/>
      <c r="G152" s="337"/>
      <c r="H152" s="164"/>
      <c r="I152" s="344"/>
      <c r="J152" s="177"/>
      <c r="K152" s="344"/>
      <c r="L152" s="177"/>
      <c r="M152" s="344"/>
      <c r="N152" s="177"/>
      <c r="O152" s="337"/>
      <c r="P152" s="164"/>
      <c r="Q152" s="201"/>
      <c r="R152" s="201"/>
      <c r="S152" s="17"/>
      <c r="T152" s="17"/>
    </row>
    <row r="153">
      <c r="A153" s="337"/>
      <c r="B153" s="164"/>
      <c r="C153" s="337"/>
      <c r="D153" s="177"/>
      <c r="E153" s="337"/>
      <c r="F153" s="164"/>
      <c r="G153" s="337"/>
      <c r="H153" s="164"/>
      <c r="I153" s="344"/>
      <c r="J153" s="177"/>
      <c r="K153" s="344"/>
      <c r="L153" s="177"/>
      <c r="M153" s="344"/>
      <c r="N153" s="177"/>
      <c r="O153" s="337"/>
      <c r="P153" s="164"/>
      <c r="Q153" s="201"/>
      <c r="R153" s="201"/>
      <c r="S153" s="17"/>
      <c r="T153" s="17"/>
    </row>
    <row r="154">
      <c r="A154" s="337"/>
      <c r="B154" s="164"/>
      <c r="C154" s="337"/>
      <c r="D154" s="177"/>
      <c r="E154" s="337"/>
      <c r="F154" s="164"/>
      <c r="G154" s="337"/>
      <c r="H154" s="164"/>
      <c r="I154" s="344"/>
      <c r="J154" s="177"/>
      <c r="K154" s="344"/>
      <c r="L154" s="177"/>
      <c r="M154" s="344"/>
      <c r="N154" s="177"/>
      <c r="O154" s="337"/>
      <c r="P154" s="164"/>
      <c r="Q154" s="201"/>
      <c r="R154" s="201"/>
      <c r="S154" s="17"/>
      <c r="T154" s="17"/>
    </row>
    <row r="155">
      <c r="A155" s="337"/>
      <c r="B155" s="164"/>
      <c r="C155" s="337"/>
      <c r="D155" s="177"/>
      <c r="E155" s="337"/>
      <c r="F155" s="164"/>
      <c r="G155" s="337"/>
      <c r="H155" s="164"/>
      <c r="I155" s="344"/>
      <c r="J155" s="177"/>
      <c r="K155" s="344"/>
      <c r="L155" s="177"/>
      <c r="M155" s="344"/>
      <c r="N155" s="177"/>
      <c r="O155" s="337"/>
      <c r="P155" s="164"/>
      <c r="Q155" s="201"/>
      <c r="R155" s="201"/>
      <c r="S155" s="17"/>
      <c r="T155" s="17"/>
    </row>
    <row r="156">
      <c r="A156" s="337"/>
      <c r="B156" s="164"/>
      <c r="C156" s="337"/>
      <c r="D156" s="177"/>
      <c r="E156" s="337"/>
      <c r="F156" s="164"/>
      <c r="G156" s="337"/>
      <c r="H156" s="164"/>
      <c r="I156" s="344"/>
      <c r="J156" s="177"/>
      <c r="K156" s="344"/>
      <c r="L156" s="177"/>
      <c r="M156" s="344"/>
      <c r="N156" s="177"/>
      <c r="O156" s="337"/>
      <c r="P156" s="164"/>
      <c r="Q156" s="201"/>
      <c r="R156" s="201"/>
      <c r="S156" s="17"/>
      <c r="T156" s="17"/>
    </row>
    <row r="157">
      <c r="A157" s="337"/>
      <c r="B157" s="164"/>
      <c r="C157" s="337"/>
      <c r="D157" s="177"/>
      <c r="E157" s="337"/>
      <c r="F157" s="164"/>
      <c r="G157" s="337"/>
      <c r="H157" s="164"/>
      <c r="I157" s="344"/>
      <c r="J157" s="177"/>
      <c r="K157" s="344"/>
      <c r="L157" s="177"/>
      <c r="M157" s="344"/>
      <c r="N157" s="177"/>
      <c r="O157" s="337"/>
      <c r="P157" s="164"/>
      <c r="Q157" s="201"/>
      <c r="R157" s="201"/>
      <c r="S157" s="17"/>
      <c r="T157" s="17"/>
    </row>
    <row r="158">
      <c r="A158" s="337"/>
      <c r="B158" s="164"/>
      <c r="C158" s="337"/>
      <c r="D158" s="177"/>
      <c r="E158" s="337"/>
      <c r="F158" s="164"/>
      <c r="G158" s="337"/>
      <c r="H158" s="164"/>
      <c r="I158" s="344"/>
      <c r="J158" s="177"/>
      <c r="K158" s="344"/>
      <c r="L158" s="177"/>
      <c r="M158" s="344"/>
      <c r="N158" s="177"/>
      <c r="O158" s="337"/>
      <c r="P158" s="164"/>
      <c r="Q158" s="201"/>
      <c r="R158" s="201"/>
      <c r="S158" s="17"/>
      <c r="T158" s="17"/>
    </row>
    <row r="159">
      <c r="A159" s="337"/>
      <c r="B159" s="164"/>
      <c r="C159" s="337"/>
      <c r="D159" s="177"/>
      <c r="E159" s="337"/>
      <c r="F159" s="164"/>
      <c r="G159" s="337"/>
      <c r="H159" s="164"/>
      <c r="I159" s="344"/>
      <c r="J159" s="177"/>
      <c r="K159" s="344"/>
      <c r="L159" s="177"/>
      <c r="M159" s="344"/>
      <c r="N159" s="177"/>
      <c r="O159" s="337"/>
      <c r="P159" s="164"/>
      <c r="Q159" s="201"/>
      <c r="R159" s="201"/>
      <c r="S159" s="17"/>
      <c r="T159" s="17"/>
    </row>
    <row r="160">
      <c r="A160" s="337"/>
      <c r="B160" s="164"/>
      <c r="C160" s="337"/>
      <c r="D160" s="177"/>
      <c r="E160" s="337"/>
      <c r="F160" s="164"/>
      <c r="G160" s="337"/>
      <c r="H160" s="164"/>
      <c r="I160" s="344"/>
      <c r="J160" s="177"/>
      <c r="K160" s="344"/>
      <c r="L160" s="177"/>
      <c r="M160" s="344"/>
      <c r="N160" s="177"/>
      <c r="O160" s="337"/>
      <c r="P160" s="164"/>
      <c r="Q160" s="201"/>
      <c r="R160" s="201"/>
      <c r="S160" s="17"/>
      <c r="T160" s="17"/>
    </row>
    <row r="161">
      <c r="A161" s="337"/>
      <c r="B161" s="164"/>
      <c r="C161" s="337"/>
      <c r="D161" s="177"/>
      <c r="E161" s="337"/>
      <c r="F161" s="164"/>
      <c r="G161" s="337"/>
      <c r="H161" s="164"/>
      <c r="I161" s="344"/>
      <c r="J161" s="177"/>
      <c r="K161" s="344"/>
      <c r="L161" s="177"/>
      <c r="M161" s="344"/>
      <c r="N161" s="177"/>
      <c r="O161" s="337"/>
      <c r="P161" s="164"/>
      <c r="Q161" s="201"/>
      <c r="R161" s="201"/>
      <c r="S161" s="17"/>
      <c r="T161" s="17"/>
    </row>
    <row r="162">
      <c r="A162" s="337"/>
      <c r="B162" s="164"/>
      <c r="C162" s="337"/>
      <c r="D162" s="177"/>
      <c r="E162" s="337"/>
      <c r="F162" s="164"/>
      <c r="G162" s="337"/>
      <c r="H162" s="164"/>
      <c r="I162" s="344"/>
      <c r="J162" s="177"/>
      <c r="K162" s="344"/>
      <c r="L162" s="177"/>
      <c r="M162" s="344"/>
      <c r="N162" s="177"/>
      <c r="O162" s="337"/>
      <c r="P162" s="164"/>
      <c r="Q162" s="201"/>
      <c r="R162" s="201"/>
      <c r="S162" s="17"/>
      <c r="T162" s="17"/>
    </row>
    <row r="163">
      <c r="A163" s="337"/>
      <c r="B163" s="164"/>
      <c r="C163" s="337"/>
      <c r="D163" s="177"/>
      <c r="E163" s="337"/>
      <c r="F163" s="164"/>
      <c r="G163" s="337"/>
      <c r="H163" s="164"/>
      <c r="I163" s="344"/>
      <c r="J163" s="177"/>
      <c r="K163" s="344"/>
      <c r="L163" s="177"/>
      <c r="M163" s="344"/>
      <c r="N163" s="177"/>
      <c r="O163" s="337"/>
      <c r="P163" s="164"/>
      <c r="Q163" s="201"/>
      <c r="R163" s="201"/>
      <c r="S163" s="17"/>
      <c r="T163" s="17"/>
    </row>
    <row r="164">
      <c r="A164" s="337"/>
      <c r="B164" s="164"/>
      <c r="C164" s="337"/>
      <c r="D164" s="177"/>
      <c r="E164" s="337"/>
      <c r="F164" s="164"/>
      <c r="G164" s="337"/>
      <c r="H164" s="164"/>
      <c r="I164" s="344"/>
      <c r="J164" s="177"/>
      <c r="K164" s="344"/>
      <c r="L164" s="177"/>
      <c r="M164" s="344"/>
      <c r="N164" s="177"/>
      <c r="O164" s="337"/>
      <c r="P164" s="164"/>
      <c r="Q164" s="201"/>
      <c r="R164" s="201"/>
      <c r="S164" s="17"/>
      <c r="T164" s="17"/>
    </row>
    <row r="165">
      <c r="A165" s="337"/>
      <c r="B165" s="164"/>
      <c r="C165" s="337"/>
      <c r="D165" s="177"/>
      <c r="E165" s="337"/>
      <c r="F165" s="164"/>
      <c r="G165" s="337"/>
      <c r="H165" s="164"/>
      <c r="I165" s="344"/>
      <c r="J165" s="177"/>
      <c r="K165" s="344"/>
      <c r="L165" s="177"/>
      <c r="M165" s="344"/>
      <c r="N165" s="177"/>
      <c r="O165" s="337"/>
      <c r="P165" s="164"/>
      <c r="Q165" s="201"/>
      <c r="R165" s="201"/>
      <c r="S165" s="17"/>
      <c r="T165" s="17"/>
    </row>
    <row r="166">
      <c r="A166" s="337"/>
      <c r="B166" s="164"/>
      <c r="C166" s="337"/>
      <c r="D166" s="177"/>
      <c r="E166" s="337"/>
      <c r="F166" s="164"/>
      <c r="G166" s="337"/>
      <c r="H166" s="164"/>
      <c r="I166" s="344"/>
      <c r="J166" s="177"/>
      <c r="K166" s="344"/>
      <c r="L166" s="177"/>
      <c r="M166" s="344"/>
      <c r="N166" s="177"/>
      <c r="O166" s="337"/>
      <c r="P166" s="164"/>
      <c r="Q166" s="201"/>
      <c r="R166" s="201"/>
      <c r="S166" s="17"/>
      <c r="T166" s="17"/>
    </row>
    <row r="167">
      <c r="A167" s="337"/>
      <c r="B167" s="164"/>
      <c r="C167" s="337"/>
      <c r="D167" s="177"/>
      <c r="E167" s="337"/>
      <c r="F167" s="164"/>
      <c r="G167" s="337"/>
      <c r="H167" s="164"/>
      <c r="I167" s="344"/>
      <c r="J167" s="177"/>
      <c r="K167" s="344"/>
      <c r="L167" s="177"/>
      <c r="M167" s="344"/>
      <c r="N167" s="177"/>
      <c r="O167" s="337"/>
      <c r="P167" s="164"/>
      <c r="Q167" s="201"/>
      <c r="R167" s="201"/>
      <c r="S167" s="17"/>
      <c r="T167" s="17"/>
    </row>
    <row r="168">
      <c r="A168" s="337"/>
      <c r="B168" s="164"/>
      <c r="C168" s="337"/>
      <c r="D168" s="177"/>
      <c r="E168" s="337"/>
      <c r="F168" s="164"/>
      <c r="G168" s="337"/>
      <c r="H168" s="164"/>
      <c r="I168" s="344"/>
      <c r="J168" s="177"/>
      <c r="K168" s="344"/>
      <c r="L168" s="177"/>
      <c r="M168" s="344"/>
      <c r="N168" s="177"/>
      <c r="O168" s="337"/>
      <c r="P168" s="164"/>
      <c r="Q168" s="201"/>
      <c r="R168" s="201"/>
      <c r="S168" s="17"/>
      <c r="T168" s="17"/>
    </row>
    <row r="169">
      <c r="A169" s="337"/>
      <c r="B169" s="164"/>
      <c r="C169" s="337"/>
      <c r="D169" s="177"/>
      <c r="E169" s="337"/>
      <c r="F169" s="164"/>
      <c r="G169" s="337"/>
      <c r="H169" s="164"/>
      <c r="I169" s="344"/>
      <c r="J169" s="177"/>
      <c r="K169" s="344"/>
      <c r="L169" s="177"/>
      <c r="M169" s="344"/>
      <c r="N169" s="177"/>
      <c r="O169" s="337"/>
      <c r="P169" s="164"/>
      <c r="Q169" s="201"/>
      <c r="R169" s="201"/>
      <c r="S169" s="17"/>
      <c r="T169" s="17"/>
    </row>
    <row r="170">
      <c r="A170" s="337"/>
      <c r="B170" s="164"/>
      <c r="C170" s="337"/>
      <c r="D170" s="177"/>
      <c r="E170" s="337"/>
      <c r="F170" s="164"/>
      <c r="G170" s="337"/>
      <c r="H170" s="164"/>
      <c r="I170" s="344"/>
      <c r="J170" s="177"/>
      <c r="K170" s="344"/>
      <c r="L170" s="177"/>
      <c r="M170" s="344"/>
      <c r="N170" s="177"/>
      <c r="O170" s="337"/>
      <c r="P170" s="164"/>
      <c r="Q170" s="201"/>
      <c r="R170" s="201"/>
      <c r="S170" s="17"/>
      <c r="T170" s="17"/>
    </row>
    <row r="171">
      <c r="A171" s="337"/>
      <c r="B171" s="164"/>
      <c r="C171" s="337"/>
      <c r="D171" s="177"/>
      <c r="E171" s="337"/>
      <c r="F171" s="164"/>
      <c r="G171" s="337"/>
      <c r="H171" s="164"/>
      <c r="I171" s="344"/>
      <c r="J171" s="177"/>
      <c r="K171" s="344"/>
      <c r="L171" s="177"/>
      <c r="M171" s="344"/>
      <c r="N171" s="177"/>
      <c r="O171" s="337"/>
      <c r="P171" s="164"/>
      <c r="Q171" s="201"/>
      <c r="R171" s="201"/>
      <c r="S171" s="17"/>
      <c r="T171" s="17"/>
    </row>
    <row r="172">
      <c r="A172" s="337"/>
      <c r="B172" s="164"/>
      <c r="C172" s="337"/>
      <c r="D172" s="177"/>
      <c r="E172" s="337"/>
      <c r="F172" s="164"/>
      <c r="G172" s="337"/>
      <c r="H172" s="164"/>
      <c r="I172" s="344"/>
      <c r="J172" s="177"/>
      <c r="K172" s="344"/>
      <c r="L172" s="177"/>
      <c r="M172" s="344"/>
      <c r="N172" s="177"/>
      <c r="O172" s="337"/>
      <c r="P172" s="164"/>
      <c r="Q172" s="201"/>
      <c r="R172" s="201"/>
      <c r="S172" s="17"/>
      <c r="T172" s="17"/>
    </row>
    <row r="173">
      <c r="A173" s="337"/>
      <c r="B173" s="164"/>
      <c r="C173" s="337"/>
      <c r="D173" s="177"/>
      <c r="E173" s="337"/>
      <c r="F173" s="164"/>
      <c r="G173" s="337"/>
      <c r="H173" s="164"/>
      <c r="I173" s="344"/>
      <c r="J173" s="177"/>
      <c r="K173" s="344"/>
      <c r="L173" s="177"/>
      <c r="M173" s="344"/>
      <c r="N173" s="177"/>
      <c r="O173" s="337"/>
      <c r="P173" s="164"/>
      <c r="Q173" s="201"/>
      <c r="R173" s="201"/>
      <c r="S173" s="17"/>
      <c r="T173" s="17"/>
    </row>
    <row r="174">
      <c r="A174" s="337"/>
      <c r="B174" s="164"/>
      <c r="C174" s="337"/>
      <c r="D174" s="177"/>
      <c r="E174" s="337"/>
      <c r="F174" s="164"/>
      <c r="G174" s="337"/>
      <c r="H174" s="164"/>
      <c r="I174" s="344"/>
      <c r="J174" s="177"/>
      <c r="K174" s="344"/>
      <c r="L174" s="177"/>
      <c r="M174" s="344"/>
      <c r="N174" s="177"/>
      <c r="O174" s="337"/>
      <c r="P174" s="164"/>
      <c r="Q174" s="201"/>
      <c r="R174" s="201"/>
      <c r="S174" s="17"/>
      <c r="T174" s="17"/>
    </row>
    <row r="175">
      <c r="A175" s="337"/>
      <c r="B175" s="164"/>
      <c r="C175" s="337"/>
      <c r="D175" s="177"/>
      <c r="E175" s="337"/>
      <c r="F175" s="164"/>
      <c r="G175" s="337"/>
      <c r="H175" s="164"/>
      <c r="I175" s="344"/>
      <c r="J175" s="177"/>
      <c r="K175" s="344"/>
      <c r="L175" s="177"/>
      <c r="M175" s="344"/>
      <c r="N175" s="177"/>
      <c r="O175" s="337"/>
      <c r="P175" s="164"/>
      <c r="Q175" s="201"/>
      <c r="R175" s="201"/>
      <c r="S175" s="17"/>
      <c r="T175" s="17"/>
    </row>
    <row r="176">
      <c r="A176" s="337"/>
      <c r="B176" s="164"/>
      <c r="C176" s="337"/>
      <c r="D176" s="177"/>
      <c r="E176" s="337"/>
      <c r="F176" s="164"/>
      <c r="G176" s="337"/>
      <c r="H176" s="164"/>
      <c r="I176" s="344"/>
      <c r="J176" s="177"/>
      <c r="K176" s="344"/>
      <c r="L176" s="177"/>
      <c r="M176" s="344"/>
      <c r="N176" s="177"/>
      <c r="O176" s="337"/>
      <c r="P176" s="164"/>
      <c r="Q176" s="201"/>
      <c r="R176" s="201"/>
      <c r="S176" s="17"/>
      <c r="T176" s="17"/>
    </row>
    <row r="177">
      <c r="A177" s="337"/>
      <c r="B177" s="164"/>
      <c r="C177" s="337"/>
      <c r="D177" s="177"/>
      <c r="E177" s="337"/>
      <c r="F177" s="164"/>
      <c r="G177" s="337"/>
      <c r="H177" s="164"/>
      <c r="I177" s="344"/>
      <c r="J177" s="177"/>
      <c r="K177" s="344"/>
      <c r="L177" s="177"/>
      <c r="M177" s="344"/>
      <c r="N177" s="177"/>
      <c r="O177" s="337"/>
      <c r="P177" s="164"/>
      <c r="Q177" s="201"/>
      <c r="R177" s="201"/>
      <c r="S177" s="17"/>
      <c r="T177" s="17"/>
    </row>
    <row r="178">
      <c r="A178" s="337"/>
      <c r="B178" s="164"/>
      <c r="C178" s="337"/>
      <c r="D178" s="177"/>
      <c r="E178" s="337"/>
      <c r="F178" s="164"/>
      <c r="G178" s="337"/>
      <c r="H178" s="164"/>
      <c r="I178" s="344"/>
      <c r="J178" s="177"/>
      <c r="K178" s="344"/>
      <c r="L178" s="177"/>
      <c r="M178" s="344"/>
      <c r="N178" s="177"/>
      <c r="O178" s="337"/>
      <c r="P178" s="164"/>
      <c r="Q178" s="201"/>
      <c r="R178" s="201"/>
      <c r="S178" s="17"/>
      <c r="T178" s="17"/>
    </row>
    <row r="179">
      <c r="A179" s="337"/>
      <c r="B179" s="164"/>
      <c r="C179" s="337"/>
      <c r="D179" s="177"/>
      <c r="E179" s="337"/>
      <c r="F179" s="164"/>
      <c r="G179" s="337"/>
      <c r="H179" s="164"/>
      <c r="I179" s="344"/>
      <c r="J179" s="177"/>
      <c r="K179" s="344"/>
      <c r="L179" s="177"/>
      <c r="M179" s="344"/>
      <c r="N179" s="177"/>
      <c r="O179" s="337"/>
      <c r="P179" s="164"/>
      <c r="Q179" s="201"/>
      <c r="R179" s="201"/>
      <c r="S179" s="17"/>
      <c r="T179" s="17"/>
    </row>
    <row r="180">
      <c r="A180" s="337"/>
      <c r="B180" s="164"/>
      <c r="C180" s="337"/>
      <c r="D180" s="177"/>
      <c r="E180" s="337"/>
      <c r="F180" s="164"/>
      <c r="G180" s="337"/>
      <c r="H180" s="164"/>
      <c r="I180" s="344"/>
      <c r="J180" s="177"/>
      <c r="K180" s="344"/>
      <c r="L180" s="177"/>
      <c r="M180" s="344"/>
      <c r="N180" s="177"/>
      <c r="O180" s="337"/>
      <c r="P180" s="164"/>
      <c r="Q180" s="201"/>
      <c r="R180" s="201"/>
      <c r="S180" s="17"/>
      <c r="T180" s="17"/>
    </row>
    <row r="181">
      <c r="A181" s="337"/>
      <c r="B181" s="164"/>
      <c r="C181" s="337"/>
      <c r="D181" s="177"/>
      <c r="E181" s="337"/>
      <c r="F181" s="164"/>
      <c r="G181" s="337"/>
      <c r="H181" s="164"/>
      <c r="I181" s="344"/>
      <c r="J181" s="177"/>
      <c r="K181" s="344"/>
      <c r="L181" s="177"/>
      <c r="M181" s="344"/>
      <c r="N181" s="177"/>
      <c r="O181" s="337"/>
      <c r="P181" s="164"/>
      <c r="Q181" s="201"/>
      <c r="R181" s="201"/>
      <c r="S181" s="17"/>
      <c r="T181" s="17"/>
    </row>
    <row r="182">
      <c r="A182" s="337"/>
      <c r="B182" s="164"/>
      <c r="C182" s="337"/>
      <c r="D182" s="177"/>
      <c r="E182" s="337"/>
      <c r="F182" s="164"/>
      <c r="G182" s="337"/>
      <c r="H182" s="164"/>
      <c r="I182" s="344"/>
      <c r="J182" s="177"/>
      <c r="K182" s="344"/>
      <c r="L182" s="177"/>
      <c r="M182" s="344"/>
      <c r="N182" s="177"/>
      <c r="O182" s="337"/>
      <c r="P182" s="164"/>
      <c r="Q182" s="201"/>
      <c r="R182" s="201"/>
      <c r="S182" s="17"/>
      <c r="T182" s="17"/>
    </row>
    <row r="183">
      <c r="A183" s="337"/>
      <c r="B183" s="164"/>
      <c r="C183" s="337"/>
      <c r="D183" s="177"/>
      <c r="E183" s="337"/>
      <c r="F183" s="164"/>
      <c r="G183" s="337"/>
      <c r="H183" s="164"/>
      <c r="I183" s="344"/>
      <c r="J183" s="177"/>
      <c r="K183" s="344"/>
      <c r="L183" s="177"/>
      <c r="M183" s="344"/>
      <c r="N183" s="177"/>
      <c r="O183" s="337"/>
      <c r="P183" s="164"/>
      <c r="Q183" s="201"/>
      <c r="R183" s="201"/>
      <c r="S183" s="17"/>
      <c r="T183" s="17"/>
    </row>
    <row r="184">
      <c r="A184" s="337"/>
      <c r="B184" s="164"/>
      <c r="C184" s="337"/>
      <c r="D184" s="177"/>
      <c r="E184" s="337"/>
      <c r="F184" s="164"/>
      <c r="G184" s="337"/>
      <c r="H184" s="164"/>
      <c r="I184" s="344"/>
      <c r="J184" s="177"/>
      <c r="K184" s="344"/>
      <c r="L184" s="177"/>
      <c r="M184" s="344"/>
      <c r="N184" s="177"/>
      <c r="O184" s="337"/>
      <c r="P184" s="164"/>
      <c r="Q184" s="201"/>
      <c r="R184" s="201"/>
      <c r="S184" s="17"/>
      <c r="T184" s="17"/>
    </row>
    <row r="185">
      <c r="A185" s="337"/>
      <c r="B185" s="164"/>
      <c r="C185" s="337"/>
      <c r="D185" s="177"/>
      <c r="E185" s="337"/>
      <c r="F185" s="164"/>
      <c r="G185" s="337"/>
      <c r="H185" s="164"/>
      <c r="I185" s="344"/>
      <c r="J185" s="177"/>
      <c r="K185" s="344"/>
      <c r="L185" s="177"/>
      <c r="M185" s="344"/>
      <c r="N185" s="177"/>
      <c r="O185" s="337"/>
      <c r="P185" s="164"/>
      <c r="Q185" s="201"/>
      <c r="R185" s="201"/>
      <c r="S185" s="17"/>
      <c r="T185" s="17"/>
    </row>
    <row r="186">
      <c r="A186" s="337"/>
      <c r="B186" s="164"/>
      <c r="C186" s="337"/>
      <c r="D186" s="177"/>
      <c r="E186" s="337"/>
      <c r="F186" s="164"/>
      <c r="G186" s="337"/>
      <c r="H186" s="164"/>
      <c r="I186" s="344"/>
      <c r="J186" s="177"/>
      <c r="K186" s="344"/>
      <c r="L186" s="177"/>
      <c r="M186" s="344"/>
      <c r="N186" s="177"/>
      <c r="O186" s="337"/>
      <c r="P186" s="164"/>
      <c r="Q186" s="201"/>
      <c r="R186" s="201"/>
      <c r="S186" s="17"/>
      <c r="T186" s="17"/>
    </row>
    <row r="187">
      <c r="A187" s="337"/>
      <c r="B187" s="164"/>
      <c r="C187" s="337"/>
      <c r="D187" s="177"/>
      <c r="E187" s="337"/>
      <c r="F187" s="164"/>
      <c r="G187" s="337"/>
      <c r="H187" s="164"/>
      <c r="I187" s="344"/>
      <c r="J187" s="177"/>
      <c r="K187" s="344"/>
      <c r="L187" s="177"/>
      <c r="M187" s="344"/>
      <c r="N187" s="177"/>
      <c r="O187" s="337"/>
      <c r="P187" s="164"/>
      <c r="Q187" s="201"/>
      <c r="R187" s="201"/>
      <c r="S187" s="17"/>
      <c r="T187" s="17"/>
    </row>
    <row r="188">
      <c r="A188" s="337"/>
      <c r="B188" s="164"/>
      <c r="C188" s="337"/>
      <c r="D188" s="177"/>
      <c r="E188" s="337"/>
      <c r="F188" s="164"/>
      <c r="G188" s="337"/>
      <c r="H188" s="164"/>
      <c r="I188" s="344"/>
      <c r="J188" s="177"/>
      <c r="K188" s="344"/>
      <c r="L188" s="177"/>
      <c r="M188" s="344"/>
      <c r="N188" s="177"/>
      <c r="O188" s="337"/>
      <c r="P188" s="164"/>
      <c r="Q188" s="201"/>
      <c r="R188" s="201"/>
      <c r="S188" s="17"/>
      <c r="T188" s="17"/>
    </row>
    <row r="189">
      <c r="A189" s="337"/>
      <c r="B189" s="164"/>
      <c r="C189" s="337"/>
      <c r="D189" s="177"/>
      <c r="E189" s="337"/>
      <c r="F189" s="164"/>
      <c r="G189" s="337"/>
      <c r="H189" s="164"/>
      <c r="I189" s="344"/>
      <c r="J189" s="177"/>
      <c r="K189" s="344"/>
      <c r="L189" s="177"/>
      <c r="M189" s="344"/>
      <c r="N189" s="177"/>
      <c r="O189" s="337"/>
      <c r="P189" s="164"/>
      <c r="Q189" s="201"/>
      <c r="R189" s="201"/>
      <c r="S189" s="17"/>
      <c r="T189" s="17"/>
    </row>
    <row r="190">
      <c r="A190" s="337"/>
      <c r="B190" s="164"/>
      <c r="C190" s="337"/>
      <c r="D190" s="177"/>
      <c r="E190" s="337"/>
      <c r="F190" s="164"/>
      <c r="G190" s="337"/>
      <c r="H190" s="164"/>
      <c r="I190" s="344"/>
      <c r="J190" s="177"/>
      <c r="K190" s="344"/>
      <c r="L190" s="177"/>
      <c r="M190" s="344"/>
      <c r="N190" s="177"/>
      <c r="O190" s="337"/>
      <c r="P190" s="164"/>
      <c r="Q190" s="201"/>
      <c r="R190" s="201"/>
      <c r="S190" s="17"/>
      <c r="T190" s="17"/>
    </row>
    <row r="191">
      <c r="A191" s="337"/>
      <c r="B191" s="164"/>
      <c r="C191" s="337"/>
      <c r="D191" s="177"/>
      <c r="E191" s="337"/>
      <c r="F191" s="164"/>
      <c r="G191" s="337"/>
      <c r="H191" s="164"/>
      <c r="I191" s="344"/>
      <c r="J191" s="177"/>
      <c r="K191" s="344"/>
      <c r="L191" s="177"/>
      <c r="M191" s="344"/>
      <c r="N191" s="177"/>
      <c r="O191" s="337"/>
      <c r="P191" s="164"/>
      <c r="Q191" s="201"/>
      <c r="R191" s="201"/>
      <c r="S191" s="17"/>
      <c r="T191" s="17"/>
    </row>
    <row r="192">
      <c r="A192" s="337"/>
      <c r="B192" s="164"/>
      <c r="C192" s="337"/>
      <c r="D192" s="177"/>
      <c r="E192" s="337"/>
      <c r="F192" s="164"/>
      <c r="G192" s="337"/>
      <c r="H192" s="164"/>
      <c r="I192" s="344"/>
      <c r="J192" s="177"/>
      <c r="K192" s="344"/>
      <c r="L192" s="177"/>
      <c r="M192" s="344"/>
      <c r="N192" s="177"/>
      <c r="O192" s="337"/>
      <c r="P192" s="164"/>
      <c r="Q192" s="201"/>
      <c r="R192" s="201"/>
      <c r="S192" s="17"/>
      <c r="T192" s="17"/>
    </row>
    <row r="193">
      <c r="A193" s="337"/>
      <c r="B193" s="164"/>
      <c r="C193" s="337"/>
      <c r="D193" s="177"/>
      <c r="E193" s="337"/>
      <c r="F193" s="164"/>
      <c r="G193" s="337"/>
      <c r="H193" s="164"/>
      <c r="I193" s="344"/>
      <c r="J193" s="177"/>
      <c r="K193" s="344"/>
      <c r="L193" s="177"/>
      <c r="M193" s="344"/>
      <c r="N193" s="177"/>
      <c r="O193" s="337"/>
      <c r="P193" s="164"/>
      <c r="Q193" s="201"/>
      <c r="R193" s="201"/>
      <c r="S193" s="17"/>
      <c r="T193" s="17"/>
    </row>
    <row r="194">
      <c r="A194" s="337"/>
      <c r="B194" s="164"/>
      <c r="C194" s="337"/>
      <c r="D194" s="177"/>
      <c r="E194" s="337"/>
      <c r="F194" s="164"/>
      <c r="G194" s="337"/>
      <c r="H194" s="164"/>
      <c r="I194" s="344"/>
      <c r="J194" s="177"/>
      <c r="K194" s="344"/>
      <c r="L194" s="177"/>
      <c r="M194" s="344"/>
      <c r="N194" s="177"/>
      <c r="O194" s="337"/>
      <c r="P194" s="164"/>
      <c r="Q194" s="201"/>
      <c r="R194" s="201"/>
      <c r="S194" s="17"/>
      <c r="T194" s="17"/>
    </row>
    <row r="195">
      <c r="A195" s="337"/>
      <c r="B195" s="164"/>
      <c r="C195" s="337"/>
      <c r="D195" s="177"/>
      <c r="E195" s="337"/>
      <c r="F195" s="164"/>
      <c r="G195" s="337"/>
      <c r="H195" s="164"/>
      <c r="I195" s="344"/>
      <c r="J195" s="177"/>
      <c r="K195" s="344"/>
      <c r="L195" s="177"/>
      <c r="M195" s="344"/>
      <c r="N195" s="177"/>
      <c r="O195" s="337"/>
      <c r="P195" s="164"/>
      <c r="Q195" s="201"/>
      <c r="R195" s="201"/>
      <c r="S195" s="17"/>
      <c r="T195" s="17"/>
    </row>
    <row r="196">
      <c r="A196" s="337"/>
      <c r="B196" s="164"/>
      <c r="C196" s="337"/>
      <c r="D196" s="177"/>
      <c r="E196" s="337"/>
      <c r="F196" s="164"/>
      <c r="G196" s="337"/>
      <c r="H196" s="164"/>
      <c r="I196" s="344"/>
      <c r="J196" s="177"/>
      <c r="K196" s="344"/>
      <c r="L196" s="177"/>
      <c r="M196" s="344"/>
      <c r="N196" s="177"/>
      <c r="O196" s="337"/>
      <c r="P196" s="164"/>
      <c r="Q196" s="201"/>
      <c r="R196" s="201"/>
      <c r="S196" s="17"/>
      <c r="T196" s="17"/>
    </row>
    <row r="197">
      <c r="A197" s="337"/>
      <c r="B197" s="164"/>
      <c r="C197" s="337"/>
      <c r="D197" s="177"/>
      <c r="E197" s="337"/>
      <c r="F197" s="164"/>
      <c r="G197" s="337"/>
      <c r="H197" s="164"/>
      <c r="I197" s="344"/>
      <c r="J197" s="177"/>
      <c r="K197" s="344"/>
      <c r="L197" s="177"/>
      <c r="M197" s="344"/>
      <c r="N197" s="177"/>
      <c r="O197" s="337"/>
      <c r="P197" s="164"/>
      <c r="Q197" s="201"/>
      <c r="R197" s="201"/>
      <c r="S197" s="17"/>
      <c r="T197" s="17"/>
    </row>
    <row r="198">
      <c r="A198" s="337"/>
      <c r="B198" s="164"/>
      <c r="C198" s="337"/>
      <c r="D198" s="177"/>
      <c r="E198" s="337"/>
      <c r="F198" s="164"/>
      <c r="G198" s="337"/>
      <c r="H198" s="164"/>
      <c r="I198" s="344"/>
      <c r="J198" s="177"/>
      <c r="K198" s="344"/>
      <c r="L198" s="177"/>
      <c r="M198" s="344"/>
      <c r="N198" s="177"/>
      <c r="O198" s="337"/>
      <c r="P198" s="164"/>
      <c r="Q198" s="201"/>
      <c r="R198" s="201"/>
      <c r="S198" s="17"/>
      <c r="T198" s="17"/>
    </row>
    <row r="199">
      <c r="A199" s="337"/>
      <c r="B199" s="164"/>
      <c r="C199" s="337"/>
      <c r="D199" s="177"/>
      <c r="E199" s="337"/>
      <c r="F199" s="164"/>
      <c r="G199" s="337"/>
      <c r="H199" s="164"/>
      <c r="I199" s="344"/>
      <c r="J199" s="177"/>
      <c r="K199" s="344"/>
      <c r="L199" s="177"/>
      <c r="M199" s="344"/>
      <c r="N199" s="177"/>
      <c r="O199" s="337"/>
      <c r="P199" s="164"/>
      <c r="Q199" s="201"/>
      <c r="R199" s="201"/>
      <c r="S199" s="17"/>
      <c r="T199" s="17"/>
    </row>
    <row r="200">
      <c r="A200" s="337"/>
      <c r="B200" s="164"/>
      <c r="C200" s="337"/>
      <c r="D200" s="177"/>
      <c r="E200" s="337"/>
      <c r="F200" s="164"/>
      <c r="G200" s="337"/>
      <c r="H200" s="164"/>
      <c r="I200" s="344"/>
      <c r="J200" s="177"/>
      <c r="K200" s="344"/>
      <c r="L200" s="177"/>
      <c r="M200" s="344"/>
      <c r="N200" s="177"/>
      <c r="O200" s="337"/>
      <c r="P200" s="164"/>
      <c r="Q200" s="201"/>
      <c r="R200" s="201"/>
      <c r="S200" s="17"/>
      <c r="T200" s="17"/>
    </row>
    <row r="201">
      <c r="A201" s="337"/>
      <c r="B201" s="164"/>
      <c r="C201" s="337"/>
      <c r="D201" s="177"/>
      <c r="E201" s="337"/>
      <c r="F201" s="164"/>
      <c r="G201" s="337"/>
      <c r="H201" s="164"/>
      <c r="I201" s="344"/>
      <c r="J201" s="177"/>
      <c r="K201" s="344"/>
      <c r="L201" s="177"/>
      <c r="M201" s="344"/>
      <c r="N201" s="177"/>
      <c r="O201" s="337"/>
      <c r="P201" s="164"/>
      <c r="Q201" s="201"/>
      <c r="R201" s="201"/>
      <c r="S201" s="17"/>
      <c r="T201" s="17"/>
    </row>
    <row r="202">
      <c r="A202" s="337"/>
      <c r="B202" s="164"/>
      <c r="C202" s="337"/>
      <c r="D202" s="177"/>
      <c r="E202" s="337"/>
      <c r="F202" s="164"/>
      <c r="G202" s="337"/>
      <c r="H202" s="164"/>
      <c r="I202" s="344"/>
      <c r="J202" s="177"/>
      <c r="K202" s="344"/>
      <c r="L202" s="177"/>
      <c r="M202" s="344"/>
      <c r="N202" s="177"/>
      <c r="O202" s="337"/>
      <c r="P202" s="164"/>
      <c r="Q202" s="201"/>
      <c r="R202" s="201"/>
      <c r="S202" s="17"/>
      <c r="T202" s="17"/>
    </row>
    <row r="203">
      <c r="A203" s="337"/>
      <c r="B203" s="164"/>
      <c r="C203" s="337"/>
      <c r="D203" s="177"/>
      <c r="E203" s="337"/>
      <c r="F203" s="164"/>
      <c r="G203" s="337"/>
      <c r="H203" s="164"/>
      <c r="I203" s="344"/>
      <c r="J203" s="177"/>
      <c r="K203" s="344"/>
      <c r="L203" s="177"/>
      <c r="M203" s="344"/>
      <c r="N203" s="177"/>
      <c r="O203" s="337"/>
      <c r="P203" s="164"/>
      <c r="Q203" s="201"/>
      <c r="R203" s="201"/>
      <c r="S203" s="17"/>
      <c r="T203" s="17"/>
    </row>
    <row r="204">
      <c r="A204" s="337"/>
      <c r="B204" s="164"/>
      <c r="C204" s="337"/>
      <c r="D204" s="177"/>
      <c r="E204" s="337"/>
      <c r="F204" s="164"/>
      <c r="G204" s="337"/>
      <c r="H204" s="164"/>
      <c r="I204" s="344"/>
      <c r="J204" s="177"/>
      <c r="K204" s="344"/>
      <c r="L204" s="177"/>
      <c r="M204" s="344"/>
      <c r="N204" s="177"/>
      <c r="O204" s="337"/>
      <c r="P204" s="164"/>
      <c r="Q204" s="201"/>
      <c r="R204" s="201"/>
      <c r="S204" s="17"/>
      <c r="T204" s="17"/>
    </row>
    <row r="205">
      <c r="A205" s="337"/>
      <c r="B205" s="164"/>
      <c r="C205" s="337"/>
      <c r="D205" s="177"/>
      <c r="E205" s="337"/>
      <c r="F205" s="164"/>
      <c r="G205" s="337"/>
      <c r="H205" s="164"/>
      <c r="I205" s="344"/>
      <c r="J205" s="177"/>
      <c r="K205" s="344"/>
      <c r="L205" s="177"/>
      <c r="M205" s="344"/>
      <c r="N205" s="177"/>
      <c r="O205" s="337"/>
      <c r="P205" s="164"/>
      <c r="Q205" s="201"/>
      <c r="R205" s="201"/>
      <c r="S205" s="17"/>
      <c r="T205" s="17"/>
    </row>
    <row r="206">
      <c r="A206" s="337"/>
      <c r="B206" s="164"/>
      <c r="C206" s="337"/>
      <c r="D206" s="177"/>
      <c r="E206" s="337"/>
      <c r="F206" s="164"/>
      <c r="G206" s="337"/>
      <c r="H206" s="164"/>
      <c r="I206" s="344"/>
      <c r="J206" s="177"/>
      <c r="K206" s="344"/>
      <c r="L206" s="177"/>
      <c r="M206" s="344"/>
      <c r="N206" s="177"/>
      <c r="O206" s="337"/>
      <c r="P206" s="164"/>
      <c r="Q206" s="201"/>
      <c r="R206" s="201"/>
      <c r="S206" s="17"/>
      <c r="T206" s="17"/>
    </row>
    <row r="207">
      <c r="A207" s="337"/>
      <c r="B207" s="164"/>
      <c r="C207" s="337"/>
      <c r="D207" s="177"/>
      <c r="E207" s="337"/>
      <c r="F207" s="164"/>
      <c r="G207" s="337"/>
      <c r="H207" s="164"/>
      <c r="I207" s="344"/>
      <c r="J207" s="177"/>
      <c r="K207" s="344"/>
      <c r="L207" s="177"/>
      <c r="M207" s="344"/>
      <c r="N207" s="177"/>
      <c r="O207" s="337"/>
      <c r="P207" s="164"/>
      <c r="Q207" s="201"/>
      <c r="R207" s="201"/>
      <c r="S207" s="17"/>
      <c r="T207" s="17"/>
    </row>
    <row r="208">
      <c r="A208" s="337"/>
      <c r="B208" s="164"/>
      <c r="C208" s="337"/>
      <c r="D208" s="177"/>
      <c r="E208" s="337"/>
      <c r="F208" s="164"/>
      <c r="G208" s="337"/>
      <c r="H208" s="164"/>
      <c r="I208" s="344"/>
      <c r="J208" s="177"/>
      <c r="K208" s="344"/>
      <c r="L208" s="177"/>
      <c r="M208" s="344"/>
      <c r="N208" s="177"/>
      <c r="O208" s="337"/>
      <c r="P208" s="164"/>
      <c r="Q208" s="201"/>
      <c r="R208" s="201"/>
      <c r="S208" s="17"/>
      <c r="T208" s="17"/>
    </row>
    <row r="209">
      <c r="A209" s="337"/>
      <c r="B209" s="164"/>
      <c r="C209" s="337"/>
      <c r="D209" s="177"/>
      <c r="E209" s="337"/>
      <c r="F209" s="164"/>
      <c r="G209" s="337"/>
      <c r="H209" s="164"/>
      <c r="I209" s="344"/>
      <c r="J209" s="177"/>
      <c r="K209" s="344"/>
      <c r="L209" s="177"/>
      <c r="M209" s="344"/>
      <c r="N209" s="177"/>
      <c r="O209" s="337"/>
      <c r="P209" s="164"/>
      <c r="Q209" s="201"/>
      <c r="R209" s="201"/>
      <c r="S209" s="17"/>
      <c r="T209" s="17"/>
    </row>
    <row r="210">
      <c r="A210" s="337"/>
      <c r="B210" s="164"/>
      <c r="C210" s="337"/>
      <c r="D210" s="177"/>
      <c r="E210" s="337"/>
      <c r="F210" s="164"/>
      <c r="G210" s="337"/>
      <c r="H210" s="164"/>
      <c r="I210" s="344"/>
      <c r="J210" s="177"/>
      <c r="K210" s="344"/>
      <c r="L210" s="177"/>
      <c r="M210" s="344"/>
      <c r="N210" s="177"/>
      <c r="O210" s="337"/>
      <c r="P210" s="164"/>
      <c r="Q210" s="201"/>
      <c r="R210" s="201"/>
      <c r="S210" s="17"/>
      <c r="T210" s="17"/>
    </row>
    <row r="211">
      <c r="A211" s="337"/>
      <c r="B211" s="164"/>
      <c r="C211" s="337"/>
      <c r="D211" s="177"/>
      <c r="E211" s="337"/>
      <c r="F211" s="164"/>
      <c r="G211" s="337"/>
      <c r="H211" s="164"/>
      <c r="I211" s="344"/>
      <c r="J211" s="177"/>
      <c r="K211" s="344"/>
      <c r="L211" s="177"/>
      <c r="M211" s="344"/>
      <c r="N211" s="177"/>
      <c r="O211" s="337"/>
      <c r="P211" s="164"/>
      <c r="Q211" s="201"/>
      <c r="R211" s="201"/>
      <c r="S211" s="17"/>
      <c r="T211" s="17"/>
    </row>
    <row r="212">
      <c r="A212" s="337"/>
      <c r="B212" s="164"/>
      <c r="C212" s="337"/>
      <c r="D212" s="177"/>
      <c r="E212" s="337"/>
      <c r="F212" s="164"/>
      <c r="G212" s="337"/>
      <c r="H212" s="164"/>
      <c r="I212" s="344"/>
      <c r="J212" s="177"/>
      <c r="K212" s="344"/>
      <c r="L212" s="177"/>
      <c r="M212" s="344"/>
      <c r="N212" s="177"/>
      <c r="O212" s="337"/>
      <c r="P212" s="164"/>
      <c r="Q212" s="201"/>
      <c r="R212" s="201"/>
      <c r="S212" s="17"/>
      <c r="T212" s="17"/>
    </row>
    <row r="213">
      <c r="A213" s="337"/>
      <c r="B213" s="164"/>
      <c r="C213" s="337"/>
      <c r="D213" s="177"/>
      <c r="E213" s="337"/>
      <c r="F213" s="164"/>
      <c r="G213" s="337"/>
      <c r="H213" s="164"/>
      <c r="I213" s="344"/>
      <c r="J213" s="177"/>
      <c r="K213" s="344"/>
      <c r="L213" s="177"/>
      <c r="M213" s="344"/>
      <c r="N213" s="177"/>
      <c r="O213" s="337"/>
      <c r="P213" s="164"/>
      <c r="Q213" s="201"/>
      <c r="R213" s="201"/>
      <c r="S213" s="17"/>
      <c r="T213" s="17"/>
    </row>
    <row r="214">
      <c r="A214" s="337"/>
      <c r="B214" s="164"/>
      <c r="C214" s="337"/>
      <c r="D214" s="177"/>
      <c r="E214" s="337"/>
      <c r="F214" s="164"/>
      <c r="G214" s="337"/>
      <c r="H214" s="164"/>
      <c r="I214" s="344"/>
      <c r="J214" s="177"/>
      <c r="K214" s="344"/>
      <c r="L214" s="177"/>
      <c r="M214" s="344"/>
      <c r="N214" s="177"/>
      <c r="O214" s="337"/>
      <c r="P214" s="164"/>
      <c r="Q214" s="201"/>
      <c r="R214" s="201"/>
      <c r="S214" s="17"/>
      <c r="T214" s="17"/>
    </row>
    <row r="215">
      <c r="A215" s="337"/>
      <c r="B215" s="164"/>
      <c r="C215" s="337"/>
      <c r="D215" s="177"/>
      <c r="E215" s="337"/>
      <c r="F215" s="164"/>
      <c r="G215" s="337"/>
      <c r="H215" s="164"/>
      <c r="I215" s="344"/>
      <c r="J215" s="177"/>
      <c r="K215" s="344"/>
      <c r="L215" s="177"/>
      <c r="M215" s="344"/>
      <c r="N215" s="177"/>
      <c r="O215" s="337"/>
      <c r="P215" s="164"/>
      <c r="Q215" s="201"/>
      <c r="R215" s="201"/>
      <c r="S215" s="17"/>
      <c r="T215" s="17"/>
    </row>
    <row r="216">
      <c r="A216" s="337"/>
      <c r="B216" s="164"/>
      <c r="C216" s="337"/>
      <c r="D216" s="177"/>
      <c r="E216" s="337"/>
      <c r="F216" s="164"/>
      <c r="G216" s="337"/>
      <c r="H216" s="164"/>
      <c r="I216" s="344"/>
      <c r="J216" s="177"/>
      <c r="K216" s="344"/>
      <c r="L216" s="177"/>
      <c r="M216" s="344"/>
      <c r="N216" s="177"/>
      <c r="O216" s="337"/>
      <c r="P216" s="164"/>
      <c r="Q216" s="201"/>
      <c r="R216" s="201"/>
      <c r="S216" s="17"/>
      <c r="T216" s="17"/>
    </row>
    <row r="217">
      <c r="A217" s="337"/>
      <c r="B217" s="164"/>
      <c r="C217" s="337"/>
      <c r="D217" s="177"/>
      <c r="E217" s="337"/>
      <c r="F217" s="164"/>
      <c r="G217" s="337"/>
      <c r="H217" s="164"/>
      <c r="I217" s="344"/>
      <c r="J217" s="177"/>
      <c r="K217" s="344"/>
      <c r="L217" s="177"/>
      <c r="M217" s="344"/>
      <c r="N217" s="177"/>
      <c r="O217" s="337"/>
      <c r="P217" s="164"/>
      <c r="Q217" s="201"/>
      <c r="R217" s="201"/>
      <c r="S217" s="17"/>
      <c r="T217" s="17"/>
    </row>
    <row r="218">
      <c r="A218" s="337"/>
      <c r="B218" s="164"/>
      <c r="C218" s="337"/>
      <c r="D218" s="177"/>
      <c r="E218" s="337"/>
      <c r="F218" s="164"/>
      <c r="G218" s="337"/>
      <c r="H218" s="164"/>
      <c r="I218" s="344"/>
      <c r="J218" s="177"/>
      <c r="K218" s="344"/>
      <c r="L218" s="177"/>
      <c r="M218" s="344"/>
      <c r="N218" s="177"/>
      <c r="O218" s="337"/>
      <c r="P218" s="164"/>
      <c r="Q218" s="201"/>
      <c r="R218" s="201"/>
      <c r="S218" s="17"/>
      <c r="T218" s="17"/>
    </row>
    <row r="219">
      <c r="A219" s="337"/>
      <c r="B219" s="164"/>
      <c r="C219" s="337"/>
      <c r="D219" s="177"/>
      <c r="E219" s="337"/>
      <c r="F219" s="164"/>
      <c r="G219" s="337"/>
      <c r="H219" s="164"/>
      <c r="I219" s="344"/>
      <c r="J219" s="177"/>
      <c r="K219" s="344"/>
      <c r="L219" s="177"/>
      <c r="M219" s="344"/>
      <c r="N219" s="177"/>
      <c r="O219" s="337"/>
      <c r="P219" s="164"/>
      <c r="Q219" s="201"/>
      <c r="R219" s="201"/>
      <c r="S219" s="17"/>
      <c r="T219" s="17"/>
    </row>
    <row r="220">
      <c r="A220" s="337"/>
      <c r="B220" s="164"/>
      <c r="C220" s="337"/>
      <c r="D220" s="177"/>
      <c r="E220" s="337"/>
      <c r="F220" s="164"/>
      <c r="G220" s="337"/>
      <c r="H220" s="164"/>
      <c r="I220" s="344"/>
      <c r="J220" s="177"/>
      <c r="K220" s="344"/>
      <c r="L220" s="177"/>
      <c r="M220" s="344"/>
      <c r="N220" s="177"/>
      <c r="O220" s="337"/>
      <c r="P220" s="164"/>
      <c r="Q220" s="201"/>
      <c r="R220" s="201"/>
      <c r="S220" s="17"/>
      <c r="T220" s="17"/>
    </row>
    <row r="221">
      <c r="A221" s="337"/>
      <c r="B221" s="164"/>
      <c r="C221" s="337"/>
      <c r="D221" s="177"/>
      <c r="E221" s="337"/>
      <c r="F221" s="164"/>
      <c r="G221" s="337"/>
      <c r="H221" s="164"/>
      <c r="I221" s="344"/>
      <c r="J221" s="177"/>
      <c r="K221" s="344"/>
      <c r="L221" s="177"/>
      <c r="M221" s="344"/>
      <c r="N221" s="177"/>
      <c r="O221" s="337"/>
      <c r="P221" s="164"/>
      <c r="Q221" s="201"/>
      <c r="R221" s="201"/>
      <c r="S221" s="17"/>
      <c r="T221" s="17"/>
    </row>
    <row r="222">
      <c r="A222" s="337"/>
      <c r="B222" s="164"/>
      <c r="C222" s="337"/>
      <c r="D222" s="177"/>
      <c r="E222" s="337"/>
      <c r="F222" s="164"/>
      <c r="G222" s="337"/>
      <c r="H222" s="164"/>
      <c r="I222" s="344"/>
      <c r="J222" s="177"/>
      <c r="K222" s="344"/>
      <c r="L222" s="177"/>
      <c r="M222" s="344"/>
      <c r="N222" s="177"/>
      <c r="O222" s="337"/>
      <c r="P222" s="164"/>
      <c r="Q222" s="201"/>
      <c r="R222" s="201"/>
      <c r="S222" s="17"/>
      <c r="T222" s="17"/>
    </row>
    <row r="223">
      <c r="A223" s="337"/>
      <c r="B223" s="164"/>
      <c r="C223" s="337"/>
      <c r="D223" s="177"/>
      <c r="E223" s="337"/>
      <c r="F223" s="164"/>
      <c r="G223" s="337"/>
      <c r="H223" s="164"/>
      <c r="I223" s="344"/>
      <c r="J223" s="177"/>
      <c r="K223" s="344"/>
      <c r="L223" s="177"/>
      <c r="M223" s="344"/>
      <c r="N223" s="177"/>
      <c r="O223" s="337"/>
      <c r="P223" s="164"/>
      <c r="Q223" s="201"/>
      <c r="R223" s="201"/>
      <c r="S223" s="17"/>
      <c r="T223" s="17"/>
    </row>
    <row r="224">
      <c r="A224" s="337"/>
      <c r="B224" s="164"/>
      <c r="C224" s="337"/>
      <c r="D224" s="177"/>
      <c r="E224" s="337"/>
      <c r="F224" s="164"/>
      <c r="G224" s="337"/>
      <c r="H224" s="164"/>
      <c r="I224" s="344"/>
      <c r="J224" s="177"/>
      <c r="K224" s="344"/>
      <c r="L224" s="177"/>
      <c r="M224" s="344"/>
      <c r="N224" s="177"/>
      <c r="O224" s="337"/>
      <c r="P224" s="164"/>
      <c r="Q224" s="201"/>
      <c r="R224" s="201"/>
      <c r="S224" s="17"/>
      <c r="T224" s="17"/>
    </row>
    <row r="225">
      <c r="A225" s="337"/>
      <c r="B225" s="164"/>
      <c r="C225" s="337"/>
      <c r="D225" s="177"/>
      <c r="E225" s="337"/>
      <c r="F225" s="164"/>
      <c r="G225" s="337"/>
      <c r="H225" s="164"/>
      <c r="I225" s="344"/>
      <c r="J225" s="177"/>
      <c r="K225" s="344"/>
      <c r="L225" s="177"/>
      <c r="M225" s="344"/>
      <c r="N225" s="177"/>
      <c r="O225" s="337"/>
      <c r="P225" s="164"/>
      <c r="Q225" s="201"/>
      <c r="R225" s="201"/>
      <c r="S225" s="17"/>
      <c r="T225" s="17"/>
    </row>
    <row r="226">
      <c r="A226" s="337"/>
      <c r="B226" s="164"/>
      <c r="C226" s="337"/>
      <c r="D226" s="177"/>
      <c r="E226" s="337"/>
      <c r="F226" s="164"/>
      <c r="G226" s="337"/>
      <c r="H226" s="164"/>
      <c r="I226" s="344"/>
      <c r="J226" s="177"/>
      <c r="K226" s="344"/>
      <c r="L226" s="177"/>
      <c r="M226" s="344"/>
      <c r="N226" s="177"/>
      <c r="O226" s="337"/>
      <c r="P226" s="164"/>
      <c r="Q226" s="201"/>
      <c r="R226" s="201"/>
      <c r="S226" s="17"/>
      <c r="T226" s="17"/>
    </row>
    <row r="227">
      <c r="A227" s="337"/>
      <c r="B227" s="164"/>
      <c r="C227" s="337"/>
      <c r="D227" s="177"/>
      <c r="E227" s="337"/>
      <c r="F227" s="164"/>
      <c r="G227" s="337"/>
      <c r="H227" s="164"/>
      <c r="I227" s="344"/>
      <c r="J227" s="177"/>
      <c r="K227" s="344"/>
      <c r="L227" s="177"/>
      <c r="M227" s="344"/>
      <c r="N227" s="177"/>
      <c r="O227" s="337"/>
      <c r="P227" s="164"/>
      <c r="Q227" s="201"/>
      <c r="R227" s="201"/>
      <c r="S227" s="17"/>
      <c r="T227" s="17"/>
    </row>
    <row r="228">
      <c r="A228" s="337"/>
      <c r="B228" s="164"/>
      <c r="C228" s="337"/>
      <c r="D228" s="177"/>
      <c r="E228" s="337"/>
      <c r="F228" s="164"/>
      <c r="G228" s="337"/>
      <c r="H228" s="164"/>
      <c r="I228" s="344"/>
      <c r="J228" s="177"/>
      <c r="K228" s="344"/>
      <c r="L228" s="177"/>
      <c r="M228" s="344"/>
      <c r="N228" s="177"/>
      <c r="O228" s="337"/>
      <c r="P228" s="164"/>
      <c r="Q228" s="201"/>
      <c r="R228" s="201"/>
      <c r="S228" s="17"/>
      <c r="T228" s="17"/>
    </row>
    <row r="229">
      <c r="A229" s="337"/>
      <c r="B229" s="164"/>
      <c r="C229" s="337"/>
      <c r="D229" s="177"/>
      <c r="E229" s="337"/>
      <c r="F229" s="164"/>
      <c r="G229" s="337"/>
      <c r="H229" s="164"/>
      <c r="I229" s="344"/>
      <c r="J229" s="177"/>
      <c r="K229" s="344"/>
      <c r="L229" s="177"/>
      <c r="M229" s="344"/>
      <c r="N229" s="177"/>
      <c r="O229" s="337"/>
      <c r="P229" s="164"/>
      <c r="Q229" s="201"/>
      <c r="R229" s="201"/>
      <c r="S229" s="17"/>
      <c r="T229" s="17"/>
    </row>
    <row r="230">
      <c r="A230" s="337"/>
      <c r="B230" s="164"/>
      <c r="C230" s="337"/>
      <c r="D230" s="177"/>
      <c r="E230" s="337"/>
      <c r="F230" s="164"/>
      <c r="G230" s="337"/>
      <c r="H230" s="164"/>
      <c r="I230" s="344"/>
      <c r="J230" s="177"/>
      <c r="K230" s="344"/>
      <c r="L230" s="177"/>
      <c r="M230" s="344"/>
      <c r="N230" s="177"/>
      <c r="O230" s="337"/>
      <c r="P230" s="164"/>
      <c r="Q230" s="201"/>
      <c r="R230" s="201"/>
      <c r="S230" s="17"/>
      <c r="T230" s="17"/>
    </row>
    <row r="231">
      <c r="A231" s="337"/>
      <c r="B231" s="164"/>
      <c r="C231" s="337"/>
      <c r="D231" s="177"/>
      <c r="E231" s="337"/>
      <c r="F231" s="164"/>
      <c r="G231" s="337"/>
      <c r="H231" s="164"/>
      <c r="I231" s="344"/>
      <c r="J231" s="177"/>
      <c r="K231" s="344"/>
      <c r="L231" s="177"/>
      <c r="M231" s="344"/>
      <c r="N231" s="177"/>
      <c r="O231" s="337"/>
      <c r="P231" s="164"/>
      <c r="Q231" s="201"/>
      <c r="R231" s="201"/>
      <c r="S231" s="17"/>
      <c r="T231" s="17"/>
    </row>
    <row r="232">
      <c r="A232" s="337"/>
      <c r="B232" s="164"/>
      <c r="C232" s="337"/>
      <c r="D232" s="177"/>
      <c r="E232" s="337"/>
      <c r="F232" s="164"/>
      <c r="G232" s="337"/>
      <c r="H232" s="164"/>
      <c r="I232" s="344"/>
      <c r="J232" s="177"/>
      <c r="K232" s="344"/>
      <c r="L232" s="177"/>
      <c r="M232" s="344"/>
      <c r="N232" s="177"/>
      <c r="O232" s="337"/>
      <c r="P232" s="164"/>
      <c r="Q232" s="201"/>
      <c r="R232" s="201"/>
      <c r="S232" s="17"/>
      <c r="T232" s="17"/>
    </row>
    <row r="233">
      <c r="A233" s="337"/>
      <c r="B233" s="164"/>
      <c r="C233" s="337"/>
      <c r="D233" s="177"/>
      <c r="E233" s="337"/>
      <c r="F233" s="164"/>
      <c r="G233" s="337"/>
      <c r="H233" s="164"/>
      <c r="I233" s="344"/>
      <c r="J233" s="177"/>
      <c r="K233" s="344"/>
      <c r="L233" s="177"/>
      <c r="M233" s="344"/>
      <c r="N233" s="177"/>
      <c r="O233" s="337"/>
      <c r="P233" s="164"/>
      <c r="Q233" s="201"/>
      <c r="R233" s="201"/>
      <c r="S233" s="17"/>
      <c r="T233" s="17"/>
    </row>
    <row r="234">
      <c r="A234" s="337"/>
      <c r="B234" s="164"/>
      <c r="C234" s="337"/>
      <c r="D234" s="177"/>
      <c r="E234" s="337"/>
      <c r="F234" s="164"/>
      <c r="G234" s="337"/>
      <c r="H234" s="164"/>
      <c r="I234" s="344"/>
      <c r="J234" s="177"/>
      <c r="K234" s="344"/>
      <c r="L234" s="177"/>
      <c r="M234" s="344"/>
      <c r="N234" s="177"/>
      <c r="O234" s="337"/>
      <c r="P234" s="164"/>
      <c r="Q234" s="201"/>
      <c r="R234" s="201"/>
      <c r="S234" s="17"/>
      <c r="T234" s="17"/>
    </row>
    <row r="235">
      <c r="A235" s="337"/>
      <c r="B235" s="164"/>
      <c r="C235" s="337"/>
      <c r="D235" s="177"/>
      <c r="E235" s="337"/>
      <c r="F235" s="164"/>
      <c r="G235" s="337"/>
      <c r="H235" s="164"/>
      <c r="I235" s="344"/>
      <c r="J235" s="177"/>
      <c r="K235" s="344"/>
      <c r="L235" s="177"/>
      <c r="M235" s="344"/>
      <c r="N235" s="177"/>
      <c r="O235" s="337"/>
      <c r="P235" s="164"/>
      <c r="Q235" s="201"/>
      <c r="R235" s="201"/>
      <c r="S235" s="17"/>
      <c r="T235" s="17"/>
    </row>
    <row r="236">
      <c r="A236" s="337"/>
      <c r="B236" s="164"/>
      <c r="C236" s="337"/>
      <c r="D236" s="177"/>
      <c r="E236" s="337"/>
      <c r="F236" s="164"/>
      <c r="G236" s="337"/>
      <c r="H236" s="164"/>
      <c r="I236" s="344"/>
      <c r="J236" s="177"/>
      <c r="K236" s="344"/>
      <c r="L236" s="177"/>
      <c r="M236" s="344"/>
      <c r="N236" s="177"/>
      <c r="O236" s="337"/>
      <c r="P236" s="164"/>
      <c r="Q236" s="201"/>
      <c r="R236" s="201"/>
      <c r="S236" s="17"/>
      <c r="T236" s="17"/>
    </row>
    <row r="237">
      <c r="A237" s="337"/>
      <c r="B237" s="164"/>
      <c r="C237" s="337"/>
      <c r="D237" s="177"/>
      <c r="E237" s="337"/>
      <c r="F237" s="164"/>
      <c r="G237" s="337"/>
      <c r="H237" s="164"/>
      <c r="I237" s="344"/>
      <c r="J237" s="177"/>
      <c r="K237" s="344"/>
      <c r="L237" s="177"/>
      <c r="M237" s="344"/>
      <c r="N237" s="177"/>
      <c r="O237" s="337"/>
      <c r="P237" s="164"/>
      <c r="Q237" s="201"/>
      <c r="R237" s="201"/>
      <c r="S237" s="17"/>
      <c r="T237" s="17"/>
    </row>
    <row r="238">
      <c r="A238" s="337"/>
      <c r="B238" s="164"/>
      <c r="C238" s="337"/>
      <c r="D238" s="177"/>
      <c r="E238" s="337"/>
      <c r="F238" s="164"/>
      <c r="G238" s="337"/>
      <c r="H238" s="164"/>
      <c r="I238" s="344"/>
      <c r="J238" s="177"/>
      <c r="K238" s="344"/>
      <c r="L238" s="177"/>
      <c r="M238" s="344"/>
      <c r="N238" s="177"/>
      <c r="O238" s="337"/>
      <c r="P238" s="164"/>
      <c r="Q238" s="201"/>
      <c r="R238" s="201"/>
      <c r="S238" s="17"/>
      <c r="T238" s="17"/>
    </row>
    <row r="239">
      <c r="A239" s="337"/>
      <c r="B239" s="164"/>
      <c r="C239" s="337"/>
      <c r="D239" s="177"/>
      <c r="E239" s="337"/>
      <c r="F239" s="164"/>
      <c r="G239" s="337"/>
      <c r="H239" s="164"/>
      <c r="I239" s="344"/>
      <c r="J239" s="177"/>
      <c r="K239" s="344"/>
      <c r="L239" s="177"/>
      <c r="M239" s="344"/>
      <c r="N239" s="177"/>
      <c r="O239" s="337"/>
      <c r="P239" s="164"/>
      <c r="Q239" s="201"/>
      <c r="R239" s="201"/>
      <c r="S239" s="17"/>
      <c r="T239" s="17"/>
    </row>
    <row r="240">
      <c r="A240" s="337"/>
      <c r="B240" s="164"/>
      <c r="C240" s="337"/>
      <c r="D240" s="177"/>
      <c r="E240" s="337"/>
      <c r="F240" s="164"/>
      <c r="G240" s="337"/>
      <c r="H240" s="164"/>
      <c r="I240" s="344"/>
      <c r="J240" s="177"/>
      <c r="K240" s="344"/>
      <c r="L240" s="177"/>
      <c r="M240" s="344"/>
      <c r="N240" s="177"/>
      <c r="O240" s="337"/>
      <c r="P240" s="164"/>
      <c r="Q240" s="201"/>
      <c r="R240" s="201"/>
      <c r="S240" s="17"/>
      <c r="T240" s="17"/>
    </row>
    <row r="241">
      <c r="A241" s="337"/>
      <c r="B241" s="164"/>
      <c r="C241" s="337"/>
      <c r="D241" s="177"/>
      <c r="E241" s="337"/>
      <c r="F241" s="164"/>
      <c r="G241" s="337"/>
      <c r="H241" s="164"/>
      <c r="I241" s="344"/>
      <c r="J241" s="177"/>
      <c r="K241" s="344"/>
      <c r="L241" s="177"/>
      <c r="M241" s="344"/>
      <c r="N241" s="177"/>
      <c r="O241" s="337"/>
      <c r="P241" s="164"/>
      <c r="Q241" s="201"/>
      <c r="R241" s="201"/>
      <c r="S241" s="17"/>
      <c r="T241" s="17"/>
    </row>
    <row r="242">
      <c r="A242" s="337"/>
      <c r="B242" s="164"/>
      <c r="C242" s="337"/>
      <c r="D242" s="177"/>
      <c r="E242" s="337"/>
      <c r="F242" s="164"/>
      <c r="G242" s="337"/>
      <c r="H242" s="164"/>
      <c r="I242" s="344"/>
      <c r="J242" s="177"/>
      <c r="K242" s="344"/>
      <c r="L242" s="177"/>
      <c r="M242" s="344"/>
      <c r="N242" s="177"/>
      <c r="O242" s="337"/>
      <c r="P242" s="164"/>
      <c r="Q242" s="201"/>
      <c r="R242" s="201"/>
      <c r="S242" s="17"/>
      <c r="T242" s="17"/>
    </row>
    <row r="243">
      <c r="A243" s="337"/>
      <c r="B243" s="164"/>
      <c r="C243" s="337"/>
      <c r="D243" s="177"/>
      <c r="E243" s="337"/>
      <c r="F243" s="164"/>
      <c r="G243" s="337"/>
      <c r="H243" s="164"/>
      <c r="I243" s="344"/>
      <c r="J243" s="177"/>
      <c r="K243" s="344"/>
      <c r="L243" s="177"/>
      <c r="M243" s="344"/>
      <c r="N243" s="177"/>
      <c r="O243" s="337"/>
      <c r="P243" s="164"/>
      <c r="Q243" s="201"/>
      <c r="R243" s="201"/>
      <c r="S243" s="17"/>
      <c r="T243" s="17"/>
    </row>
    <row r="244">
      <c r="A244" s="337"/>
      <c r="B244" s="164"/>
      <c r="C244" s="337"/>
      <c r="D244" s="177"/>
      <c r="E244" s="337"/>
      <c r="F244" s="164"/>
      <c r="G244" s="337"/>
      <c r="H244" s="164"/>
      <c r="I244" s="344"/>
      <c r="J244" s="177"/>
      <c r="K244" s="344"/>
      <c r="L244" s="177"/>
      <c r="M244" s="344"/>
      <c r="N244" s="177"/>
      <c r="O244" s="337"/>
      <c r="P244" s="164"/>
      <c r="Q244" s="201"/>
      <c r="R244" s="201"/>
      <c r="S244" s="17"/>
      <c r="T244" s="17"/>
    </row>
    <row r="245">
      <c r="A245" s="337"/>
      <c r="B245" s="164"/>
      <c r="C245" s="337"/>
      <c r="D245" s="177"/>
      <c r="E245" s="337"/>
      <c r="F245" s="164"/>
      <c r="G245" s="337"/>
      <c r="H245" s="164"/>
      <c r="I245" s="344"/>
      <c r="J245" s="177"/>
      <c r="K245" s="344"/>
      <c r="L245" s="177"/>
      <c r="M245" s="344"/>
      <c r="N245" s="177"/>
      <c r="O245" s="337"/>
      <c r="P245" s="164"/>
      <c r="Q245" s="201"/>
      <c r="R245" s="201"/>
      <c r="S245" s="17"/>
      <c r="T245" s="17"/>
    </row>
    <row r="246">
      <c r="A246" s="337"/>
      <c r="B246" s="164"/>
      <c r="C246" s="337"/>
      <c r="D246" s="177"/>
      <c r="E246" s="337"/>
      <c r="F246" s="164"/>
      <c r="G246" s="337"/>
      <c r="H246" s="164"/>
      <c r="I246" s="344"/>
      <c r="J246" s="177"/>
      <c r="K246" s="344"/>
      <c r="L246" s="177"/>
      <c r="M246" s="344"/>
      <c r="N246" s="177"/>
      <c r="O246" s="337"/>
      <c r="P246" s="164"/>
      <c r="Q246" s="201"/>
      <c r="R246" s="201"/>
      <c r="S246" s="17"/>
      <c r="T246" s="17"/>
    </row>
    <row r="247">
      <c r="A247" s="337"/>
      <c r="B247" s="164"/>
      <c r="C247" s="337"/>
      <c r="D247" s="177"/>
      <c r="E247" s="337"/>
      <c r="F247" s="164"/>
      <c r="G247" s="337"/>
      <c r="H247" s="164"/>
      <c r="I247" s="344"/>
      <c r="J247" s="177"/>
      <c r="K247" s="344"/>
      <c r="L247" s="177"/>
      <c r="M247" s="344"/>
      <c r="N247" s="177"/>
      <c r="O247" s="337"/>
      <c r="P247" s="164"/>
      <c r="Q247" s="201"/>
      <c r="R247" s="201"/>
      <c r="S247" s="17"/>
      <c r="T247" s="17"/>
    </row>
    <row r="248">
      <c r="A248" s="337"/>
      <c r="B248" s="164"/>
      <c r="C248" s="337"/>
      <c r="D248" s="177"/>
      <c r="E248" s="337"/>
      <c r="F248" s="164"/>
      <c r="G248" s="337"/>
      <c r="H248" s="164"/>
      <c r="I248" s="344"/>
      <c r="J248" s="177"/>
      <c r="K248" s="344"/>
      <c r="L248" s="177"/>
      <c r="M248" s="344"/>
      <c r="N248" s="177"/>
      <c r="O248" s="337"/>
      <c r="P248" s="164"/>
      <c r="Q248" s="201"/>
      <c r="R248" s="201"/>
      <c r="S248" s="17"/>
      <c r="T248" s="17"/>
    </row>
    <row r="249">
      <c r="A249" s="337"/>
      <c r="B249" s="164"/>
      <c r="C249" s="337"/>
      <c r="D249" s="177"/>
      <c r="E249" s="337"/>
      <c r="F249" s="164"/>
      <c r="G249" s="337"/>
      <c r="H249" s="164"/>
      <c r="I249" s="344"/>
      <c r="J249" s="177"/>
      <c r="K249" s="344"/>
      <c r="L249" s="177"/>
      <c r="M249" s="344"/>
      <c r="N249" s="177"/>
      <c r="O249" s="337"/>
      <c r="P249" s="164"/>
      <c r="Q249" s="201"/>
      <c r="R249" s="201"/>
      <c r="S249" s="17"/>
      <c r="T249" s="17"/>
    </row>
    <row r="250">
      <c r="A250" s="337"/>
      <c r="B250" s="164"/>
      <c r="C250" s="337"/>
      <c r="D250" s="177"/>
      <c r="E250" s="337"/>
      <c r="F250" s="164"/>
      <c r="G250" s="337"/>
      <c r="H250" s="164"/>
      <c r="I250" s="344"/>
      <c r="J250" s="177"/>
      <c r="K250" s="344"/>
      <c r="L250" s="177"/>
      <c r="M250" s="344"/>
      <c r="N250" s="177"/>
      <c r="O250" s="337"/>
      <c r="P250" s="164"/>
      <c r="Q250" s="201"/>
      <c r="R250" s="201"/>
      <c r="S250" s="17"/>
      <c r="T250" s="17"/>
    </row>
    <row r="251">
      <c r="A251" s="337"/>
      <c r="B251" s="164"/>
      <c r="C251" s="337"/>
      <c r="D251" s="177"/>
      <c r="E251" s="337"/>
      <c r="F251" s="164"/>
      <c r="G251" s="337"/>
      <c r="H251" s="164"/>
      <c r="I251" s="344"/>
      <c r="J251" s="177"/>
      <c r="K251" s="344"/>
      <c r="L251" s="177"/>
      <c r="M251" s="344"/>
      <c r="N251" s="177"/>
      <c r="O251" s="337"/>
      <c r="P251" s="164"/>
      <c r="Q251" s="201"/>
      <c r="R251" s="201"/>
      <c r="S251" s="17"/>
      <c r="T251" s="17"/>
    </row>
    <row r="252">
      <c r="A252" s="337"/>
      <c r="B252" s="164"/>
      <c r="C252" s="337"/>
      <c r="D252" s="177"/>
      <c r="E252" s="337"/>
      <c r="F252" s="164"/>
      <c r="G252" s="337"/>
      <c r="H252" s="164"/>
      <c r="I252" s="344"/>
      <c r="J252" s="177"/>
      <c r="K252" s="344"/>
      <c r="L252" s="177"/>
      <c r="M252" s="344"/>
      <c r="N252" s="177"/>
      <c r="O252" s="337"/>
      <c r="P252" s="164"/>
      <c r="Q252" s="201"/>
      <c r="R252" s="201"/>
      <c r="S252" s="17"/>
      <c r="T252" s="17"/>
    </row>
    <row r="253">
      <c r="A253" s="337"/>
      <c r="B253" s="164"/>
      <c r="C253" s="337"/>
      <c r="D253" s="177"/>
      <c r="E253" s="337"/>
      <c r="F253" s="164"/>
      <c r="G253" s="337"/>
      <c r="H253" s="164"/>
      <c r="I253" s="344"/>
      <c r="J253" s="177"/>
      <c r="K253" s="344"/>
      <c r="L253" s="177"/>
      <c r="M253" s="344"/>
      <c r="N253" s="177"/>
      <c r="O253" s="337"/>
      <c r="P253" s="164"/>
      <c r="Q253" s="201"/>
      <c r="R253" s="201"/>
      <c r="S253" s="17"/>
      <c r="T253" s="17"/>
    </row>
    <row r="254">
      <c r="A254" s="337"/>
      <c r="B254" s="164"/>
      <c r="C254" s="337"/>
      <c r="D254" s="177"/>
      <c r="E254" s="337"/>
      <c r="F254" s="164"/>
      <c r="G254" s="337"/>
      <c r="H254" s="164"/>
      <c r="I254" s="344"/>
      <c r="J254" s="177"/>
      <c r="K254" s="344"/>
      <c r="L254" s="177"/>
      <c r="M254" s="344"/>
      <c r="N254" s="177"/>
      <c r="O254" s="337"/>
      <c r="P254" s="164"/>
      <c r="Q254" s="201"/>
      <c r="R254" s="201"/>
      <c r="S254" s="17"/>
      <c r="T254" s="17"/>
    </row>
    <row r="255">
      <c r="A255" s="337"/>
      <c r="B255" s="164"/>
      <c r="C255" s="337"/>
      <c r="D255" s="177"/>
      <c r="E255" s="337"/>
      <c r="F255" s="164"/>
      <c r="G255" s="337"/>
      <c r="H255" s="164"/>
      <c r="I255" s="344"/>
      <c r="J255" s="177"/>
      <c r="K255" s="344"/>
      <c r="L255" s="177"/>
      <c r="M255" s="344"/>
      <c r="N255" s="177"/>
      <c r="O255" s="337"/>
      <c r="P255" s="164"/>
      <c r="Q255" s="201"/>
      <c r="R255" s="201"/>
      <c r="S255" s="17"/>
      <c r="T255" s="17"/>
    </row>
    <row r="256">
      <c r="A256" s="337"/>
      <c r="B256" s="164"/>
      <c r="C256" s="337"/>
      <c r="D256" s="177"/>
      <c r="E256" s="337"/>
      <c r="F256" s="164"/>
      <c r="G256" s="337"/>
      <c r="H256" s="164"/>
      <c r="I256" s="344"/>
      <c r="J256" s="177"/>
      <c r="K256" s="344"/>
      <c r="L256" s="177"/>
      <c r="M256" s="344"/>
      <c r="N256" s="177"/>
      <c r="O256" s="337"/>
      <c r="P256" s="164"/>
      <c r="Q256" s="201"/>
      <c r="R256" s="201"/>
      <c r="S256" s="17"/>
      <c r="T256" s="17"/>
    </row>
    <row r="257">
      <c r="A257" s="337"/>
      <c r="B257" s="164"/>
      <c r="C257" s="337"/>
      <c r="D257" s="177"/>
      <c r="E257" s="337"/>
      <c r="F257" s="164"/>
      <c r="G257" s="337"/>
      <c r="H257" s="164"/>
      <c r="I257" s="344"/>
      <c r="J257" s="177"/>
      <c r="K257" s="344"/>
      <c r="L257" s="177"/>
      <c r="M257" s="344"/>
      <c r="N257" s="177"/>
      <c r="O257" s="337"/>
      <c r="P257" s="164"/>
      <c r="Q257" s="201"/>
      <c r="R257" s="201"/>
      <c r="S257" s="17"/>
      <c r="T257" s="17"/>
    </row>
    <row r="258">
      <c r="A258" s="337"/>
      <c r="B258" s="164"/>
      <c r="C258" s="337"/>
      <c r="D258" s="177"/>
      <c r="E258" s="337"/>
      <c r="F258" s="164"/>
      <c r="G258" s="337"/>
      <c r="H258" s="164"/>
      <c r="I258" s="344"/>
      <c r="J258" s="177"/>
      <c r="K258" s="344"/>
      <c r="L258" s="177"/>
      <c r="M258" s="344"/>
      <c r="N258" s="177"/>
      <c r="O258" s="337"/>
      <c r="P258" s="164"/>
      <c r="Q258" s="201"/>
      <c r="R258" s="201"/>
      <c r="S258" s="17"/>
      <c r="T258" s="17"/>
    </row>
    <row r="259">
      <c r="A259" s="337"/>
      <c r="B259" s="164"/>
      <c r="C259" s="337"/>
      <c r="D259" s="177"/>
      <c r="E259" s="337"/>
      <c r="F259" s="164"/>
      <c r="G259" s="337"/>
      <c r="H259" s="164"/>
      <c r="I259" s="344"/>
      <c r="J259" s="177"/>
      <c r="K259" s="344"/>
      <c r="L259" s="177"/>
      <c r="M259" s="344"/>
      <c r="N259" s="177"/>
      <c r="O259" s="337"/>
      <c r="P259" s="164"/>
      <c r="Q259" s="201"/>
      <c r="R259" s="201"/>
      <c r="S259" s="17"/>
      <c r="T259" s="17"/>
    </row>
    <row r="260">
      <c r="A260" s="337"/>
      <c r="B260" s="164"/>
      <c r="C260" s="337"/>
      <c r="D260" s="177"/>
      <c r="E260" s="337"/>
      <c r="F260" s="164"/>
      <c r="G260" s="337"/>
      <c r="H260" s="164"/>
      <c r="I260" s="344"/>
      <c r="J260" s="177"/>
      <c r="K260" s="344"/>
      <c r="L260" s="177"/>
      <c r="M260" s="344"/>
      <c r="N260" s="177"/>
      <c r="O260" s="337"/>
      <c r="P260" s="164"/>
      <c r="Q260" s="201"/>
      <c r="R260" s="201"/>
      <c r="S260" s="17"/>
      <c r="T260" s="17"/>
    </row>
    <row r="261">
      <c r="A261" s="337"/>
      <c r="B261" s="164"/>
      <c r="C261" s="337"/>
      <c r="D261" s="177"/>
      <c r="E261" s="337"/>
      <c r="F261" s="164"/>
      <c r="G261" s="337"/>
      <c r="H261" s="164"/>
      <c r="I261" s="344"/>
      <c r="J261" s="177"/>
      <c r="K261" s="344"/>
      <c r="L261" s="177"/>
      <c r="M261" s="344"/>
      <c r="N261" s="177"/>
      <c r="O261" s="337"/>
      <c r="P261" s="164"/>
      <c r="Q261" s="201"/>
      <c r="R261" s="201"/>
      <c r="S261" s="17"/>
      <c r="T261" s="17"/>
    </row>
    <row r="262">
      <c r="A262" s="337"/>
      <c r="B262" s="164"/>
      <c r="C262" s="337"/>
      <c r="D262" s="177"/>
      <c r="E262" s="337"/>
      <c r="F262" s="164"/>
      <c r="G262" s="337"/>
      <c r="H262" s="164"/>
      <c r="I262" s="344"/>
      <c r="J262" s="177"/>
      <c r="K262" s="344"/>
      <c r="L262" s="177"/>
      <c r="M262" s="344"/>
      <c r="N262" s="177"/>
      <c r="O262" s="337"/>
      <c r="P262" s="164"/>
      <c r="Q262" s="201"/>
      <c r="R262" s="201"/>
      <c r="S262" s="17"/>
      <c r="T262" s="17"/>
    </row>
    <row r="263">
      <c r="A263" s="337"/>
      <c r="B263" s="164"/>
      <c r="C263" s="337"/>
      <c r="D263" s="177"/>
      <c r="E263" s="337"/>
      <c r="F263" s="164"/>
      <c r="G263" s="337"/>
      <c r="H263" s="164"/>
      <c r="I263" s="344"/>
      <c r="J263" s="177"/>
      <c r="K263" s="344"/>
      <c r="L263" s="177"/>
      <c r="M263" s="344"/>
      <c r="N263" s="177"/>
      <c r="O263" s="337"/>
      <c r="P263" s="164"/>
      <c r="Q263" s="201"/>
      <c r="R263" s="201"/>
      <c r="S263" s="17"/>
      <c r="T263" s="17"/>
    </row>
    <row r="264">
      <c r="A264" s="337"/>
      <c r="B264" s="164"/>
      <c r="C264" s="337"/>
      <c r="D264" s="177"/>
      <c r="E264" s="337"/>
      <c r="F264" s="164"/>
      <c r="G264" s="337"/>
      <c r="H264" s="164"/>
      <c r="I264" s="344"/>
      <c r="J264" s="177"/>
      <c r="K264" s="344"/>
      <c r="L264" s="177"/>
      <c r="M264" s="344"/>
      <c r="N264" s="177"/>
      <c r="O264" s="337"/>
      <c r="P264" s="164"/>
      <c r="Q264" s="201"/>
      <c r="R264" s="201"/>
      <c r="S264" s="17"/>
      <c r="T264" s="17"/>
    </row>
    <row r="265">
      <c r="A265" s="337"/>
      <c r="B265" s="164"/>
      <c r="C265" s="337"/>
      <c r="D265" s="177"/>
      <c r="E265" s="337"/>
      <c r="F265" s="164"/>
      <c r="G265" s="337"/>
      <c r="H265" s="164"/>
      <c r="I265" s="344"/>
      <c r="J265" s="177"/>
      <c r="K265" s="344"/>
      <c r="L265" s="177"/>
      <c r="M265" s="344"/>
      <c r="N265" s="177"/>
      <c r="O265" s="337"/>
      <c r="P265" s="164"/>
      <c r="Q265" s="201"/>
      <c r="R265" s="201"/>
      <c r="S265" s="17"/>
      <c r="T265" s="17"/>
    </row>
    <row r="266">
      <c r="A266" s="337"/>
      <c r="B266" s="164"/>
      <c r="C266" s="337"/>
      <c r="D266" s="177"/>
      <c r="E266" s="337"/>
      <c r="F266" s="164"/>
      <c r="G266" s="337"/>
      <c r="H266" s="164"/>
      <c r="I266" s="344"/>
      <c r="J266" s="177"/>
      <c r="K266" s="344"/>
      <c r="L266" s="177"/>
      <c r="M266" s="344"/>
      <c r="N266" s="177"/>
      <c r="O266" s="337"/>
      <c r="P266" s="164"/>
      <c r="Q266" s="201"/>
      <c r="R266" s="201"/>
      <c r="S266" s="17"/>
      <c r="T266" s="17"/>
    </row>
    <row r="267">
      <c r="A267" s="337"/>
      <c r="B267" s="164"/>
      <c r="C267" s="337"/>
      <c r="D267" s="177"/>
      <c r="E267" s="337"/>
      <c r="F267" s="164"/>
      <c r="G267" s="337"/>
      <c r="H267" s="164"/>
      <c r="I267" s="344"/>
      <c r="J267" s="177"/>
      <c r="K267" s="344"/>
      <c r="L267" s="177"/>
      <c r="M267" s="344"/>
      <c r="N267" s="177"/>
      <c r="O267" s="337"/>
      <c r="P267" s="164"/>
      <c r="Q267" s="201"/>
      <c r="R267" s="201"/>
      <c r="S267" s="17"/>
      <c r="T267" s="17"/>
    </row>
    <row r="268">
      <c r="A268" s="337"/>
      <c r="B268" s="164"/>
      <c r="C268" s="337"/>
      <c r="D268" s="177"/>
      <c r="E268" s="337"/>
      <c r="F268" s="164"/>
      <c r="G268" s="337"/>
      <c r="H268" s="164"/>
      <c r="I268" s="344"/>
      <c r="J268" s="177"/>
      <c r="K268" s="344"/>
      <c r="L268" s="177"/>
      <c r="M268" s="344"/>
      <c r="N268" s="177"/>
      <c r="O268" s="337"/>
      <c r="P268" s="164"/>
      <c r="Q268" s="201"/>
      <c r="R268" s="201"/>
      <c r="S268" s="17"/>
      <c r="T268" s="17"/>
    </row>
    <row r="269">
      <c r="A269" s="337"/>
      <c r="B269" s="164"/>
      <c r="C269" s="337"/>
      <c r="D269" s="177"/>
      <c r="E269" s="337"/>
      <c r="F269" s="164"/>
      <c r="G269" s="337"/>
      <c r="H269" s="164"/>
      <c r="I269" s="344"/>
      <c r="J269" s="177"/>
      <c r="K269" s="344"/>
      <c r="L269" s="177"/>
      <c r="M269" s="344"/>
      <c r="N269" s="177"/>
      <c r="O269" s="337"/>
      <c r="P269" s="164"/>
      <c r="Q269" s="201"/>
      <c r="R269" s="201"/>
      <c r="S269" s="17"/>
      <c r="T269" s="17"/>
    </row>
    <row r="270">
      <c r="A270" s="337"/>
      <c r="B270" s="164"/>
      <c r="C270" s="337"/>
      <c r="D270" s="177"/>
      <c r="E270" s="337"/>
      <c r="F270" s="164"/>
      <c r="G270" s="337"/>
      <c r="H270" s="164"/>
      <c r="I270" s="344"/>
      <c r="J270" s="177"/>
      <c r="K270" s="344"/>
      <c r="L270" s="177"/>
      <c r="M270" s="344"/>
      <c r="N270" s="177"/>
      <c r="O270" s="337"/>
      <c r="P270" s="164"/>
      <c r="Q270" s="201"/>
      <c r="R270" s="201"/>
      <c r="S270" s="17"/>
      <c r="T270" s="17"/>
    </row>
    <row r="271">
      <c r="A271" s="337"/>
      <c r="B271" s="164"/>
      <c r="C271" s="337"/>
      <c r="D271" s="177"/>
      <c r="E271" s="337"/>
      <c r="F271" s="164"/>
      <c r="G271" s="337"/>
      <c r="H271" s="164"/>
      <c r="I271" s="344"/>
      <c r="J271" s="177"/>
      <c r="K271" s="344"/>
      <c r="L271" s="177"/>
      <c r="M271" s="344"/>
      <c r="N271" s="177"/>
      <c r="O271" s="337"/>
      <c r="P271" s="164"/>
      <c r="Q271" s="201"/>
      <c r="R271" s="201"/>
      <c r="S271" s="17"/>
      <c r="T271" s="17"/>
    </row>
    <row r="272">
      <c r="A272" s="337"/>
      <c r="B272" s="164"/>
      <c r="C272" s="337"/>
      <c r="D272" s="177"/>
      <c r="E272" s="337"/>
      <c r="F272" s="164"/>
      <c r="G272" s="337"/>
      <c r="H272" s="164"/>
      <c r="I272" s="344"/>
      <c r="J272" s="177"/>
      <c r="K272" s="344"/>
      <c r="L272" s="177"/>
      <c r="M272" s="344"/>
      <c r="N272" s="177"/>
      <c r="O272" s="337"/>
      <c r="P272" s="164"/>
      <c r="Q272" s="201"/>
      <c r="R272" s="201"/>
      <c r="S272" s="17"/>
      <c r="T272" s="17"/>
    </row>
    <row r="273">
      <c r="A273" s="337"/>
      <c r="B273" s="164"/>
      <c r="C273" s="337"/>
      <c r="D273" s="177"/>
      <c r="E273" s="337"/>
      <c r="F273" s="164"/>
      <c r="G273" s="337"/>
      <c r="H273" s="164"/>
      <c r="I273" s="344"/>
      <c r="J273" s="177"/>
      <c r="K273" s="344"/>
      <c r="L273" s="177"/>
      <c r="M273" s="344"/>
      <c r="N273" s="177"/>
      <c r="O273" s="337"/>
      <c r="P273" s="164"/>
      <c r="Q273" s="201"/>
      <c r="R273" s="201"/>
      <c r="S273" s="17"/>
      <c r="T273" s="17"/>
    </row>
    <row r="274">
      <c r="A274" s="337"/>
      <c r="B274" s="164"/>
      <c r="C274" s="337"/>
      <c r="D274" s="177"/>
      <c r="E274" s="337"/>
      <c r="F274" s="164"/>
      <c r="G274" s="337"/>
      <c r="H274" s="164"/>
      <c r="I274" s="344"/>
      <c r="J274" s="177"/>
      <c r="K274" s="344"/>
      <c r="L274" s="177"/>
      <c r="M274" s="344"/>
      <c r="N274" s="177"/>
      <c r="O274" s="337"/>
      <c r="P274" s="164"/>
      <c r="Q274" s="201"/>
      <c r="R274" s="201"/>
      <c r="S274" s="17"/>
      <c r="T274" s="17"/>
    </row>
    <row r="275">
      <c r="A275" s="337"/>
      <c r="B275" s="164"/>
      <c r="C275" s="337"/>
      <c r="D275" s="177"/>
      <c r="E275" s="337"/>
      <c r="F275" s="164"/>
      <c r="G275" s="337"/>
      <c r="H275" s="164"/>
      <c r="I275" s="344"/>
      <c r="J275" s="177"/>
      <c r="K275" s="344"/>
      <c r="L275" s="177"/>
      <c r="M275" s="344"/>
      <c r="N275" s="177"/>
      <c r="O275" s="337"/>
      <c r="P275" s="164"/>
      <c r="Q275" s="201"/>
      <c r="R275" s="201"/>
      <c r="S275" s="17"/>
      <c r="T275" s="17"/>
    </row>
    <row r="276">
      <c r="A276" s="337"/>
      <c r="B276" s="164"/>
      <c r="C276" s="337"/>
      <c r="D276" s="177"/>
      <c r="E276" s="337"/>
      <c r="F276" s="164"/>
      <c r="G276" s="337"/>
      <c r="H276" s="164"/>
      <c r="I276" s="344"/>
      <c r="J276" s="177"/>
      <c r="K276" s="344"/>
      <c r="L276" s="177"/>
      <c r="M276" s="344"/>
      <c r="N276" s="177"/>
      <c r="O276" s="337"/>
      <c r="P276" s="164"/>
      <c r="Q276" s="201"/>
      <c r="R276" s="201"/>
      <c r="S276" s="17"/>
      <c r="T276" s="17"/>
    </row>
    <row r="277">
      <c r="A277" s="337"/>
      <c r="B277" s="164"/>
      <c r="C277" s="337"/>
      <c r="D277" s="177"/>
      <c r="E277" s="337"/>
      <c r="F277" s="164"/>
      <c r="G277" s="337"/>
      <c r="H277" s="164"/>
      <c r="I277" s="344"/>
      <c r="J277" s="177"/>
      <c r="K277" s="344"/>
      <c r="L277" s="177"/>
      <c r="M277" s="344"/>
      <c r="N277" s="177"/>
      <c r="O277" s="337"/>
      <c r="P277" s="164"/>
      <c r="Q277" s="201"/>
      <c r="R277" s="201"/>
      <c r="S277" s="17"/>
      <c r="T277" s="17"/>
    </row>
    <row r="278">
      <c r="A278" s="337"/>
      <c r="B278" s="164"/>
      <c r="C278" s="337"/>
      <c r="D278" s="177"/>
      <c r="E278" s="337"/>
      <c r="F278" s="164"/>
      <c r="G278" s="337"/>
      <c r="H278" s="164"/>
      <c r="I278" s="344"/>
      <c r="J278" s="177"/>
      <c r="K278" s="344"/>
      <c r="L278" s="177"/>
      <c r="M278" s="344"/>
      <c r="N278" s="177"/>
      <c r="O278" s="337"/>
      <c r="P278" s="164"/>
      <c r="Q278" s="201"/>
      <c r="R278" s="201"/>
      <c r="S278" s="17"/>
      <c r="T278" s="17"/>
    </row>
    <row r="279">
      <c r="A279" s="337"/>
      <c r="B279" s="164"/>
      <c r="C279" s="337"/>
      <c r="D279" s="177"/>
      <c r="E279" s="337"/>
      <c r="F279" s="164"/>
      <c r="G279" s="337"/>
      <c r="H279" s="164"/>
      <c r="I279" s="344"/>
      <c r="J279" s="177"/>
      <c r="K279" s="344"/>
      <c r="L279" s="177"/>
      <c r="M279" s="344"/>
      <c r="N279" s="177"/>
      <c r="O279" s="337"/>
      <c r="P279" s="164"/>
      <c r="Q279" s="201"/>
      <c r="R279" s="201"/>
      <c r="S279" s="17"/>
      <c r="T279" s="17"/>
    </row>
    <row r="280">
      <c r="A280" s="337"/>
      <c r="B280" s="164"/>
      <c r="C280" s="337"/>
      <c r="D280" s="177"/>
      <c r="E280" s="337"/>
      <c r="F280" s="164"/>
      <c r="G280" s="337"/>
      <c r="H280" s="164"/>
      <c r="I280" s="344"/>
      <c r="J280" s="177"/>
      <c r="K280" s="344"/>
      <c r="L280" s="177"/>
      <c r="M280" s="344"/>
      <c r="N280" s="177"/>
      <c r="O280" s="337"/>
      <c r="P280" s="164"/>
      <c r="Q280" s="201"/>
      <c r="R280" s="201"/>
      <c r="S280" s="17"/>
      <c r="T280" s="17"/>
    </row>
    <row r="281">
      <c r="A281" s="337"/>
      <c r="B281" s="164"/>
      <c r="C281" s="337"/>
      <c r="D281" s="177"/>
      <c r="E281" s="337"/>
      <c r="F281" s="164"/>
      <c r="G281" s="337"/>
      <c r="H281" s="164"/>
      <c r="I281" s="344"/>
      <c r="J281" s="177"/>
      <c r="K281" s="344"/>
      <c r="L281" s="177"/>
      <c r="M281" s="344"/>
      <c r="N281" s="177"/>
      <c r="O281" s="337"/>
      <c r="P281" s="164"/>
      <c r="Q281" s="201"/>
      <c r="R281" s="201"/>
      <c r="S281" s="17"/>
      <c r="T281" s="17"/>
    </row>
    <row r="282">
      <c r="A282" s="337"/>
      <c r="B282" s="164"/>
      <c r="C282" s="337"/>
      <c r="D282" s="177"/>
      <c r="E282" s="337"/>
      <c r="F282" s="164"/>
      <c r="G282" s="337"/>
      <c r="H282" s="164"/>
      <c r="I282" s="344"/>
      <c r="J282" s="177"/>
      <c r="K282" s="344"/>
      <c r="L282" s="177"/>
      <c r="M282" s="344"/>
      <c r="N282" s="177"/>
      <c r="O282" s="337"/>
      <c r="P282" s="164"/>
      <c r="Q282" s="201"/>
      <c r="R282" s="201"/>
      <c r="S282" s="17"/>
      <c r="T282" s="17"/>
    </row>
    <row r="283">
      <c r="A283" s="337"/>
      <c r="B283" s="164"/>
      <c r="C283" s="337"/>
      <c r="D283" s="177"/>
      <c r="E283" s="337"/>
      <c r="F283" s="164"/>
      <c r="G283" s="337"/>
      <c r="H283" s="164"/>
      <c r="I283" s="344"/>
      <c r="J283" s="177"/>
      <c r="K283" s="344"/>
      <c r="L283" s="177"/>
      <c r="M283" s="344"/>
      <c r="N283" s="177"/>
      <c r="O283" s="337"/>
      <c r="P283" s="164"/>
      <c r="Q283" s="201"/>
      <c r="R283" s="201"/>
      <c r="S283" s="17"/>
      <c r="T283" s="17"/>
    </row>
    <row r="284">
      <c r="A284" s="337"/>
      <c r="B284" s="164"/>
      <c r="C284" s="337"/>
      <c r="D284" s="177"/>
      <c r="E284" s="337"/>
      <c r="F284" s="164"/>
      <c r="G284" s="337"/>
      <c r="H284" s="164"/>
      <c r="I284" s="344"/>
      <c r="J284" s="177"/>
      <c r="K284" s="344"/>
      <c r="L284" s="177"/>
      <c r="M284" s="344"/>
      <c r="N284" s="177"/>
      <c r="O284" s="337"/>
      <c r="P284" s="164"/>
      <c r="Q284" s="201"/>
      <c r="R284" s="201"/>
      <c r="S284" s="17"/>
      <c r="T284" s="17"/>
    </row>
    <row r="285">
      <c r="A285" s="337"/>
      <c r="B285" s="164"/>
      <c r="C285" s="337"/>
      <c r="D285" s="177"/>
      <c r="E285" s="337"/>
      <c r="F285" s="164"/>
      <c r="G285" s="337"/>
      <c r="H285" s="164"/>
      <c r="I285" s="344"/>
      <c r="J285" s="177"/>
      <c r="K285" s="344"/>
      <c r="L285" s="177"/>
      <c r="M285" s="344"/>
      <c r="N285" s="177"/>
      <c r="O285" s="337"/>
      <c r="P285" s="164"/>
      <c r="Q285" s="201"/>
      <c r="R285" s="201"/>
      <c r="S285" s="17"/>
      <c r="T285" s="17"/>
    </row>
    <row r="286">
      <c r="A286" s="337"/>
      <c r="B286" s="164"/>
      <c r="C286" s="337"/>
      <c r="D286" s="177"/>
      <c r="E286" s="337"/>
      <c r="F286" s="164"/>
      <c r="G286" s="337"/>
      <c r="H286" s="164"/>
      <c r="I286" s="344"/>
      <c r="J286" s="177"/>
      <c r="K286" s="344"/>
      <c r="L286" s="177"/>
      <c r="M286" s="344"/>
      <c r="N286" s="177"/>
      <c r="O286" s="337"/>
      <c r="P286" s="164"/>
      <c r="Q286" s="201"/>
      <c r="R286" s="201"/>
      <c r="S286" s="17"/>
      <c r="T286" s="17"/>
    </row>
    <row r="287">
      <c r="A287" s="337"/>
      <c r="B287" s="164"/>
      <c r="C287" s="337"/>
      <c r="D287" s="177"/>
      <c r="E287" s="337"/>
      <c r="F287" s="164"/>
      <c r="G287" s="337"/>
      <c r="H287" s="164"/>
      <c r="I287" s="344"/>
      <c r="J287" s="177"/>
      <c r="K287" s="344"/>
      <c r="L287" s="177"/>
      <c r="M287" s="344"/>
      <c r="N287" s="177"/>
      <c r="O287" s="337"/>
      <c r="P287" s="164"/>
      <c r="Q287" s="201"/>
      <c r="R287" s="201"/>
      <c r="S287" s="17"/>
      <c r="T287" s="17"/>
    </row>
    <row r="288">
      <c r="A288" s="337"/>
      <c r="B288" s="164"/>
      <c r="C288" s="337"/>
      <c r="D288" s="177"/>
      <c r="E288" s="337"/>
      <c r="F288" s="164"/>
      <c r="G288" s="337"/>
      <c r="H288" s="164"/>
      <c r="I288" s="344"/>
      <c r="J288" s="177"/>
      <c r="K288" s="344"/>
      <c r="L288" s="177"/>
      <c r="M288" s="344"/>
      <c r="N288" s="177"/>
      <c r="O288" s="337"/>
      <c r="P288" s="164"/>
      <c r="Q288" s="201"/>
      <c r="R288" s="201"/>
      <c r="S288" s="17"/>
      <c r="T288" s="17"/>
    </row>
    <row r="289">
      <c r="A289" s="337"/>
      <c r="B289" s="164"/>
      <c r="C289" s="337"/>
      <c r="D289" s="177"/>
      <c r="E289" s="337"/>
      <c r="F289" s="164"/>
      <c r="G289" s="337"/>
      <c r="H289" s="164"/>
      <c r="I289" s="344"/>
      <c r="J289" s="177"/>
      <c r="K289" s="344"/>
      <c r="L289" s="177"/>
      <c r="M289" s="344"/>
      <c r="N289" s="177"/>
      <c r="O289" s="337"/>
      <c r="P289" s="164"/>
      <c r="Q289" s="201"/>
      <c r="R289" s="201"/>
      <c r="S289" s="17"/>
      <c r="T289" s="17"/>
    </row>
    <row r="290">
      <c r="A290" s="337"/>
      <c r="B290" s="164"/>
      <c r="C290" s="337"/>
      <c r="D290" s="177"/>
      <c r="E290" s="337"/>
      <c r="F290" s="164"/>
      <c r="G290" s="337"/>
      <c r="H290" s="164"/>
      <c r="I290" s="344"/>
      <c r="J290" s="177"/>
      <c r="K290" s="344"/>
      <c r="L290" s="177"/>
      <c r="M290" s="344"/>
      <c r="N290" s="177"/>
      <c r="O290" s="337"/>
      <c r="P290" s="164"/>
      <c r="Q290" s="201"/>
      <c r="R290" s="201"/>
      <c r="S290" s="17"/>
      <c r="T290" s="17"/>
    </row>
    <row r="291">
      <c r="A291" s="337"/>
      <c r="B291" s="164"/>
      <c r="C291" s="337"/>
      <c r="D291" s="177"/>
      <c r="E291" s="337"/>
      <c r="F291" s="164"/>
      <c r="G291" s="337"/>
      <c r="H291" s="164"/>
      <c r="I291" s="344"/>
      <c r="J291" s="177"/>
      <c r="K291" s="344"/>
      <c r="L291" s="177"/>
      <c r="M291" s="344"/>
      <c r="N291" s="177"/>
      <c r="O291" s="337"/>
      <c r="P291" s="164"/>
      <c r="Q291" s="201"/>
      <c r="R291" s="201"/>
      <c r="S291" s="17"/>
      <c r="T291" s="17"/>
    </row>
    <row r="292">
      <c r="A292" s="337"/>
      <c r="B292" s="164"/>
      <c r="C292" s="337"/>
      <c r="D292" s="177"/>
      <c r="E292" s="337"/>
      <c r="F292" s="164"/>
      <c r="G292" s="337"/>
      <c r="H292" s="164"/>
      <c r="I292" s="344"/>
      <c r="J292" s="177"/>
      <c r="K292" s="344"/>
      <c r="L292" s="177"/>
      <c r="M292" s="344"/>
      <c r="N292" s="177"/>
      <c r="O292" s="337"/>
      <c r="P292" s="164"/>
      <c r="Q292" s="201"/>
      <c r="R292" s="201"/>
      <c r="S292" s="17"/>
      <c r="T292" s="17"/>
    </row>
    <row r="293">
      <c r="A293" s="337"/>
      <c r="B293" s="164"/>
      <c r="C293" s="337"/>
      <c r="D293" s="177"/>
      <c r="E293" s="337"/>
      <c r="F293" s="164"/>
      <c r="G293" s="337"/>
      <c r="H293" s="164"/>
      <c r="I293" s="344"/>
      <c r="J293" s="177"/>
      <c r="K293" s="344"/>
      <c r="L293" s="177"/>
      <c r="M293" s="344"/>
      <c r="N293" s="177"/>
      <c r="O293" s="337"/>
      <c r="P293" s="164"/>
      <c r="Q293" s="201"/>
      <c r="R293" s="201"/>
      <c r="S293" s="17"/>
      <c r="T293" s="17"/>
    </row>
    <row r="294">
      <c r="A294" s="337"/>
      <c r="B294" s="164"/>
      <c r="C294" s="337"/>
      <c r="D294" s="177"/>
      <c r="E294" s="337"/>
      <c r="F294" s="164"/>
      <c r="G294" s="337"/>
      <c r="H294" s="164"/>
      <c r="I294" s="344"/>
      <c r="J294" s="177"/>
      <c r="K294" s="344"/>
      <c r="L294" s="177"/>
      <c r="M294" s="344"/>
      <c r="N294" s="177"/>
      <c r="O294" s="337"/>
      <c r="P294" s="164"/>
      <c r="Q294" s="201"/>
      <c r="R294" s="201"/>
      <c r="S294" s="17"/>
      <c r="T294" s="17"/>
    </row>
    <row r="295">
      <c r="A295" s="337"/>
      <c r="B295" s="164"/>
      <c r="C295" s="337"/>
      <c r="D295" s="177"/>
      <c r="E295" s="337"/>
      <c r="F295" s="164"/>
      <c r="G295" s="337"/>
      <c r="H295" s="164"/>
      <c r="I295" s="344"/>
      <c r="J295" s="177"/>
      <c r="K295" s="344"/>
      <c r="L295" s="177"/>
      <c r="M295" s="344"/>
      <c r="N295" s="177"/>
      <c r="O295" s="337"/>
      <c r="P295" s="164"/>
      <c r="Q295" s="201"/>
      <c r="R295" s="201"/>
      <c r="S295" s="17"/>
      <c r="T295" s="17"/>
    </row>
    <row r="296">
      <c r="A296" s="337"/>
      <c r="B296" s="164"/>
      <c r="C296" s="337"/>
      <c r="D296" s="177"/>
      <c r="E296" s="337"/>
      <c r="F296" s="164"/>
      <c r="G296" s="337"/>
      <c r="H296" s="164"/>
      <c r="I296" s="344"/>
      <c r="J296" s="177"/>
      <c r="K296" s="344"/>
      <c r="L296" s="177"/>
      <c r="M296" s="344"/>
      <c r="N296" s="177"/>
      <c r="O296" s="337"/>
      <c r="P296" s="164"/>
      <c r="Q296" s="201"/>
      <c r="R296" s="201"/>
      <c r="S296" s="17"/>
      <c r="T296" s="17"/>
    </row>
    <row r="297">
      <c r="A297" s="337"/>
      <c r="B297" s="164"/>
      <c r="C297" s="337"/>
      <c r="D297" s="177"/>
      <c r="E297" s="337"/>
      <c r="F297" s="164"/>
      <c r="G297" s="337"/>
      <c r="H297" s="164"/>
      <c r="I297" s="344"/>
      <c r="J297" s="177"/>
      <c r="K297" s="344"/>
      <c r="L297" s="177"/>
      <c r="M297" s="344"/>
      <c r="N297" s="177"/>
      <c r="O297" s="337"/>
      <c r="P297" s="164"/>
      <c r="Q297" s="201"/>
      <c r="R297" s="201"/>
      <c r="S297" s="17"/>
      <c r="T297" s="17"/>
    </row>
    <row r="298">
      <c r="A298" s="337"/>
      <c r="B298" s="164"/>
      <c r="C298" s="337"/>
      <c r="D298" s="177"/>
      <c r="E298" s="337"/>
      <c r="F298" s="164"/>
      <c r="G298" s="337"/>
      <c r="H298" s="164"/>
      <c r="I298" s="344"/>
      <c r="J298" s="177"/>
      <c r="K298" s="344"/>
      <c r="L298" s="177"/>
      <c r="M298" s="344"/>
      <c r="N298" s="177"/>
      <c r="O298" s="337"/>
      <c r="P298" s="164"/>
      <c r="Q298" s="201"/>
      <c r="R298" s="201"/>
      <c r="S298" s="17"/>
      <c r="T298" s="17"/>
    </row>
    <row r="299">
      <c r="A299" s="337"/>
      <c r="B299" s="164"/>
      <c r="C299" s="337"/>
      <c r="D299" s="177"/>
      <c r="E299" s="337"/>
      <c r="F299" s="164"/>
      <c r="G299" s="337"/>
      <c r="H299" s="164"/>
      <c r="I299" s="344"/>
      <c r="J299" s="177"/>
      <c r="K299" s="344"/>
      <c r="L299" s="177"/>
      <c r="M299" s="344"/>
      <c r="N299" s="177"/>
      <c r="O299" s="337"/>
      <c r="P299" s="164"/>
      <c r="Q299" s="201"/>
      <c r="R299" s="201"/>
      <c r="S299" s="17"/>
      <c r="T299" s="17"/>
    </row>
    <row r="300">
      <c r="A300" s="337"/>
      <c r="B300" s="164"/>
      <c r="C300" s="337"/>
      <c r="D300" s="177"/>
      <c r="E300" s="337"/>
      <c r="F300" s="164"/>
      <c r="G300" s="337"/>
      <c r="H300" s="164"/>
      <c r="I300" s="344"/>
      <c r="J300" s="177"/>
      <c r="K300" s="344"/>
      <c r="L300" s="177"/>
      <c r="M300" s="344"/>
      <c r="N300" s="177"/>
      <c r="O300" s="337"/>
      <c r="P300" s="164"/>
      <c r="Q300" s="201"/>
      <c r="R300" s="201"/>
      <c r="S300" s="17"/>
      <c r="T300" s="17"/>
    </row>
    <row r="301">
      <c r="A301" s="337"/>
      <c r="B301" s="164"/>
      <c r="C301" s="337"/>
      <c r="D301" s="177"/>
      <c r="E301" s="337"/>
      <c r="F301" s="164"/>
      <c r="G301" s="337"/>
      <c r="H301" s="164"/>
      <c r="I301" s="344"/>
      <c r="J301" s="177"/>
      <c r="K301" s="344"/>
      <c r="L301" s="177"/>
      <c r="M301" s="344"/>
      <c r="N301" s="177"/>
      <c r="O301" s="337"/>
      <c r="P301" s="164"/>
      <c r="Q301" s="201"/>
      <c r="R301" s="201"/>
      <c r="S301" s="17"/>
      <c r="T301" s="17"/>
    </row>
    <row r="302">
      <c r="A302" s="337"/>
      <c r="B302" s="164"/>
      <c r="C302" s="337"/>
      <c r="D302" s="177"/>
      <c r="E302" s="337"/>
      <c r="F302" s="164"/>
      <c r="G302" s="337"/>
      <c r="H302" s="164"/>
      <c r="I302" s="344"/>
      <c r="J302" s="177"/>
      <c r="K302" s="344"/>
      <c r="L302" s="177"/>
      <c r="M302" s="344"/>
      <c r="N302" s="177"/>
      <c r="O302" s="337"/>
      <c r="P302" s="164"/>
      <c r="Q302" s="201"/>
      <c r="R302" s="201"/>
      <c r="S302" s="17"/>
      <c r="T302" s="17"/>
    </row>
    <row r="303">
      <c r="A303" s="337"/>
      <c r="B303" s="164"/>
      <c r="C303" s="337"/>
      <c r="D303" s="177"/>
      <c r="E303" s="337"/>
      <c r="F303" s="164"/>
      <c r="G303" s="337"/>
      <c r="H303" s="164"/>
      <c r="I303" s="344"/>
      <c r="J303" s="177"/>
      <c r="K303" s="344"/>
      <c r="L303" s="177"/>
      <c r="M303" s="344"/>
      <c r="N303" s="177"/>
      <c r="O303" s="337"/>
      <c r="P303" s="164"/>
      <c r="Q303" s="201"/>
      <c r="R303" s="201"/>
      <c r="S303" s="17"/>
      <c r="T303" s="17"/>
    </row>
    <row r="304">
      <c r="A304" s="337"/>
      <c r="B304" s="164"/>
      <c r="C304" s="337"/>
      <c r="D304" s="177"/>
      <c r="E304" s="337"/>
      <c r="F304" s="164"/>
      <c r="G304" s="337"/>
      <c r="H304" s="164"/>
      <c r="I304" s="344"/>
      <c r="J304" s="177"/>
      <c r="K304" s="344"/>
      <c r="L304" s="177"/>
      <c r="M304" s="344"/>
      <c r="N304" s="177"/>
      <c r="O304" s="337"/>
      <c r="P304" s="164"/>
      <c r="Q304" s="201"/>
      <c r="R304" s="201"/>
      <c r="S304" s="17"/>
      <c r="T304" s="17"/>
    </row>
    <row r="305">
      <c r="A305" s="337"/>
      <c r="B305" s="164"/>
      <c r="C305" s="337"/>
      <c r="D305" s="177"/>
      <c r="E305" s="337"/>
      <c r="F305" s="164"/>
      <c r="G305" s="337"/>
      <c r="H305" s="164"/>
      <c r="I305" s="344"/>
      <c r="J305" s="177"/>
      <c r="K305" s="344"/>
      <c r="L305" s="177"/>
      <c r="M305" s="344"/>
      <c r="N305" s="177"/>
      <c r="O305" s="337"/>
      <c r="P305" s="164"/>
      <c r="Q305" s="201"/>
      <c r="R305" s="201"/>
      <c r="S305" s="17"/>
      <c r="T305" s="17"/>
    </row>
    <row r="306">
      <c r="A306" s="337"/>
      <c r="B306" s="164"/>
      <c r="C306" s="337"/>
      <c r="D306" s="177"/>
      <c r="E306" s="337"/>
      <c r="F306" s="164"/>
      <c r="G306" s="337"/>
      <c r="H306" s="164"/>
      <c r="I306" s="344"/>
      <c r="J306" s="177"/>
      <c r="K306" s="344"/>
      <c r="L306" s="177"/>
      <c r="M306" s="344"/>
      <c r="N306" s="177"/>
      <c r="O306" s="337"/>
      <c r="P306" s="164"/>
      <c r="Q306" s="201"/>
      <c r="R306" s="201"/>
      <c r="S306" s="17"/>
      <c r="T306" s="17"/>
    </row>
    <row r="307">
      <c r="A307" s="337"/>
      <c r="B307" s="164"/>
      <c r="C307" s="337"/>
      <c r="D307" s="177"/>
      <c r="E307" s="337"/>
      <c r="F307" s="164"/>
      <c r="G307" s="337"/>
      <c r="H307" s="164"/>
      <c r="I307" s="344"/>
      <c r="J307" s="177"/>
      <c r="K307" s="344"/>
      <c r="L307" s="177"/>
      <c r="M307" s="344"/>
      <c r="N307" s="177"/>
      <c r="O307" s="337"/>
      <c r="P307" s="164"/>
      <c r="Q307" s="201"/>
      <c r="R307" s="201"/>
      <c r="S307" s="17"/>
      <c r="T307" s="17"/>
    </row>
    <row r="308">
      <c r="A308" s="337"/>
      <c r="B308" s="164"/>
      <c r="C308" s="337"/>
      <c r="D308" s="177"/>
      <c r="E308" s="337"/>
      <c r="F308" s="164"/>
      <c r="G308" s="337"/>
      <c r="H308" s="164"/>
      <c r="I308" s="344"/>
      <c r="J308" s="177"/>
      <c r="K308" s="344"/>
      <c r="L308" s="177"/>
      <c r="M308" s="344"/>
      <c r="N308" s="177"/>
      <c r="O308" s="337"/>
      <c r="P308" s="164"/>
      <c r="Q308" s="201"/>
      <c r="R308" s="201"/>
      <c r="S308" s="17"/>
      <c r="T308" s="17"/>
    </row>
    <row r="309">
      <c r="A309" s="337"/>
      <c r="B309" s="164"/>
      <c r="C309" s="337"/>
      <c r="D309" s="177"/>
      <c r="E309" s="337"/>
      <c r="F309" s="164"/>
      <c r="G309" s="337"/>
      <c r="H309" s="164"/>
      <c r="I309" s="344"/>
      <c r="J309" s="177"/>
      <c r="K309" s="344"/>
      <c r="L309" s="177"/>
      <c r="M309" s="344"/>
      <c r="N309" s="177"/>
      <c r="O309" s="337"/>
      <c r="P309" s="164"/>
      <c r="Q309" s="201"/>
      <c r="R309" s="201"/>
      <c r="S309" s="17"/>
      <c r="T309" s="17"/>
    </row>
    <row r="310">
      <c r="A310" s="337"/>
      <c r="B310" s="164"/>
      <c r="C310" s="337"/>
      <c r="D310" s="177"/>
      <c r="E310" s="337"/>
      <c r="F310" s="164"/>
      <c r="G310" s="337"/>
      <c r="H310" s="164"/>
      <c r="I310" s="344"/>
      <c r="J310" s="177"/>
      <c r="K310" s="344"/>
      <c r="L310" s="177"/>
      <c r="M310" s="344"/>
      <c r="N310" s="177"/>
      <c r="O310" s="337"/>
      <c r="P310" s="164"/>
      <c r="Q310" s="201"/>
      <c r="R310" s="201"/>
      <c r="S310" s="17"/>
      <c r="T310" s="17"/>
    </row>
    <row r="311">
      <c r="A311" s="337"/>
      <c r="B311" s="164"/>
      <c r="C311" s="337"/>
      <c r="D311" s="177"/>
      <c r="E311" s="337"/>
      <c r="F311" s="164"/>
      <c r="G311" s="337"/>
      <c r="H311" s="164"/>
      <c r="I311" s="344"/>
      <c r="J311" s="177"/>
      <c r="K311" s="344"/>
      <c r="L311" s="177"/>
      <c r="M311" s="344"/>
      <c r="N311" s="177"/>
      <c r="O311" s="337"/>
      <c r="P311" s="164"/>
      <c r="Q311" s="201"/>
      <c r="R311" s="201"/>
      <c r="S311" s="17"/>
      <c r="T311" s="17"/>
    </row>
    <row r="312">
      <c r="A312" s="337"/>
      <c r="B312" s="164"/>
      <c r="C312" s="337"/>
      <c r="D312" s="177"/>
      <c r="E312" s="337"/>
      <c r="F312" s="164"/>
      <c r="G312" s="337"/>
      <c r="H312" s="164"/>
      <c r="I312" s="344"/>
      <c r="J312" s="177"/>
      <c r="K312" s="344"/>
      <c r="L312" s="177"/>
      <c r="M312" s="344"/>
      <c r="N312" s="177"/>
      <c r="O312" s="337"/>
      <c r="P312" s="164"/>
      <c r="Q312" s="201"/>
      <c r="R312" s="201"/>
      <c r="S312" s="17"/>
      <c r="T312" s="17"/>
    </row>
    <row r="313">
      <c r="A313" s="337"/>
      <c r="B313" s="164"/>
      <c r="C313" s="337"/>
      <c r="D313" s="177"/>
      <c r="E313" s="337"/>
      <c r="F313" s="164"/>
      <c r="G313" s="337"/>
      <c r="H313" s="164"/>
      <c r="I313" s="344"/>
      <c r="J313" s="177"/>
      <c r="K313" s="344"/>
      <c r="L313" s="177"/>
      <c r="M313" s="344"/>
      <c r="N313" s="177"/>
      <c r="O313" s="337"/>
      <c r="P313" s="164"/>
      <c r="Q313" s="201"/>
      <c r="R313" s="201"/>
      <c r="S313" s="17"/>
      <c r="T313" s="17"/>
    </row>
    <row r="314">
      <c r="A314" s="337"/>
      <c r="B314" s="164"/>
      <c r="C314" s="337"/>
      <c r="D314" s="177"/>
      <c r="E314" s="337"/>
      <c r="F314" s="164"/>
      <c r="G314" s="337"/>
      <c r="H314" s="164"/>
      <c r="I314" s="344"/>
      <c r="J314" s="177"/>
      <c r="K314" s="344"/>
      <c r="L314" s="177"/>
      <c r="M314" s="344"/>
      <c r="N314" s="177"/>
      <c r="O314" s="337"/>
      <c r="P314" s="164"/>
      <c r="Q314" s="201"/>
      <c r="R314" s="201"/>
      <c r="S314" s="17"/>
      <c r="T314" s="17"/>
    </row>
    <row r="315">
      <c r="A315" s="337"/>
      <c r="B315" s="164"/>
      <c r="C315" s="337"/>
      <c r="D315" s="177"/>
      <c r="E315" s="337"/>
      <c r="F315" s="164"/>
      <c r="G315" s="337"/>
      <c r="H315" s="164"/>
      <c r="I315" s="344"/>
      <c r="J315" s="177"/>
      <c r="K315" s="344"/>
      <c r="L315" s="177"/>
      <c r="M315" s="344"/>
      <c r="N315" s="177"/>
      <c r="O315" s="337"/>
      <c r="P315" s="164"/>
      <c r="Q315" s="201"/>
      <c r="R315" s="201"/>
      <c r="S315" s="17"/>
      <c r="T315" s="17"/>
    </row>
    <row r="316">
      <c r="A316" s="337"/>
      <c r="B316" s="164"/>
      <c r="C316" s="337"/>
      <c r="D316" s="177"/>
      <c r="E316" s="337"/>
      <c r="F316" s="164"/>
      <c r="G316" s="337"/>
      <c r="H316" s="164"/>
      <c r="I316" s="344"/>
      <c r="J316" s="177"/>
      <c r="K316" s="344"/>
      <c r="L316" s="177"/>
      <c r="M316" s="344"/>
      <c r="N316" s="177"/>
      <c r="O316" s="337"/>
      <c r="P316" s="164"/>
      <c r="Q316" s="201"/>
      <c r="R316" s="201"/>
      <c r="S316" s="17"/>
      <c r="T316" s="17"/>
    </row>
    <row r="317">
      <c r="A317" s="337"/>
      <c r="B317" s="164"/>
      <c r="C317" s="337"/>
      <c r="D317" s="177"/>
      <c r="E317" s="337"/>
      <c r="F317" s="164"/>
      <c r="G317" s="337"/>
      <c r="H317" s="164"/>
      <c r="I317" s="344"/>
      <c r="J317" s="177"/>
      <c r="K317" s="344"/>
      <c r="L317" s="177"/>
      <c r="M317" s="344"/>
      <c r="N317" s="177"/>
      <c r="O317" s="337"/>
      <c r="P317" s="164"/>
      <c r="Q317" s="201"/>
      <c r="R317" s="201"/>
      <c r="S317" s="17"/>
      <c r="T317" s="17"/>
    </row>
    <row r="318">
      <c r="A318" s="337"/>
      <c r="B318" s="164"/>
      <c r="C318" s="337"/>
      <c r="D318" s="177"/>
      <c r="E318" s="337"/>
      <c r="F318" s="164"/>
      <c r="G318" s="337"/>
      <c r="H318" s="164"/>
      <c r="I318" s="344"/>
      <c r="J318" s="177"/>
      <c r="K318" s="344"/>
      <c r="L318" s="177"/>
      <c r="M318" s="344"/>
      <c r="N318" s="177"/>
      <c r="O318" s="337"/>
      <c r="P318" s="164"/>
      <c r="Q318" s="201"/>
      <c r="R318" s="201"/>
      <c r="S318" s="17"/>
      <c r="T318" s="17"/>
    </row>
    <row r="319">
      <c r="A319" s="337"/>
      <c r="B319" s="164"/>
      <c r="C319" s="337"/>
      <c r="D319" s="177"/>
      <c r="E319" s="337"/>
      <c r="F319" s="164"/>
      <c r="G319" s="337"/>
      <c r="H319" s="164"/>
      <c r="I319" s="344"/>
      <c r="J319" s="177"/>
      <c r="K319" s="344"/>
      <c r="L319" s="177"/>
      <c r="M319" s="344"/>
      <c r="N319" s="177"/>
      <c r="O319" s="337"/>
      <c r="P319" s="164"/>
      <c r="Q319" s="201"/>
      <c r="R319" s="201"/>
      <c r="S319" s="17"/>
      <c r="T319" s="17"/>
    </row>
    <row r="320">
      <c r="A320" s="337"/>
      <c r="B320" s="164"/>
      <c r="C320" s="337"/>
      <c r="D320" s="177"/>
      <c r="E320" s="337"/>
      <c r="F320" s="164"/>
      <c r="G320" s="337"/>
      <c r="H320" s="164"/>
      <c r="I320" s="344"/>
      <c r="J320" s="177"/>
      <c r="K320" s="344"/>
      <c r="L320" s="177"/>
      <c r="M320" s="344"/>
      <c r="N320" s="177"/>
      <c r="O320" s="337"/>
      <c r="P320" s="164"/>
      <c r="Q320" s="201"/>
      <c r="R320" s="201"/>
      <c r="S320" s="17"/>
      <c r="T320" s="17"/>
    </row>
    <row r="321">
      <c r="A321" s="337"/>
      <c r="B321" s="164"/>
      <c r="C321" s="337"/>
      <c r="D321" s="177"/>
      <c r="E321" s="337"/>
      <c r="F321" s="164"/>
      <c r="G321" s="337"/>
      <c r="H321" s="164"/>
      <c r="I321" s="344"/>
      <c r="J321" s="177"/>
      <c r="K321" s="344"/>
      <c r="L321" s="177"/>
      <c r="M321" s="344"/>
      <c r="N321" s="177"/>
      <c r="O321" s="337"/>
      <c r="P321" s="164"/>
      <c r="Q321" s="201"/>
      <c r="R321" s="201"/>
      <c r="S321" s="17"/>
      <c r="T321" s="17"/>
    </row>
    <row r="322">
      <c r="A322" s="337"/>
      <c r="B322" s="164"/>
      <c r="C322" s="337"/>
      <c r="D322" s="177"/>
      <c r="E322" s="337"/>
      <c r="F322" s="164"/>
      <c r="G322" s="337"/>
      <c r="H322" s="164"/>
      <c r="I322" s="344"/>
      <c r="J322" s="177"/>
      <c r="K322" s="344"/>
      <c r="L322" s="177"/>
      <c r="M322" s="344"/>
      <c r="N322" s="177"/>
      <c r="O322" s="337"/>
      <c r="P322" s="164"/>
      <c r="Q322" s="201"/>
      <c r="R322" s="201"/>
      <c r="S322" s="17"/>
      <c r="T322" s="17"/>
    </row>
    <row r="323">
      <c r="A323" s="337"/>
      <c r="B323" s="164"/>
      <c r="C323" s="337"/>
      <c r="D323" s="177"/>
      <c r="E323" s="337"/>
      <c r="F323" s="164"/>
      <c r="G323" s="337"/>
      <c r="H323" s="164"/>
      <c r="I323" s="344"/>
      <c r="J323" s="177"/>
      <c r="K323" s="344"/>
      <c r="L323" s="177"/>
      <c r="M323" s="344"/>
      <c r="N323" s="177"/>
      <c r="O323" s="337"/>
      <c r="P323" s="164"/>
      <c r="Q323" s="201"/>
      <c r="R323" s="201"/>
      <c r="S323" s="17"/>
      <c r="T323" s="17"/>
    </row>
    <row r="324">
      <c r="A324" s="337"/>
      <c r="B324" s="164"/>
      <c r="C324" s="337"/>
      <c r="D324" s="177"/>
      <c r="E324" s="337"/>
      <c r="F324" s="164"/>
      <c r="G324" s="337"/>
      <c r="H324" s="164"/>
      <c r="I324" s="344"/>
      <c r="J324" s="177"/>
      <c r="K324" s="344"/>
      <c r="L324" s="177"/>
      <c r="M324" s="344"/>
      <c r="N324" s="177"/>
      <c r="O324" s="337"/>
      <c r="P324" s="164"/>
      <c r="Q324" s="201"/>
      <c r="R324" s="201"/>
      <c r="S324" s="17"/>
      <c r="T324" s="17"/>
    </row>
    <row r="325">
      <c r="A325" s="337"/>
      <c r="B325" s="164"/>
      <c r="C325" s="337"/>
      <c r="D325" s="177"/>
      <c r="E325" s="337"/>
      <c r="F325" s="164"/>
      <c r="G325" s="337"/>
      <c r="H325" s="164"/>
      <c r="I325" s="344"/>
      <c r="J325" s="177"/>
      <c r="K325" s="344"/>
      <c r="L325" s="177"/>
      <c r="M325" s="344"/>
      <c r="N325" s="177"/>
      <c r="O325" s="337"/>
      <c r="P325" s="164"/>
      <c r="Q325" s="201"/>
      <c r="R325" s="201"/>
      <c r="S325" s="17"/>
      <c r="T325" s="17"/>
    </row>
    <row r="326">
      <c r="A326" s="337"/>
      <c r="B326" s="164"/>
      <c r="C326" s="337"/>
      <c r="D326" s="177"/>
      <c r="E326" s="337"/>
      <c r="F326" s="164"/>
      <c r="G326" s="337"/>
      <c r="H326" s="164"/>
      <c r="I326" s="344"/>
      <c r="J326" s="177"/>
      <c r="K326" s="344"/>
      <c r="L326" s="177"/>
      <c r="M326" s="344"/>
      <c r="N326" s="177"/>
      <c r="O326" s="337"/>
      <c r="P326" s="164"/>
      <c r="Q326" s="201"/>
      <c r="R326" s="201"/>
      <c r="S326" s="17"/>
      <c r="T326" s="17"/>
    </row>
    <row r="327">
      <c r="A327" s="337"/>
      <c r="B327" s="164"/>
      <c r="C327" s="337"/>
      <c r="D327" s="177"/>
      <c r="E327" s="337"/>
      <c r="F327" s="164"/>
      <c r="G327" s="337"/>
      <c r="H327" s="164"/>
      <c r="I327" s="344"/>
      <c r="J327" s="177"/>
      <c r="K327" s="344"/>
      <c r="L327" s="177"/>
      <c r="M327" s="344"/>
      <c r="N327" s="177"/>
      <c r="O327" s="337"/>
      <c r="P327" s="164"/>
      <c r="Q327" s="201"/>
      <c r="R327" s="201"/>
      <c r="S327" s="17"/>
      <c r="T327" s="17"/>
    </row>
    <row r="328">
      <c r="A328" s="337"/>
      <c r="B328" s="164"/>
      <c r="C328" s="337"/>
      <c r="D328" s="177"/>
      <c r="E328" s="337"/>
      <c r="F328" s="164"/>
      <c r="G328" s="337"/>
      <c r="H328" s="164"/>
      <c r="I328" s="344"/>
      <c r="J328" s="177"/>
      <c r="K328" s="344"/>
      <c r="L328" s="177"/>
      <c r="M328" s="344"/>
      <c r="N328" s="177"/>
      <c r="O328" s="337"/>
      <c r="P328" s="164"/>
      <c r="Q328" s="201"/>
      <c r="R328" s="201"/>
      <c r="S328" s="17"/>
      <c r="T328" s="17"/>
    </row>
    <row r="329">
      <c r="A329" s="337"/>
      <c r="B329" s="164"/>
      <c r="C329" s="337"/>
      <c r="D329" s="177"/>
      <c r="E329" s="337"/>
      <c r="F329" s="164"/>
      <c r="G329" s="337"/>
      <c r="H329" s="164"/>
      <c r="I329" s="344"/>
      <c r="J329" s="177"/>
      <c r="K329" s="344"/>
      <c r="L329" s="177"/>
      <c r="M329" s="344"/>
      <c r="N329" s="177"/>
      <c r="O329" s="337"/>
      <c r="P329" s="164"/>
      <c r="Q329" s="201"/>
      <c r="R329" s="201"/>
      <c r="S329" s="17"/>
      <c r="T329" s="17"/>
    </row>
    <row r="330">
      <c r="A330" s="337"/>
      <c r="B330" s="164"/>
      <c r="C330" s="337"/>
      <c r="D330" s="177"/>
      <c r="E330" s="337"/>
      <c r="F330" s="164"/>
      <c r="G330" s="337"/>
      <c r="H330" s="164"/>
      <c r="I330" s="344"/>
      <c r="J330" s="177"/>
      <c r="K330" s="344"/>
      <c r="L330" s="177"/>
      <c r="M330" s="344"/>
      <c r="N330" s="177"/>
      <c r="O330" s="337"/>
      <c r="P330" s="164"/>
      <c r="Q330" s="201"/>
      <c r="R330" s="201"/>
      <c r="S330" s="17"/>
      <c r="T330" s="17"/>
    </row>
    <row r="331">
      <c r="A331" s="337"/>
      <c r="B331" s="164"/>
      <c r="C331" s="337"/>
      <c r="D331" s="177"/>
      <c r="E331" s="337"/>
      <c r="F331" s="164"/>
      <c r="G331" s="337"/>
      <c r="H331" s="164"/>
      <c r="I331" s="344"/>
      <c r="J331" s="177"/>
      <c r="K331" s="344"/>
      <c r="L331" s="177"/>
      <c r="M331" s="344"/>
      <c r="N331" s="177"/>
      <c r="O331" s="337"/>
      <c r="P331" s="164"/>
      <c r="Q331" s="201"/>
      <c r="R331" s="201"/>
      <c r="S331" s="17"/>
      <c r="T331" s="17"/>
    </row>
    <row r="332">
      <c r="A332" s="337"/>
      <c r="B332" s="164"/>
      <c r="C332" s="337"/>
      <c r="D332" s="177"/>
      <c r="E332" s="337"/>
      <c r="F332" s="164"/>
      <c r="G332" s="337"/>
      <c r="H332" s="164"/>
      <c r="I332" s="344"/>
      <c r="J332" s="177"/>
      <c r="K332" s="344"/>
      <c r="L332" s="177"/>
      <c r="M332" s="344"/>
      <c r="N332" s="177"/>
      <c r="O332" s="337"/>
      <c r="P332" s="164"/>
      <c r="Q332" s="201"/>
      <c r="R332" s="201"/>
      <c r="S332" s="17"/>
      <c r="T332" s="17"/>
    </row>
    <row r="333">
      <c r="A333" s="337"/>
      <c r="B333" s="164"/>
      <c r="C333" s="337"/>
      <c r="D333" s="177"/>
      <c r="E333" s="337"/>
      <c r="F333" s="164"/>
      <c r="G333" s="337"/>
      <c r="H333" s="164"/>
      <c r="I333" s="344"/>
      <c r="J333" s="177"/>
      <c r="K333" s="344"/>
      <c r="L333" s="177"/>
      <c r="M333" s="344"/>
      <c r="N333" s="177"/>
      <c r="O333" s="337"/>
      <c r="P333" s="164"/>
      <c r="Q333" s="201"/>
      <c r="R333" s="201"/>
      <c r="S333" s="17"/>
      <c r="T333" s="17"/>
    </row>
    <row r="334">
      <c r="A334" s="337"/>
      <c r="B334" s="164"/>
      <c r="C334" s="337"/>
      <c r="D334" s="177"/>
      <c r="E334" s="337"/>
      <c r="F334" s="164"/>
      <c r="G334" s="337"/>
      <c r="H334" s="164"/>
      <c r="I334" s="344"/>
      <c r="J334" s="177"/>
      <c r="K334" s="344"/>
      <c r="L334" s="177"/>
      <c r="M334" s="344"/>
      <c r="N334" s="177"/>
      <c r="O334" s="337"/>
      <c r="P334" s="164"/>
      <c r="Q334" s="201"/>
      <c r="R334" s="201"/>
      <c r="S334" s="17"/>
      <c r="T334" s="17"/>
    </row>
    <row r="335">
      <c r="A335" s="337"/>
      <c r="B335" s="164"/>
      <c r="C335" s="337"/>
      <c r="D335" s="177"/>
      <c r="E335" s="337"/>
      <c r="F335" s="164"/>
      <c r="G335" s="337"/>
      <c r="H335" s="164"/>
      <c r="I335" s="344"/>
      <c r="J335" s="177"/>
      <c r="K335" s="344"/>
      <c r="L335" s="177"/>
      <c r="M335" s="344"/>
      <c r="N335" s="177"/>
      <c r="O335" s="337"/>
      <c r="P335" s="164"/>
      <c r="Q335" s="201"/>
      <c r="R335" s="201"/>
      <c r="S335" s="17"/>
      <c r="T335" s="17"/>
    </row>
    <row r="336">
      <c r="A336" s="337"/>
      <c r="B336" s="164"/>
      <c r="C336" s="337"/>
      <c r="D336" s="177"/>
      <c r="E336" s="337"/>
      <c r="F336" s="164"/>
      <c r="G336" s="337"/>
      <c r="H336" s="164"/>
      <c r="I336" s="344"/>
      <c r="J336" s="177"/>
      <c r="K336" s="344"/>
      <c r="L336" s="177"/>
      <c r="M336" s="344"/>
      <c r="N336" s="177"/>
      <c r="O336" s="337"/>
      <c r="P336" s="164"/>
      <c r="Q336" s="201"/>
      <c r="R336" s="201"/>
      <c r="S336" s="17"/>
      <c r="T336" s="17"/>
    </row>
    <row r="337">
      <c r="A337" s="337"/>
      <c r="B337" s="164"/>
      <c r="C337" s="337"/>
      <c r="D337" s="177"/>
      <c r="E337" s="337"/>
      <c r="F337" s="164"/>
      <c r="G337" s="337"/>
      <c r="H337" s="164"/>
      <c r="I337" s="344"/>
      <c r="J337" s="177"/>
      <c r="K337" s="344"/>
      <c r="L337" s="177"/>
      <c r="M337" s="344"/>
      <c r="N337" s="177"/>
      <c r="O337" s="337"/>
      <c r="P337" s="164"/>
      <c r="Q337" s="201"/>
      <c r="R337" s="201"/>
      <c r="S337" s="17"/>
      <c r="T337" s="17"/>
    </row>
    <row r="338">
      <c r="A338" s="337"/>
      <c r="B338" s="164"/>
      <c r="C338" s="337"/>
      <c r="D338" s="177"/>
      <c r="E338" s="337"/>
      <c r="F338" s="164"/>
      <c r="G338" s="337"/>
      <c r="H338" s="164"/>
      <c r="I338" s="344"/>
      <c r="J338" s="177"/>
      <c r="K338" s="344"/>
      <c r="L338" s="177"/>
      <c r="M338" s="344"/>
      <c r="N338" s="177"/>
      <c r="O338" s="337"/>
      <c r="P338" s="164"/>
      <c r="Q338" s="201"/>
      <c r="R338" s="201"/>
      <c r="S338" s="17"/>
      <c r="T338" s="17"/>
    </row>
    <row r="339">
      <c r="A339" s="337"/>
      <c r="B339" s="164"/>
      <c r="C339" s="337"/>
      <c r="D339" s="177"/>
      <c r="E339" s="337"/>
      <c r="F339" s="164"/>
      <c r="G339" s="337"/>
      <c r="H339" s="164"/>
      <c r="I339" s="344"/>
      <c r="J339" s="177"/>
      <c r="K339" s="344"/>
      <c r="L339" s="177"/>
      <c r="M339" s="344"/>
      <c r="N339" s="177"/>
      <c r="O339" s="337"/>
      <c r="P339" s="164"/>
      <c r="Q339" s="201"/>
      <c r="R339" s="201"/>
      <c r="S339" s="17"/>
      <c r="T339" s="17"/>
    </row>
    <row r="340">
      <c r="A340" s="337"/>
      <c r="B340" s="164"/>
      <c r="C340" s="337"/>
      <c r="D340" s="177"/>
      <c r="E340" s="337"/>
      <c r="F340" s="164"/>
      <c r="G340" s="337"/>
      <c r="H340" s="164"/>
      <c r="I340" s="344"/>
      <c r="J340" s="177"/>
      <c r="K340" s="344"/>
      <c r="L340" s="177"/>
      <c r="M340" s="344"/>
      <c r="N340" s="177"/>
      <c r="O340" s="337"/>
      <c r="P340" s="164"/>
      <c r="Q340" s="201"/>
      <c r="R340" s="201"/>
      <c r="S340" s="17"/>
      <c r="T340" s="17"/>
    </row>
    <row r="341">
      <c r="A341" s="337"/>
      <c r="B341" s="164"/>
      <c r="C341" s="337"/>
      <c r="D341" s="177"/>
      <c r="E341" s="337"/>
      <c r="F341" s="164"/>
      <c r="G341" s="337"/>
      <c r="H341" s="164"/>
      <c r="I341" s="344"/>
      <c r="J341" s="177"/>
      <c r="K341" s="344"/>
      <c r="L341" s="177"/>
      <c r="M341" s="344"/>
      <c r="N341" s="177"/>
      <c r="O341" s="337"/>
      <c r="P341" s="164"/>
      <c r="Q341" s="201"/>
      <c r="R341" s="201"/>
      <c r="S341" s="17"/>
      <c r="T341" s="17"/>
    </row>
    <row r="342">
      <c r="A342" s="337"/>
      <c r="B342" s="164"/>
      <c r="C342" s="337"/>
      <c r="D342" s="177"/>
      <c r="E342" s="337"/>
      <c r="F342" s="164"/>
      <c r="G342" s="337"/>
      <c r="H342" s="164"/>
      <c r="I342" s="344"/>
      <c r="J342" s="177"/>
      <c r="K342" s="344"/>
      <c r="L342" s="177"/>
      <c r="M342" s="344"/>
      <c r="N342" s="177"/>
      <c r="O342" s="337"/>
      <c r="P342" s="164"/>
      <c r="Q342" s="201"/>
      <c r="R342" s="201"/>
      <c r="S342" s="17"/>
      <c r="T342" s="17"/>
    </row>
    <row r="343">
      <c r="A343" s="337"/>
      <c r="B343" s="164"/>
      <c r="C343" s="337"/>
      <c r="D343" s="177"/>
      <c r="E343" s="337"/>
      <c r="F343" s="164"/>
      <c r="G343" s="337"/>
      <c r="H343" s="164"/>
      <c r="I343" s="344"/>
      <c r="J343" s="177"/>
      <c r="K343" s="344"/>
      <c r="L343" s="177"/>
      <c r="M343" s="344"/>
      <c r="N343" s="177"/>
      <c r="O343" s="337"/>
      <c r="P343" s="164"/>
      <c r="Q343" s="201"/>
      <c r="R343" s="201"/>
      <c r="S343" s="17"/>
      <c r="T343" s="17"/>
    </row>
    <row r="344">
      <c r="A344" s="337"/>
      <c r="B344" s="164"/>
      <c r="C344" s="337"/>
      <c r="D344" s="177"/>
      <c r="E344" s="337"/>
      <c r="F344" s="164"/>
      <c r="G344" s="337"/>
      <c r="H344" s="164"/>
      <c r="I344" s="344"/>
      <c r="J344" s="177"/>
      <c r="K344" s="344"/>
      <c r="L344" s="177"/>
      <c r="M344" s="344"/>
      <c r="N344" s="177"/>
      <c r="O344" s="337"/>
      <c r="P344" s="164"/>
      <c r="Q344" s="201"/>
      <c r="R344" s="201"/>
      <c r="S344" s="17"/>
      <c r="T344" s="17"/>
    </row>
    <row r="345">
      <c r="A345" s="337"/>
      <c r="B345" s="164"/>
      <c r="C345" s="337"/>
      <c r="D345" s="177"/>
      <c r="E345" s="337"/>
      <c r="F345" s="164"/>
      <c r="G345" s="337"/>
      <c r="H345" s="164"/>
      <c r="I345" s="344"/>
      <c r="J345" s="177"/>
      <c r="K345" s="344"/>
      <c r="L345" s="177"/>
      <c r="M345" s="344"/>
      <c r="N345" s="177"/>
      <c r="O345" s="337"/>
      <c r="P345" s="164"/>
      <c r="Q345" s="201"/>
      <c r="R345" s="201"/>
      <c r="S345" s="17"/>
      <c r="T345" s="17"/>
    </row>
    <row r="346">
      <c r="A346" s="337"/>
      <c r="B346" s="164"/>
      <c r="C346" s="337"/>
      <c r="D346" s="177"/>
      <c r="E346" s="337"/>
      <c r="F346" s="164"/>
      <c r="G346" s="337"/>
      <c r="H346" s="164"/>
      <c r="I346" s="344"/>
      <c r="J346" s="177"/>
      <c r="K346" s="344"/>
      <c r="L346" s="177"/>
      <c r="M346" s="344"/>
      <c r="N346" s="177"/>
      <c r="O346" s="337"/>
      <c r="P346" s="164"/>
      <c r="Q346" s="201"/>
      <c r="R346" s="201"/>
      <c r="S346" s="17"/>
      <c r="T346" s="17"/>
    </row>
    <row r="347">
      <c r="A347" s="337"/>
      <c r="B347" s="164"/>
      <c r="C347" s="337"/>
      <c r="D347" s="177"/>
      <c r="E347" s="337"/>
      <c r="F347" s="164"/>
      <c r="G347" s="337"/>
      <c r="H347" s="164"/>
      <c r="I347" s="344"/>
      <c r="J347" s="177"/>
      <c r="K347" s="344"/>
      <c r="L347" s="177"/>
      <c r="M347" s="344"/>
      <c r="N347" s="177"/>
      <c r="O347" s="337"/>
      <c r="P347" s="164"/>
      <c r="Q347" s="201"/>
      <c r="R347" s="201"/>
      <c r="S347" s="17"/>
      <c r="T347" s="17"/>
    </row>
    <row r="348">
      <c r="A348" s="337"/>
      <c r="B348" s="164"/>
      <c r="C348" s="337"/>
      <c r="D348" s="177"/>
      <c r="E348" s="337"/>
      <c r="F348" s="164"/>
      <c r="G348" s="337"/>
      <c r="H348" s="164"/>
      <c r="I348" s="344"/>
      <c r="J348" s="177"/>
      <c r="K348" s="344"/>
      <c r="L348" s="177"/>
      <c r="M348" s="344"/>
      <c r="N348" s="177"/>
      <c r="O348" s="337"/>
      <c r="P348" s="164"/>
      <c r="Q348" s="201"/>
      <c r="R348" s="201"/>
      <c r="S348" s="17"/>
      <c r="T348" s="17"/>
    </row>
    <row r="349">
      <c r="A349" s="337"/>
      <c r="B349" s="164"/>
      <c r="C349" s="337"/>
      <c r="D349" s="177"/>
      <c r="E349" s="337"/>
      <c r="F349" s="164"/>
      <c r="G349" s="337"/>
      <c r="H349" s="164"/>
      <c r="I349" s="344"/>
      <c r="J349" s="177"/>
      <c r="K349" s="344"/>
      <c r="L349" s="177"/>
      <c r="M349" s="344"/>
      <c r="N349" s="177"/>
      <c r="O349" s="337"/>
      <c r="P349" s="164"/>
      <c r="Q349" s="201"/>
      <c r="R349" s="201"/>
      <c r="S349" s="17"/>
      <c r="T349" s="17"/>
    </row>
    <row r="350">
      <c r="A350" s="337"/>
      <c r="B350" s="164"/>
      <c r="C350" s="337"/>
      <c r="D350" s="177"/>
      <c r="E350" s="337"/>
      <c r="F350" s="164"/>
      <c r="G350" s="337"/>
      <c r="H350" s="164"/>
      <c r="I350" s="344"/>
      <c r="J350" s="177"/>
      <c r="K350" s="344"/>
      <c r="L350" s="177"/>
      <c r="M350" s="344"/>
      <c r="N350" s="177"/>
      <c r="O350" s="337"/>
      <c r="P350" s="164"/>
      <c r="Q350" s="201"/>
      <c r="R350" s="201"/>
      <c r="S350" s="17"/>
      <c r="T350" s="17"/>
    </row>
    <row r="351">
      <c r="A351" s="337"/>
      <c r="B351" s="164"/>
      <c r="C351" s="337"/>
      <c r="D351" s="177"/>
      <c r="E351" s="337"/>
      <c r="F351" s="164"/>
      <c r="G351" s="337"/>
      <c r="H351" s="164"/>
      <c r="I351" s="344"/>
      <c r="J351" s="177"/>
      <c r="K351" s="344"/>
      <c r="L351" s="177"/>
      <c r="M351" s="344"/>
      <c r="N351" s="177"/>
      <c r="O351" s="337"/>
      <c r="P351" s="164"/>
      <c r="Q351" s="201"/>
      <c r="R351" s="201"/>
      <c r="S351" s="17"/>
      <c r="T351" s="17"/>
    </row>
    <row r="352">
      <c r="A352" s="337"/>
      <c r="B352" s="164"/>
      <c r="C352" s="337"/>
      <c r="D352" s="177"/>
      <c r="E352" s="337"/>
      <c r="F352" s="164"/>
      <c r="G352" s="337"/>
      <c r="H352" s="164"/>
      <c r="I352" s="344"/>
      <c r="J352" s="177"/>
      <c r="K352" s="344"/>
      <c r="L352" s="177"/>
      <c r="M352" s="344"/>
      <c r="N352" s="177"/>
      <c r="O352" s="337"/>
      <c r="P352" s="164"/>
      <c r="Q352" s="201"/>
      <c r="R352" s="201"/>
      <c r="S352" s="17"/>
      <c r="T352" s="17"/>
    </row>
    <row r="353">
      <c r="A353" s="337"/>
      <c r="B353" s="164"/>
      <c r="C353" s="337"/>
      <c r="D353" s="177"/>
      <c r="E353" s="337"/>
      <c r="F353" s="164"/>
      <c r="G353" s="337"/>
      <c r="H353" s="164"/>
      <c r="I353" s="344"/>
      <c r="J353" s="177"/>
      <c r="K353" s="344"/>
      <c r="L353" s="177"/>
      <c r="M353" s="344"/>
      <c r="N353" s="177"/>
      <c r="O353" s="337"/>
      <c r="P353" s="164"/>
      <c r="Q353" s="201"/>
      <c r="R353" s="201"/>
      <c r="S353" s="17"/>
      <c r="T353" s="17"/>
    </row>
    <row r="354">
      <c r="A354" s="337"/>
      <c r="B354" s="164"/>
      <c r="C354" s="337"/>
      <c r="D354" s="177"/>
      <c r="E354" s="337"/>
      <c r="F354" s="164"/>
      <c r="G354" s="337"/>
      <c r="H354" s="164"/>
      <c r="I354" s="344"/>
      <c r="J354" s="177"/>
      <c r="K354" s="344"/>
      <c r="L354" s="177"/>
      <c r="M354" s="344"/>
      <c r="N354" s="177"/>
      <c r="O354" s="337"/>
      <c r="P354" s="164"/>
      <c r="Q354" s="201"/>
      <c r="R354" s="201"/>
      <c r="S354" s="17"/>
      <c r="T354" s="17"/>
    </row>
    <row r="355">
      <c r="A355" s="337"/>
      <c r="B355" s="164"/>
      <c r="C355" s="337"/>
      <c r="D355" s="177"/>
      <c r="E355" s="337"/>
      <c r="F355" s="164"/>
      <c r="G355" s="337"/>
      <c r="H355" s="164"/>
      <c r="I355" s="344"/>
      <c r="J355" s="177"/>
      <c r="K355" s="344"/>
      <c r="L355" s="177"/>
      <c r="M355" s="344"/>
      <c r="N355" s="177"/>
      <c r="O355" s="337"/>
      <c r="P355" s="164"/>
      <c r="Q355" s="201"/>
      <c r="R355" s="201"/>
      <c r="S355" s="17"/>
      <c r="T355" s="17"/>
    </row>
    <row r="356">
      <c r="A356" s="337"/>
      <c r="B356" s="164"/>
      <c r="C356" s="337"/>
      <c r="D356" s="177"/>
      <c r="E356" s="337"/>
      <c r="F356" s="164"/>
      <c r="G356" s="337"/>
      <c r="H356" s="164"/>
      <c r="I356" s="344"/>
      <c r="J356" s="177"/>
      <c r="K356" s="344"/>
      <c r="L356" s="177"/>
      <c r="M356" s="344"/>
      <c r="N356" s="177"/>
      <c r="O356" s="337"/>
      <c r="P356" s="164"/>
      <c r="Q356" s="201"/>
      <c r="R356" s="201"/>
      <c r="S356" s="17"/>
      <c r="T356" s="17"/>
    </row>
    <row r="357">
      <c r="A357" s="337"/>
      <c r="B357" s="164"/>
      <c r="C357" s="337"/>
      <c r="D357" s="177"/>
      <c r="E357" s="337"/>
      <c r="F357" s="164"/>
      <c r="G357" s="337"/>
      <c r="H357" s="164"/>
      <c r="I357" s="344"/>
      <c r="J357" s="177"/>
      <c r="K357" s="344"/>
      <c r="L357" s="177"/>
      <c r="M357" s="344"/>
      <c r="N357" s="177"/>
      <c r="O357" s="337"/>
      <c r="P357" s="164"/>
      <c r="Q357" s="201"/>
      <c r="R357" s="201"/>
      <c r="S357" s="17"/>
      <c r="T357" s="17"/>
    </row>
    <row r="358">
      <c r="A358" s="337"/>
      <c r="B358" s="164"/>
      <c r="C358" s="337"/>
      <c r="D358" s="177"/>
      <c r="E358" s="337"/>
      <c r="F358" s="164"/>
      <c r="G358" s="337"/>
      <c r="H358" s="164"/>
      <c r="I358" s="344"/>
      <c r="J358" s="177"/>
      <c r="K358" s="344"/>
      <c r="L358" s="177"/>
      <c r="M358" s="344"/>
      <c r="N358" s="177"/>
      <c r="O358" s="337"/>
      <c r="P358" s="164"/>
      <c r="Q358" s="201"/>
      <c r="R358" s="201"/>
      <c r="S358" s="17"/>
      <c r="T358" s="17"/>
    </row>
    <row r="359">
      <c r="A359" s="337"/>
      <c r="B359" s="164"/>
      <c r="C359" s="337"/>
      <c r="D359" s="177"/>
      <c r="E359" s="337"/>
      <c r="F359" s="164"/>
      <c r="G359" s="337"/>
      <c r="H359" s="164"/>
      <c r="I359" s="344"/>
      <c r="J359" s="177"/>
      <c r="K359" s="344"/>
      <c r="L359" s="177"/>
      <c r="M359" s="344"/>
      <c r="N359" s="177"/>
      <c r="O359" s="337"/>
      <c r="P359" s="164"/>
      <c r="Q359" s="201"/>
      <c r="R359" s="201"/>
      <c r="S359" s="17"/>
      <c r="T359" s="17"/>
    </row>
    <row r="360">
      <c r="A360" s="337"/>
      <c r="B360" s="164"/>
      <c r="C360" s="337"/>
      <c r="D360" s="177"/>
      <c r="E360" s="337"/>
      <c r="F360" s="164"/>
      <c r="G360" s="337"/>
      <c r="H360" s="164"/>
      <c r="I360" s="344"/>
      <c r="J360" s="177"/>
      <c r="K360" s="344"/>
      <c r="L360" s="177"/>
      <c r="M360" s="344"/>
      <c r="N360" s="177"/>
      <c r="O360" s="337"/>
      <c r="P360" s="164"/>
      <c r="Q360" s="201"/>
      <c r="R360" s="201"/>
      <c r="S360" s="17"/>
      <c r="T360" s="17"/>
    </row>
    <row r="361">
      <c r="A361" s="337"/>
      <c r="B361" s="164"/>
      <c r="C361" s="337"/>
      <c r="D361" s="177"/>
      <c r="E361" s="337"/>
      <c r="F361" s="164"/>
      <c r="G361" s="337"/>
      <c r="H361" s="164"/>
      <c r="I361" s="344"/>
      <c r="J361" s="177"/>
      <c r="K361" s="344"/>
      <c r="L361" s="177"/>
      <c r="M361" s="344"/>
      <c r="N361" s="177"/>
      <c r="O361" s="337"/>
      <c r="P361" s="164"/>
      <c r="Q361" s="201"/>
      <c r="R361" s="201"/>
      <c r="S361" s="17"/>
      <c r="T361" s="17"/>
    </row>
    <row r="362">
      <c r="A362" s="337"/>
      <c r="B362" s="164"/>
      <c r="C362" s="337"/>
      <c r="D362" s="177"/>
      <c r="E362" s="337"/>
      <c r="F362" s="164"/>
      <c r="G362" s="337"/>
      <c r="H362" s="164"/>
      <c r="I362" s="344"/>
      <c r="J362" s="177"/>
      <c r="K362" s="344"/>
      <c r="L362" s="177"/>
      <c r="M362" s="344"/>
      <c r="N362" s="177"/>
      <c r="O362" s="337"/>
      <c r="P362" s="164"/>
      <c r="Q362" s="201"/>
      <c r="R362" s="201"/>
      <c r="S362" s="17"/>
      <c r="T362" s="17"/>
    </row>
    <row r="363">
      <c r="A363" s="337"/>
      <c r="B363" s="164"/>
      <c r="C363" s="337"/>
      <c r="D363" s="177"/>
      <c r="E363" s="337"/>
      <c r="F363" s="164"/>
      <c r="G363" s="337"/>
      <c r="H363" s="164"/>
      <c r="I363" s="344"/>
      <c r="J363" s="177"/>
      <c r="K363" s="344"/>
      <c r="L363" s="177"/>
      <c r="M363" s="344"/>
      <c r="N363" s="177"/>
      <c r="O363" s="337"/>
      <c r="P363" s="164"/>
      <c r="Q363" s="201"/>
      <c r="R363" s="201"/>
      <c r="S363" s="17"/>
      <c r="T363" s="17"/>
    </row>
    <row r="364">
      <c r="A364" s="337"/>
      <c r="B364" s="164"/>
      <c r="C364" s="337"/>
      <c r="D364" s="177"/>
      <c r="E364" s="337"/>
      <c r="F364" s="164"/>
      <c r="G364" s="337"/>
      <c r="H364" s="164"/>
      <c r="I364" s="344"/>
      <c r="J364" s="177"/>
      <c r="K364" s="344"/>
      <c r="L364" s="177"/>
      <c r="M364" s="344"/>
      <c r="N364" s="177"/>
      <c r="O364" s="337"/>
      <c r="P364" s="164"/>
      <c r="Q364" s="201"/>
      <c r="R364" s="201"/>
      <c r="S364" s="17"/>
      <c r="T364" s="17"/>
    </row>
    <row r="365">
      <c r="A365" s="337"/>
      <c r="B365" s="164"/>
      <c r="C365" s="337"/>
      <c r="D365" s="177"/>
      <c r="E365" s="337"/>
      <c r="F365" s="164"/>
      <c r="G365" s="337"/>
      <c r="H365" s="164"/>
      <c r="I365" s="344"/>
      <c r="J365" s="177"/>
      <c r="K365" s="344"/>
      <c r="L365" s="177"/>
      <c r="M365" s="344"/>
      <c r="N365" s="177"/>
      <c r="O365" s="337"/>
      <c r="P365" s="164"/>
      <c r="Q365" s="201"/>
      <c r="R365" s="201"/>
      <c r="S365" s="17"/>
      <c r="T365" s="17"/>
    </row>
    <row r="366">
      <c r="A366" s="337"/>
      <c r="B366" s="164"/>
      <c r="C366" s="337"/>
      <c r="D366" s="177"/>
      <c r="E366" s="337"/>
      <c r="F366" s="164"/>
      <c r="G366" s="337"/>
      <c r="H366" s="164"/>
      <c r="I366" s="344"/>
      <c r="J366" s="177"/>
      <c r="K366" s="344"/>
      <c r="L366" s="177"/>
      <c r="M366" s="344"/>
      <c r="N366" s="177"/>
      <c r="O366" s="337"/>
      <c r="P366" s="164"/>
      <c r="Q366" s="201"/>
      <c r="R366" s="201"/>
      <c r="S366" s="17"/>
      <c r="T366" s="17"/>
    </row>
    <row r="367">
      <c r="A367" s="337"/>
      <c r="B367" s="164"/>
      <c r="C367" s="337"/>
      <c r="D367" s="177"/>
      <c r="E367" s="337"/>
      <c r="F367" s="164"/>
      <c r="G367" s="337"/>
      <c r="H367" s="164"/>
      <c r="I367" s="344"/>
      <c r="J367" s="177"/>
      <c r="K367" s="344"/>
      <c r="L367" s="177"/>
      <c r="M367" s="344"/>
      <c r="N367" s="177"/>
      <c r="O367" s="337"/>
      <c r="P367" s="164"/>
      <c r="Q367" s="201"/>
      <c r="R367" s="201"/>
      <c r="S367" s="17"/>
      <c r="T367" s="17"/>
    </row>
    <row r="368">
      <c r="A368" s="337"/>
      <c r="B368" s="164"/>
      <c r="C368" s="337"/>
      <c r="D368" s="177"/>
      <c r="E368" s="337"/>
      <c r="F368" s="164"/>
      <c r="G368" s="337"/>
      <c r="H368" s="164"/>
      <c r="I368" s="344"/>
      <c r="J368" s="177"/>
      <c r="K368" s="344"/>
      <c r="L368" s="177"/>
      <c r="M368" s="344"/>
      <c r="N368" s="177"/>
      <c r="O368" s="337"/>
      <c r="P368" s="164"/>
      <c r="Q368" s="201"/>
      <c r="R368" s="201"/>
      <c r="S368" s="17"/>
      <c r="T368" s="17"/>
    </row>
    <row r="369">
      <c r="A369" s="337"/>
      <c r="B369" s="164"/>
      <c r="C369" s="337"/>
      <c r="D369" s="177"/>
      <c r="E369" s="337"/>
      <c r="F369" s="164"/>
      <c r="G369" s="337"/>
      <c r="H369" s="164"/>
      <c r="I369" s="344"/>
      <c r="J369" s="177"/>
      <c r="K369" s="344"/>
      <c r="L369" s="177"/>
      <c r="M369" s="344"/>
      <c r="N369" s="177"/>
      <c r="O369" s="337"/>
      <c r="P369" s="164"/>
      <c r="Q369" s="201"/>
      <c r="R369" s="201"/>
      <c r="S369" s="17"/>
      <c r="T369" s="17"/>
    </row>
    <row r="370">
      <c r="A370" s="337"/>
      <c r="B370" s="164"/>
      <c r="C370" s="337"/>
      <c r="D370" s="177"/>
      <c r="E370" s="337"/>
      <c r="F370" s="164"/>
      <c r="G370" s="337"/>
      <c r="H370" s="164"/>
      <c r="I370" s="344"/>
      <c r="J370" s="177"/>
      <c r="K370" s="344"/>
      <c r="L370" s="177"/>
      <c r="M370" s="344"/>
      <c r="N370" s="177"/>
      <c r="O370" s="337"/>
      <c r="P370" s="164"/>
      <c r="Q370" s="201"/>
      <c r="R370" s="201"/>
      <c r="S370" s="17"/>
      <c r="T370" s="17"/>
    </row>
    <row r="371">
      <c r="A371" s="337"/>
      <c r="B371" s="164"/>
      <c r="C371" s="337"/>
      <c r="D371" s="177"/>
      <c r="E371" s="337"/>
      <c r="F371" s="164"/>
      <c r="G371" s="337"/>
      <c r="H371" s="164"/>
      <c r="I371" s="344"/>
      <c r="J371" s="177"/>
      <c r="K371" s="344"/>
      <c r="L371" s="177"/>
      <c r="M371" s="344"/>
      <c r="N371" s="177"/>
      <c r="O371" s="337"/>
      <c r="P371" s="164"/>
      <c r="Q371" s="201"/>
      <c r="R371" s="201"/>
      <c r="S371" s="17"/>
      <c r="T371" s="17"/>
    </row>
    <row r="372">
      <c r="A372" s="337"/>
      <c r="B372" s="164"/>
      <c r="C372" s="337"/>
      <c r="D372" s="177"/>
      <c r="E372" s="337"/>
      <c r="F372" s="164"/>
      <c r="G372" s="337"/>
      <c r="H372" s="164"/>
      <c r="I372" s="344"/>
      <c r="J372" s="177"/>
      <c r="K372" s="344"/>
      <c r="L372" s="177"/>
      <c r="M372" s="344"/>
      <c r="N372" s="177"/>
      <c r="O372" s="337"/>
      <c r="P372" s="164"/>
      <c r="Q372" s="201"/>
      <c r="R372" s="201"/>
      <c r="S372" s="17"/>
      <c r="T372" s="17"/>
    </row>
    <row r="373">
      <c r="A373" s="337"/>
      <c r="B373" s="164"/>
      <c r="C373" s="337"/>
      <c r="D373" s="177"/>
      <c r="E373" s="337"/>
      <c r="F373" s="164"/>
      <c r="G373" s="337"/>
      <c r="H373" s="164"/>
      <c r="I373" s="344"/>
      <c r="J373" s="177"/>
      <c r="K373" s="344"/>
      <c r="L373" s="177"/>
      <c r="M373" s="344"/>
      <c r="N373" s="177"/>
      <c r="O373" s="337"/>
      <c r="P373" s="164"/>
      <c r="Q373" s="201"/>
      <c r="R373" s="201"/>
      <c r="S373" s="17"/>
      <c r="T373" s="17"/>
    </row>
    <row r="374">
      <c r="A374" s="337"/>
      <c r="B374" s="164"/>
      <c r="C374" s="337"/>
      <c r="D374" s="177"/>
      <c r="E374" s="337"/>
      <c r="F374" s="164"/>
      <c r="G374" s="337"/>
      <c r="H374" s="164"/>
      <c r="I374" s="344"/>
      <c r="J374" s="177"/>
      <c r="K374" s="344"/>
      <c r="L374" s="177"/>
      <c r="M374" s="344"/>
      <c r="N374" s="177"/>
      <c r="O374" s="337"/>
      <c r="P374" s="164"/>
      <c r="Q374" s="201"/>
      <c r="R374" s="201"/>
      <c r="S374" s="17"/>
      <c r="T374" s="17"/>
    </row>
    <row r="375">
      <c r="A375" s="337"/>
      <c r="B375" s="164"/>
      <c r="C375" s="337"/>
      <c r="D375" s="177"/>
      <c r="E375" s="337"/>
      <c r="F375" s="164"/>
      <c r="G375" s="337"/>
      <c r="H375" s="164"/>
      <c r="I375" s="344"/>
      <c r="J375" s="177"/>
      <c r="K375" s="344"/>
      <c r="L375" s="177"/>
      <c r="M375" s="344"/>
      <c r="N375" s="177"/>
      <c r="O375" s="337"/>
      <c r="P375" s="164"/>
      <c r="Q375" s="201"/>
      <c r="R375" s="201"/>
      <c r="S375" s="17"/>
      <c r="T375" s="17"/>
    </row>
    <row r="376">
      <c r="A376" s="337"/>
      <c r="B376" s="164"/>
      <c r="C376" s="337"/>
      <c r="D376" s="177"/>
      <c r="E376" s="337"/>
      <c r="F376" s="164"/>
      <c r="G376" s="337"/>
      <c r="H376" s="164"/>
      <c r="I376" s="344"/>
      <c r="J376" s="177"/>
      <c r="K376" s="344"/>
      <c r="L376" s="177"/>
      <c r="M376" s="344"/>
      <c r="N376" s="177"/>
      <c r="O376" s="337"/>
      <c r="P376" s="164"/>
      <c r="Q376" s="201"/>
      <c r="R376" s="201"/>
      <c r="S376" s="17"/>
      <c r="T376" s="17"/>
    </row>
    <row r="377">
      <c r="A377" s="337"/>
      <c r="B377" s="164"/>
      <c r="C377" s="337"/>
      <c r="D377" s="177"/>
      <c r="E377" s="337"/>
      <c r="F377" s="164"/>
      <c r="G377" s="337"/>
      <c r="H377" s="164"/>
      <c r="I377" s="344"/>
      <c r="J377" s="177"/>
      <c r="K377" s="344"/>
      <c r="L377" s="177"/>
      <c r="M377" s="344"/>
      <c r="N377" s="177"/>
      <c r="O377" s="337"/>
      <c r="P377" s="164"/>
      <c r="Q377" s="201"/>
      <c r="R377" s="201"/>
      <c r="S377" s="17"/>
      <c r="T377" s="17"/>
    </row>
    <row r="378">
      <c r="A378" s="337"/>
      <c r="B378" s="164"/>
      <c r="C378" s="337"/>
      <c r="D378" s="177"/>
      <c r="E378" s="337"/>
      <c r="F378" s="164"/>
      <c r="G378" s="337"/>
      <c r="H378" s="164"/>
      <c r="I378" s="344"/>
      <c r="J378" s="177"/>
      <c r="K378" s="344"/>
      <c r="L378" s="177"/>
      <c r="M378" s="344"/>
      <c r="N378" s="177"/>
      <c r="O378" s="337"/>
      <c r="P378" s="164"/>
      <c r="Q378" s="201"/>
      <c r="R378" s="201"/>
      <c r="S378" s="17"/>
      <c r="T378" s="17"/>
    </row>
    <row r="379">
      <c r="A379" s="337"/>
      <c r="B379" s="164"/>
      <c r="C379" s="337"/>
      <c r="D379" s="177"/>
      <c r="E379" s="337"/>
      <c r="F379" s="164"/>
      <c r="G379" s="337"/>
      <c r="H379" s="164"/>
      <c r="I379" s="344"/>
      <c r="J379" s="177"/>
      <c r="K379" s="344"/>
      <c r="L379" s="177"/>
      <c r="M379" s="344"/>
      <c r="N379" s="177"/>
      <c r="O379" s="337"/>
      <c r="P379" s="164"/>
      <c r="Q379" s="201"/>
      <c r="R379" s="201"/>
      <c r="S379" s="17"/>
      <c r="T379" s="17"/>
    </row>
    <row r="380">
      <c r="A380" s="337"/>
      <c r="B380" s="164"/>
      <c r="C380" s="337"/>
      <c r="D380" s="177"/>
      <c r="E380" s="337"/>
      <c r="F380" s="164"/>
      <c r="G380" s="337"/>
      <c r="H380" s="164"/>
      <c r="I380" s="344"/>
      <c r="J380" s="177"/>
      <c r="K380" s="344"/>
      <c r="L380" s="177"/>
      <c r="M380" s="344"/>
      <c r="N380" s="177"/>
      <c r="O380" s="337"/>
      <c r="P380" s="164"/>
      <c r="Q380" s="201"/>
      <c r="R380" s="201"/>
      <c r="S380" s="17"/>
      <c r="T380" s="17"/>
    </row>
    <row r="381">
      <c r="A381" s="337"/>
      <c r="B381" s="164"/>
      <c r="C381" s="337"/>
      <c r="D381" s="177"/>
      <c r="E381" s="337"/>
      <c r="F381" s="164"/>
      <c r="G381" s="337"/>
      <c r="H381" s="164"/>
      <c r="I381" s="344"/>
      <c r="J381" s="177"/>
      <c r="K381" s="344"/>
      <c r="L381" s="177"/>
      <c r="M381" s="344"/>
      <c r="N381" s="177"/>
      <c r="O381" s="337"/>
      <c r="P381" s="164"/>
      <c r="Q381" s="201"/>
      <c r="R381" s="201"/>
      <c r="S381" s="17"/>
      <c r="T381" s="17"/>
    </row>
    <row r="382">
      <c r="A382" s="337"/>
      <c r="B382" s="164"/>
      <c r="C382" s="337"/>
      <c r="D382" s="177"/>
      <c r="E382" s="337"/>
      <c r="F382" s="164"/>
      <c r="G382" s="337"/>
      <c r="H382" s="164"/>
      <c r="I382" s="344"/>
      <c r="J382" s="177"/>
      <c r="K382" s="344"/>
      <c r="L382" s="177"/>
      <c r="M382" s="344"/>
      <c r="N382" s="177"/>
      <c r="O382" s="337"/>
      <c r="P382" s="164"/>
      <c r="Q382" s="201"/>
      <c r="R382" s="201"/>
      <c r="S382" s="17"/>
      <c r="T382" s="17"/>
    </row>
    <row r="383">
      <c r="A383" s="337"/>
      <c r="B383" s="164"/>
      <c r="C383" s="337"/>
      <c r="D383" s="177"/>
      <c r="E383" s="337"/>
      <c r="F383" s="164"/>
      <c r="G383" s="337"/>
      <c r="H383" s="164"/>
      <c r="I383" s="344"/>
      <c r="J383" s="177"/>
      <c r="K383" s="344"/>
      <c r="L383" s="177"/>
      <c r="M383" s="344"/>
      <c r="N383" s="177"/>
      <c r="O383" s="337"/>
      <c r="P383" s="164"/>
      <c r="Q383" s="201"/>
      <c r="R383" s="201"/>
      <c r="S383" s="17"/>
      <c r="T383" s="17"/>
    </row>
    <row r="384">
      <c r="A384" s="337"/>
      <c r="B384" s="164"/>
      <c r="C384" s="337"/>
      <c r="D384" s="177"/>
      <c r="E384" s="337"/>
      <c r="F384" s="164"/>
      <c r="G384" s="337"/>
      <c r="H384" s="164"/>
      <c r="I384" s="344"/>
      <c r="J384" s="177"/>
      <c r="K384" s="344"/>
      <c r="L384" s="177"/>
      <c r="M384" s="344"/>
      <c r="N384" s="177"/>
      <c r="O384" s="337"/>
      <c r="P384" s="164"/>
      <c r="Q384" s="201"/>
      <c r="R384" s="201"/>
      <c r="S384" s="17"/>
      <c r="T384" s="17"/>
    </row>
    <row r="385">
      <c r="A385" s="337"/>
      <c r="B385" s="164"/>
      <c r="C385" s="337"/>
      <c r="D385" s="177"/>
      <c r="E385" s="337"/>
      <c r="F385" s="164"/>
      <c r="G385" s="337"/>
      <c r="H385" s="164"/>
      <c r="I385" s="344"/>
      <c r="J385" s="177"/>
      <c r="K385" s="344"/>
      <c r="L385" s="177"/>
      <c r="M385" s="344"/>
      <c r="N385" s="177"/>
      <c r="O385" s="337"/>
      <c r="P385" s="164"/>
      <c r="Q385" s="201"/>
      <c r="R385" s="201"/>
      <c r="S385" s="17"/>
      <c r="T385" s="17"/>
    </row>
    <row r="386">
      <c r="A386" s="337"/>
      <c r="B386" s="164"/>
      <c r="C386" s="337"/>
      <c r="D386" s="177"/>
      <c r="E386" s="337"/>
      <c r="F386" s="164"/>
      <c r="G386" s="337"/>
      <c r="H386" s="164"/>
      <c r="I386" s="344"/>
      <c r="J386" s="177"/>
      <c r="K386" s="344"/>
      <c r="L386" s="177"/>
      <c r="M386" s="344"/>
      <c r="N386" s="177"/>
      <c r="O386" s="337"/>
      <c r="P386" s="164"/>
      <c r="Q386" s="201"/>
      <c r="R386" s="201"/>
      <c r="S386" s="17"/>
      <c r="T386" s="17"/>
    </row>
    <row r="387">
      <c r="A387" s="337"/>
      <c r="B387" s="164"/>
      <c r="C387" s="337"/>
      <c r="D387" s="177"/>
      <c r="E387" s="337"/>
      <c r="F387" s="164"/>
      <c r="G387" s="337"/>
      <c r="H387" s="164"/>
      <c r="I387" s="344"/>
      <c r="J387" s="177"/>
      <c r="K387" s="344"/>
      <c r="L387" s="177"/>
      <c r="M387" s="344"/>
      <c r="N387" s="177"/>
      <c r="O387" s="337"/>
      <c r="P387" s="164"/>
      <c r="Q387" s="201"/>
      <c r="R387" s="201"/>
      <c r="S387" s="17"/>
      <c r="T387" s="17"/>
    </row>
    <row r="388">
      <c r="A388" s="337"/>
      <c r="B388" s="164"/>
      <c r="C388" s="337"/>
      <c r="D388" s="177"/>
      <c r="E388" s="337"/>
      <c r="F388" s="164"/>
      <c r="G388" s="337"/>
      <c r="H388" s="164"/>
      <c r="I388" s="344"/>
      <c r="J388" s="177"/>
      <c r="K388" s="344"/>
      <c r="L388" s="177"/>
      <c r="M388" s="344"/>
      <c r="N388" s="177"/>
      <c r="O388" s="337"/>
      <c r="P388" s="164"/>
      <c r="Q388" s="201"/>
      <c r="R388" s="201"/>
      <c r="S388" s="17"/>
      <c r="T388" s="17"/>
    </row>
    <row r="389">
      <c r="A389" s="337"/>
      <c r="B389" s="164"/>
      <c r="C389" s="337"/>
      <c r="D389" s="177"/>
      <c r="E389" s="337"/>
      <c r="F389" s="164"/>
      <c r="G389" s="337"/>
      <c r="H389" s="164"/>
      <c r="I389" s="344"/>
      <c r="J389" s="177"/>
      <c r="K389" s="344"/>
      <c r="L389" s="177"/>
      <c r="M389" s="344"/>
      <c r="N389" s="177"/>
      <c r="O389" s="337"/>
      <c r="P389" s="164"/>
      <c r="Q389" s="201"/>
      <c r="R389" s="201"/>
      <c r="S389" s="17"/>
      <c r="T389" s="17"/>
    </row>
    <row r="390">
      <c r="A390" s="337"/>
      <c r="B390" s="164"/>
      <c r="C390" s="337"/>
      <c r="D390" s="177"/>
      <c r="E390" s="337"/>
      <c r="F390" s="164"/>
      <c r="G390" s="337"/>
      <c r="H390" s="164"/>
      <c r="I390" s="344"/>
      <c r="J390" s="177"/>
      <c r="K390" s="344"/>
      <c r="L390" s="177"/>
      <c r="M390" s="344"/>
      <c r="N390" s="177"/>
      <c r="O390" s="337"/>
      <c r="P390" s="164"/>
      <c r="Q390" s="201"/>
      <c r="R390" s="201"/>
      <c r="S390" s="17"/>
      <c r="T390" s="17"/>
    </row>
    <row r="391">
      <c r="A391" s="337"/>
      <c r="B391" s="164"/>
      <c r="C391" s="337"/>
      <c r="D391" s="177"/>
      <c r="E391" s="337"/>
      <c r="F391" s="164"/>
      <c r="G391" s="337"/>
      <c r="H391" s="164"/>
      <c r="I391" s="344"/>
      <c r="J391" s="177"/>
      <c r="K391" s="344"/>
      <c r="L391" s="177"/>
      <c r="M391" s="344"/>
      <c r="N391" s="177"/>
      <c r="O391" s="337"/>
      <c r="P391" s="164"/>
      <c r="Q391" s="201"/>
      <c r="R391" s="201"/>
      <c r="S391" s="17"/>
      <c r="T391" s="17"/>
    </row>
    <row r="392">
      <c r="A392" s="337"/>
      <c r="B392" s="164"/>
      <c r="C392" s="337"/>
      <c r="D392" s="177"/>
      <c r="E392" s="337"/>
      <c r="F392" s="164"/>
      <c r="G392" s="337"/>
      <c r="H392" s="164"/>
      <c r="I392" s="344"/>
      <c r="J392" s="177"/>
      <c r="K392" s="344"/>
      <c r="L392" s="177"/>
      <c r="M392" s="344"/>
      <c r="N392" s="177"/>
      <c r="O392" s="337"/>
      <c r="P392" s="164"/>
      <c r="Q392" s="201"/>
      <c r="R392" s="201"/>
      <c r="S392" s="17"/>
      <c r="T392" s="17"/>
    </row>
    <row r="393">
      <c r="A393" s="337"/>
      <c r="B393" s="164"/>
      <c r="C393" s="337"/>
      <c r="D393" s="177"/>
      <c r="E393" s="337"/>
      <c r="F393" s="164"/>
      <c r="G393" s="337"/>
      <c r="H393" s="164"/>
      <c r="I393" s="344"/>
      <c r="J393" s="177"/>
      <c r="K393" s="344"/>
      <c r="L393" s="177"/>
      <c r="M393" s="344"/>
      <c r="N393" s="177"/>
      <c r="O393" s="337"/>
      <c r="P393" s="164"/>
      <c r="Q393" s="201"/>
      <c r="R393" s="201"/>
      <c r="S393" s="17"/>
      <c r="T393" s="17"/>
    </row>
    <row r="394">
      <c r="A394" s="337"/>
      <c r="B394" s="164"/>
      <c r="C394" s="337"/>
      <c r="D394" s="177"/>
      <c r="E394" s="337"/>
      <c r="F394" s="164"/>
      <c r="G394" s="337"/>
      <c r="H394" s="164"/>
      <c r="I394" s="344"/>
      <c r="J394" s="177"/>
      <c r="K394" s="344"/>
      <c r="L394" s="177"/>
      <c r="M394" s="344"/>
      <c r="N394" s="177"/>
      <c r="O394" s="337"/>
      <c r="P394" s="164"/>
      <c r="Q394" s="201"/>
      <c r="R394" s="201"/>
      <c r="S394" s="17"/>
      <c r="T394" s="17"/>
    </row>
    <row r="395">
      <c r="A395" s="337"/>
      <c r="B395" s="164"/>
      <c r="C395" s="337"/>
      <c r="D395" s="177"/>
      <c r="E395" s="337"/>
      <c r="F395" s="164"/>
      <c r="G395" s="337"/>
      <c r="H395" s="164"/>
      <c r="I395" s="344"/>
      <c r="J395" s="177"/>
      <c r="K395" s="344"/>
      <c r="L395" s="177"/>
      <c r="M395" s="344"/>
      <c r="N395" s="177"/>
      <c r="O395" s="337"/>
      <c r="P395" s="164"/>
      <c r="Q395" s="201"/>
      <c r="R395" s="201"/>
      <c r="S395" s="17"/>
      <c r="T395" s="17"/>
    </row>
    <row r="396">
      <c r="A396" s="337"/>
      <c r="B396" s="164"/>
      <c r="C396" s="337"/>
      <c r="D396" s="177"/>
      <c r="E396" s="337"/>
      <c r="F396" s="164"/>
      <c r="G396" s="337"/>
      <c r="H396" s="164"/>
      <c r="I396" s="344"/>
      <c r="J396" s="177"/>
      <c r="K396" s="344"/>
      <c r="L396" s="177"/>
      <c r="M396" s="344"/>
      <c r="N396" s="177"/>
      <c r="O396" s="337"/>
      <c r="P396" s="164"/>
      <c r="Q396" s="201"/>
      <c r="R396" s="201"/>
      <c r="S396" s="17"/>
      <c r="T396" s="17"/>
    </row>
    <row r="397">
      <c r="A397" s="337"/>
      <c r="B397" s="164"/>
      <c r="C397" s="337"/>
      <c r="D397" s="177"/>
      <c r="E397" s="337"/>
      <c r="F397" s="164"/>
      <c r="G397" s="337"/>
      <c r="H397" s="164"/>
      <c r="I397" s="344"/>
      <c r="J397" s="177"/>
      <c r="K397" s="344"/>
      <c r="L397" s="177"/>
      <c r="M397" s="344"/>
      <c r="N397" s="177"/>
      <c r="O397" s="337"/>
      <c r="P397" s="164"/>
      <c r="Q397" s="201"/>
      <c r="R397" s="201"/>
      <c r="S397" s="17"/>
      <c r="T397" s="17"/>
    </row>
    <row r="398">
      <c r="A398" s="337"/>
      <c r="B398" s="164"/>
      <c r="C398" s="337"/>
      <c r="D398" s="177"/>
      <c r="E398" s="337"/>
      <c r="F398" s="164"/>
      <c r="G398" s="337"/>
      <c r="H398" s="164"/>
      <c r="I398" s="344"/>
      <c r="J398" s="177"/>
      <c r="K398" s="344"/>
      <c r="L398" s="177"/>
      <c r="M398" s="344"/>
      <c r="N398" s="177"/>
      <c r="O398" s="337"/>
      <c r="P398" s="164"/>
      <c r="Q398" s="201"/>
      <c r="R398" s="201"/>
      <c r="S398" s="17"/>
      <c r="T398" s="17"/>
    </row>
    <row r="399">
      <c r="A399" s="337"/>
      <c r="B399" s="164"/>
      <c r="C399" s="337"/>
      <c r="D399" s="177"/>
      <c r="E399" s="337"/>
      <c r="F399" s="164"/>
      <c r="G399" s="337"/>
      <c r="H399" s="164"/>
      <c r="I399" s="344"/>
      <c r="J399" s="177"/>
      <c r="K399" s="344"/>
      <c r="L399" s="177"/>
      <c r="M399" s="344"/>
      <c r="N399" s="177"/>
      <c r="O399" s="337"/>
      <c r="P399" s="164"/>
      <c r="Q399" s="201"/>
      <c r="R399" s="201"/>
      <c r="S399" s="17"/>
      <c r="T399" s="17"/>
    </row>
    <row r="400">
      <c r="A400" s="337"/>
      <c r="B400" s="164"/>
      <c r="C400" s="337"/>
      <c r="D400" s="177"/>
      <c r="E400" s="337"/>
      <c r="F400" s="164"/>
      <c r="G400" s="337"/>
      <c r="H400" s="164"/>
      <c r="I400" s="344"/>
      <c r="J400" s="177"/>
      <c r="K400" s="344"/>
      <c r="L400" s="177"/>
      <c r="M400" s="344"/>
      <c r="N400" s="177"/>
      <c r="O400" s="337"/>
      <c r="P400" s="164"/>
      <c r="Q400" s="201"/>
      <c r="R400" s="201"/>
      <c r="S400" s="17"/>
      <c r="T400" s="17"/>
    </row>
    <row r="401">
      <c r="A401" s="337"/>
      <c r="B401" s="164"/>
      <c r="C401" s="337"/>
      <c r="D401" s="177"/>
      <c r="E401" s="337"/>
      <c r="F401" s="164"/>
      <c r="G401" s="337"/>
      <c r="H401" s="164"/>
      <c r="I401" s="344"/>
      <c r="J401" s="177"/>
      <c r="K401" s="344"/>
      <c r="L401" s="177"/>
      <c r="M401" s="344"/>
      <c r="N401" s="177"/>
      <c r="O401" s="337"/>
      <c r="P401" s="164"/>
      <c r="Q401" s="201"/>
      <c r="R401" s="201"/>
      <c r="S401" s="17"/>
      <c r="T401" s="17"/>
    </row>
    <row r="402">
      <c r="A402" s="337"/>
      <c r="B402" s="164"/>
      <c r="C402" s="337"/>
      <c r="D402" s="177"/>
      <c r="E402" s="337"/>
      <c r="F402" s="164"/>
      <c r="G402" s="337"/>
      <c r="H402" s="164"/>
      <c r="I402" s="344"/>
      <c r="J402" s="177"/>
      <c r="K402" s="344"/>
      <c r="L402" s="177"/>
      <c r="M402" s="344"/>
      <c r="N402" s="177"/>
      <c r="O402" s="337"/>
      <c r="P402" s="164"/>
      <c r="Q402" s="201"/>
      <c r="R402" s="201"/>
      <c r="S402" s="17"/>
      <c r="T402" s="17"/>
    </row>
    <row r="403">
      <c r="A403" s="337"/>
      <c r="B403" s="164"/>
      <c r="C403" s="337"/>
      <c r="D403" s="177"/>
      <c r="E403" s="337"/>
      <c r="F403" s="164"/>
      <c r="G403" s="337"/>
      <c r="H403" s="164"/>
      <c r="I403" s="344"/>
      <c r="J403" s="177"/>
      <c r="K403" s="344"/>
      <c r="L403" s="177"/>
      <c r="M403" s="344"/>
      <c r="N403" s="177"/>
      <c r="O403" s="337"/>
      <c r="P403" s="164"/>
      <c r="Q403" s="201"/>
      <c r="R403" s="201"/>
      <c r="S403" s="17"/>
      <c r="T403" s="17"/>
    </row>
    <row r="404">
      <c r="A404" s="337"/>
      <c r="B404" s="164"/>
      <c r="C404" s="337"/>
      <c r="D404" s="177"/>
      <c r="E404" s="337"/>
      <c r="F404" s="164"/>
      <c r="G404" s="337"/>
      <c r="H404" s="164"/>
      <c r="I404" s="344"/>
      <c r="J404" s="177"/>
      <c r="K404" s="344"/>
      <c r="L404" s="177"/>
      <c r="M404" s="344"/>
      <c r="N404" s="177"/>
      <c r="O404" s="337"/>
      <c r="P404" s="164"/>
      <c r="Q404" s="201"/>
      <c r="R404" s="201"/>
      <c r="S404" s="17"/>
      <c r="T404" s="17"/>
    </row>
    <row r="405">
      <c r="A405" s="337"/>
      <c r="B405" s="164"/>
      <c r="C405" s="337"/>
      <c r="D405" s="177"/>
      <c r="E405" s="337"/>
      <c r="F405" s="164"/>
      <c r="G405" s="337"/>
      <c r="H405" s="164"/>
      <c r="I405" s="344"/>
      <c r="J405" s="177"/>
      <c r="K405" s="344"/>
      <c r="L405" s="177"/>
      <c r="M405" s="344"/>
      <c r="N405" s="177"/>
      <c r="O405" s="337"/>
      <c r="P405" s="164"/>
      <c r="Q405" s="201"/>
      <c r="R405" s="201"/>
      <c r="S405" s="17"/>
      <c r="T405" s="17"/>
    </row>
    <row r="406">
      <c r="A406" s="337"/>
      <c r="B406" s="164"/>
      <c r="C406" s="337"/>
      <c r="D406" s="177"/>
      <c r="E406" s="337"/>
      <c r="F406" s="164"/>
      <c r="G406" s="337"/>
      <c r="H406" s="164"/>
      <c r="I406" s="344"/>
      <c r="J406" s="177"/>
      <c r="K406" s="344"/>
      <c r="L406" s="177"/>
      <c r="M406" s="344"/>
      <c r="N406" s="177"/>
      <c r="O406" s="337"/>
      <c r="P406" s="164"/>
      <c r="Q406" s="201"/>
      <c r="R406" s="201"/>
      <c r="S406" s="17"/>
      <c r="T406" s="17"/>
    </row>
    <row r="407">
      <c r="A407" s="337"/>
      <c r="B407" s="164"/>
      <c r="C407" s="337"/>
      <c r="D407" s="177"/>
      <c r="E407" s="337"/>
      <c r="F407" s="164"/>
      <c r="G407" s="337"/>
      <c r="H407" s="164"/>
      <c r="I407" s="344"/>
      <c r="J407" s="177"/>
      <c r="K407" s="344"/>
      <c r="L407" s="177"/>
      <c r="M407" s="344"/>
      <c r="N407" s="177"/>
      <c r="O407" s="337"/>
      <c r="P407" s="164"/>
      <c r="Q407" s="201"/>
      <c r="R407" s="201"/>
      <c r="S407" s="17"/>
      <c r="T407" s="17"/>
    </row>
    <row r="408">
      <c r="A408" s="337"/>
      <c r="B408" s="164"/>
      <c r="C408" s="337"/>
      <c r="D408" s="177"/>
      <c r="E408" s="337"/>
      <c r="F408" s="164"/>
      <c r="G408" s="337"/>
      <c r="H408" s="164"/>
      <c r="I408" s="344"/>
      <c r="J408" s="177"/>
      <c r="K408" s="344"/>
      <c r="L408" s="177"/>
      <c r="M408" s="344"/>
      <c r="N408" s="177"/>
      <c r="O408" s="337"/>
      <c r="P408" s="164"/>
      <c r="Q408" s="201"/>
      <c r="R408" s="201"/>
      <c r="S408" s="17"/>
      <c r="T408" s="17"/>
    </row>
    <row r="409">
      <c r="A409" s="337"/>
      <c r="B409" s="164"/>
      <c r="C409" s="337"/>
      <c r="D409" s="177"/>
      <c r="E409" s="337"/>
      <c r="F409" s="164"/>
      <c r="G409" s="337"/>
      <c r="H409" s="164"/>
      <c r="I409" s="344"/>
      <c r="J409" s="177"/>
      <c r="K409" s="344"/>
      <c r="L409" s="177"/>
      <c r="M409" s="344"/>
      <c r="N409" s="177"/>
      <c r="O409" s="337"/>
      <c r="P409" s="164"/>
      <c r="Q409" s="201"/>
      <c r="R409" s="201"/>
      <c r="S409" s="17"/>
      <c r="T409" s="17"/>
    </row>
    <row r="410">
      <c r="A410" s="337"/>
      <c r="B410" s="164"/>
      <c r="C410" s="337"/>
      <c r="D410" s="177"/>
      <c r="E410" s="337"/>
      <c r="F410" s="164"/>
      <c r="G410" s="337"/>
      <c r="H410" s="164"/>
      <c r="I410" s="344"/>
      <c r="J410" s="177"/>
      <c r="K410" s="344"/>
      <c r="L410" s="177"/>
      <c r="M410" s="344"/>
      <c r="N410" s="177"/>
      <c r="O410" s="337"/>
      <c r="P410" s="164"/>
      <c r="Q410" s="201"/>
      <c r="R410" s="201"/>
      <c r="S410" s="17"/>
      <c r="T410" s="17"/>
    </row>
    <row r="411">
      <c r="A411" s="337"/>
      <c r="B411" s="164"/>
      <c r="C411" s="337"/>
      <c r="D411" s="177"/>
      <c r="E411" s="337"/>
      <c r="F411" s="164"/>
      <c r="G411" s="337"/>
      <c r="H411" s="164"/>
      <c r="I411" s="344"/>
      <c r="J411" s="177"/>
      <c r="K411" s="344"/>
      <c r="L411" s="177"/>
      <c r="M411" s="344"/>
      <c r="N411" s="177"/>
      <c r="O411" s="337"/>
      <c r="P411" s="164"/>
      <c r="Q411" s="201"/>
      <c r="R411" s="201"/>
      <c r="S411" s="17"/>
      <c r="T411" s="17"/>
    </row>
    <row r="412">
      <c r="A412" s="337"/>
      <c r="B412" s="164"/>
      <c r="C412" s="337"/>
      <c r="D412" s="177"/>
      <c r="E412" s="337"/>
      <c r="F412" s="164"/>
      <c r="G412" s="337"/>
      <c r="H412" s="164"/>
      <c r="I412" s="344"/>
      <c r="J412" s="177"/>
      <c r="K412" s="344"/>
      <c r="L412" s="177"/>
      <c r="M412" s="344"/>
      <c r="N412" s="177"/>
      <c r="O412" s="337"/>
      <c r="P412" s="164"/>
      <c r="Q412" s="201"/>
      <c r="R412" s="201"/>
      <c r="S412" s="17"/>
      <c r="T412" s="17"/>
    </row>
    <row r="413">
      <c r="A413" s="337"/>
      <c r="B413" s="164"/>
      <c r="C413" s="337"/>
      <c r="D413" s="177"/>
      <c r="E413" s="337"/>
      <c r="F413" s="164"/>
      <c r="G413" s="337"/>
      <c r="H413" s="164"/>
      <c r="I413" s="344"/>
      <c r="J413" s="177"/>
      <c r="K413" s="344"/>
      <c r="L413" s="177"/>
      <c r="M413" s="344"/>
      <c r="N413" s="177"/>
      <c r="O413" s="337"/>
      <c r="P413" s="164"/>
      <c r="Q413" s="201"/>
      <c r="R413" s="201"/>
      <c r="S413" s="17"/>
      <c r="T413" s="17"/>
    </row>
    <row r="414">
      <c r="A414" s="337"/>
      <c r="B414" s="164"/>
      <c r="C414" s="337"/>
      <c r="D414" s="177"/>
      <c r="E414" s="337"/>
      <c r="F414" s="164"/>
      <c r="G414" s="337"/>
      <c r="H414" s="164"/>
      <c r="I414" s="344"/>
      <c r="J414" s="177"/>
      <c r="K414" s="344"/>
      <c r="L414" s="177"/>
      <c r="M414" s="344"/>
      <c r="N414" s="177"/>
      <c r="O414" s="337"/>
      <c r="P414" s="164"/>
      <c r="Q414" s="201"/>
      <c r="R414" s="201"/>
      <c r="S414" s="17"/>
      <c r="T414" s="17"/>
    </row>
    <row r="415">
      <c r="A415" s="337"/>
      <c r="B415" s="164"/>
      <c r="C415" s="337"/>
      <c r="D415" s="177"/>
      <c r="E415" s="337"/>
      <c r="F415" s="164"/>
      <c r="G415" s="337"/>
      <c r="H415" s="164"/>
      <c r="I415" s="344"/>
      <c r="J415" s="177"/>
      <c r="K415" s="344"/>
      <c r="L415" s="177"/>
      <c r="M415" s="344"/>
      <c r="N415" s="177"/>
      <c r="O415" s="337"/>
      <c r="P415" s="164"/>
      <c r="Q415" s="201"/>
      <c r="R415" s="201"/>
      <c r="S415" s="17"/>
      <c r="T415" s="17"/>
    </row>
    <row r="416">
      <c r="A416" s="337"/>
      <c r="B416" s="164"/>
      <c r="C416" s="337"/>
      <c r="D416" s="177"/>
      <c r="E416" s="337"/>
      <c r="F416" s="164"/>
      <c r="G416" s="337"/>
      <c r="H416" s="164"/>
      <c r="I416" s="344"/>
      <c r="J416" s="177"/>
      <c r="K416" s="344"/>
      <c r="L416" s="177"/>
      <c r="M416" s="344"/>
      <c r="N416" s="177"/>
      <c r="O416" s="337"/>
      <c r="P416" s="164"/>
      <c r="Q416" s="201"/>
      <c r="R416" s="201"/>
      <c r="S416" s="17"/>
      <c r="T416" s="17"/>
    </row>
    <row r="417">
      <c r="A417" s="337"/>
      <c r="B417" s="164"/>
      <c r="C417" s="337"/>
      <c r="D417" s="177"/>
      <c r="E417" s="337"/>
      <c r="F417" s="164"/>
      <c r="G417" s="337"/>
      <c r="H417" s="164"/>
      <c r="I417" s="344"/>
      <c r="J417" s="177"/>
      <c r="K417" s="344"/>
      <c r="L417" s="177"/>
      <c r="M417" s="344"/>
      <c r="N417" s="177"/>
      <c r="O417" s="337"/>
      <c r="P417" s="164"/>
      <c r="Q417" s="201"/>
      <c r="R417" s="201"/>
      <c r="S417" s="17"/>
      <c r="T417" s="17"/>
    </row>
    <row r="418">
      <c r="A418" s="337"/>
      <c r="B418" s="164"/>
      <c r="C418" s="337"/>
      <c r="D418" s="177"/>
      <c r="E418" s="337"/>
      <c r="F418" s="164"/>
      <c r="G418" s="337"/>
      <c r="H418" s="164"/>
      <c r="I418" s="344"/>
      <c r="J418" s="177"/>
      <c r="K418" s="344"/>
      <c r="L418" s="177"/>
      <c r="M418" s="344"/>
      <c r="N418" s="177"/>
      <c r="O418" s="337"/>
      <c r="P418" s="164"/>
      <c r="Q418" s="201"/>
      <c r="R418" s="201"/>
      <c r="S418" s="17"/>
      <c r="T418" s="17"/>
    </row>
    <row r="419">
      <c r="A419" s="337"/>
      <c r="B419" s="164"/>
      <c r="C419" s="337"/>
      <c r="D419" s="177"/>
      <c r="E419" s="337"/>
      <c r="F419" s="164"/>
      <c r="G419" s="337"/>
      <c r="H419" s="164"/>
      <c r="I419" s="344"/>
      <c r="J419" s="177"/>
      <c r="K419" s="344"/>
      <c r="L419" s="177"/>
      <c r="M419" s="344"/>
      <c r="N419" s="177"/>
      <c r="O419" s="337"/>
      <c r="P419" s="164"/>
      <c r="Q419" s="201"/>
      <c r="R419" s="201"/>
      <c r="S419" s="17"/>
      <c r="T419" s="17"/>
    </row>
    <row r="420">
      <c r="A420" s="337"/>
      <c r="B420" s="164"/>
      <c r="C420" s="337"/>
      <c r="D420" s="177"/>
      <c r="E420" s="337"/>
      <c r="F420" s="164"/>
      <c r="G420" s="337"/>
      <c r="H420" s="164"/>
      <c r="I420" s="344"/>
      <c r="J420" s="177"/>
      <c r="K420" s="344"/>
      <c r="L420" s="177"/>
      <c r="M420" s="344"/>
      <c r="N420" s="177"/>
      <c r="O420" s="337"/>
      <c r="P420" s="164"/>
      <c r="Q420" s="201"/>
      <c r="R420" s="201"/>
      <c r="S420" s="17"/>
      <c r="T420" s="17"/>
    </row>
    <row r="421">
      <c r="A421" s="337"/>
      <c r="B421" s="164"/>
      <c r="C421" s="337"/>
      <c r="D421" s="177"/>
      <c r="E421" s="337"/>
      <c r="F421" s="164"/>
      <c r="G421" s="337"/>
      <c r="H421" s="164"/>
      <c r="I421" s="344"/>
      <c r="J421" s="177"/>
      <c r="K421" s="344"/>
      <c r="L421" s="177"/>
      <c r="M421" s="344"/>
      <c r="N421" s="177"/>
      <c r="O421" s="337"/>
      <c r="P421" s="164"/>
      <c r="Q421" s="201"/>
      <c r="R421" s="201"/>
      <c r="S421" s="17"/>
      <c r="T421" s="17"/>
    </row>
    <row r="422">
      <c r="A422" s="337"/>
      <c r="B422" s="164"/>
      <c r="C422" s="337"/>
      <c r="D422" s="177"/>
      <c r="E422" s="337"/>
      <c r="F422" s="164"/>
      <c r="G422" s="337"/>
      <c r="H422" s="164"/>
      <c r="I422" s="344"/>
      <c r="J422" s="177"/>
      <c r="K422" s="344"/>
      <c r="L422" s="177"/>
      <c r="M422" s="344"/>
      <c r="N422" s="177"/>
      <c r="O422" s="337"/>
      <c r="P422" s="164"/>
      <c r="Q422" s="201"/>
      <c r="R422" s="201"/>
      <c r="S422" s="17"/>
      <c r="T422" s="17"/>
    </row>
    <row r="423">
      <c r="A423" s="337"/>
      <c r="B423" s="164"/>
      <c r="C423" s="337"/>
      <c r="D423" s="177"/>
      <c r="E423" s="337"/>
      <c r="F423" s="164"/>
      <c r="G423" s="337"/>
      <c r="H423" s="164"/>
      <c r="I423" s="344"/>
      <c r="J423" s="177"/>
      <c r="K423" s="344"/>
      <c r="L423" s="177"/>
      <c r="M423" s="344"/>
      <c r="N423" s="177"/>
      <c r="O423" s="337"/>
      <c r="P423" s="164"/>
      <c r="Q423" s="201"/>
      <c r="R423" s="201"/>
      <c r="S423" s="17"/>
      <c r="T423" s="17"/>
    </row>
    <row r="424">
      <c r="A424" s="337"/>
      <c r="B424" s="164"/>
      <c r="C424" s="337"/>
      <c r="D424" s="177"/>
      <c r="E424" s="337"/>
      <c r="F424" s="164"/>
      <c r="G424" s="337"/>
      <c r="H424" s="164"/>
      <c r="I424" s="344"/>
      <c r="J424" s="177"/>
      <c r="K424" s="344"/>
      <c r="L424" s="177"/>
      <c r="M424" s="344"/>
      <c r="N424" s="177"/>
      <c r="O424" s="337"/>
      <c r="P424" s="164"/>
      <c r="Q424" s="201"/>
      <c r="R424" s="201"/>
      <c r="S424" s="17"/>
      <c r="T424" s="17"/>
    </row>
    <row r="425">
      <c r="A425" s="337"/>
      <c r="B425" s="164"/>
      <c r="C425" s="337"/>
      <c r="D425" s="177"/>
      <c r="E425" s="337"/>
      <c r="F425" s="164"/>
      <c r="G425" s="337"/>
      <c r="H425" s="164"/>
      <c r="I425" s="344"/>
      <c r="J425" s="177"/>
      <c r="K425" s="344"/>
      <c r="L425" s="177"/>
      <c r="M425" s="344"/>
      <c r="N425" s="177"/>
      <c r="O425" s="337"/>
      <c r="P425" s="164"/>
      <c r="Q425" s="201"/>
      <c r="R425" s="201"/>
      <c r="S425" s="17"/>
      <c r="T425" s="17"/>
    </row>
    <row r="426">
      <c r="A426" s="337"/>
      <c r="B426" s="164"/>
      <c r="C426" s="337"/>
      <c r="D426" s="177"/>
      <c r="E426" s="337"/>
      <c r="F426" s="164"/>
      <c r="G426" s="337"/>
      <c r="H426" s="164"/>
      <c r="I426" s="344"/>
      <c r="J426" s="177"/>
      <c r="K426" s="344"/>
      <c r="L426" s="177"/>
      <c r="M426" s="344"/>
      <c r="N426" s="177"/>
      <c r="O426" s="337"/>
      <c r="P426" s="164"/>
      <c r="Q426" s="201"/>
      <c r="R426" s="201"/>
      <c r="S426" s="17"/>
      <c r="T426" s="17"/>
    </row>
    <row r="427">
      <c r="A427" s="337"/>
      <c r="B427" s="164"/>
      <c r="C427" s="337"/>
      <c r="D427" s="177"/>
      <c r="E427" s="337"/>
      <c r="F427" s="164"/>
      <c r="G427" s="337"/>
      <c r="H427" s="164"/>
      <c r="I427" s="344"/>
      <c r="J427" s="177"/>
      <c r="K427" s="344"/>
      <c r="L427" s="177"/>
      <c r="M427" s="344"/>
      <c r="N427" s="177"/>
      <c r="O427" s="337"/>
      <c r="P427" s="164"/>
      <c r="Q427" s="201"/>
      <c r="R427" s="201"/>
      <c r="S427" s="17"/>
      <c r="T427" s="17"/>
    </row>
    <row r="428">
      <c r="A428" s="337"/>
      <c r="B428" s="164"/>
      <c r="C428" s="337"/>
      <c r="D428" s="177"/>
      <c r="E428" s="337"/>
      <c r="F428" s="164"/>
      <c r="G428" s="337"/>
      <c r="H428" s="164"/>
      <c r="I428" s="344"/>
      <c r="J428" s="177"/>
      <c r="K428" s="344"/>
      <c r="L428" s="177"/>
      <c r="M428" s="344"/>
      <c r="N428" s="177"/>
      <c r="O428" s="337"/>
      <c r="P428" s="164"/>
      <c r="Q428" s="201"/>
      <c r="R428" s="201"/>
      <c r="S428" s="17"/>
      <c r="T428" s="17"/>
    </row>
    <row r="429">
      <c r="A429" s="337"/>
      <c r="B429" s="164"/>
      <c r="C429" s="337"/>
      <c r="D429" s="177"/>
      <c r="E429" s="337"/>
      <c r="F429" s="164"/>
      <c r="G429" s="337"/>
      <c r="H429" s="164"/>
      <c r="I429" s="344"/>
      <c r="J429" s="177"/>
      <c r="K429" s="344"/>
      <c r="L429" s="177"/>
      <c r="M429" s="344"/>
      <c r="N429" s="177"/>
      <c r="O429" s="337"/>
      <c r="P429" s="164"/>
      <c r="Q429" s="201"/>
      <c r="R429" s="201"/>
      <c r="S429" s="17"/>
      <c r="T429" s="17"/>
    </row>
    <row r="430">
      <c r="A430" s="337"/>
      <c r="B430" s="164"/>
      <c r="C430" s="337"/>
      <c r="D430" s="177"/>
      <c r="E430" s="337"/>
      <c r="F430" s="164"/>
      <c r="G430" s="337"/>
      <c r="H430" s="164"/>
      <c r="I430" s="344"/>
      <c r="J430" s="177"/>
      <c r="K430" s="344"/>
      <c r="L430" s="177"/>
      <c r="M430" s="344"/>
      <c r="N430" s="177"/>
      <c r="O430" s="337"/>
      <c r="P430" s="164"/>
      <c r="Q430" s="201"/>
      <c r="R430" s="201"/>
      <c r="S430" s="17"/>
      <c r="T430" s="17"/>
    </row>
    <row r="431">
      <c r="A431" s="337"/>
      <c r="B431" s="164"/>
      <c r="C431" s="337"/>
      <c r="D431" s="177"/>
      <c r="E431" s="337"/>
      <c r="F431" s="164"/>
      <c r="G431" s="337"/>
      <c r="H431" s="164"/>
      <c r="I431" s="344"/>
      <c r="J431" s="177"/>
      <c r="K431" s="344"/>
      <c r="L431" s="177"/>
      <c r="M431" s="344"/>
      <c r="N431" s="177"/>
      <c r="O431" s="337"/>
      <c r="P431" s="164"/>
      <c r="Q431" s="201"/>
      <c r="R431" s="201"/>
      <c r="S431" s="17"/>
      <c r="T431" s="17"/>
    </row>
    <row r="432">
      <c r="A432" s="337"/>
      <c r="B432" s="164"/>
      <c r="C432" s="337"/>
      <c r="D432" s="177"/>
      <c r="E432" s="337"/>
      <c r="F432" s="164"/>
      <c r="G432" s="337"/>
      <c r="H432" s="164"/>
      <c r="I432" s="344"/>
      <c r="J432" s="177"/>
      <c r="K432" s="344"/>
      <c r="L432" s="177"/>
      <c r="M432" s="344"/>
      <c r="N432" s="177"/>
      <c r="O432" s="337"/>
      <c r="P432" s="164"/>
      <c r="Q432" s="201"/>
      <c r="R432" s="201"/>
      <c r="S432" s="17"/>
      <c r="T432" s="17"/>
    </row>
    <row r="433">
      <c r="A433" s="337"/>
      <c r="B433" s="164"/>
      <c r="C433" s="337"/>
      <c r="D433" s="177"/>
      <c r="E433" s="337"/>
      <c r="F433" s="164"/>
      <c r="G433" s="337"/>
      <c r="H433" s="164"/>
      <c r="I433" s="344"/>
      <c r="J433" s="177"/>
      <c r="K433" s="344"/>
      <c r="L433" s="177"/>
      <c r="M433" s="344"/>
      <c r="N433" s="177"/>
      <c r="O433" s="337"/>
      <c r="P433" s="164"/>
      <c r="Q433" s="201"/>
      <c r="R433" s="201"/>
      <c r="S433" s="17"/>
      <c r="T433" s="17"/>
    </row>
    <row r="434">
      <c r="A434" s="337"/>
      <c r="B434" s="164"/>
      <c r="C434" s="337"/>
      <c r="D434" s="177"/>
      <c r="E434" s="337"/>
      <c r="F434" s="164"/>
      <c r="G434" s="337"/>
      <c r="H434" s="164"/>
      <c r="I434" s="344"/>
      <c r="J434" s="177"/>
      <c r="K434" s="344"/>
      <c r="L434" s="177"/>
      <c r="M434" s="344"/>
      <c r="N434" s="177"/>
      <c r="O434" s="337"/>
      <c r="P434" s="164"/>
      <c r="Q434" s="201"/>
      <c r="R434" s="201"/>
      <c r="S434" s="17"/>
      <c r="T434" s="17"/>
    </row>
    <row r="435">
      <c r="A435" s="337"/>
      <c r="B435" s="164"/>
      <c r="C435" s="337"/>
      <c r="D435" s="177"/>
      <c r="E435" s="337"/>
      <c r="F435" s="164"/>
      <c r="G435" s="337"/>
      <c r="H435" s="164"/>
      <c r="I435" s="344"/>
      <c r="J435" s="177"/>
      <c r="K435" s="344"/>
      <c r="L435" s="177"/>
      <c r="M435" s="344"/>
      <c r="N435" s="177"/>
      <c r="O435" s="337"/>
      <c r="P435" s="164"/>
      <c r="Q435" s="201"/>
      <c r="R435" s="201"/>
      <c r="S435" s="17"/>
      <c r="T435" s="17"/>
    </row>
    <row r="436">
      <c r="A436" s="337"/>
      <c r="B436" s="164"/>
      <c r="C436" s="337"/>
      <c r="D436" s="177"/>
      <c r="E436" s="337"/>
      <c r="F436" s="164"/>
      <c r="G436" s="337"/>
      <c r="H436" s="164"/>
      <c r="I436" s="344"/>
      <c r="J436" s="177"/>
      <c r="K436" s="344"/>
      <c r="L436" s="177"/>
      <c r="M436" s="344"/>
      <c r="N436" s="177"/>
      <c r="O436" s="337"/>
      <c r="P436" s="164"/>
      <c r="Q436" s="201"/>
      <c r="R436" s="201"/>
      <c r="S436" s="17"/>
      <c r="T436" s="17"/>
    </row>
    <row r="437">
      <c r="A437" s="337"/>
      <c r="B437" s="164"/>
      <c r="C437" s="337"/>
      <c r="D437" s="177"/>
      <c r="E437" s="337"/>
      <c r="F437" s="164"/>
      <c r="G437" s="337"/>
      <c r="H437" s="164"/>
      <c r="I437" s="344"/>
      <c r="J437" s="177"/>
      <c r="K437" s="344"/>
      <c r="L437" s="177"/>
      <c r="M437" s="344"/>
      <c r="N437" s="177"/>
      <c r="O437" s="337"/>
      <c r="P437" s="164"/>
      <c r="Q437" s="201"/>
      <c r="R437" s="201"/>
      <c r="S437" s="17"/>
      <c r="T437" s="17"/>
    </row>
    <row r="438">
      <c r="A438" s="337"/>
      <c r="B438" s="164"/>
      <c r="C438" s="337"/>
      <c r="D438" s="177"/>
      <c r="E438" s="337"/>
      <c r="F438" s="164"/>
      <c r="G438" s="337"/>
      <c r="H438" s="164"/>
      <c r="I438" s="344"/>
      <c r="J438" s="177"/>
      <c r="K438" s="344"/>
      <c r="L438" s="177"/>
      <c r="M438" s="344"/>
      <c r="N438" s="177"/>
      <c r="O438" s="337"/>
      <c r="P438" s="164"/>
      <c r="Q438" s="201"/>
      <c r="R438" s="201"/>
      <c r="S438" s="17"/>
      <c r="T438" s="17"/>
    </row>
    <row r="439">
      <c r="A439" s="337"/>
      <c r="B439" s="164"/>
      <c r="C439" s="337"/>
      <c r="D439" s="177"/>
      <c r="E439" s="337"/>
      <c r="F439" s="164"/>
      <c r="G439" s="337"/>
      <c r="H439" s="164"/>
      <c r="I439" s="344"/>
      <c r="J439" s="177"/>
      <c r="K439" s="344"/>
      <c r="L439" s="177"/>
      <c r="M439" s="344"/>
      <c r="N439" s="177"/>
      <c r="O439" s="337"/>
      <c r="P439" s="164"/>
      <c r="Q439" s="201"/>
      <c r="R439" s="201"/>
      <c r="S439" s="17"/>
      <c r="T439" s="17"/>
    </row>
    <row r="440">
      <c r="A440" s="337"/>
      <c r="B440" s="164"/>
      <c r="C440" s="337"/>
      <c r="D440" s="177"/>
      <c r="E440" s="337"/>
      <c r="F440" s="164"/>
      <c r="G440" s="337"/>
      <c r="H440" s="164"/>
      <c r="I440" s="344"/>
      <c r="J440" s="177"/>
      <c r="K440" s="344"/>
      <c r="L440" s="177"/>
      <c r="M440" s="344"/>
      <c r="N440" s="177"/>
      <c r="O440" s="337"/>
      <c r="P440" s="164"/>
      <c r="Q440" s="201"/>
      <c r="R440" s="201"/>
      <c r="S440" s="17"/>
      <c r="T440" s="17"/>
    </row>
    <row r="441">
      <c r="A441" s="337"/>
      <c r="B441" s="164"/>
      <c r="C441" s="337"/>
      <c r="D441" s="177"/>
      <c r="E441" s="337"/>
      <c r="F441" s="164"/>
      <c r="G441" s="337"/>
      <c r="H441" s="164"/>
      <c r="I441" s="344"/>
      <c r="J441" s="177"/>
      <c r="K441" s="344"/>
      <c r="L441" s="177"/>
      <c r="M441" s="344"/>
      <c r="N441" s="177"/>
      <c r="O441" s="337"/>
      <c r="P441" s="164"/>
      <c r="Q441" s="201"/>
      <c r="R441" s="201"/>
      <c r="S441" s="17"/>
      <c r="T441" s="17"/>
    </row>
    <row r="442">
      <c r="A442" s="337"/>
      <c r="B442" s="164"/>
      <c r="C442" s="337"/>
      <c r="D442" s="177"/>
      <c r="E442" s="337"/>
      <c r="F442" s="164"/>
      <c r="G442" s="337"/>
      <c r="H442" s="164"/>
      <c r="I442" s="344"/>
      <c r="J442" s="177"/>
      <c r="K442" s="344"/>
      <c r="L442" s="177"/>
      <c r="M442" s="344"/>
      <c r="N442" s="177"/>
      <c r="O442" s="337"/>
      <c r="P442" s="164"/>
      <c r="Q442" s="201"/>
      <c r="R442" s="201"/>
      <c r="S442" s="17"/>
      <c r="T442" s="17"/>
    </row>
    <row r="443">
      <c r="A443" s="337"/>
      <c r="B443" s="164"/>
      <c r="C443" s="337"/>
      <c r="D443" s="177"/>
      <c r="E443" s="337"/>
      <c r="F443" s="164"/>
      <c r="G443" s="337"/>
      <c r="H443" s="164"/>
      <c r="I443" s="344"/>
      <c r="J443" s="177"/>
      <c r="K443" s="344"/>
      <c r="L443" s="177"/>
      <c r="M443" s="344"/>
      <c r="N443" s="177"/>
      <c r="O443" s="337"/>
      <c r="P443" s="164"/>
      <c r="Q443" s="201"/>
      <c r="R443" s="201"/>
      <c r="S443" s="17"/>
      <c r="T443" s="17"/>
    </row>
    <row r="444">
      <c r="A444" s="337"/>
      <c r="B444" s="164"/>
      <c r="C444" s="337"/>
      <c r="D444" s="177"/>
      <c r="E444" s="337"/>
      <c r="F444" s="164"/>
      <c r="G444" s="337"/>
      <c r="H444" s="164"/>
      <c r="I444" s="344"/>
      <c r="J444" s="177"/>
      <c r="K444" s="344"/>
      <c r="L444" s="177"/>
      <c r="M444" s="344"/>
      <c r="N444" s="177"/>
      <c r="O444" s="337"/>
      <c r="P444" s="164"/>
      <c r="Q444" s="201"/>
      <c r="R444" s="201"/>
      <c r="S444" s="17"/>
      <c r="T444" s="17"/>
    </row>
    <row r="445">
      <c r="A445" s="337"/>
      <c r="B445" s="164"/>
      <c r="C445" s="337"/>
      <c r="D445" s="177"/>
      <c r="E445" s="337"/>
      <c r="F445" s="164"/>
      <c r="G445" s="337"/>
      <c r="H445" s="164"/>
      <c r="I445" s="344"/>
      <c r="J445" s="177"/>
      <c r="K445" s="344"/>
      <c r="L445" s="177"/>
      <c r="M445" s="344"/>
      <c r="N445" s="177"/>
      <c r="O445" s="337"/>
      <c r="P445" s="164"/>
      <c r="Q445" s="201"/>
      <c r="R445" s="201"/>
      <c r="S445" s="17"/>
      <c r="T445" s="17"/>
    </row>
    <row r="446">
      <c r="A446" s="337"/>
      <c r="B446" s="164"/>
      <c r="C446" s="337"/>
      <c r="D446" s="177"/>
      <c r="E446" s="337"/>
      <c r="F446" s="164"/>
      <c r="G446" s="337"/>
      <c r="H446" s="164"/>
      <c r="I446" s="344"/>
      <c r="J446" s="177"/>
      <c r="K446" s="344"/>
      <c r="L446" s="177"/>
      <c r="M446" s="344"/>
      <c r="N446" s="177"/>
      <c r="O446" s="337"/>
      <c r="P446" s="164"/>
      <c r="Q446" s="201"/>
      <c r="R446" s="201"/>
      <c r="S446" s="17"/>
      <c r="T446" s="17"/>
    </row>
    <row r="447">
      <c r="A447" s="337"/>
      <c r="B447" s="164"/>
      <c r="C447" s="337"/>
      <c r="D447" s="177"/>
      <c r="E447" s="337"/>
      <c r="F447" s="164"/>
      <c r="G447" s="337"/>
      <c r="H447" s="164"/>
      <c r="I447" s="344"/>
      <c r="J447" s="177"/>
      <c r="K447" s="344"/>
      <c r="L447" s="177"/>
      <c r="M447" s="344"/>
      <c r="N447" s="177"/>
      <c r="O447" s="337"/>
      <c r="P447" s="164"/>
      <c r="Q447" s="201"/>
      <c r="R447" s="201"/>
      <c r="S447" s="17"/>
      <c r="T447" s="17"/>
    </row>
    <row r="448">
      <c r="A448" s="337"/>
      <c r="B448" s="164"/>
      <c r="C448" s="337"/>
      <c r="D448" s="177"/>
      <c r="E448" s="337"/>
      <c r="F448" s="164"/>
      <c r="G448" s="337"/>
      <c r="H448" s="164"/>
      <c r="I448" s="344"/>
      <c r="J448" s="177"/>
      <c r="K448" s="344"/>
      <c r="L448" s="177"/>
      <c r="M448" s="344"/>
      <c r="N448" s="177"/>
      <c r="O448" s="337"/>
      <c r="P448" s="164"/>
      <c r="Q448" s="201"/>
      <c r="R448" s="201"/>
      <c r="S448" s="17"/>
      <c r="T448" s="17"/>
    </row>
    <row r="449">
      <c r="A449" s="337"/>
      <c r="B449" s="164"/>
      <c r="C449" s="337"/>
      <c r="D449" s="177"/>
      <c r="E449" s="337"/>
      <c r="F449" s="164"/>
      <c r="G449" s="337"/>
      <c r="H449" s="164"/>
      <c r="I449" s="344"/>
      <c r="J449" s="177"/>
      <c r="K449" s="344"/>
      <c r="L449" s="177"/>
      <c r="M449" s="344"/>
      <c r="N449" s="177"/>
      <c r="O449" s="337"/>
      <c r="P449" s="164"/>
      <c r="Q449" s="201"/>
      <c r="R449" s="201"/>
      <c r="S449" s="17"/>
      <c r="T449" s="17"/>
    </row>
    <row r="450">
      <c r="A450" s="337"/>
      <c r="B450" s="164"/>
      <c r="C450" s="337"/>
      <c r="D450" s="177"/>
      <c r="E450" s="337"/>
      <c r="F450" s="164"/>
      <c r="G450" s="337"/>
      <c r="H450" s="164"/>
      <c r="I450" s="344"/>
      <c r="J450" s="177"/>
      <c r="K450" s="344"/>
      <c r="L450" s="177"/>
      <c r="M450" s="344"/>
      <c r="N450" s="177"/>
      <c r="O450" s="337"/>
      <c r="P450" s="164"/>
      <c r="Q450" s="201"/>
      <c r="R450" s="201"/>
      <c r="S450" s="17"/>
      <c r="T450" s="17"/>
    </row>
    <row r="451">
      <c r="A451" s="337"/>
      <c r="B451" s="164"/>
      <c r="C451" s="337"/>
      <c r="D451" s="177"/>
      <c r="E451" s="337"/>
      <c r="F451" s="164"/>
      <c r="G451" s="337"/>
      <c r="H451" s="164"/>
      <c r="I451" s="344"/>
      <c r="J451" s="177"/>
      <c r="K451" s="344"/>
      <c r="L451" s="177"/>
      <c r="M451" s="344"/>
      <c r="N451" s="177"/>
      <c r="O451" s="337"/>
      <c r="P451" s="164"/>
      <c r="Q451" s="201"/>
      <c r="R451" s="201"/>
      <c r="S451" s="17"/>
      <c r="T451" s="17"/>
    </row>
    <row r="452">
      <c r="A452" s="337"/>
      <c r="B452" s="164"/>
      <c r="C452" s="337"/>
      <c r="D452" s="177"/>
      <c r="E452" s="337"/>
      <c r="F452" s="164"/>
      <c r="G452" s="337"/>
      <c r="H452" s="164"/>
      <c r="I452" s="344"/>
      <c r="J452" s="177"/>
      <c r="K452" s="344"/>
      <c r="L452" s="177"/>
      <c r="M452" s="344"/>
      <c r="N452" s="177"/>
      <c r="O452" s="337"/>
      <c r="P452" s="164"/>
      <c r="Q452" s="201"/>
      <c r="R452" s="201"/>
      <c r="S452" s="17"/>
      <c r="T452" s="17"/>
    </row>
    <row r="453">
      <c r="A453" s="337"/>
      <c r="B453" s="164"/>
      <c r="C453" s="337"/>
      <c r="D453" s="177"/>
      <c r="E453" s="337"/>
      <c r="F453" s="164"/>
      <c r="G453" s="337"/>
      <c r="H453" s="164"/>
      <c r="I453" s="344"/>
      <c r="J453" s="177"/>
      <c r="K453" s="344"/>
      <c r="L453" s="177"/>
      <c r="M453" s="344"/>
      <c r="N453" s="177"/>
      <c r="O453" s="337"/>
      <c r="P453" s="164"/>
      <c r="Q453" s="201"/>
      <c r="R453" s="201"/>
      <c r="S453" s="17"/>
      <c r="T453" s="17"/>
    </row>
    <row r="454">
      <c r="A454" s="337"/>
      <c r="B454" s="164"/>
      <c r="C454" s="337"/>
      <c r="D454" s="177"/>
      <c r="E454" s="337"/>
      <c r="F454" s="164"/>
      <c r="G454" s="337"/>
      <c r="H454" s="164"/>
      <c r="I454" s="344"/>
      <c r="J454" s="177"/>
      <c r="K454" s="344"/>
      <c r="L454" s="177"/>
      <c r="M454" s="344"/>
      <c r="N454" s="177"/>
      <c r="O454" s="337"/>
      <c r="P454" s="164"/>
      <c r="Q454" s="201"/>
      <c r="R454" s="201"/>
      <c r="S454" s="17"/>
      <c r="T454" s="17"/>
    </row>
    <row r="455">
      <c r="A455" s="337"/>
      <c r="B455" s="164"/>
      <c r="C455" s="337"/>
      <c r="D455" s="177"/>
      <c r="E455" s="337"/>
      <c r="F455" s="164"/>
      <c r="G455" s="337"/>
      <c r="H455" s="164"/>
      <c r="I455" s="344"/>
      <c r="J455" s="177"/>
      <c r="K455" s="344"/>
      <c r="L455" s="177"/>
      <c r="M455" s="344"/>
      <c r="N455" s="177"/>
      <c r="O455" s="337"/>
      <c r="P455" s="164"/>
      <c r="Q455" s="201"/>
      <c r="R455" s="201"/>
      <c r="S455" s="17"/>
      <c r="T455" s="17"/>
    </row>
    <row r="456">
      <c r="A456" s="337"/>
      <c r="B456" s="164"/>
      <c r="C456" s="337"/>
      <c r="D456" s="177"/>
      <c r="E456" s="337"/>
      <c r="F456" s="164"/>
      <c r="G456" s="337"/>
      <c r="H456" s="164"/>
      <c r="I456" s="344"/>
      <c r="J456" s="177"/>
      <c r="K456" s="344"/>
      <c r="L456" s="177"/>
      <c r="M456" s="344"/>
      <c r="N456" s="177"/>
      <c r="O456" s="337"/>
      <c r="P456" s="164"/>
      <c r="Q456" s="201"/>
      <c r="R456" s="201"/>
      <c r="S456" s="17"/>
      <c r="T456" s="17"/>
    </row>
    <row r="457">
      <c r="A457" s="337"/>
      <c r="B457" s="164"/>
      <c r="C457" s="337"/>
      <c r="D457" s="177"/>
      <c r="E457" s="337"/>
      <c r="F457" s="164"/>
      <c r="G457" s="337"/>
      <c r="H457" s="164"/>
      <c r="I457" s="344"/>
      <c r="J457" s="177"/>
      <c r="K457" s="344"/>
      <c r="L457" s="177"/>
      <c r="M457" s="344"/>
      <c r="N457" s="177"/>
      <c r="O457" s="337"/>
      <c r="P457" s="164"/>
      <c r="Q457" s="201"/>
      <c r="R457" s="201"/>
      <c r="S457" s="17"/>
      <c r="T457" s="17"/>
    </row>
    <row r="458">
      <c r="A458" s="337"/>
      <c r="B458" s="164"/>
      <c r="C458" s="337"/>
      <c r="D458" s="177"/>
      <c r="E458" s="337"/>
      <c r="F458" s="164"/>
      <c r="G458" s="337"/>
      <c r="H458" s="164"/>
      <c r="I458" s="344"/>
      <c r="J458" s="177"/>
      <c r="K458" s="344"/>
      <c r="L458" s="177"/>
      <c r="M458" s="344"/>
      <c r="N458" s="177"/>
      <c r="O458" s="337"/>
      <c r="P458" s="164"/>
      <c r="Q458" s="201"/>
      <c r="R458" s="201"/>
      <c r="S458" s="17"/>
      <c r="T458" s="17"/>
    </row>
    <row r="459">
      <c r="A459" s="337"/>
      <c r="B459" s="164"/>
      <c r="C459" s="337"/>
      <c r="D459" s="177"/>
      <c r="E459" s="337"/>
      <c r="F459" s="164"/>
      <c r="G459" s="337"/>
      <c r="H459" s="164"/>
      <c r="I459" s="344"/>
      <c r="J459" s="177"/>
      <c r="K459" s="344"/>
      <c r="L459" s="177"/>
      <c r="M459" s="344"/>
      <c r="N459" s="177"/>
      <c r="O459" s="337"/>
      <c r="P459" s="164"/>
      <c r="Q459" s="201"/>
      <c r="R459" s="201"/>
      <c r="S459" s="17"/>
      <c r="T459" s="17"/>
    </row>
    <row r="460">
      <c r="A460" s="337"/>
      <c r="B460" s="164"/>
      <c r="C460" s="337"/>
      <c r="D460" s="177"/>
      <c r="E460" s="337"/>
      <c r="F460" s="164"/>
      <c r="G460" s="337"/>
      <c r="H460" s="164"/>
      <c r="I460" s="344"/>
      <c r="J460" s="177"/>
      <c r="K460" s="344"/>
      <c r="L460" s="177"/>
      <c r="M460" s="344"/>
      <c r="N460" s="177"/>
      <c r="O460" s="337"/>
      <c r="P460" s="164"/>
      <c r="Q460" s="201"/>
      <c r="R460" s="201"/>
      <c r="S460" s="17"/>
      <c r="T460" s="17"/>
    </row>
    <row r="461">
      <c r="A461" s="337"/>
      <c r="B461" s="164"/>
      <c r="C461" s="337"/>
      <c r="D461" s="177"/>
      <c r="E461" s="337"/>
      <c r="F461" s="164"/>
      <c r="G461" s="337"/>
      <c r="H461" s="164"/>
      <c r="I461" s="344"/>
      <c r="J461" s="177"/>
      <c r="K461" s="344"/>
      <c r="L461" s="177"/>
      <c r="M461" s="344"/>
      <c r="N461" s="177"/>
      <c r="O461" s="337"/>
      <c r="P461" s="164"/>
      <c r="Q461" s="201"/>
      <c r="R461" s="201"/>
      <c r="S461" s="17"/>
      <c r="T461" s="17"/>
    </row>
    <row r="462">
      <c r="A462" s="337"/>
      <c r="B462" s="164"/>
      <c r="C462" s="337"/>
      <c r="D462" s="177"/>
      <c r="E462" s="337"/>
      <c r="F462" s="164"/>
      <c r="G462" s="337"/>
      <c r="H462" s="164"/>
      <c r="I462" s="344"/>
      <c r="J462" s="177"/>
      <c r="K462" s="344"/>
      <c r="L462" s="177"/>
      <c r="M462" s="344"/>
      <c r="N462" s="177"/>
      <c r="O462" s="337"/>
      <c r="P462" s="164"/>
      <c r="Q462" s="201"/>
      <c r="R462" s="201"/>
      <c r="S462" s="17"/>
      <c r="T462" s="17"/>
    </row>
    <row r="463">
      <c r="A463" s="337"/>
      <c r="B463" s="164"/>
      <c r="C463" s="337"/>
      <c r="D463" s="177"/>
      <c r="E463" s="337"/>
      <c r="F463" s="164"/>
      <c r="G463" s="337"/>
      <c r="H463" s="164"/>
      <c r="I463" s="344"/>
      <c r="J463" s="177"/>
      <c r="K463" s="344"/>
      <c r="L463" s="177"/>
      <c r="M463" s="344"/>
      <c r="N463" s="177"/>
      <c r="O463" s="337"/>
      <c r="P463" s="164"/>
      <c r="Q463" s="201"/>
      <c r="R463" s="201"/>
      <c r="S463" s="17"/>
      <c r="T463" s="17"/>
    </row>
    <row r="464">
      <c r="A464" s="337"/>
      <c r="B464" s="164"/>
      <c r="C464" s="337"/>
      <c r="D464" s="177"/>
      <c r="E464" s="337"/>
      <c r="F464" s="164"/>
      <c r="G464" s="337"/>
      <c r="H464" s="164"/>
      <c r="I464" s="344"/>
      <c r="J464" s="177"/>
      <c r="K464" s="344"/>
      <c r="L464" s="177"/>
      <c r="M464" s="344"/>
      <c r="N464" s="177"/>
      <c r="O464" s="337"/>
      <c r="P464" s="164"/>
      <c r="Q464" s="201"/>
      <c r="R464" s="201"/>
      <c r="S464" s="17"/>
      <c r="T464" s="17"/>
    </row>
    <row r="465">
      <c r="A465" s="337"/>
      <c r="B465" s="164"/>
      <c r="C465" s="337"/>
      <c r="D465" s="177"/>
      <c r="E465" s="337"/>
      <c r="F465" s="164"/>
      <c r="G465" s="337"/>
      <c r="H465" s="164"/>
      <c r="I465" s="344"/>
      <c r="J465" s="177"/>
      <c r="K465" s="344"/>
      <c r="L465" s="177"/>
      <c r="M465" s="344"/>
      <c r="N465" s="177"/>
      <c r="O465" s="337"/>
      <c r="P465" s="164"/>
      <c r="Q465" s="201"/>
      <c r="R465" s="201"/>
      <c r="S465" s="17"/>
      <c r="T465" s="17"/>
    </row>
    <row r="466">
      <c r="A466" s="337"/>
      <c r="B466" s="164"/>
      <c r="C466" s="337"/>
      <c r="D466" s="177"/>
      <c r="E466" s="337"/>
      <c r="F466" s="164"/>
      <c r="G466" s="337"/>
      <c r="H466" s="164"/>
      <c r="I466" s="344"/>
      <c r="J466" s="177"/>
      <c r="K466" s="344"/>
      <c r="L466" s="177"/>
      <c r="M466" s="344"/>
      <c r="N466" s="177"/>
      <c r="O466" s="337"/>
      <c r="P466" s="164"/>
      <c r="Q466" s="201"/>
      <c r="R466" s="201"/>
      <c r="S466" s="17"/>
      <c r="T466" s="17"/>
    </row>
    <row r="467">
      <c r="A467" s="337"/>
      <c r="B467" s="164"/>
      <c r="C467" s="337"/>
      <c r="D467" s="177"/>
      <c r="E467" s="337"/>
      <c r="F467" s="164"/>
      <c r="G467" s="337"/>
      <c r="H467" s="164"/>
      <c r="I467" s="344"/>
      <c r="J467" s="177"/>
      <c r="K467" s="344"/>
      <c r="L467" s="177"/>
      <c r="M467" s="344"/>
      <c r="N467" s="177"/>
      <c r="O467" s="337"/>
      <c r="P467" s="164"/>
      <c r="Q467" s="201"/>
      <c r="R467" s="201"/>
      <c r="S467" s="17"/>
      <c r="T467" s="17"/>
    </row>
    <row r="468">
      <c r="A468" s="337"/>
      <c r="B468" s="164"/>
      <c r="C468" s="337"/>
      <c r="D468" s="177"/>
      <c r="E468" s="337"/>
      <c r="F468" s="164"/>
      <c r="G468" s="337"/>
      <c r="H468" s="164"/>
      <c r="I468" s="344"/>
      <c r="J468" s="177"/>
      <c r="K468" s="344"/>
      <c r="L468" s="177"/>
      <c r="M468" s="344"/>
      <c r="N468" s="177"/>
      <c r="O468" s="337"/>
      <c r="P468" s="164"/>
      <c r="Q468" s="201"/>
      <c r="R468" s="201"/>
      <c r="S468" s="17"/>
      <c r="T468" s="17"/>
    </row>
    <row r="469">
      <c r="A469" s="337"/>
      <c r="B469" s="164"/>
      <c r="C469" s="337"/>
      <c r="D469" s="177"/>
      <c r="E469" s="337"/>
      <c r="F469" s="164"/>
      <c r="G469" s="337"/>
      <c r="H469" s="164"/>
      <c r="I469" s="344"/>
      <c r="J469" s="177"/>
      <c r="K469" s="344"/>
      <c r="L469" s="177"/>
      <c r="M469" s="344"/>
      <c r="N469" s="177"/>
      <c r="O469" s="337"/>
      <c r="P469" s="164"/>
      <c r="Q469" s="201"/>
      <c r="R469" s="201"/>
      <c r="S469" s="17"/>
      <c r="T469" s="17"/>
    </row>
    <row r="470">
      <c r="A470" s="337"/>
      <c r="B470" s="164"/>
      <c r="C470" s="337"/>
      <c r="D470" s="177"/>
      <c r="E470" s="337"/>
      <c r="F470" s="164"/>
      <c r="G470" s="337"/>
      <c r="H470" s="164"/>
      <c r="I470" s="344"/>
      <c r="J470" s="177"/>
      <c r="K470" s="344"/>
      <c r="L470" s="177"/>
      <c r="M470" s="344"/>
      <c r="N470" s="177"/>
      <c r="O470" s="337"/>
      <c r="P470" s="164"/>
      <c r="Q470" s="201"/>
      <c r="R470" s="201"/>
      <c r="S470" s="17"/>
      <c r="T470" s="17"/>
    </row>
    <row r="471">
      <c r="A471" s="337"/>
      <c r="B471" s="164"/>
      <c r="C471" s="337"/>
      <c r="D471" s="177"/>
      <c r="E471" s="337"/>
      <c r="F471" s="164"/>
      <c r="G471" s="337"/>
      <c r="H471" s="164"/>
      <c r="I471" s="344"/>
      <c r="J471" s="177"/>
      <c r="K471" s="344"/>
      <c r="L471" s="177"/>
      <c r="M471" s="344"/>
      <c r="N471" s="177"/>
      <c r="O471" s="337"/>
      <c r="P471" s="164"/>
      <c r="Q471" s="201"/>
      <c r="R471" s="201"/>
      <c r="S471" s="17"/>
      <c r="T471" s="17"/>
    </row>
    <row r="472">
      <c r="A472" s="337"/>
      <c r="B472" s="164"/>
      <c r="C472" s="337"/>
      <c r="D472" s="177"/>
      <c r="E472" s="337"/>
      <c r="F472" s="164"/>
      <c r="G472" s="337"/>
      <c r="H472" s="164"/>
      <c r="I472" s="344"/>
      <c r="J472" s="177"/>
      <c r="K472" s="344"/>
      <c r="L472" s="177"/>
      <c r="M472" s="344"/>
      <c r="N472" s="177"/>
      <c r="O472" s="337"/>
      <c r="P472" s="164"/>
      <c r="Q472" s="201"/>
      <c r="R472" s="201"/>
      <c r="S472" s="17"/>
      <c r="T472" s="17"/>
    </row>
    <row r="473">
      <c r="A473" s="337"/>
      <c r="B473" s="164"/>
      <c r="C473" s="337"/>
      <c r="D473" s="177"/>
      <c r="E473" s="337"/>
      <c r="F473" s="164"/>
      <c r="G473" s="337"/>
      <c r="H473" s="164"/>
      <c r="I473" s="344"/>
      <c r="J473" s="177"/>
      <c r="K473" s="344"/>
      <c r="L473" s="177"/>
      <c r="M473" s="344"/>
      <c r="N473" s="177"/>
      <c r="O473" s="337"/>
      <c r="P473" s="164"/>
      <c r="Q473" s="201"/>
      <c r="R473" s="201"/>
      <c r="S473" s="17"/>
      <c r="T473" s="17"/>
    </row>
    <row r="474">
      <c r="A474" s="337"/>
      <c r="B474" s="164"/>
      <c r="C474" s="337"/>
      <c r="D474" s="177"/>
      <c r="E474" s="337"/>
      <c r="F474" s="164"/>
      <c r="G474" s="337"/>
      <c r="H474" s="164"/>
      <c r="I474" s="344"/>
      <c r="J474" s="177"/>
      <c r="K474" s="344"/>
      <c r="L474" s="177"/>
      <c r="M474" s="344"/>
      <c r="N474" s="177"/>
      <c r="O474" s="337"/>
      <c r="P474" s="164"/>
      <c r="Q474" s="201"/>
      <c r="R474" s="201"/>
      <c r="S474" s="17"/>
      <c r="T474" s="17"/>
    </row>
    <row r="475">
      <c r="A475" s="337"/>
      <c r="B475" s="164"/>
      <c r="C475" s="337"/>
      <c r="D475" s="177"/>
      <c r="E475" s="337"/>
      <c r="F475" s="164"/>
      <c r="G475" s="337"/>
      <c r="H475" s="164"/>
      <c r="I475" s="344"/>
      <c r="J475" s="177"/>
      <c r="K475" s="344"/>
      <c r="L475" s="177"/>
      <c r="M475" s="344"/>
      <c r="N475" s="177"/>
      <c r="O475" s="337"/>
      <c r="P475" s="164"/>
      <c r="Q475" s="201"/>
      <c r="R475" s="201"/>
      <c r="S475" s="17"/>
      <c r="T475" s="17"/>
    </row>
    <row r="476">
      <c r="A476" s="337"/>
      <c r="B476" s="164"/>
      <c r="C476" s="337"/>
      <c r="D476" s="177"/>
      <c r="E476" s="337"/>
      <c r="F476" s="164"/>
      <c r="G476" s="337"/>
      <c r="H476" s="164"/>
      <c r="I476" s="344"/>
      <c r="J476" s="177"/>
      <c r="K476" s="344"/>
      <c r="L476" s="177"/>
      <c r="M476" s="344"/>
      <c r="N476" s="177"/>
      <c r="O476" s="337"/>
      <c r="P476" s="164"/>
      <c r="Q476" s="201"/>
      <c r="R476" s="201"/>
      <c r="S476" s="17"/>
      <c r="T476" s="17"/>
    </row>
    <row r="477">
      <c r="A477" s="337"/>
      <c r="B477" s="164"/>
      <c r="C477" s="337"/>
      <c r="D477" s="177"/>
      <c r="E477" s="337"/>
      <c r="F477" s="164"/>
      <c r="G477" s="337"/>
      <c r="H477" s="164"/>
      <c r="I477" s="344"/>
      <c r="J477" s="177"/>
      <c r="K477" s="344"/>
      <c r="L477" s="177"/>
      <c r="M477" s="344"/>
      <c r="N477" s="177"/>
      <c r="O477" s="337"/>
      <c r="P477" s="164"/>
      <c r="Q477" s="201"/>
      <c r="R477" s="201"/>
      <c r="S477" s="17"/>
      <c r="T477" s="17"/>
    </row>
    <row r="478">
      <c r="A478" s="337"/>
      <c r="B478" s="164"/>
      <c r="C478" s="337"/>
      <c r="D478" s="177"/>
      <c r="E478" s="337"/>
      <c r="F478" s="164"/>
      <c r="G478" s="337"/>
      <c r="H478" s="164"/>
      <c r="I478" s="344"/>
      <c r="J478" s="177"/>
      <c r="K478" s="344"/>
      <c r="L478" s="177"/>
      <c r="M478" s="344"/>
      <c r="N478" s="177"/>
      <c r="O478" s="337"/>
      <c r="P478" s="164"/>
      <c r="Q478" s="201"/>
      <c r="R478" s="201"/>
      <c r="S478" s="17"/>
      <c r="T478" s="17"/>
    </row>
    <row r="479">
      <c r="A479" s="337"/>
      <c r="B479" s="164"/>
      <c r="C479" s="337"/>
      <c r="D479" s="177"/>
      <c r="E479" s="337"/>
      <c r="F479" s="164"/>
      <c r="G479" s="337"/>
      <c r="H479" s="164"/>
      <c r="I479" s="344"/>
      <c r="J479" s="177"/>
      <c r="K479" s="344"/>
      <c r="L479" s="177"/>
      <c r="M479" s="344"/>
      <c r="N479" s="177"/>
      <c r="O479" s="337"/>
      <c r="P479" s="164"/>
      <c r="Q479" s="201"/>
      <c r="R479" s="201"/>
      <c r="S479" s="17"/>
      <c r="T479" s="17"/>
    </row>
    <row r="480">
      <c r="A480" s="337"/>
      <c r="B480" s="164"/>
      <c r="C480" s="337"/>
      <c r="D480" s="177"/>
      <c r="E480" s="337"/>
      <c r="F480" s="164"/>
      <c r="G480" s="337"/>
      <c r="H480" s="164"/>
      <c r="I480" s="344"/>
      <c r="J480" s="177"/>
      <c r="K480" s="344"/>
      <c r="L480" s="177"/>
      <c r="M480" s="344"/>
      <c r="N480" s="177"/>
      <c r="O480" s="337"/>
      <c r="P480" s="164"/>
      <c r="Q480" s="201"/>
      <c r="R480" s="201"/>
      <c r="S480" s="17"/>
      <c r="T480" s="17"/>
    </row>
    <row r="481">
      <c r="A481" s="337"/>
      <c r="B481" s="164"/>
      <c r="C481" s="337"/>
      <c r="D481" s="177"/>
      <c r="E481" s="337"/>
      <c r="F481" s="164"/>
      <c r="G481" s="337"/>
      <c r="H481" s="164"/>
      <c r="I481" s="344"/>
      <c r="J481" s="177"/>
      <c r="K481" s="344"/>
      <c r="L481" s="177"/>
      <c r="M481" s="344"/>
      <c r="N481" s="177"/>
      <c r="O481" s="337"/>
      <c r="P481" s="164"/>
      <c r="Q481" s="201"/>
      <c r="R481" s="201"/>
      <c r="S481" s="17"/>
      <c r="T481" s="17"/>
    </row>
    <row r="482">
      <c r="A482" s="337"/>
      <c r="B482" s="164"/>
      <c r="C482" s="337"/>
      <c r="D482" s="177"/>
      <c r="E482" s="337"/>
      <c r="F482" s="164"/>
      <c r="G482" s="337"/>
      <c r="H482" s="164"/>
      <c r="I482" s="344"/>
      <c r="J482" s="177"/>
      <c r="K482" s="344"/>
      <c r="L482" s="177"/>
      <c r="M482" s="344"/>
      <c r="N482" s="177"/>
      <c r="O482" s="337"/>
      <c r="P482" s="164"/>
      <c r="Q482" s="201"/>
      <c r="R482" s="201"/>
      <c r="S482" s="17"/>
      <c r="T482" s="17"/>
    </row>
    <row r="483">
      <c r="A483" s="337"/>
      <c r="B483" s="164"/>
      <c r="C483" s="337"/>
      <c r="D483" s="177"/>
      <c r="E483" s="337"/>
      <c r="F483" s="164"/>
      <c r="G483" s="337"/>
      <c r="H483" s="164"/>
      <c r="I483" s="344"/>
      <c r="J483" s="177"/>
      <c r="K483" s="344"/>
      <c r="L483" s="177"/>
      <c r="M483" s="344"/>
      <c r="N483" s="177"/>
      <c r="O483" s="337"/>
      <c r="P483" s="164"/>
      <c r="Q483" s="201"/>
      <c r="R483" s="201"/>
      <c r="S483" s="17"/>
      <c r="T483" s="17"/>
    </row>
    <row r="484">
      <c r="A484" s="337"/>
      <c r="B484" s="164"/>
      <c r="C484" s="337"/>
      <c r="D484" s="177"/>
      <c r="E484" s="337"/>
      <c r="F484" s="164"/>
      <c r="G484" s="337"/>
      <c r="H484" s="164"/>
      <c r="I484" s="344"/>
      <c r="J484" s="177"/>
      <c r="K484" s="344"/>
      <c r="L484" s="177"/>
      <c r="M484" s="344"/>
      <c r="N484" s="177"/>
      <c r="O484" s="337"/>
      <c r="P484" s="164"/>
      <c r="Q484" s="201"/>
      <c r="R484" s="201"/>
      <c r="S484" s="17"/>
      <c r="T484" s="17"/>
    </row>
    <row r="485">
      <c r="A485" s="337"/>
      <c r="B485" s="164"/>
      <c r="C485" s="337"/>
      <c r="D485" s="177"/>
      <c r="E485" s="337"/>
      <c r="F485" s="164"/>
      <c r="G485" s="337"/>
      <c r="H485" s="164"/>
      <c r="I485" s="344"/>
      <c r="J485" s="177"/>
      <c r="K485" s="344"/>
      <c r="L485" s="177"/>
      <c r="M485" s="344"/>
      <c r="N485" s="177"/>
      <c r="O485" s="337"/>
      <c r="P485" s="164"/>
      <c r="Q485" s="201"/>
      <c r="R485" s="201"/>
      <c r="S485" s="17"/>
      <c r="T485" s="17"/>
    </row>
    <row r="486">
      <c r="A486" s="337"/>
      <c r="B486" s="164"/>
      <c r="C486" s="337"/>
      <c r="D486" s="177"/>
      <c r="E486" s="337"/>
      <c r="F486" s="164"/>
      <c r="G486" s="337"/>
      <c r="H486" s="164"/>
      <c r="I486" s="344"/>
      <c r="J486" s="177"/>
      <c r="K486" s="344"/>
      <c r="L486" s="177"/>
      <c r="M486" s="344"/>
      <c r="N486" s="177"/>
      <c r="O486" s="337"/>
      <c r="P486" s="164"/>
      <c r="Q486" s="201"/>
      <c r="R486" s="201"/>
      <c r="S486" s="17"/>
      <c r="T486" s="17"/>
    </row>
    <row r="487">
      <c r="A487" s="337"/>
      <c r="B487" s="164"/>
      <c r="C487" s="337"/>
      <c r="D487" s="177"/>
      <c r="E487" s="337"/>
      <c r="F487" s="164"/>
      <c r="G487" s="337"/>
      <c r="H487" s="164"/>
      <c r="I487" s="344"/>
      <c r="J487" s="177"/>
      <c r="K487" s="344"/>
      <c r="L487" s="177"/>
      <c r="M487" s="344"/>
      <c r="N487" s="177"/>
      <c r="O487" s="337"/>
      <c r="P487" s="164"/>
      <c r="Q487" s="201"/>
      <c r="R487" s="201"/>
      <c r="S487" s="17"/>
      <c r="T487" s="17"/>
    </row>
    <row r="488">
      <c r="A488" s="337"/>
      <c r="B488" s="164"/>
      <c r="C488" s="337"/>
      <c r="D488" s="177"/>
      <c r="E488" s="337"/>
      <c r="F488" s="164"/>
      <c r="G488" s="337"/>
      <c r="H488" s="164"/>
      <c r="I488" s="344"/>
      <c r="J488" s="177"/>
      <c r="K488" s="344"/>
      <c r="L488" s="177"/>
      <c r="M488" s="344"/>
      <c r="N488" s="177"/>
      <c r="O488" s="337"/>
      <c r="P488" s="164"/>
      <c r="Q488" s="201"/>
      <c r="R488" s="201"/>
      <c r="S488" s="17"/>
      <c r="T488" s="17"/>
    </row>
    <row r="489">
      <c r="A489" s="337"/>
      <c r="B489" s="164"/>
      <c r="C489" s="337"/>
      <c r="D489" s="177"/>
      <c r="E489" s="337"/>
      <c r="F489" s="164"/>
      <c r="G489" s="337"/>
      <c r="H489" s="164"/>
      <c r="I489" s="344"/>
      <c r="J489" s="177"/>
      <c r="K489" s="344"/>
      <c r="L489" s="177"/>
      <c r="M489" s="344"/>
      <c r="N489" s="177"/>
      <c r="O489" s="337"/>
      <c r="P489" s="164"/>
      <c r="Q489" s="201"/>
      <c r="R489" s="201"/>
      <c r="S489" s="17"/>
      <c r="T489" s="17"/>
    </row>
    <row r="490">
      <c r="A490" s="337"/>
      <c r="B490" s="164"/>
      <c r="C490" s="337"/>
      <c r="D490" s="177"/>
      <c r="E490" s="337"/>
      <c r="F490" s="164"/>
      <c r="G490" s="337"/>
      <c r="H490" s="164"/>
      <c r="I490" s="344"/>
      <c r="J490" s="177"/>
      <c r="K490" s="344"/>
      <c r="L490" s="177"/>
      <c r="M490" s="344"/>
      <c r="N490" s="177"/>
      <c r="O490" s="337"/>
      <c r="P490" s="164"/>
      <c r="Q490" s="201"/>
      <c r="R490" s="201"/>
      <c r="S490" s="17"/>
      <c r="T490" s="17"/>
    </row>
    <row r="491">
      <c r="A491" s="337"/>
      <c r="B491" s="164"/>
      <c r="C491" s="337"/>
      <c r="D491" s="177"/>
      <c r="E491" s="337"/>
      <c r="F491" s="164"/>
      <c r="G491" s="337"/>
      <c r="H491" s="164"/>
      <c r="I491" s="344"/>
      <c r="J491" s="177"/>
      <c r="K491" s="344"/>
      <c r="L491" s="177"/>
      <c r="M491" s="344"/>
      <c r="N491" s="177"/>
      <c r="O491" s="337"/>
      <c r="P491" s="164"/>
      <c r="Q491" s="201"/>
      <c r="R491" s="201"/>
      <c r="S491" s="17"/>
      <c r="T491" s="17"/>
    </row>
    <row r="492">
      <c r="A492" s="337"/>
      <c r="B492" s="164"/>
      <c r="C492" s="337"/>
      <c r="D492" s="177"/>
      <c r="E492" s="337"/>
      <c r="F492" s="164"/>
      <c r="G492" s="337"/>
      <c r="H492" s="164"/>
      <c r="I492" s="344"/>
      <c r="J492" s="177"/>
      <c r="K492" s="344"/>
      <c r="L492" s="177"/>
      <c r="M492" s="344"/>
      <c r="N492" s="177"/>
      <c r="O492" s="337"/>
      <c r="P492" s="164"/>
      <c r="Q492" s="201"/>
      <c r="R492" s="201"/>
      <c r="S492" s="17"/>
      <c r="T492" s="17"/>
    </row>
    <row r="493">
      <c r="A493" s="337"/>
      <c r="B493" s="164"/>
      <c r="C493" s="337"/>
      <c r="D493" s="177"/>
      <c r="E493" s="337"/>
      <c r="F493" s="164"/>
      <c r="G493" s="337"/>
      <c r="H493" s="164"/>
      <c r="I493" s="344"/>
      <c r="J493" s="177"/>
      <c r="K493" s="344"/>
      <c r="L493" s="177"/>
      <c r="M493" s="344"/>
      <c r="N493" s="177"/>
      <c r="O493" s="337"/>
      <c r="P493" s="164"/>
      <c r="Q493" s="201"/>
      <c r="R493" s="201"/>
      <c r="S493" s="17"/>
      <c r="T493" s="17"/>
    </row>
    <row r="494">
      <c r="A494" s="337"/>
      <c r="B494" s="164"/>
      <c r="C494" s="337"/>
      <c r="D494" s="177"/>
      <c r="E494" s="337"/>
      <c r="F494" s="164"/>
      <c r="G494" s="337"/>
      <c r="H494" s="164"/>
      <c r="I494" s="344"/>
      <c r="J494" s="177"/>
      <c r="K494" s="344"/>
      <c r="L494" s="177"/>
      <c r="M494" s="344"/>
      <c r="N494" s="177"/>
      <c r="O494" s="337"/>
      <c r="P494" s="164"/>
      <c r="Q494" s="201"/>
      <c r="R494" s="201"/>
      <c r="S494" s="17"/>
      <c r="T494" s="17"/>
    </row>
    <row r="495">
      <c r="A495" s="337"/>
      <c r="B495" s="164"/>
      <c r="C495" s="337"/>
      <c r="D495" s="177"/>
      <c r="E495" s="337"/>
      <c r="F495" s="164"/>
      <c r="G495" s="337"/>
      <c r="H495" s="164"/>
      <c r="I495" s="344"/>
      <c r="J495" s="177"/>
      <c r="K495" s="344"/>
      <c r="L495" s="177"/>
      <c r="M495" s="344"/>
      <c r="N495" s="177"/>
      <c r="O495" s="337"/>
      <c r="P495" s="164"/>
      <c r="Q495" s="201"/>
      <c r="R495" s="201"/>
      <c r="S495" s="17"/>
      <c r="T495" s="17"/>
    </row>
    <row r="496">
      <c r="A496" s="337"/>
      <c r="B496" s="164"/>
      <c r="C496" s="337"/>
      <c r="D496" s="177"/>
      <c r="E496" s="337"/>
      <c r="F496" s="164"/>
      <c r="G496" s="337"/>
      <c r="H496" s="164"/>
      <c r="I496" s="344"/>
      <c r="J496" s="177"/>
      <c r="K496" s="344"/>
      <c r="L496" s="177"/>
      <c r="M496" s="344"/>
      <c r="N496" s="177"/>
      <c r="O496" s="337"/>
      <c r="P496" s="164"/>
      <c r="Q496" s="201"/>
      <c r="R496" s="201"/>
      <c r="S496" s="17"/>
      <c r="T496" s="17"/>
    </row>
    <row r="497">
      <c r="A497" s="337"/>
      <c r="B497" s="164"/>
      <c r="C497" s="337"/>
      <c r="D497" s="177"/>
      <c r="E497" s="337"/>
      <c r="F497" s="164"/>
      <c r="G497" s="337"/>
      <c r="H497" s="164"/>
      <c r="I497" s="344"/>
      <c r="J497" s="177"/>
      <c r="K497" s="344"/>
      <c r="L497" s="177"/>
      <c r="M497" s="344"/>
      <c r="N497" s="177"/>
      <c r="O497" s="337"/>
      <c r="P497" s="164"/>
      <c r="Q497" s="201"/>
      <c r="R497" s="201"/>
      <c r="S497" s="17"/>
      <c r="T497" s="17"/>
    </row>
    <row r="498">
      <c r="A498" s="337"/>
      <c r="B498" s="164"/>
      <c r="C498" s="337"/>
      <c r="D498" s="177"/>
      <c r="E498" s="337"/>
      <c r="F498" s="164"/>
      <c r="G498" s="337"/>
      <c r="H498" s="164"/>
      <c r="I498" s="344"/>
      <c r="J498" s="177"/>
      <c r="K498" s="344"/>
      <c r="L498" s="177"/>
      <c r="M498" s="344"/>
      <c r="N498" s="177"/>
      <c r="O498" s="337"/>
      <c r="P498" s="164"/>
      <c r="Q498" s="201"/>
      <c r="R498" s="201"/>
      <c r="S498" s="17"/>
      <c r="T498" s="17"/>
    </row>
    <row r="499">
      <c r="A499" s="337"/>
      <c r="B499" s="164"/>
      <c r="C499" s="337"/>
      <c r="D499" s="177"/>
      <c r="E499" s="337"/>
      <c r="F499" s="164"/>
      <c r="G499" s="337"/>
      <c r="H499" s="164"/>
      <c r="I499" s="344"/>
      <c r="J499" s="177"/>
      <c r="K499" s="344"/>
      <c r="L499" s="177"/>
      <c r="M499" s="344"/>
      <c r="N499" s="177"/>
      <c r="O499" s="337"/>
      <c r="P499" s="164"/>
      <c r="Q499" s="201"/>
      <c r="R499" s="201"/>
      <c r="S499" s="17"/>
      <c r="T499" s="17"/>
    </row>
    <row r="500">
      <c r="A500" s="337"/>
      <c r="B500" s="164"/>
      <c r="C500" s="337"/>
      <c r="D500" s="177"/>
      <c r="E500" s="337"/>
      <c r="F500" s="164"/>
      <c r="G500" s="337"/>
      <c r="H500" s="164"/>
      <c r="I500" s="344"/>
      <c r="J500" s="177"/>
      <c r="K500" s="344"/>
      <c r="L500" s="177"/>
      <c r="M500" s="344"/>
      <c r="N500" s="177"/>
      <c r="O500" s="337"/>
      <c r="P500" s="164"/>
      <c r="Q500" s="201"/>
      <c r="R500" s="201"/>
      <c r="S500" s="17"/>
      <c r="T500" s="17"/>
    </row>
    <row r="501">
      <c r="A501" s="337"/>
      <c r="B501" s="164"/>
      <c r="C501" s="337"/>
      <c r="D501" s="177"/>
      <c r="E501" s="337"/>
      <c r="F501" s="164"/>
      <c r="G501" s="337"/>
      <c r="H501" s="164"/>
      <c r="I501" s="344"/>
      <c r="J501" s="177"/>
      <c r="K501" s="344"/>
      <c r="L501" s="177"/>
      <c r="M501" s="344"/>
      <c r="N501" s="177"/>
      <c r="O501" s="337"/>
      <c r="P501" s="164"/>
      <c r="Q501" s="201"/>
      <c r="R501" s="201"/>
      <c r="S501" s="17"/>
      <c r="T501" s="17"/>
    </row>
    <row r="502">
      <c r="A502" s="337"/>
      <c r="B502" s="164"/>
      <c r="C502" s="337"/>
      <c r="D502" s="177"/>
      <c r="E502" s="337"/>
      <c r="F502" s="164"/>
      <c r="G502" s="337"/>
      <c r="H502" s="164"/>
      <c r="I502" s="344"/>
      <c r="J502" s="177"/>
      <c r="K502" s="344"/>
      <c r="L502" s="177"/>
      <c r="M502" s="344"/>
      <c r="N502" s="177"/>
      <c r="O502" s="337"/>
      <c r="P502" s="164"/>
      <c r="Q502" s="201"/>
      <c r="R502" s="201"/>
      <c r="S502" s="17"/>
      <c r="T502" s="17"/>
    </row>
    <row r="503">
      <c r="A503" s="337"/>
      <c r="B503" s="164"/>
      <c r="C503" s="337"/>
      <c r="D503" s="177"/>
      <c r="E503" s="337"/>
      <c r="F503" s="164"/>
      <c r="G503" s="337"/>
      <c r="H503" s="164"/>
      <c r="I503" s="344"/>
      <c r="J503" s="177"/>
      <c r="K503" s="344"/>
      <c r="L503" s="177"/>
      <c r="M503" s="344"/>
      <c r="N503" s="177"/>
      <c r="O503" s="337"/>
      <c r="P503" s="164"/>
      <c r="Q503" s="201"/>
      <c r="R503" s="201"/>
      <c r="S503" s="17"/>
      <c r="T503" s="17"/>
    </row>
    <row r="504">
      <c r="A504" s="337"/>
      <c r="B504" s="164"/>
      <c r="C504" s="337"/>
      <c r="D504" s="177"/>
      <c r="E504" s="337"/>
      <c r="F504" s="164"/>
      <c r="G504" s="337"/>
      <c r="H504" s="164"/>
      <c r="I504" s="344"/>
      <c r="J504" s="177"/>
      <c r="K504" s="344"/>
      <c r="L504" s="177"/>
      <c r="M504" s="344"/>
      <c r="N504" s="177"/>
      <c r="O504" s="337"/>
      <c r="P504" s="164"/>
      <c r="Q504" s="201"/>
      <c r="R504" s="201"/>
      <c r="S504" s="17"/>
      <c r="T504" s="17"/>
    </row>
    <row r="505">
      <c r="A505" s="337"/>
      <c r="B505" s="164"/>
      <c r="C505" s="337"/>
      <c r="D505" s="177"/>
      <c r="E505" s="337"/>
      <c r="F505" s="164"/>
      <c r="G505" s="337"/>
      <c r="H505" s="164"/>
      <c r="I505" s="344"/>
      <c r="J505" s="177"/>
      <c r="K505" s="344"/>
      <c r="L505" s="177"/>
      <c r="M505" s="344"/>
      <c r="N505" s="177"/>
      <c r="O505" s="337"/>
      <c r="P505" s="164"/>
      <c r="Q505" s="201"/>
      <c r="R505" s="201"/>
      <c r="S505" s="17"/>
      <c r="T505" s="17"/>
    </row>
    <row r="506">
      <c r="A506" s="337"/>
      <c r="B506" s="164"/>
      <c r="C506" s="337"/>
      <c r="D506" s="177"/>
      <c r="E506" s="337"/>
      <c r="F506" s="164"/>
      <c r="G506" s="337"/>
      <c r="H506" s="164"/>
      <c r="I506" s="344"/>
      <c r="J506" s="177"/>
      <c r="K506" s="344"/>
      <c r="L506" s="177"/>
      <c r="M506" s="344"/>
      <c r="N506" s="177"/>
      <c r="O506" s="337"/>
      <c r="P506" s="164"/>
      <c r="Q506" s="201"/>
      <c r="R506" s="201"/>
      <c r="S506" s="17"/>
      <c r="T506" s="17"/>
    </row>
    <row r="507">
      <c r="A507" s="337"/>
      <c r="B507" s="164"/>
      <c r="C507" s="337"/>
      <c r="D507" s="177"/>
      <c r="E507" s="337"/>
      <c r="F507" s="164"/>
      <c r="G507" s="337"/>
      <c r="H507" s="164"/>
      <c r="I507" s="344"/>
      <c r="J507" s="177"/>
      <c r="K507" s="344"/>
      <c r="L507" s="177"/>
      <c r="M507" s="344"/>
      <c r="N507" s="177"/>
      <c r="O507" s="337"/>
      <c r="P507" s="164"/>
      <c r="Q507" s="201"/>
      <c r="R507" s="201"/>
      <c r="S507" s="17"/>
      <c r="T507" s="17"/>
    </row>
    <row r="508">
      <c r="A508" s="337"/>
      <c r="B508" s="164"/>
      <c r="C508" s="337"/>
      <c r="D508" s="177"/>
      <c r="E508" s="337"/>
      <c r="F508" s="164"/>
      <c r="G508" s="337"/>
      <c r="H508" s="164"/>
      <c r="I508" s="344"/>
      <c r="J508" s="177"/>
      <c r="K508" s="344"/>
      <c r="L508" s="177"/>
      <c r="M508" s="344"/>
      <c r="N508" s="177"/>
      <c r="O508" s="337"/>
      <c r="P508" s="164"/>
      <c r="Q508" s="201"/>
      <c r="R508" s="201"/>
      <c r="S508" s="17"/>
      <c r="T508" s="17"/>
    </row>
    <row r="509">
      <c r="A509" s="337"/>
      <c r="B509" s="164"/>
      <c r="C509" s="337"/>
      <c r="D509" s="177"/>
      <c r="E509" s="337"/>
      <c r="F509" s="164"/>
      <c r="G509" s="337"/>
      <c r="H509" s="164"/>
      <c r="I509" s="344"/>
      <c r="J509" s="177"/>
      <c r="K509" s="344"/>
      <c r="L509" s="177"/>
      <c r="M509" s="344"/>
      <c r="N509" s="177"/>
      <c r="O509" s="337"/>
      <c r="P509" s="164"/>
      <c r="Q509" s="201"/>
      <c r="R509" s="201"/>
      <c r="S509" s="17"/>
      <c r="T509" s="17"/>
    </row>
    <row r="510">
      <c r="A510" s="337"/>
      <c r="B510" s="164"/>
      <c r="C510" s="337"/>
      <c r="D510" s="177"/>
      <c r="E510" s="337"/>
      <c r="F510" s="164"/>
      <c r="G510" s="337"/>
      <c r="H510" s="164"/>
      <c r="I510" s="344"/>
      <c r="J510" s="177"/>
      <c r="K510" s="344"/>
      <c r="L510" s="177"/>
      <c r="M510" s="344"/>
      <c r="N510" s="177"/>
      <c r="O510" s="337"/>
      <c r="P510" s="164"/>
      <c r="Q510" s="201"/>
      <c r="R510" s="201"/>
      <c r="S510" s="17"/>
      <c r="T510" s="17"/>
    </row>
    <row r="511">
      <c r="A511" s="337"/>
      <c r="B511" s="164"/>
      <c r="C511" s="337"/>
      <c r="D511" s="177"/>
      <c r="E511" s="337"/>
      <c r="F511" s="164"/>
      <c r="G511" s="337"/>
      <c r="H511" s="164"/>
      <c r="I511" s="344"/>
      <c r="J511" s="177"/>
      <c r="K511" s="344"/>
      <c r="L511" s="177"/>
      <c r="M511" s="344"/>
      <c r="N511" s="177"/>
      <c r="O511" s="337"/>
      <c r="P511" s="164"/>
      <c r="Q511" s="201"/>
      <c r="R511" s="201"/>
      <c r="S511" s="17"/>
      <c r="T511" s="17"/>
    </row>
    <row r="512">
      <c r="A512" s="337"/>
      <c r="B512" s="164"/>
      <c r="C512" s="337"/>
      <c r="D512" s="177"/>
      <c r="E512" s="337"/>
      <c r="F512" s="164"/>
      <c r="G512" s="337"/>
      <c r="H512" s="164"/>
      <c r="I512" s="344"/>
      <c r="J512" s="177"/>
      <c r="K512" s="344"/>
      <c r="L512" s="177"/>
      <c r="M512" s="344"/>
      <c r="N512" s="177"/>
      <c r="O512" s="337"/>
      <c r="P512" s="164"/>
      <c r="Q512" s="201"/>
      <c r="R512" s="201"/>
      <c r="S512" s="17"/>
      <c r="T512" s="17"/>
    </row>
    <row r="513">
      <c r="A513" s="337"/>
      <c r="B513" s="164"/>
      <c r="C513" s="337"/>
      <c r="D513" s="177"/>
      <c r="E513" s="337"/>
      <c r="F513" s="164"/>
      <c r="G513" s="337"/>
      <c r="H513" s="164"/>
      <c r="I513" s="344"/>
      <c r="J513" s="177"/>
      <c r="K513" s="344"/>
      <c r="L513" s="177"/>
      <c r="M513" s="344"/>
      <c r="N513" s="177"/>
      <c r="O513" s="337"/>
      <c r="P513" s="164"/>
      <c r="Q513" s="201"/>
      <c r="R513" s="201"/>
      <c r="S513" s="17"/>
      <c r="T513" s="17"/>
    </row>
    <row r="514">
      <c r="A514" s="337"/>
      <c r="B514" s="164"/>
      <c r="C514" s="337"/>
      <c r="D514" s="177"/>
      <c r="E514" s="337"/>
      <c r="F514" s="164"/>
      <c r="G514" s="337"/>
      <c r="H514" s="164"/>
      <c r="I514" s="344"/>
      <c r="J514" s="177"/>
      <c r="K514" s="344"/>
      <c r="L514" s="177"/>
      <c r="M514" s="344"/>
      <c r="N514" s="177"/>
      <c r="O514" s="337"/>
      <c r="P514" s="164"/>
      <c r="Q514" s="201"/>
      <c r="R514" s="201"/>
      <c r="S514" s="17"/>
      <c r="T514" s="17"/>
    </row>
    <row r="515">
      <c r="A515" s="337"/>
      <c r="B515" s="164"/>
      <c r="C515" s="337"/>
      <c r="D515" s="177"/>
      <c r="E515" s="337"/>
      <c r="F515" s="164"/>
      <c r="G515" s="337"/>
      <c r="H515" s="164"/>
      <c r="I515" s="344"/>
      <c r="J515" s="177"/>
      <c r="K515" s="344"/>
      <c r="L515" s="177"/>
      <c r="M515" s="344"/>
      <c r="N515" s="177"/>
      <c r="O515" s="337"/>
      <c r="P515" s="164"/>
      <c r="Q515" s="201"/>
      <c r="R515" s="201"/>
      <c r="S515" s="17"/>
      <c r="T515" s="17"/>
    </row>
    <row r="516">
      <c r="A516" s="337"/>
      <c r="B516" s="164"/>
      <c r="C516" s="337"/>
      <c r="D516" s="177"/>
      <c r="E516" s="337"/>
      <c r="F516" s="164"/>
      <c r="G516" s="337"/>
      <c r="H516" s="164"/>
      <c r="I516" s="344"/>
      <c r="J516" s="177"/>
      <c r="K516" s="344"/>
      <c r="L516" s="177"/>
      <c r="M516" s="344"/>
      <c r="N516" s="177"/>
      <c r="O516" s="337"/>
      <c r="P516" s="164"/>
      <c r="Q516" s="201"/>
      <c r="R516" s="201"/>
      <c r="S516" s="17"/>
      <c r="T516" s="17"/>
    </row>
    <row r="517">
      <c r="A517" s="337"/>
      <c r="B517" s="164"/>
      <c r="C517" s="337"/>
      <c r="D517" s="177"/>
      <c r="E517" s="337"/>
      <c r="F517" s="164"/>
      <c r="G517" s="337"/>
      <c r="H517" s="164"/>
      <c r="I517" s="344"/>
      <c r="J517" s="177"/>
      <c r="K517" s="344"/>
      <c r="L517" s="177"/>
      <c r="M517" s="344"/>
      <c r="N517" s="177"/>
      <c r="O517" s="337"/>
      <c r="P517" s="164"/>
      <c r="Q517" s="201"/>
      <c r="R517" s="201"/>
      <c r="S517" s="17"/>
      <c r="T517" s="17"/>
    </row>
    <row r="518">
      <c r="A518" s="337"/>
      <c r="B518" s="164"/>
      <c r="C518" s="337"/>
      <c r="D518" s="177"/>
      <c r="E518" s="337"/>
      <c r="F518" s="164"/>
      <c r="G518" s="337"/>
      <c r="H518" s="164"/>
      <c r="I518" s="344"/>
      <c r="J518" s="177"/>
      <c r="K518" s="344"/>
      <c r="L518" s="177"/>
      <c r="M518" s="344"/>
      <c r="N518" s="177"/>
      <c r="O518" s="337"/>
      <c r="P518" s="164"/>
      <c r="Q518" s="201"/>
      <c r="R518" s="201"/>
      <c r="S518" s="17"/>
      <c r="T518" s="17"/>
    </row>
    <row r="519">
      <c r="A519" s="337"/>
      <c r="B519" s="164"/>
      <c r="C519" s="337"/>
      <c r="D519" s="177"/>
      <c r="E519" s="337"/>
      <c r="F519" s="164"/>
      <c r="G519" s="337"/>
      <c r="H519" s="164"/>
      <c r="I519" s="344"/>
      <c r="J519" s="177"/>
      <c r="K519" s="344"/>
      <c r="L519" s="177"/>
      <c r="M519" s="344"/>
      <c r="N519" s="177"/>
      <c r="O519" s="337"/>
      <c r="P519" s="164"/>
      <c r="Q519" s="201"/>
      <c r="R519" s="201"/>
      <c r="S519" s="17"/>
      <c r="T519" s="17"/>
    </row>
    <row r="520">
      <c r="A520" s="337"/>
      <c r="B520" s="164"/>
      <c r="C520" s="337"/>
      <c r="D520" s="177"/>
      <c r="E520" s="337"/>
      <c r="F520" s="164"/>
      <c r="G520" s="337"/>
      <c r="H520" s="164"/>
      <c r="I520" s="344"/>
      <c r="J520" s="177"/>
      <c r="K520" s="344"/>
      <c r="L520" s="177"/>
      <c r="M520" s="344"/>
      <c r="N520" s="177"/>
      <c r="O520" s="337"/>
      <c r="P520" s="164"/>
      <c r="Q520" s="201"/>
      <c r="R520" s="201"/>
      <c r="S520" s="17"/>
      <c r="T520" s="17"/>
    </row>
    <row r="521">
      <c r="A521" s="337"/>
      <c r="B521" s="164"/>
      <c r="C521" s="337"/>
      <c r="D521" s="177"/>
      <c r="E521" s="337"/>
      <c r="F521" s="164"/>
      <c r="G521" s="337"/>
      <c r="H521" s="164"/>
      <c r="I521" s="344"/>
      <c r="J521" s="177"/>
      <c r="K521" s="344"/>
      <c r="L521" s="177"/>
      <c r="M521" s="344"/>
      <c r="N521" s="177"/>
      <c r="O521" s="337"/>
      <c r="P521" s="164"/>
      <c r="Q521" s="201"/>
      <c r="R521" s="201"/>
      <c r="S521" s="17"/>
      <c r="T521" s="17"/>
    </row>
    <row r="522">
      <c r="A522" s="337"/>
      <c r="B522" s="164"/>
      <c r="C522" s="337"/>
      <c r="D522" s="177"/>
      <c r="E522" s="337"/>
      <c r="F522" s="164"/>
      <c r="G522" s="337"/>
      <c r="H522" s="164"/>
      <c r="I522" s="344"/>
      <c r="J522" s="177"/>
      <c r="K522" s="344"/>
      <c r="L522" s="177"/>
      <c r="M522" s="344"/>
      <c r="N522" s="177"/>
      <c r="O522" s="337"/>
      <c r="P522" s="164"/>
      <c r="Q522" s="201"/>
      <c r="R522" s="201"/>
      <c r="S522" s="17"/>
      <c r="T522" s="17"/>
    </row>
    <row r="523">
      <c r="A523" s="337"/>
      <c r="B523" s="164"/>
      <c r="C523" s="337"/>
      <c r="D523" s="177"/>
      <c r="E523" s="337"/>
      <c r="F523" s="164"/>
      <c r="G523" s="337"/>
      <c r="H523" s="164"/>
      <c r="I523" s="344"/>
      <c r="J523" s="177"/>
      <c r="K523" s="344"/>
      <c r="L523" s="177"/>
      <c r="M523" s="344"/>
      <c r="N523" s="177"/>
      <c r="O523" s="337"/>
      <c r="P523" s="164"/>
      <c r="Q523" s="201"/>
      <c r="R523" s="201"/>
      <c r="S523" s="17"/>
      <c r="T523" s="17"/>
    </row>
    <row r="524">
      <c r="A524" s="337"/>
      <c r="B524" s="164"/>
      <c r="C524" s="337"/>
      <c r="D524" s="177"/>
      <c r="E524" s="337"/>
      <c r="F524" s="164"/>
      <c r="G524" s="337"/>
      <c r="H524" s="164"/>
      <c r="I524" s="344"/>
      <c r="J524" s="177"/>
      <c r="K524" s="344"/>
      <c r="L524" s="177"/>
      <c r="M524" s="344"/>
      <c r="N524" s="177"/>
      <c r="O524" s="337"/>
      <c r="P524" s="164"/>
      <c r="Q524" s="201"/>
      <c r="R524" s="201"/>
      <c r="S524" s="17"/>
      <c r="T524" s="17"/>
    </row>
    <row r="525">
      <c r="A525" s="337"/>
      <c r="B525" s="164"/>
      <c r="C525" s="337"/>
      <c r="D525" s="177"/>
      <c r="E525" s="337"/>
      <c r="F525" s="164"/>
      <c r="G525" s="337"/>
      <c r="H525" s="164"/>
      <c r="I525" s="344"/>
      <c r="J525" s="177"/>
      <c r="K525" s="344"/>
      <c r="L525" s="177"/>
      <c r="M525" s="344"/>
      <c r="N525" s="177"/>
      <c r="O525" s="337"/>
      <c r="P525" s="164"/>
      <c r="Q525" s="201"/>
      <c r="R525" s="201"/>
      <c r="S525" s="17"/>
      <c r="T525" s="17"/>
    </row>
    <row r="526">
      <c r="A526" s="337"/>
      <c r="B526" s="164"/>
      <c r="C526" s="337"/>
      <c r="D526" s="177"/>
      <c r="E526" s="337"/>
      <c r="F526" s="164"/>
      <c r="G526" s="337"/>
      <c r="H526" s="164"/>
      <c r="I526" s="344"/>
      <c r="J526" s="177"/>
      <c r="K526" s="344"/>
      <c r="L526" s="177"/>
      <c r="M526" s="344"/>
      <c r="N526" s="177"/>
      <c r="O526" s="337"/>
      <c r="P526" s="164"/>
      <c r="Q526" s="201"/>
      <c r="R526" s="201"/>
      <c r="S526" s="17"/>
      <c r="T526" s="17"/>
    </row>
    <row r="527">
      <c r="A527" s="337"/>
      <c r="B527" s="164"/>
      <c r="C527" s="337"/>
      <c r="D527" s="177"/>
      <c r="E527" s="337"/>
      <c r="F527" s="164"/>
      <c r="G527" s="337"/>
      <c r="H527" s="164"/>
      <c r="I527" s="344"/>
      <c r="J527" s="177"/>
      <c r="K527" s="344"/>
      <c r="L527" s="177"/>
      <c r="M527" s="344"/>
      <c r="N527" s="177"/>
      <c r="O527" s="337"/>
      <c r="P527" s="164"/>
      <c r="Q527" s="201"/>
      <c r="R527" s="201"/>
      <c r="S527" s="17"/>
      <c r="T527" s="17"/>
    </row>
    <row r="528">
      <c r="A528" s="337"/>
      <c r="B528" s="164"/>
      <c r="C528" s="337"/>
      <c r="D528" s="177"/>
      <c r="E528" s="337"/>
      <c r="F528" s="164"/>
      <c r="G528" s="337"/>
      <c r="H528" s="164"/>
      <c r="I528" s="344"/>
      <c r="J528" s="177"/>
      <c r="K528" s="344"/>
      <c r="L528" s="177"/>
      <c r="M528" s="344"/>
      <c r="N528" s="177"/>
      <c r="O528" s="337"/>
      <c r="P528" s="164"/>
      <c r="Q528" s="201"/>
      <c r="R528" s="201"/>
      <c r="S528" s="17"/>
      <c r="T528" s="17"/>
    </row>
    <row r="529">
      <c r="A529" s="337"/>
      <c r="B529" s="164"/>
      <c r="C529" s="337"/>
      <c r="D529" s="177"/>
      <c r="E529" s="337"/>
      <c r="F529" s="164"/>
      <c r="G529" s="337"/>
      <c r="H529" s="164"/>
      <c r="I529" s="344"/>
      <c r="J529" s="177"/>
      <c r="K529" s="344"/>
      <c r="L529" s="177"/>
      <c r="M529" s="344"/>
      <c r="N529" s="177"/>
      <c r="O529" s="337"/>
      <c r="P529" s="164"/>
      <c r="Q529" s="201"/>
      <c r="R529" s="201"/>
      <c r="S529" s="17"/>
      <c r="T529" s="17"/>
    </row>
    <row r="530">
      <c r="A530" s="337"/>
      <c r="B530" s="164"/>
      <c r="C530" s="337"/>
      <c r="D530" s="177"/>
      <c r="E530" s="337"/>
      <c r="F530" s="164"/>
      <c r="G530" s="337"/>
      <c r="H530" s="164"/>
      <c r="I530" s="344"/>
      <c r="J530" s="177"/>
      <c r="K530" s="344"/>
      <c r="L530" s="177"/>
      <c r="M530" s="344"/>
      <c r="N530" s="177"/>
      <c r="O530" s="337"/>
      <c r="P530" s="164"/>
      <c r="Q530" s="201"/>
      <c r="R530" s="201"/>
      <c r="S530" s="17"/>
      <c r="T530" s="17"/>
    </row>
    <row r="531">
      <c r="A531" s="337"/>
      <c r="B531" s="164"/>
      <c r="C531" s="337"/>
      <c r="D531" s="177"/>
      <c r="E531" s="337"/>
      <c r="F531" s="164"/>
      <c r="G531" s="337"/>
      <c r="H531" s="164"/>
      <c r="I531" s="344"/>
      <c r="J531" s="177"/>
      <c r="K531" s="344"/>
      <c r="L531" s="177"/>
      <c r="M531" s="344"/>
      <c r="N531" s="177"/>
      <c r="O531" s="337"/>
      <c r="P531" s="164"/>
      <c r="Q531" s="201"/>
      <c r="R531" s="201"/>
      <c r="S531" s="17"/>
      <c r="T531" s="17"/>
    </row>
    <row r="532">
      <c r="A532" s="337"/>
      <c r="B532" s="164"/>
      <c r="C532" s="337"/>
      <c r="D532" s="177"/>
      <c r="E532" s="337"/>
      <c r="F532" s="164"/>
      <c r="G532" s="337"/>
      <c r="H532" s="164"/>
      <c r="I532" s="344"/>
      <c r="J532" s="177"/>
      <c r="K532" s="344"/>
      <c r="L532" s="177"/>
      <c r="M532" s="344"/>
      <c r="N532" s="177"/>
      <c r="O532" s="337"/>
      <c r="P532" s="164"/>
      <c r="Q532" s="201"/>
      <c r="R532" s="201"/>
      <c r="S532" s="17"/>
      <c r="T532" s="17"/>
    </row>
    <row r="533">
      <c r="A533" s="337"/>
      <c r="B533" s="164"/>
      <c r="C533" s="337"/>
      <c r="D533" s="177"/>
      <c r="E533" s="337"/>
      <c r="F533" s="164"/>
      <c r="G533" s="337"/>
      <c r="H533" s="164"/>
      <c r="I533" s="344"/>
      <c r="J533" s="177"/>
      <c r="K533" s="344"/>
      <c r="L533" s="177"/>
      <c r="M533" s="344"/>
      <c r="N533" s="177"/>
      <c r="O533" s="337"/>
      <c r="P533" s="164"/>
      <c r="Q533" s="201"/>
      <c r="R533" s="201"/>
      <c r="S533" s="17"/>
      <c r="T533" s="17"/>
    </row>
    <row r="534">
      <c r="A534" s="337"/>
      <c r="B534" s="164"/>
      <c r="C534" s="337"/>
      <c r="D534" s="177"/>
      <c r="E534" s="337"/>
      <c r="F534" s="164"/>
      <c r="G534" s="337"/>
      <c r="H534" s="164"/>
      <c r="I534" s="344"/>
      <c r="J534" s="177"/>
      <c r="K534" s="344"/>
      <c r="L534" s="177"/>
      <c r="M534" s="344"/>
      <c r="N534" s="177"/>
      <c r="O534" s="337"/>
      <c r="P534" s="164"/>
      <c r="Q534" s="201"/>
      <c r="R534" s="201"/>
      <c r="S534" s="17"/>
      <c r="T534" s="17"/>
    </row>
    <row r="535">
      <c r="A535" s="337"/>
      <c r="B535" s="164"/>
      <c r="C535" s="337"/>
      <c r="D535" s="177"/>
      <c r="E535" s="337"/>
      <c r="F535" s="164"/>
      <c r="G535" s="337"/>
      <c r="H535" s="164"/>
      <c r="I535" s="344"/>
      <c r="J535" s="177"/>
      <c r="K535" s="344"/>
      <c r="L535" s="177"/>
      <c r="M535" s="344"/>
      <c r="N535" s="177"/>
      <c r="O535" s="337"/>
      <c r="P535" s="164"/>
      <c r="Q535" s="201"/>
      <c r="R535" s="201"/>
      <c r="S535" s="17"/>
      <c r="T535" s="17"/>
    </row>
    <row r="536">
      <c r="A536" s="337"/>
      <c r="B536" s="164"/>
      <c r="C536" s="337"/>
      <c r="D536" s="177"/>
      <c r="E536" s="337"/>
      <c r="F536" s="164"/>
      <c r="G536" s="337"/>
      <c r="H536" s="164"/>
      <c r="I536" s="344"/>
      <c r="J536" s="177"/>
      <c r="K536" s="344"/>
      <c r="L536" s="177"/>
      <c r="M536" s="344"/>
      <c r="N536" s="177"/>
      <c r="O536" s="337"/>
      <c r="P536" s="164"/>
      <c r="Q536" s="201"/>
      <c r="R536" s="201"/>
      <c r="S536" s="17"/>
      <c r="T536" s="17"/>
    </row>
    <row r="537">
      <c r="A537" s="337"/>
      <c r="B537" s="164"/>
      <c r="C537" s="337"/>
      <c r="D537" s="177"/>
      <c r="E537" s="337"/>
      <c r="F537" s="164"/>
      <c r="G537" s="337"/>
      <c r="H537" s="164"/>
      <c r="I537" s="344"/>
      <c r="J537" s="177"/>
      <c r="K537" s="344"/>
      <c r="L537" s="177"/>
      <c r="M537" s="344"/>
      <c r="N537" s="177"/>
      <c r="O537" s="337"/>
      <c r="P537" s="164"/>
      <c r="Q537" s="201"/>
      <c r="R537" s="201"/>
      <c r="S537" s="17"/>
      <c r="T537" s="17"/>
    </row>
    <row r="538">
      <c r="A538" s="337"/>
      <c r="B538" s="164"/>
      <c r="C538" s="337"/>
      <c r="D538" s="177"/>
      <c r="E538" s="337"/>
      <c r="F538" s="164"/>
      <c r="G538" s="337"/>
      <c r="H538" s="164"/>
      <c r="I538" s="344"/>
      <c r="J538" s="177"/>
      <c r="K538" s="344"/>
      <c r="L538" s="177"/>
      <c r="M538" s="344"/>
      <c r="N538" s="177"/>
      <c r="O538" s="337"/>
      <c r="P538" s="164"/>
      <c r="Q538" s="201"/>
      <c r="R538" s="201"/>
      <c r="S538" s="17"/>
      <c r="T538" s="17"/>
    </row>
    <row r="539">
      <c r="A539" s="337"/>
      <c r="B539" s="164"/>
      <c r="C539" s="337"/>
      <c r="D539" s="177"/>
      <c r="E539" s="337"/>
      <c r="F539" s="164"/>
      <c r="G539" s="337"/>
      <c r="H539" s="164"/>
      <c r="I539" s="344"/>
      <c r="J539" s="177"/>
      <c r="K539" s="344"/>
      <c r="L539" s="177"/>
      <c r="M539" s="344"/>
      <c r="N539" s="177"/>
      <c r="O539" s="337"/>
      <c r="P539" s="164"/>
      <c r="Q539" s="201"/>
      <c r="R539" s="201"/>
      <c r="S539" s="17"/>
      <c r="T539" s="17"/>
    </row>
    <row r="540">
      <c r="A540" s="337"/>
      <c r="B540" s="164"/>
      <c r="C540" s="337"/>
      <c r="D540" s="177"/>
      <c r="E540" s="337"/>
      <c r="F540" s="164"/>
      <c r="G540" s="337"/>
      <c r="H540" s="164"/>
      <c r="I540" s="344"/>
      <c r="J540" s="177"/>
      <c r="K540" s="344"/>
      <c r="L540" s="177"/>
      <c r="M540" s="344"/>
      <c r="N540" s="177"/>
      <c r="O540" s="337"/>
      <c r="P540" s="164"/>
      <c r="Q540" s="201"/>
      <c r="R540" s="201"/>
      <c r="S540" s="17"/>
      <c r="T540" s="17"/>
    </row>
    <row r="541">
      <c r="A541" s="337"/>
      <c r="B541" s="164"/>
      <c r="C541" s="337"/>
      <c r="D541" s="177"/>
      <c r="E541" s="337"/>
      <c r="F541" s="164"/>
      <c r="G541" s="337"/>
      <c r="H541" s="164"/>
      <c r="I541" s="344"/>
      <c r="J541" s="177"/>
      <c r="K541" s="344"/>
      <c r="L541" s="177"/>
      <c r="M541" s="344"/>
      <c r="N541" s="177"/>
      <c r="O541" s="337"/>
      <c r="P541" s="164"/>
      <c r="Q541" s="201"/>
      <c r="R541" s="201"/>
      <c r="S541" s="17"/>
      <c r="T541" s="17"/>
    </row>
    <row r="542">
      <c r="A542" s="337"/>
      <c r="B542" s="164"/>
      <c r="C542" s="337"/>
      <c r="D542" s="177"/>
      <c r="E542" s="337"/>
      <c r="F542" s="164"/>
      <c r="G542" s="337"/>
      <c r="H542" s="164"/>
      <c r="I542" s="344"/>
      <c r="J542" s="177"/>
      <c r="K542" s="344"/>
      <c r="L542" s="177"/>
      <c r="M542" s="344"/>
      <c r="N542" s="177"/>
      <c r="O542" s="337"/>
      <c r="P542" s="164"/>
      <c r="Q542" s="201"/>
      <c r="R542" s="201"/>
      <c r="S542" s="17"/>
      <c r="T542" s="17"/>
    </row>
    <row r="543">
      <c r="A543" s="337"/>
      <c r="B543" s="164"/>
      <c r="C543" s="337"/>
      <c r="D543" s="177"/>
      <c r="E543" s="337"/>
      <c r="F543" s="164"/>
      <c r="G543" s="337"/>
      <c r="H543" s="164"/>
      <c r="I543" s="344"/>
      <c r="J543" s="177"/>
      <c r="K543" s="344"/>
      <c r="L543" s="177"/>
      <c r="M543" s="344"/>
      <c r="N543" s="177"/>
      <c r="O543" s="337"/>
      <c r="P543" s="164"/>
      <c r="Q543" s="201"/>
      <c r="R543" s="201"/>
      <c r="S543" s="17"/>
      <c r="T543" s="17"/>
    </row>
    <row r="544">
      <c r="A544" s="337"/>
      <c r="B544" s="164"/>
      <c r="C544" s="337"/>
      <c r="D544" s="177"/>
      <c r="E544" s="337"/>
      <c r="F544" s="164"/>
      <c r="G544" s="337"/>
      <c r="H544" s="164"/>
      <c r="I544" s="344"/>
      <c r="J544" s="177"/>
      <c r="K544" s="344"/>
      <c r="L544" s="177"/>
      <c r="M544" s="344"/>
      <c r="N544" s="177"/>
      <c r="O544" s="337"/>
      <c r="P544" s="164"/>
      <c r="Q544" s="201"/>
      <c r="R544" s="201"/>
      <c r="S544" s="17"/>
      <c r="T544" s="17"/>
    </row>
    <row r="545">
      <c r="A545" s="337"/>
      <c r="B545" s="164"/>
      <c r="C545" s="337"/>
      <c r="D545" s="177"/>
      <c r="E545" s="337"/>
      <c r="F545" s="164"/>
      <c r="G545" s="337"/>
      <c r="H545" s="164"/>
      <c r="I545" s="344"/>
      <c r="J545" s="177"/>
      <c r="K545" s="344"/>
      <c r="L545" s="177"/>
      <c r="M545" s="344"/>
      <c r="N545" s="177"/>
      <c r="O545" s="337"/>
      <c r="P545" s="164"/>
      <c r="Q545" s="201"/>
      <c r="R545" s="201"/>
      <c r="S545" s="17"/>
      <c r="T545" s="17"/>
    </row>
    <row r="546">
      <c r="A546" s="337"/>
      <c r="B546" s="164"/>
      <c r="C546" s="337"/>
      <c r="D546" s="177"/>
      <c r="E546" s="337"/>
      <c r="F546" s="164"/>
      <c r="G546" s="337"/>
      <c r="H546" s="164"/>
      <c r="I546" s="344"/>
      <c r="J546" s="177"/>
      <c r="K546" s="344"/>
      <c r="L546" s="177"/>
      <c r="M546" s="344"/>
      <c r="N546" s="177"/>
      <c r="O546" s="337"/>
      <c r="P546" s="164"/>
      <c r="Q546" s="201"/>
      <c r="R546" s="201"/>
      <c r="S546" s="17"/>
      <c r="T546" s="17"/>
    </row>
    <row r="547">
      <c r="A547" s="337"/>
      <c r="B547" s="164"/>
      <c r="C547" s="337"/>
      <c r="D547" s="177"/>
      <c r="E547" s="337"/>
      <c r="F547" s="164"/>
      <c r="G547" s="337"/>
      <c r="H547" s="164"/>
      <c r="I547" s="344"/>
      <c r="J547" s="177"/>
      <c r="K547" s="344"/>
      <c r="L547" s="177"/>
      <c r="M547" s="344"/>
      <c r="N547" s="177"/>
      <c r="O547" s="337"/>
      <c r="P547" s="164"/>
      <c r="Q547" s="201"/>
      <c r="R547" s="201"/>
      <c r="S547" s="17"/>
      <c r="T547" s="17"/>
    </row>
    <row r="548">
      <c r="A548" s="337"/>
      <c r="B548" s="164"/>
      <c r="C548" s="337"/>
      <c r="D548" s="177"/>
      <c r="E548" s="337"/>
      <c r="F548" s="164"/>
      <c r="G548" s="337"/>
      <c r="H548" s="164"/>
      <c r="I548" s="344"/>
      <c r="J548" s="177"/>
      <c r="K548" s="344"/>
      <c r="L548" s="177"/>
      <c r="M548" s="344"/>
      <c r="N548" s="177"/>
      <c r="O548" s="337"/>
      <c r="P548" s="164"/>
      <c r="Q548" s="201"/>
      <c r="R548" s="201"/>
      <c r="S548" s="17"/>
      <c r="T548" s="17"/>
    </row>
    <row r="549">
      <c r="A549" s="337"/>
      <c r="B549" s="164"/>
      <c r="C549" s="337"/>
      <c r="D549" s="177"/>
      <c r="E549" s="337"/>
      <c r="F549" s="164"/>
      <c r="G549" s="337"/>
      <c r="H549" s="164"/>
      <c r="I549" s="344"/>
      <c r="J549" s="177"/>
      <c r="K549" s="344"/>
      <c r="L549" s="177"/>
      <c r="M549" s="344"/>
      <c r="N549" s="177"/>
      <c r="O549" s="337"/>
      <c r="P549" s="164"/>
      <c r="Q549" s="201"/>
      <c r="R549" s="201"/>
      <c r="S549" s="17"/>
      <c r="T549" s="17"/>
    </row>
    <row r="550">
      <c r="A550" s="337"/>
      <c r="B550" s="164"/>
      <c r="C550" s="337"/>
      <c r="D550" s="177"/>
      <c r="E550" s="337"/>
      <c r="F550" s="164"/>
      <c r="G550" s="337"/>
      <c r="H550" s="164"/>
      <c r="I550" s="344"/>
      <c r="J550" s="177"/>
      <c r="K550" s="344"/>
      <c r="L550" s="177"/>
      <c r="M550" s="344"/>
      <c r="N550" s="177"/>
      <c r="O550" s="337"/>
      <c r="P550" s="164"/>
      <c r="Q550" s="201"/>
      <c r="R550" s="201"/>
      <c r="S550" s="17"/>
      <c r="T550" s="17"/>
    </row>
    <row r="551">
      <c r="A551" s="337"/>
      <c r="B551" s="164"/>
      <c r="C551" s="337"/>
      <c r="D551" s="177"/>
      <c r="E551" s="337"/>
      <c r="F551" s="164"/>
      <c r="G551" s="337"/>
      <c r="H551" s="164"/>
      <c r="I551" s="344"/>
      <c r="J551" s="177"/>
      <c r="K551" s="344"/>
      <c r="L551" s="177"/>
      <c r="M551" s="344"/>
      <c r="N551" s="177"/>
      <c r="O551" s="337"/>
      <c r="P551" s="164"/>
      <c r="Q551" s="201"/>
      <c r="R551" s="201"/>
      <c r="S551" s="17"/>
      <c r="T551" s="17"/>
    </row>
    <row r="552">
      <c r="A552" s="337"/>
      <c r="B552" s="164"/>
      <c r="C552" s="337"/>
      <c r="D552" s="177"/>
      <c r="E552" s="337"/>
      <c r="F552" s="164"/>
      <c r="G552" s="337"/>
      <c r="H552" s="164"/>
      <c r="I552" s="344"/>
      <c r="J552" s="177"/>
      <c r="K552" s="344"/>
      <c r="L552" s="177"/>
      <c r="M552" s="344"/>
      <c r="N552" s="177"/>
      <c r="O552" s="337"/>
      <c r="P552" s="164"/>
      <c r="Q552" s="201"/>
      <c r="R552" s="201"/>
      <c r="S552" s="17"/>
      <c r="T552" s="17"/>
    </row>
    <row r="553">
      <c r="A553" s="337"/>
      <c r="B553" s="164"/>
      <c r="C553" s="337"/>
      <c r="D553" s="177"/>
      <c r="E553" s="337"/>
      <c r="F553" s="164"/>
      <c r="G553" s="337"/>
      <c r="H553" s="164"/>
      <c r="I553" s="344"/>
      <c r="J553" s="177"/>
      <c r="K553" s="344"/>
      <c r="L553" s="177"/>
      <c r="M553" s="344"/>
      <c r="N553" s="177"/>
      <c r="O553" s="337"/>
      <c r="P553" s="164"/>
      <c r="Q553" s="201"/>
      <c r="R553" s="201"/>
      <c r="S553" s="17"/>
      <c r="T553" s="17"/>
    </row>
    <row r="554">
      <c r="A554" s="337"/>
      <c r="B554" s="164"/>
      <c r="C554" s="337"/>
      <c r="D554" s="177"/>
      <c r="E554" s="337"/>
      <c r="F554" s="164"/>
      <c r="G554" s="337"/>
      <c r="H554" s="164"/>
      <c r="I554" s="344"/>
      <c r="J554" s="177"/>
      <c r="K554" s="344"/>
      <c r="L554" s="177"/>
      <c r="M554" s="344"/>
      <c r="N554" s="177"/>
      <c r="O554" s="337"/>
      <c r="P554" s="164"/>
      <c r="Q554" s="201"/>
      <c r="R554" s="201"/>
      <c r="S554" s="17"/>
      <c r="T554" s="17"/>
    </row>
    <row r="555">
      <c r="A555" s="337"/>
      <c r="B555" s="164"/>
      <c r="C555" s="337"/>
      <c r="D555" s="177"/>
      <c r="E555" s="337"/>
      <c r="F555" s="164"/>
      <c r="G555" s="337"/>
      <c r="H555" s="164"/>
      <c r="I555" s="344"/>
      <c r="J555" s="177"/>
      <c r="K555" s="344"/>
      <c r="L555" s="177"/>
      <c r="M555" s="344"/>
      <c r="N555" s="177"/>
      <c r="O555" s="337"/>
      <c r="P555" s="164"/>
      <c r="Q555" s="201"/>
      <c r="R555" s="201"/>
      <c r="S555" s="17"/>
      <c r="T555" s="17"/>
    </row>
    <row r="556">
      <c r="A556" s="337"/>
      <c r="B556" s="164"/>
      <c r="C556" s="337"/>
      <c r="D556" s="177"/>
      <c r="E556" s="337"/>
      <c r="F556" s="164"/>
      <c r="G556" s="337"/>
      <c r="H556" s="164"/>
      <c r="I556" s="344"/>
      <c r="J556" s="177"/>
      <c r="K556" s="344"/>
      <c r="L556" s="177"/>
      <c r="M556" s="344"/>
      <c r="N556" s="177"/>
      <c r="O556" s="337"/>
      <c r="P556" s="164"/>
      <c r="Q556" s="201"/>
      <c r="R556" s="201"/>
      <c r="S556" s="17"/>
      <c r="T556" s="17"/>
    </row>
    <row r="557">
      <c r="A557" s="337"/>
      <c r="B557" s="164"/>
      <c r="C557" s="337"/>
      <c r="D557" s="177"/>
      <c r="E557" s="337"/>
      <c r="F557" s="164"/>
      <c r="G557" s="337"/>
      <c r="H557" s="164"/>
      <c r="I557" s="344"/>
      <c r="J557" s="177"/>
      <c r="K557" s="344"/>
      <c r="L557" s="177"/>
      <c r="M557" s="344"/>
      <c r="N557" s="177"/>
      <c r="O557" s="337"/>
      <c r="P557" s="164"/>
      <c r="Q557" s="201"/>
      <c r="R557" s="201"/>
      <c r="S557" s="17"/>
      <c r="T557" s="17"/>
    </row>
    <row r="558">
      <c r="A558" s="337"/>
      <c r="B558" s="164"/>
      <c r="C558" s="337"/>
      <c r="D558" s="177"/>
      <c r="E558" s="337"/>
      <c r="F558" s="164"/>
      <c r="G558" s="337"/>
      <c r="H558" s="164"/>
      <c r="I558" s="344"/>
      <c r="J558" s="177"/>
      <c r="K558" s="344"/>
      <c r="L558" s="177"/>
      <c r="M558" s="344"/>
      <c r="N558" s="177"/>
      <c r="O558" s="337"/>
      <c r="P558" s="164"/>
      <c r="Q558" s="201"/>
      <c r="R558" s="201"/>
      <c r="S558" s="17"/>
      <c r="T558" s="17"/>
    </row>
    <row r="559">
      <c r="A559" s="337"/>
      <c r="B559" s="164"/>
      <c r="C559" s="337"/>
      <c r="D559" s="177"/>
      <c r="E559" s="337"/>
      <c r="F559" s="164"/>
      <c r="G559" s="337"/>
      <c r="H559" s="164"/>
      <c r="I559" s="344"/>
      <c r="J559" s="177"/>
      <c r="K559" s="344"/>
      <c r="L559" s="177"/>
      <c r="M559" s="344"/>
      <c r="N559" s="177"/>
      <c r="O559" s="337"/>
      <c r="P559" s="164"/>
      <c r="Q559" s="201"/>
      <c r="R559" s="201"/>
      <c r="S559" s="17"/>
      <c r="T559" s="17"/>
    </row>
    <row r="560">
      <c r="A560" s="337"/>
      <c r="B560" s="164"/>
      <c r="C560" s="337"/>
      <c r="D560" s="177"/>
      <c r="E560" s="337"/>
      <c r="F560" s="164"/>
      <c r="G560" s="337"/>
      <c r="H560" s="164"/>
      <c r="I560" s="344"/>
      <c r="J560" s="177"/>
      <c r="K560" s="344"/>
      <c r="L560" s="177"/>
      <c r="M560" s="344"/>
      <c r="N560" s="177"/>
      <c r="O560" s="337"/>
      <c r="P560" s="164"/>
      <c r="Q560" s="201"/>
      <c r="R560" s="201"/>
      <c r="S560" s="17"/>
      <c r="T560" s="17"/>
    </row>
    <row r="561">
      <c r="A561" s="337"/>
      <c r="B561" s="164"/>
      <c r="C561" s="337"/>
      <c r="D561" s="177"/>
      <c r="E561" s="337"/>
      <c r="F561" s="164"/>
      <c r="G561" s="337"/>
      <c r="H561" s="164"/>
      <c r="I561" s="344"/>
      <c r="J561" s="177"/>
      <c r="K561" s="344"/>
      <c r="L561" s="177"/>
      <c r="M561" s="344"/>
      <c r="N561" s="177"/>
      <c r="O561" s="337"/>
      <c r="P561" s="164"/>
      <c r="Q561" s="201"/>
      <c r="R561" s="201"/>
      <c r="S561" s="17"/>
      <c r="T561" s="17"/>
    </row>
    <row r="562">
      <c r="A562" s="337"/>
      <c r="B562" s="164"/>
      <c r="C562" s="337"/>
      <c r="D562" s="177"/>
      <c r="E562" s="337"/>
      <c r="F562" s="164"/>
      <c r="G562" s="337"/>
      <c r="H562" s="164"/>
      <c r="I562" s="344"/>
      <c r="J562" s="177"/>
      <c r="K562" s="344"/>
      <c r="L562" s="177"/>
      <c r="M562" s="344"/>
      <c r="N562" s="177"/>
      <c r="O562" s="337"/>
      <c r="P562" s="164"/>
      <c r="Q562" s="201"/>
      <c r="R562" s="201"/>
      <c r="S562" s="17"/>
      <c r="T562" s="17"/>
    </row>
    <row r="563">
      <c r="A563" s="337"/>
      <c r="B563" s="164"/>
      <c r="C563" s="337"/>
      <c r="D563" s="177"/>
      <c r="E563" s="337"/>
      <c r="F563" s="164"/>
      <c r="G563" s="337"/>
      <c r="H563" s="164"/>
      <c r="I563" s="344"/>
      <c r="J563" s="177"/>
      <c r="K563" s="344"/>
      <c r="L563" s="177"/>
      <c r="M563" s="344"/>
      <c r="N563" s="177"/>
      <c r="O563" s="337"/>
      <c r="P563" s="164"/>
      <c r="Q563" s="201"/>
      <c r="R563" s="201"/>
      <c r="S563" s="17"/>
      <c r="T563" s="17"/>
    </row>
    <row r="564">
      <c r="A564" s="337"/>
      <c r="B564" s="164"/>
      <c r="C564" s="337"/>
      <c r="D564" s="177"/>
      <c r="E564" s="337"/>
      <c r="F564" s="164"/>
      <c r="G564" s="337"/>
      <c r="H564" s="164"/>
      <c r="I564" s="344"/>
      <c r="J564" s="177"/>
      <c r="K564" s="344"/>
      <c r="L564" s="177"/>
      <c r="M564" s="344"/>
      <c r="N564" s="177"/>
      <c r="O564" s="337"/>
      <c r="P564" s="164"/>
      <c r="Q564" s="201"/>
      <c r="R564" s="201"/>
      <c r="S564" s="17"/>
      <c r="T564" s="17"/>
    </row>
    <row r="565">
      <c r="A565" s="337"/>
      <c r="B565" s="164"/>
      <c r="C565" s="337"/>
      <c r="D565" s="177"/>
      <c r="E565" s="337"/>
      <c r="F565" s="164"/>
      <c r="G565" s="337"/>
      <c r="H565" s="164"/>
      <c r="I565" s="344"/>
      <c r="J565" s="177"/>
      <c r="K565" s="344"/>
      <c r="L565" s="177"/>
      <c r="M565" s="344"/>
      <c r="N565" s="177"/>
      <c r="O565" s="337"/>
      <c r="P565" s="164"/>
      <c r="Q565" s="201"/>
      <c r="R565" s="201"/>
      <c r="S565" s="17"/>
      <c r="T565" s="17"/>
    </row>
    <row r="566">
      <c r="A566" s="337"/>
      <c r="B566" s="164"/>
      <c r="C566" s="337"/>
      <c r="D566" s="177"/>
      <c r="E566" s="337"/>
      <c r="F566" s="164"/>
      <c r="G566" s="337"/>
      <c r="H566" s="164"/>
      <c r="I566" s="344"/>
      <c r="J566" s="177"/>
      <c r="K566" s="344"/>
      <c r="L566" s="177"/>
      <c r="M566" s="344"/>
      <c r="N566" s="177"/>
      <c r="O566" s="337"/>
      <c r="P566" s="164"/>
      <c r="Q566" s="201"/>
      <c r="R566" s="201"/>
      <c r="S566" s="17"/>
      <c r="T566" s="17"/>
    </row>
    <row r="567">
      <c r="A567" s="337"/>
      <c r="B567" s="164"/>
      <c r="C567" s="337"/>
      <c r="D567" s="177"/>
      <c r="E567" s="337"/>
      <c r="F567" s="164"/>
      <c r="G567" s="337"/>
      <c r="H567" s="164"/>
      <c r="I567" s="344"/>
      <c r="J567" s="177"/>
      <c r="K567" s="344"/>
      <c r="L567" s="177"/>
      <c r="M567" s="344"/>
      <c r="N567" s="177"/>
      <c r="O567" s="337"/>
      <c r="P567" s="164"/>
      <c r="Q567" s="201"/>
      <c r="R567" s="201"/>
      <c r="S567" s="17"/>
      <c r="T567" s="17"/>
    </row>
    <row r="568">
      <c r="A568" s="337"/>
      <c r="B568" s="164"/>
      <c r="C568" s="337"/>
      <c r="D568" s="177"/>
      <c r="E568" s="337"/>
      <c r="F568" s="164"/>
      <c r="G568" s="337"/>
      <c r="H568" s="164"/>
      <c r="I568" s="344"/>
      <c r="J568" s="177"/>
      <c r="K568" s="344"/>
      <c r="L568" s="177"/>
      <c r="M568" s="344"/>
      <c r="N568" s="177"/>
      <c r="O568" s="337"/>
      <c r="P568" s="164"/>
      <c r="Q568" s="201"/>
      <c r="R568" s="201"/>
      <c r="S568" s="17"/>
      <c r="T568" s="17"/>
    </row>
    <row r="569">
      <c r="A569" s="337"/>
      <c r="B569" s="164"/>
      <c r="C569" s="337"/>
      <c r="D569" s="177"/>
      <c r="E569" s="337"/>
      <c r="F569" s="164"/>
      <c r="G569" s="337"/>
      <c r="H569" s="164"/>
      <c r="I569" s="344"/>
      <c r="J569" s="177"/>
      <c r="K569" s="344"/>
      <c r="L569" s="177"/>
      <c r="M569" s="344"/>
      <c r="N569" s="177"/>
      <c r="O569" s="337"/>
      <c r="P569" s="164"/>
      <c r="Q569" s="201"/>
      <c r="R569" s="201"/>
      <c r="S569" s="17"/>
      <c r="T569" s="17"/>
    </row>
    <row r="570">
      <c r="A570" s="337"/>
      <c r="B570" s="164"/>
      <c r="C570" s="337"/>
      <c r="D570" s="177"/>
      <c r="E570" s="337"/>
      <c r="F570" s="164"/>
      <c r="G570" s="337"/>
      <c r="H570" s="164"/>
      <c r="I570" s="344"/>
      <c r="J570" s="177"/>
      <c r="K570" s="344"/>
      <c r="L570" s="177"/>
      <c r="M570" s="344"/>
      <c r="N570" s="177"/>
      <c r="O570" s="337"/>
      <c r="P570" s="164"/>
      <c r="Q570" s="201"/>
      <c r="R570" s="201"/>
      <c r="S570" s="17"/>
      <c r="T570" s="17"/>
    </row>
    <row r="571">
      <c r="A571" s="337"/>
      <c r="B571" s="164"/>
      <c r="C571" s="337"/>
      <c r="D571" s="177"/>
      <c r="E571" s="337"/>
      <c r="F571" s="164"/>
      <c r="G571" s="337"/>
      <c r="H571" s="164"/>
      <c r="I571" s="344"/>
      <c r="J571" s="177"/>
      <c r="K571" s="344"/>
      <c r="L571" s="177"/>
      <c r="M571" s="344"/>
      <c r="N571" s="177"/>
      <c r="O571" s="337"/>
      <c r="P571" s="164"/>
      <c r="Q571" s="201"/>
      <c r="R571" s="201"/>
      <c r="S571" s="17"/>
      <c r="T571" s="17"/>
    </row>
    <row r="572">
      <c r="A572" s="337"/>
      <c r="B572" s="164"/>
      <c r="C572" s="337"/>
      <c r="D572" s="177"/>
      <c r="E572" s="337"/>
      <c r="F572" s="164"/>
      <c r="G572" s="337"/>
      <c r="H572" s="164"/>
      <c r="I572" s="344"/>
      <c r="J572" s="177"/>
      <c r="K572" s="344"/>
      <c r="L572" s="177"/>
      <c r="M572" s="344"/>
      <c r="N572" s="177"/>
      <c r="O572" s="337"/>
      <c r="P572" s="164"/>
      <c r="Q572" s="201"/>
      <c r="R572" s="201"/>
      <c r="S572" s="17"/>
      <c r="T572" s="17"/>
    </row>
    <row r="573">
      <c r="A573" s="337"/>
      <c r="B573" s="164"/>
      <c r="C573" s="337"/>
      <c r="D573" s="177"/>
      <c r="E573" s="337"/>
      <c r="F573" s="164"/>
      <c r="G573" s="337"/>
      <c r="H573" s="164"/>
      <c r="I573" s="344"/>
      <c r="J573" s="177"/>
      <c r="K573" s="344"/>
      <c r="L573" s="177"/>
      <c r="M573" s="344"/>
      <c r="N573" s="177"/>
      <c r="O573" s="337"/>
      <c r="P573" s="164"/>
      <c r="Q573" s="201"/>
      <c r="R573" s="201"/>
      <c r="S573" s="17"/>
      <c r="T573" s="17"/>
    </row>
    <row r="574">
      <c r="A574" s="337"/>
      <c r="B574" s="164"/>
      <c r="C574" s="337"/>
      <c r="D574" s="177"/>
      <c r="E574" s="337"/>
      <c r="F574" s="164"/>
      <c r="G574" s="337"/>
      <c r="H574" s="164"/>
      <c r="I574" s="344"/>
      <c r="J574" s="177"/>
      <c r="K574" s="344"/>
      <c r="L574" s="177"/>
      <c r="M574" s="344"/>
      <c r="N574" s="177"/>
      <c r="O574" s="337"/>
      <c r="P574" s="164"/>
      <c r="Q574" s="201"/>
      <c r="R574" s="201"/>
      <c r="S574" s="17"/>
      <c r="T574" s="17"/>
    </row>
    <row r="575">
      <c r="A575" s="337"/>
      <c r="B575" s="164"/>
      <c r="C575" s="337"/>
      <c r="D575" s="177"/>
      <c r="E575" s="337"/>
      <c r="F575" s="164"/>
      <c r="G575" s="337"/>
      <c r="H575" s="164"/>
      <c r="I575" s="344"/>
      <c r="J575" s="177"/>
      <c r="K575" s="344"/>
      <c r="L575" s="177"/>
      <c r="M575" s="344"/>
      <c r="N575" s="177"/>
      <c r="O575" s="337"/>
      <c r="P575" s="164"/>
      <c r="Q575" s="201"/>
      <c r="R575" s="201"/>
      <c r="S575" s="17"/>
      <c r="T575" s="17"/>
    </row>
    <row r="576">
      <c r="A576" s="337"/>
      <c r="B576" s="164"/>
      <c r="C576" s="337"/>
      <c r="D576" s="177"/>
      <c r="E576" s="337"/>
      <c r="F576" s="164"/>
      <c r="G576" s="337"/>
      <c r="H576" s="164"/>
      <c r="I576" s="344"/>
      <c r="J576" s="177"/>
      <c r="K576" s="344"/>
      <c r="L576" s="177"/>
      <c r="M576" s="344"/>
      <c r="N576" s="177"/>
      <c r="O576" s="337"/>
      <c r="P576" s="164"/>
      <c r="Q576" s="201"/>
      <c r="R576" s="201"/>
      <c r="S576" s="17"/>
      <c r="T576" s="17"/>
    </row>
    <row r="577">
      <c r="A577" s="337"/>
      <c r="B577" s="164"/>
      <c r="C577" s="337"/>
      <c r="D577" s="177"/>
      <c r="E577" s="337"/>
      <c r="F577" s="164"/>
      <c r="G577" s="337"/>
      <c r="H577" s="164"/>
      <c r="I577" s="344"/>
      <c r="J577" s="177"/>
      <c r="K577" s="344"/>
      <c r="L577" s="177"/>
      <c r="M577" s="344"/>
      <c r="N577" s="177"/>
      <c r="O577" s="337"/>
      <c r="P577" s="164"/>
      <c r="Q577" s="201"/>
      <c r="R577" s="201"/>
      <c r="S577" s="17"/>
      <c r="T577" s="17"/>
    </row>
    <row r="578">
      <c r="A578" s="337"/>
      <c r="B578" s="164"/>
      <c r="C578" s="337"/>
      <c r="D578" s="177"/>
      <c r="E578" s="337"/>
      <c r="F578" s="164"/>
      <c r="G578" s="337"/>
      <c r="H578" s="164"/>
      <c r="I578" s="344"/>
      <c r="J578" s="177"/>
      <c r="K578" s="344"/>
      <c r="L578" s="177"/>
      <c r="M578" s="344"/>
      <c r="N578" s="177"/>
      <c r="O578" s="337"/>
      <c r="P578" s="164"/>
      <c r="Q578" s="201"/>
      <c r="R578" s="201"/>
      <c r="S578" s="17"/>
      <c r="T578" s="17"/>
    </row>
    <row r="579">
      <c r="A579" s="337"/>
      <c r="B579" s="164"/>
      <c r="C579" s="337"/>
      <c r="D579" s="177"/>
      <c r="E579" s="337"/>
      <c r="F579" s="164"/>
      <c r="G579" s="337"/>
      <c r="H579" s="164"/>
      <c r="I579" s="344"/>
      <c r="J579" s="177"/>
      <c r="K579" s="344"/>
      <c r="L579" s="177"/>
      <c r="M579" s="344"/>
      <c r="N579" s="177"/>
      <c r="O579" s="337"/>
      <c r="P579" s="164"/>
      <c r="Q579" s="201"/>
      <c r="R579" s="201"/>
      <c r="S579" s="17"/>
      <c r="T579" s="17"/>
    </row>
    <row r="580">
      <c r="A580" s="337"/>
      <c r="B580" s="164"/>
      <c r="C580" s="337"/>
      <c r="D580" s="177"/>
      <c r="E580" s="337"/>
      <c r="F580" s="164"/>
      <c r="G580" s="337"/>
      <c r="H580" s="164"/>
      <c r="I580" s="344"/>
      <c r="J580" s="177"/>
      <c r="K580" s="344"/>
      <c r="L580" s="177"/>
      <c r="M580" s="344"/>
      <c r="N580" s="177"/>
      <c r="O580" s="337"/>
      <c r="P580" s="164"/>
      <c r="Q580" s="201"/>
      <c r="R580" s="201"/>
      <c r="S580" s="17"/>
      <c r="T580" s="17"/>
    </row>
    <row r="581">
      <c r="A581" s="337"/>
      <c r="B581" s="164"/>
      <c r="C581" s="337"/>
      <c r="D581" s="177"/>
      <c r="E581" s="337"/>
      <c r="F581" s="164"/>
      <c r="G581" s="337"/>
      <c r="H581" s="164"/>
      <c r="I581" s="344"/>
      <c r="J581" s="177"/>
      <c r="K581" s="344"/>
      <c r="L581" s="177"/>
      <c r="M581" s="344"/>
      <c r="N581" s="177"/>
      <c r="O581" s="337"/>
      <c r="P581" s="164"/>
      <c r="Q581" s="201"/>
      <c r="R581" s="201"/>
      <c r="S581" s="17"/>
      <c r="T581" s="17"/>
    </row>
    <row r="582">
      <c r="A582" s="337"/>
      <c r="B582" s="164"/>
      <c r="C582" s="337"/>
      <c r="D582" s="177"/>
      <c r="E582" s="337"/>
      <c r="F582" s="164"/>
      <c r="G582" s="337"/>
      <c r="H582" s="164"/>
      <c r="I582" s="344"/>
      <c r="J582" s="177"/>
      <c r="K582" s="344"/>
      <c r="L582" s="177"/>
      <c r="M582" s="344"/>
      <c r="N582" s="177"/>
      <c r="O582" s="337"/>
      <c r="P582" s="164"/>
      <c r="Q582" s="201"/>
      <c r="R582" s="201"/>
      <c r="S582" s="17"/>
      <c r="T582" s="17"/>
    </row>
    <row r="583">
      <c r="A583" s="337"/>
      <c r="B583" s="164"/>
      <c r="C583" s="337"/>
      <c r="D583" s="177"/>
      <c r="E583" s="337"/>
      <c r="F583" s="164"/>
      <c r="G583" s="337"/>
      <c r="H583" s="164"/>
      <c r="I583" s="344"/>
      <c r="J583" s="177"/>
      <c r="K583" s="344"/>
      <c r="L583" s="177"/>
      <c r="M583" s="344"/>
      <c r="N583" s="177"/>
      <c r="O583" s="337"/>
      <c r="P583" s="164"/>
      <c r="Q583" s="201"/>
      <c r="R583" s="201"/>
      <c r="S583" s="17"/>
      <c r="T583" s="17"/>
    </row>
    <row r="584">
      <c r="A584" s="337"/>
      <c r="B584" s="164"/>
      <c r="C584" s="337"/>
      <c r="D584" s="177"/>
      <c r="E584" s="337"/>
      <c r="F584" s="164"/>
      <c r="G584" s="337"/>
      <c r="H584" s="164"/>
      <c r="I584" s="344"/>
      <c r="J584" s="177"/>
      <c r="K584" s="344"/>
      <c r="L584" s="177"/>
      <c r="M584" s="344"/>
      <c r="N584" s="177"/>
      <c r="O584" s="337"/>
      <c r="P584" s="164"/>
      <c r="Q584" s="201"/>
      <c r="R584" s="201"/>
      <c r="S584" s="17"/>
      <c r="T584" s="17"/>
    </row>
    <row r="585">
      <c r="A585" s="337"/>
      <c r="B585" s="164"/>
      <c r="C585" s="337"/>
      <c r="D585" s="177"/>
      <c r="E585" s="337"/>
      <c r="F585" s="164"/>
      <c r="G585" s="337"/>
      <c r="H585" s="164"/>
      <c r="I585" s="344"/>
      <c r="J585" s="177"/>
      <c r="K585" s="344"/>
      <c r="L585" s="177"/>
      <c r="M585" s="344"/>
      <c r="N585" s="177"/>
      <c r="O585" s="337"/>
      <c r="P585" s="164"/>
      <c r="Q585" s="201"/>
      <c r="R585" s="201"/>
      <c r="S585" s="17"/>
      <c r="T585" s="17"/>
    </row>
    <row r="586">
      <c r="A586" s="337"/>
      <c r="B586" s="164"/>
      <c r="C586" s="337"/>
      <c r="D586" s="177"/>
      <c r="E586" s="337"/>
      <c r="F586" s="164"/>
      <c r="G586" s="337"/>
      <c r="H586" s="164"/>
      <c r="I586" s="344"/>
      <c r="J586" s="177"/>
      <c r="K586" s="344"/>
      <c r="L586" s="177"/>
      <c r="M586" s="344"/>
      <c r="N586" s="177"/>
      <c r="O586" s="337"/>
      <c r="P586" s="164"/>
      <c r="Q586" s="201"/>
      <c r="R586" s="201"/>
      <c r="S586" s="17"/>
      <c r="T586" s="17"/>
    </row>
    <row r="587">
      <c r="A587" s="337"/>
      <c r="B587" s="164"/>
      <c r="C587" s="337"/>
      <c r="D587" s="177"/>
      <c r="E587" s="337"/>
      <c r="F587" s="164"/>
      <c r="G587" s="337"/>
      <c r="H587" s="164"/>
      <c r="I587" s="344"/>
      <c r="J587" s="177"/>
      <c r="K587" s="344"/>
      <c r="L587" s="177"/>
      <c r="M587" s="344"/>
      <c r="N587" s="177"/>
      <c r="O587" s="337"/>
      <c r="P587" s="164"/>
      <c r="Q587" s="201"/>
      <c r="R587" s="201"/>
      <c r="S587" s="17"/>
      <c r="T587" s="17"/>
    </row>
    <row r="588">
      <c r="A588" s="337"/>
      <c r="B588" s="164"/>
      <c r="C588" s="337"/>
      <c r="D588" s="177"/>
      <c r="E588" s="337"/>
      <c r="F588" s="164"/>
      <c r="G588" s="337"/>
      <c r="H588" s="164"/>
      <c r="I588" s="344"/>
      <c r="J588" s="177"/>
      <c r="K588" s="344"/>
      <c r="L588" s="177"/>
      <c r="M588" s="344"/>
      <c r="N588" s="177"/>
      <c r="O588" s="337"/>
      <c r="P588" s="164"/>
      <c r="Q588" s="201"/>
      <c r="R588" s="201"/>
      <c r="S588" s="17"/>
      <c r="T588" s="17"/>
    </row>
    <row r="589">
      <c r="A589" s="337"/>
      <c r="B589" s="164"/>
      <c r="C589" s="337"/>
      <c r="D589" s="177"/>
      <c r="E589" s="337"/>
      <c r="F589" s="164"/>
      <c r="G589" s="337"/>
      <c r="H589" s="164"/>
      <c r="I589" s="344"/>
      <c r="J589" s="177"/>
      <c r="K589" s="344"/>
      <c r="L589" s="177"/>
      <c r="M589" s="344"/>
      <c r="N589" s="177"/>
      <c r="O589" s="337"/>
      <c r="P589" s="164"/>
      <c r="Q589" s="201"/>
      <c r="R589" s="201"/>
      <c r="S589" s="17"/>
      <c r="T589" s="17"/>
    </row>
    <row r="590">
      <c r="A590" s="337"/>
      <c r="B590" s="164"/>
      <c r="C590" s="337"/>
      <c r="D590" s="177"/>
      <c r="E590" s="337"/>
      <c r="F590" s="164"/>
      <c r="G590" s="337"/>
      <c r="H590" s="164"/>
      <c r="I590" s="344"/>
      <c r="J590" s="177"/>
      <c r="K590" s="344"/>
      <c r="L590" s="177"/>
      <c r="M590" s="344"/>
      <c r="N590" s="177"/>
      <c r="O590" s="337"/>
      <c r="P590" s="164"/>
      <c r="Q590" s="201"/>
      <c r="R590" s="201"/>
      <c r="S590" s="17"/>
      <c r="T590" s="17"/>
    </row>
    <row r="591">
      <c r="A591" s="337"/>
      <c r="B591" s="164"/>
      <c r="C591" s="337"/>
      <c r="D591" s="177"/>
      <c r="E591" s="337"/>
      <c r="F591" s="164"/>
      <c r="G591" s="337"/>
      <c r="H591" s="164"/>
      <c r="I591" s="344"/>
      <c r="J591" s="177"/>
      <c r="K591" s="344"/>
      <c r="L591" s="177"/>
      <c r="M591" s="344"/>
      <c r="N591" s="177"/>
      <c r="O591" s="337"/>
      <c r="P591" s="164"/>
      <c r="Q591" s="201"/>
      <c r="R591" s="201"/>
      <c r="S591" s="17"/>
      <c r="T591" s="17"/>
    </row>
    <row r="592">
      <c r="A592" s="337"/>
      <c r="B592" s="164"/>
      <c r="C592" s="337"/>
      <c r="D592" s="177"/>
      <c r="E592" s="337"/>
      <c r="F592" s="164"/>
      <c r="G592" s="337"/>
      <c r="H592" s="164"/>
      <c r="I592" s="344"/>
      <c r="J592" s="177"/>
      <c r="K592" s="344"/>
      <c r="L592" s="177"/>
      <c r="M592" s="344"/>
      <c r="N592" s="177"/>
      <c r="O592" s="337"/>
      <c r="P592" s="164"/>
      <c r="Q592" s="201"/>
      <c r="R592" s="201"/>
      <c r="S592" s="17"/>
      <c r="T592" s="17"/>
    </row>
    <row r="593">
      <c r="A593" s="337"/>
      <c r="B593" s="164"/>
      <c r="C593" s="337"/>
      <c r="D593" s="177"/>
      <c r="E593" s="337"/>
      <c r="F593" s="164"/>
      <c r="G593" s="337"/>
      <c r="H593" s="164"/>
      <c r="I593" s="344"/>
      <c r="J593" s="177"/>
      <c r="K593" s="344"/>
      <c r="L593" s="177"/>
      <c r="M593" s="344"/>
      <c r="N593" s="177"/>
      <c r="O593" s="337"/>
      <c r="P593" s="164"/>
      <c r="Q593" s="201"/>
      <c r="R593" s="201"/>
      <c r="S593" s="17"/>
      <c r="T593" s="17"/>
    </row>
    <row r="594">
      <c r="A594" s="337"/>
      <c r="B594" s="164"/>
      <c r="C594" s="337"/>
      <c r="D594" s="177"/>
      <c r="E594" s="337"/>
      <c r="F594" s="164"/>
      <c r="G594" s="337"/>
      <c r="H594" s="164"/>
      <c r="I594" s="344"/>
      <c r="J594" s="177"/>
      <c r="K594" s="344"/>
      <c r="L594" s="177"/>
      <c r="M594" s="344"/>
      <c r="N594" s="177"/>
      <c r="O594" s="337"/>
      <c r="P594" s="164"/>
      <c r="Q594" s="201"/>
      <c r="R594" s="201"/>
      <c r="S594" s="17"/>
      <c r="T594" s="17"/>
    </row>
    <row r="595">
      <c r="A595" s="337"/>
      <c r="B595" s="164"/>
      <c r="C595" s="337"/>
      <c r="D595" s="177"/>
      <c r="E595" s="337"/>
      <c r="F595" s="164"/>
      <c r="G595" s="337"/>
      <c r="H595" s="164"/>
      <c r="I595" s="344"/>
      <c r="J595" s="177"/>
      <c r="K595" s="344"/>
      <c r="L595" s="177"/>
      <c r="M595" s="344"/>
      <c r="N595" s="177"/>
      <c r="O595" s="337"/>
      <c r="P595" s="164"/>
      <c r="Q595" s="201"/>
      <c r="R595" s="201"/>
      <c r="S595" s="17"/>
      <c r="T595" s="17"/>
    </row>
    <row r="596">
      <c r="A596" s="337"/>
      <c r="B596" s="164"/>
      <c r="C596" s="337"/>
      <c r="D596" s="177"/>
      <c r="E596" s="337"/>
      <c r="F596" s="164"/>
      <c r="G596" s="337"/>
      <c r="H596" s="164"/>
      <c r="I596" s="344"/>
      <c r="J596" s="177"/>
      <c r="K596" s="344"/>
      <c r="L596" s="177"/>
      <c r="M596" s="344"/>
      <c r="N596" s="177"/>
      <c r="O596" s="337"/>
      <c r="P596" s="164"/>
      <c r="Q596" s="201"/>
      <c r="R596" s="201"/>
      <c r="S596" s="17"/>
      <c r="T596" s="17"/>
    </row>
    <row r="597">
      <c r="A597" s="337"/>
      <c r="B597" s="164"/>
      <c r="C597" s="337"/>
      <c r="D597" s="177"/>
      <c r="E597" s="337"/>
      <c r="F597" s="164"/>
      <c r="G597" s="337"/>
      <c r="H597" s="164"/>
      <c r="I597" s="344"/>
      <c r="J597" s="177"/>
      <c r="K597" s="344"/>
      <c r="L597" s="177"/>
      <c r="M597" s="344"/>
      <c r="N597" s="177"/>
      <c r="O597" s="337"/>
      <c r="P597" s="164"/>
      <c r="Q597" s="201"/>
      <c r="R597" s="201"/>
      <c r="S597" s="17"/>
      <c r="T597" s="17"/>
    </row>
    <row r="598">
      <c r="A598" s="337"/>
      <c r="B598" s="164"/>
      <c r="C598" s="337"/>
      <c r="D598" s="177"/>
      <c r="E598" s="337"/>
      <c r="F598" s="164"/>
      <c r="G598" s="337"/>
      <c r="H598" s="164"/>
      <c r="I598" s="344"/>
      <c r="J598" s="177"/>
      <c r="K598" s="344"/>
      <c r="L598" s="177"/>
      <c r="M598" s="344"/>
      <c r="N598" s="177"/>
      <c r="O598" s="337"/>
      <c r="P598" s="164"/>
      <c r="Q598" s="201"/>
      <c r="R598" s="201"/>
      <c r="S598" s="17"/>
      <c r="T598" s="17"/>
    </row>
    <row r="599">
      <c r="A599" s="337"/>
      <c r="B599" s="164"/>
      <c r="C599" s="337"/>
      <c r="D599" s="177"/>
      <c r="E599" s="337"/>
      <c r="F599" s="164"/>
      <c r="G599" s="337"/>
      <c r="H599" s="164"/>
      <c r="I599" s="344"/>
      <c r="J599" s="177"/>
      <c r="K599" s="344"/>
      <c r="L599" s="177"/>
      <c r="M599" s="344"/>
      <c r="N599" s="177"/>
      <c r="O599" s="337"/>
      <c r="P599" s="164"/>
      <c r="Q599" s="201"/>
      <c r="R599" s="201"/>
      <c r="S599" s="17"/>
      <c r="T599" s="17"/>
    </row>
    <row r="600">
      <c r="A600" s="337"/>
      <c r="B600" s="164"/>
      <c r="C600" s="337"/>
      <c r="D600" s="177"/>
      <c r="E600" s="337"/>
      <c r="F600" s="164"/>
      <c r="G600" s="337"/>
      <c r="H600" s="164"/>
      <c r="I600" s="344"/>
      <c r="J600" s="177"/>
      <c r="K600" s="344"/>
      <c r="L600" s="177"/>
      <c r="M600" s="344"/>
      <c r="N600" s="177"/>
      <c r="O600" s="337"/>
      <c r="P600" s="164"/>
      <c r="Q600" s="201"/>
      <c r="R600" s="201"/>
      <c r="S600" s="17"/>
      <c r="T600" s="17"/>
    </row>
    <row r="601">
      <c r="A601" s="337"/>
      <c r="B601" s="164"/>
      <c r="C601" s="337"/>
      <c r="D601" s="177"/>
      <c r="E601" s="337"/>
      <c r="F601" s="164"/>
      <c r="G601" s="337"/>
      <c r="H601" s="164"/>
      <c r="I601" s="344"/>
      <c r="J601" s="177"/>
      <c r="K601" s="344"/>
      <c r="L601" s="177"/>
      <c r="M601" s="344"/>
      <c r="N601" s="177"/>
      <c r="O601" s="337"/>
      <c r="P601" s="164"/>
      <c r="Q601" s="201"/>
      <c r="R601" s="201"/>
      <c r="S601" s="17"/>
      <c r="T601" s="17"/>
    </row>
    <row r="602">
      <c r="A602" s="337"/>
      <c r="B602" s="164"/>
      <c r="C602" s="337"/>
      <c r="D602" s="177"/>
      <c r="E602" s="337"/>
      <c r="F602" s="164"/>
      <c r="G602" s="337"/>
      <c r="H602" s="164"/>
      <c r="I602" s="344"/>
      <c r="J602" s="177"/>
      <c r="K602" s="344"/>
      <c r="L602" s="177"/>
      <c r="M602" s="344"/>
      <c r="N602" s="177"/>
      <c r="O602" s="337"/>
      <c r="P602" s="164"/>
      <c r="Q602" s="201"/>
      <c r="R602" s="201"/>
      <c r="S602" s="17"/>
      <c r="T602" s="17"/>
    </row>
    <row r="603">
      <c r="A603" s="337"/>
      <c r="B603" s="164"/>
      <c r="C603" s="337"/>
      <c r="D603" s="177"/>
      <c r="E603" s="337"/>
      <c r="F603" s="164"/>
      <c r="G603" s="337"/>
      <c r="H603" s="164"/>
      <c r="I603" s="344"/>
      <c r="J603" s="177"/>
      <c r="K603" s="344"/>
      <c r="L603" s="177"/>
      <c r="M603" s="344"/>
      <c r="N603" s="177"/>
      <c r="O603" s="337"/>
      <c r="P603" s="164"/>
      <c r="Q603" s="201"/>
      <c r="R603" s="201"/>
      <c r="S603" s="17"/>
      <c r="T603" s="17"/>
    </row>
    <row r="604">
      <c r="A604" s="337"/>
      <c r="B604" s="164"/>
      <c r="C604" s="337"/>
      <c r="D604" s="177"/>
      <c r="E604" s="337"/>
      <c r="F604" s="164"/>
      <c r="G604" s="337"/>
      <c r="H604" s="164"/>
      <c r="I604" s="344"/>
      <c r="J604" s="177"/>
      <c r="K604" s="344"/>
      <c r="L604" s="177"/>
      <c r="M604" s="344"/>
      <c r="N604" s="177"/>
      <c r="O604" s="337"/>
      <c r="P604" s="164"/>
      <c r="Q604" s="201"/>
      <c r="R604" s="201"/>
      <c r="S604" s="17"/>
      <c r="T604" s="17"/>
    </row>
    <row r="605">
      <c r="A605" s="337"/>
      <c r="B605" s="164"/>
      <c r="C605" s="337"/>
      <c r="D605" s="177"/>
      <c r="E605" s="337"/>
      <c r="F605" s="164"/>
      <c r="G605" s="337"/>
      <c r="H605" s="164"/>
      <c r="I605" s="344"/>
      <c r="J605" s="177"/>
      <c r="K605" s="344"/>
      <c r="L605" s="177"/>
      <c r="M605" s="344"/>
      <c r="N605" s="177"/>
      <c r="O605" s="337"/>
      <c r="P605" s="164"/>
      <c r="Q605" s="201"/>
      <c r="R605" s="201"/>
      <c r="S605" s="17"/>
      <c r="T605" s="17"/>
    </row>
    <row r="606">
      <c r="A606" s="337"/>
      <c r="B606" s="164"/>
      <c r="C606" s="337"/>
      <c r="D606" s="177"/>
      <c r="E606" s="337"/>
      <c r="F606" s="164"/>
      <c r="G606" s="337"/>
      <c r="H606" s="164"/>
      <c r="I606" s="344"/>
      <c r="J606" s="177"/>
      <c r="K606" s="344"/>
      <c r="L606" s="177"/>
      <c r="M606" s="344"/>
      <c r="N606" s="177"/>
      <c r="O606" s="337"/>
      <c r="P606" s="164"/>
      <c r="Q606" s="201"/>
      <c r="R606" s="201"/>
      <c r="S606" s="17"/>
      <c r="T606" s="17"/>
    </row>
    <row r="607">
      <c r="A607" s="337"/>
      <c r="B607" s="164"/>
      <c r="C607" s="337"/>
      <c r="D607" s="177"/>
      <c r="E607" s="337"/>
      <c r="F607" s="164"/>
      <c r="G607" s="337"/>
      <c r="H607" s="164"/>
      <c r="I607" s="344"/>
      <c r="J607" s="177"/>
      <c r="K607" s="344"/>
      <c r="L607" s="177"/>
      <c r="M607" s="344"/>
      <c r="N607" s="177"/>
      <c r="O607" s="337"/>
      <c r="P607" s="164"/>
      <c r="Q607" s="201"/>
      <c r="R607" s="201"/>
      <c r="S607" s="17"/>
      <c r="T607" s="17"/>
    </row>
    <row r="608">
      <c r="A608" s="337"/>
      <c r="B608" s="164"/>
      <c r="C608" s="337"/>
      <c r="D608" s="177"/>
      <c r="E608" s="337"/>
      <c r="F608" s="164"/>
      <c r="G608" s="337"/>
      <c r="H608" s="164"/>
      <c r="I608" s="344"/>
      <c r="J608" s="177"/>
      <c r="K608" s="344"/>
      <c r="L608" s="177"/>
      <c r="M608" s="344"/>
      <c r="N608" s="177"/>
      <c r="O608" s="337"/>
      <c r="P608" s="164"/>
      <c r="Q608" s="201"/>
      <c r="R608" s="201"/>
      <c r="S608" s="17"/>
      <c r="T608" s="17"/>
    </row>
    <row r="609">
      <c r="A609" s="337"/>
      <c r="B609" s="164"/>
      <c r="C609" s="337"/>
      <c r="D609" s="177"/>
      <c r="E609" s="337"/>
      <c r="F609" s="164"/>
      <c r="G609" s="337"/>
      <c r="H609" s="164"/>
      <c r="I609" s="344"/>
      <c r="J609" s="177"/>
      <c r="K609" s="344"/>
      <c r="L609" s="177"/>
      <c r="M609" s="344"/>
      <c r="N609" s="177"/>
      <c r="O609" s="337"/>
      <c r="P609" s="164"/>
      <c r="Q609" s="201"/>
      <c r="R609" s="201"/>
      <c r="S609" s="17"/>
      <c r="T609" s="17"/>
    </row>
    <row r="610">
      <c r="A610" s="337"/>
      <c r="B610" s="164"/>
      <c r="C610" s="337"/>
      <c r="D610" s="177"/>
      <c r="E610" s="337"/>
      <c r="F610" s="164"/>
      <c r="G610" s="337"/>
      <c r="H610" s="164"/>
      <c r="I610" s="344"/>
      <c r="J610" s="177"/>
      <c r="K610" s="344"/>
      <c r="L610" s="177"/>
      <c r="M610" s="344"/>
      <c r="N610" s="177"/>
      <c r="O610" s="337"/>
      <c r="P610" s="164"/>
      <c r="Q610" s="201"/>
      <c r="R610" s="201"/>
      <c r="S610" s="17"/>
      <c r="T610" s="17"/>
    </row>
    <row r="611">
      <c r="A611" s="337"/>
      <c r="B611" s="164"/>
      <c r="C611" s="337"/>
      <c r="D611" s="177"/>
      <c r="E611" s="337"/>
      <c r="F611" s="164"/>
      <c r="G611" s="337"/>
      <c r="H611" s="164"/>
      <c r="I611" s="344"/>
      <c r="J611" s="177"/>
      <c r="K611" s="344"/>
      <c r="L611" s="177"/>
      <c r="M611" s="344"/>
      <c r="N611" s="177"/>
      <c r="O611" s="337"/>
      <c r="P611" s="164"/>
      <c r="Q611" s="201"/>
      <c r="R611" s="201"/>
      <c r="S611" s="17"/>
      <c r="T611" s="17"/>
    </row>
    <row r="612">
      <c r="A612" s="337"/>
      <c r="B612" s="164"/>
      <c r="C612" s="337"/>
      <c r="D612" s="177"/>
      <c r="E612" s="337"/>
      <c r="F612" s="164"/>
      <c r="G612" s="337"/>
      <c r="H612" s="164"/>
      <c r="I612" s="344"/>
      <c r="J612" s="177"/>
      <c r="K612" s="344"/>
      <c r="L612" s="177"/>
      <c r="M612" s="344"/>
      <c r="N612" s="177"/>
      <c r="O612" s="337"/>
      <c r="P612" s="164"/>
      <c r="Q612" s="201"/>
      <c r="R612" s="201"/>
      <c r="S612" s="17"/>
      <c r="T612" s="17"/>
    </row>
    <row r="613">
      <c r="A613" s="337"/>
      <c r="B613" s="164"/>
      <c r="C613" s="337"/>
      <c r="D613" s="177"/>
      <c r="E613" s="337"/>
      <c r="F613" s="164"/>
      <c r="G613" s="337"/>
      <c r="H613" s="164"/>
      <c r="I613" s="344"/>
      <c r="J613" s="177"/>
      <c r="K613" s="344"/>
      <c r="L613" s="177"/>
      <c r="M613" s="344"/>
      <c r="N613" s="177"/>
      <c r="O613" s="337"/>
      <c r="P613" s="164"/>
      <c r="Q613" s="201"/>
      <c r="R613" s="201"/>
      <c r="S613" s="17"/>
      <c r="T613" s="17"/>
    </row>
    <row r="614">
      <c r="A614" s="337"/>
      <c r="B614" s="164"/>
      <c r="C614" s="337"/>
      <c r="D614" s="177"/>
      <c r="E614" s="337"/>
      <c r="F614" s="164"/>
      <c r="G614" s="337"/>
      <c r="H614" s="164"/>
      <c r="I614" s="344"/>
      <c r="J614" s="177"/>
      <c r="K614" s="344"/>
      <c r="L614" s="177"/>
      <c r="M614" s="344"/>
      <c r="N614" s="177"/>
      <c r="O614" s="337"/>
      <c r="P614" s="164"/>
      <c r="Q614" s="201"/>
      <c r="R614" s="201"/>
      <c r="S614" s="17"/>
      <c r="T614" s="17"/>
    </row>
    <row r="615">
      <c r="A615" s="337"/>
      <c r="B615" s="164"/>
      <c r="C615" s="337"/>
      <c r="D615" s="177"/>
      <c r="E615" s="337"/>
      <c r="F615" s="164"/>
      <c r="G615" s="337"/>
      <c r="H615" s="164"/>
      <c r="I615" s="344"/>
      <c r="J615" s="177"/>
      <c r="K615" s="344"/>
      <c r="L615" s="177"/>
      <c r="M615" s="344"/>
      <c r="N615" s="177"/>
      <c r="O615" s="337"/>
      <c r="P615" s="164"/>
      <c r="Q615" s="201"/>
      <c r="R615" s="201"/>
      <c r="S615" s="17"/>
      <c r="T615" s="17"/>
    </row>
    <row r="616">
      <c r="A616" s="337"/>
      <c r="B616" s="164"/>
      <c r="C616" s="337"/>
      <c r="D616" s="177"/>
      <c r="E616" s="337"/>
      <c r="F616" s="164"/>
      <c r="G616" s="337"/>
      <c r="H616" s="164"/>
      <c r="I616" s="344"/>
      <c r="J616" s="177"/>
      <c r="K616" s="344"/>
      <c r="L616" s="177"/>
      <c r="M616" s="344"/>
      <c r="N616" s="177"/>
      <c r="O616" s="337"/>
      <c r="P616" s="164"/>
      <c r="Q616" s="201"/>
      <c r="R616" s="201"/>
      <c r="S616" s="17"/>
      <c r="T616" s="17"/>
    </row>
    <row r="617">
      <c r="A617" s="337"/>
      <c r="B617" s="164"/>
      <c r="C617" s="337"/>
      <c r="D617" s="177"/>
      <c r="E617" s="337"/>
      <c r="F617" s="164"/>
      <c r="G617" s="337"/>
      <c r="H617" s="164"/>
      <c r="I617" s="344"/>
      <c r="J617" s="177"/>
      <c r="K617" s="344"/>
      <c r="L617" s="177"/>
      <c r="M617" s="344"/>
      <c r="N617" s="177"/>
      <c r="O617" s="337"/>
      <c r="P617" s="164"/>
      <c r="Q617" s="201"/>
      <c r="R617" s="201"/>
      <c r="S617" s="17"/>
      <c r="T617" s="17"/>
    </row>
    <row r="618">
      <c r="A618" s="337"/>
      <c r="B618" s="164"/>
      <c r="C618" s="337"/>
      <c r="D618" s="177"/>
      <c r="E618" s="337"/>
      <c r="F618" s="164"/>
      <c r="G618" s="337"/>
      <c r="H618" s="164"/>
      <c r="I618" s="344"/>
      <c r="J618" s="177"/>
      <c r="K618" s="344"/>
      <c r="L618" s="177"/>
      <c r="M618" s="344"/>
      <c r="N618" s="177"/>
      <c r="O618" s="337"/>
      <c r="P618" s="164"/>
      <c r="Q618" s="201"/>
      <c r="R618" s="201"/>
      <c r="S618" s="17"/>
      <c r="T618" s="17"/>
    </row>
    <row r="619">
      <c r="A619" s="337"/>
      <c r="B619" s="164"/>
      <c r="C619" s="337"/>
      <c r="D619" s="177"/>
      <c r="E619" s="337"/>
      <c r="F619" s="164"/>
      <c r="G619" s="337"/>
      <c r="H619" s="164"/>
      <c r="I619" s="344"/>
      <c r="J619" s="177"/>
      <c r="K619" s="344"/>
      <c r="L619" s="177"/>
      <c r="M619" s="344"/>
      <c r="N619" s="177"/>
      <c r="O619" s="337"/>
      <c r="P619" s="164"/>
      <c r="Q619" s="201"/>
      <c r="R619" s="201"/>
      <c r="S619" s="17"/>
      <c r="T619" s="17"/>
    </row>
    <row r="620">
      <c r="A620" s="337"/>
      <c r="B620" s="164"/>
      <c r="C620" s="337"/>
      <c r="D620" s="177"/>
      <c r="E620" s="337"/>
      <c r="F620" s="164"/>
      <c r="G620" s="337"/>
      <c r="H620" s="164"/>
      <c r="I620" s="344"/>
      <c r="J620" s="177"/>
      <c r="K620" s="344"/>
      <c r="L620" s="177"/>
      <c r="M620" s="344"/>
      <c r="N620" s="177"/>
      <c r="O620" s="337"/>
      <c r="P620" s="164"/>
      <c r="Q620" s="201"/>
      <c r="R620" s="201"/>
      <c r="S620" s="17"/>
      <c r="T620" s="17"/>
    </row>
    <row r="621">
      <c r="A621" s="337"/>
      <c r="B621" s="164"/>
      <c r="C621" s="337"/>
      <c r="D621" s="177"/>
      <c r="E621" s="337"/>
      <c r="F621" s="164"/>
      <c r="G621" s="337"/>
      <c r="H621" s="164"/>
      <c r="I621" s="344"/>
      <c r="J621" s="177"/>
      <c r="K621" s="344"/>
      <c r="L621" s="177"/>
      <c r="M621" s="344"/>
      <c r="N621" s="177"/>
      <c r="O621" s="337"/>
      <c r="P621" s="164"/>
      <c r="Q621" s="201"/>
      <c r="R621" s="201"/>
      <c r="S621" s="17"/>
      <c r="T621" s="17"/>
    </row>
    <row r="622">
      <c r="A622" s="337"/>
      <c r="B622" s="164"/>
      <c r="C622" s="337"/>
      <c r="D622" s="177"/>
      <c r="E622" s="337"/>
      <c r="F622" s="164"/>
      <c r="G622" s="337"/>
      <c r="H622" s="164"/>
      <c r="I622" s="344"/>
      <c r="J622" s="177"/>
      <c r="K622" s="344"/>
      <c r="L622" s="177"/>
      <c r="M622" s="344"/>
      <c r="N622" s="177"/>
      <c r="O622" s="337"/>
      <c r="P622" s="164"/>
      <c r="Q622" s="201"/>
      <c r="R622" s="201"/>
      <c r="S622" s="17"/>
      <c r="T622" s="17"/>
    </row>
    <row r="623">
      <c r="A623" s="337"/>
      <c r="B623" s="164"/>
      <c r="C623" s="337"/>
      <c r="D623" s="177"/>
      <c r="E623" s="337"/>
      <c r="F623" s="164"/>
      <c r="G623" s="337"/>
      <c r="H623" s="164"/>
      <c r="I623" s="344"/>
      <c r="J623" s="177"/>
      <c r="K623" s="344"/>
      <c r="L623" s="177"/>
      <c r="M623" s="344"/>
      <c r="N623" s="177"/>
      <c r="O623" s="337"/>
      <c r="P623" s="164"/>
      <c r="Q623" s="201"/>
      <c r="R623" s="201"/>
      <c r="S623" s="17"/>
      <c r="T623" s="17"/>
    </row>
    <row r="624">
      <c r="A624" s="337"/>
      <c r="B624" s="164"/>
      <c r="C624" s="337"/>
      <c r="D624" s="177"/>
      <c r="E624" s="337"/>
      <c r="F624" s="164"/>
      <c r="G624" s="337"/>
      <c r="H624" s="164"/>
      <c r="I624" s="344"/>
      <c r="J624" s="177"/>
      <c r="K624" s="344"/>
      <c r="L624" s="177"/>
      <c r="M624" s="344"/>
      <c r="N624" s="177"/>
      <c r="O624" s="337"/>
      <c r="P624" s="164"/>
      <c r="Q624" s="201"/>
      <c r="R624" s="201"/>
      <c r="S624" s="17"/>
      <c r="T624" s="17"/>
    </row>
    <row r="625">
      <c r="A625" s="337"/>
      <c r="B625" s="164"/>
      <c r="C625" s="337"/>
      <c r="D625" s="177"/>
      <c r="E625" s="337"/>
      <c r="F625" s="164"/>
      <c r="G625" s="337"/>
      <c r="H625" s="164"/>
      <c r="I625" s="344"/>
      <c r="J625" s="177"/>
      <c r="K625" s="344"/>
      <c r="L625" s="177"/>
      <c r="M625" s="344"/>
      <c r="N625" s="177"/>
      <c r="O625" s="337"/>
      <c r="P625" s="164"/>
      <c r="Q625" s="201"/>
      <c r="R625" s="201"/>
      <c r="S625" s="17"/>
      <c r="T625" s="17"/>
    </row>
    <row r="626">
      <c r="A626" s="337"/>
      <c r="B626" s="164"/>
      <c r="C626" s="337"/>
      <c r="D626" s="177"/>
      <c r="E626" s="337"/>
      <c r="F626" s="164"/>
      <c r="G626" s="337"/>
      <c r="H626" s="164"/>
      <c r="I626" s="344"/>
      <c r="J626" s="177"/>
      <c r="K626" s="344"/>
      <c r="L626" s="177"/>
      <c r="M626" s="344"/>
      <c r="N626" s="177"/>
      <c r="O626" s="337"/>
      <c r="P626" s="164"/>
      <c r="Q626" s="201"/>
      <c r="R626" s="201"/>
      <c r="S626" s="17"/>
      <c r="T626" s="17"/>
    </row>
    <row r="627">
      <c r="A627" s="337"/>
      <c r="B627" s="164"/>
      <c r="C627" s="337"/>
      <c r="D627" s="177"/>
      <c r="E627" s="337"/>
      <c r="F627" s="164"/>
      <c r="G627" s="337"/>
      <c r="H627" s="164"/>
      <c r="I627" s="344"/>
      <c r="J627" s="177"/>
      <c r="K627" s="344"/>
      <c r="L627" s="177"/>
      <c r="M627" s="344"/>
      <c r="N627" s="177"/>
      <c r="O627" s="337"/>
      <c r="P627" s="164"/>
      <c r="Q627" s="201"/>
      <c r="R627" s="201"/>
      <c r="S627" s="17"/>
      <c r="T627" s="17"/>
    </row>
    <row r="628">
      <c r="A628" s="337"/>
      <c r="B628" s="164"/>
      <c r="C628" s="337"/>
      <c r="D628" s="177"/>
      <c r="E628" s="337"/>
      <c r="F628" s="164"/>
      <c r="G628" s="337"/>
      <c r="H628" s="164"/>
      <c r="I628" s="344"/>
      <c r="J628" s="177"/>
      <c r="K628" s="344"/>
      <c r="L628" s="177"/>
      <c r="M628" s="344"/>
      <c r="N628" s="177"/>
      <c r="O628" s="337"/>
      <c r="P628" s="164"/>
      <c r="Q628" s="201"/>
      <c r="R628" s="201"/>
      <c r="S628" s="17"/>
      <c r="T628" s="17"/>
    </row>
    <row r="629">
      <c r="A629" s="337"/>
      <c r="B629" s="164"/>
      <c r="C629" s="337"/>
      <c r="D629" s="177"/>
      <c r="E629" s="337"/>
      <c r="F629" s="164"/>
      <c r="G629" s="337"/>
      <c r="H629" s="164"/>
      <c r="I629" s="344"/>
      <c r="J629" s="177"/>
      <c r="K629" s="344"/>
      <c r="L629" s="177"/>
      <c r="M629" s="344"/>
      <c r="N629" s="177"/>
      <c r="O629" s="337"/>
      <c r="P629" s="164"/>
      <c r="Q629" s="201"/>
      <c r="R629" s="201"/>
      <c r="S629" s="17"/>
      <c r="T629" s="17"/>
    </row>
    <row r="630">
      <c r="A630" s="337"/>
      <c r="B630" s="164"/>
      <c r="C630" s="337"/>
      <c r="D630" s="177"/>
      <c r="E630" s="337"/>
      <c r="F630" s="164"/>
      <c r="G630" s="337"/>
      <c r="H630" s="164"/>
      <c r="I630" s="344"/>
      <c r="J630" s="177"/>
      <c r="K630" s="344"/>
      <c r="L630" s="177"/>
      <c r="M630" s="344"/>
      <c r="N630" s="177"/>
      <c r="O630" s="337"/>
      <c r="P630" s="164"/>
      <c r="Q630" s="201"/>
      <c r="R630" s="201"/>
      <c r="S630" s="17"/>
      <c r="T630" s="17"/>
    </row>
    <row r="631">
      <c r="A631" s="337"/>
      <c r="B631" s="164"/>
      <c r="C631" s="337"/>
      <c r="D631" s="177"/>
      <c r="E631" s="337"/>
      <c r="F631" s="164"/>
      <c r="G631" s="337"/>
      <c r="H631" s="164"/>
      <c r="I631" s="344"/>
      <c r="J631" s="177"/>
      <c r="K631" s="344"/>
      <c r="L631" s="177"/>
      <c r="M631" s="344"/>
      <c r="N631" s="177"/>
      <c r="O631" s="337"/>
      <c r="P631" s="164"/>
      <c r="Q631" s="201"/>
      <c r="R631" s="201"/>
      <c r="S631" s="17"/>
      <c r="T631" s="17"/>
    </row>
    <row r="632">
      <c r="A632" s="337"/>
      <c r="B632" s="164"/>
      <c r="C632" s="337"/>
      <c r="D632" s="177"/>
      <c r="E632" s="337"/>
      <c r="F632" s="164"/>
      <c r="G632" s="337"/>
      <c r="H632" s="164"/>
      <c r="I632" s="344"/>
      <c r="J632" s="177"/>
      <c r="K632" s="344"/>
      <c r="L632" s="177"/>
      <c r="M632" s="344"/>
      <c r="N632" s="177"/>
      <c r="O632" s="337"/>
      <c r="P632" s="164"/>
      <c r="Q632" s="201"/>
      <c r="R632" s="201"/>
      <c r="S632" s="17"/>
      <c r="T632" s="17"/>
    </row>
    <row r="633">
      <c r="A633" s="337"/>
      <c r="B633" s="164"/>
      <c r="C633" s="337"/>
      <c r="D633" s="177"/>
      <c r="E633" s="337"/>
      <c r="F633" s="164"/>
      <c r="G633" s="337"/>
      <c r="H633" s="164"/>
      <c r="I633" s="344"/>
      <c r="J633" s="177"/>
      <c r="K633" s="344"/>
      <c r="L633" s="177"/>
      <c r="M633" s="344"/>
      <c r="N633" s="177"/>
      <c r="O633" s="337"/>
      <c r="P633" s="164"/>
      <c r="Q633" s="201"/>
      <c r="R633" s="201"/>
      <c r="S633" s="17"/>
      <c r="T633" s="17"/>
    </row>
    <row r="634">
      <c r="A634" s="337"/>
      <c r="B634" s="164"/>
      <c r="C634" s="337"/>
      <c r="D634" s="177"/>
      <c r="E634" s="337"/>
      <c r="F634" s="164"/>
      <c r="G634" s="337"/>
      <c r="H634" s="164"/>
      <c r="I634" s="344"/>
      <c r="J634" s="177"/>
      <c r="K634" s="344"/>
      <c r="L634" s="177"/>
      <c r="M634" s="344"/>
      <c r="N634" s="177"/>
      <c r="O634" s="337"/>
      <c r="P634" s="164"/>
      <c r="Q634" s="201"/>
      <c r="R634" s="201"/>
      <c r="S634" s="17"/>
      <c r="T634" s="17"/>
    </row>
    <row r="635">
      <c r="A635" s="337"/>
      <c r="B635" s="164"/>
      <c r="C635" s="337"/>
      <c r="D635" s="177"/>
      <c r="E635" s="337"/>
      <c r="F635" s="164"/>
      <c r="G635" s="337"/>
      <c r="H635" s="164"/>
      <c r="I635" s="344"/>
      <c r="J635" s="177"/>
      <c r="K635" s="344"/>
      <c r="L635" s="177"/>
      <c r="M635" s="344"/>
      <c r="N635" s="177"/>
      <c r="O635" s="337"/>
      <c r="P635" s="164"/>
      <c r="Q635" s="201"/>
      <c r="R635" s="201"/>
      <c r="S635" s="17"/>
      <c r="T635" s="17"/>
    </row>
    <row r="636">
      <c r="A636" s="337"/>
      <c r="B636" s="164"/>
      <c r="C636" s="337"/>
      <c r="D636" s="177"/>
      <c r="E636" s="337"/>
      <c r="F636" s="164"/>
      <c r="G636" s="337"/>
      <c r="H636" s="164"/>
      <c r="I636" s="344"/>
      <c r="J636" s="177"/>
      <c r="K636" s="344"/>
      <c r="L636" s="177"/>
      <c r="M636" s="344"/>
      <c r="N636" s="177"/>
      <c r="O636" s="337"/>
      <c r="P636" s="164"/>
      <c r="Q636" s="201"/>
      <c r="R636" s="201"/>
      <c r="S636" s="17"/>
      <c r="T636" s="17"/>
    </row>
    <row r="637">
      <c r="A637" s="337"/>
      <c r="B637" s="164"/>
      <c r="C637" s="337"/>
      <c r="D637" s="177"/>
      <c r="E637" s="337"/>
      <c r="F637" s="164"/>
      <c r="G637" s="337"/>
      <c r="H637" s="164"/>
      <c r="I637" s="344"/>
      <c r="J637" s="177"/>
      <c r="K637" s="344"/>
      <c r="L637" s="177"/>
      <c r="M637" s="344"/>
      <c r="N637" s="177"/>
      <c r="O637" s="337"/>
      <c r="P637" s="164"/>
      <c r="Q637" s="201"/>
      <c r="R637" s="201"/>
      <c r="S637" s="17"/>
      <c r="T637" s="17"/>
    </row>
    <row r="638">
      <c r="A638" s="337"/>
      <c r="B638" s="164"/>
      <c r="C638" s="337"/>
      <c r="D638" s="177"/>
      <c r="E638" s="337"/>
      <c r="F638" s="164"/>
      <c r="G638" s="337"/>
      <c r="H638" s="164"/>
      <c r="I638" s="344"/>
      <c r="J638" s="177"/>
      <c r="K638" s="344"/>
      <c r="L638" s="177"/>
      <c r="M638" s="344"/>
      <c r="N638" s="177"/>
      <c r="O638" s="337"/>
      <c r="P638" s="164"/>
      <c r="Q638" s="201"/>
      <c r="R638" s="201"/>
      <c r="S638" s="17"/>
      <c r="T638" s="17"/>
    </row>
    <row r="639">
      <c r="A639" s="337"/>
      <c r="B639" s="164"/>
      <c r="C639" s="337"/>
      <c r="D639" s="177"/>
      <c r="E639" s="337"/>
      <c r="F639" s="164"/>
      <c r="G639" s="337"/>
      <c r="H639" s="164"/>
      <c r="I639" s="344"/>
      <c r="J639" s="177"/>
      <c r="K639" s="344"/>
      <c r="L639" s="177"/>
      <c r="M639" s="344"/>
      <c r="N639" s="177"/>
      <c r="O639" s="337"/>
      <c r="P639" s="164"/>
      <c r="Q639" s="201"/>
      <c r="R639" s="201"/>
      <c r="S639" s="17"/>
      <c r="T639" s="17"/>
    </row>
    <row r="640">
      <c r="A640" s="337"/>
      <c r="B640" s="164"/>
      <c r="C640" s="337"/>
      <c r="D640" s="177"/>
      <c r="E640" s="337"/>
      <c r="F640" s="164"/>
      <c r="G640" s="337"/>
      <c r="H640" s="164"/>
      <c r="I640" s="344"/>
      <c r="J640" s="177"/>
      <c r="K640" s="344"/>
      <c r="L640" s="177"/>
      <c r="M640" s="344"/>
      <c r="N640" s="177"/>
      <c r="O640" s="337"/>
      <c r="P640" s="164"/>
      <c r="Q640" s="201"/>
      <c r="R640" s="201"/>
      <c r="S640" s="17"/>
      <c r="T640" s="17"/>
    </row>
    <row r="641">
      <c r="A641" s="337"/>
      <c r="B641" s="164"/>
      <c r="C641" s="337"/>
      <c r="D641" s="177"/>
      <c r="E641" s="337"/>
      <c r="F641" s="164"/>
      <c r="G641" s="337"/>
      <c r="H641" s="164"/>
      <c r="I641" s="344"/>
      <c r="J641" s="177"/>
      <c r="K641" s="344"/>
      <c r="L641" s="177"/>
      <c r="M641" s="344"/>
      <c r="N641" s="177"/>
      <c r="O641" s="337"/>
      <c r="P641" s="164"/>
      <c r="Q641" s="201"/>
      <c r="R641" s="201"/>
      <c r="S641" s="17"/>
      <c r="T641" s="17"/>
    </row>
    <row r="642">
      <c r="A642" s="337"/>
      <c r="B642" s="164"/>
      <c r="C642" s="337"/>
      <c r="D642" s="177"/>
      <c r="E642" s="337"/>
      <c r="F642" s="164"/>
      <c r="G642" s="337"/>
      <c r="H642" s="164"/>
      <c r="I642" s="344"/>
      <c r="J642" s="177"/>
      <c r="K642" s="344"/>
      <c r="L642" s="177"/>
      <c r="M642" s="344"/>
      <c r="N642" s="177"/>
      <c r="O642" s="337"/>
      <c r="P642" s="164"/>
      <c r="Q642" s="201"/>
      <c r="R642" s="201"/>
      <c r="S642" s="17"/>
      <c r="T642" s="17"/>
    </row>
    <row r="643">
      <c r="A643" s="337"/>
      <c r="B643" s="164"/>
      <c r="C643" s="337"/>
      <c r="D643" s="177"/>
      <c r="E643" s="337"/>
      <c r="F643" s="164"/>
      <c r="G643" s="337"/>
      <c r="H643" s="164"/>
      <c r="I643" s="344"/>
      <c r="J643" s="177"/>
      <c r="K643" s="344"/>
      <c r="L643" s="177"/>
      <c r="M643" s="344"/>
      <c r="N643" s="177"/>
      <c r="O643" s="337"/>
      <c r="P643" s="164"/>
      <c r="Q643" s="201"/>
      <c r="R643" s="201"/>
      <c r="S643" s="17"/>
      <c r="T643" s="17"/>
    </row>
    <row r="644">
      <c r="A644" s="337"/>
      <c r="B644" s="164"/>
      <c r="C644" s="337"/>
      <c r="D644" s="177"/>
      <c r="E644" s="337"/>
      <c r="F644" s="164"/>
      <c r="G644" s="337"/>
      <c r="H644" s="164"/>
      <c r="I644" s="344"/>
      <c r="J644" s="177"/>
      <c r="K644" s="344"/>
      <c r="L644" s="177"/>
      <c r="M644" s="344"/>
      <c r="N644" s="177"/>
      <c r="O644" s="337"/>
      <c r="P644" s="164"/>
      <c r="Q644" s="201"/>
      <c r="R644" s="201"/>
      <c r="S644" s="17"/>
      <c r="T644" s="17"/>
    </row>
    <row r="645">
      <c r="A645" s="337"/>
      <c r="B645" s="164"/>
      <c r="C645" s="337"/>
      <c r="D645" s="177"/>
      <c r="E645" s="337"/>
      <c r="F645" s="164"/>
      <c r="G645" s="337"/>
      <c r="H645" s="164"/>
      <c r="I645" s="344"/>
      <c r="J645" s="177"/>
      <c r="K645" s="344"/>
      <c r="L645" s="177"/>
      <c r="M645" s="344"/>
      <c r="N645" s="177"/>
      <c r="O645" s="337"/>
      <c r="P645" s="164"/>
      <c r="Q645" s="201"/>
      <c r="R645" s="201"/>
      <c r="S645" s="17"/>
      <c r="T645" s="17"/>
    </row>
    <row r="646">
      <c r="A646" s="337"/>
      <c r="B646" s="164"/>
      <c r="C646" s="337"/>
      <c r="D646" s="177"/>
      <c r="E646" s="337"/>
      <c r="F646" s="164"/>
      <c r="G646" s="337"/>
      <c r="H646" s="164"/>
      <c r="I646" s="344"/>
      <c r="J646" s="177"/>
      <c r="K646" s="344"/>
      <c r="L646" s="177"/>
      <c r="M646" s="344"/>
      <c r="N646" s="177"/>
      <c r="O646" s="337"/>
      <c r="P646" s="164"/>
      <c r="Q646" s="201"/>
      <c r="R646" s="201"/>
      <c r="S646" s="17"/>
      <c r="T646" s="17"/>
    </row>
    <row r="647">
      <c r="A647" s="337"/>
      <c r="B647" s="164"/>
      <c r="C647" s="337"/>
      <c r="D647" s="177"/>
      <c r="E647" s="337"/>
      <c r="F647" s="164"/>
      <c r="G647" s="337"/>
      <c r="H647" s="164"/>
      <c r="I647" s="344"/>
      <c r="J647" s="177"/>
      <c r="K647" s="344"/>
      <c r="L647" s="177"/>
      <c r="M647" s="344"/>
      <c r="N647" s="177"/>
      <c r="O647" s="337"/>
      <c r="P647" s="164"/>
      <c r="Q647" s="201"/>
      <c r="R647" s="201"/>
      <c r="S647" s="17"/>
      <c r="T647" s="17"/>
    </row>
    <row r="648">
      <c r="A648" s="337"/>
      <c r="B648" s="164"/>
      <c r="C648" s="337"/>
      <c r="D648" s="177"/>
      <c r="E648" s="337"/>
      <c r="F648" s="164"/>
      <c r="G648" s="337"/>
      <c r="H648" s="164"/>
      <c r="I648" s="344"/>
      <c r="J648" s="177"/>
      <c r="K648" s="344"/>
      <c r="L648" s="177"/>
      <c r="M648" s="344"/>
      <c r="N648" s="177"/>
      <c r="O648" s="337"/>
      <c r="P648" s="164"/>
      <c r="Q648" s="201"/>
      <c r="R648" s="201"/>
      <c r="S648" s="17"/>
      <c r="T648" s="17"/>
    </row>
    <row r="649">
      <c r="A649" s="337"/>
      <c r="B649" s="164"/>
      <c r="C649" s="337"/>
      <c r="D649" s="177"/>
      <c r="E649" s="337"/>
      <c r="F649" s="164"/>
      <c r="G649" s="337"/>
      <c r="H649" s="164"/>
      <c r="I649" s="344"/>
      <c r="J649" s="177"/>
      <c r="K649" s="344"/>
      <c r="L649" s="177"/>
      <c r="M649" s="344"/>
      <c r="N649" s="177"/>
      <c r="O649" s="337"/>
      <c r="P649" s="164"/>
      <c r="Q649" s="201"/>
      <c r="R649" s="201"/>
      <c r="S649" s="17"/>
      <c r="T649" s="17"/>
    </row>
    <row r="650">
      <c r="A650" s="337"/>
      <c r="B650" s="164"/>
      <c r="C650" s="337"/>
      <c r="D650" s="177"/>
      <c r="E650" s="337"/>
      <c r="F650" s="164"/>
      <c r="G650" s="337"/>
      <c r="H650" s="164"/>
      <c r="I650" s="344"/>
      <c r="J650" s="177"/>
      <c r="K650" s="344"/>
      <c r="L650" s="177"/>
      <c r="M650" s="344"/>
      <c r="N650" s="177"/>
      <c r="O650" s="337"/>
      <c r="P650" s="164"/>
      <c r="Q650" s="201"/>
      <c r="R650" s="201"/>
      <c r="S650" s="17"/>
      <c r="T650" s="17"/>
    </row>
    <row r="651">
      <c r="A651" s="337"/>
      <c r="B651" s="164"/>
      <c r="C651" s="337"/>
      <c r="D651" s="177"/>
      <c r="E651" s="337"/>
      <c r="F651" s="164"/>
      <c r="G651" s="337"/>
      <c r="H651" s="164"/>
      <c r="I651" s="344"/>
      <c r="J651" s="177"/>
      <c r="K651" s="344"/>
      <c r="L651" s="177"/>
      <c r="M651" s="344"/>
      <c r="N651" s="177"/>
      <c r="O651" s="337"/>
      <c r="P651" s="164"/>
      <c r="Q651" s="201"/>
      <c r="R651" s="201"/>
      <c r="S651" s="17"/>
      <c r="T651" s="17"/>
    </row>
    <row r="652">
      <c r="A652" s="337"/>
      <c r="B652" s="164"/>
      <c r="C652" s="337"/>
      <c r="D652" s="177"/>
      <c r="E652" s="337"/>
      <c r="F652" s="164"/>
      <c r="G652" s="337"/>
      <c r="H652" s="164"/>
      <c r="I652" s="344"/>
      <c r="J652" s="177"/>
      <c r="K652" s="344"/>
      <c r="L652" s="177"/>
      <c r="M652" s="344"/>
      <c r="N652" s="177"/>
      <c r="O652" s="337"/>
      <c r="P652" s="164"/>
      <c r="Q652" s="201"/>
      <c r="R652" s="201"/>
      <c r="S652" s="17"/>
      <c r="T652" s="17"/>
    </row>
    <row r="653">
      <c r="A653" s="337"/>
      <c r="B653" s="164"/>
      <c r="C653" s="337"/>
      <c r="D653" s="177"/>
      <c r="E653" s="337"/>
      <c r="F653" s="164"/>
      <c r="G653" s="337"/>
      <c r="H653" s="164"/>
      <c r="I653" s="344"/>
      <c r="J653" s="177"/>
      <c r="K653" s="344"/>
      <c r="L653" s="177"/>
      <c r="M653" s="344"/>
      <c r="N653" s="177"/>
      <c r="O653" s="337"/>
      <c r="P653" s="164"/>
      <c r="Q653" s="201"/>
      <c r="R653" s="201"/>
      <c r="S653" s="17"/>
      <c r="T653" s="17"/>
    </row>
    <row r="654">
      <c r="A654" s="337"/>
      <c r="B654" s="164"/>
      <c r="C654" s="337"/>
      <c r="D654" s="177"/>
      <c r="E654" s="337"/>
      <c r="F654" s="164"/>
      <c r="G654" s="337"/>
      <c r="H654" s="164"/>
      <c r="I654" s="344"/>
      <c r="J654" s="177"/>
      <c r="K654" s="344"/>
      <c r="L654" s="177"/>
      <c r="M654" s="344"/>
      <c r="N654" s="177"/>
      <c r="O654" s="337"/>
      <c r="P654" s="164"/>
      <c r="Q654" s="201"/>
      <c r="R654" s="201"/>
      <c r="S654" s="17"/>
      <c r="T654" s="17"/>
    </row>
    <row r="655">
      <c r="A655" s="337"/>
      <c r="B655" s="164"/>
      <c r="C655" s="337"/>
      <c r="D655" s="177"/>
      <c r="E655" s="337"/>
      <c r="F655" s="164"/>
      <c r="G655" s="337"/>
      <c r="H655" s="164"/>
      <c r="I655" s="344"/>
      <c r="J655" s="177"/>
      <c r="K655" s="344"/>
      <c r="L655" s="177"/>
      <c r="M655" s="344"/>
      <c r="N655" s="177"/>
      <c r="O655" s="337"/>
      <c r="P655" s="164"/>
      <c r="Q655" s="201"/>
      <c r="R655" s="201"/>
      <c r="S655" s="17"/>
      <c r="T655" s="17"/>
    </row>
    <row r="656">
      <c r="A656" s="337"/>
      <c r="B656" s="164"/>
      <c r="C656" s="337"/>
      <c r="D656" s="177"/>
      <c r="E656" s="337"/>
      <c r="F656" s="164"/>
      <c r="G656" s="337"/>
      <c r="H656" s="164"/>
      <c r="I656" s="344"/>
      <c r="J656" s="177"/>
      <c r="K656" s="344"/>
      <c r="L656" s="177"/>
      <c r="M656" s="344"/>
      <c r="N656" s="177"/>
      <c r="O656" s="337"/>
      <c r="P656" s="164"/>
      <c r="Q656" s="201"/>
      <c r="R656" s="201"/>
      <c r="S656" s="17"/>
      <c r="T656" s="17"/>
    </row>
    <row r="657">
      <c r="A657" s="337"/>
      <c r="B657" s="164"/>
      <c r="C657" s="337"/>
      <c r="D657" s="177"/>
      <c r="E657" s="337"/>
      <c r="F657" s="164"/>
      <c r="G657" s="337"/>
      <c r="H657" s="164"/>
      <c r="I657" s="344"/>
      <c r="J657" s="177"/>
      <c r="K657" s="344"/>
      <c r="L657" s="177"/>
      <c r="M657" s="344"/>
      <c r="N657" s="177"/>
      <c r="O657" s="337"/>
      <c r="P657" s="164"/>
      <c r="Q657" s="201"/>
      <c r="R657" s="201"/>
      <c r="S657" s="17"/>
      <c r="T657" s="17"/>
    </row>
    <row r="658">
      <c r="A658" s="337"/>
      <c r="B658" s="164"/>
      <c r="C658" s="337"/>
      <c r="D658" s="177"/>
      <c r="E658" s="337"/>
      <c r="F658" s="164"/>
      <c r="G658" s="337"/>
      <c r="H658" s="164"/>
      <c r="I658" s="344"/>
      <c r="J658" s="177"/>
      <c r="K658" s="344"/>
      <c r="L658" s="177"/>
      <c r="M658" s="344"/>
      <c r="N658" s="177"/>
      <c r="O658" s="337"/>
      <c r="P658" s="164"/>
      <c r="Q658" s="201"/>
      <c r="R658" s="201"/>
      <c r="S658" s="17"/>
      <c r="T658" s="17"/>
    </row>
    <row r="659">
      <c r="A659" s="337"/>
      <c r="B659" s="164"/>
      <c r="C659" s="337"/>
      <c r="D659" s="177"/>
      <c r="E659" s="337"/>
      <c r="F659" s="164"/>
      <c r="G659" s="337"/>
      <c r="H659" s="164"/>
      <c r="I659" s="344"/>
      <c r="J659" s="177"/>
      <c r="K659" s="344"/>
      <c r="L659" s="177"/>
      <c r="M659" s="344"/>
      <c r="N659" s="177"/>
      <c r="O659" s="337"/>
      <c r="P659" s="164"/>
      <c r="Q659" s="201"/>
      <c r="R659" s="201"/>
      <c r="S659" s="17"/>
      <c r="T659" s="17"/>
    </row>
    <row r="660">
      <c r="A660" s="337"/>
      <c r="B660" s="164"/>
      <c r="C660" s="337"/>
      <c r="D660" s="177"/>
      <c r="E660" s="337"/>
      <c r="F660" s="164"/>
      <c r="G660" s="337"/>
      <c r="H660" s="164"/>
      <c r="I660" s="344"/>
      <c r="J660" s="177"/>
      <c r="K660" s="344"/>
      <c r="L660" s="177"/>
      <c r="M660" s="344"/>
      <c r="N660" s="177"/>
      <c r="O660" s="337"/>
      <c r="P660" s="164"/>
      <c r="Q660" s="201"/>
      <c r="R660" s="201"/>
      <c r="S660" s="17"/>
      <c r="T660" s="17"/>
    </row>
    <row r="661">
      <c r="A661" s="337"/>
      <c r="B661" s="164"/>
      <c r="C661" s="337"/>
      <c r="D661" s="177"/>
      <c r="E661" s="337"/>
      <c r="F661" s="164"/>
      <c r="G661" s="337"/>
      <c r="H661" s="164"/>
      <c r="I661" s="344"/>
      <c r="J661" s="177"/>
      <c r="K661" s="344"/>
      <c r="L661" s="177"/>
      <c r="M661" s="344"/>
      <c r="N661" s="177"/>
      <c r="O661" s="337"/>
      <c r="P661" s="164"/>
      <c r="Q661" s="201"/>
      <c r="R661" s="201"/>
      <c r="S661" s="17"/>
      <c r="T661" s="17"/>
    </row>
    <row r="662">
      <c r="A662" s="337"/>
      <c r="B662" s="164"/>
      <c r="C662" s="337"/>
      <c r="D662" s="177"/>
      <c r="E662" s="337"/>
      <c r="F662" s="164"/>
      <c r="G662" s="337"/>
      <c r="H662" s="164"/>
      <c r="I662" s="344"/>
      <c r="J662" s="177"/>
      <c r="K662" s="344"/>
      <c r="L662" s="177"/>
      <c r="M662" s="344"/>
      <c r="N662" s="177"/>
      <c r="O662" s="337"/>
      <c r="P662" s="164"/>
      <c r="Q662" s="201"/>
      <c r="R662" s="201"/>
      <c r="S662" s="17"/>
      <c r="T662" s="17"/>
    </row>
    <row r="663">
      <c r="A663" s="337"/>
      <c r="B663" s="164"/>
      <c r="C663" s="337"/>
      <c r="D663" s="177"/>
      <c r="E663" s="337"/>
      <c r="F663" s="164"/>
      <c r="G663" s="337"/>
      <c r="H663" s="164"/>
      <c r="I663" s="344"/>
      <c r="J663" s="177"/>
      <c r="K663" s="344"/>
      <c r="L663" s="177"/>
      <c r="M663" s="344"/>
      <c r="N663" s="177"/>
      <c r="O663" s="337"/>
      <c r="P663" s="164"/>
      <c r="Q663" s="201"/>
      <c r="R663" s="201"/>
      <c r="S663" s="17"/>
      <c r="T663" s="17"/>
    </row>
    <row r="664">
      <c r="A664" s="337"/>
      <c r="B664" s="164"/>
      <c r="C664" s="337"/>
      <c r="D664" s="177"/>
      <c r="E664" s="337"/>
      <c r="F664" s="164"/>
      <c r="G664" s="337"/>
      <c r="H664" s="164"/>
      <c r="I664" s="344"/>
      <c r="J664" s="177"/>
      <c r="K664" s="344"/>
      <c r="L664" s="177"/>
      <c r="M664" s="344"/>
      <c r="N664" s="177"/>
      <c r="O664" s="337"/>
      <c r="P664" s="164"/>
      <c r="Q664" s="201"/>
      <c r="R664" s="201"/>
      <c r="S664" s="17"/>
      <c r="T664" s="17"/>
    </row>
    <row r="665">
      <c r="A665" s="337"/>
      <c r="B665" s="164"/>
      <c r="C665" s="337"/>
      <c r="D665" s="177"/>
      <c r="E665" s="337"/>
      <c r="F665" s="164"/>
      <c r="G665" s="337"/>
      <c r="H665" s="164"/>
      <c r="I665" s="344"/>
      <c r="J665" s="177"/>
      <c r="K665" s="344"/>
      <c r="L665" s="177"/>
      <c r="M665" s="344"/>
      <c r="N665" s="177"/>
      <c r="O665" s="337"/>
      <c r="P665" s="164"/>
      <c r="Q665" s="201"/>
      <c r="R665" s="201"/>
      <c r="S665" s="17"/>
      <c r="T665" s="17"/>
    </row>
    <row r="666">
      <c r="A666" s="337"/>
      <c r="B666" s="164"/>
      <c r="C666" s="337"/>
      <c r="D666" s="177"/>
      <c r="E666" s="337"/>
      <c r="F666" s="164"/>
      <c r="G666" s="337"/>
      <c r="H666" s="164"/>
      <c r="I666" s="344"/>
      <c r="J666" s="177"/>
      <c r="K666" s="344"/>
      <c r="L666" s="177"/>
      <c r="M666" s="344"/>
      <c r="N666" s="177"/>
      <c r="O666" s="337"/>
      <c r="P666" s="164"/>
      <c r="Q666" s="201"/>
      <c r="R666" s="201"/>
      <c r="S666" s="17"/>
      <c r="T666" s="17"/>
    </row>
    <row r="667">
      <c r="A667" s="337"/>
      <c r="B667" s="164"/>
      <c r="C667" s="337"/>
      <c r="D667" s="177"/>
      <c r="E667" s="337"/>
      <c r="F667" s="164"/>
      <c r="G667" s="337"/>
      <c r="H667" s="164"/>
      <c r="I667" s="344"/>
      <c r="J667" s="177"/>
      <c r="K667" s="344"/>
      <c r="L667" s="177"/>
      <c r="M667" s="344"/>
      <c r="N667" s="177"/>
      <c r="O667" s="337"/>
      <c r="P667" s="164"/>
      <c r="Q667" s="201"/>
      <c r="R667" s="201"/>
      <c r="S667" s="17"/>
      <c r="T667" s="17"/>
    </row>
    <row r="668">
      <c r="A668" s="337"/>
      <c r="B668" s="164"/>
      <c r="C668" s="337"/>
      <c r="D668" s="177"/>
      <c r="E668" s="337"/>
      <c r="F668" s="164"/>
      <c r="G668" s="337"/>
      <c r="H668" s="164"/>
      <c r="I668" s="344"/>
      <c r="J668" s="177"/>
      <c r="K668" s="344"/>
      <c r="L668" s="177"/>
      <c r="M668" s="344"/>
      <c r="N668" s="177"/>
      <c r="O668" s="337"/>
      <c r="P668" s="164"/>
      <c r="Q668" s="201"/>
      <c r="R668" s="201"/>
      <c r="S668" s="17"/>
      <c r="T668" s="17"/>
    </row>
    <row r="669">
      <c r="A669" s="337"/>
      <c r="B669" s="164"/>
      <c r="C669" s="337"/>
      <c r="D669" s="177"/>
      <c r="E669" s="337"/>
      <c r="F669" s="164"/>
      <c r="G669" s="337"/>
      <c r="H669" s="164"/>
      <c r="I669" s="344"/>
      <c r="J669" s="177"/>
      <c r="K669" s="344"/>
      <c r="L669" s="177"/>
      <c r="M669" s="344"/>
      <c r="N669" s="177"/>
      <c r="O669" s="337"/>
      <c r="P669" s="164"/>
      <c r="Q669" s="201"/>
      <c r="R669" s="201"/>
      <c r="S669" s="17"/>
      <c r="T669" s="17"/>
    </row>
    <row r="670">
      <c r="A670" s="337"/>
      <c r="B670" s="164"/>
      <c r="C670" s="337"/>
      <c r="D670" s="177"/>
      <c r="E670" s="337"/>
      <c r="F670" s="164"/>
      <c r="G670" s="337"/>
      <c r="H670" s="164"/>
      <c r="I670" s="344"/>
      <c r="J670" s="177"/>
      <c r="K670" s="344"/>
      <c r="L670" s="177"/>
      <c r="M670" s="344"/>
      <c r="N670" s="177"/>
      <c r="O670" s="337"/>
      <c r="P670" s="164"/>
      <c r="Q670" s="201"/>
      <c r="R670" s="201"/>
      <c r="S670" s="17"/>
      <c r="T670" s="17"/>
    </row>
    <row r="671">
      <c r="A671" s="337"/>
      <c r="B671" s="164"/>
      <c r="C671" s="337"/>
      <c r="D671" s="177"/>
      <c r="E671" s="337"/>
      <c r="F671" s="164"/>
      <c r="G671" s="337"/>
      <c r="H671" s="164"/>
      <c r="I671" s="344"/>
      <c r="J671" s="177"/>
      <c r="K671" s="344"/>
      <c r="L671" s="177"/>
      <c r="M671" s="344"/>
      <c r="N671" s="177"/>
      <c r="O671" s="337"/>
      <c r="P671" s="164"/>
      <c r="Q671" s="201"/>
      <c r="R671" s="201"/>
      <c r="S671" s="17"/>
      <c r="T671" s="17"/>
    </row>
    <row r="672">
      <c r="A672" s="337"/>
      <c r="B672" s="164"/>
      <c r="C672" s="337"/>
      <c r="D672" s="177"/>
      <c r="E672" s="337"/>
      <c r="F672" s="164"/>
      <c r="G672" s="337"/>
      <c r="H672" s="164"/>
      <c r="I672" s="344"/>
      <c r="J672" s="177"/>
      <c r="K672" s="344"/>
      <c r="L672" s="177"/>
      <c r="M672" s="344"/>
      <c r="N672" s="177"/>
      <c r="O672" s="337"/>
      <c r="P672" s="164"/>
      <c r="Q672" s="201"/>
      <c r="R672" s="201"/>
      <c r="S672" s="17"/>
      <c r="T672" s="17"/>
    </row>
    <row r="673">
      <c r="A673" s="337"/>
      <c r="B673" s="164"/>
      <c r="C673" s="337"/>
      <c r="D673" s="177"/>
      <c r="E673" s="337"/>
      <c r="F673" s="164"/>
      <c r="G673" s="337"/>
      <c r="H673" s="164"/>
      <c r="I673" s="344"/>
      <c r="J673" s="177"/>
      <c r="K673" s="344"/>
      <c r="L673" s="177"/>
      <c r="M673" s="344"/>
      <c r="N673" s="177"/>
      <c r="O673" s="337"/>
      <c r="P673" s="164"/>
      <c r="Q673" s="201"/>
      <c r="R673" s="201"/>
      <c r="S673" s="17"/>
      <c r="T673" s="17"/>
    </row>
    <row r="674">
      <c r="A674" s="337"/>
      <c r="B674" s="164"/>
      <c r="C674" s="337"/>
      <c r="D674" s="177"/>
      <c r="E674" s="337"/>
      <c r="F674" s="164"/>
      <c r="G674" s="337"/>
      <c r="H674" s="164"/>
      <c r="I674" s="344"/>
      <c r="J674" s="177"/>
      <c r="K674" s="344"/>
      <c r="L674" s="177"/>
      <c r="M674" s="344"/>
      <c r="N674" s="177"/>
      <c r="O674" s="337"/>
      <c r="P674" s="164"/>
      <c r="Q674" s="201"/>
      <c r="R674" s="201"/>
      <c r="S674" s="17"/>
      <c r="T674" s="17"/>
    </row>
    <row r="675">
      <c r="A675" s="337"/>
      <c r="B675" s="164"/>
      <c r="C675" s="337"/>
      <c r="D675" s="177"/>
      <c r="E675" s="337"/>
      <c r="F675" s="164"/>
      <c r="G675" s="337"/>
      <c r="H675" s="164"/>
      <c r="I675" s="344"/>
      <c r="J675" s="177"/>
      <c r="K675" s="344"/>
      <c r="L675" s="177"/>
      <c r="M675" s="344"/>
      <c r="N675" s="177"/>
      <c r="O675" s="337"/>
      <c r="P675" s="164"/>
      <c r="Q675" s="201"/>
      <c r="R675" s="201"/>
      <c r="S675" s="17"/>
      <c r="T675" s="17"/>
    </row>
    <row r="676">
      <c r="A676" s="337"/>
      <c r="B676" s="164"/>
      <c r="C676" s="337"/>
      <c r="D676" s="177"/>
      <c r="E676" s="337"/>
      <c r="F676" s="164"/>
      <c r="G676" s="337"/>
      <c r="H676" s="164"/>
      <c r="I676" s="344"/>
      <c r="J676" s="177"/>
      <c r="K676" s="344"/>
      <c r="L676" s="177"/>
      <c r="M676" s="344"/>
      <c r="N676" s="177"/>
      <c r="O676" s="337"/>
      <c r="P676" s="164"/>
      <c r="Q676" s="201"/>
      <c r="R676" s="201"/>
      <c r="S676" s="17"/>
      <c r="T676" s="17"/>
    </row>
    <row r="677">
      <c r="A677" s="337"/>
      <c r="B677" s="164"/>
      <c r="C677" s="337"/>
      <c r="D677" s="177"/>
      <c r="E677" s="337"/>
      <c r="F677" s="164"/>
      <c r="G677" s="337"/>
      <c r="H677" s="164"/>
      <c r="I677" s="344"/>
      <c r="J677" s="177"/>
      <c r="K677" s="344"/>
      <c r="L677" s="177"/>
      <c r="M677" s="344"/>
      <c r="N677" s="177"/>
      <c r="O677" s="337"/>
      <c r="P677" s="164"/>
      <c r="Q677" s="201"/>
      <c r="R677" s="201"/>
      <c r="S677" s="17"/>
      <c r="T677" s="17"/>
    </row>
    <row r="678">
      <c r="A678" s="337"/>
      <c r="B678" s="164"/>
      <c r="C678" s="337"/>
      <c r="D678" s="177"/>
      <c r="E678" s="337"/>
      <c r="F678" s="164"/>
      <c r="G678" s="337"/>
      <c r="H678" s="164"/>
      <c r="I678" s="344"/>
      <c r="J678" s="177"/>
      <c r="K678" s="344"/>
      <c r="L678" s="177"/>
      <c r="M678" s="344"/>
      <c r="N678" s="177"/>
      <c r="O678" s="337"/>
      <c r="P678" s="164"/>
      <c r="Q678" s="201"/>
      <c r="R678" s="201"/>
      <c r="S678" s="17"/>
      <c r="T678" s="17"/>
    </row>
    <row r="679">
      <c r="A679" s="337"/>
      <c r="B679" s="164"/>
      <c r="C679" s="337"/>
      <c r="D679" s="177"/>
      <c r="E679" s="337"/>
      <c r="F679" s="164"/>
      <c r="G679" s="337"/>
      <c r="H679" s="164"/>
      <c r="I679" s="344"/>
      <c r="J679" s="177"/>
      <c r="K679" s="344"/>
      <c r="L679" s="177"/>
      <c r="M679" s="344"/>
      <c r="N679" s="177"/>
      <c r="O679" s="337"/>
      <c r="P679" s="164"/>
      <c r="Q679" s="201"/>
      <c r="R679" s="201"/>
      <c r="S679" s="17"/>
      <c r="T679" s="17"/>
    </row>
    <row r="680">
      <c r="A680" s="337"/>
      <c r="B680" s="164"/>
      <c r="C680" s="337"/>
      <c r="D680" s="177"/>
      <c r="E680" s="337"/>
      <c r="F680" s="164"/>
      <c r="G680" s="337"/>
      <c r="H680" s="164"/>
      <c r="I680" s="344"/>
      <c r="J680" s="177"/>
      <c r="K680" s="344"/>
      <c r="L680" s="177"/>
      <c r="M680" s="344"/>
      <c r="N680" s="177"/>
      <c r="O680" s="337"/>
      <c r="P680" s="164"/>
      <c r="Q680" s="201"/>
      <c r="R680" s="201"/>
      <c r="S680" s="17"/>
      <c r="T680" s="17"/>
    </row>
    <row r="681">
      <c r="A681" s="337"/>
      <c r="B681" s="164"/>
      <c r="C681" s="337"/>
      <c r="D681" s="177"/>
      <c r="E681" s="337"/>
      <c r="F681" s="164"/>
      <c r="G681" s="337"/>
      <c r="H681" s="164"/>
      <c r="I681" s="344"/>
      <c r="J681" s="177"/>
      <c r="K681" s="344"/>
      <c r="L681" s="177"/>
      <c r="M681" s="344"/>
      <c r="N681" s="177"/>
      <c r="O681" s="337"/>
      <c r="P681" s="164"/>
      <c r="Q681" s="201"/>
      <c r="R681" s="201"/>
      <c r="S681" s="17"/>
      <c r="T681" s="17"/>
    </row>
    <row r="682">
      <c r="A682" s="337"/>
      <c r="B682" s="164"/>
      <c r="C682" s="337"/>
      <c r="D682" s="177"/>
      <c r="E682" s="337"/>
      <c r="F682" s="164"/>
      <c r="G682" s="337"/>
      <c r="H682" s="164"/>
      <c r="I682" s="344"/>
      <c r="J682" s="177"/>
      <c r="K682" s="344"/>
      <c r="L682" s="177"/>
      <c r="M682" s="344"/>
      <c r="N682" s="177"/>
      <c r="O682" s="337"/>
      <c r="P682" s="164"/>
      <c r="Q682" s="201"/>
      <c r="R682" s="201"/>
      <c r="S682" s="17"/>
      <c r="T682" s="17"/>
    </row>
    <row r="683">
      <c r="A683" s="337"/>
      <c r="B683" s="164"/>
      <c r="C683" s="337"/>
      <c r="D683" s="177"/>
      <c r="E683" s="337"/>
      <c r="F683" s="164"/>
      <c r="G683" s="337"/>
      <c r="H683" s="164"/>
      <c r="I683" s="344"/>
      <c r="J683" s="177"/>
      <c r="K683" s="344"/>
      <c r="L683" s="177"/>
      <c r="M683" s="344"/>
      <c r="N683" s="177"/>
      <c r="O683" s="337"/>
      <c r="P683" s="164"/>
      <c r="Q683" s="201"/>
      <c r="R683" s="201"/>
      <c r="S683" s="17"/>
      <c r="T683" s="17"/>
    </row>
    <row r="684">
      <c r="A684" s="337"/>
      <c r="B684" s="164"/>
      <c r="C684" s="337"/>
      <c r="D684" s="177"/>
      <c r="E684" s="337"/>
      <c r="F684" s="164"/>
      <c r="G684" s="337"/>
      <c r="H684" s="164"/>
      <c r="I684" s="344"/>
      <c r="J684" s="177"/>
      <c r="K684" s="344"/>
      <c r="L684" s="177"/>
      <c r="M684" s="344"/>
      <c r="N684" s="177"/>
      <c r="O684" s="337"/>
      <c r="P684" s="164"/>
      <c r="Q684" s="201"/>
      <c r="R684" s="201"/>
      <c r="S684" s="17"/>
      <c r="T684" s="17"/>
    </row>
    <row r="685">
      <c r="A685" s="337"/>
      <c r="B685" s="164"/>
      <c r="C685" s="337"/>
      <c r="D685" s="177"/>
      <c r="E685" s="337"/>
      <c r="F685" s="164"/>
      <c r="G685" s="337"/>
      <c r="H685" s="164"/>
      <c r="I685" s="344"/>
      <c r="J685" s="177"/>
      <c r="K685" s="344"/>
      <c r="L685" s="177"/>
      <c r="M685" s="344"/>
      <c r="N685" s="177"/>
      <c r="O685" s="337"/>
      <c r="P685" s="164"/>
      <c r="Q685" s="201"/>
      <c r="R685" s="201"/>
      <c r="S685" s="17"/>
      <c r="T685" s="17"/>
    </row>
    <row r="686">
      <c r="A686" s="337"/>
      <c r="B686" s="164"/>
      <c r="C686" s="337"/>
      <c r="D686" s="177"/>
      <c r="E686" s="337"/>
      <c r="F686" s="164"/>
      <c r="G686" s="337"/>
      <c r="H686" s="164"/>
      <c r="I686" s="344"/>
      <c r="J686" s="177"/>
      <c r="K686" s="344"/>
      <c r="L686" s="177"/>
      <c r="M686" s="344"/>
      <c r="N686" s="177"/>
      <c r="O686" s="337"/>
      <c r="P686" s="164"/>
      <c r="Q686" s="201"/>
      <c r="R686" s="201"/>
      <c r="S686" s="17"/>
      <c r="T686" s="17"/>
    </row>
    <row r="687">
      <c r="A687" s="337"/>
      <c r="B687" s="164"/>
      <c r="C687" s="337"/>
      <c r="D687" s="177"/>
      <c r="E687" s="337"/>
      <c r="F687" s="164"/>
      <c r="G687" s="337"/>
      <c r="H687" s="164"/>
      <c r="I687" s="344"/>
      <c r="J687" s="177"/>
      <c r="K687" s="344"/>
      <c r="L687" s="177"/>
      <c r="M687" s="344"/>
      <c r="N687" s="177"/>
      <c r="O687" s="337"/>
      <c r="P687" s="164"/>
      <c r="Q687" s="201"/>
      <c r="R687" s="201"/>
      <c r="S687" s="17"/>
      <c r="T687" s="17"/>
    </row>
    <row r="688">
      <c r="A688" s="337"/>
      <c r="B688" s="164"/>
      <c r="C688" s="337"/>
      <c r="D688" s="177"/>
      <c r="E688" s="337"/>
      <c r="F688" s="164"/>
      <c r="G688" s="337"/>
      <c r="H688" s="164"/>
      <c r="I688" s="344"/>
      <c r="J688" s="177"/>
      <c r="K688" s="344"/>
      <c r="L688" s="177"/>
      <c r="M688" s="344"/>
      <c r="N688" s="177"/>
      <c r="O688" s="337"/>
      <c r="P688" s="164"/>
      <c r="Q688" s="201"/>
      <c r="R688" s="201"/>
      <c r="S688" s="17"/>
      <c r="T688" s="17"/>
    </row>
    <row r="689">
      <c r="A689" s="337"/>
      <c r="B689" s="164"/>
      <c r="C689" s="337"/>
      <c r="D689" s="177"/>
      <c r="E689" s="337"/>
      <c r="F689" s="164"/>
      <c r="G689" s="337"/>
      <c r="H689" s="164"/>
      <c r="I689" s="344"/>
      <c r="J689" s="177"/>
      <c r="K689" s="344"/>
      <c r="L689" s="177"/>
      <c r="M689" s="344"/>
      <c r="N689" s="177"/>
      <c r="O689" s="337"/>
      <c r="P689" s="164"/>
      <c r="Q689" s="201"/>
      <c r="R689" s="201"/>
      <c r="S689" s="17"/>
      <c r="T689" s="17"/>
    </row>
    <row r="690">
      <c r="A690" s="337"/>
      <c r="B690" s="164"/>
      <c r="C690" s="337"/>
      <c r="D690" s="177"/>
      <c r="E690" s="337"/>
      <c r="F690" s="164"/>
      <c r="G690" s="337"/>
      <c r="H690" s="164"/>
      <c r="I690" s="344"/>
      <c r="J690" s="177"/>
      <c r="K690" s="344"/>
      <c r="L690" s="177"/>
      <c r="M690" s="344"/>
      <c r="N690" s="177"/>
      <c r="O690" s="337"/>
      <c r="P690" s="164"/>
      <c r="Q690" s="201"/>
      <c r="R690" s="201"/>
      <c r="S690" s="17"/>
      <c r="T690" s="17"/>
    </row>
    <row r="691">
      <c r="A691" s="337"/>
      <c r="B691" s="164"/>
      <c r="C691" s="337"/>
      <c r="D691" s="177"/>
      <c r="E691" s="337"/>
      <c r="F691" s="164"/>
      <c r="G691" s="337"/>
      <c r="H691" s="164"/>
      <c r="I691" s="344"/>
      <c r="J691" s="177"/>
      <c r="K691" s="344"/>
      <c r="L691" s="177"/>
      <c r="M691" s="344"/>
      <c r="N691" s="177"/>
      <c r="O691" s="337"/>
      <c r="P691" s="164"/>
      <c r="Q691" s="201"/>
      <c r="R691" s="201"/>
      <c r="S691" s="17"/>
      <c r="T691" s="17"/>
    </row>
    <row r="692">
      <c r="A692" s="337"/>
      <c r="B692" s="164"/>
      <c r="C692" s="337"/>
      <c r="D692" s="177"/>
      <c r="E692" s="337"/>
      <c r="F692" s="164"/>
      <c r="G692" s="337"/>
      <c r="H692" s="164"/>
      <c r="I692" s="344"/>
      <c r="J692" s="177"/>
      <c r="K692" s="344"/>
      <c r="L692" s="177"/>
      <c r="M692" s="344"/>
      <c r="N692" s="177"/>
      <c r="O692" s="337"/>
      <c r="P692" s="164"/>
      <c r="Q692" s="201"/>
      <c r="R692" s="201"/>
      <c r="S692" s="17"/>
      <c r="T692" s="17"/>
    </row>
    <row r="693">
      <c r="A693" s="337"/>
      <c r="B693" s="164"/>
      <c r="C693" s="337"/>
      <c r="D693" s="177"/>
      <c r="E693" s="337"/>
      <c r="F693" s="164"/>
      <c r="G693" s="337"/>
      <c r="H693" s="164"/>
      <c r="I693" s="344"/>
      <c r="J693" s="177"/>
      <c r="K693" s="344"/>
      <c r="L693" s="177"/>
      <c r="M693" s="344"/>
      <c r="N693" s="177"/>
      <c r="O693" s="337"/>
      <c r="P693" s="164"/>
      <c r="Q693" s="201"/>
      <c r="R693" s="201"/>
      <c r="S693" s="17"/>
      <c r="T693" s="17"/>
    </row>
    <row r="694">
      <c r="A694" s="337"/>
      <c r="B694" s="164"/>
      <c r="C694" s="337"/>
      <c r="D694" s="177"/>
      <c r="E694" s="337"/>
      <c r="F694" s="164"/>
      <c r="G694" s="337"/>
      <c r="H694" s="164"/>
      <c r="I694" s="344"/>
      <c r="J694" s="177"/>
      <c r="K694" s="344"/>
      <c r="L694" s="177"/>
      <c r="M694" s="344"/>
      <c r="N694" s="177"/>
      <c r="O694" s="337"/>
      <c r="P694" s="164"/>
      <c r="Q694" s="201"/>
      <c r="R694" s="201"/>
      <c r="S694" s="17"/>
      <c r="T694" s="17"/>
    </row>
    <row r="695">
      <c r="A695" s="337"/>
      <c r="B695" s="164"/>
      <c r="C695" s="337"/>
      <c r="D695" s="177"/>
      <c r="E695" s="337"/>
      <c r="F695" s="164"/>
      <c r="G695" s="337"/>
      <c r="H695" s="164"/>
      <c r="I695" s="344"/>
      <c r="J695" s="177"/>
      <c r="K695" s="344"/>
      <c r="L695" s="177"/>
      <c r="M695" s="344"/>
      <c r="N695" s="177"/>
      <c r="O695" s="337"/>
      <c r="P695" s="164"/>
      <c r="Q695" s="201"/>
      <c r="R695" s="201"/>
      <c r="S695" s="17"/>
      <c r="T695" s="17"/>
    </row>
    <row r="696">
      <c r="A696" s="337"/>
      <c r="B696" s="164"/>
      <c r="C696" s="337"/>
      <c r="D696" s="177"/>
      <c r="E696" s="337"/>
      <c r="F696" s="164"/>
      <c r="G696" s="337"/>
      <c r="H696" s="164"/>
      <c r="I696" s="344"/>
      <c r="J696" s="177"/>
      <c r="K696" s="344"/>
      <c r="L696" s="177"/>
      <c r="M696" s="344"/>
      <c r="N696" s="177"/>
      <c r="O696" s="337"/>
      <c r="P696" s="164"/>
      <c r="Q696" s="201"/>
      <c r="R696" s="201"/>
      <c r="S696" s="17"/>
      <c r="T696" s="17"/>
    </row>
    <row r="697">
      <c r="A697" s="337"/>
      <c r="B697" s="164"/>
      <c r="C697" s="337"/>
      <c r="D697" s="177"/>
      <c r="E697" s="337"/>
      <c r="F697" s="164"/>
      <c r="G697" s="337"/>
      <c r="H697" s="164"/>
      <c r="I697" s="344"/>
      <c r="J697" s="177"/>
      <c r="K697" s="344"/>
      <c r="L697" s="177"/>
      <c r="M697" s="344"/>
      <c r="N697" s="177"/>
      <c r="O697" s="337"/>
      <c r="P697" s="164"/>
      <c r="Q697" s="201"/>
      <c r="R697" s="201"/>
      <c r="S697" s="17"/>
      <c r="T697" s="17"/>
    </row>
    <row r="698">
      <c r="A698" s="337"/>
      <c r="B698" s="164"/>
      <c r="C698" s="337"/>
      <c r="D698" s="177"/>
      <c r="E698" s="337"/>
      <c r="F698" s="164"/>
      <c r="G698" s="337"/>
      <c r="H698" s="164"/>
      <c r="I698" s="344"/>
      <c r="J698" s="177"/>
      <c r="K698" s="344"/>
      <c r="L698" s="177"/>
      <c r="M698" s="344"/>
      <c r="N698" s="177"/>
      <c r="O698" s="337"/>
      <c r="P698" s="164"/>
      <c r="Q698" s="201"/>
      <c r="R698" s="201"/>
      <c r="S698" s="17"/>
      <c r="T698" s="17"/>
    </row>
    <row r="699">
      <c r="A699" s="337"/>
      <c r="B699" s="164"/>
      <c r="C699" s="337"/>
      <c r="D699" s="177"/>
      <c r="E699" s="337"/>
      <c r="F699" s="164"/>
      <c r="G699" s="337"/>
      <c r="H699" s="164"/>
      <c r="I699" s="344"/>
      <c r="J699" s="177"/>
      <c r="K699" s="344"/>
      <c r="L699" s="177"/>
      <c r="M699" s="344"/>
      <c r="N699" s="177"/>
      <c r="O699" s="337"/>
      <c r="P699" s="164"/>
      <c r="Q699" s="201"/>
      <c r="R699" s="201"/>
      <c r="S699" s="17"/>
      <c r="T699" s="17"/>
    </row>
    <row r="700">
      <c r="A700" s="337"/>
      <c r="B700" s="164"/>
      <c r="C700" s="337"/>
      <c r="D700" s="177"/>
      <c r="E700" s="337"/>
      <c r="F700" s="164"/>
      <c r="G700" s="337"/>
      <c r="H700" s="164"/>
      <c r="I700" s="344"/>
      <c r="J700" s="177"/>
      <c r="K700" s="344"/>
      <c r="L700" s="177"/>
      <c r="M700" s="344"/>
      <c r="N700" s="177"/>
      <c r="O700" s="337"/>
      <c r="P700" s="164"/>
      <c r="Q700" s="201"/>
      <c r="R700" s="201"/>
      <c r="S700" s="17"/>
      <c r="T700" s="17"/>
    </row>
    <row r="701">
      <c r="A701" s="337"/>
      <c r="B701" s="164"/>
      <c r="C701" s="337"/>
      <c r="D701" s="177"/>
      <c r="E701" s="337"/>
      <c r="F701" s="164"/>
      <c r="G701" s="337"/>
      <c r="H701" s="164"/>
      <c r="I701" s="344"/>
      <c r="J701" s="177"/>
      <c r="K701" s="344"/>
      <c r="L701" s="177"/>
      <c r="M701" s="344"/>
      <c r="N701" s="177"/>
      <c r="O701" s="337"/>
      <c r="P701" s="164"/>
      <c r="Q701" s="201"/>
      <c r="R701" s="201"/>
      <c r="S701" s="17"/>
      <c r="T701" s="17"/>
    </row>
    <row r="702">
      <c r="A702" s="337"/>
      <c r="B702" s="164"/>
      <c r="C702" s="337"/>
      <c r="D702" s="177"/>
      <c r="E702" s="337"/>
      <c r="F702" s="164"/>
      <c r="G702" s="337"/>
      <c r="H702" s="164"/>
      <c r="I702" s="344"/>
      <c r="J702" s="177"/>
      <c r="K702" s="344"/>
      <c r="L702" s="177"/>
      <c r="M702" s="344"/>
      <c r="N702" s="177"/>
      <c r="O702" s="337"/>
      <c r="P702" s="164"/>
      <c r="Q702" s="201"/>
      <c r="R702" s="201"/>
      <c r="S702" s="17"/>
      <c r="T702" s="17"/>
    </row>
    <row r="703">
      <c r="A703" s="337"/>
      <c r="B703" s="164"/>
      <c r="C703" s="337"/>
      <c r="D703" s="177"/>
      <c r="E703" s="337"/>
      <c r="F703" s="164"/>
      <c r="G703" s="337"/>
      <c r="H703" s="164"/>
      <c r="I703" s="344"/>
      <c r="J703" s="177"/>
      <c r="K703" s="344"/>
      <c r="L703" s="177"/>
      <c r="M703" s="344"/>
      <c r="N703" s="177"/>
      <c r="O703" s="337"/>
      <c r="P703" s="164"/>
      <c r="Q703" s="201"/>
      <c r="R703" s="201"/>
      <c r="S703" s="17"/>
      <c r="T703" s="17"/>
    </row>
    <row r="704">
      <c r="A704" s="337"/>
      <c r="B704" s="164"/>
      <c r="C704" s="337"/>
      <c r="D704" s="177"/>
      <c r="E704" s="337"/>
      <c r="F704" s="164"/>
      <c r="G704" s="337"/>
      <c r="H704" s="164"/>
      <c r="I704" s="344"/>
      <c r="J704" s="177"/>
      <c r="K704" s="344"/>
      <c r="L704" s="177"/>
      <c r="M704" s="344"/>
      <c r="N704" s="177"/>
      <c r="O704" s="337"/>
      <c r="P704" s="164"/>
      <c r="Q704" s="201"/>
      <c r="R704" s="201"/>
      <c r="S704" s="17"/>
      <c r="T704" s="17"/>
    </row>
    <row r="705">
      <c r="A705" s="337"/>
      <c r="B705" s="164"/>
      <c r="C705" s="337"/>
      <c r="D705" s="177"/>
      <c r="E705" s="337"/>
      <c r="F705" s="164"/>
      <c r="G705" s="337"/>
      <c r="H705" s="164"/>
      <c r="I705" s="344"/>
      <c r="J705" s="177"/>
      <c r="K705" s="344"/>
      <c r="L705" s="177"/>
      <c r="M705" s="344"/>
      <c r="N705" s="177"/>
      <c r="O705" s="337"/>
      <c r="P705" s="164"/>
      <c r="Q705" s="201"/>
      <c r="R705" s="201"/>
      <c r="S705" s="17"/>
      <c r="T705" s="17"/>
    </row>
    <row r="706">
      <c r="A706" s="337"/>
      <c r="B706" s="164"/>
      <c r="C706" s="337"/>
      <c r="D706" s="177"/>
      <c r="E706" s="337"/>
      <c r="F706" s="164"/>
      <c r="G706" s="337"/>
      <c r="H706" s="164"/>
      <c r="I706" s="344"/>
      <c r="J706" s="177"/>
      <c r="K706" s="344"/>
      <c r="L706" s="177"/>
      <c r="M706" s="344"/>
      <c r="N706" s="177"/>
      <c r="O706" s="337"/>
      <c r="P706" s="164"/>
      <c r="Q706" s="201"/>
      <c r="R706" s="201"/>
      <c r="S706" s="17"/>
      <c r="T706" s="17"/>
    </row>
    <row r="707">
      <c r="A707" s="337"/>
      <c r="B707" s="164"/>
      <c r="C707" s="337"/>
      <c r="D707" s="177"/>
      <c r="E707" s="337"/>
      <c r="F707" s="164"/>
      <c r="G707" s="337"/>
      <c r="H707" s="164"/>
      <c r="I707" s="344"/>
      <c r="J707" s="177"/>
      <c r="K707" s="344"/>
      <c r="L707" s="177"/>
      <c r="M707" s="344"/>
      <c r="N707" s="177"/>
      <c r="O707" s="337"/>
      <c r="P707" s="164"/>
      <c r="Q707" s="201"/>
      <c r="R707" s="201"/>
      <c r="S707" s="17"/>
      <c r="T707" s="17"/>
    </row>
    <row r="708">
      <c r="A708" s="337"/>
      <c r="B708" s="164"/>
      <c r="C708" s="337"/>
      <c r="D708" s="177"/>
      <c r="E708" s="337"/>
      <c r="F708" s="164"/>
      <c r="G708" s="337"/>
      <c r="H708" s="164"/>
      <c r="I708" s="344"/>
      <c r="J708" s="177"/>
      <c r="K708" s="344"/>
      <c r="L708" s="177"/>
      <c r="M708" s="344"/>
      <c r="N708" s="177"/>
      <c r="O708" s="337"/>
      <c r="P708" s="164"/>
      <c r="Q708" s="201"/>
      <c r="R708" s="201"/>
      <c r="S708" s="17"/>
      <c r="T708" s="17"/>
    </row>
    <row r="709">
      <c r="A709" s="337"/>
      <c r="B709" s="164"/>
      <c r="C709" s="337"/>
      <c r="D709" s="177"/>
      <c r="E709" s="337"/>
      <c r="F709" s="164"/>
      <c r="G709" s="337"/>
      <c r="H709" s="164"/>
      <c r="I709" s="344"/>
      <c r="J709" s="177"/>
      <c r="K709" s="344"/>
      <c r="L709" s="177"/>
      <c r="M709" s="344"/>
      <c r="N709" s="177"/>
      <c r="O709" s="337"/>
      <c r="P709" s="164"/>
      <c r="Q709" s="201"/>
      <c r="R709" s="201"/>
      <c r="S709" s="17"/>
      <c r="T709" s="17"/>
    </row>
    <row r="710">
      <c r="A710" s="337"/>
      <c r="B710" s="164"/>
      <c r="C710" s="337"/>
      <c r="D710" s="177"/>
      <c r="E710" s="337"/>
      <c r="F710" s="164"/>
      <c r="G710" s="337"/>
      <c r="H710" s="164"/>
      <c r="I710" s="344"/>
      <c r="J710" s="177"/>
      <c r="K710" s="344"/>
      <c r="L710" s="177"/>
      <c r="M710" s="344"/>
      <c r="N710" s="177"/>
      <c r="O710" s="337"/>
      <c r="P710" s="164"/>
      <c r="Q710" s="201"/>
      <c r="R710" s="201"/>
      <c r="S710" s="17"/>
      <c r="T710" s="17"/>
    </row>
    <row r="711">
      <c r="A711" s="337"/>
      <c r="B711" s="164"/>
      <c r="C711" s="337"/>
      <c r="D711" s="177"/>
      <c r="E711" s="337"/>
      <c r="F711" s="164"/>
      <c r="G711" s="337"/>
      <c r="H711" s="164"/>
      <c r="I711" s="344"/>
      <c r="J711" s="177"/>
      <c r="K711" s="344"/>
      <c r="L711" s="177"/>
      <c r="M711" s="344"/>
      <c r="N711" s="177"/>
      <c r="O711" s="337"/>
      <c r="P711" s="164"/>
      <c r="Q711" s="201"/>
      <c r="R711" s="201"/>
      <c r="S711" s="17"/>
      <c r="T711" s="17"/>
    </row>
    <row r="712">
      <c r="A712" s="337"/>
      <c r="B712" s="164"/>
      <c r="C712" s="337"/>
      <c r="D712" s="177"/>
      <c r="E712" s="337"/>
      <c r="F712" s="164"/>
      <c r="G712" s="337"/>
      <c r="H712" s="164"/>
      <c r="I712" s="344"/>
      <c r="J712" s="177"/>
      <c r="K712" s="344"/>
      <c r="L712" s="177"/>
      <c r="M712" s="344"/>
      <c r="N712" s="177"/>
      <c r="O712" s="337"/>
      <c r="P712" s="164"/>
      <c r="Q712" s="201"/>
      <c r="R712" s="201"/>
      <c r="S712" s="17"/>
      <c r="T712" s="17"/>
    </row>
    <row r="713">
      <c r="A713" s="337"/>
      <c r="B713" s="164"/>
      <c r="C713" s="337"/>
      <c r="D713" s="177"/>
      <c r="E713" s="337"/>
      <c r="F713" s="164"/>
      <c r="G713" s="337"/>
      <c r="H713" s="164"/>
      <c r="I713" s="344"/>
      <c r="J713" s="177"/>
      <c r="K713" s="344"/>
      <c r="L713" s="177"/>
      <c r="M713" s="344"/>
      <c r="N713" s="177"/>
      <c r="O713" s="337"/>
      <c r="P713" s="164"/>
      <c r="Q713" s="201"/>
      <c r="R713" s="201"/>
      <c r="S713" s="17"/>
      <c r="T713" s="17"/>
    </row>
    <row r="714">
      <c r="A714" s="337"/>
      <c r="B714" s="164"/>
      <c r="C714" s="337"/>
      <c r="D714" s="177"/>
      <c r="E714" s="337"/>
      <c r="F714" s="164"/>
      <c r="G714" s="337"/>
      <c r="H714" s="164"/>
      <c r="I714" s="344"/>
      <c r="J714" s="177"/>
      <c r="K714" s="344"/>
      <c r="L714" s="177"/>
      <c r="M714" s="344"/>
      <c r="N714" s="177"/>
      <c r="O714" s="337"/>
      <c r="P714" s="164"/>
      <c r="Q714" s="201"/>
      <c r="R714" s="201"/>
      <c r="S714" s="17"/>
      <c r="T714" s="17"/>
    </row>
    <row r="715">
      <c r="A715" s="337"/>
      <c r="B715" s="164"/>
      <c r="C715" s="337"/>
      <c r="D715" s="177"/>
      <c r="E715" s="337"/>
      <c r="F715" s="164"/>
      <c r="G715" s="337"/>
      <c r="H715" s="164"/>
      <c r="I715" s="344"/>
      <c r="J715" s="177"/>
      <c r="K715" s="344"/>
      <c r="L715" s="177"/>
      <c r="M715" s="344"/>
      <c r="N715" s="177"/>
      <c r="O715" s="337"/>
      <c r="P715" s="164"/>
      <c r="Q715" s="201"/>
      <c r="R715" s="201"/>
      <c r="S715" s="17"/>
      <c r="T715" s="17"/>
    </row>
    <row r="716">
      <c r="A716" s="337"/>
      <c r="B716" s="164"/>
      <c r="C716" s="337"/>
      <c r="D716" s="177"/>
      <c r="E716" s="337"/>
      <c r="F716" s="164"/>
      <c r="G716" s="337"/>
      <c r="H716" s="164"/>
      <c r="I716" s="344"/>
      <c r="J716" s="177"/>
      <c r="K716" s="344"/>
      <c r="L716" s="177"/>
      <c r="M716" s="344"/>
      <c r="N716" s="177"/>
      <c r="O716" s="337"/>
      <c r="P716" s="164"/>
      <c r="Q716" s="201"/>
      <c r="R716" s="201"/>
      <c r="S716" s="17"/>
      <c r="T716" s="17"/>
    </row>
    <row r="717">
      <c r="A717" s="337"/>
      <c r="B717" s="164"/>
      <c r="C717" s="337"/>
      <c r="D717" s="177"/>
      <c r="E717" s="337"/>
      <c r="F717" s="164"/>
      <c r="G717" s="337"/>
      <c r="H717" s="164"/>
      <c r="I717" s="344"/>
      <c r="J717" s="177"/>
      <c r="K717" s="344"/>
      <c r="L717" s="177"/>
      <c r="M717" s="344"/>
      <c r="N717" s="177"/>
      <c r="O717" s="337"/>
      <c r="P717" s="164"/>
      <c r="Q717" s="201"/>
      <c r="R717" s="201"/>
      <c r="S717" s="17"/>
      <c r="T717" s="17"/>
    </row>
    <row r="718">
      <c r="A718" s="337"/>
      <c r="B718" s="164"/>
      <c r="C718" s="337"/>
      <c r="D718" s="177"/>
      <c r="E718" s="337"/>
      <c r="F718" s="164"/>
      <c r="G718" s="337"/>
      <c r="H718" s="164"/>
      <c r="I718" s="344"/>
      <c r="J718" s="177"/>
      <c r="K718" s="344"/>
      <c r="L718" s="177"/>
      <c r="M718" s="344"/>
      <c r="N718" s="177"/>
      <c r="O718" s="337"/>
      <c r="P718" s="164"/>
      <c r="Q718" s="201"/>
      <c r="R718" s="201"/>
      <c r="S718" s="17"/>
      <c r="T718" s="17"/>
    </row>
    <row r="719">
      <c r="A719" s="337"/>
      <c r="B719" s="164"/>
      <c r="C719" s="337"/>
      <c r="D719" s="177"/>
      <c r="E719" s="337"/>
      <c r="F719" s="164"/>
      <c r="G719" s="337"/>
      <c r="H719" s="164"/>
      <c r="I719" s="344"/>
      <c r="J719" s="177"/>
      <c r="K719" s="344"/>
      <c r="L719" s="177"/>
      <c r="M719" s="344"/>
      <c r="N719" s="177"/>
      <c r="O719" s="337"/>
      <c r="P719" s="164"/>
      <c r="Q719" s="201"/>
      <c r="R719" s="201"/>
      <c r="S719" s="17"/>
      <c r="T719" s="17"/>
    </row>
    <row r="720">
      <c r="A720" s="337"/>
      <c r="B720" s="164"/>
      <c r="C720" s="337"/>
      <c r="D720" s="177"/>
      <c r="E720" s="337"/>
      <c r="F720" s="164"/>
      <c r="G720" s="337"/>
      <c r="H720" s="164"/>
      <c r="I720" s="344"/>
      <c r="J720" s="177"/>
      <c r="K720" s="344"/>
      <c r="L720" s="177"/>
      <c r="M720" s="344"/>
      <c r="N720" s="177"/>
      <c r="O720" s="337"/>
      <c r="P720" s="164"/>
      <c r="Q720" s="201"/>
      <c r="R720" s="201"/>
      <c r="S720" s="17"/>
      <c r="T720" s="17"/>
    </row>
    <row r="721">
      <c r="A721" s="337"/>
      <c r="B721" s="164"/>
      <c r="C721" s="337"/>
      <c r="D721" s="177"/>
      <c r="E721" s="337"/>
      <c r="F721" s="164"/>
      <c r="G721" s="337"/>
      <c r="H721" s="164"/>
      <c r="I721" s="344"/>
      <c r="J721" s="177"/>
      <c r="K721" s="344"/>
      <c r="L721" s="177"/>
      <c r="M721" s="344"/>
      <c r="N721" s="177"/>
      <c r="O721" s="337"/>
      <c r="P721" s="164"/>
      <c r="Q721" s="201"/>
      <c r="R721" s="201"/>
      <c r="S721" s="17"/>
      <c r="T721" s="17"/>
    </row>
    <row r="722">
      <c r="A722" s="337"/>
      <c r="B722" s="164"/>
      <c r="C722" s="337"/>
      <c r="D722" s="177"/>
      <c r="E722" s="337"/>
      <c r="F722" s="164"/>
      <c r="G722" s="337"/>
      <c r="H722" s="164"/>
      <c r="I722" s="344"/>
      <c r="J722" s="177"/>
      <c r="K722" s="344"/>
      <c r="L722" s="177"/>
      <c r="M722" s="344"/>
      <c r="N722" s="177"/>
      <c r="O722" s="337"/>
      <c r="P722" s="164"/>
      <c r="Q722" s="201"/>
      <c r="R722" s="201"/>
      <c r="S722" s="17"/>
      <c r="T722" s="17"/>
    </row>
    <row r="723">
      <c r="A723" s="337"/>
      <c r="B723" s="164"/>
      <c r="C723" s="337"/>
      <c r="D723" s="177"/>
      <c r="E723" s="337"/>
      <c r="F723" s="164"/>
      <c r="G723" s="337"/>
      <c r="H723" s="164"/>
      <c r="I723" s="344"/>
      <c r="J723" s="177"/>
      <c r="K723" s="344"/>
      <c r="L723" s="177"/>
      <c r="M723" s="344"/>
      <c r="N723" s="177"/>
      <c r="O723" s="337"/>
      <c r="P723" s="164"/>
      <c r="Q723" s="201"/>
      <c r="R723" s="201"/>
      <c r="S723" s="17"/>
      <c r="T723" s="17"/>
    </row>
    <row r="724">
      <c r="A724" s="337"/>
      <c r="B724" s="164"/>
      <c r="C724" s="337"/>
      <c r="D724" s="177"/>
      <c r="E724" s="337"/>
      <c r="F724" s="164"/>
      <c r="G724" s="337"/>
      <c r="H724" s="164"/>
      <c r="I724" s="344"/>
      <c r="J724" s="177"/>
      <c r="K724" s="344"/>
      <c r="L724" s="177"/>
      <c r="M724" s="344"/>
      <c r="N724" s="177"/>
      <c r="O724" s="337"/>
      <c r="P724" s="164"/>
      <c r="Q724" s="201"/>
      <c r="R724" s="201"/>
      <c r="S724" s="17"/>
      <c r="T724" s="17"/>
    </row>
    <row r="725">
      <c r="A725" s="337"/>
      <c r="B725" s="164"/>
      <c r="C725" s="337"/>
      <c r="D725" s="177"/>
      <c r="E725" s="337"/>
      <c r="F725" s="164"/>
      <c r="G725" s="337"/>
      <c r="H725" s="164"/>
      <c r="I725" s="344"/>
      <c r="J725" s="177"/>
      <c r="K725" s="344"/>
      <c r="L725" s="177"/>
      <c r="M725" s="344"/>
      <c r="N725" s="177"/>
      <c r="O725" s="337"/>
      <c r="P725" s="164"/>
      <c r="Q725" s="201"/>
      <c r="R725" s="201"/>
      <c r="S725" s="17"/>
      <c r="T725" s="17"/>
    </row>
    <row r="726">
      <c r="A726" s="337"/>
      <c r="B726" s="164"/>
      <c r="C726" s="337"/>
      <c r="D726" s="177"/>
      <c r="E726" s="337"/>
      <c r="F726" s="164"/>
      <c r="G726" s="337"/>
      <c r="H726" s="164"/>
      <c r="I726" s="344"/>
      <c r="J726" s="177"/>
      <c r="K726" s="344"/>
      <c r="L726" s="177"/>
      <c r="M726" s="344"/>
      <c r="N726" s="177"/>
      <c r="O726" s="337"/>
      <c r="P726" s="164"/>
      <c r="Q726" s="201"/>
      <c r="R726" s="201"/>
      <c r="S726" s="17"/>
      <c r="T726" s="17"/>
    </row>
    <row r="727">
      <c r="A727" s="337"/>
      <c r="B727" s="164"/>
      <c r="C727" s="337"/>
      <c r="D727" s="177"/>
      <c r="E727" s="337"/>
      <c r="F727" s="164"/>
      <c r="G727" s="337"/>
      <c r="H727" s="164"/>
      <c r="I727" s="344"/>
      <c r="J727" s="177"/>
      <c r="K727" s="344"/>
      <c r="L727" s="177"/>
      <c r="M727" s="344"/>
      <c r="N727" s="177"/>
      <c r="O727" s="337"/>
      <c r="P727" s="164"/>
      <c r="Q727" s="201"/>
      <c r="R727" s="201"/>
      <c r="S727" s="17"/>
      <c r="T727" s="17"/>
    </row>
    <row r="728">
      <c r="A728" s="337"/>
      <c r="B728" s="164"/>
      <c r="C728" s="337"/>
      <c r="D728" s="177"/>
      <c r="E728" s="337"/>
      <c r="F728" s="164"/>
      <c r="G728" s="337"/>
      <c r="H728" s="164"/>
      <c r="I728" s="344"/>
      <c r="J728" s="177"/>
      <c r="K728" s="344"/>
      <c r="L728" s="177"/>
      <c r="M728" s="344"/>
      <c r="N728" s="177"/>
      <c r="O728" s="337"/>
      <c r="P728" s="164"/>
      <c r="Q728" s="201"/>
      <c r="R728" s="201"/>
      <c r="S728" s="17"/>
      <c r="T728" s="17"/>
    </row>
    <row r="729">
      <c r="A729" s="337"/>
      <c r="B729" s="164"/>
      <c r="C729" s="337"/>
      <c r="D729" s="177"/>
      <c r="E729" s="337"/>
      <c r="F729" s="164"/>
      <c r="G729" s="337"/>
      <c r="H729" s="164"/>
      <c r="I729" s="344"/>
      <c r="J729" s="177"/>
      <c r="K729" s="344"/>
      <c r="L729" s="177"/>
      <c r="M729" s="344"/>
      <c r="N729" s="177"/>
      <c r="O729" s="337"/>
      <c r="P729" s="164"/>
      <c r="Q729" s="201"/>
      <c r="R729" s="201"/>
      <c r="S729" s="17"/>
      <c r="T729" s="17"/>
    </row>
    <row r="730">
      <c r="A730" s="337"/>
      <c r="B730" s="164"/>
      <c r="C730" s="337"/>
      <c r="D730" s="177"/>
      <c r="E730" s="337"/>
      <c r="F730" s="164"/>
      <c r="G730" s="337"/>
      <c r="H730" s="164"/>
      <c r="I730" s="344"/>
      <c r="J730" s="177"/>
      <c r="K730" s="344"/>
      <c r="L730" s="177"/>
      <c r="M730" s="344"/>
      <c r="N730" s="177"/>
      <c r="O730" s="337"/>
      <c r="P730" s="164"/>
      <c r="Q730" s="201"/>
      <c r="R730" s="201"/>
      <c r="S730" s="17"/>
      <c r="T730" s="17"/>
    </row>
    <row r="731">
      <c r="A731" s="337"/>
      <c r="B731" s="164"/>
      <c r="C731" s="337"/>
      <c r="D731" s="177"/>
      <c r="E731" s="337"/>
      <c r="F731" s="164"/>
      <c r="G731" s="337"/>
      <c r="H731" s="164"/>
      <c r="I731" s="344"/>
      <c r="J731" s="177"/>
      <c r="K731" s="344"/>
      <c r="L731" s="177"/>
      <c r="M731" s="344"/>
      <c r="N731" s="177"/>
      <c r="O731" s="337"/>
      <c r="P731" s="164"/>
      <c r="Q731" s="201"/>
      <c r="R731" s="201"/>
      <c r="S731" s="17"/>
      <c r="T731" s="17"/>
    </row>
    <row r="732">
      <c r="A732" s="337"/>
      <c r="B732" s="164"/>
      <c r="C732" s="337"/>
      <c r="D732" s="177"/>
      <c r="E732" s="337"/>
      <c r="F732" s="164"/>
      <c r="G732" s="337"/>
      <c r="H732" s="164"/>
      <c r="I732" s="344"/>
      <c r="J732" s="177"/>
      <c r="K732" s="344"/>
      <c r="L732" s="177"/>
      <c r="M732" s="344"/>
      <c r="N732" s="177"/>
      <c r="O732" s="337"/>
      <c r="P732" s="164"/>
      <c r="Q732" s="201"/>
      <c r="R732" s="201"/>
      <c r="S732" s="17"/>
      <c r="T732" s="17"/>
    </row>
    <row r="733">
      <c r="A733" s="337"/>
      <c r="B733" s="164"/>
      <c r="C733" s="337"/>
      <c r="D733" s="177"/>
      <c r="E733" s="337"/>
      <c r="F733" s="164"/>
      <c r="G733" s="337"/>
      <c r="H733" s="164"/>
      <c r="I733" s="344"/>
      <c r="J733" s="177"/>
      <c r="K733" s="344"/>
      <c r="L733" s="177"/>
      <c r="M733" s="344"/>
      <c r="N733" s="177"/>
      <c r="O733" s="337"/>
      <c r="P733" s="164"/>
      <c r="Q733" s="201"/>
      <c r="R733" s="201"/>
      <c r="S733" s="17"/>
      <c r="T733" s="17"/>
    </row>
    <row r="734">
      <c r="A734" s="337"/>
      <c r="B734" s="164"/>
      <c r="C734" s="337"/>
      <c r="D734" s="177"/>
      <c r="E734" s="337"/>
      <c r="F734" s="164"/>
      <c r="G734" s="337"/>
      <c r="H734" s="164"/>
      <c r="I734" s="344"/>
      <c r="J734" s="177"/>
      <c r="K734" s="344"/>
      <c r="L734" s="177"/>
      <c r="M734" s="344"/>
      <c r="N734" s="177"/>
      <c r="O734" s="337"/>
      <c r="P734" s="164"/>
      <c r="Q734" s="201"/>
      <c r="R734" s="201"/>
      <c r="S734" s="17"/>
      <c r="T734" s="17"/>
    </row>
    <row r="735">
      <c r="A735" s="337"/>
      <c r="B735" s="164"/>
      <c r="C735" s="337"/>
      <c r="D735" s="177"/>
      <c r="E735" s="337"/>
      <c r="F735" s="164"/>
      <c r="G735" s="337"/>
      <c r="H735" s="164"/>
      <c r="I735" s="344"/>
      <c r="J735" s="177"/>
      <c r="K735" s="344"/>
      <c r="L735" s="177"/>
      <c r="M735" s="344"/>
      <c r="N735" s="177"/>
      <c r="O735" s="337"/>
      <c r="P735" s="164"/>
      <c r="Q735" s="201"/>
      <c r="R735" s="201"/>
      <c r="S735" s="17"/>
      <c r="T735" s="17"/>
    </row>
    <row r="736">
      <c r="A736" s="337"/>
      <c r="B736" s="164"/>
      <c r="C736" s="337"/>
      <c r="D736" s="177"/>
      <c r="E736" s="337"/>
      <c r="F736" s="164"/>
      <c r="G736" s="337"/>
      <c r="H736" s="164"/>
      <c r="I736" s="344"/>
      <c r="J736" s="177"/>
      <c r="K736" s="344"/>
      <c r="L736" s="177"/>
      <c r="M736" s="344"/>
      <c r="N736" s="177"/>
      <c r="O736" s="337"/>
      <c r="P736" s="164"/>
      <c r="Q736" s="201"/>
      <c r="R736" s="201"/>
      <c r="S736" s="17"/>
      <c r="T736" s="17"/>
    </row>
    <row r="737">
      <c r="A737" s="337"/>
      <c r="B737" s="164"/>
      <c r="C737" s="337"/>
      <c r="D737" s="177"/>
      <c r="E737" s="337"/>
      <c r="F737" s="164"/>
      <c r="G737" s="337"/>
      <c r="H737" s="164"/>
      <c r="I737" s="344"/>
      <c r="J737" s="177"/>
      <c r="K737" s="344"/>
      <c r="L737" s="177"/>
      <c r="M737" s="344"/>
      <c r="N737" s="177"/>
      <c r="O737" s="337"/>
      <c r="P737" s="164"/>
      <c r="Q737" s="201"/>
      <c r="R737" s="201"/>
      <c r="S737" s="17"/>
      <c r="T737" s="17"/>
    </row>
    <row r="738">
      <c r="A738" s="337"/>
      <c r="B738" s="164"/>
      <c r="C738" s="337"/>
      <c r="D738" s="177"/>
      <c r="E738" s="337"/>
      <c r="F738" s="164"/>
      <c r="G738" s="337"/>
      <c r="H738" s="164"/>
      <c r="I738" s="344"/>
      <c r="J738" s="177"/>
      <c r="K738" s="344"/>
      <c r="L738" s="177"/>
      <c r="M738" s="344"/>
      <c r="N738" s="177"/>
      <c r="O738" s="337"/>
      <c r="P738" s="164"/>
      <c r="Q738" s="201"/>
      <c r="R738" s="201"/>
      <c r="S738" s="17"/>
      <c r="T738" s="17"/>
    </row>
    <row r="739">
      <c r="A739" s="337"/>
      <c r="B739" s="164"/>
      <c r="C739" s="337"/>
      <c r="D739" s="177"/>
      <c r="E739" s="337"/>
      <c r="F739" s="164"/>
      <c r="G739" s="337"/>
      <c r="H739" s="164"/>
      <c r="I739" s="344"/>
      <c r="J739" s="177"/>
      <c r="K739" s="344"/>
      <c r="L739" s="177"/>
      <c r="M739" s="344"/>
      <c r="N739" s="177"/>
      <c r="O739" s="337"/>
      <c r="P739" s="164"/>
      <c r="Q739" s="201"/>
      <c r="R739" s="201"/>
      <c r="S739" s="17"/>
      <c r="T739" s="17"/>
    </row>
    <row r="740">
      <c r="A740" s="337"/>
      <c r="B740" s="164"/>
      <c r="C740" s="337"/>
      <c r="D740" s="177"/>
      <c r="E740" s="337"/>
      <c r="F740" s="164"/>
      <c r="G740" s="337"/>
      <c r="H740" s="164"/>
      <c r="I740" s="344"/>
      <c r="J740" s="177"/>
      <c r="K740" s="344"/>
      <c r="L740" s="177"/>
      <c r="M740" s="344"/>
      <c r="N740" s="177"/>
      <c r="O740" s="337"/>
      <c r="P740" s="164"/>
      <c r="Q740" s="201"/>
      <c r="R740" s="201"/>
      <c r="S740" s="17"/>
      <c r="T740" s="17"/>
    </row>
    <row r="741">
      <c r="A741" s="337"/>
      <c r="B741" s="164"/>
      <c r="C741" s="337"/>
      <c r="D741" s="177"/>
      <c r="E741" s="337"/>
      <c r="F741" s="164"/>
      <c r="G741" s="337"/>
      <c r="H741" s="164"/>
      <c r="I741" s="344"/>
      <c r="J741" s="177"/>
      <c r="K741" s="344"/>
      <c r="L741" s="177"/>
      <c r="M741" s="344"/>
      <c r="N741" s="177"/>
      <c r="O741" s="337"/>
      <c r="P741" s="164"/>
      <c r="Q741" s="201"/>
      <c r="R741" s="201"/>
      <c r="S741" s="17"/>
      <c r="T741" s="17"/>
    </row>
    <row r="742">
      <c r="A742" s="337"/>
      <c r="B742" s="164"/>
      <c r="C742" s="337"/>
      <c r="D742" s="177"/>
      <c r="E742" s="337"/>
      <c r="F742" s="164"/>
      <c r="G742" s="337"/>
      <c r="H742" s="164"/>
      <c r="I742" s="344"/>
      <c r="J742" s="177"/>
      <c r="K742" s="344"/>
      <c r="L742" s="177"/>
      <c r="M742" s="344"/>
      <c r="N742" s="177"/>
      <c r="O742" s="337"/>
      <c r="P742" s="164"/>
      <c r="Q742" s="201"/>
      <c r="R742" s="201"/>
      <c r="S742" s="17"/>
      <c r="T742" s="17"/>
    </row>
    <row r="743">
      <c r="A743" s="337"/>
      <c r="B743" s="164"/>
      <c r="C743" s="337"/>
      <c r="D743" s="177"/>
      <c r="E743" s="337"/>
      <c r="F743" s="164"/>
      <c r="G743" s="337"/>
      <c r="H743" s="164"/>
      <c r="I743" s="344"/>
      <c r="J743" s="177"/>
      <c r="K743" s="344"/>
      <c r="L743" s="177"/>
      <c r="M743" s="344"/>
      <c r="N743" s="177"/>
      <c r="O743" s="337"/>
      <c r="P743" s="164"/>
      <c r="Q743" s="201"/>
      <c r="R743" s="201"/>
      <c r="S743" s="17"/>
      <c r="T743" s="17"/>
    </row>
    <row r="744">
      <c r="A744" s="337"/>
      <c r="B744" s="164"/>
      <c r="C744" s="337"/>
      <c r="D744" s="177"/>
      <c r="E744" s="337"/>
      <c r="F744" s="164"/>
      <c r="G744" s="337"/>
      <c r="H744" s="164"/>
      <c r="I744" s="344"/>
      <c r="J744" s="177"/>
      <c r="K744" s="344"/>
      <c r="L744" s="177"/>
      <c r="M744" s="344"/>
      <c r="N744" s="177"/>
      <c r="O744" s="337"/>
      <c r="P744" s="164"/>
      <c r="Q744" s="201"/>
      <c r="R744" s="201"/>
      <c r="S744" s="17"/>
      <c r="T744" s="17"/>
    </row>
    <row r="745">
      <c r="A745" s="337"/>
      <c r="B745" s="164"/>
      <c r="C745" s="337"/>
      <c r="D745" s="177"/>
      <c r="E745" s="337"/>
      <c r="F745" s="164"/>
      <c r="G745" s="337"/>
      <c r="H745" s="164"/>
      <c r="I745" s="344"/>
      <c r="J745" s="177"/>
      <c r="K745" s="344"/>
      <c r="L745" s="177"/>
      <c r="M745" s="344"/>
      <c r="N745" s="177"/>
      <c r="O745" s="337"/>
      <c r="P745" s="164"/>
      <c r="Q745" s="201"/>
      <c r="R745" s="201"/>
      <c r="S745" s="17"/>
      <c r="T745" s="17"/>
    </row>
    <row r="746">
      <c r="A746" s="337"/>
      <c r="B746" s="164"/>
      <c r="C746" s="337"/>
      <c r="D746" s="177"/>
      <c r="E746" s="337"/>
      <c r="F746" s="164"/>
      <c r="G746" s="337"/>
      <c r="H746" s="164"/>
      <c r="I746" s="344"/>
      <c r="J746" s="177"/>
      <c r="K746" s="344"/>
      <c r="L746" s="177"/>
      <c r="M746" s="344"/>
      <c r="N746" s="177"/>
      <c r="O746" s="337"/>
      <c r="P746" s="164"/>
      <c r="Q746" s="201"/>
      <c r="R746" s="201"/>
      <c r="S746" s="17"/>
      <c r="T746" s="17"/>
    </row>
    <row r="747">
      <c r="A747" s="337"/>
      <c r="B747" s="164"/>
      <c r="C747" s="337"/>
      <c r="D747" s="177"/>
      <c r="E747" s="337"/>
      <c r="F747" s="164"/>
      <c r="G747" s="337"/>
      <c r="H747" s="164"/>
      <c r="I747" s="344"/>
      <c r="J747" s="177"/>
      <c r="K747" s="344"/>
      <c r="L747" s="177"/>
      <c r="M747" s="344"/>
      <c r="N747" s="177"/>
      <c r="O747" s="337"/>
      <c r="P747" s="164"/>
      <c r="Q747" s="201"/>
      <c r="R747" s="201"/>
      <c r="S747" s="17"/>
      <c r="T747" s="17"/>
    </row>
    <row r="748">
      <c r="A748" s="337"/>
      <c r="B748" s="164"/>
      <c r="C748" s="337"/>
      <c r="D748" s="177"/>
      <c r="E748" s="337"/>
      <c r="F748" s="164"/>
      <c r="G748" s="337"/>
      <c r="H748" s="164"/>
      <c r="I748" s="344"/>
      <c r="J748" s="177"/>
      <c r="K748" s="344"/>
      <c r="L748" s="177"/>
      <c r="M748" s="344"/>
      <c r="N748" s="177"/>
      <c r="O748" s="337"/>
      <c r="P748" s="164"/>
      <c r="Q748" s="201"/>
      <c r="R748" s="201"/>
      <c r="S748" s="17"/>
      <c r="T748" s="17"/>
    </row>
    <row r="749">
      <c r="A749" s="337"/>
      <c r="B749" s="164"/>
      <c r="C749" s="337"/>
      <c r="D749" s="177"/>
      <c r="E749" s="337"/>
      <c r="F749" s="164"/>
      <c r="G749" s="337"/>
      <c r="H749" s="164"/>
      <c r="I749" s="344"/>
      <c r="J749" s="177"/>
      <c r="K749" s="344"/>
      <c r="L749" s="177"/>
      <c r="M749" s="344"/>
      <c r="N749" s="177"/>
      <c r="O749" s="337"/>
      <c r="P749" s="164"/>
      <c r="Q749" s="201"/>
      <c r="R749" s="201"/>
      <c r="S749" s="17"/>
      <c r="T749" s="17"/>
    </row>
    <row r="750">
      <c r="A750" s="337"/>
      <c r="B750" s="164"/>
      <c r="C750" s="337"/>
      <c r="D750" s="177"/>
      <c r="E750" s="337"/>
      <c r="F750" s="164"/>
      <c r="G750" s="337"/>
      <c r="H750" s="164"/>
      <c r="I750" s="344"/>
      <c r="J750" s="177"/>
      <c r="K750" s="344"/>
      <c r="L750" s="177"/>
      <c r="M750" s="344"/>
      <c r="N750" s="177"/>
      <c r="O750" s="337"/>
      <c r="P750" s="164"/>
      <c r="Q750" s="201"/>
      <c r="R750" s="201"/>
      <c r="S750" s="17"/>
      <c r="T750" s="17"/>
    </row>
    <row r="751">
      <c r="A751" s="337"/>
      <c r="B751" s="164"/>
      <c r="C751" s="337"/>
      <c r="D751" s="177"/>
      <c r="E751" s="337"/>
      <c r="F751" s="164"/>
      <c r="G751" s="337"/>
      <c r="H751" s="164"/>
      <c r="I751" s="344"/>
      <c r="J751" s="177"/>
      <c r="K751" s="344"/>
      <c r="L751" s="177"/>
      <c r="M751" s="344"/>
      <c r="N751" s="177"/>
      <c r="O751" s="337"/>
      <c r="P751" s="164"/>
      <c r="Q751" s="201"/>
      <c r="R751" s="201"/>
      <c r="S751" s="17"/>
      <c r="T751" s="17"/>
    </row>
    <row r="752">
      <c r="A752" s="337"/>
      <c r="B752" s="164"/>
      <c r="C752" s="337"/>
      <c r="D752" s="177"/>
      <c r="E752" s="337"/>
      <c r="F752" s="164"/>
      <c r="G752" s="337"/>
      <c r="H752" s="164"/>
      <c r="I752" s="344"/>
      <c r="J752" s="177"/>
      <c r="K752" s="344"/>
      <c r="L752" s="177"/>
      <c r="M752" s="344"/>
      <c r="N752" s="177"/>
      <c r="O752" s="337"/>
      <c r="P752" s="164"/>
      <c r="Q752" s="201"/>
      <c r="R752" s="201"/>
      <c r="S752" s="17"/>
      <c r="T752" s="17"/>
    </row>
    <row r="753">
      <c r="A753" s="337"/>
      <c r="B753" s="164"/>
      <c r="C753" s="337"/>
      <c r="D753" s="177"/>
      <c r="E753" s="337"/>
      <c r="F753" s="164"/>
      <c r="G753" s="337"/>
      <c r="H753" s="164"/>
      <c r="I753" s="344"/>
      <c r="J753" s="177"/>
      <c r="K753" s="344"/>
      <c r="L753" s="177"/>
      <c r="M753" s="344"/>
      <c r="N753" s="177"/>
      <c r="O753" s="337"/>
      <c r="P753" s="164"/>
      <c r="Q753" s="201"/>
      <c r="R753" s="201"/>
      <c r="S753" s="17"/>
      <c r="T753" s="17"/>
    </row>
    <row r="754">
      <c r="A754" s="337"/>
      <c r="B754" s="164"/>
      <c r="C754" s="337"/>
      <c r="D754" s="177"/>
      <c r="E754" s="337"/>
      <c r="F754" s="164"/>
      <c r="G754" s="337"/>
      <c r="H754" s="164"/>
      <c r="I754" s="344"/>
      <c r="J754" s="177"/>
      <c r="K754" s="344"/>
      <c r="L754" s="177"/>
      <c r="M754" s="344"/>
      <c r="N754" s="177"/>
      <c r="O754" s="337"/>
      <c r="P754" s="164"/>
      <c r="Q754" s="201"/>
      <c r="R754" s="201"/>
      <c r="S754" s="17"/>
      <c r="T754" s="17"/>
    </row>
    <row r="755">
      <c r="A755" s="337"/>
      <c r="B755" s="164"/>
      <c r="C755" s="337"/>
      <c r="D755" s="177"/>
      <c r="E755" s="337"/>
      <c r="F755" s="164"/>
      <c r="G755" s="337"/>
      <c r="H755" s="164"/>
      <c r="I755" s="344"/>
      <c r="J755" s="177"/>
      <c r="K755" s="344"/>
      <c r="L755" s="177"/>
      <c r="M755" s="344"/>
      <c r="N755" s="177"/>
      <c r="O755" s="337"/>
      <c r="P755" s="164"/>
      <c r="Q755" s="201"/>
      <c r="R755" s="201"/>
      <c r="S755" s="17"/>
      <c r="T755" s="17"/>
    </row>
    <row r="756">
      <c r="A756" s="337"/>
      <c r="B756" s="164"/>
      <c r="C756" s="337"/>
      <c r="D756" s="177"/>
      <c r="E756" s="337"/>
      <c r="F756" s="164"/>
      <c r="G756" s="337"/>
      <c r="H756" s="164"/>
      <c r="I756" s="344"/>
      <c r="J756" s="177"/>
      <c r="K756" s="344"/>
      <c r="L756" s="177"/>
      <c r="M756" s="344"/>
      <c r="N756" s="177"/>
      <c r="O756" s="337"/>
      <c r="P756" s="164"/>
      <c r="Q756" s="201"/>
      <c r="R756" s="201"/>
      <c r="S756" s="17"/>
      <c r="T756" s="17"/>
    </row>
    <row r="757">
      <c r="A757" s="337"/>
      <c r="B757" s="164"/>
      <c r="C757" s="337"/>
      <c r="D757" s="177"/>
      <c r="E757" s="337"/>
      <c r="F757" s="164"/>
      <c r="G757" s="337"/>
      <c r="H757" s="164"/>
      <c r="I757" s="344"/>
      <c r="J757" s="177"/>
      <c r="K757" s="344"/>
      <c r="L757" s="177"/>
      <c r="M757" s="344"/>
      <c r="N757" s="177"/>
      <c r="O757" s="337"/>
      <c r="P757" s="164"/>
      <c r="Q757" s="201"/>
      <c r="R757" s="201"/>
      <c r="S757" s="17"/>
      <c r="T757" s="17"/>
    </row>
    <row r="758">
      <c r="A758" s="337"/>
      <c r="B758" s="164"/>
      <c r="C758" s="337"/>
      <c r="D758" s="177"/>
      <c r="E758" s="337"/>
      <c r="F758" s="164"/>
      <c r="G758" s="337"/>
      <c r="H758" s="164"/>
      <c r="I758" s="344"/>
      <c r="J758" s="177"/>
      <c r="K758" s="344"/>
      <c r="L758" s="177"/>
      <c r="M758" s="344"/>
      <c r="N758" s="177"/>
      <c r="O758" s="337"/>
      <c r="P758" s="164"/>
      <c r="Q758" s="201"/>
      <c r="R758" s="201"/>
      <c r="S758" s="17"/>
      <c r="T758" s="17"/>
    </row>
    <row r="759">
      <c r="A759" s="337"/>
      <c r="B759" s="164"/>
      <c r="C759" s="337"/>
      <c r="D759" s="177"/>
      <c r="E759" s="337"/>
      <c r="F759" s="164"/>
      <c r="G759" s="337"/>
      <c r="H759" s="164"/>
      <c r="I759" s="344"/>
      <c r="J759" s="177"/>
      <c r="K759" s="344"/>
      <c r="L759" s="177"/>
      <c r="M759" s="344"/>
      <c r="N759" s="177"/>
      <c r="O759" s="337"/>
      <c r="P759" s="164"/>
      <c r="Q759" s="201"/>
      <c r="R759" s="201"/>
      <c r="S759" s="17"/>
      <c r="T759" s="17"/>
    </row>
    <row r="760">
      <c r="A760" s="337"/>
      <c r="B760" s="164"/>
      <c r="C760" s="337"/>
      <c r="D760" s="177"/>
      <c r="E760" s="337"/>
      <c r="F760" s="164"/>
      <c r="G760" s="337"/>
      <c r="H760" s="164"/>
      <c r="I760" s="344"/>
      <c r="J760" s="177"/>
      <c r="K760" s="344"/>
      <c r="L760" s="177"/>
      <c r="M760" s="344"/>
      <c r="N760" s="177"/>
      <c r="O760" s="337"/>
      <c r="P760" s="164"/>
      <c r="Q760" s="201"/>
      <c r="R760" s="201"/>
      <c r="S760" s="17"/>
      <c r="T760" s="17"/>
    </row>
    <row r="761">
      <c r="A761" s="337"/>
      <c r="B761" s="164"/>
      <c r="C761" s="337"/>
      <c r="D761" s="177"/>
      <c r="E761" s="337"/>
      <c r="F761" s="164"/>
      <c r="G761" s="337"/>
      <c r="H761" s="164"/>
      <c r="I761" s="344"/>
      <c r="J761" s="177"/>
      <c r="K761" s="344"/>
      <c r="L761" s="177"/>
      <c r="M761" s="344"/>
      <c r="N761" s="177"/>
      <c r="O761" s="337"/>
      <c r="P761" s="164"/>
      <c r="Q761" s="201"/>
      <c r="R761" s="201"/>
      <c r="S761" s="17"/>
      <c r="T761" s="17"/>
    </row>
    <row r="762">
      <c r="A762" s="337"/>
      <c r="B762" s="164"/>
      <c r="C762" s="337"/>
      <c r="D762" s="177"/>
      <c r="E762" s="337"/>
      <c r="F762" s="164"/>
      <c r="G762" s="337"/>
      <c r="H762" s="164"/>
      <c r="I762" s="344"/>
      <c r="J762" s="177"/>
      <c r="K762" s="344"/>
      <c r="L762" s="177"/>
      <c r="M762" s="344"/>
      <c r="N762" s="177"/>
      <c r="O762" s="337"/>
      <c r="P762" s="164"/>
      <c r="Q762" s="201"/>
      <c r="R762" s="201"/>
      <c r="S762" s="17"/>
      <c r="T762" s="17"/>
    </row>
    <row r="763">
      <c r="A763" s="337"/>
      <c r="B763" s="164"/>
      <c r="C763" s="337"/>
      <c r="D763" s="177"/>
      <c r="E763" s="337"/>
      <c r="F763" s="164"/>
      <c r="G763" s="337"/>
      <c r="H763" s="164"/>
      <c r="I763" s="344"/>
      <c r="J763" s="177"/>
      <c r="K763" s="344"/>
      <c r="L763" s="177"/>
      <c r="M763" s="344"/>
      <c r="N763" s="177"/>
      <c r="O763" s="337"/>
      <c r="P763" s="164"/>
      <c r="Q763" s="201"/>
      <c r="R763" s="201"/>
      <c r="S763" s="17"/>
      <c r="T763" s="17"/>
    </row>
    <row r="764">
      <c r="A764" s="337"/>
      <c r="B764" s="164"/>
      <c r="C764" s="337"/>
      <c r="D764" s="177"/>
      <c r="E764" s="337"/>
      <c r="F764" s="164"/>
      <c r="G764" s="337"/>
      <c r="H764" s="164"/>
      <c r="I764" s="344"/>
      <c r="J764" s="177"/>
      <c r="K764" s="344"/>
      <c r="L764" s="177"/>
      <c r="M764" s="344"/>
      <c r="N764" s="177"/>
      <c r="O764" s="337"/>
      <c r="P764" s="164"/>
      <c r="Q764" s="201"/>
      <c r="R764" s="201"/>
      <c r="S764" s="17"/>
      <c r="T764" s="17"/>
    </row>
    <row r="765">
      <c r="A765" s="337"/>
      <c r="B765" s="164"/>
      <c r="C765" s="337"/>
      <c r="D765" s="177"/>
      <c r="E765" s="337"/>
      <c r="F765" s="164"/>
      <c r="G765" s="337"/>
      <c r="H765" s="164"/>
      <c r="I765" s="344"/>
      <c r="J765" s="177"/>
      <c r="K765" s="344"/>
      <c r="L765" s="177"/>
      <c r="M765" s="344"/>
      <c r="N765" s="177"/>
      <c r="O765" s="337"/>
      <c r="P765" s="164"/>
      <c r="Q765" s="201"/>
      <c r="R765" s="201"/>
      <c r="S765" s="17"/>
      <c r="T765" s="17"/>
    </row>
    <row r="766">
      <c r="A766" s="337"/>
      <c r="B766" s="164"/>
      <c r="C766" s="337"/>
      <c r="D766" s="177"/>
      <c r="E766" s="337"/>
      <c r="F766" s="164"/>
      <c r="G766" s="337"/>
      <c r="H766" s="164"/>
      <c r="I766" s="344"/>
      <c r="J766" s="177"/>
      <c r="K766" s="344"/>
      <c r="L766" s="177"/>
      <c r="M766" s="344"/>
      <c r="N766" s="177"/>
      <c r="O766" s="337"/>
      <c r="P766" s="164"/>
      <c r="Q766" s="201"/>
      <c r="R766" s="201"/>
      <c r="S766" s="17"/>
      <c r="T766" s="17"/>
    </row>
    <row r="767">
      <c r="A767" s="337"/>
      <c r="B767" s="164"/>
      <c r="C767" s="337"/>
      <c r="D767" s="177"/>
      <c r="E767" s="337"/>
      <c r="F767" s="164"/>
      <c r="G767" s="337"/>
      <c r="H767" s="164"/>
      <c r="I767" s="344"/>
      <c r="J767" s="177"/>
      <c r="K767" s="344"/>
      <c r="L767" s="177"/>
      <c r="M767" s="344"/>
      <c r="N767" s="177"/>
      <c r="O767" s="337"/>
      <c r="P767" s="164"/>
      <c r="Q767" s="201"/>
      <c r="R767" s="201"/>
      <c r="S767" s="17"/>
      <c r="T767" s="17"/>
    </row>
    <row r="768">
      <c r="A768" s="337"/>
      <c r="B768" s="164"/>
      <c r="C768" s="337"/>
      <c r="D768" s="177"/>
      <c r="E768" s="337"/>
      <c r="F768" s="164"/>
      <c r="G768" s="337"/>
      <c r="H768" s="164"/>
      <c r="I768" s="344"/>
      <c r="J768" s="177"/>
      <c r="K768" s="344"/>
      <c r="L768" s="177"/>
      <c r="M768" s="344"/>
      <c r="N768" s="177"/>
      <c r="O768" s="337"/>
      <c r="P768" s="164"/>
      <c r="Q768" s="201"/>
      <c r="R768" s="201"/>
      <c r="S768" s="17"/>
      <c r="T768" s="17"/>
    </row>
    <row r="769">
      <c r="A769" s="337"/>
      <c r="B769" s="164"/>
      <c r="C769" s="337"/>
      <c r="D769" s="177"/>
      <c r="E769" s="337"/>
      <c r="F769" s="164"/>
      <c r="G769" s="337"/>
      <c r="H769" s="164"/>
      <c r="I769" s="344"/>
      <c r="J769" s="177"/>
      <c r="K769" s="344"/>
      <c r="L769" s="177"/>
      <c r="M769" s="344"/>
      <c r="N769" s="177"/>
      <c r="O769" s="337"/>
      <c r="P769" s="164"/>
      <c r="Q769" s="201"/>
      <c r="R769" s="201"/>
      <c r="S769" s="17"/>
      <c r="T769" s="17"/>
    </row>
    <row r="770">
      <c r="A770" s="337"/>
      <c r="B770" s="164"/>
      <c r="C770" s="337"/>
      <c r="D770" s="177"/>
      <c r="E770" s="337"/>
      <c r="F770" s="164"/>
      <c r="G770" s="337"/>
      <c r="H770" s="164"/>
      <c r="I770" s="344"/>
      <c r="J770" s="177"/>
      <c r="K770" s="344"/>
      <c r="L770" s="177"/>
      <c r="M770" s="344"/>
      <c r="N770" s="177"/>
      <c r="O770" s="337"/>
      <c r="P770" s="164"/>
      <c r="Q770" s="201"/>
      <c r="R770" s="201"/>
      <c r="S770" s="17"/>
      <c r="T770" s="17"/>
    </row>
    <row r="771">
      <c r="A771" s="337"/>
      <c r="B771" s="164"/>
      <c r="C771" s="337"/>
      <c r="D771" s="177"/>
      <c r="E771" s="337"/>
      <c r="F771" s="164"/>
      <c r="G771" s="337"/>
      <c r="H771" s="164"/>
      <c r="I771" s="344"/>
      <c r="J771" s="177"/>
      <c r="K771" s="344"/>
      <c r="L771" s="177"/>
      <c r="M771" s="344"/>
      <c r="N771" s="177"/>
      <c r="O771" s="337"/>
      <c r="P771" s="164"/>
      <c r="Q771" s="201"/>
      <c r="R771" s="201"/>
      <c r="S771" s="17"/>
      <c r="T771" s="17"/>
    </row>
    <row r="772">
      <c r="A772" s="337"/>
      <c r="B772" s="164"/>
      <c r="C772" s="337"/>
      <c r="D772" s="177"/>
      <c r="E772" s="337"/>
      <c r="F772" s="164"/>
      <c r="G772" s="337"/>
      <c r="H772" s="164"/>
      <c r="I772" s="344"/>
      <c r="J772" s="177"/>
      <c r="K772" s="344"/>
      <c r="L772" s="177"/>
      <c r="M772" s="344"/>
      <c r="N772" s="177"/>
      <c r="O772" s="337"/>
      <c r="P772" s="164"/>
      <c r="Q772" s="201"/>
      <c r="R772" s="201"/>
      <c r="S772" s="17"/>
      <c r="T772" s="17"/>
    </row>
    <row r="773">
      <c r="A773" s="337"/>
      <c r="B773" s="164"/>
      <c r="C773" s="337"/>
      <c r="D773" s="177"/>
      <c r="E773" s="337"/>
      <c r="F773" s="164"/>
      <c r="G773" s="337"/>
      <c r="H773" s="164"/>
      <c r="I773" s="344"/>
      <c r="J773" s="177"/>
      <c r="K773" s="344"/>
      <c r="L773" s="177"/>
      <c r="M773" s="344"/>
      <c r="N773" s="177"/>
      <c r="O773" s="337"/>
      <c r="P773" s="164"/>
      <c r="Q773" s="201"/>
      <c r="R773" s="201"/>
      <c r="S773" s="17"/>
      <c r="T773" s="17"/>
    </row>
    <row r="774">
      <c r="A774" s="337"/>
      <c r="B774" s="164"/>
      <c r="C774" s="337"/>
      <c r="D774" s="177"/>
      <c r="E774" s="337"/>
      <c r="F774" s="164"/>
      <c r="G774" s="337"/>
      <c r="H774" s="164"/>
      <c r="I774" s="344"/>
      <c r="J774" s="177"/>
      <c r="K774" s="344"/>
      <c r="L774" s="177"/>
      <c r="M774" s="344"/>
      <c r="N774" s="177"/>
      <c r="O774" s="337"/>
      <c r="P774" s="164"/>
      <c r="Q774" s="201"/>
      <c r="R774" s="201"/>
      <c r="S774" s="17"/>
      <c r="T774" s="17"/>
    </row>
    <row r="775">
      <c r="A775" s="337"/>
      <c r="B775" s="164"/>
      <c r="C775" s="337"/>
      <c r="D775" s="177"/>
      <c r="E775" s="337"/>
      <c r="F775" s="164"/>
      <c r="G775" s="337"/>
      <c r="H775" s="164"/>
      <c r="I775" s="344"/>
      <c r="J775" s="177"/>
      <c r="K775" s="344"/>
      <c r="L775" s="177"/>
      <c r="M775" s="344"/>
      <c r="N775" s="177"/>
      <c r="O775" s="337"/>
      <c r="P775" s="164"/>
      <c r="Q775" s="201"/>
      <c r="R775" s="201"/>
      <c r="S775" s="17"/>
      <c r="T775" s="17"/>
    </row>
    <row r="776">
      <c r="A776" s="337"/>
      <c r="B776" s="164"/>
      <c r="C776" s="337"/>
      <c r="D776" s="177"/>
      <c r="E776" s="337"/>
      <c r="F776" s="164"/>
      <c r="G776" s="337"/>
      <c r="H776" s="164"/>
      <c r="I776" s="344"/>
      <c r="J776" s="177"/>
      <c r="K776" s="344"/>
      <c r="L776" s="177"/>
      <c r="M776" s="344"/>
      <c r="N776" s="177"/>
      <c r="O776" s="337"/>
      <c r="P776" s="164"/>
      <c r="Q776" s="201"/>
      <c r="R776" s="201"/>
      <c r="S776" s="17"/>
      <c r="T776" s="17"/>
    </row>
    <row r="777">
      <c r="A777" s="337"/>
      <c r="B777" s="164"/>
      <c r="C777" s="337"/>
      <c r="D777" s="177"/>
      <c r="E777" s="337"/>
      <c r="F777" s="164"/>
      <c r="G777" s="337"/>
      <c r="H777" s="164"/>
      <c r="I777" s="344"/>
      <c r="J777" s="177"/>
      <c r="K777" s="344"/>
      <c r="L777" s="177"/>
      <c r="M777" s="344"/>
      <c r="N777" s="177"/>
      <c r="O777" s="337"/>
      <c r="P777" s="164"/>
      <c r="Q777" s="201"/>
      <c r="R777" s="201"/>
      <c r="S777" s="17"/>
      <c r="T777" s="17"/>
    </row>
    <row r="778">
      <c r="A778" s="337"/>
      <c r="B778" s="164"/>
      <c r="C778" s="337"/>
      <c r="D778" s="177"/>
      <c r="E778" s="337"/>
      <c r="F778" s="164"/>
      <c r="G778" s="337"/>
      <c r="H778" s="164"/>
      <c r="I778" s="344"/>
      <c r="J778" s="177"/>
      <c r="K778" s="344"/>
      <c r="L778" s="177"/>
      <c r="M778" s="344"/>
      <c r="N778" s="177"/>
      <c r="O778" s="337"/>
      <c r="P778" s="164"/>
      <c r="Q778" s="201"/>
      <c r="R778" s="201"/>
      <c r="S778" s="17"/>
      <c r="T778" s="17"/>
    </row>
    <row r="779">
      <c r="A779" s="337"/>
      <c r="B779" s="164"/>
      <c r="C779" s="337"/>
      <c r="D779" s="177"/>
      <c r="E779" s="337"/>
      <c r="F779" s="164"/>
      <c r="G779" s="337"/>
      <c r="H779" s="164"/>
      <c r="I779" s="344"/>
      <c r="J779" s="177"/>
      <c r="K779" s="344"/>
      <c r="L779" s="177"/>
      <c r="M779" s="344"/>
      <c r="N779" s="177"/>
      <c r="O779" s="337"/>
      <c r="P779" s="164"/>
      <c r="Q779" s="201"/>
      <c r="R779" s="201"/>
      <c r="S779" s="17"/>
      <c r="T779" s="17"/>
    </row>
    <row r="780">
      <c r="A780" s="337"/>
      <c r="B780" s="164"/>
      <c r="C780" s="337"/>
      <c r="D780" s="177"/>
      <c r="E780" s="337"/>
      <c r="F780" s="164"/>
      <c r="G780" s="337"/>
      <c r="H780" s="164"/>
      <c r="I780" s="344"/>
      <c r="J780" s="177"/>
      <c r="K780" s="344"/>
      <c r="L780" s="177"/>
      <c r="M780" s="344"/>
      <c r="N780" s="177"/>
      <c r="O780" s="337"/>
      <c r="P780" s="164"/>
      <c r="Q780" s="201"/>
      <c r="R780" s="201"/>
      <c r="S780" s="17"/>
      <c r="T780" s="17"/>
    </row>
    <row r="781">
      <c r="A781" s="337"/>
      <c r="B781" s="164"/>
      <c r="C781" s="337"/>
      <c r="D781" s="177"/>
      <c r="E781" s="337"/>
      <c r="F781" s="164"/>
      <c r="G781" s="337"/>
      <c r="H781" s="164"/>
      <c r="I781" s="344"/>
      <c r="J781" s="177"/>
      <c r="K781" s="344"/>
      <c r="L781" s="177"/>
      <c r="M781" s="344"/>
      <c r="N781" s="177"/>
      <c r="O781" s="337"/>
      <c r="P781" s="164"/>
      <c r="Q781" s="201"/>
      <c r="R781" s="201"/>
      <c r="S781" s="17"/>
      <c r="T781" s="17"/>
    </row>
    <row r="782">
      <c r="A782" s="337"/>
      <c r="B782" s="164"/>
      <c r="C782" s="337"/>
      <c r="D782" s="177"/>
      <c r="E782" s="337"/>
      <c r="F782" s="164"/>
      <c r="G782" s="337"/>
      <c r="H782" s="164"/>
      <c r="I782" s="344"/>
      <c r="J782" s="177"/>
      <c r="K782" s="344"/>
      <c r="L782" s="177"/>
      <c r="M782" s="344"/>
      <c r="N782" s="177"/>
      <c r="O782" s="337"/>
      <c r="P782" s="164"/>
      <c r="Q782" s="201"/>
      <c r="R782" s="201"/>
      <c r="S782" s="17"/>
      <c r="T782" s="17"/>
    </row>
    <row r="783">
      <c r="A783" s="337"/>
      <c r="B783" s="164"/>
      <c r="C783" s="337"/>
      <c r="D783" s="177"/>
      <c r="E783" s="337"/>
      <c r="F783" s="164"/>
      <c r="G783" s="337"/>
      <c r="H783" s="164"/>
      <c r="I783" s="344"/>
      <c r="J783" s="177"/>
      <c r="K783" s="344"/>
      <c r="L783" s="177"/>
      <c r="M783" s="344"/>
      <c r="N783" s="177"/>
      <c r="O783" s="337"/>
      <c r="P783" s="164"/>
      <c r="Q783" s="201"/>
      <c r="R783" s="201"/>
      <c r="S783" s="17"/>
      <c r="T783" s="17"/>
    </row>
    <row r="784">
      <c r="A784" s="337"/>
      <c r="B784" s="164"/>
      <c r="C784" s="337"/>
      <c r="D784" s="177"/>
      <c r="E784" s="337"/>
      <c r="F784" s="164"/>
      <c r="G784" s="337"/>
      <c r="H784" s="164"/>
      <c r="I784" s="344"/>
      <c r="J784" s="177"/>
      <c r="K784" s="344"/>
      <c r="L784" s="177"/>
      <c r="M784" s="344"/>
      <c r="N784" s="177"/>
      <c r="O784" s="337"/>
      <c r="P784" s="164"/>
      <c r="Q784" s="201"/>
      <c r="R784" s="201"/>
      <c r="S784" s="17"/>
      <c r="T784" s="17"/>
    </row>
    <row r="785">
      <c r="A785" s="337"/>
      <c r="B785" s="164"/>
      <c r="C785" s="337"/>
      <c r="D785" s="177"/>
      <c r="E785" s="337"/>
      <c r="F785" s="164"/>
      <c r="G785" s="337"/>
      <c r="H785" s="164"/>
      <c r="I785" s="344"/>
      <c r="J785" s="177"/>
      <c r="K785" s="344"/>
      <c r="L785" s="177"/>
      <c r="M785" s="344"/>
      <c r="N785" s="177"/>
      <c r="O785" s="337"/>
      <c r="P785" s="164"/>
      <c r="Q785" s="201"/>
      <c r="R785" s="201"/>
      <c r="S785" s="17"/>
      <c r="T785" s="17"/>
    </row>
    <row r="786">
      <c r="A786" s="337"/>
      <c r="B786" s="164"/>
      <c r="C786" s="337"/>
      <c r="D786" s="177"/>
      <c r="E786" s="337"/>
      <c r="F786" s="164"/>
      <c r="G786" s="337"/>
      <c r="H786" s="164"/>
      <c r="I786" s="344"/>
      <c r="J786" s="177"/>
      <c r="K786" s="344"/>
      <c r="L786" s="177"/>
      <c r="M786" s="344"/>
      <c r="N786" s="177"/>
      <c r="O786" s="337"/>
      <c r="P786" s="164"/>
      <c r="Q786" s="201"/>
      <c r="R786" s="201"/>
      <c r="S786" s="17"/>
      <c r="T786" s="17"/>
    </row>
    <row r="787">
      <c r="A787" s="337"/>
      <c r="B787" s="164"/>
      <c r="C787" s="337"/>
      <c r="D787" s="177"/>
      <c r="E787" s="337"/>
      <c r="F787" s="164"/>
      <c r="G787" s="337"/>
      <c r="H787" s="164"/>
      <c r="I787" s="344"/>
      <c r="J787" s="177"/>
      <c r="K787" s="344"/>
      <c r="L787" s="177"/>
      <c r="M787" s="344"/>
      <c r="N787" s="177"/>
      <c r="O787" s="337"/>
      <c r="P787" s="164"/>
      <c r="Q787" s="201"/>
      <c r="R787" s="201"/>
      <c r="S787" s="17"/>
      <c r="T787" s="17"/>
    </row>
    <row r="788">
      <c r="A788" s="337"/>
      <c r="B788" s="164"/>
      <c r="C788" s="337"/>
      <c r="D788" s="177"/>
      <c r="E788" s="337"/>
      <c r="F788" s="164"/>
      <c r="G788" s="337"/>
      <c r="H788" s="164"/>
      <c r="I788" s="344"/>
      <c r="J788" s="177"/>
      <c r="K788" s="344"/>
      <c r="L788" s="177"/>
      <c r="M788" s="344"/>
      <c r="N788" s="177"/>
      <c r="O788" s="337"/>
      <c r="P788" s="164"/>
      <c r="Q788" s="201"/>
      <c r="R788" s="201"/>
      <c r="S788" s="17"/>
      <c r="T788" s="17"/>
    </row>
    <row r="789">
      <c r="A789" s="337"/>
      <c r="B789" s="164"/>
      <c r="C789" s="337"/>
      <c r="D789" s="177"/>
      <c r="E789" s="337"/>
      <c r="F789" s="164"/>
      <c r="G789" s="337"/>
      <c r="H789" s="164"/>
      <c r="I789" s="344"/>
      <c r="J789" s="177"/>
      <c r="K789" s="344"/>
      <c r="L789" s="177"/>
      <c r="M789" s="344"/>
      <c r="N789" s="177"/>
      <c r="O789" s="337"/>
      <c r="P789" s="164"/>
      <c r="Q789" s="201"/>
      <c r="R789" s="201"/>
      <c r="S789" s="17"/>
      <c r="T789" s="17"/>
    </row>
    <row r="790">
      <c r="A790" s="337"/>
      <c r="B790" s="164"/>
      <c r="C790" s="337"/>
      <c r="D790" s="177"/>
      <c r="E790" s="337"/>
      <c r="F790" s="164"/>
      <c r="G790" s="337"/>
      <c r="H790" s="164"/>
      <c r="I790" s="344"/>
      <c r="J790" s="177"/>
      <c r="K790" s="344"/>
      <c r="L790" s="177"/>
      <c r="M790" s="344"/>
      <c r="N790" s="177"/>
      <c r="O790" s="337"/>
      <c r="P790" s="164"/>
      <c r="Q790" s="201"/>
      <c r="R790" s="201"/>
      <c r="S790" s="17"/>
      <c r="T790" s="17"/>
    </row>
    <row r="791">
      <c r="A791" s="337"/>
      <c r="B791" s="164"/>
      <c r="C791" s="337"/>
      <c r="D791" s="177"/>
      <c r="E791" s="337"/>
      <c r="F791" s="164"/>
      <c r="G791" s="337"/>
      <c r="H791" s="164"/>
      <c r="I791" s="344"/>
      <c r="J791" s="177"/>
      <c r="K791" s="344"/>
      <c r="L791" s="177"/>
      <c r="M791" s="344"/>
      <c r="N791" s="177"/>
      <c r="O791" s="337"/>
      <c r="P791" s="164"/>
      <c r="Q791" s="201"/>
      <c r="R791" s="201"/>
      <c r="S791" s="17"/>
      <c r="T791" s="17"/>
    </row>
    <row r="792">
      <c r="A792" s="337"/>
      <c r="B792" s="164"/>
      <c r="C792" s="337"/>
      <c r="D792" s="177"/>
      <c r="E792" s="337"/>
      <c r="F792" s="164"/>
      <c r="G792" s="337"/>
      <c r="H792" s="164"/>
      <c r="I792" s="344"/>
      <c r="J792" s="177"/>
      <c r="K792" s="344"/>
      <c r="L792" s="177"/>
      <c r="M792" s="344"/>
      <c r="N792" s="177"/>
      <c r="O792" s="337"/>
      <c r="P792" s="164"/>
      <c r="Q792" s="201"/>
      <c r="R792" s="201"/>
      <c r="S792" s="17"/>
      <c r="T792" s="17"/>
    </row>
    <row r="793">
      <c r="A793" s="337"/>
      <c r="B793" s="164"/>
      <c r="C793" s="337"/>
      <c r="D793" s="177"/>
      <c r="E793" s="337"/>
      <c r="F793" s="164"/>
      <c r="G793" s="337"/>
      <c r="H793" s="164"/>
      <c r="I793" s="344"/>
      <c r="J793" s="177"/>
      <c r="K793" s="344"/>
      <c r="L793" s="177"/>
      <c r="M793" s="344"/>
      <c r="N793" s="177"/>
      <c r="O793" s="337"/>
      <c r="P793" s="164"/>
      <c r="Q793" s="201"/>
      <c r="R793" s="201"/>
      <c r="S793" s="17"/>
      <c r="T793" s="17"/>
    </row>
    <row r="794">
      <c r="A794" s="337"/>
      <c r="B794" s="164"/>
      <c r="C794" s="337"/>
      <c r="D794" s="177"/>
      <c r="E794" s="337"/>
      <c r="F794" s="164"/>
      <c r="G794" s="337"/>
      <c r="H794" s="164"/>
      <c r="I794" s="344"/>
      <c r="J794" s="177"/>
      <c r="K794" s="344"/>
      <c r="L794" s="177"/>
      <c r="M794" s="344"/>
      <c r="N794" s="177"/>
      <c r="O794" s="337"/>
      <c r="P794" s="164"/>
      <c r="Q794" s="201"/>
      <c r="R794" s="201"/>
      <c r="S794" s="17"/>
      <c r="T794" s="17"/>
    </row>
    <row r="795">
      <c r="A795" s="337"/>
      <c r="B795" s="164"/>
      <c r="C795" s="337"/>
      <c r="D795" s="177"/>
      <c r="E795" s="337"/>
      <c r="F795" s="164"/>
      <c r="G795" s="337"/>
      <c r="H795" s="164"/>
      <c r="I795" s="344"/>
      <c r="J795" s="177"/>
      <c r="K795" s="344"/>
      <c r="L795" s="177"/>
      <c r="M795" s="344"/>
      <c r="N795" s="177"/>
      <c r="O795" s="337"/>
      <c r="P795" s="164"/>
      <c r="Q795" s="201"/>
      <c r="R795" s="201"/>
      <c r="S795" s="17"/>
      <c r="T795" s="17"/>
    </row>
    <row r="796">
      <c r="A796" s="337"/>
      <c r="B796" s="164"/>
      <c r="C796" s="337"/>
      <c r="D796" s="177"/>
      <c r="E796" s="337"/>
      <c r="F796" s="164"/>
      <c r="G796" s="337"/>
      <c r="H796" s="164"/>
      <c r="I796" s="344"/>
      <c r="J796" s="177"/>
      <c r="K796" s="344"/>
      <c r="L796" s="177"/>
      <c r="M796" s="344"/>
      <c r="N796" s="177"/>
      <c r="O796" s="337"/>
      <c r="P796" s="164"/>
      <c r="Q796" s="201"/>
      <c r="R796" s="201"/>
      <c r="S796" s="17"/>
      <c r="T796" s="17"/>
    </row>
    <row r="797">
      <c r="A797" s="337"/>
      <c r="B797" s="164"/>
      <c r="C797" s="337"/>
      <c r="D797" s="177"/>
      <c r="E797" s="337"/>
      <c r="F797" s="164"/>
      <c r="G797" s="337"/>
      <c r="H797" s="164"/>
      <c r="I797" s="344"/>
      <c r="J797" s="177"/>
      <c r="K797" s="344"/>
      <c r="L797" s="177"/>
      <c r="M797" s="344"/>
      <c r="N797" s="177"/>
      <c r="O797" s="337"/>
      <c r="P797" s="164"/>
      <c r="Q797" s="201"/>
      <c r="R797" s="201"/>
      <c r="S797" s="17"/>
      <c r="T797" s="17"/>
    </row>
    <row r="798">
      <c r="A798" s="337"/>
      <c r="B798" s="164"/>
      <c r="C798" s="337"/>
      <c r="D798" s="177"/>
      <c r="E798" s="337"/>
      <c r="F798" s="164"/>
      <c r="G798" s="337"/>
      <c r="H798" s="164"/>
      <c r="I798" s="344"/>
      <c r="J798" s="177"/>
      <c r="K798" s="344"/>
      <c r="L798" s="177"/>
      <c r="M798" s="344"/>
      <c r="N798" s="177"/>
      <c r="O798" s="337"/>
      <c r="P798" s="164"/>
      <c r="Q798" s="201"/>
      <c r="R798" s="201"/>
      <c r="S798" s="17"/>
      <c r="T798" s="17"/>
    </row>
    <row r="799">
      <c r="A799" s="337"/>
      <c r="B799" s="164"/>
      <c r="C799" s="337"/>
      <c r="D799" s="177"/>
      <c r="E799" s="337"/>
      <c r="F799" s="164"/>
      <c r="G799" s="337"/>
      <c r="H799" s="164"/>
      <c r="I799" s="344"/>
      <c r="J799" s="177"/>
      <c r="K799" s="344"/>
      <c r="L799" s="177"/>
      <c r="M799" s="344"/>
      <c r="N799" s="177"/>
      <c r="O799" s="337"/>
      <c r="P799" s="164"/>
      <c r="Q799" s="201"/>
      <c r="R799" s="201"/>
      <c r="S799" s="17"/>
      <c r="T799" s="17"/>
    </row>
    <row r="800">
      <c r="A800" s="337"/>
      <c r="B800" s="164"/>
      <c r="C800" s="337"/>
      <c r="D800" s="177"/>
      <c r="E800" s="337"/>
      <c r="F800" s="164"/>
      <c r="G800" s="337"/>
      <c r="H800" s="164"/>
      <c r="I800" s="344"/>
      <c r="J800" s="177"/>
      <c r="K800" s="344"/>
      <c r="L800" s="177"/>
      <c r="M800" s="344"/>
      <c r="N800" s="177"/>
      <c r="O800" s="337"/>
      <c r="P800" s="164"/>
      <c r="Q800" s="201"/>
      <c r="R800" s="201"/>
      <c r="S800" s="17"/>
      <c r="T800" s="17"/>
    </row>
    <row r="801">
      <c r="A801" s="337"/>
      <c r="B801" s="164"/>
      <c r="C801" s="337"/>
      <c r="D801" s="177"/>
      <c r="E801" s="337"/>
      <c r="F801" s="164"/>
      <c r="G801" s="337"/>
      <c r="H801" s="164"/>
      <c r="I801" s="344"/>
      <c r="J801" s="177"/>
      <c r="K801" s="344"/>
      <c r="L801" s="177"/>
      <c r="M801" s="344"/>
      <c r="N801" s="177"/>
      <c r="O801" s="337"/>
      <c r="P801" s="164"/>
      <c r="Q801" s="201"/>
      <c r="R801" s="201"/>
      <c r="S801" s="17"/>
      <c r="T801" s="17"/>
    </row>
    <row r="802">
      <c r="A802" s="337"/>
      <c r="B802" s="164"/>
      <c r="C802" s="337"/>
      <c r="D802" s="177"/>
      <c r="E802" s="337"/>
      <c r="F802" s="164"/>
      <c r="G802" s="337"/>
      <c r="H802" s="164"/>
      <c r="I802" s="344"/>
      <c r="J802" s="177"/>
      <c r="K802" s="344"/>
      <c r="L802" s="177"/>
      <c r="M802" s="344"/>
      <c r="N802" s="177"/>
      <c r="O802" s="337"/>
      <c r="P802" s="164"/>
      <c r="Q802" s="201"/>
      <c r="R802" s="201"/>
      <c r="S802" s="17"/>
      <c r="T802" s="17"/>
    </row>
    <row r="803">
      <c r="A803" s="337"/>
      <c r="B803" s="164"/>
      <c r="C803" s="337"/>
      <c r="D803" s="177"/>
      <c r="E803" s="337"/>
      <c r="F803" s="164"/>
      <c r="G803" s="337"/>
      <c r="H803" s="164"/>
      <c r="I803" s="344"/>
      <c r="J803" s="177"/>
      <c r="K803" s="344"/>
      <c r="L803" s="177"/>
      <c r="M803" s="344"/>
      <c r="N803" s="177"/>
      <c r="O803" s="337"/>
      <c r="P803" s="164"/>
      <c r="Q803" s="201"/>
      <c r="R803" s="201"/>
      <c r="S803" s="17"/>
      <c r="T803" s="17"/>
    </row>
    <row r="804">
      <c r="A804" s="337"/>
      <c r="B804" s="164"/>
      <c r="C804" s="337"/>
      <c r="D804" s="177"/>
      <c r="E804" s="337"/>
      <c r="F804" s="164"/>
      <c r="G804" s="337"/>
      <c r="H804" s="164"/>
      <c r="I804" s="344"/>
      <c r="J804" s="177"/>
      <c r="K804" s="344"/>
      <c r="L804" s="177"/>
      <c r="M804" s="344"/>
      <c r="N804" s="177"/>
      <c r="O804" s="337"/>
      <c r="P804" s="164"/>
      <c r="Q804" s="201"/>
      <c r="R804" s="201"/>
      <c r="S804" s="17"/>
      <c r="T804" s="17"/>
    </row>
    <row r="805">
      <c r="A805" s="337"/>
      <c r="B805" s="164"/>
      <c r="C805" s="337"/>
      <c r="D805" s="177"/>
      <c r="E805" s="337"/>
      <c r="F805" s="164"/>
      <c r="G805" s="337"/>
      <c r="H805" s="164"/>
      <c r="I805" s="344"/>
      <c r="J805" s="177"/>
      <c r="K805" s="344"/>
      <c r="L805" s="177"/>
      <c r="M805" s="344"/>
      <c r="N805" s="177"/>
      <c r="O805" s="337"/>
      <c r="P805" s="164"/>
      <c r="Q805" s="201"/>
      <c r="R805" s="201"/>
      <c r="S805" s="17"/>
      <c r="T805" s="17"/>
    </row>
    <row r="806">
      <c r="A806" s="337"/>
      <c r="B806" s="164"/>
      <c r="C806" s="337"/>
      <c r="D806" s="177"/>
      <c r="E806" s="337"/>
      <c r="F806" s="164"/>
      <c r="G806" s="337"/>
      <c r="H806" s="164"/>
      <c r="I806" s="344"/>
      <c r="J806" s="177"/>
      <c r="K806" s="344"/>
      <c r="L806" s="177"/>
      <c r="M806" s="344"/>
      <c r="N806" s="177"/>
      <c r="O806" s="337"/>
      <c r="P806" s="164"/>
      <c r="Q806" s="201"/>
      <c r="R806" s="201"/>
      <c r="S806" s="17"/>
      <c r="T806" s="17"/>
    </row>
    <row r="807">
      <c r="A807" s="337"/>
      <c r="B807" s="164"/>
      <c r="C807" s="337"/>
      <c r="D807" s="177"/>
      <c r="E807" s="337"/>
      <c r="F807" s="164"/>
      <c r="G807" s="337"/>
      <c r="H807" s="164"/>
      <c r="I807" s="344"/>
      <c r="J807" s="177"/>
      <c r="K807" s="344"/>
      <c r="L807" s="177"/>
      <c r="M807" s="344"/>
      <c r="N807" s="177"/>
      <c r="O807" s="337"/>
      <c r="P807" s="164"/>
      <c r="Q807" s="201"/>
      <c r="R807" s="201"/>
      <c r="S807" s="17"/>
      <c r="T807" s="17"/>
    </row>
    <row r="808">
      <c r="A808" s="337"/>
      <c r="B808" s="164"/>
      <c r="C808" s="337"/>
      <c r="D808" s="177"/>
      <c r="E808" s="337"/>
      <c r="F808" s="164"/>
      <c r="G808" s="337"/>
      <c r="H808" s="164"/>
      <c r="I808" s="344"/>
      <c r="J808" s="177"/>
      <c r="K808" s="344"/>
      <c r="L808" s="177"/>
      <c r="M808" s="344"/>
      <c r="N808" s="177"/>
      <c r="O808" s="337"/>
      <c r="P808" s="164"/>
      <c r="Q808" s="201"/>
      <c r="R808" s="201"/>
      <c r="S808" s="17"/>
      <c r="T808" s="17"/>
    </row>
    <row r="809">
      <c r="A809" s="337"/>
      <c r="B809" s="164"/>
      <c r="C809" s="337"/>
      <c r="D809" s="177"/>
      <c r="E809" s="337"/>
      <c r="F809" s="164"/>
      <c r="G809" s="337"/>
      <c r="H809" s="164"/>
      <c r="I809" s="344"/>
      <c r="J809" s="177"/>
      <c r="K809" s="344"/>
      <c r="L809" s="177"/>
      <c r="M809" s="344"/>
      <c r="N809" s="177"/>
      <c r="O809" s="337"/>
      <c r="P809" s="164"/>
      <c r="Q809" s="201"/>
      <c r="R809" s="201"/>
      <c r="S809" s="17"/>
      <c r="T809" s="17"/>
    </row>
    <row r="810">
      <c r="A810" s="337"/>
      <c r="B810" s="164"/>
      <c r="C810" s="337"/>
      <c r="D810" s="177"/>
      <c r="E810" s="337"/>
      <c r="F810" s="164"/>
      <c r="G810" s="337"/>
      <c r="H810" s="164"/>
      <c r="I810" s="344"/>
      <c r="J810" s="177"/>
      <c r="K810" s="344"/>
      <c r="L810" s="177"/>
      <c r="M810" s="344"/>
      <c r="N810" s="177"/>
      <c r="O810" s="337"/>
      <c r="P810" s="164"/>
      <c r="Q810" s="201"/>
      <c r="R810" s="201"/>
      <c r="S810" s="17"/>
      <c r="T810" s="17"/>
    </row>
    <row r="811">
      <c r="A811" s="337"/>
      <c r="B811" s="164"/>
      <c r="C811" s="337"/>
      <c r="D811" s="177"/>
      <c r="E811" s="337"/>
      <c r="F811" s="164"/>
      <c r="G811" s="337"/>
      <c r="H811" s="164"/>
      <c r="I811" s="344"/>
      <c r="J811" s="177"/>
      <c r="K811" s="344"/>
      <c r="L811" s="177"/>
      <c r="M811" s="344"/>
      <c r="N811" s="177"/>
      <c r="O811" s="337"/>
      <c r="P811" s="164"/>
      <c r="Q811" s="201"/>
      <c r="R811" s="201"/>
      <c r="S811" s="17"/>
      <c r="T811" s="17"/>
    </row>
    <row r="812">
      <c r="A812" s="337"/>
      <c r="B812" s="164"/>
      <c r="C812" s="337"/>
      <c r="D812" s="177"/>
      <c r="E812" s="337"/>
      <c r="F812" s="164"/>
      <c r="G812" s="337"/>
      <c r="H812" s="164"/>
      <c r="I812" s="344"/>
      <c r="J812" s="177"/>
      <c r="K812" s="344"/>
      <c r="L812" s="177"/>
      <c r="M812" s="344"/>
      <c r="N812" s="177"/>
      <c r="O812" s="337"/>
      <c r="P812" s="164"/>
      <c r="Q812" s="201"/>
      <c r="R812" s="201"/>
      <c r="S812" s="17"/>
      <c r="T812" s="17"/>
    </row>
    <row r="813">
      <c r="A813" s="337"/>
      <c r="B813" s="164"/>
      <c r="C813" s="337"/>
      <c r="D813" s="177"/>
      <c r="E813" s="337"/>
      <c r="F813" s="164"/>
      <c r="G813" s="337"/>
      <c r="H813" s="164"/>
      <c r="I813" s="344"/>
      <c r="J813" s="177"/>
      <c r="K813" s="344"/>
      <c r="L813" s="177"/>
      <c r="M813" s="344"/>
      <c r="N813" s="177"/>
      <c r="O813" s="337"/>
      <c r="P813" s="164"/>
      <c r="Q813" s="201"/>
      <c r="R813" s="201"/>
      <c r="S813" s="17"/>
      <c r="T813" s="17"/>
    </row>
    <row r="814">
      <c r="A814" s="337"/>
      <c r="B814" s="164"/>
      <c r="C814" s="337"/>
      <c r="D814" s="177"/>
      <c r="E814" s="337"/>
      <c r="F814" s="164"/>
      <c r="G814" s="337"/>
      <c r="H814" s="164"/>
      <c r="I814" s="344"/>
      <c r="J814" s="177"/>
      <c r="K814" s="344"/>
      <c r="L814" s="177"/>
      <c r="M814" s="344"/>
      <c r="N814" s="177"/>
      <c r="O814" s="337"/>
      <c r="P814" s="164"/>
      <c r="Q814" s="201"/>
      <c r="R814" s="201"/>
      <c r="S814" s="17"/>
      <c r="T814" s="17"/>
    </row>
    <row r="815">
      <c r="A815" s="337"/>
      <c r="B815" s="164"/>
      <c r="C815" s="337"/>
      <c r="D815" s="177"/>
      <c r="E815" s="337"/>
      <c r="F815" s="164"/>
      <c r="G815" s="337"/>
      <c r="H815" s="164"/>
      <c r="I815" s="344"/>
      <c r="J815" s="177"/>
      <c r="K815" s="344"/>
      <c r="L815" s="177"/>
      <c r="M815" s="344"/>
      <c r="N815" s="177"/>
      <c r="O815" s="337"/>
      <c r="P815" s="164"/>
      <c r="Q815" s="201"/>
      <c r="R815" s="201"/>
      <c r="S815" s="17"/>
      <c r="T815" s="17"/>
    </row>
    <row r="816">
      <c r="A816" s="337"/>
      <c r="B816" s="164"/>
      <c r="C816" s="337"/>
      <c r="D816" s="177"/>
      <c r="E816" s="337"/>
      <c r="F816" s="164"/>
      <c r="G816" s="337"/>
      <c r="H816" s="164"/>
      <c r="I816" s="344"/>
      <c r="J816" s="177"/>
      <c r="K816" s="344"/>
      <c r="L816" s="177"/>
      <c r="M816" s="344"/>
      <c r="N816" s="177"/>
      <c r="O816" s="337"/>
      <c r="P816" s="164"/>
      <c r="Q816" s="201"/>
      <c r="R816" s="201"/>
      <c r="S816" s="17"/>
      <c r="T816" s="17"/>
    </row>
    <row r="817">
      <c r="A817" s="337"/>
      <c r="B817" s="164"/>
      <c r="C817" s="337"/>
      <c r="D817" s="177"/>
      <c r="E817" s="337"/>
      <c r="F817" s="164"/>
      <c r="G817" s="337"/>
      <c r="H817" s="164"/>
      <c r="I817" s="344"/>
      <c r="J817" s="177"/>
      <c r="K817" s="344"/>
      <c r="L817" s="177"/>
      <c r="M817" s="344"/>
      <c r="N817" s="177"/>
      <c r="O817" s="337"/>
      <c r="P817" s="164"/>
      <c r="Q817" s="201"/>
      <c r="R817" s="201"/>
      <c r="S817" s="17"/>
      <c r="T817" s="17"/>
    </row>
    <row r="818">
      <c r="A818" s="337"/>
      <c r="B818" s="164"/>
      <c r="C818" s="337"/>
      <c r="D818" s="177"/>
      <c r="E818" s="337"/>
      <c r="F818" s="164"/>
      <c r="G818" s="337"/>
      <c r="H818" s="164"/>
      <c r="I818" s="344"/>
      <c r="J818" s="177"/>
      <c r="K818" s="344"/>
      <c r="L818" s="177"/>
      <c r="M818" s="344"/>
      <c r="N818" s="177"/>
      <c r="O818" s="337"/>
      <c r="P818" s="164"/>
      <c r="Q818" s="201"/>
      <c r="R818" s="201"/>
      <c r="S818" s="17"/>
      <c r="T818" s="17"/>
    </row>
    <row r="819">
      <c r="A819" s="337"/>
      <c r="B819" s="164"/>
      <c r="C819" s="337"/>
      <c r="D819" s="177"/>
      <c r="E819" s="337"/>
      <c r="F819" s="164"/>
      <c r="G819" s="337"/>
      <c r="H819" s="164"/>
      <c r="I819" s="344"/>
      <c r="J819" s="177"/>
      <c r="K819" s="344"/>
      <c r="L819" s="177"/>
      <c r="M819" s="344"/>
      <c r="N819" s="177"/>
      <c r="O819" s="337"/>
      <c r="P819" s="164"/>
      <c r="Q819" s="201"/>
      <c r="R819" s="201"/>
      <c r="S819" s="17"/>
      <c r="T819" s="17"/>
    </row>
    <row r="820">
      <c r="A820" s="337"/>
      <c r="B820" s="164"/>
      <c r="C820" s="337"/>
      <c r="D820" s="177"/>
      <c r="E820" s="337"/>
      <c r="F820" s="164"/>
      <c r="G820" s="337"/>
      <c r="H820" s="164"/>
      <c r="I820" s="344"/>
      <c r="J820" s="177"/>
      <c r="K820" s="344"/>
      <c r="L820" s="177"/>
      <c r="M820" s="344"/>
      <c r="N820" s="177"/>
      <c r="O820" s="337"/>
      <c r="P820" s="164"/>
      <c r="Q820" s="201"/>
      <c r="R820" s="201"/>
      <c r="S820" s="17"/>
      <c r="T820" s="17"/>
    </row>
    <row r="821">
      <c r="A821" s="337"/>
      <c r="B821" s="164"/>
      <c r="C821" s="337"/>
      <c r="D821" s="177"/>
      <c r="E821" s="337"/>
      <c r="F821" s="164"/>
      <c r="G821" s="337"/>
      <c r="H821" s="164"/>
      <c r="I821" s="344"/>
      <c r="J821" s="177"/>
      <c r="K821" s="344"/>
      <c r="L821" s="177"/>
      <c r="M821" s="344"/>
      <c r="N821" s="177"/>
      <c r="O821" s="337"/>
      <c r="P821" s="164"/>
      <c r="Q821" s="201"/>
      <c r="R821" s="201"/>
      <c r="S821" s="17"/>
      <c r="T821" s="17"/>
    </row>
    <row r="822">
      <c r="A822" s="337"/>
      <c r="B822" s="164"/>
      <c r="C822" s="337"/>
      <c r="D822" s="177"/>
      <c r="E822" s="337"/>
      <c r="F822" s="164"/>
      <c r="G822" s="337"/>
      <c r="H822" s="164"/>
      <c r="I822" s="344"/>
      <c r="J822" s="177"/>
      <c r="K822" s="344"/>
      <c r="L822" s="177"/>
      <c r="M822" s="344"/>
      <c r="N822" s="177"/>
      <c r="O822" s="337"/>
      <c r="P822" s="164"/>
      <c r="Q822" s="201"/>
      <c r="R822" s="201"/>
      <c r="S822" s="17"/>
      <c r="T822" s="17"/>
    </row>
    <row r="823">
      <c r="A823" s="337"/>
      <c r="B823" s="164"/>
      <c r="C823" s="337"/>
      <c r="D823" s="177"/>
      <c r="E823" s="337"/>
      <c r="F823" s="164"/>
      <c r="G823" s="337"/>
      <c r="H823" s="164"/>
      <c r="I823" s="344"/>
      <c r="J823" s="177"/>
      <c r="K823" s="344"/>
      <c r="L823" s="177"/>
      <c r="M823" s="344"/>
      <c r="N823" s="177"/>
      <c r="O823" s="337"/>
      <c r="P823" s="164"/>
      <c r="Q823" s="201"/>
      <c r="R823" s="201"/>
      <c r="S823" s="17"/>
      <c r="T823" s="17"/>
    </row>
    <row r="824">
      <c r="A824" s="337"/>
      <c r="B824" s="164"/>
      <c r="C824" s="337"/>
      <c r="D824" s="177"/>
      <c r="E824" s="337"/>
      <c r="F824" s="164"/>
      <c r="G824" s="337"/>
      <c r="H824" s="164"/>
      <c r="I824" s="344"/>
      <c r="J824" s="177"/>
      <c r="K824" s="344"/>
      <c r="L824" s="177"/>
      <c r="M824" s="344"/>
      <c r="N824" s="177"/>
      <c r="O824" s="337"/>
      <c r="P824" s="164"/>
      <c r="Q824" s="201"/>
      <c r="R824" s="201"/>
      <c r="S824" s="17"/>
      <c r="T824" s="17"/>
    </row>
    <row r="825">
      <c r="A825" s="337"/>
      <c r="B825" s="164"/>
      <c r="C825" s="337"/>
      <c r="D825" s="177"/>
      <c r="E825" s="337"/>
      <c r="F825" s="164"/>
      <c r="G825" s="337"/>
      <c r="H825" s="164"/>
      <c r="I825" s="344"/>
      <c r="J825" s="177"/>
      <c r="K825" s="344"/>
      <c r="L825" s="177"/>
      <c r="M825" s="344"/>
      <c r="N825" s="177"/>
      <c r="O825" s="337"/>
      <c r="P825" s="164"/>
      <c r="Q825" s="201"/>
      <c r="R825" s="201"/>
      <c r="S825" s="17"/>
      <c r="T825" s="17"/>
    </row>
    <row r="826">
      <c r="A826" s="337"/>
      <c r="B826" s="164"/>
      <c r="C826" s="337"/>
      <c r="D826" s="177"/>
      <c r="E826" s="337"/>
      <c r="F826" s="164"/>
      <c r="G826" s="337"/>
      <c r="H826" s="164"/>
      <c r="I826" s="344"/>
      <c r="J826" s="177"/>
      <c r="K826" s="344"/>
      <c r="L826" s="177"/>
      <c r="M826" s="344"/>
      <c r="N826" s="177"/>
      <c r="O826" s="337"/>
      <c r="P826" s="164"/>
      <c r="Q826" s="201"/>
      <c r="R826" s="201"/>
      <c r="S826" s="17"/>
      <c r="T826" s="17"/>
    </row>
    <row r="827">
      <c r="A827" s="337"/>
      <c r="B827" s="164"/>
      <c r="C827" s="337"/>
      <c r="D827" s="177"/>
      <c r="E827" s="337"/>
      <c r="F827" s="164"/>
      <c r="G827" s="337"/>
      <c r="H827" s="164"/>
      <c r="I827" s="344"/>
      <c r="J827" s="177"/>
      <c r="K827" s="344"/>
      <c r="L827" s="177"/>
      <c r="M827" s="344"/>
      <c r="N827" s="177"/>
      <c r="O827" s="337"/>
      <c r="P827" s="164"/>
      <c r="Q827" s="201"/>
      <c r="R827" s="201"/>
      <c r="S827" s="17"/>
      <c r="T827" s="17"/>
    </row>
    <row r="828">
      <c r="A828" s="337"/>
      <c r="B828" s="164"/>
      <c r="C828" s="337"/>
      <c r="D828" s="177"/>
      <c r="E828" s="337"/>
      <c r="F828" s="164"/>
      <c r="G828" s="337"/>
      <c r="H828" s="164"/>
      <c r="I828" s="344"/>
      <c r="J828" s="177"/>
      <c r="K828" s="344"/>
      <c r="L828" s="177"/>
      <c r="M828" s="344"/>
      <c r="N828" s="177"/>
      <c r="O828" s="337"/>
      <c r="P828" s="164"/>
      <c r="Q828" s="201"/>
      <c r="R828" s="201"/>
      <c r="S828" s="17"/>
      <c r="T828" s="17"/>
    </row>
    <row r="829">
      <c r="A829" s="337"/>
      <c r="B829" s="164"/>
      <c r="C829" s="337"/>
      <c r="D829" s="177"/>
      <c r="E829" s="337"/>
      <c r="F829" s="164"/>
      <c r="G829" s="337"/>
      <c r="H829" s="164"/>
      <c r="I829" s="344"/>
      <c r="J829" s="177"/>
      <c r="K829" s="344"/>
      <c r="L829" s="177"/>
      <c r="M829" s="344"/>
      <c r="N829" s="177"/>
      <c r="O829" s="337"/>
      <c r="P829" s="164"/>
      <c r="Q829" s="201"/>
      <c r="R829" s="201"/>
      <c r="S829" s="17"/>
      <c r="T829" s="17"/>
    </row>
    <row r="830">
      <c r="A830" s="337"/>
      <c r="B830" s="164"/>
      <c r="C830" s="337"/>
      <c r="D830" s="177"/>
      <c r="E830" s="337"/>
      <c r="F830" s="164"/>
      <c r="G830" s="337"/>
      <c r="H830" s="164"/>
      <c r="I830" s="344"/>
      <c r="J830" s="177"/>
      <c r="K830" s="344"/>
      <c r="L830" s="177"/>
      <c r="M830" s="344"/>
      <c r="N830" s="177"/>
      <c r="O830" s="337"/>
      <c r="P830" s="164"/>
      <c r="Q830" s="201"/>
      <c r="R830" s="201"/>
      <c r="S830" s="17"/>
      <c r="T830" s="17"/>
    </row>
    <row r="831">
      <c r="A831" s="337"/>
      <c r="B831" s="164"/>
      <c r="C831" s="337"/>
      <c r="D831" s="177"/>
      <c r="E831" s="337"/>
      <c r="F831" s="164"/>
      <c r="G831" s="337"/>
      <c r="H831" s="164"/>
      <c r="I831" s="344"/>
      <c r="J831" s="177"/>
      <c r="K831" s="344"/>
      <c r="L831" s="177"/>
      <c r="M831" s="344"/>
      <c r="N831" s="177"/>
      <c r="O831" s="337"/>
      <c r="P831" s="164"/>
      <c r="Q831" s="201"/>
      <c r="R831" s="201"/>
      <c r="S831" s="17"/>
      <c r="T831" s="17"/>
    </row>
    <row r="832">
      <c r="A832" s="337"/>
      <c r="B832" s="164"/>
      <c r="C832" s="337"/>
      <c r="D832" s="177"/>
      <c r="E832" s="337"/>
      <c r="F832" s="164"/>
      <c r="G832" s="337"/>
      <c r="H832" s="164"/>
      <c r="I832" s="344"/>
      <c r="J832" s="177"/>
      <c r="K832" s="344"/>
      <c r="L832" s="177"/>
      <c r="M832" s="344"/>
      <c r="N832" s="177"/>
      <c r="O832" s="337"/>
      <c r="P832" s="164"/>
      <c r="Q832" s="201"/>
      <c r="R832" s="201"/>
      <c r="S832" s="17"/>
      <c r="T832" s="17"/>
    </row>
    <row r="833">
      <c r="A833" s="337"/>
      <c r="B833" s="164"/>
      <c r="C833" s="337"/>
      <c r="D833" s="177"/>
      <c r="E833" s="337"/>
      <c r="F833" s="164"/>
      <c r="G833" s="337"/>
      <c r="H833" s="164"/>
      <c r="I833" s="344"/>
      <c r="J833" s="177"/>
      <c r="K833" s="344"/>
      <c r="L833" s="177"/>
      <c r="M833" s="344"/>
      <c r="N833" s="177"/>
      <c r="O833" s="337"/>
      <c r="P833" s="164"/>
      <c r="Q833" s="201"/>
      <c r="R833" s="201"/>
      <c r="S833" s="17"/>
      <c r="T833" s="17"/>
    </row>
    <row r="834">
      <c r="A834" s="337"/>
      <c r="B834" s="164"/>
      <c r="C834" s="337"/>
      <c r="D834" s="177"/>
      <c r="E834" s="337"/>
      <c r="F834" s="164"/>
      <c r="G834" s="337"/>
      <c r="H834" s="164"/>
      <c r="I834" s="344"/>
      <c r="J834" s="177"/>
      <c r="K834" s="344"/>
      <c r="L834" s="177"/>
      <c r="M834" s="344"/>
      <c r="N834" s="177"/>
      <c r="O834" s="337"/>
      <c r="P834" s="164"/>
      <c r="Q834" s="201"/>
      <c r="R834" s="201"/>
      <c r="S834" s="17"/>
      <c r="T834" s="17"/>
    </row>
    <row r="835">
      <c r="A835" s="337"/>
      <c r="B835" s="164"/>
      <c r="C835" s="337"/>
      <c r="D835" s="177"/>
      <c r="E835" s="337"/>
      <c r="F835" s="164"/>
      <c r="G835" s="337"/>
      <c r="H835" s="164"/>
      <c r="I835" s="344"/>
      <c r="J835" s="177"/>
      <c r="K835" s="344"/>
      <c r="L835" s="177"/>
      <c r="M835" s="344"/>
      <c r="N835" s="177"/>
      <c r="O835" s="337"/>
      <c r="P835" s="164"/>
      <c r="Q835" s="201"/>
      <c r="R835" s="201"/>
      <c r="S835" s="17"/>
      <c r="T835" s="17"/>
    </row>
    <row r="836">
      <c r="A836" s="337"/>
      <c r="B836" s="164"/>
      <c r="C836" s="337"/>
      <c r="D836" s="177"/>
      <c r="E836" s="337"/>
      <c r="F836" s="164"/>
      <c r="G836" s="337"/>
      <c r="H836" s="164"/>
      <c r="I836" s="344"/>
      <c r="J836" s="177"/>
      <c r="K836" s="344"/>
      <c r="L836" s="177"/>
      <c r="M836" s="344"/>
      <c r="N836" s="177"/>
      <c r="O836" s="337"/>
      <c r="P836" s="164"/>
      <c r="Q836" s="201"/>
      <c r="R836" s="201"/>
      <c r="S836" s="17"/>
      <c r="T836" s="17"/>
    </row>
    <row r="837">
      <c r="A837" s="337"/>
      <c r="B837" s="164"/>
      <c r="C837" s="337"/>
      <c r="D837" s="177"/>
      <c r="E837" s="337"/>
      <c r="F837" s="164"/>
      <c r="G837" s="337"/>
      <c r="H837" s="164"/>
      <c r="I837" s="344"/>
      <c r="J837" s="177"/>
      <c r="K837" s="344"/>
      <c r="L837" s="177"/>
      <c r="M837" s="344"/>
      <c r="N837" s="177"/>
      <c r="O837" s="337"/>
      <c r="P837" s="164"/>
      <c r="Q837" s="201"/>
      <c r="R837" s="201"/>
      <c r="S837" s="17"/>
      <c r="T837" s="17"/>
    </row>
    <row r="838">
      <c r="A838" s="337"/>
      <c r="B838" s="164"/>
      <c r="C838" s="337"/>
      <c r="D838" s="177"/>
      <c r="E838" s="337"/>
      <c r="F838" s="164"/>
      <c r="G838" s="337"/>
      <c r="H838" s="164"/>
      <c r="I838" s="344"/>
      <c r="J838" s="177"/>
      <c r="K838" s="344"/>
      <c r="L838" s="177"/>
      <c r="M838" s="344"/>
      <c r="N838" s="177"/>
      <c r="O838" s="337"/>
      <c r="P838" s="164"/>
      <c r="Q838" s="201"/>
      <c r="R838" s="201"/>
      <c r="S838" s="17"/>
      <c r="T838" s="17"/>
    </row>
    <row r="839">
      <c r="A839" s="337"/>
      <c r="B839" s="164"/>
      <c r="C839" s="337"/>
      <c r="D839" s="177"/>
      <c r="E839" s="337"/>
      <c r="F839" s="164"/>
      <c r="G839" s="337"/>
      <c r="H839" s="164"/>
      <c r="I839" s="344"/>
      <c r="J839" s="177"/>
      <c r="K839" s="344"/>
      <c r="L839" s="177"/>
      <c r="M839" s="344"/>
      <c r="N839" s="177"/>
      <c r="O839" s="337"/>
      <c r="P839" s="164"/>
      <c r="Q839" s="201"/>
      <c r="R839" s="201"/>
      <c r="S839" s="17"/>
      <c r="T839" s="17"/>
    </row>
    <row r="840">
      <c r="A840" s="337"/>
      <c r="B840" s="164"/>
      <c r="C840" s="337"/>
      <c r="D840" s="177"/>
      <c r="E840" s="337"/>
      <c r="F840" s="164"/>
      <c r="G840" s="337"/>
      <c r="H840" s="164"/>
      <c r="I840" s="344"/>
      <c r="J840" s="177"/>
      <c r="K840" s="344"/>
      <c r="L840" s="177"/>
      <c r="M840" s="344"/>
      <c r="N840" s="177"/>
      <c r="O840" s="337"/>
      <c r="P840" s="164"/>
      <c r="Q840" s="201"/>
      <c r="R840" s="201"/>
      <c r="S840" s="17"/>
      <c r="T840" s="17"/>
    </row>
    <row r="841">
      <c r="A841" s="337"/>
      <c r="B841" s="164"/>
      <c r="C841" s="337"/>
      <c r="D841" s="177"/>
      <c r="E841" s="337"/>
      <c r="F841" s="164"/>
      <c r="G841" s="337"/>
      <c r="H841" s="164"/>
      <c r="I841" s="344"/>
      <c r="J841" s="177"/>
      <c r="K841" s="344"/>
      <c r="L841" s="177"/>
      <c r="M841" s="344"/>
      <c r="N841" s="177"/>
      <c r="O841" s="337"/>
      <c r="P841" s="164"/>
      <c r="Q841" s="201"/>
      <c r="R841" s="201"/>
      <c r="S841" s="17"/>
      <c r="T841" s="17"/>
    </row>
    <row r="842">
      <c r="A842" s="337"/>
      <c r="B842" s="164"/>
      <c r="C842" s="337"/>
      <c r="D842" s="177"/>
      <c r="E842" s="337"/>
      <c r="F842" s="164"/>
      <c r="G842" s="337"/>
      <c r="H842" s="164"/>
      <c r="I842" s="344"/>
      <c r="J842" s="177"/>
      <c r="K842" s="344"/>
      <c r="L842" s="177"/>
      <c r="M842" s="344"/>
      <c r="N842" s="177"/>
      <c r="O842" s="337"/>
      <c r="P842" s="164"/>
      <c r="Q842" s="201"/>
      <c r="R842" s="201"/>
      <c r="S842" s="17"/>
      <c r="T842" s="17"/>
    </row>
    <row r="843">
      <c r="A843" s="337"/>
      <c r="B843" s="164"/>
      <c r="C843" s="337"/>
      <c r="D843" s="177"/>
      <c r="E843" s="337"/>
      <c r="F843" s="164"/>
      <c r="G843" s="337"/>
      <c r="H843" s="164"/>
      <c r="I843" s="344"/>
      <c r="J843" s="177"/>
      <c r="K843" s="344"/>
      <c r="L843" s="177"/>
      <c r="M843" s="344"/>
      <c r="N843" s="177"/>
      <c r="O843" s="337"/>
      <c r="P843" s="164"/>
      <c r="Q843" s="201"/>
      <c r="R843" s="201"/>
      <c r="S843" s="17"/>
      <c r="T843" s="17"/>
    </row>
    <row r="844">
      <c r="A844" s="337"/>
      <c r="B844" s="164"/>
      <c r="C844" s="337"/>
      <c r="D844" s="177"/>
      <c r="E844" s="337"/>
      <c r="F844" s="164"/>
      <c r="G844" s="337"/>
      <c r="H844" s="164"/>
      <c r="I844" s="344"/>
      <c r="J844" s="177"/>
      <c r="K844" s="344"/>
      <c r="L844" s="177"/>
      <c r="M844" s="344"/>
      <c r="N844" s="177"/>
      <c r="O844" s="337"/>
      <c r="P844" s="164"/>
      <c r="Q844" s="201"/>
      <c r="R844" s="201"/>
      <c r="S844" s="17"/>
      <c r="T844" s="17"/>
    </row>
    <row r="845">
      <c r="A845" s="337"/>
      <c r="B845" s="164"/>
      <c r="C845" s="337"/>
      <c r="D845" s="177"/>
      <c r="E845" s="337"/>
      <c r="F845" s="164"/>
      <c r="G845" s="337"/>
      <c r="H845" s="164"/>
      <c r="I845" s="344"/>
      <c r="J845" s="177"/>
      <c r="K845" s="344"/>
      <c r="L845" s="177"/>
      <c r="M845" s="344"/>
      <c r="N845" s="177"/>
      <c r="O845" s="337"/>
      <c r="P845" s="164"/>
      <c r="Q845" s="201"/>
      <c r="R845" s="201"/>
      <c r="S845" s="17"/>
      <c r="T845" s="17"/>
    </row>
    <row r="846">
      <c r="A846" s="337"/>
      <c r="B846" s="164"/>
      <c r="C846" s="337"/>
      <c r="D846" s="177"/>
      <c r="E846" s="337"/>
      <c r="F846" s="164"/>
      <c r="G846" s="337"/>
      <c r="H846" s="164"/>
      <c r="I846" s="344"/>
      <c r="J846" s="177"/>
      <c r="K846" s="344"/>
      <c r="L846" s="177"/>
      <c r="M846" s="344"/>
      <c r="N846" s="177"/>
      <c r="O846" s="337"/>
      <c r="P846" s="164"/>
      <c r="Q846" s="201"/>
      <c r="R846" s="201"/>
      <c r="S846" s="17"/>
      <c r="T846" s="17"/>
    </row>
    <row r="847">
      <c r="A847" s="337"/>
      <c r="B847" s="164"/>
      <c r="C847" s="337"/>
      <c r="D847" s="177"/>
      <c r="E847" s="337"/>
      <c r="F847" s="164"/>
      <c r="G847" s="337"/>
      <c r="H847" s="164"/>
      <c r="I847" s="344"/>
      <c r="J847" s="177"/>
      <c r="K847" s="344"/>
      <c r="L847" s="177"/>
      <c r="M847" s="344"/>
      <c r="N847" s="177"/>
      <c r="O847" s="337"/>
      <c r="P847" s="164"/>
      <c r="Q847" s="201"/>
      <c r="R847" s="201"/>
      <c r="S847" s="17"/>
      <c r="T847" s="17"/>
    </row>
    <row r="848">
      <c r="A848" s="337"/>
      <c r="B848" s="164"/>
      <c r="C848" s="337"/>
      <c r="D848" s="177"/>
      <c r="E848" s="337"/>
      <c r="F848" s="164"/>
      <c r="G848" s="337"/>
      <c r="H848" s="164"/>
      <c r="I848" s="344"/>
      <c r="J848" s="177"/>
      <c r="K848" s="344"/>
      <c r="L848" s="177"/>
      <c r="M848" s="344"/>
      <c r="N848" s="177"/>
      <c r="O848" s="337"/>
      <c r="P848" s="164"/>
      <c r="Q848" s="201"/>
      <c r="R848" s="201"/>
      <c r="S848" s="17"/>
      <c r="T848" s="17"/>
    </row>
    <row r="849">
      <c r="A849" s="337"/>
      <c r="B849" s="164"/>
      <c r="C849" s="337"/>
      <c r="D849" s="177"/>
      <c r="E849" s="337"/>
      <c r="F849" s="164"/>
      <c r="G849" s="337"/>
      <c r="H849" s="164"/>
      <c r="I849" s="344"/>
      <c r="J849" s="177"/>
      <c r="K849" s="344"/>
      <c r="L849" s="177"/>
      <c r="M849" s="344"/>
      <c r="N849" s="177"/>
      <c r="O849" s="337"/>
      <c r="P849" s="164"/>
      <c r="Q849" s="201"/>
      <c r="R849" s="201"/>
      <c r="S849" s="17"/>
      <c r="T849" s="17"/>
    </row>
    <row r="850">
      <c r="A850" s="337"/>
      <c r="B850" s="164"/>
      <c r="C850" s="337"/>
      <c r="D850" s="177"/>
      <c r="E850" s="337"/>
      <c r="F850" s="164"/>
      <c r="G850" s="337"/>
      <c r="H850" s="164"/>
      <c r="I850" s="344"/>
      <c r="J850" s="177"/>
      <c r="K850" s="344"/>
      <c r="L850" s="177"/>
      <c r="M850" s="344"/>
      <c r="N850" s="177"/>
      <c r="O850" s="337"/>
      <c r="P850" s="164"/>
      <c r="Q850" s="201"/>
      <c r="R850" s="201"/>
      <c r="S850" s="17"/>
      <c r="T850" s="17"/>
    </row>
    <row r="851">
      <c r="A851" s="337"/>
      <c r="B851" s="164"/>
      <c r="C851" s="337"/>
      <c r="D851" s="177"/>
      <c r="E851" s="337"/>
      <c r="F851" s="164"/>
      <c r="G851" s="337"/>
      <c r="H851" s="164"/>
      <c r="I851" s="344"/>
      <c r="J851" s="177"/>
      <c r="K851" s="344"/>
      <c r="L851" s="177"/>
      <c r="M851" s="344"/>
      <c r="N851" s="177"/>
      <c r="O851" s="337"/>
      <c r="P851" s="164"/>
      <c r="Q851" s="201"/>
      <c r="R851" s="201"/>
      <c r="S851" s="17"/>
      <c r="T851" s="17"/>
    </row>
    <row r="852">
      <c r="A852" s="337"/>
      <c r="B852" s="164"/>
      <c r="C852" s="337"/>
      <c r="D852" s="177"/>
      <c r="E852" s="337"/>
      <c r="F852" s="164"/>
      <c r="G852" s="337"/>
      <c r="H852" s="164"/>
      <c r="I852" s="344"/>
      <c r="J852" s="177"/>
      <c r="K852" s="344"/>
      <c r="L852" s="177"/>
      <c r="M852" s="344"/>
      <c r="N852" s="177"/>
      <c r="O852" s="337"/>
      <c r="P852" s="164"/>
      <c r="Q852" s="201"/>
      <c r="R852" s="201"/>
      <c r="S852" s="17"/>
      <c r="T852" s="17"/>
    </row>
    <row r="853">
      <c r="A853" s="337"/>
      <c r="B853" s="164"/>
      <c r="C853" s="337"/>
      <c r="D853" s="177"/>
      <c r="E853" s="337"/>
      <c r="F853" s="164"/>
      <c r="G853" s="337"/>
      <c r="H853" s="164"/>
      <c r="I853" s="344"/>
      <c r="J853" s="177"/>
      <c r="K853" s="344"/>
      <c r="L853" s="177"/>
      <c r="M853" s="344"/>
      <c r="N853" s="177"/>
      <c r="O853" s="337"/>
      <c r="P853" s="164"/>
      <c r="Q853" s="201"/>
      <c r="R853" s="201"/>
      <c r="S853" s="17"/>
      <c r="T853" s="17"/>
    </row>
    <row r="854">
      <c r="A854" s="337"/>
      <c r="B854" s="164"/>
      <c r="C854" s="337"/>
      <c r="D854" s="177"/>
      <c r="E854" s="337"/>
      <c r="F854" s="164"/>
      <c r="G854" s="337"/>
      <c r="H854" s="164"/>
      <c r="I854" s="344"/>
      <c r="J854" s="177"/>
      <c r="K854" s="344"/>
      <c r="L854" s="177"/>
      <c r="M854" s="344"/>
      <c r="N854" s="177"/>
      <c r="O854" s="337"/>
      <c r="P854" s="164"/>
      <c r="Q854" s="201"/>
      <c r="R854" s="201"/>
      <c r="S854" s="17"/>
      <c r="T854" s="17"/>
    </row>
    <row r="855">
      <c r="A855" s="337"/>
      <c r="B855" s="164"/>
      <c r="C855" s="337"/>
      <c r="D855" s="177"/>
      <c r="E855" s="337"/>
      <c r="F855" s="164"/>
      <c r="G855" s="337"/>
      <c r="H855" s="164"/>
      <c r="I855" s="344"/>
      <c r="J855" s="177"/>
      <c r="K855" s="344"/>
      <c r="L855" s="177"/>
      <c r="M855" s="344"/>
      <c r="N855" s="177"/>
      <c r="O855" s="337"/>
      <c r="P855" s="164"/>
      <c r="Q855" s="201"/>
      <c r="R855" s="201"/>
      <c r="S855" s="17"/>
      <c r="T855" s="17"/>
    </row>
    <row r="856">
      <c r="A856" s="337"/>
      <c r="B856" s="164"/>
      <c r="C856" s="337"/>
      <c r="D856" s="177"/>
      <c r="E856" s="337"/>
      <c r="F856" s="164"/>
      <c r="G856" s="337"/>
      <c r="H856" s="164"/>
      <c r="I856" s="344"/>
      <c r="J856" s="177"/>
      <c r="K856" s="344"/>
      <c r="L856" s="177"/>
      <c r="M856" s="344"/>
      <c r="N856" s="177"/>
      <c r="O856" s="337"/>
      <c r="P856" s="164"/>
      <c r="Q856" s="201"/>
      <c r="R856" s="201"/>
      <c r="S856" s="17"/>
      <c r="T856" s="17"/>
    </row>
    <row r="857">
      <c r="A857" s="337"/>
      <c r="B857" s="164"/>
      <c r="C857" s="337"/>
      <c r="D857" s="177"/>
      <c r="E857" s="337"/>
      <c r="F857" s="164"/>
      <c r="G857" s="337"/>
      <c r="H857" s="164"/>
      <c r="I857" s="344"/>
      <c r="J857" s="177"/>
      <c r="K857" s="344"/>
      <c r="L857" s="177"/>
      <c r="M857" s="344"/>
      <c r="N857" s="177"/>
      <c r="O857" s="337"/>
      <c r="P857" s="164"/>
      <c r="Q857" s="201"/>
      <c r="R857" s="201"/>
      <c r="S857" s="17"/>
      <c r="T857" s="17"/>
    </row>
    <row r="858">
      <c r="A858" s="337"/>
      <c r="B858" s="164"/>
      <c r="C858" s="337"/>
      <c r="D858" s="177"/>
      <c r="E858" s="337"/>
      <c r="F858" s="164"/>
      <c r="G858" s="337"/>
      <c r="H858" s="164"/>
      <c r="I858" s="344"/>
      <c r="J858" s="177"/>
      <c r="K858" s="344"/>
      <c r="L858" s="177"/>
      <c r="M858" s="344"/>
      <c r="N858" s="177"/>
      <c r="O858" s="337"/>
      <c r="P858" s="164"/>
      <c r="Q858" s="201"/>
      <c r="R858" s="201"/>
      <c r="S858" s="17"/>
      <c r="T858" s="17"/>
    </row>
    <row r="859">
      <c r="A859" s="337"/>
      <c r="B859" s="164"/>
      <c r="C859" s="337"/>
      <c r="D859" s="177"/>
      <c r="E859" s="337"/>
      <c r="F859" s="164"/>
      <c r="G859" s="337"/>
      <c r="H859" s="164"/>
      <c r="I859" s="344"/>
      <c r="J859" s="177"/>
      <c r="K859" s="344"/>
      <c r="L859" s="177"/>
      <c r="M859" s="344"/>
      <c r="N859" s="177"/>
      <c r="O859" s="337"/>
      <c r="P859" s="164"/>
      <c r="Q859" s="201"/>
      <c r="R859" s="201"/>
      <c r="S859" s="17"/>
      <c r="T859" s="17"/>
    </row>
    <row r="860">
      <c r="A860" s="337"/>
      <c r="B860" s="164"/>
      <c r="C860" s="337"/>
      <c r="D860" s="177"/>
      <c r="E860" s="337"/>
      <c r="F860" s="164"/>
      <c r="G860" s="337"/>
      <c r="H860" s="164"/>
      <c r="I860" s="344"/>
      <c r="J860" s="177"/>
      <c r="K860" s="344"/>
      <c r="L860" s="177"/>
      <c r="M860" s="344"/>
      <c r="N860" s="177"/>
      <c r="O860" s="337"/>
      <c r="P860" s="164"/>
      <c r="Q860" s="201"/>
      <c r="R860" s="201"/>
      <c r="S860" s="17"/>
      <c r="T860" s="17"/>
    </row>
    <row r="861">
      <c r="A861" s="337"/>
      <c r="B861" s="164"/>
      <c r="C861" s="337"/>
      <c r="D861" s="177"/>
      <c r="E861" s="337"/>
      <c r="F861" s="164"/>
      <c r="G861" s="337"/>
      <c r="H861" s="164"/>
      <c r="I861" s="344"/>
      <c r="J861" s="177"/>
      <c r="K861" s="344"/>
      <c r="L861" s="177"/>
      <c r="M861" s="344"/>
      <c r="N861" s="177"/>
      <c r="O861" s="337"/>
      <c r="P861" s="164"/>
      <c r="Q861" s="201"/>
      <c r="R861" s="201"/>
      <c r="S861" s="17"/>
      <c r="T861" s="17"/>
    </row>
    <row r="862">
      <c r="A862" s="337"/>
      <c r="B862" s="164"/>
      <c r="C862" s="337"/>
      <c r="D862" s="177"/>
      <c r="E862" s="337"/>
      <c r="F862" s="164"/>
      <c r="G862" s="337"/>
      <c r="H862" s="164"/>
      <c r="I862" s="344"/>
      <c r="J862" s="177"/>
      <c r="K862" s="344"/>
      <c r="L862" s="177"/>
      <c r="M862" s="344"/>
      <c r="N862" s="177"/>
      <c r="O862" s="337"/>
      <c r="P862" s="164"/>
      <c r="Q862" s="201"/>
      <c r="R862" s="201"/>
      <c r="S862" s="17"/>
      <c r="T862" s="17"/>
    </row>
    <row r="863">
      <c r="A863" s="337"/>
      <c r="B863" s="164"/>
      <c r="C863" s="337"/>
      <c r="D863" s="177"/>
      <c r="E863" s="337"/>
      <c r="F863" s="164"/>
      <c r="G863" s="337"/>
      <c r="H863" s="164"/>
      <c r="I863" s="344"/>
      <c r="J863" s="177"/>
      <c r="K863" s="344"/>
      <c r="L863" s="177"/>
      <c r="M863" s="344"/>
      <c r="N863" s="177"/>
      <c r="O863" s="337"/>
      <c r="P863" s="164"/>
      <c r="Q863" s="201"/>
      <c r="R863" s="201"/>
      <c r="S863" s="17"/>
      <c r="T863" s="17"/>
    </row>
    <row r="864">
      <c r="A864" s="337"/>
      <c r="B864" s="164"/>
      <c r="C864" s="337"/>
      <c r="D864" s="177"/>
      <c r="E864" s="337"/>
      <c r="F864" s="164"/>
      <c r="G864" s="337"/>
      <c r="H864" s="164"/>
      <c r="I864" s="344"/>
      <c r="J864" s="177"/>
      <c r="K864" s="344"/>
      <c r="L864" s="177"/>
      <c r="M864" s="344"/>
      <c r="N864" s="177"/>
      <c r="O864" s="337"/>
      <c r="P864" s="164"/>
      <c r="Q864" s="201"/>
      <c r="R864" s="201"/>
      <c r="S864" s="17"/>
      <c r="T864" s="17"/>
    </row>
    <row r="865">
      <c r="A865" s="337"/>
      <c r="B865" s="164"/>
      <c r="C865" s="337"/>
      <c r="D865" s="177"/>
      <c r="E865" s="337"/>
      <c r="F865" s="164"/>
      <c r="G865" s="337"/>
      <c r="H865" s="164"/>
      <c r="I865" s="344"/>
      <c r="J865" s="177"/>
      <c r="K865" s="344"/>
      <c r="L865" s="177"/>
      <c r="M865" s="344"/>
      <c r="N865" s="177"/>
      <c r="O865" s="337"/>
      <c r="P865" s="164"/>
      <c r="Q865" s="201"/>
      <c r="R865" s="201"/>
      <c r="S865" s="17"/>
      <c r="T865" s="17"/>
    </row>
    <row r="866">
      <c r="A866" s="337"/>
      <c r="B866" s="164"/>
      <c r="C866" s="337"/>
      <c r="D866" s="177"/>
      <c r="E866" s="337"/>
      <c r="F866" s="164"/>
      <c r="G866" s="337"/>
      <c r="H866" s="164"/>
      <c r="I866" s="344"/>
      <c r="J866" s="177"/>
      <c r="K866" s="344"/>
      <c r="L866" s="177"/>
      <c r="M866" s="344"/>
      <c r="N866" s="177"/>
      <c r="O866" s="337"/>
      <c r="P866" s="164"/>
      <c r="Q866" s="201"/>
      <c r="R866" s="201"/>
      <c r="S866" s="17"/>
      <c r="T866" s="17"/>
    </row>
    <row r="867">
      <c r="A867" s="337"/>
      <c r="B867" s="164"/>
      <c r="C867" s="337"/>
      <c r="D867" s="177"/>
      <c r="E867" s="337"/>
      <c r="F867" s="164"/>
      <c r="G867" s="337"/>
      <c r="H867" s="164"/>
      <c r="I867" s="344"/>
      <c r="J867" s="177"/>
      <c r="K867" s="344"/>
      <c r="L867" s="177"/>
      <c r="M867" s="344"/>
      <c r="N867" s="177"/>
      <c r="O867" s="337"/>
      <c r="P867" s="164"/>
      <c r="Q867" s="201"/>
      <c r="R867" s="201"/>
      <c r="S867" s="17"/>
      <c r="T867" s="17"/>
    </row>
    <row r="868">
      <c r="A868" s="337"/>
      <c r="B868" s="164"/>
      <c r="C868" s="337"/>
      <c r="D868" s="177"/>
      <c r="E868" s="337"/>
      <c r="F868" s="164"/>
      <c r="G868" s="337"/>
      <c r="H868" s="164"/>
      <c r="I868" s="344"/>
      <c r="J868" s="177"/>
      <c r="K868" s="344"/>
      <c r="L868" s="177"/>
      <c r="M868" s="344"/>
      <c r="N868" s="177"/>
      <c r="O868" s="337"/>
      <c r="P868" s="164"/>
      <c r="Q868" s="201"/>
      <c r="R868" s="201"/>
      <c r="S868" s="17"/>
      <c r="T868" s="17"/>
    </row>
    <row r="869">
      <c r="A869" s="337"/>
      <c r="B869" s="164"/>
      <c r="C869" s="337"/>
      <c r="D869" s="177"/>
      <c r="E869" s="337"/>
      <c r="F869" s="164"/>
      <c r="G869" s="337"/>
      <c r="H869" s="164"/>
      <c r="I869" s="344"/>
      <c r="J869" s="177"/>
      <c r="K869" s="344"/>
      <c r="L869" s="177"/>
      <c r="M869" s="344"/>
      <c r="N869" s="177"/>
      <c r="O869" s="337"/>
      <c r="P869" s="164"/>
      <c r="Q869" s="201"/>
      <c r="R869" s="201"/>
      <c r="S869" s="17"/>
      <c r="T869" s="17"/>
    </row>
    <row r="870">
      <c r="A870" s="337"/>
      <c r="B870" s="164"/>
      <c r="C870" s="337"/>
      <c r="D870" s="177"/>
      <c r="E870" s="337"/>
      <c r="F870" s="164"/>
      <c r="G870" s="337"/>
      <c r="H870" s="164"/>
      <c r="I870" s="344"/>
      <c r="J870" s="177"/>
      <c r="K870" s="344"/>
      <c r="L870" s="177"/>
      <c r="M870" s="344"/>
      <c r="N870" s="177"/>
      <c r="O870" s="337"/>
      <c r="P870" s="164"/>
      <c r="Q870" s="201"/>
      <c r="R870" s="201"/>
      <c r="S870" s="17"/>
      <c r="T870" s="17"/>
    </row>
    <row r="871">
      <c r="A871" s="337"/>
      <c r="B871" s="164"/>
      <c r="C871" s="337"/>
      <c r="D871" s="177"/>
      <c r="E871" s="337"/>
      <c r="F871" s="164"/>
      <c r="G871" s="337"/>
      <c r="H871" s="164"/>
      <c r="I871" s="344"/>
      <c r="J871" s="177"/>
      <c r="K871" s="344"/>
      <c r="L871" s="177"/>
      <c r="M871" s="344"/>
      <c r="N871" s="177"/>
      <c r="O871" s="337"/>
      <c r="P871" s="164"/>
      <c r="Q871" s="201"/>
      <c r="R871" s="201"/>
      <c r="S871" s="17"/>
      <c r="T871" s="17"/>
    </row>
    <row r="872">
      <c r="A872" s="337"/>
      <c r="B872" s="164"/>
      <c r="C872" s="337"/>
      <c r="D872" s="177"/>
      <c r="E872" s="337"/>
      <c r="F872" s="164"/>
      <c r="G872" s="337"/>
      <c r="H872" s="164"/>
      <c r="I872" s="344"/>
      <c r="J872" s="177"/>
      <c r="K872" s="344"/>
      <c r="L872" s="177"/>
      <c r="M872" s="344"/>
      <c r="N872" s="177"/>
      <c r="O872" s="337"/>
      <c r="P872" s="164"/>
      <c r="Q872" s="201"/>
      <c r="R872" s="201"/>
      <c r="S872" s="17"/>
      <c r="T872" s="17"/>
    </row>
    <row r="873">
      <c r="A873" s="337"/>
      <c r="B873" s="164"/>
      <c r="C873" s="337"/>
      <c r="D873" s="177"/>
      <c r="E873" s="337"/>
      <c r="F873" s="164"/>
      <c r="G873" s="337"/>
      <c r="H873" s="164"/>
      <c r="I873" s="344"/>
      <c r="J873" s="177"/>
      <c r="K873" s="344"/>
      <c r="L873" s="177"/>
      <c r="M873" s="344"/>
      <c r="N873" s="177"/>
      <c r="O873" s="337"/>
      <c r="P873" s="164"/>
      <c r="Q873" s="201"/>
      <c r="R873" s="201"/>
      <c r="S873" s="17"/>
      <c r="T873" s="17"/>
    </row>
    <row r="874">
      <c r="A874" s="337"/>
      <c r="B874" s="164"/>
      <c r="C874" s="337"/>
      <c r="D874" s="177"/>
      <c r="E874" s="337"/>
      <c r="F874" s="164"/>
      <c r="G874" s="337"/>
      <c r="H874" s="164"/>
      <c r="I874" s="344"/>
      <c r="J874" s="177"/>
      <c r="K874" s="344"/>
      <c r="L874" s="177"/>
      <c r="M874" s="344"/>
      <c r="N874" s="177"/>
      <c r="O874" s="337"/>
      <c r="P874" s="164"/>
      <c r="Q874" s="201"/>
      <c r="R874" s="201"/>
      <c r="S874" s="17"/>
      <c r="T874" s="17"/>
    </row>
    <row r="875">
      <c r="A875" s="337"/>
      <c r="B875" s="164"/>
      <c r="C875" s="337"/>
      <c r="D875" s="177"/>
      <c r="E875" s="337"/>
      <c r="F875" s="164"/>
      <c r="G875" s="337"/>
      <c r="H875" s="164"/>
      <c r="I875" s="344"/>
      <c r="J875" s="177"/>
      <c r="K875" s="344"/>
      <c r="L875" s="177"/>
      <c r="M875" s="344"/>
      <c r="N875" s="177"/>
      <c r="O875" s="337"/>
      <c r="P875" s="164"/>
      <c r="Q875" s="201"/>
      <c r="R875" s="201"/>
      <c r="S875" s="17"/>
      <c r="T875" s="17"/>
    </row>
    <row r="876">
      <c r="A876" s="337"/>
      <c r="B876" s="164"/>
      <c r="C876" s="337"/>
      <c r="D876" s="177"/>
      <c r="E876" s="337"/>
      <c r="F876" s="164"/>
      <c r="G876" s="337"/>
      <c r="H876" s="164"/>
      <c r="I876" s="344"/>
      <c r="J876" s="177"/>
      <c r="K876" s="344"/>
      <c r="L876" s="177"/>
      <c r="M876" s="344"/>
      <c r="N876" s="177"/>
      <c r="O876" s="337"/>
      <c r="P876" s="164"/>
      <c r="Q876" s="201"/>
      <c r="R876" s="201"/>
      <c r="S876" s="17"/>
      <c r="T876" s="17"/>
    </row>
    <row r="877">
      <c r="A877" s="337"/>
      <c r="B877" s="164"/>
      <c r="C877" s="337"/>
      <c r="D877" s="177"/>
      <c r="E877" s="337"/>
      <c r="F877" s="164"/>
      <c r="G877" s="337"/>
      <c r="H877" s="164"/>
      <c r="I877" s="344"/>
      <c r="J877" s="177"/>
      <c r="K877" s="344"/>
      <c r="L877" s="177"/>
      <c r="M877" s="344"/>
      <c r="N877" s="177"/>
      <c r="O877" s="337"/>
      <c r="P877" s="164"/>
      <c r="Q877" s="201"/>
      <c r="R877" s="201"/>
      <c r="S877" s="17"/>
      <c r="T877" s="17"/>
    </row>
    <row r="878">
      <c r="A878" s="337"/>
      <c r="B878" s="164"/>
      <c r="C878" s="337"/>
      <c r="D878" s="177"/>
      <c r="E878" s="337"/>
      <c r="F878" s="164"/>
      <c r="G878" s="337"/>
      <c r="H878" s="164"/>
      <c r="I878" s="344"/>
      <c r="J878" s="177"/>
      <c r="K878" s="344"/>
      <c r="L878" s="177"/>
      <c r="M878" s="344"/>
      <c r="N878" s="177"/>
      <c r="O878" s="337"/>
      <c r="P878" s="164"/>
      <c r="Q878" s="201"/>
      <c r="R878" s="201"/>
      <c r="S878" s="17"/>
      <c r="T878" s="17"/>
    </row>
    <row r="879">
      <c r="A879" s="337"/>
      <c r="B879" s="164"/>
      <c r="C879" s="337"/>
      <c r="D879" s="177"/>
      <c r="E879" s="337"/>
      <c r="F879" s="164"/>
      <c r="G879" s="337"/>
      <c r="H879" s="164"/>
      <c r="I879" s="344"/>
      <c r="J879" s="177"/>
      <c r="K879" s="344"/>
      <c r="L879" s="177"/>
      <c r="M879" s="344"/>
      <c r="N879" s="177"/>
      <c r="O879" s="337"/>
      <c r="P879" s="164"/>
      <c r="Q879" s="201"/>
      <c r="R879" s="201"/>
      <c r="S879" s="17"/>
      <c r="T879" s="17"/>
    </row>
    <row r="880">
      <c r="A880" s="337"/>
      <c r="B880" s="164"/>
      <c r="C880" s="337"/>
      <c r="D880" s="177"/>
      <c r="E880" s="337"/>
      <c r="F880" s="164"/>
      <c r="G880" s="337"/>
      <c r="H880" s="164"/>
      <c r="I880" s="344"/>
      <c r="J880" s="177"/>
      <c r="K880" s="344"/>
      <c r="L880" s="177"/>
      <c r="M880" s="344"/>
      <c r="N880" s="177"/>
      <c r="O880" s="337"/>
      <c r="P880" s="164"/>
      <c r="Q880" s="201"/>
      <c r="R880" s="201"/>
      <c r="S880" s="17"/>
      <c r="T880" s="17"/>
    </row>
    <row r="881">
      <c r="A881" s="337"/>
      <c r="B881" s="164"/>
      <c r="C881" s="337"/>
      <c r="D881" s="177"/>
      <c r="E881" s="337"/>
      <c r="F881" s="164"/>
      <c r="G881" s="337"/>
      <c r="H881" s="164"/>
      <c r="I881" s="344"/>
      <c r="J881" s="177"/>
      <c r="K881" s="344"/>
      <c r="L881" s="177"/>
      <c r="M881" s="344"/>
      <c r="N881" s="177"/>
      <c r="O881" s="337"/>
      <c r="P881" s="164"/>
      <c r="Q881" s="201"/>
      <c r="R881" s="201"/>
      <c r="S881" s="17"/>
      <c r="T881" s="17"/>
    </row>
    <row r="882">
      <c r="A882" s="337"/>
      <c r="B882" s="164"/>
      <c r="C882" s="337"/>
      <c r="D882" s="177"/>
      <c r="E882" s="337"/>
      <c r="F882" s="164"/>
      <c r="G882" s="337"/>
      <c r="H882" s="164"/>
      <c r="I882" s="344"/>
      <c r="J882" s="177"/>
      <c r="K882" s="344"/>
      <c r="L882" s="177"/>
      <c r="M882" s="344"/>
      <c r="N882" s="177"/>
      <c r="O882" s="337"/>
      <c r="P882" s="164"/>
      <c r="Q882" s="201"/>
      <c r="R882" s="201"/>
      <c r="S882" s="17"/>
      <c r="T882" s="17"/>
    </row>
    <row r="883">
      <c r="A883" s="337"/>
      <c r="B883" s="164"/>
      <c r="C883" s="337"/>
      <c r="D883" s="177"/>
      <c r="E883" s="337"/>
      <c r="F883" s="164"/>
      <c r="G883" s="337"/>
      <c r="H883" s="164"/>
      <c r="I883" s="344"/>
      <c r="J883" s="177"/>
      <c r="K883" s="344"/>
      <c r="L883" s="177"/>
      <c r="M883" s="344"/>
      <c r="N883" s="177"/>
      <c r="O883" s="337"/>
      <c r="P883" s="164"/>
      <c r="Q883" s="201"/>
      <c r="R883" s="201"/>
      <c r="S883" s="17"/>
      <c r="T883" s="17"/>
    </row>
    <row r="884">
      <c r="A884" s="337"/>
      <c r="B884" s="164"/>
      <c r="C884" s="337"/>
      <c r="D884" s="177"/>
      <c r="E884" s="337"/>
      <c r="F884" s="164"/>
      <c r="G884" s="337"/>
      <c r="H884" s="164"/>
      <c r="I884" s="344"/>
      <c r="J884" s="177"/>
      <c r="K884" s="344"/>
      <c r="L884" s="177"/>
      <c r="M884" s="344"/>
      <c r="N884" s="177"/>
      <c r="O884" s="337"/>
      <c r="P884" s="164"/>
      <c r="Q884" s="201"/>
      <c r="R884" s="201"/>
      <c r="S884" s="17"/>
      <c r="T884" s="17"/>
    </row>
    <row r="885">
      <c r="A885" s="337"/>
      <c r="B885" s="164"/>
      <c r="C885" s="337"/>
      <c r="D885" s="177"/>
      <c r="E885" s="337"/>
      <c r="F885" s="164"/>
      <c r="G885" s="337"/>
      <c r="H885" s="164"/>
      <c r="I885" s="344"/>
      <c r="J885" s="177"/>
      <c r="K885" s="344"/>
      <c r="L885" s="177"/>
      <c r="M885" s="344"/>
      <c r="N885" s="177"/>
      <c r="O885" s="337"/>
      <c r="P885" s="164"/>
      <c r="Q885" s="201"/>
      <c r="R885" s="201"/>
      <c r="S885" s="17"/>
      <c r="T885" s="17"/>
    </row>
    <row r="886">
      <c r="A886" s="337"/>
      <c r="B886" s="164"/>
      <c r="C886" s="337"/>
      <c r="D886" s="177"/>
      <c r="E886" s="337"/>
      <c r="F886" s="164"/>
      <c r="G886" s="337"/>
      <c r="H886" s="164"/>
      <c r="I886" s="344"/>
      <c r="J886" s="177"/>
      <c r="K886" s="344"/>
      <c r="L886" s="177"/>
      <c r="M886" s="344"/>
      <c r="N886" s="177"/>
      <c r="O886" s="337"/>
      <c r="P886" s="164"/>
      <c r="Q886" s="201"/>
      <c r="R886" s="201"/>
      <c r="S886" s="17"/>
      <c r="T886" s="17"/>
    </row>
    <row r="887">
      <c r="A887" s="337"/>
      <c r="B887" s="164"/>
      <c r="C887" s="337"/>
      <c r="D887" s="177"/>
      <c r="E887" s="337"/>
      <c r="F887" s="164"/>
      <c r="G887" s="337"/>
      <c r="H887" s="164"/>
      <c r="I887" s="344"/>
      <c r="J887" s="177"/>
      <c r="K887" s="344"/>
      <c r="L887" s="177"/>
      <c r="M887" s="344"/>
      <c r="N887" s="177"/>
      <c r="O887" s="337"/>
      <c r="P887" s="164"/>
      <c r="Q887" s="201"/>
      <c r="R887" s="201"/>
      <c r="S887" s="17"/>
      <c r="T887" s="17"/>
    </row>
    <row r="888">
      <c r="A888" s="337"/>
      <c r="B888" s="164"/>
      <c r="C888" s="337"/>
      <c r="D888" s="177"/>
      <c r="E888" s="337"/>
      <c r="F888" s="164"/>
      <c r="G888" s="337"/>
      <c r="H888" s="164"/>
      <c r="I888" s="344"/>
      <c r="J888" s="177"/>
      <c r="K888" s="344"/>
      <c r="L888" s="177"/>
      <c r="M888" s="344"/>
      <c r="N888" s="177"/>
      <c r="O888" s="337"/>
      <c r="P888" s="164"/>
      <c r="Q888" s="201"/>
      <c r="R888" s="201"/>
      <c r="S888" s="17"/>
      <c r="T888" s="17"/>
    </row>
    <row r="889">
      <c r="A889" s="337"/>
      <c r="B889" s="164"/>
      <c r="C889" s="337"/>
      <c r="D889" s="177"/>
      <c r="E889" s="337"/>
      <c r="F889" s="164"/>
      <c r="G889" s="337"/>
      <c r="H889" s="164"/>
      <c r="I889" s="344"/>
      <c r="J889" s="177"/>
      <c r="K889" s="344"/>
      <c r="L889" s="177"/>
      <c r="M889" s="344"/>
      <c r="N889" s="177"/>
      <c r="O889" s="337"/>
      <c r="P889" s="164"/>
      <c r="Q889" s="201"/>
      <c r="R889" s="201"/>
      <c r="S889" s="17"/>
      <c r="T889" s="17"/>
    </row>
    <row r="890">
      <c r="A890" s="337"/>
      <c r="B890" s="164"/>
      <c r="C890" s="337"/>
      <c r="D890" s="177"/>
      <c r="E890" s="337"/>
      <c r="F890" s="164"/>
      <c r="G890" s="337"/>
      <c r="H890" s="164"/>
      <c r="I890" s="344"/>
      <c r="J890" s="177"/>
      <c r="K890" s="344"/>
      <c r="L890" s="177"/>
      <c r="M890" s="344"/>
      <c r="N890" s="177"/>
      <c r="O890" s="337"/>
      <c r="P890" s="164"/>
      <c r="Q890" s="201"/>
      <c r="R890" s="201"/>
      <c r="S890" s="17"/>
      <c r="T890" s="17"/>
    </row>
    <row r="891">
      <c r="A891" s="337"/>
      <c r="B891" s="164"/>
      <c r="C891" s="337"/>
      <c r="D891" s="177"/>
      <c r="E891" s="337"/>
      <c r="F891" s="164"/>
      <c r="G891" s="337"/>
      <c r="H891" s="164"/>
      <c r="I891" s="344"/>
      <c r="J891" s="177"/>
      <c r="K891" s="344"/>
      <c r="L891" s="177"/>
      <c r="M891" s="344"/>
      <c r="N891" s="177"/>
      <c r="O891" s="337"/>
      <c r="P891" s="164"/>
      <c r="Q891" s="201"/>
      <c r="R891" s="201"/>
      <c r="S891" s="17"/>
      <c r="T891" s="17"/>
    </row>
    <row r="892">
      <c r="A892" s="337"/>
      <c r="B892" s="164"/>
      <c r="C892" s="337"/>
      <c r="D892" s="177"/>
      <c r="E892" s="337"/>
      <c r="F892" s="164"/>
      <c r="G892" s="337"/>
      <c r="H892" s="164"/>
      <c r="I892" s="344"/>
      <c r="J892" s="177"/>
      <c r="K892" s="344"/>
      <c r="L892" s="177"/>
      <c r="M892" s="344"/>
      <c r="N892" s="177"/>
      <c r="O892" s="337"/>
      <c r="P892" s="164"/>
      <c r="Q892" s="201"/>
      <c r="R892" s="201"/>
      <c r="S892" s="17"/>
      <c r="T892" s="17"/>
    </row>
    <row r="893">
      <c r="A893" s="337"/>
      <c r="B893" s="164"/>
      <c r="C893" s="337"/>
      <c r="D893" s="177"/>
      <c r="E893" s="337"/>
      <c r="F893" s="164"/>
      <c r="G893" s="337"/>
      <c r="H893" s="164"/>
      <c r="I893" s="344"/>
      <c r="J893" s="177"/>
      <c r="K893" s="344"/>
      <c r="L893" s="177"/>
      <c r="M893" s="344"/>
      <c r="N893" s="177"/>
      <c r="O893" s="337"/>
      <c r="P893" s="164"/>
      <c r="Q893" s="201"/>
      <c r="R893" s="201"/>
      <c r="S893" s="17"/>
      <c r="T893" s="17"/>
    </row>
    <row r="894">
      <c r="A894" s="337"/>
      <c r="B894" s="164"/>
      <c r="C894" s="337"/>
      <c r="D894" s="177"/>
      <c r="E894" s="337"/>
      <c r="F894" s="164"/>
      <c r="G894" s="337"/>
      <c r="H894" s="164"/>
      <c r="I894" s="344"/>
      <c r="J894" s="177"/>
      <c r="K894" s="344"/>
      <c r="L894" s="177"/>
      <c r="M894" s="344"/>
      <c r="N894" s="177"/>
      <c r="O894" s="337"/>
      <c r="P894" s="164"/>
      <c r="Q894" s="201"/>
      <c r="R894" s="201"/>
      <c r="S894" s="17"/>
      <c r="T894" s="17"/>
    </row>
    <row r="895">
      <c r="A895" s="337"/>
      <c r="B895" s="164"/>
      <c r="C895" s="337"/>
      <c r="D895" s="177"/>
      <c r="E895" s="337"/>
      <c r="F895" s="164"/>
      <c r="G895" s="337"/>
      <c r="H895" s="164"/>
      <c r="I895" s="344"/>
      <c r="J895" s="177"/>
      <c r="K895" s="344"/>
      <c r="L895" s="177"/>
      <c r="M895" s="344"/>
      <c r="N895" s="177"/>
      <c r="O895" s="337"/>
      <c r="P895" s="164"/>
      <c r="Q895" s="201"/>
      <c r="R895" s="201"/>
      <c r="S895" s="17"/>
      <c r="T895" s="17"/>
    </row>
    <row r="896">
      <c r="A896" s="337"/>
      <c r="B896" s="164"/>
      <c r="C896" s="337"/>
      <c r="D896" s="177"/>
      <c r="E896" s="337"/>
      <c r="F896" s="164"/>
      <c r="G896" s="337"/>
      <c r="H896" s="164"/>
      <c r="I896" s="344"/>
      <c r="J896" s="177"/>
      <c r="K896" s="344"/>
      <c r="L896" s="177"/>
      <c r="M896" s="344"/>
      <c r="N896" s="177"/>
      <c r="O896" s="337"/>
      <c r="P896" s="164"/>
      <c r="Q896" s="201"/>
      <c r="R896" s="201"/>
      <c r="S896" s="17"/>
      <c r="T896" s="17"/>
    </row>
    <row r="897">
      <c r="A897" s="337"/>
      <c r="B897" s="164"/>
      <c r="C897" s="337"/>
      <c r="D897" s="177"/>
      <c r="E897" s="337"/>
      <c r="F897" s="164"/>
      <c r="G897" s="337"/>
      <c r="H897" s="164"/>
      <c r="I897" s="344"/>
      <c r="J897" s="177"/>
      <c r="K897" s="344"/>
      <c r="L897" s="177"/>
      <c r="M897" s="344"/>
      <c r="N897" s="177"/>
      <c r="O897" s="337"/>
      <c r="P897" s="164"/>
      <c r="Q897" s="201"/>
      <c r="R897" s="201"/>
      <c r="S897" s="17"/>
      <c r="T897" s="17"/>
    </row>
    <row r="898">
      <c r="A898" s="337"/>
      <c r="B898" s="164"/>
      <c r="C898" s="337"/>
      <c r="D898" s="177"/>
      <c r="E898" s="337"/>
      <c r="F898" s="164"/>
      <c r="G898" s="337"/>
      <c r="H898" s="164"/>
      <c r="I898" s="344"/>
      <c r="J898" s="177"/>
      <c r="K898" s="344"/>
      <c r="L898" s="177"/>
      <c r="M898" s="344"/>
      <c r="N898" s="177"/>
      <c r="O898" s="337"/>
      <c r="P898" s="164"/>
      <c r="Q898" s="201"/>
      <c r="R898" s="201"/>
      <c r="S898" s="17"/>
      <c r="T898" s="17"/>
    </row>
    <row r="899">
      <c r="A899" s="337"/>
      <c r="B899" s="164"/>
      <c r="C899" s="337"/>
      <c r="D899" s="177"/>
      <c r="E899" s="337"/>
      <c r="F899" s="164"/>
      <c r="G899" s="337"/>
      <c r="H899" s="164"/>
      <c r="I899" s="344"/>
      <c r="J899" s="177"/>
      <c r="K899" s="344"/>
      <c r="L899" s="177"/>
      <c r="M899" s="344"/>
      <c r="N899" s="177"/>
      <c r="O899" s="337"/>
      <c r="P899" s="164"/>
      <c r="Q899" s="201"/>
      <c r="R899" s="201"/>
      <c r="S899" s="17"/>
      <c r="T899" s="17"/>
    </row>
    <row r="900">
      <c r="A900" s="337"/>
      <c r="B900" s="164"/>
      <c r="C900" s="337"/>
      <c r="D900" s="177"/>
      <c r="E900" s="337"/>
      <c r="F900" s="164"/>
      <c r="G900" s="337"/>
      <c r="H900" s="164"/>
      <c r="I900" s="344"/>
      <c r="J900" s="177"/>
      <c r="K900" s="344"/>
      <c r="L900" s="177"/>
      <c r="M900" s="344"/>
      <c r="N900" s="177"/>
      <c r="O900" s="337"/>
      <c r="P900" s="164"/>
      <c r="Q900" s="201"/>
      <c r="R900" s="201"/>
      <c r="S900" s="17"/>
      <c r="T900" s="17"/>
    </row>
    <row r="901">
      <c r="A901" s="337"/>
      <c r="B901" s="164"/>
      <c r="C901" s="337"/>
      <c r="D901" s="177"/>
      <c r="E901" s="337"/>
      <c r="F901" s="164"/>
      <c r="G901" s="337"/>
      <c r="H901" s="164"/>
      <c r="I901" s="344"/>
      <c r="J901" s="177"/>
      <c r="K901" s="344"/>
      <c r="L901" s="177"/>
      <c r="M901" s="344"/>
      <c r="N901" s="177"/>
      <c r="O901" s="337"/>
      <c r="P901" s="164"/>
      <c r="Q901" s="201"/>
      <c r="R901" s="201"/>
      <c r="S901" s="17"/>
      <c r="T901" s="17"/>
    </row>
    <row r="902">
      <c r="A902" s="337"/>
      <c r="B902" s="164"/>
      <c r="C902" s="337"/>
      <c r="D902" s="177"/>
      <c r="E902" s="337"/>
      <c r="F902" s="164"/>
      <c r="G902" s="337"/>
      <c r="H902" s="164"/>
      <c r="I902" s="344"/>
      <c r="J902" s="177"/>
      <c r="K902" s="344"/>
      <c r="L902" s="177"/>
      <c r="M902" s="344"/>
      <c r="N902" s="177"/>
      <c r="O902" s="337"/>
      <c r="P902" s="164"/>
      <c r="Q902" s="201"/>
      <c r="R902" s="201"/>
      <c r="S902" s="17"/>
      <c r="T902" s="17"/>
    </row>
    <row r="903">
      <c r="A903" s="337"/>
      <c r="B903" s="164"/>
      <c r="C903" s="337"/>
      <c r="D903" s="177"/>
      <c r="E903" s="337"/>
      <c r="F903" s="164"/>
      <c r="G903" s="337"/>
      <c r="H903" s="164"/>
      <c r="I903" s="344"/>
      <c r="J903" s="177"/>
      <c r="K903" s="344"/>
      <c r="L903" s="177"/>
      <c r="M903" s="344"/>
      <c r="N903" s="177"/>
      <c r="O903" s="337"/>
      <c r="P903" s="164"/>
      <c r="Q903" s="201"/>
      <c r="R903" s="201"/>
      <c r="S903" s="17"/>
      <c r="T903" s="17"/>
    </row>
    <row r="904">
      <c r="A904" s="337"/>
      <c r="B904" s="164"/>
      <c r="C904" s="337"/>
      <c r="D904" s="177"/>
      <c r="E904" s="337"/>
      <c r="F904" s="164"/>
      <c r="G904" s="337"/>
      <c r="H904" s="164"/>
      <c r="I904" s="344"/>
      <c r="J904" s="177"/>
      <c r="K904" s="344"/>
      <c r="L904" s="177"/>
      <c r="M904" s="344"/>
      <c r="N904" s="177"/>
      <c r="O904" s="337"/>
      <c r="P904" s="164"/>
      <c r="Q904" s="201"/>
      <c r="R904" s="201"/>
      <c r="S904" s="17"/>
      <c r="T904" s="17"/>
    </row>
    <row r="905">
      <c r="A905" s="337"/>
      <c r="B905" s="164"/>
      <c r="C905" s="337"/>
      <c r="D905" s="177"/>
      <c r="E905" s="337"/>
      <c r="F905" s="164"/>
      <c r="G905" s="337"/>
      <c r="H905" s="164"/>
      <c r="I905" s="344"/>
      <c r="J905" s="177"/>
      <c r="K905" s="344"/>
      <c r="L905" s="177"/>
      <c r="M905" s="344"/>
      <c r="N905" s="177"/>
      <c r="O905" s="337"/>
      <c r="P905" s="164"/>
      <c r="Q905" s="201"/>
      <c r="R905" s="201"/>
      <c r="S905" s="17"/>
      <c r="T905" s="17"/>
    </row>
    <row r="906">
      <c r="A906" s="337"/>
      <c r="B906" s="164"/>
      <c r="C906" s="337"/>
      <c r="D906" s="177"/>
      <c r="E906" s="337"/>
      <c r="F906" s="164"/>
      <c r="G906" s="337"/>
      <c r="H906" s="164"/>
      <c r="I906" s="344"/>
      <c r="J906" s="177"/>
      <c r="K906" s="344"/>
      <c r="L906" s="177"/>
      <c r="M906" s="344"/>
      <c r="N906" s="177"/>
      <c r="O906" s="337"/>
      <c r="P906" s="164"/>
      <c r="Q906" s="201"/>
      <c r="R906" s="201"/>
      <c r="S906" s="17"/>
      <c r="T906" s="17"/>
    </row>
    <row r="907">
      <c r="A907" s="337"/>
      <c r="B907" s="164"/>
      <c r="C907" s="337"/>
      <c r="D907" s="177"/>
      <c r="E907" s="337"/>
      <c r="F907" s="164"/>
      <c r="G907" s="337"/>
      <c r="H907" s="164"/>
      <c r="I907" s="344"/>
      <c r="J907" s="177"/>
      <c r="K907" s="344"/>
      <c r="L907" s="177"/>
      <c r="M907" s="344"/>
      <c r="N907" s="177"/>
      <c r="O907" s="337"/>
      <c r="P907" s="164"/>
      <c r="Q907" s="201"/>
      <c r="R907" s="201"/>
      <c r="S907" s="17"/>
      <c r="T907" s="17"/>
    </row>
    <row r="908">
      <c r="A908" s="337"/>
      <c r="B908" s="164"/>
      <c r="C908" s="337"/>
      <c r="D908" s="177"/>
      <c r="E908" s="337"/>
      <c r="F908" s="164"/>
      <c r="G908" s="337"/>
      <c r="H908" s="164"/>
      <c r="I908" s="344"/>
      <c r="J908" s="177"/>
      <c r="K908" s="344"/>
      <c r="L908" s="177"/>
      <c r="M908" s="344"/>
      <c r="N908" s="177"/>
      <c r="O908" s="337"/>
      <c r="P908" s="164"/>
      <c r="Q908" s="201"/>
      <c r="R908" s="201"/>
      <c r="S908" s="17"/>
      <c r="T908" s="17"/>
    </row>
    <row r="909">
      <c r="A909" s="337"/>
      <c r="B909" s="164"/>
      <c r="C909" s="337"/>
      <c r="D909" s="177"/>
      <c r="E909" s="337"/>
      <c r="F909" s="164"/>
      <c r="G909" s="337"/>
      <c r="H909" s="164"/>
      <c r="I909" s="344"/>
      <c r="J909" s="177"/>
      <c r="K909" s="344"/>
      <c r="L909" s="177"/>
      <c r="M909" s="344"/>
      <c r="N909" s="177"/>
      <c r="O909" s="337"/>
      <c r="P909" s="164"/>
      <c r="Q909" s="201"/>
      <c r="R909" s="201"/>
      <c r="S909" s="17"/>
      <c r="T909" s="17"/>
    </row>
    <row r="910">
      <c r="A910" s="337"/>
      <c r="B910" s="164"/>
      <c r="C910" s="337"/>
      <c r="D910" s="177"/>
      <c r="E910" s="337"/>
      <c r="F910" s="164"/>
      <c r="G910" s="337"/>
      <c r="H910" s="164"/>
      <c r="I910" s="344"/>
      <c r="J910" s="177"/>
      <c r="K910" s="344"/>
      <c r="L910" s="177"/>
      <c r="M910" s="344"/>
      <c r="N910" s="177"/>
      <c r="O910" s="337"/>
      <c r="P910" s="164"/>
      <c r="Q910" s="201"/>
      <c r="R910" s="201"/>
      <c r="S910" s="17"/>
      <c r="T910" s="17"/>
    </row>
    <row r="911">
      <c r="A911" s="337"/>
      <c r="B911" s="164"/>
      <c r="C911" s="337"/>
      <c r="D911" s="177"/>
      <c r="E911" s="337"/>
      <c r="F911" s="164"/>
      <c r="G911" s="337"/>
      <c r="H911" s="164"/>
      <c r="I911" s="344"/>
      <c r="J911" s="177"/>
      <c r="K911" s="344"/>
      <c r="L911" s="177"/>
      <c r="M911" s="344"/>
      <c r="N911" s="177"/>
      <c r="O911" s="337"/>
      <c r="P911" s="164"/>
      <c r="Q911" s="201"/>
      <c r="R911" s="201"/>
      <c r="S911" s="17"/>
      <c r="T911" s="17"/>
    </row>
    <row r="912">
      <c r="A912" s="337"/>
      <c r="B912" s="164"/>
      <c r="C912" s="337"/>
      <c r="D912" s="177"/>
      <c r="E912" s="337"/>
      <c r="F912" s="164"/>
      <c r="G912" s="337"/>
      <c r="H912" s="164"/>
      <c r="I912" s="344"/>
      <c r="J912" s="177"/>
      <c r="K912" s="344"/>
      <c r="L912" s="177"/>
      <c r="M912" s="344"/>
      <c r="N912" s="177"/>
      <c r="O912" s="337"/>
      <c r="P912" s="164"/>
      <c r="Q912" s="201"/>
      <c r="R912" s="201"/>
      <c r="S912" s="17"/>
      <c r="T912" s="17"/>
    </row>
    <row r="913">
      <c r="A913" s="337"/>
      <c r="B913" s="164"/>
      <c r="C913" s="337"/>
      <c r="D913" s="177"/>
      <c r="E913" s="337"/>
      <c r="F913" s="164"/>
      <c r="G913" s="337"/>
      <c r="H913" s="164"/>
      <c r="I913" s="344"/>
      <c r="J913" s="177"/>
      <c r="K913" s="344"/>
      <c r="L913" s="177"/>
      <c r="M913" s="344"/>
      <c r="N913" s="177"/>
      <c r="O913" s="337"/>
      <c r="P913" s="164"/>
      <c r="Q913" s="201"/>
      <c r="R913" s="201"/>
      <c r="S913" s="17"/>
      <c r="T913" s="17"/>
    </row>
    <row r="914">
      <c r="A914" s="337"/>
      <c r="B914" s="164"/>
      <c r="C914" s="337"/>
      <c r="D914" s="177"/>
      <c r="E914" s="337"/>
      <c r="F914" s="164"/>
      <c r="G914" s="337"/>
      <c r="H914" s="164"/>
      <c r="I914" s="344"/>
      <c r="J914" s="177"/>
      <c r="K914" s="344"/>
      <c r="L914" s="177"/>
      <c r="M914" s="344"/>
      <c r="N914" s="177"/>
      <c r="O914" s="337"/>
      <c r="P914" s="164"/>
      <c r="Q914" s="201"/>
      <c r="R914" s="201"/>
      <c r="S914" s="17"/>
      <c r="T914" s="17"/>
    </row>
    <row r="915">
      <c r="A915" s="337"/>
      <c r="B915" s="164"/>
      <c r="C915" s="337"/>
      <c r="D915" s="177"/>
      <c r="E915" s="337"/>
      <c r="F915" s="164"/>
      <c r="G915" s="337"/>
      <c r="H915" s="164"/>
      <c r="I915" s="344"/>
      <c r="J915" s="177"/>
      <c r="K915" s="344"/>
      <c r="L915" s="177"/>
      <c r="M915" s="344"/>
      <c r="N915" s="177"/>
      <c r="O915" s="337"/>
      <c r="P915" s="164"/>
      <c r="Q915" s="201"/>
      <c r="R915" s="201"/>
      <c r="S915" s="17"/>
      <c r="T915" s="17"/>
    </row>
    <row r="916">
      <c r="A916" s="337"/>
      <c r="B916" s="164"/>
      <c r="C916" s="337"/>
      <c r="D916" s="177"/>
      <c r="E916" s="337"/>
      <c r="F916" s="164"/>
      <c r="G916" s="337"/>
      <c r="H916" s="164"/>
      <c r="I916" s="344"/>
      <c r="J916" s="177"/>
      <c r="K916" s="344"/>
      <c r="L916" s="177"/>
      <c r="M916" s="344"/>
      <c r="N916" s="177"/>
      <c r="O916" s="337"/>
      <c r="P916" s="164"/>
      <c r="Q916" s="201"/>
      <c r="R916" s="201"/>
      <c r="S916" s="17"/>
      <c r="T916" s="17"/>
    </row>
    <row r="917">
      <c r="A917" s="337"/>
      <c r="B917" s="164"/>
      <c r="C917" s="337"/>
      <c r="D917" s="177"/>
      <c r="E917" s="337"/>
      <c r="F917" s="164"/>
      <c r="G917" s="337"/>
      <c r="H917" s="164"/>
      <c r="I917" s="344"/>
      <c r="J917" s="177"/>
      <c r="K917" s="344"/>
      <c r="L917" s="177"/>
      <c r="M917" s="344"/>
      <c r="N917" s="177"/>
      <c r="O917" s="337"/>
      <c r="P917" s="164"/>
      <c r="Q917" s="201"/>
      <c r="R917" s="201"/>
      <c r="S917" s="17"/>
      <c r="T917" s="17"/>
    </row>
    <row r="918">
      <c r="A918" s="337"/>
      <c r="B918" s="164"/>
      <c r="C918" s="337"/>
      <c r="D918" s="177"/>
      <c r="E918" s="337"/>
      <c r="F918" s="164"/>
      <c r="G918" s="337"/>
      <c r="H918" s="164"/>
      <c r="I918" s="344"/>
      <c r="J918" s="177"/>
      <c r="K918" s="344"/>
      <c r="L918" s="177"/>
      <c r="M918" s="344"/>
      <c r="N918" s="177"/>
      <c r="O918" s="337"/>
      <c r="P918" s="164"/>
      <c r="Q918" s="201"/>
      <c r="R918" s="201"/>
      <c r="S918" s="17"/>
      <c r="T918" s="17"/>
    </row>
    <row r="919">
      <c r="A919" s="337"/>
      <c r="B919" s="164"/>
      <c r="C919" s="337"/>
      <c r="D919" s="177"/>
      <c r="E919" s="337"/>
      <c r="F919" s="164"/>
      <c r="G919" s="337"/>
      <c r="H919" s="164"/>
      <c r="I919" s="344"/>
      <c r="J919" s="177"/>
      <c r="K919" s="344"/>
      <c r="L919" s="177"/>
      <c r="M919" s="344"/>
      <c r="N919" s="177"/>
      <c r="O919" s="337"/>
      <c r="P919" s="164"/>
      <c r="Q919" s="201"/>
      <c r="R919" s="201"/>
      <c r="S919" s="17"/>
      <c r="T919" s="17"/>
    </row>
    <row r="920">
      <c r="A920" s="337"/>
      <c r="B920" s="164"/>
      <c r="C920" s="337"/>
      <c r="D920" s="177"/>
      <c r="E920" s="337"/>
      <c r="F920" s="164"/>
      <c r="G920" s="337"/>
      <c r="H920" s="164"/>
      <c r="I920" s="344"/>
      <c r="J920" s="177"/>
      <c r="K920" s="344"/>
      <c r="L920" s="177"/>
      <c r="M920" s="344"/>
      <c r="N920" s="177"/>
      <c r="O920" s="337"/>
      <c r="P920" s="164"/>
      <c r="Q920" s="201"/>
      <c r="R920" s="201"/>
      <c r="S920" s="17"/>
      <c r="T920" s="17"/>
    </row>
    <row r="921">
      <c r="A921" s="337"/>
      <c r="B921" s="164"/>
      <c r="C921" s="337"/>
      <c r="D921" s="177"/>
      <c r="E921" s="337"/>
      <c r="F921" s="164"/>
      <c r="G921" s="337"/>
      <c r="H921" s="164"/>
      <c r="I921" s="344"/>
      <c r="J921" s="177"/>
      <c r="K921" s="344"/>
      <c r="L921" s="177"/>
      <c r="M921" s="344"/>
      <c r="N921" s="177"/>
      <c r="O921" s="337"/>
      <c r="P921" s="164"/>
      <c r="Q921" s="201"/>
      <c r="R921" s="201"/>
      <c r="S921" s="17"/>
      <c r="T921" s="17"/>
    </row>
    <row r="922">
      <c r="A922" s="337"/>
      <c r="B922" s="164"/>
      <c r="C922" s="337"/>
      <c r="D922" s="177"/>
      <c r="E922" s="337"/>
      <c r="F922" s="164"/>
      <c r="G922" s="337"/>
      <c r="H922" s="164"/>
      <c r="I922" s="344"/>
      <c r="J922" s="177"/>
      <c r="K922" s="344"/>
      <c r="L922" s="177"/>
      <c r="M922" s="344"/>
      <c r="N922" s="177"/>
      <c r="O922" s="337"/>
      <c r="P922" s="164"/>
      <c r="Q922" s="201"/>
      <c r="R922" s="201"/>
      <c r="S922" s="17"/>
      <c r="T922" s="17"/>
    </row>
    <row r="923">
      <c r="A923" s="337"/>
      <c r="B923" s="164"/>
      <c r="C923" s="337"/>
      <c r="D923" s="177"/>
      <c r="E923" s="337"/>
      <c r="F923" s="164"/>
      <c r="G923" s="337"/>
      <c r="H923" s="164"/>
      <c r="I923" s="344"/>
      <c r="J923" s="177"/>
      <c r="K923" s="344"/>
      <c r="L923" s="177"/>
      <c r="M923" s="344"/>
      <c r="N923" s="177"/>
      <c r="O923" s="337"/>
      <c r="P923" s="164"/>
      <c r="Q923" s="201"/>
      <c r="R923" s="201"/>
      <c r="S923" s="17"/>
      <c r="T923" s="17"/>
    </row>
    <row r="924">
      <c r="A924" s="337"/>
      <c r="B924" s="164"/>
      <c r="C924" s="337"/>
      <c r="D924" s="177"/>
      <c r="E924" s="337"/>
      <c r="F924" s="164"/>
      <c r="G924" s="337"/>
      <c r="H924" s="164"/>
      <c r="I924" s="344"/>
      <c r="J924" s="177"/>
      <c r="K924" s="344"/>
      <c r="L924" s="177"/>
      <c r="M924" s="344"/>
      <c r="N924" s="177"/>
      <c r="O924" s="337"/>
      <c r="P924" s="164"/>
      <c r="Q924" s="201"/>
      <c r="R924" s="201"/>
      <c r="S924" s="17"/>
      <c r="T924" s="17"/>
    </row>
    <row r="925">
      <c r="A925" s="337"/>
      <c r="B925" s="164"/>
      <c r="C925" s="337"/>
      <c r="D925" s="177"/>
      <c r="E925" s="337"/>
      <c r="F925" s="164"/>
      <c r="G925" s="337"/>
      <c r="H925" s="164"/>
      <c r="I925" s="344"/>
      <c r="J925" s="177"/>
      <c r="K925" s="344"/>
      <c r="L925" s="177"/>
      <c r="M925" s="344"/>
      <c r="N925" s="177"/>
      <c r="O925" s="337"/>
      <c r="P925" s="164"/>
      <c r="Q925" s="201"/>
      <c r="R925" s="201"/>
      <c r="S925" s="17"/>
      <c r="T925" s="17"/>
    </row>
    <row r="926">
      <c r="A926" s="337"/>
      <c r="B926" s="164"/>
      <c r="C926" s="337"/>
      <c r="D926" s="177"/>
      <c r="E926" s="337"/>
      <c r="F926" s="164"/>
      <c r="G926" s="337"/>
      <c r="H926" s="164"/>
      <c r="I926" s="344"/>
      <c r="J926" s="177"/>
      <c r="K926" s="344"/>
      <c r="L926" s="177"/>
      <c r="M926" s="344"/>
      <c r="N926" s="177"/>
      <c r="O926" s="337"/>
      <c r="P926" s="164"/>
      <c r="Q926" s="201"/>
      <c r="R926" s="201"/>
      <c r="S926" s="17"/>
      <c r="T926" s="17"/>
    </row>
    <row r="927">
      <c r="A927" s="337"/>
      <c r="B927" s="164"/>
      <c r="C927" s="337"/>
      <c r="D927" s="177"/>
      <c r="E927" s="337"/>
      <c r="F927" s="164"/>
      <c r="G927" s="337"/>
      <c r="H927" s="164"/>
      <c r="I927" s="344"/>
      <c r="J927" s="177"/>
      <c r="K927" s="344"/>
      <c r="L927" s="177"/>
      <c r="M927" s="344"/>
      <c r="N927" s="177"/>
      <c r="O927" s="337"/>
      <c r="P927" s="164"/>
      <c r="Q927" s="201"/>
      <c r="R927" s="201"/>
      <c r="S927" s="17"/>
      <c r="T927" s="17"/>
    </row>
    <row r="928">
      <c r="A928" s="337"/>
      <c r="B928" s="164"/>
      <c r="C928" s="337"/>
      <c r="D928" s="177"/>
      <c r="E928" s="337"/>
      <c r="F928" s="164"/>
      <c r="G928" s="337"/>
      <c r="H928" s="164"/>
      <c r="I928" s="344"/>
      <c r="J928" s="177"/>
      <c r="K928" s="344"/>
      <c r="L928" s="177"/>
      <c r="M928" s="344"/>
      <c r="N928" s="177"/>
      <c r="O928" s="337"/>
      <c r="P928" s="164"/>
      <c r="Q928" s="201"/>
      <c r="R928" s="201"/>
      <c r="S928" s="17"/>
      <c r="T928" s="17"/>
    </row>
    <row r="929">
      <c r="A929" s="337"/>
      <c r="B929" s="164"/>
      <c r="C929" s="337"/>
      <c r="D929" s="177"/>
      <c r="E929" s="337"/>
      <c r="F929" s="164"/>
      <c r="G929" s="337"/>
      <c r="H929" s="164"/>
      <c r="I929" s="344"/>
      <c r="J929" s="177"/>
      <c r="K929" s="344"/>
      <c r="L929" s="177"/>
      <c r="M929" s="344"/>
      <c r="N929" s="177"/>
      <c r="O929" s="337"/>
      <c r="P929" s="164"/>
      <c r="Q929" s="201"/>
      <c r="R929" s="201"/>
      <c r="S929" s="17"/>
      <c r="T929" s="17"/>
    </row>
    <row r="930">
      <c r="A930" s="337"/>
      <c r="B930" s="164"/>
      <c r="C930" s="337"/>
      <c r="D930" s="177"/>
      <c r="E930" s="337"/>
      <c r="F930" s="164"/>
      <c r="G930" s="337"/>
      <c r="H930" s="164"/>
      <c r="I930" s="344"/>
      <c r="J930" s="177"/>
      <c r="K930" s="344"/>
      <c r="L930" s="177"/>
      <c r="M930" s="344"/>
      <c r="N930" s="177"/>
      <c r="O930" s="337"/>
      <c r="P930" s="164"/>
      <c r="Q930" s="201"/>
      <c r="R930" s="201"/>
      <c r="S930" s="17"/>
      <c r="T930" s="17"/>
    </row>
    <row r="931">
      <c r="A931" s="337"/>
      <c r="B931" s="164"/>
      <c r="C931" s="337"/>
      <c r="D931" s="177"/>
      <c r="E931" s="337"/>
      <c r="F931" s="164"/>
      <c r="G931" s="337"/>
      <c r="H931" s="164"/>
      <c r="I931" s="344"/>
      <c r="J931" s="177"/>
      <c r="K931" s="344"/>
      <c r="L931" s="177"/>
      <c r="M931" s="344"/>
      <c r="N931" s="177"/>
      <c r="O931" s="337"/>
      <c r="P931" s="164"/>
      <c r="Q931" s="201"/>
      <c r="R931" s="201"/>
      <c r="S931" s="17"/>
      <c r="T931" s="17"/>
    </row>
    <row r="932">
      <c r="A932" s="337"/>
      <c r="B932" s="164"/>
      <c r="C932" s="337"/>
      <c r="D932" s="177"/>
      <c r="E932" s="337"/>
      <c r="F932" s="164"/>
      <c r="G932" s="337"/>
      <c r="H932" s="164"/>
      <c r="I932" s="344"/>
      <c r="J932" s="177"/>
      <c r="K932" s="344"/>
      <c r="L932" s="177"/>
      <c r="M932" s="344"/>
      <c r="N932" s="177"/>
      <c r="O932" s="337"/>
      <c r="P932" s="164"/>
      <c r="Q932" s="201"/>
      <c r="R932" s="201"/>
      <c r="S932" s="17"/>
      <c r="T932" s="17"/>
    </row>
    <row r="933">
      <c r="A933" s="337"/>
      <c r="B933" s="164"/>
      <c r="C933" s="337"/>
      <c r="D933" s="177"/>
      <c r="E933" s="337"/>
      <c r="F933" s="164"/>
      <c r="G933" s="337"/>
      <c r="H933" s="164"/>
      <c r="I933" s="344"/>
      <c r="J933" s="177"/>
      <c r="K933" s="344"/>
      <c r="L933" s="177"/>
      <c r="M933" s="344"/>
      <c r="N933" s="177"/>
      <c r="O933" s="337"/>
      <c r="P933" s="164"/>
      <c r="Q933" s="201"/>
      <c r="R933" s="201"/>
      <c r="S933" s="17"/>
      <c r="T933" s="17"/>
    </row>
    <row r="934">
      <c r="A934" s="337"/>
      <c r="B934" s="164"/>
      <c r="C934" s="337"/>
      <c r="D934" s="177"/>
      <c r="E934" s="337"/>
      <c r="F934" s="164"/>
      <c r="G934" s="337"/>
      <c r="H934" s="164"/>
      <c r="I934" s="344"/>
      <c r="J934" s="177"/>
      <c r="K934" s="344"/>
      <c r="L934" s="177"/>
      <c r="M934" s="344"/>
      <c r="N934" s="177"/>
      <c r="O934" s="337"/>
      <c r="P934" s="164"/>
      <c r="Q934" s="201"/>
      <c r="R934" s="201"/>
      <c r="S934" s="17"/>
      <c r="T934" s="17"/>
    </row>
    <row r="935">
      <c r="A935" s="337"/>
      <c r="B935" s="164"/>
      <c r="C935" s="337"/>
      <c r="D935" s="177"/>
      <c r="E935" s="337"/>
      <c r="F935" s="164"/>
      <c r="G935" s="337"/>
      <c r="H935" s="164"/>
      <c r="I935" s="344"/>
      <c r="J935" s="177"/>
      <c r="K935" s="344"/>
      <c r="L935" s="177"/>
      <c r="M935" s="344"/>
      <c r="N935" s="177"/>
      <c r="O935" s="337"/>
      <c r="P935" s="164"/>
      <c r="Q935" s="201"/>
      <c r="R935" s="201"/>
      <c r="S935" s="17"/>
      <c r="T935" s="17"/>
    </row>
    <row r="936">
      <c r="A936" s="337"/>
      <c r="B936" s="164"/>
      <c r="C936" s="337"/>
      <c r="D936" s="177"/>
      <c r="E936" s="337"/>
      <c r="F936" s="164"/>
      <c r="G936" s="337"/>
      <c r="H936" s="164"/>
      <c r="I936" s="344"/>
      <c r="J936" s="177"/>
      <c r="K936" s="344"/>
      <c r="L936" s="177"/>
      <c r="M936" s="344"/>
      <c r="N936" s="177"/>
      <c r="O936" s="337"/>
      <c r="P936" s="164"/>
      <c r="Q936" s="201"/>
      <c r="R936" s="201"/>
      <c r="S936" s="17"/>
      <c r="T936" s="17"/>
    </row>
    <row r="937">
      <c r="A937" s="337"/>
      <c r="B937" s="164"/>
      <c r="C937" s="337"/>
      <c r="D937" s="177"/>
      <c r="E937" s="337"/>
      <c r="F937" s="164"/>
      <c r="G937" s="337"/>
      <c r="H937" s="164"/>
      <c r="I937" s="344"/>
      <c r="J937" s="177"/>
      <c r="K937" s="344"/>
      <c r="L937" s="177"/>
      <c r="M937" s="344"/>
      <c r="N937" s="177"/>
      <c r="O937" s="337"/>
      <c r="P937" s="164"/>
      <c r="Q937" s="201"/>
      <c r="R937" s="201"/>
      <c r="S937" s="17"/>
      <c r="T937" s="17"/>
    </row>
    <row r="938">
      <c r="A938" s="337"/>
      <c r="B938" s="164"/>
      <c r="C938" s="337"/>
      <c r="D938" s="177"/>
      <c r="E938" s="337"/>
      <c r="F938" s="164"/>
      <c r="G938" s="337"/>
      <c r="H938" s="164"/>
      <c r="I938" s="344"/>
      <c r="J938" s="177"/>
      <c r="K938" s="344"/>
      <c r="L938" s="177"/>
      <c r="M938" s="344"/>
      <c r="N938" s="177"/>
      <c r="O938" s="337"/>
      <c r="P938" s="164"/>
      <c r="Q938" s="201"/>
      <c r="R938" s="201"/>
      <c r="S938" s="17"/>
      <c r="T938" s="17"/>
    </row>
    <row r="939">
      <c r="A939" s="337"/>
      <c r="B939" s="164"/>
      <c r="C939" s="337"/>
      <c r="D939" s="177"/>
      <c r="E939" s="337"/>
      <c r="F939" s="164"/>
      <c r="G939" s="337"/>
      <c r="H939" s="164"/>
      <c r="I939" s="344"/>
      <c r="J939" s="177"/>
      <c r="K939" s="344"/>
      <c r="L939" s="177"/>
      <c r="M939" s="344"/>
      <c r="N939" s="177"/>
      <c r="O939" s="337"/>
      <c r="P939" s="164"/>
      <c r="Q939" s="201"/>
      <c r="R939" s="201"/>
      <c r="S939" s="17"/>
      <c r="T939" s="17"/>
    </row>
    <row r="940">
      <c r="A940" s="337"/>
      <c r="B940" s="164"/>
      <c r="C940" s="337"/>
      <c r="D940" s="177"/>
      <c r="E940" s="337"/>
      <c r="F940" s="164"/>
      <c r="G940" s="337"/>
      <c r="H940" s="164"/>
      <c r="I940" s="344"/>
      <c r="J940" s="177"/>
      <c r="K940" s="344"/>
      <c r="L940" s="177"/>
      <c r="M940" s="344"/>
      <c r="N940" s="177"/>
      <c r="O940" s="337"/>
      <c r="P940" s="164"/>
      <c r="Q940" s="201"/>
      <c r="R940" s="201"/>
      <c r="S940" s="17"/>
      <c r="T940" s="17"/>
    </row>
    <row r="941">
      <c r="A941" s="337"/>
      <c r="B941" s="164"/>
      <c r="C941" s="337"/>
      <c r="D941" s="177"/>
      <c r="E941" s="337"/>
      <c r="F941" s="164"/>
      <c r="G941" s="337"/>
      <c r="H941" s="164"/>
      <c r="I941" s="344"/>
      <c r="J941" s="177"/>
      <c r="K941" s="344"/>
      <c r="L941" s="177"/>
      <c r="M941" s="344"/>
      <c r="N941" s="177"/>
      <c r="O941" s="337"/>
      <c r="P941" s="164"/>
      <c r="Q941" s="201"/>
      <c r="R941" s="201"/>
      <c r="S941" s="17"/>
      <c r="T941" s="17"/>
    </row>
    <row r="942">
      <c r="A942" s="337"/>
      <c r="B942" s="164"/>
      <c r="C942" s="337"/>
      <c r="D942" s="177"/>
      <c r="E942" s="337"/>
      <c r="F942" s="164"/>
      <c r="G942" s="337"/>
      <c r="H942" s="164"/>
      <c r="I942" s="344"/>
      <c r="J942" s="177"/>
      <c r="K942" s="344"/>
      <c r="L942" s="177"/>
      <c r="M942" s="344"/>
      <c r="N942" s="177"/>
      <c r="O942" s="337"/>
      <c r="P942" s="164"/>
      <c r="Q942" s="201"/>
      <c r="R942" s="201"/>
      <c r="S942" s="17"/>
      <c r="T942" s="17"/>
    </row>
    <row r="943">
      <c r="A943" s="337"/>
      <c r="B943" s="164"/>
      <c r="C943" s="337"/>
      <c r="D943" s="177"/>
      <c r="E943" s="337"/>
      <c r="F943" s="164"/>
      <c r="G943" s="337"/>
      <c r="H943" s="164"/>
      <c r="I943" s="344"/>
      <c r="J943" s="177"/>
      <c r="K943" s="344"/>
      <c r="L943" s="177"/>
      <c r="M943" s="344"/>
      <c r="N943" s="177"/>
      <c r="O943" s="337"/>
      <c r="P943" s="164"/>
      <c r="Q943" s="201"/>
      <c r="R943" s="201"/>
      <c r="S943" s="17"/>
      <c r="T943" s="17"/>
    </row>
    <row r="944">
      <c r="A944" s="337"/>
      <c r="B944" s="164"/>
      <c r="C944" s="337"/>
      <c r="D944" s="177"/>
      <c r="E944" s="337"/>
      <c r="F944" s="164"/>
      <c r="G944" s="337"/>
      <c r="H944" s="164"/>
      <c r="I944" s="344"/>
      <c r="J944" s="177"/>
      <c r="K944" s="344"/>
      <c r="L944" s="177"/>
      <c r="M944" s="344"/>
      <c r="N944" s="177"/>
      <c r="O944" s="337"/>
      <c r="P944" s="164"/>
      <c r="Q944" s="201"/>
      <c r="R944" s="201"/>
      <c r="S944" s="17"/>
      <c r="T944" s="17"/>
    </row>
    <row r="945">
      <c r="A945" s="337"/>
      <c r="B945" s="164"/>
      <c r="C945" s="337"/>
      <c r="D945" s="177"/>
      <c r="E945" s="337"/>
      <c r="F945" s="164"/>
      <c r="G945" s="337"/>
      <c r="H945" s="164"/>
      <c r="I945" s="344"/>
      <c r="J945" s="177"/>
      <c r="K945" s="344"/>
      <c r="L945" s="177"/>
      <c r="M945" s="344"/>
      <c r="N945" s="177"/>
      <c r="O945" s="337"/>
      <c r="P945" s="164"/>
      <c r="Q945" s="201"/>
      <c r="R945" s="201"/>
      <c r="S945" s="17"/>
      <c r="T945" s="17"/>
    </row>
    <row r="946">
      <c r="A946" s="337"/>
      <c r="B946" s="164"/>
      <c r="C946" s="337"/>
      <c r="D946" s="177"/>
      <c r="E946" s="337"/>
      <c r="F946" s="164"/>
      <c r="G946" s="337"/>
      <c r="H946" s="164"/>
      <c r="I946" s="344"/>
      <c r="J946" s="177"/>
      <c r="K946" s="344"/>
      <c r="L946" s="177"/>
      <c r="M946" s="344"/>
      <c r="N946" s="177"/>
      <c r="O946" s="337"/>
      <c r="P946" s="164"/>
      <c r="Q946" s="201"/>
      <c r="R946" s="201"/>
      <c r="S946" s="17"/>
      <c r="T946" s="17"/>
    </row>
    <row r="947">
      <c r="A947" s="337"/>
      <c r="B947" s="164"/>
      <c r="C947" s="337"/>
      <c r="D947" s="177"/>
      <c r="E947" s="337"/>
      <c r="F947" s="164"/>
      <c r="G947" s="337"/>
      <c r="H947" s="164"/>
      <c r="I947" s="344"/>
      <c r="J947" s="177"/>
      <c r="K947" s="344"/>
      <c r="L947" s="177"/>
      <c r="M947" s="344"/>
      <c r="N947" s="177"/>
      <c r="O947" s="337"/>
      <c r="P947" s="164"/>
      <c r="Q947" s="201"/>
      <c r="R947" s="201"/>
      <c r="S947" s="17"/>
      <c r="T947" s="17"/>
    </row>
    <row r="948">
      <c r="A948" s="337"/>
      <c r="B948" s="164"/>
      <c r="C948" s="337"/>
      <c r="D948" s="177"/>
      <c r="E948" s="337"/>
      <c r="F948" s="164"/>
      <c r="G948" s="337"/>
      <c r="H948" s="164"/>
      <c r="I948" s="344"/>
      <c r="J948" s="177"/>
      <c r="K948" s="344"/>
      <c r="L948" s="177"/>
      <c r="M948" s="344"/>
      <c r="N948" s="177"/>
      <c r="O948" s="337"/>
      <c r="P948" s="164"/>
      <c r="Q948" s="201"/>
      <c r="R948" s="201"/>
      <c r="S948" s="17"/>
      <c r="T948" s="17"/>
    </row>
    <row r="949">
      <c r="A949" s="337"/>
      <c r="B949" s="164"/>
      <c r="C949" s="337"/>
      <c r="D949" s="177"/>
      <c r="E949" s="337"/>
      <c r="F949" s="164"/>
      <c r="G949" s="337"/>
      <c r="H949" s="164"/>
      <c r="I949" s="344"/>
      <c r="J949" s="177"/>
      <c r="K949" s="344"/>
      <c r="L949" s="177"/>
      <c r="M949" s="344"/>
      <c r="N949" s="177"/>
      <c r="O949" s="337"/>
      <c r="P949" s="164"/>
      <c r="Q949" s="201"/>
      <c r="R949" s="201"/>
      <c r="S949" s="17"/>
      <c r="T949" s="17"/>
    </row>
    <row r="950">
      <c r="A950" s="337"/>
      <c r="B950" s="164"/>
      <c r="C950" s="337"/>
      <c r="D950" s="177"/>
      <c r="E950" s="337"/>
      <c r="F950" s="164"/>
      <c r="G950" s="337"/>
      <c r="H950" s="164"/>
      <c r="I950" s="344"/>
      <c r="J950" s="177"/>
      <c r="K950" s="344"/>
      <c r="L950" s="177"/>
      <c r="M950" s="344"/>
      <c r="N950" s="177"/>
      <c r="O950" s="337"/>
      <c r="P950" s="164"/>
      <c r="Q950" s="201"/>
      <c r="R950" s="201"/>
      <c r="S950" s="17"/>
      <c r="T950" s="17"/>
    </row>
    <row r="951">
      <c r="A951" s="337"/>
      <c r="B951" s="164"/>
      <c r="C951" s="337"/>
      <c r="D951" s="177"/>
      <c r="E951" s="337"/>
      <c r="F951" s="164"/>
      <c r="G951" s="337"/>
      <c r="H951" s="164"/>
      <c r="I951" s="344"/>
      <c r="J951" s="177"/>
      <c r="K951" s="344"/>
      <c r="L951" s="177"/>
      <c r="M951" s="344"/>
      <c r="N951" s="177"/>
      <c r="O951" s="337"/>
      <c r="P951" s="164"/>
      <c r="Q951" s="201"/>
      <c r="R951" s="201"/>
      <c r="S951" s="17"/>
      <c r="T951" s="17"/>
    </row>
    <row r="952">
      <c r="A952" s="337"/>
      <c r="B952" s="164"/>
      <c r="C952" s="337"/>
      <c r="D952" s="177"/>
      <c r="E952" s="337"/>
      <c r="F952" s="164"/>
      <c r="G952" s="337"/>
      <c r="H952" s="164"/>
      <c r="I952" s="344"/>
      <c r="J952" s="177"/>
      <c r="K952" s="344"/>
      <c r="L952" s="177"/>
      <c r="M952" s="344"/>
      <c r="N952" s="177"/>
      <c r="O952" s="337"/>
      <c r="P952" s="164"/>
      <c r="Q952" s="201"/>
      <c r="R952" s="201"/>
      <c r="S952" s="17"/>
      <c r="T952" s="17"/>
    </row>
    <row r="953">
      <c r="A953" s="337"/>
      <c r="B953" s="164"/>
      <c r="C953" s="337"/>
      <c r="D953" s="177"/>
      <c r="E953" s="337"/>
      <c r="F953" s="164"/>
      <c r="G953" s="337"/>
      <c r="H953" s="164"/>
      <c r="I953" s="344"/>
      <c r="J953" s="177"/>
      <c r="K953" s="344"/>
      <c r="L953" s="177"/>
      <c r="M953" s="344"/>
      <c r="N953" s="177"/>
      <c r="O953" s="337"/>
      <c r="P953" s="164"/>
      <c r="Q953" s="201"/>
      <c r="R953" s="201"/>
      <c r="S953" s="17"/>
      <c r="T953" s="17"/>
    </row>
    <row r="954">
      <c r="A954" s="337"/>
      <c r="B954" s="164"/>
      <c r="C954" s="337"/>
      <c r="D954" s="177"/>
      <c r="E954" s="337"/>
      <c r="F954" s="164"/>
      <c r="G954" s="337"/>
      <c r="H954" s="164"/>
      <c r="I954" s="344"/>
      <c r="J954" s="177"/>
      <c r="K954" s="344"/>
      <c r="L954" s="177"/>
      <c r="M954" s="344"/>
      <c r="N954" s="177"/>
      <c r="O954" s="337"/>
      <c r="P954" s="164"/>
      <c r="Q954" s="201"/>
      <c r="R954" s="201"/>
      <c r="S954" s="17"/>
      <c r="T954" s="17"/>
    </row>
    <row r="955">
      <c r="A955" s="337"/>
      <c r="B955" s="164"/>
      <c r="C955" s="337"/>
      <c r="D955" s="177"/>
      <c r="E955" s="337"/>
      <c r="F955" s="164"/>
      <c r="G955" s="337"/>
      <c r="H955" s="164"/>
      <c r="I955" s="344"/>
      <c r="J955" s="177"/>
      <c r="K955" s="344"/>
      <c r="L955" s="177"/>
      <c r="M955" s="344"/>
      <c r="N955" s="177"/>
      <c r="O955" s="337"/>
      <c r="P955" s="164"/>
      <c r="Q955" s="201"/>
      <c r="R955" s="201"/>
      <c r="S955" s="17"/>
      <c r="T955" s="17"/>
    </row>
    <row r="956">
      <c r="A956" s="337"/>
      <c r="B956" s="164"/>
      <c r="C956" s="337"/>
      <c r="D956" s="177"/>
      <c r="E956" s="337"/>
      <c r="F956" s="164"/>
      <c r="G956" s="337"/>
      <c r="H956" s="164"/>
      <c r="I956" s="344"/>
      <c r="J956" s="177"/>
      <c r="K956" s="344"/>
      <c r="L956" s="177"/>
      <c r="M956" s="344"/>
      <c r="N956" s="177"/>
      <c r="O956" s="337"/>
      <c r="P956" s="164"/>
      <c r="Q956" s="201"/>
      <c r="R956" s="201"/>
      <c r="S956" s="17"/>
      <c r="T956" s="17"/>
    </row>
    <row r="957">
      <c r="A957" s="337"/>
      <c r="B957" s="164"/>
      <c r="C957" s="337"/>
      <c r="D957" s="177"/>
      <c r="E957" s="337"/>
      <c r="F957" s="164"/>
      <c r="G957" s="337"/>
      <c r="H957" s="164"/>
      <c r="I957" s="344"/>
      <c r="J957" s="177"/>
      <c r="K957" s="344"/>
      <c r="L957" s="177"/>
      <c r="M957" s="344"/>
      <c r="N957" s="177"/>
      <c r="O957" s="337"/>
      <c r="P957" s="164"/>
      <c r="Q957" s="201"/>
      <c r="R957" s="201"/>
      <c r="S957" s="17"/>
      <c r="T957" s="17"/>
    </row>
    <row r="958">
      <c r="A958" s="337"/>
      <c r="B958" s="164"/>
      <c r="C958" s="337"/>
      <c r="D958" s="177"/>
      <c r="E958" s="337"/>
      <c r="F958" s="164"/>
      <c r="G958" s="337"/>
      <c r="H958" s="164"/>
      <c r="I958" s="344"/>
      <c r="J958" s="177"/>
      <c r="K958" s="344"/>
      <c r="L958" s="177"/>
      <c r="M958" s="344"/>
      <c r="N958" s="177"/>
      <c r="O958" s="337"/>
      <c r="P958" s="164"/>
      <c r="Q958" s="201"/>
      <c r="R958" s="201"/>
      <c r="S958" s="17"/>
      <c r="T958" s="17"/>
    </row>
    <row r="959">
      <c r="A959" s="337"/>
      <c r="B959" s="164"/>
      <c r="C959" s="337"/>
      <c r="D959" s="177"/>
      <c r="E959" s="337"/>
      <c r="F959" s="164"/>
      <c r="G959" s="337"/>
      <c r="H959" s="164"/>
      <c r="I959" s="344"/>
      <c r="J959" s="177"/>
      <c r="K959" s="344"/>
      <c r="L959" s="177"/>
      <c r="M959" s="344"/>
      <c r="N959" s="177"/>
      <c r="O959" s="337"/>
      <c r="P959" s="164"/>
      <c r="Q959" s="201"/>
      <c r="R959" s="201"/>
      <c r="S959" s="17"/>
      <c r="T959" s="17"/>
    </row>
    <row r="960">
      <c r="A960" s="337"/>
      <c r="B960" s="164"/>
      <c r="C960" s="337"/>
      <c r="D960" s="177"/>
      <c r="E960" s="337"/>
      <c r="F960" s="164"/>
      <c r="G960" s="337"/>
      <c r="H960" s="164"/>
      <c r="I960" s="344"/>
      <c r="J960" s="177"/>
      <c r="K960" s="344"/>
      <c r="L960" s="177"/>
      <c r="M960" s="344"/>
      <c r="N960" s="177"/>
      <c r="O960" s="337"/>
      <c r="P960" s="164"/>
      <c r="Q960" s="201"/>
      <c r="R960" s="201"/>
      <c r="S960" s="17"/>
      <c r="T960" s="17"/>
    </row>
    <row r="961">
      <c r="A961" s="337"/>
      <c r="B961" s="164"/>
      <c r="C961" s="337"/>
      <c r="D961" s="177"/>
      <c r="E961" s="337"/>
      <c r="F961" s="164"/>
      <c r="G961" s="337"/>
      <c r="H961" s="164"/>
      <c r="I961" s="344"/>
      <c r="J961" s="177"/>
      <c r="K961" s="344"/>
      <c r="L961" s="177"/>
      <c r="M961" s="344"/>
      <c r="N961" s="177"/>
      <c r="O961" s="337"/>
      <c r="P961" s="164"/>
      <c r="Q961" s="201"/>
      <c r="R961" s="201"/>
      <c r="S961" s="17"/>
      <c r="T961" s="17"/>
    </row>
    <row r="962">
      <c r="A962" s="337"/>
      <c r="B962" s="164"/>
      <c r="C962" s="337"/>
      <c r="D962" s="177"/>
      <c r="E962" s="337"/>
      <c r="F962" s="164"/>
      <c r="G962" s="337"/>
      <c r="H962" s="164"/>
      <c r="I962" s="344"/>
      <c r="J962" s="177"/>
      <c r="K962" s="344"/>
      <c r="L962" s="177"/>
      <c r="M962" s="344"/>
      <c r="N962" s="177"/>
      <c r="O962" s="337"/>
      <c r="P962" s="164"/>
      <c r="Q962" s="201"/>
      <c r="R962" s="201"/>
      <c r="S962" s="17"/>
      <c r="T962" s="17"/>
    </row>
    <row r="963">
      <c r="A963" s="337"/>
      <c r="B963" s="164"/>
      <c r="C963" s="337"/>
      <c r="D963" s="177"/>
      <c r="E963" s="337"/>
      <c r="F963" s="164"/>
      <c r="G963" s="337"/>
      <c r="H963" s="164"/>
      <c r="I963" s="344"/>
      <c r="J963" s="177"/>
      <c r="K963" s="344"/>
      <c r="L963" s="177"/>
      <c r="M963" s="344"/>
      <c r="N963" s="177"/>
      <c r="O963" s="337"/>
      <c r="P963" s="164"/>
      <c r="Q963" s="201"/>
      <c r="R963" s="201"/>
      <c r="S963" s="17"/>
      <c r="T963" s="17"/>
    </row>
    <row r="964">
      <c r="A964" s="337"/>
      <c r="B964" s="164"/>
      <c r="C964" s="337"/>
      <c r="D964" s="177"/>
      <c r="E964" s="337"/>
      <c r="F964" s="164"/>
      <c r="G964" s="337"/>
      <c r="H964" s="164"/>
      <c r="I964" s="344"/>
      <c r="J964" s="177"/>
      <c r="K964" s="344"/>
      <c r="L964" s="177"/>
      <c r="M964" s="344"/>
      <c r="N964" s="177"/>
      <c r="O964" s="337"/>
      <c r="P964" s="164"/>
      <c r="Q964" s="201"/>
      <c r="R964" s="201"/>
      <c r="S964" s="17"/>
      <c r="T964" s="17"/>
    </row>
    <row r="965">
      <c r="A965" s="337"/>
      <c r="B965" s="164"/>
      <c r="C965" s="337"/>
      <c r="D965" s="177"/>
      <c r="E965" s="337"/>
      <c r="F965" s="164"/>
      <c r="G965" s="337"/>
      <c r="H965" s="164"/>
      <c r="I965" s="344"/>
      <c r="J965" s="177"/>
      <c r="K965" s="344"/>
      <c r="L965" s="177"/>
      <c r="M965" s="344"/>
      <c r="N965" s="177"/>
      <c r="O965" s="337"/>
      <c r="P965" s="164"/>
      <c r="Q965" s="201"/>
      <c r="R965" s="201"/>
      <c r="S965" s="17"/>
      <c r="T965" s="17"/>
    </row>
    <row r="966">
      <c r="A966" s="337"/>
      <c r="B966" s="164"/>
      <c r="C966" s="337"/>
      <c r="D966" s="177"/>
      <c r="E966" s="337"/>
      <c r="F966" s="164"/>
      <c r="G966" s="337"/>
      <c r="H966" s="164"/>
      <c r="I966" s="344"/>
      <c r="J966" s="177"/>
      <c r="K966" s="344"/>
      <c r="L966" s="177"/>
      <c r="M966" s="344"/>
      <c r="N966" s="177"/>
      <c r="O966" s="337"/>
      <c r="P966" s="164"/>
      <c r="Q966" s="201"/>
      <c r="R966" s="201"/>
      <c r="S966" s="17"/>
      <c r="T966" s="17"/>
    </row>
    <row r="967">
      <c r="A967" s="337"/>
      <c r="B967" s="164"/>
      <c r="C967" s="337"/>
      <c r="D967" s="177"/>
      <c r="E967" s="337"/>
      <c r="F967" s="164"/>
      <c r="G967" s="337"/>
      <c r="H967" s="164"/>
      <c r="I967" s="344"/>
      <c r="J967" s="177"/>
      <c r="K967" s="344"/>
      <c r="L967" s="177"/>
      <c r="M967" s="344"/>
      <c r="N967" s="177"/>
      <c r="O967" s="337"/>
      <c r="P967" s="164"/>
      <c r="Q967" s="201"/>
      <c r="R967" s="201"/>
      <c r="S967" s="17"/>
      <c r="T967" s="17"/>
    </row>
    <row r="968">
      <c r="A968" s="337"/>
      <c r="B968" s="164"/>
      <c r="C968" s="337"/>
      <c r="D968" s="177"/>
      <c r="E968" s="337"/>
      <c r="F968" s="164"/>
      <c r="G968" s="337"/>
      <c r="H968" s="164"/>
      <c r="I968" s="344"/>
      <c r="J968" s="177"/>
      <c r="K968" s="344"/>
      <c r="L968" s="177"/>
      <c r="M968" s="344"/>
      <c r="N968" s="177"/>
      <c r="O968" s="337"/>
      <c r="P968" s="164"/>
      <c r="Q968" s="201"/>
      <c r="R968" s="201"/>
      <c r="S968" s="17"/>
      <c r="T968" s="17"/>
    </row>
    <row r="969">
      <c r="A969" s="337"/>
      <c r="B969" s="164"/>
      <c r="C969" s="337"/>
      <c r="D969" s="177"/>
      <c r="E969" s="337"/>
      <c r="F969" s="164"/>
      <c r="G969" s="337"/>
      <c r="H969" s="164"/>
      <c r="I969" s="344"/>
      <c r="J969" s="177"/>
      <c r="K969" s="344"/>
      <c r="L969" s="177"/>
      <c r="M969" s="344"/>
      <c r="N969" s="177"/>
      <c r="O969" s="337"/>
      <c r="P969" s="164"/>
      <c r="Q969" s="201"/>
      <c r="R969" s="201"/>
      <c r="S969" s="17"/>
      <c r="T969" s="17"/>
    </row>
    <row r="970">
      <c r="A970" s="337"/>
      <c r="B970" s="164"/>
      <c r="C970" s="337"/>
      <c r="D970" s="177"/>
      <c r="E970" s="337"/>
      <c r="F970" s="164"/>
      <c r="G970" s="337"/>
      <c r="H970" s="164"/>
      <c r="I970" s="344"/>
      <c r="J970" s="177"/>
      <c r="K970" s="344"/>
      <c r="L970" s="177"/>
      <c r="M970" s="344"/>
      <c r="N970" s="177"/>
      <c r="O970" s="337"/>
      <c r="P970" s="164"/>
      <c r="Q970" s="201"/>
      <c r="R970" s="201"/>
      <c r="S970" s="17"/>
      <c r="T970" s="17"/>
    </row>
    <row r="971">
      <c r="A971" s="337"/>
      <c r="B971" s="164"/>
      <c r="C971" s="337"/>
      <c r="D971" s="177"/>
      <c r="E971" s="337"/>
      <c r="F971" s="164"/>
      <c r="G971" s="337"/>
      <c r="H971" s="164"/>
      <c r="I971" s="344"/>
      <c r="J971" s="177"/>
      <c r="K971" s="344"/>
      <c r="L971" s="177"/>
      <c r="M971" s="344"/>
      <c r="N971" s="177"/>
      <c r="O971" s="337"/>
      <c r="P971" s="164"/>
      <c r="Q971" s="201"/>
      <c r="R971" s="201"/>
      <c r="S971" s="17"/>
      <c r="T971" s="17"/>
    </row>
    <row r="972">
      <c r="A972" s="337"/>
      <c r="B972" s="164"/>
      <c r="C972" s="337"/>
      <c r="D972" s="177"/>
      <c r="E972" s="337"/>
      <c r="F972" s="164"/>
      <c r="G972" s="337"/>
      <c r="H972" s="164"/>
      <c r="I972" s="344"/>
      <c r="J972" s="177"/>
      <c r="K972" s="344"/>
      <c r="L972" s="177"/>
      <c r="M972" s="344"/>
      <c r="N972" s="177"/>
      <c r="O972" s="337"/>
      <c r="P972" s="164"/>
      <c r="Q972" s="201"/>
      <c r="R972" s="201"/>
      <c r="S972" s="17"/>
      <c r="T972" s="17"/>
    </row>
    <row r="973">
      <c r="A973" s="337"/>
      <c r="B973" s="164"/>
      <c r="C973" s="337"/>
      <c r="D973" s="177"/>
      <c r="E973" s="337"/>
      <c r="F973" s="164"/>
      <c r="G973" s="337"/>
      <c r="H973" s="164"/>
      <c r="I973" s="344"/>
      <c r="J973" s="177"/>
      <c r="K973" s="344"/>
      <c r="L973" s="177"/>
      <c r="M973" s="344"/>
      <c r="N973" s="177"/>
      <c r="O973" s="337"/>
      <c r="P973" s="164"/>
      <c r="Q973" s="201"/>
      <c r="R973" s="201"/>
      <c r="S973" s="17"/>
      <c r="T973" s="17"/>
    </row>
    <row r="974">
      <c r="A974" s="337"/>
      <c r="B974" s="164"/>
      <c r="C974" s="337"/>
      <c r="D974" s="177"/>
      <c r="E974" s="337"/>
      <c r="F974" s="164"/>
      <c r="G974" s="337"/>
      <c r="H974" s="164"/>
      <c r="I974" s="344"/>
      <c r="J974" s="177"/>
      <c r="K974" s="344"/>
      <c r="L974" s="177"/>
      <c r="M974" s="344"/>
      <c r="N974" s="177"/>
      <c r="O974" s="337"/>
      <c r="P974" s="164"/>
      <c r="Q974" s="201"/>
      <c r="R974" s="201"/>
      <c r="S974" s="17"/>
      <c r="T974" s="17"/>
    </row>
    <row r="975">
      <c r="A975" s="337"/>
      <c r="B975" s="164"/>
      <c r="C975" s="337"/>
      <c r="D975" s="177"/>
      <c r="E975" s="337"/>
      <c r="F975" s="164"/>
      <c r="G975" s="337"/>
      <c r="H975" s="164"/>
      <c r="I975" s="344"/>
      <c r="J975" s="177"/>
      <c r="K975" s="344"/>
      <c r="L975" s="177"/>
      <c r="M975" s="344"/>
      <c r="N975" s="177"/>
      <c r="O975" s="337"/>
      <c r="P975" s="164"/>
      <c r="Q975" s="201"/>
      <c r="R975" s="201"/>
      <c r="S975" s="17"/>
      <c r="T975" s="17"/>
    </row>
    <row r="976">
      <c r="A976" s="337"/>
      <c r="B976" s="164"/>
      <c r="C976" s="337"/>
      <c r="D976" s="177"/>
      <c r="E976" s="337"/>
      <c r="F976" s="164"/>
      <c r="G976" s="337"/>
      <c r="H976" s="164"/>
      <c r="I976" s="344"/>
      <c r="J976" s="177"/>
      <c r="K976" s="344"/>
      <c r="L976" s="177"/>
      <c r="M976" s="344"/>
      <c r="N976" s="177"/>
      <c r="O976" s="337"/>
      <c r="P976" s="164"/>
      <c r="Q976" s="201"/>
      <c r="R976" s="201"/>
      <c r="S976" s="17"/>
      <c r="T976" s="17"/>
    </row>
    <row r="977">
      <c r="A977" s="337"/>
      <c r="B977" s="164"/>
      <c r="C977" s="337"/>
      <c r="D977" s="177"/>
      <c r="E977" s="337"/>
      <c r="F977" s="164"/>
      <c r="G977" s="337"/>
      <c r="H977" s="164"/>
      <c r="I977" s="344"/>
      <c r="J977" s="177"/>
      <c r="K977" s="344"/>
      <c r="L977" s="177"/>
      <c r="M977" s="344"/>
      <c r="N977" s="177"/>
      <c r="O977" s="337"/>
      <c r="P977" s="164"/>
      <c r="Q977" s="201"/>
      <c r="R977" s="201"/>
      <c r="S977" s="17"/>
      <c r="T977" s="17"/>
    </row>
    <row r="978">
      <c r="A978" s="337"/>
      <c r="B978" s="164"/>
      <c r="C978" s="337"/>
      <c r="D978" s="177"/>
      <c r="E978" s="337"/>
      <c r="F978" s="164"/>
      <c r="G978" s="337"/>
      <c r="H978" s="164"/>
      <c r="I978" s="344"/>
      <c r="J978" s="177"/>
      <c r="K978" s="344"/>
      <c r="L978" s="177"/>
      <c r="M978" s="344"/>
      <c r="N978" s="177"/>
      <c r="O978" s="337"/>
      <c r="P978" s="164"/>
      <c r="Q978" s="201"/>
      <c r="R978" s="201"/>
      <c r="S978" s="17"/>
      <c r="T978" s="17"/>
    </row>
    <row r="979">
      <c r="A979" s="337"/>
      <c r="B979" s="164"/>
      <c r="C979" s="337"/>
      <c r="D979" s="177"/>
      <c r="E979" s="337"/>
      <c r="F979" s="164"/>
      <c r="G979" s="337"/>
      <c r="H979" s="164"/>
      <c r="I979" s="344"/>
      <c r="J979" s="177"/>
      <c r="K979" s="344"/>
      <c r="L979" s="177"/>
      <c r="M979" s="344"/>
      <c r="N979" s="177"/>
      <c r="O979" s="337"/>
      <c r="P979" s="164"/>
      <c r="Q979" s="201"/>
      <c r="R979" s="201"/>
      <c r="S979" s="17"/>
      <c r="T979" s="17"/>
    </row>
    <row r="980">
      <c r="A980" s="337"/>
      <c r="B980" s="164"/>
      <c r="C980" s="337"/>
      <c r="D980" s="177"/>
      <c r="E980" s="337"/>
      <c r="F980" s="164"/>
      <c r="G980" s="337"/>
      <c r="H980" s="164"/>
      <c r="I980" s="344"/>
      <c r="J980" s="177"/>
      <c r="K980" s="344"/>
      <c r="L980" s="177"/>
      <c r="M980" s="344"/>
      <c r="N980" s="177"/>
      <c r="O980" s="337"/>
      <c r="P980" s="164"/>
      <c r="Q980" s="201"/>
      <c r="R980" s="201"/>
      <c r="S980" s="17"/>
      <c r="T980" s="17"/>
    </row>
    <row r="981">
      <c r="A981" s="337"/>
      <c r="B981" s="164"/>
      <c r="C981" s="337"/>
      <c r="D981" s="177"/>
      <c r="E981" s="337"/>
      <c r="F981" s="164"/>
      <c r="G981" s="337"/>
      <c r="H981" s="164"/>
      <c r="I981" s="344"/>
      <c r="J981" s="177"/>
      <c r="K981" s="344"/>
      <c r="L981" s="177"/>
      <c r="M981" s="344"/>
      <c r="N981" s="177"/>
      <c r="O981" s="337"/>
      <c r="P981" s="164"/>
      <c r="Q981" s="201"/>
      <c r="R981" s="201"/>
      <c r="S981" s="17"/>
      <c r="T981" s="17"/>
    </row>
    <row r="982">
      <c r="A982" s="337"/>
      <c r="B982" s="164"/>
      <c r="C982" s="337"/>
      <c r="D982" s="177"/>
      <c r="E982" s="337"/>
      <c r="F982" s="164"/>
      <c r="G982" s="337"/>
      <c r="H982" s="164"/>
      <c r="I982" s="344"/>
      <c r="J982" s="177"/>
      <c r="K982" s="344"/>
      <c r="L982" s="177"/>
      <c r="M982" s="344"/>
      <c r="N982" s="177"/>
      <c r="O982" s="337"/>
      <c r="P982" s="164"/>
      <c r="Q982" s="201"/>
      <c r="R982" s="201"/>
      <c r="S982" s="17"/>
      <c r="T982" s="17"/>
    </row>
    <row r="983">
      <c r="A983" s="337"/>
      <c r="B983" s="164"/>
      <c r="C983" s="337"/>
      <c r="D983" s="177"/>
      <c r="E983" s="337"/>
      <c r="F983" s="164"/>
      <c r="G983" s="337"/>
      <c r="H983" s="164"/>
      <c r="I983" s="344"/>
      <c r="J983" s="177"/>
      <c r="K983" s="344"/>
      <c r="L983" s="177"/>
      <c r="M983" s="344"/>
      <c r="N983" s="177"/>
      <c r="O983" s="337"/>
      <c r="P983" s="164"/>
      <c r="Q983" s="201"/>
      <c r="R983" s="201"/>
      <c r="S983" s="17"/>
      <c r="T983" s="17"/>
    </row>
    <row r="984">
      <c r="A984" s="337"/>
      <c r="B984" s="164"/>
      <c r="C984" s="337"/>
      <c r="D984" s="177"/>
      <c r="E984" s="337"/>
      <c r="F984" s="164"/>
      <c r="G984" s="337"/>
      <c r="H984" s="164"/>
      <c r="I984" s="344"/>
      <c r="J984" s="177"/>
      <c r="K984" s="344"/>
      <c r="L984" s="177"/>
      <c r="M984" s="344"/>
      <c r="N984" s="177"/>
      <c r="O984" s="337"/>
      <c r="P984" s="164"/>
      <c r="Q984" s="201"/>
      <c r="R984" s="201"/>
      <c r="S984" s="17"/>
      <c r="T984" s="17"/>
    </row>
    <row r="985">
      <c r="A985" s="337"/>
      <c r="B985" s="164"/>
      <c r="C985" s="337"/>
      <c r="D985" s="177"/>
      <c r="E985" s="337"/>
      <c r="F985" s="164"/>
      <c r="G985" s="337"/>
      <c r="H985" s="164"/>
      <c r="I985" s="344"/>
      <c r="J985" s="177"/>
      <c r="K985" s="344"/>
      <c r="L985" s="177"/>
      <c r="M985" s="344"/>
      <c r="N985" s="177"/>
      <c r="O985" s="337"/>
      <c r="P985" s="164"/>
      <c r="Q985" s="201"/>
      <c r="R985" s="201"/>
      <c r="S985" s="17"/>
      <c r="T985" s="17"/>
    </row>
    <row r="986">
      <c r="A986" s="337"/>
      <c r="B986" s="164"/>
      <c r="C986" s="337"/>
      <c r="D986" s="177"/>
      <c r="E986" s="337"/>
      <c r="F986" s="164"/>
      <c r="G986" s="337"/>
      <c r="H986" s="164"/>
      <c r="I986" s="344"/>
      <c r="J986" s="177"/>
      <c r="K986" s="344"/>
      <c r="L986" s="177"/>
      <c r="M986" s="344"/>
      <c r="N986" s="177"/>
      <c r="O986" s="337"/>
      <c r="P986" s="164"/>
      <c r="Q986" s="201"/>
      <c r="R986" s="201"/>
      <c r="S986" s="17"/>
      <c r="T986" s="17"/>
    </row>
    <row r="987">
      <c r="A987" s="337"/>
      <c r="B987" s="164"/>
      <c r="C987" s="337"/>
      <c r="D987" s="177"/>
      <c r="E987" s="337"/>
      <c r="F987" s="164"/>
      <c r="G987" s="337"/>
      <c r="H987" s="164"/>
      <c r="I987" s="344"/>
      <c r="J987" s="177"/>
      <c r="K987" s="344"/>
      <c r="L987" s="177"/>
      <c r="M987" s="344"/>
      <c r="N987" s="177"/>
      <c r="O987" s="337"/>
      <c r="P987" s="164"/>
      <c r="Q987" s="201"/>
      <c r="R987" s="201"/>
      <c r="S987" s="17"/>
      <c r="T987" s="17"/>
    </row>
    <row r="988">
      <c r="A988" s="337"/>
      <c r="B988" s="164"/>
      <c r="C988" s="337"/>
      <c r="D988" s="177"/>
      <c r="E988" s="337"/>
      <c r="F988" s="164"/>
      <c r="G988" s="337"/>
      <c r="H988" s="164"/>
      <c r="I988" s="344"/>
      <c r="J988" s="177"/>
      <c r="K988" s="344"/>
      <c r="L988" s="177"/>
      <c r="M988" s="344"/>
      <c r="N988" s="177"/>
      <c r="O988" s="337"/>
      <c r="P988" s="164"/>
      <c r="Q988" s="201"/>
      <c r="R988" s="201"/>
      <c r="S988" s="17"/>
      <c r="T988" s="17"/>
    </row>
    <row r="989">
      <c r="A989" s="337"/>
      <c r="B989" s="164"/>
      <c r="C989" s="337"/>
      <c r="D989" s="177"/>
      <c r="E989" s="337"/>
      <c r="F989" s="164"/>
      <c r="G989" s="337"/>
      <c r="H989" s="164"/>
      <c r="I989" s="344"/>
      <c r="J989" s="177"/>
      <c r="K989" s="344"/>
      <c r="L989" s="177"/>
      <c r="M989" s="344"/>
      <c r="N989" s="177"/>
      <c r="O989" s="337"/>
      <c r="P989" s="164"/>
      <c r="Q989" s="201"/>
      <c r="R989" s="201"/>
      <c r="S989" s="17"/>
      <c r="T989" s="17"/>
    </row>
    <row r="990">
      <c r="A990" s="337"/>
      <c r="B990" s="164"/>
      <c r="C990" s="337"/>
      <c r="D990" s="177"/>
      <c r="E990" s="337"/>
      <c r="F990" s="164"/>
      <c r="G990" s="337"/>
      <c r="H990" s="164"/>
      <c r="I990" s="344"/>
      <c r="J990" s="177"/>
      <c r="K990" s="344"/>
      <c r="L990" s="177"/>
      <c r="M990" s="344"/>
      <c r="N990" s="177"/>
      <c r="O990" s="337"/>
      <c r="P990" s="164"/>
      <c r="Q990" s="201"/>
      <c r="R990" s="201"/>
      <c r="S990" s="17"/>
      <c r="T990" s="17"/>
    </row>
    <row r="991">
      <c r="A991" s="337"/>
      <c r="B991" s="164"/>
      <c r="C991" s="337"/>
      <c r="D991" s="177"/>
      <c r="E991" s="337"/>
      <c r="F991" s="164"/>
      <c r="G991" s="337"/>
      <c r="H991" s="164"/>
      <c r="I991" s="344"/>
      <c r="J991" s="177"/>
      <c r="K991" s="344"/>
      <c r="L991" s="177"/>
      <c r="M991" s="344"/>
      <c r="N991" s="177"/>
      <c r="O991" s="337"/>
      <c r="P991" s="164"/>
      <c r="Q991" s="201"/>
      <c r="R991" s="201"/>
      <c r="S991" s="17"/>
      <c r="T991" s="17"/>
    </row>
    <row r="992">
      <c r="A992" s="337"/>
      <c r="B992" s="164"/>
      <c r="C992" s="337"/>
      <c r="D992" s="177"/>
      <c r="E992" s="337"/>
      <c r="F992" s="164"/>
      <c r="G992" s="337"/>
      <c r="H992" s="164"/>
      <c r="I992" s="344"/>
      <c r="J992" s="177"/>
      <c r="K992" s="344"/>
      <c r="L992" s="177"/>
      <c r="M992" s="344"/>
      <c r="N992" s="177"/>
      <c r="O992" s="337"/>
      <c r="P992" s="164"/>
      <c r="Q992" s="201"/>
      <c r="R992" s="201"/>
      <c r="S992" s="17"/>
      <c r="T992" s="17"/>
    </row>
    <row r="993">
      <c r="A993" s="337"/>
      <c r="B993" s="164"/>
      <c r="C993" s="337"/>
      <c r="D993" s="177"/>
      <c r="E993" s="337"/>
      <c r="F993" s="164"/>
      <c r="G993" s="337"/>
      <c r="H993" s="164"/>
      <c r="I993" s="344"/>
      <c r="J993" s="177"/>
      <c r="K993" s="344"/>
      <c r="L993" s="177"/>
      <c r="M993" s="344"/>
      <c r="N993" s="177"/>
      <c r="O993" s="337"/>
      <c r="P993" s="164"/>
      <c r="Q993" s="201"/>
      <c r="R993" s="201"/>
      <c r="S993" s="17"/>
      <c r="T993" s="17"/>
    </row>
    <row r="994">
      <c r="A994" s="337"/>
      <c r="B994" s="164"/>
      <c r="C994" s="337"/>
      <c r="D994" s="177"/>
      <c r="E994" s="337"/>
      <c r="F994" s="164"/>
      <c r="G994" s="337"/>
      <c r="H994" s="164"/>
      <c r="I994" s="344"/>
      <c r="J994" s="177"/>
      <c r="K994" s="344"/>
      <c r="L994" s="177"/>
      <c r="M994" s="344"/>
      <c r="N994" s="177"/>
      <c r="O994" s="337"/>
      <c r="P994" s="164"/>
      <c r="Q994" s="201"/>
      <c r="R994" s="201"/>
      <c r="S994" s="17"/>
      <c r="T994" s="17"/>
    </row>
    <row r="995">
      <c r="A995" s="337"/>
      <c r="B995" s="164"/>
      <c r="C995" s="337"/>
      <c r="D995" s="177"/>
      <c r="E995" s="337"/>
      <c r="F995" s="164"/>
      <c r="G995" s="337"/>
      <c r="H995" s="164"/>
      <c r="I995" s="344"/>
      <c r="J995" s="177"/>
      <c r="K995" s="344"/>
      <c r="L995" s="177"/>
      <c r="M995" s="344"/>
      <c r="N995" s="177"/>
      <c r="O995" s="337"/>
      <c r="P995" s="164"/>
      <c r="Q995" s="201"/>
      <c r="R995" s="201"/>
      <c r="S995" s="17"/>
      <c r="T995" s="17"/>
    </row>
    <row r="996">
      <c r="A996" s="337"/>
      <c r="B996" s="164"/>
      <c r="C996" s="337"/>
      <c r="D996" s="177"/>
      <c r="E996" s="337"/>
      <c r="F996" s="164"/>
      <c r="G996" s="337"/>
      <c r="H996" s="164"/>
      <c r="I996" s="344"/>
      <c r="J996" s="177"/>
      <c r="K996" s="344"/>
      <c r="L996" s="177"/>
      <c r="M996" s="344"/>
      <c r="N996" s="177"/>
      <c r="O996" s="337"/>
      <c r="P996" s="164"/>
      <c r="Q996" s="201"/>
      <c r="R996" s="201"/>
      <c r="S996" s="17"/>
      <c r="T996" s="17"/>
    </row>
    <row r="997">
      <c r="A997" s="337"/>
      <c r="B997" s="164"/>
      <c r="C997" s="337"/>
      <c r="D997" s="177"/>
      <c r="E997" s="337"/>
      <c r="F997" s="164"/>
      <c r="G997" s="337"/>
      <c r="H997" s="164"/>
      <c r="I997" s="344"/>
      <c r="J997" s="177"/>
      <c r="K997" s="344"/>
      <c r="L997" s="177"/>
      <c r="M997" s="344"/>
      <c r="N997" s="177"/>
      <c r="O997" s="337"/>
      <c r="P997" s="164"/>
      <c r="Q997" s="201"/>
      <c r="R997" s="201"/>
      <c r="S997" s="17"/>
      <c r="T997" s="17"/>
    </row>
    <row r="998">
      <c r="A998" s="337"/>
      <c r="B998" s="164"/>
      <c r="C998" s="337"/>
      <c r="D998" s="177"/>
      <c r="E998" s="337"/>
      <c r="F998" s="164"/>
      <c r="G998" s="337"/>
      <c r="H998" s="164"/>
      <c r="I998" s="344"/>
      <c r="J998" s="177"/>
      <c r="K998" s="344"/>
      <c r="L998" s="177"/>
      <c r="M998" s="344"/>
      <c r="N998" s="177"/>
      <c r="O998" s="337"/>
      <c r="P998" s="164"/>
      <c r="Q998" s="201"/>
      <c r="R998" s="201"/>
      <c r="S998" s="17"/>
      <c r="T998" s="17"/>
    </row>
    <row r="999">
      <c r="A999" s="337"/>
      <c r="B999" s="164"/>
      <c r="C999" s="337"/>
      <c r="D999" s="177"/>
      <c r="E999" s="337"/>
      <c r="F999" s="164"/>
      <c r="G999" s="337"/>
      <c r="H999" s="164"/>
      <c r="I999" s="344"/>
      <c r="J999" s="177"/>
      <c r="K999" s="344"/>
      <c r="L999" s="177"/>
      <c r="M999" s="344"/>
      <c r="N999" s="177"/>
      <c r="O999" s="337"/>
      <c r="P999" s="164"/>
      <c r="Q999" s="337"/>
      <c r="R999" s="164"/>
      <c r="S999" s="17"/>
      <c r="T999" s="17"/>
    </row>
    <row r="1000">
      <c r="A1000" s="337"/>
      <c r="B1000" s="164"/>
      <c r="C1000" s="337"/>
      <c r="D1000" s="177"/>
      <c r="E1000" s="337"/>
      <c r="F1000" s="164"/>
      <c r="G1000" s="337"/>
      <c r="H1000" s="164"/>
      <c r="I1000" s="344"/>
      <c r="J1000" s="177"/>
      <c r="K1000" s="344"/>
      <c r="L1000" s="177"/>
      <c r="M1000" s="344"/>
      <c r="N1000" s="177"/>
      <c r="O1000" s="337"/>
      <c r="P1000" s="164"/>
      <c r="Q1000" s="337"/>
      <c r="R1000" s="164"/>
      <c r="S1000" s="17"/>
      <c r="T1000" s="17"/>
    </row>
    <row r="1001">
      <c r="A1001" s="337"/>
      <c r="B1001" s="164"/>
      <c r="C1001" s="337"/>
      <c r="D1001" s="177"/>
      <c r="E1001" s="337"/>
      <c r="F1001" s="164"/>
      <c r="G1001" s="337"/>
      <c r="H1001" s="164"/>
      <c r="I1001" s="344"/>
      <c r="J1001" s="177"/>
      <c r="K1001" s="344"/>
      <c r="L1001" s="177"/>
      <c r="M1001" s="344"/>
      <c r="N1001" s="177"/>
      <c r="O1001" s="337"/>
      <c r="P1001" s="164"/>
      <c r="Q1001" s="337"/>
      <c r="R1001" s="164"/>
      <c r="S1001" s="17"/>
      <c r="T1001" s="17"/>
    </row>
    <row r="1002">
      <c r="A1002" s="337"/>
      <c r="B1002" s="164"/>
      <c r="C1002" s="337"/>
      <c r="D1002" s="177"/>
      <c r="E1002" s="337"/>
      <c r="F1002" s="164"/>
      <c r="G1002" s="337"/>
      <c r="H1002" s="164"/>
      <c r="I1002" s="344"/>
      <c r="J1002" s="177"/>
      <c r="K1002" s="344"/>
      <c r="L1002" s="177"/>
      <c r="M1002" s="344"/>
      <c r="N1002" s="177"/>
      <c r="O1002" s="337"/>
      <c r="P1002" s="164"/>
      <c r="Q1002" s="337"/>
      <c r="R1002" s="164"/>
      <c r="S1002" s="17"/>
      <c r="T1002" s="17"/>
    </row>
    <row r="1003">
      <c r="A1003" s="337"/>
      <c r="B1003" s="164"/>
      <c r="C1003" s="337"/>
      <c r="D1003" s="177"/>
      <c r="E1003" s="337"/>
      <c r="F1003" s="164"/>
      <c r="G1003" s="337"/>
      <c r="H1003" s="164"/>
      <c r="I1003" s="344"/>
      <c r="J1003" s="177"/>
      <c r="K1003" s="344"/>
      <c r="L1003" s="177"/>
      <c r="M1003" s="344"/>
      <c r="N1003" s="177"/>
      <c r="O1003" s="337"/>
      <c r="P1003" s="164"/>
      <c r="Q1003" s="337"/>
      <c r="R1003" s="164"/>
      <c r="S1003" s="17"/>
      <c r="T1003" s="17"/>
    </row>
    <row r="1004">
      <c r="A1004" s="337"/>
      <c r="B1004" s="164"/>
      <c r="C1004" s="337"/>
      <c r="D1004" s="177"/>
      <c r="E1004" s="337"/>
      <c r="F1004" s="164"/>
      <c r="G1004" s="337"/>
      <c r="H1004" s="164"/>
      <c r="I1004" s="344"/>
      <c r="J1004" s="177"/>
      <c r="K1004" s="344"/>
      <c r="L1004" s="177"/>
      <c r="M1004" s="344"/>
      <c r="N1004" s="177"/>
      <c r="O1004" s="337"/>
      <c r="P1004" s="164"/>
      <c r="Q1004" s="337"/>
      <c r="R1004" s="164"/>
      <c r="S1004" s="17"/>
      <c r="T1004" s="17"/>
    </row>
    <row r="1005">
      <c r="A1005" s="337"/>
      <c r="B1005" s="164"/>
      <c r="C1005" s="337"/>
      <c r="D1005" s="177"/>
      <c r="E1005" s="337"/>
      <c r="F1005" s="164"/>
      <c r="G1005" s="337"/>
      <c r="H1005" s="164"/>
      <c r="I1005" s="344"/>
      <c r="J1005" s="177"/>
      <c r="K1005" s="344"/>
      <c r="L1005" s="177"/>
      <c r="M1005" s="344"/>
      <c r="N1005" s="177"/>
      <c r="O1005" s="337"/>
      <c r="P1005" s="164"/>
      <c r="Q1005" s="337"/>
      <c r="R1005" s="164"/>
      <c r="S1005" s="17"/>
      <c r="T1005" s="17"/>
    </row>
    <row r="1006">
      <c r="A1006" s="337"/>
      <c r="B1006" s="164"/>
      <c r="C1006" s="337"/>
      <c r="D1006" s="177"/>
      <c r="E1006" s="337"/>
      <c r="F1006" s="164"/>
      <c r="G1006" s="337"/>
      <c r="H1006" s="164"/>
      <c r="I1006" s="344"/>
      <c r="J1006" s="177"/>
      <c r="K1006" s="344"/>
      <c r="L1006" s="177"/>
      <c r="M1006" s="344"/>
      <c r="N1006" s="177"/>
      <c r="O1006" s="337"/>
      <c r="P1006" s="164"/>
      <c r="Q1006" s="337"/>
      <c r="R1006" s="164"/>
      <c r="S1006" s="17"/>
      <c r="T1006" s="17"/>
    </row>
    <row r="1007">
      <c r="A1007" s="337"/>
      <c r="B1007" s="164"/>
      <c r="C1007" s="337"/>
      <c r="D1007" s="177"/>
      <c r="E1007" s="337"/>
      <c r="F1007" s="164"/>
      <c r="G1007" s="337"/>
      <c r="H1007" s="164"/>
      <c r="I1007" s="344"/>
      <c r="J1007" s="177"/>
      <c r="K1007" s="344"/>
      <c r="L1007" s="177"/>
      <c r="M1007" s="344"/>
      <c r="N1007" s="177"/>
      <c r="O1007" s="337"/>
      <c r="P1007" s="164"/>
      <c r="Q1007" s="337"/>
      <c r="R1007" s="164"/>
      <c r="S1007" s="17"/>
      <c r="T1007" s="17"/>
    </row>
    <row r="1008">
      <c r="A1008" s="337"/>
      <c r="B1008" s="164"/>
      <c r="C1008" s="337"/>
      <c r="D1008" s="177"/>
      <c r="E1008" s="337"/>
      <c r="F1008" s="164"/>
      <c r="G1008" s="337"/>
      <c r="H1008" s="164"/>
      <c r="I1008" s="344"/>
      <c r="J1008" s="177"/>
      <c r="K1008" s="344"/>
      <c r="L1008" s="177"/>
      <c r="M1008" s="344"/>
      <c r="N1008" s="177"/>
      <c r="O1008" s="337"/>
      <c r="P1008" s="164"/>
      <c r="Q1008" s="337"/>
      <c r="R1008" s="164"/>
      <c r="S1008" s="17"/>
      <c r="T1008" s="17"/>
    </row>
    <row r="1009">
      <c r="A1009" s="337"/>
      <c r="B1009" s="164"/>
      <c r="C1009" s="337"/>
      <c r="D1009" s="177"/>
      <c r="E1009" s="337"/>
      <c r="F1009" s="164"/>
      <c r="G1009" s="337"/>
      <c r="H1009" s="164"/>
      <c r="I1009" s="344"/>
      <c r="J1009" s="177"/>
      <c r="K1009" s="344"/>
      <c r="L1009" s="177"/>
      <c r="M1009" s="344"/>
      <c r="N1009" s="177"/>
      <c r="O1009" s="337"/>
      <c r="P1009" s="164"/>
      <c r="Q1009" s="337"/>
      <c r="R1009" s="164"/>
      <c r="S1009" s="17"/>
      <c r="T1009" s="17"/>
    </row>
    <row r="1010">
      <c r="A1010" s="337"/>
      <c r="B1010" s="164"/>
      <c r="C1010" s="337"/>
      <c r="D1010" s="177"/>
      <c r="E1010" s="337"/>
      <c r="F1010" s="164"/>
      <c r="G1010" s="337"/>
      <c r="H1010" s="164"/>
      <c r="I1010" s="344"/>
      <c r="J1010" s="177"/>
      <c r="K1010" s="344"/>
      <c r="L1010" s="177"/>
      <c r="M1010" s="344"/>
      <c r="N1010" s="177"/>
      <c r="O1010" s="337"/>
      <c r="P1010" s="164"/>
      <c r="Q1010" s="337"/>
      <c r="R1010" s="164"/>
      <c r="S1010" s="17"/>
      <c r="T1010" s="17"/>
    </row>
  </sheetData>
  <mergeCells count="9">
    <mergeCell ref="O1:P2"/>
    <mergeCell ref="Q1:R2"/>
    <mergeCell ref="A1:B2"/>
    <mergeCell ref="C1:D2"/>
    <mergeCell ref="E1:F2"/>
    <mergeCell ref="G1:H2"/>
    <mergeCell ref="I1:J2"/>
    <mergeCell ref="K1:L2"/>
    <mergeCell ref="M1:N2"/>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28.38"/>
    <col customWidth="1" min="3" max="3" width="19.0"/>
    <col customWidth="1" min="4" max="4" width="28.38"/>
    <col customWidth="1" min="5" max="5" width="19.0"/>
    <col customWidth="1" min="6" max="6" width="39.0"/>
    <col customWidth="1" min="7" max="7" width="19.75"/>
    <col customWidth="1" min="8" max="8" width="29.38"/>
    <col customWidth="1" min="9" max="9" width="19.75"/>
    <col customWidth="1" min="10" max="10" width="29.38"/>
    <col customWidth="1" min="11" max="11" width="19.75"/>
    <col customWidth="1" min="12" max="12" width="29.38"/>
    <col customWidth="1" min="13" max="13" width="19.75"/>
    <col customWidth="1" min="14" max="14" width="29.38"/>
    <col customWidth="1" min="15" max="15" width="19.75"/>
    <col customWidth="1" min="16" max="16" width="29.38"/>
    <col customWidth="1" min="17" max="17" width="25.0"/>
    <col customWidth="1" min="18" max="18" width="44.38"/>
    <col customWidth="1" min="19" max="26" width="23.13"/>
  </cols>
  <sheetData>
    <row r="1" ht="41.25" customHeight="1">
      <c r="A1" s="57" t="s">
        <v>213</v>
      </c>
      <c r="C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E1" s="57" t="s">
        <v>214</v>
      </c>
      <c r="G1" s="58"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I1" s="58"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K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M1" s="5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O1" s="58"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Q1" s="329" t="s">
        <v>216</v>
      </c>
      <c r="S1" s="302"/>
      <c r="T1" s="302"/>
      <c r="U1" s="302"/>
      <c r="V1" s="302"/>
      <c r="W1" s="302"/>
      <c r="X1" s="302"/>
      <c r="Y1" s="302"/>
      <c r="Z1" s="302"/>
    </row>
    <row r="2" ht="41.25" customHeight="1">
      <c r="S2" s="302"/>
      <c r="T2" s="302"/>
      <c r="U2" s="302"/>
      <c r="V2" s="302"/>
      <c r="W2" s="302"/>
      <c r="X2" s="302"/>
      <c r="Y2" s="302"/>
      <c r="Z2" s="302"/>
    </row>
    <row r="3">
      <c r="A3" s="330" t="s">
        <v>4817</v>
      </c>
      <c r="B3" s="72" t="s">
        <v>4818</v>
      </c>
      <c r="C3" s="345" t="str">
        <f>IFERROR(__xludf.DUMMYFUNCTION("GOOGLETRANSLATE(A3,""zh-tw"",""ja"")"),"設備プロジェクト")</f>
        <v>設備プロジェクト</v>
      </c>
      <c r="D3" s="346" t="str">
        <f>IFERROR(__xludf.DUMMYFUNCTION("GOOGLETRANSLATE(B3,""zh-tw"",""ja"")"),"装備の属性")</f>
        <v>装備の属性</v>
      </c>
      <c r="E3" s="347" t="s">
        <v>4819</v>
      </c>
      <c r="F3" s="14" t="s">
        <v>4394</v>
      </c>
      <c r="G3" s="332" t="str">
        <f>IFERROR(__xludf.DUMMYFUNCTION("GOOGLETRANSLATE(A3,""zh-tw"",""zh"")"),"装备项目")</f>
        <v>装备项目</v>
      </c>
      <c r="H3" s="69" t="str">
        <f>IFERROR(__xludf.DUMMYFUNCTION("GOOGLETRANSLATE(B3,""zh-tw"",""zh"")"),"装备属性")</f>
        <v>装备属性</v>
      </c>
      <c r="I3" s="331" t="str">
        <f>IFERROR(__xludf.DUMMYFUNCTION("GOOGLETRANSLATE(A3,""zh-tw"",""es-MX"")"),"Proyecto de equipamiento")</f>
        <v>Proyecto de equipamiento</v>
      </c>
      <c r="J3" s="34" t="str">
        <f>IFERROR(__xludf.DUMMYFUNCTION("GOOGLETRANSLATE(B3,""zh-tw"",""es-MX"")"),"Atributos del equipo")</f>
        <v>Atributos del equipo</v>
      </c>
      <c r="K3" s="332" t="str">
        <f>IFERROR(__xludf.DUMMYFUNCTION("GOOGLETRANSLATE(A3,""zh-tw"",""KO"")"),"장비 프로젝트")</f>
        <v>장비 프로젝트</v>
      </c>
      <c r="L3" s="69" t="str">
        <f>IFERROR(__xludf.DUMMYFUNCTION("GOOGLETRANSLATE(B3,""zh-tw"",""KO"")"),"장비 속성")</f>
        <v>장비 속성</v>
      </c>
      <c r="M3" s="331" t="str">
        <f>IFERROR(__xludf.DUMMYFUNCTION("GOOGLETRANSLATE(A3,""zh-tw"",""ru"")"),"Проект оборудования")</f>
        <v>Проект оборудования</v>
      </c>
      <c r="N3" s="34" t="str">
        <f>IFERROR(__xludf.DUMMYFUNCTION("GOOGLETRANSLATE(B3,""zh-tw"",""ru"")"),"Атрибуты оборудования")</f>
        <v>Атрибуты оборудования</v>
      </c>
      <c r="O3" s="330" t="s">
        <v>4820</v>
      </c>
      <c r="P3" s="72" t="s">
        <v>4821</v>
      </c>
      <c r="Q3" s="333" t="s">
        <v>4822</v>
      </c>
      <c r="R3" s="334" t="s">
        <v>4398</v>
      </c>
      <c r="S3" s="17"/>
      <c r="T3" s="17"/>
      <c r="U3" s="17"/>
      <c r="V3" s="17"/>
      <c r="W3" s="17"/>
      <c r="X3" s="17"/>
      <c r="Y3" s="17"/>
      <c r="Z3" s="17"/>
    </row>
    <row r="4">
      <c r="A4" s="336" t="s">
        <v>4823</v>
      </c>
      <c r="B4" s="319" t="s">
        <v>4824</v>
      </c>
      <c r="C4" s="348" t="s">
        <v>4825</v>
      </c>
      <c r="D4" s="186" t="s">
        <v>4826</v>
      </c>
      <c r="E4" s="335" t="s">
        <v>4827</v>
      </c>
      <c r="F4" s="163" t="s">
        <v>4828</v>
      </c>
      <c r="G4" s="337" t="str">
        <f>IFERROR(__xludf.DUMMYFUNCTION("GOOGLETRANSLATE(A4,""zh-tw"",""zh"")"),"妹妹脱下的内裤")</f>
        <v>妹妹脱下的内裤</v>
      </c>
      <c r="H4" s="164" t="str">
        <f>IFERROR(__xludf.DUMMYFUNCTION("GOOGLETRANSLATE(B4,""zh-tw"",""zh"")"),"低体力回复")</f>
        <v>低体力回复</v>
      </c>
      <c r="I4" s="335" t="s">
        <v>4829</v>
      </c>
      <c r="J4" s="163" t="s">
        <v>4830</v>
      </c>
      <c r="K4" s="335" t="s">
        <v>4831</v>
      </c>
      <c r="L4" s="163" t="s">
        <v>4832</v>
      </c>
      <c r="M4" s="338" t="str">
        <f>IFERROR(__xludf.DUMMYFUNCTION("GOOGLETRANSLATE(A4,""zh-tw"",""ru"")"),"Нижнее белье моей сестры")</f>
        <v>Нижнее белье моей сестры</v>
      </c>
      <c r="N4" s="317" t="str">
        <f>IFERROR(__xludf.DUMMYFUNCTION("GOOGLETRANSLATE(B4,""zh-tw"",""ru"")"),"Низкое восстановление выносливости")</f>
        <v>Низкое восстановление выносливости</v>
      </c>
      <c r="O4" s="336" t="s">
        <v>4833</v>
      </c>
      <c r="P4" s="319" t="s">
        <v>4834</v>
      </c>
      <c r="Q4" s="339" t="s">
        <v>4835</v>
      </c>
      <c r="R4" s="340" t="s">
        <v>4836</v>
      </c>
      <c r="S4" s="17"/>
      <c r="T4" s="17"/>
      <c r="U4" s="17"/>
      <c r="V4" s="17"/>
      <c r="W4" s="17"/>
      <c r="X4" s="17"/>
      <c r="Y4" s="17"/>
      <c r="Z4" s="17"/>
    </row>
    <row r="5">
      <c r="A5" s="336" t="s">
        <v>4837</v>
      </c>
      <c r="B5" s="319" t="s">
        <v>4838</v>
      </c>
      <c r="C5" s="348" t="s">
        <v>4839</v>
      </c>
      <c r="D5" s="349" t="str">
        <f>IFERROR(__xludf.DUMMYFUNCTION("GOOGLETRANSLATE(B5,""zh-tw"",""ja"")"),"性欲が増し、全属性が10%増加します。")</f>
        <v>性欲が増し、全属性が10%増加します。</v>
      </c>
      <c r="E5" s="335" t="s">
        <v>4840</v>
      </c>
      <c r="F5" s="163" t="s">
        <v>4841</v>
      </c>
      <c r="G5" s="337" t="str">
        <f>IFERROR(__xludf.DUMMYFUNCTION("GOOGLETRANSLATE(A5,""zh-tw"",""zh"")"),"少女的笑容")</f>
        <v>少女的笑容</v>
      </c>
      <c r="H5" s="164" t="str">
        <f>IFERROR(__xludf.DUMMYFUNCTION("GOOGLETRANSLATE(B5,""zh-tw"",""zh"")"),"性欲上升，全属性上升10%")</f>
        <v>性欲上升，全属性上升10%</v>
      </c>
      <c r="I5" s="335" t="s">
        <v>4842</v>
      </c>
      <c r="J5" s="164" t="str">
        <f>IFERROR(__xludf.DUMMYFUNCTION("GOOGLETRANSLATE(B5,""zh-tw"",""es-MX"")"),"Aumento de la libido; todos los atributos aumentan un 10%.")</f>
        <v>Aumento de la libido; todos los atributos aumentan un 10%.</v>
      </c>
      <c r="K5" s="337" t="str">
        <f>IFERROR(__xludf.DUMMYFUNCTION("GOOGLETRANSLATE(A5,""zh-tw"",""KO"")"),"소녀의 미소")</f>
        <v>소녀의 미소</v>
      </c>
      <c r="L5" s="163" t="s">
        <v>4843</v>
      </c>
      <c r="M5" s="338" t="str">
        <f>IFERROR(__xludf.DUMMYFUNCTION("GOOGLETRANSLATE(A5,""zh-tw"",""ru"")"),"Улыбка девушки")</f>
        <v>Улыбка девушки</v>
      </c>
      <c r="N5" s="317" t="str">
        <f>IFERROR(__xludf.DUMMYFUNCTION("GOOGLETRANSLATE(B5,""zh-tw"",""ru"")"),"Повышение либидо; все показатели увеличиваются на 10%.")</f>
        <v>Повышение либидо; все показатели увеличиваются на 10%.</v>
      </c>
      <c r="O5" s="336" t="s">
        <v>4844</v>
      </c>
      <c r="P5" s="319" t="s">
        <v>4845</v>
      </c>
      <c r="Q5" s="339" t="s">
        <v>4846</v>
      </c>
      <c r="R5" s="340" t="s">
        <v>4847</v>
      </c>
      <c r="S5" s="17"/>
      <c r="T5" s="17"/>
      <c r="U5" s="17"/>
      <c r="V5" s="17"/>
      <c r="W5" s="17"/>
      <c r="X5" s="17"/>
      <c r="Y5" s="17"/>
      <c r="Z5" s="17"/>
    </row>
    <row r="6">
      <c r="A6" s="336" t="s">
        <v>4848</v>
      </c>
      <c r="B6" s="319" t="s">
        <v>724</v>
      </c>
      <c r="C6" s="350" t="str">
        <f>IFERROR(__xludf.DUMMYFUNCTION("GOOGLETRANSLATE(A6,""zh-tw"",""ja"")"),"フライドポテト")</f>
        <v>フライドポテト</v>
      </c>
      <c r="D6" s="349" t="str">
        <f>IFERROR(__xludf.DUMMYFUNCTION("GOOGLETRANSLATE(B6,""zh-tw"",""ja"")"),"-")</f>
        <v>-</v>
      </c>
      <c r="E6" s="335" t="s">
        <v>4849</v>
      </c>
      <c r="F6" s="163" t="s">
        <v>724</v>
      </c>
      <c r="G6" s="337" t="str">
        <f>IFERROR(__xludf.DUMMYFUNCTION("GOOGLETRANSLATE(A6,""zh-tw"",""zh"")"),"炸薯条")</f>
        <v>炸薯条</v>
      </c>
      <c r="H6" s="164" t="str">
        <f>IFERROR(__xludf.DUMMYFUNCTION("GOOGLETRANSLATE(B6,""zh-tw"",""zh"")"),"-")</f>
        <v>-</v>
      </c>
      <c r="I6" s="337" t="str">
        <f>IFERROR(__xludf.DUMMYFUNCTION("GOOGLETRANSLATE(A6,""zh-tw"",""es-MX"")"),"papas fritas")</f>
        <v>papas fritas</v>
      </c>
      <c r="J6" s="164" t="str">
        <f>IFERROR(__xludf.DUMMYFUNCTION("GOOGLETRANSLATE(B6,""zh-tw"",""es-MX"")"),"-")</f>
        <v>-</v>
      </c>
      <c r="K6" s="337" t="str">
        <f>IFERROR(__xludf.DUMMYFUNCTION("GOOGLETRANSLATE(A6,""zh-tw"",""KO"")"),"감자 튀김")</f>
        <v>감자 튀김</v>
      </c>
      <c r="L6" s="164" t="str">
        <f>IFERROR(__xludf.DUMMYFUNCTION("GOOGLETRANSLATE(B6,""zh-tw"",""KO"")"),"-")</f>
        <v>-</v>
      </c>
      <c r="M6" s="338" t="str">
        <f>IFERROR(__xludf.DUMMYFUNCTION("GOOGLETRANSLATE(A6,""zh-tw"",""ru"")"),"картофель фри")</f>
        <v>картофель фри</v>
      </c>
      <c r="N6" s="317" t="str">
        <f>IFERROR(__xludf.DUMMYFUNCTION("GOOGLETRANSLATE(B6,""zh-tw"",""ru"")"),"-")</f>
        <v>-</v>
      </c>
      <c r="O6" s="336" t="s">
        <v>4850</v>
      </c>
      <c r="P6" s="319" t="s">
        <v>4851</v>
      </c>
      <c r="Q6" s="339" t="s">
        <v>4852</v>
      </c>
      <c r="R6" s="340" t="s">
        <v>724</v>
      </c>
      <c r="S6" s="17"/>
      <c r="T6" s="17"/>
      <c r="U6" s="17"/>
      <c r="V6" s="17"/>
      <c r="W6" s="17"/>
      <c r="X6" s="17"/>
      <c r="Y6" s="17"/>
      <c r="Z6" s="17"/>
    </row>
    <row r="7">
      <c r="A7" s="336" t="s">
        <v>4853</v>
      </c>
      <c r="B7" s="319" t="s">
        <v>4854</v>
      </c>
      <c r="C7" s="350" t="str">
        <f>IFERROR(__xludf.DUMMYFUNCTION("GOOGLETRANSLATE(A7,""zh-tw"",""ja"")"),"トイレットペーパー")</f>
        <v>トイレットペーパー</v>
      </c>
      <c r="D7" s="349" t="str">
        <f>IFERROR(__xludf.DUMMYFUNCTION("GOOGLETRANSLATE(B7,""zh-tw"",""ja"")"),"物理防御：出血防御1")</f>
        <v>物理防御：出血防御1</v>
      </c>
      <c r="E7" s="335" t="s">
        <v>4855</v>
      </c>
      <c r="F7" s="163" t="s">
        <v>4856</v>
      </c>
      <c r="G7" s="337" t="str">
        <f>IFERROR(__xludf.DUMMYFUNCTION("GOOGLETRANSLATE(A7,""zh-tw"",""zh"")"),"厕纸")</f>
        <v>厕纸</v>
      </c>
      <c r="H7" s="164" t="str">
        <f>IFERROR(__xludf.DUMMYFUNCTION("GOOGLETRANSLATE(B7,""zh-tw"",""zh"")"),"物防：1
出血防御")</f>
        <v>物防：1
出血防御</v>
      </c>
      <c r="I7" s="337" t="str">
        <f>IFERROR(__xludf.DUMMYFUNCTION("GOOGLETRANSLATE(A7,""zh-tw"",""es-MX"")"),"papel higiénico")</f>
        <v>papel higiénico</v>
      </c>
      <c r="J7" s="164" t="str">
        <f>IFERROR(__xludf.DUMMYFUNCTION("GOOGLETRANSLATE(B7,""zh-tw"",""es-MX"")"),"Defensa física: 1 Defensa contra sangrado")</f>
        <v>Defensa física: 1 Defensa contra sangrado</v>
      </c>
      <c r="K7" s="337" t="str">
        <f>IFERROR(__xludf.DUMMYFUNCTION("GOOGLETRANSLATE(A7,""zh-tw"",""KO"")"),"휴지")</f>
        <v>휴지</v>
      </c>
      <c r="L7" s="163" t="s">
        <v>4857</v>
      </c>
      <c r="M7" s="338" t="str">
        <f>IFERROR(__xludf.DUMMYFUNCTION("GOOGLETRANSLATE(A7,""zh-tw"",""ru"")"),"туалетная бумага")</f>
        <v>туалетная бумага</v>
      </c>
      <c r="N7" s="317" t="str">
        <f>IFERROR(__xludf.DUMMYFUNCTION("GOOGLETRANSLATE(B7,""zh-tw"",""ru"")"),"Физическая защита: 1 Защита от кровотечения")</f>
        <v>Физическая защита: 1 Защита от кровотечения</v>
      </c>
      <c r="O7" s="336" t="s">
        <v>4858</v>
      </c>
      <c r="P7" s="319" t="s">
        <v>4859</v>
      </c>
      <c r="Q7" s="339" t="s">
        <v>4860</v>
      </c>
      <c r="R7" s="340" t="s">
        <v>4861</v>
      </c>
      <c r="S7" s="17"/>
      <c r="T7" s="17"/>
      <c r="U7" s="17"/>
      <c r="V7" s="17"/>
      <c r="W7" s="17"/>
      <c r="X7" s="17"/>
      <c r="Y7" s="17"/>
      <c r="Z7" s="17"/>
    </row>
    <row r="8">
      <c r="A8" s="336" t="s">
        <v>4862</v>
      </c>
      <c r="B8" s="319" t="s">
        <v>4863</v>
      </c>
      <c r="C8" s="348" t="s">
        <v>4864</v>
      </c>
      <c r="D8" s="349" t="str">
        <f>IFERROR(__xludf.DUMMYFUNCTION("GOOGLETRANSLATE(B8,""zh-tw"",""ja"")"),"運：10（回復確率）")</f>
        <v>運：10（回復確率）</v>
      </c>
      <c r="E8" s="335" t="s">
        <v>4865</v>
      </c>
      <c r="F8" s="163" t="s">
        <v>4866</v>
      </c>
      <c r="G8" s="337" t="str">
        <f>IFERROR(__xludf.DUMMYFUNCTION("GOOGLETRANSLATE(A8,""zh-tw"",""zh"")"),"苹果头套")</f>
        <v>苹果头套</v>
      </c>
      <c r="H8" s="164" t="str">
        <f>IFERROR(__xludf.DUMMYFUNCTION("GOOGLETRANSLATE(B8,""zh-tw"",""zh"")"),"幸运：10
概率回复")</f>
        <v>幸运：10
概率回复</v>
      </c>
      <c r="I8" s="335" t="s">
        <v>4867</v>
      </c>
      <c r="J8" s="163" t="s">
        <v>4868</v>
      </c>
      <c r="K8" s="335" t="s">
        <v>4869</v>
      </c>
      <c r="L8" s="163" t="s">
        <v>4870</v>
      </c>
      <c r="M8" s="338" t="str">
        <f>IFERROR(__xludf.DUMMYFUNCTION("GOOGLETRANSLATE(A8,""zh-tw"",""ru"")"),"Головной убор Apple")</f>
        <v>Головной убор Apple</v>
      </c>
      <c r="N8" s="317" t="str">
        <f>IFERROR(__xludf.DUMMYFUNCTION("GOOGLETRANSLATE(B8,""zh-tw"",""ru"")"),"Удача: 10 (Вероятность выздоровления)")</f>
        <v>Удача: 10 (Вероятность выздоровления)</v>
      </c>
      <c r="O8" s="336" t="s">
        <v>4871</v>
      </c>
      <c r="P8" s="319" t="s">
        <v>4872</v>
      </c>
      <c r="Q8" s="339" t="s">
        <v>4873</v>
      </c>
      <c r="R8" s="340" t="s">
        <v>4874</v>
      </c>
      <c r="S8" s="17"/>
      <c r="T8" s="17"/>
      <c r="U8" s="17"/>
      <c r="V8" s="17"/>
      <c r="W8" s="17"/>
      <c r="X8" s="17"/>
      <c r="Y8" s="17"/>
      <c r="Z8" s="17"/>
    </row>
    <row r="9">
      <c r="A9" s="336" t="s">
        <v>4875</v>
      </c>
      <c r="B9" s="319" t="s">
        <v>4876</v>
      </c>
      <c r="C9" s="348" t="s">
        <v>4877</v>
      </c>
      <c r="D9" s="349" t="str">
        <f>IFERROR(__xludf.DUMMYFUNCTION("GOOGLETRANSLATE(B9,""zh-tw"",""ja"")"),"物理攻撃：5。攻撃速度と移動速度が向上します。")</f>
        <v>物理攻撃：5。攻撃速度と移動速度が向上します。</v>
      </c>
      <c r="E9" s="335" t="s">
        <v>4878</v>
      </c>
      <c r="F9" s="163" t="s">
        <v>4879</v>
      </c>
      <c r="G9" s="337" t="str">
        <f>IFERROR(__xludf.DUMMYFUNCTION("GOOGLETRANSLATE(A9,""zh-tw"",""zh"")"),"借来的猫爪")</f>
        <v>借来的猫爪</v>
      </c>
      <c r="H9" s="164" t="str">
        <f>IFERROR(__xludf.DUMMYFUNCTION("GOOGLETRANSLATE(B9,""zh-tw"",""zh"")"),"物攻：5
攻速、移速上升")</f>
        <v>物攻：5
攻速、移速上升</v>
      </c>
      <c r="I9" s="335" t="s">
        <v>4880</v>
      </c>
      <c r="J9" s="164" t="str">
        <f>IFERROR(__xludf.DUMMYFUNCTION("GOOGLETRANSLATE(B9,""zh-tw"",""es-MX"")"),"Ataque físico: 5. Aumenta la velocidad de ataque y la velocidad de movimiento.")</f>
        <v>Ataque físico: 5. Aumenta la velocidad de ataque y la velocidad de movimiento.</v>
      </c>
      <c r="K9" s="335" t="s">
        <v>4881</v>
      </c>
      <c r="L9" s="163" t="s">
        <v>4882</v>
      </c>
      <c r="M9" s="338" t="str">
        <f>IFERROR(__xludf.DUMMYFUNCTION("GOOGLETRANSLATE(A9,""zh-tw"",""ru"")"),"одолженная кошачья лапа")</f>
        <v>одолженная кошачья лапа</v>
      </c>
      <c r="N9" s="317" t="str">
        <f>IFERROR(__xludf.DUMMYFUNCTION("GOOGLETRANSLATE(B9,""zh-tw"",""ru"")"),"Физическая атака: 5. Увеличивает скорость атаки и скорость передвижения.")</f>
        <v>Физическая атака: 5. Увеличивает скорость атаки и скорость передвижения.</v>
      </c>
      <c r="O9" s="336" t="s">
        <v>4883</v>
      </c>
      <c r="P9" s="319" t="s">
        <v>4884</v>
      </c>
      <c r="Q9" s="339" t="s">
        <v>4885</v>
      </c>
      <c r="R9" s="340" t="s">
        <v>4886</v>
      </c>
      <c r="S9" s="17"/>
      <c r="T9" s="17"/>
      <c r="U9" s="17"/>
      <c r="V9" s="17"/>
      <c r="W9" s="17"/>
      <c r="X9" s="17"/>
      <c r="Y9" s="17"/>
      <c r="Z9" s="17"/>
    </row>
    <row r="10">
      <c r="A10" s="336" t="s">
        <v>4887</v>
      </c>
      <c r="B10" s="319" t="s">
        <v>4888</v>
      </c>
      <c r="C10" s="348" t="s">
        <v>4889</v>
      </c>
      <c r="D10" s="349" t="str">
        <f>IFERROR(__xludf.DUMMYFUNCTION("GOOGLETRANSLATE(B10,""zh-tw"",""ja"")"),"攻撃速度と移動速度が上昇し、フラッシュステップのクールダウンが短縮されました。")</f>
        <v>攻撃速度と移動速度が上昇し、フラッシュステップのクールダウンが短縮されました。</v>
      </c>
      <c r="E10" s="335" t="s">
        <v>4890</v>
      </c>
      <c r="F10" s="163" t="s">
        <v>4891</v>
      </c>
      <c r="G10" s="337" t="str">
        <f>IFERROR(__xludf.DUMMYFUNCTION("GOOGLETRANSLATE(A10,""zh-tw"",""zh"")"),"借来的猫足")</f>
        <v>借来的猫足</v>
      </c>
      <c r="H10" s="164" t="str">
        <f>IFERROR(__xludf.DUMMYFUNCTION("GOOGLETRANSLATE(B10,""zh-tw"",""zh"")"),"攻速、移速上升
闪步冷却时间缩短")</f>
        <v>攻速、移速上升
闪步冷却时间缩短</v>
      </c>
      <c r="I10" s="337" t="str">
        <f>IFERROR(__xludf.DUMMYFUNCTION("GOOGLETRANSLATE(A10,""zh-tw"",""es-MX"")"),"patas de gato prestadas")</f>
        <v>patas de gato prestadas</v>
      </c>
      <c r="J10" s="164" t="str">
        <f>IFERROR(__xludf.DUMMYFUNCTION("GOOGLETRANSLATE(B10,""zh-tw"",""es-MX"")"),"Aumentada la velocidad de ataque y la velocidad de movimiento; reducido el tiempo de reutilización de Paso Relámpago.")</f>
        <v>Aumentada la velocidad de ataque y la velocidad de movimiento; reducido el tiempo de reutilización de Paso Relámpago.</v>
      </c>
      <c r="K10" s="335" t="s">
        <v>4892</v>
      </c>
      <c r="L10" s="163" t="s">
        <v>4893</v>
      </c>
      <c r="M10" s="338" t="str">
        <f>IFERROR(__xludf.DUMMYFUNCTION("GOOGLETRANSLATE(A10,""zh-tw"",""ru"")"),"одолженные кошачьи лапки")</f>
        <v>одолженные кошачьи лапки</v>
      </c>
      <c r="N10" s="317" t="str">
        <f>IFERROR(__xludf.DUMMYFUNCTION("GOOGLETRANSLATE(B10,""zh-tw"",""ru"")"),"Скорость атаки и передвижения увеличена; время восстановления умения «Мгновенный шаг» уменьшено.")</f>
        <v>Скорость атаки и передвижения увеличена; время восстановления умения «Мгновенный шаг» уменьшено.</v>
      </c>
      <c r="O10" s="336" t="s">
        <v>4894</v>
      </c>
      <c r="P10" s="319" t="s">
        <v>4895</v>
      </c>
      <c r="Q10" s="339" t="s">
        <v>4896</v>
      </c>
      <c r="R10" s="340" t="s">
        <v>4897</v>
      </c>
      <c r="S10" s="17"/>
      <c r="T10" s="17"/>
      <c r="U10" s="17"/>
      <c r="V10" s="17"/>
      <c r="W10" s="17"/>
      <c r="X10" s="17"/>
      <c r="Y10" s="17"/>
      <c r="Z10" s="17"/>
    </row>
    <row r="11">
      <c r="A11" s="336" t="s">
        <v>4898</v>
      </c>
      <c r="B11" s="319" t="s">
        <v>4899</v>
      </c>
      <c r="C11" s="348" t="s">
        <v>4256</v>
      </c>
      <c r="D11" s="349" t="str">
        <f>IFERROR(__xludf.DUMMYFUNCTION("GOOGLETRANSLATE(B11,""zh-tw"",""ja"")"),"攻撃速度と攻撃回数を1増加します。")</f>
        <v>攻撃速度と攻撃回数を1増加します。</v>
      </c>
      <c r="E11" s="335" t="s">
        <v>4259</v>
      </c>
      <c r="F11" s="163" t="s">
        <v>4900</v>
      </c>
      <c r="G11" s="337" t="str">
        <f>IFERROR(__xludf.DUMMYFUNCTION("GOOGLETRANSLATE(A11,""zh-tw"",""zh"")"),"猫爪手套")</f>
        <v>猫爪手套</v>
      </c>
      <c r="H11" s="164" t="str">
        <f>IFERROR(__xludf.DUMMYFUNCTION("GOOGLETRANSLATE(B11,""zh-tw"",""zh"")"),"增加攻击速度、攻击数目+1")</f>
        <v>增加攻击速度、攻击数目+1</v>
      </c>
      <c r="I11" s="337" t="str">
        <f>IFERROR(__xludf.DUMMYFUNCTION("GOOGLETRANSLATE(A11,""zh-tw"",""es-MX"")"),"Guantes con forma de pata de gato")</f>
        <v>Guantes con forma de pata de gato</v>
      </c>
      <c r="J11" s="164" t="str">
        <f>IFERROR(__xludf.DUMMYFUNCTION("GOOGLETRANSLATE(B11,""zh-tw"",""es-MX"")"),"Aumenta la velocidad de ataque y el número de ataques en 1.")</f>
        <v>Aumenta la velocidad de ataque y el número de ataques en 1.</v>
      </c>
      <c r="K11" s="335" t="s">
        <v>4261</v>
      </c>
      <c r="L11" s="163" t="s">
        <v>4901</v>
      </c>
      <c r="M11" s="338" t="str">
        <f>IFERROR(__xludf.DUMMYFUNCTION("GOOGLETRANSLATE(A11,""zh-tw"",""ru"")"),"Перчатки «кошачьи лапки»")</f>
        <v>Перчатки «кошачьи лапки»</v>
      </c>
      <c r="N11" s="317" t="str">
        <f>IFERROR(__xludf.DUMMYFUNCTION("GOOGLETRANSLATE(B11,""zh-tw"",""ru"")"),"Увеличьте скорость атаки и количество атак на 1.")</f>
        <v>Увеличьте скорость атаки и количество атак на 1.</v>
      </c>
      <c r="O11" s="336" t="s">
        <v>4263</v>
      </c>
      <c r="P11" s="319" t="s">
        <v>4902</v>
      </c>
      <c r="Q11" s="339" t="s">
        <v>4903</v>
      </c>
      <c r="R11" s="340" t="s">
        <v>4904</v>
      </c>
      <c r="S11" s="17"/>
      <c r="T11" s="17"/>
      <c r="U11" s="17"/>
      <c r="V11" s="17"/>
      <c r="W11" s="17"/>
      <c r="X11" s="17"/>
      <c r="Y11" s="17"/>
      <c r="Z11" s="17"/>
    </row>
    <row r="12">
      <c r="A12" s="336" t="s">
        <v>4905</v>
      </c>
      <c r="B12" s="319" t="s">
        <v>4906</v>
      </c>
      <c r="C12" s="348" t="s">
        <v>4907</v>
      </c>
      <c r="D12" s="349" t="str">
        <f>IFERROR(__xludf.DUMMYFUNCTION("GOOGLETRANSLATE(B12,""zh-tw"",""ja"")"),"物理防御：2。スタミナが5％増加し、すべての状態異常耐性が15％増加し、無敵の確率が15％増加します。")</f>
        <v>物理防御：2。スタミナが5％増加し、すべての状態異常耐性が15％増加し、無敵の確率が15％増加します。</v>
      </c>
      <c r="E12" s="335" t="s">
        <v>4908</v>
      </c>
      <c r="F12" s="163" t="s">
        <v>4909</v>
      </c>
      <c r="G12" s="337" t="str">
        <f>IFERROR(__xludf.DUMMYFUNCTION("GOOGLETRANSLATE(A12,""zh-tw"",""zh"")"),"毅力头巾")</f>
        <v>毅力头巾</v>
      </c>
      <c r="H12" s="164" t="str">
        <f>IFERROR(__xludf.DUMMYFUNCTION("GOOGLETRANSLATE(B12,""zh-tw"",""zh"")"),"物防：2
体力上升5%、增加了15%全异常抗性、15%机率免死")</f>
        <v>物防：2
体力上升5%、增加了15%全异常抗性、15%机率免死</v>
      </c>
      <c r="I12" s="337" t="str">
        <f>IFERROR(__xludf.DUMMYFUNCTION("GOOGLETRANSLATE(A12,""zh-tw"",""es-MX"")"),"Diadema de la perseverancia")</f>
        <v>Diadema de la perseverancia</v>
      </c>
      <c r="J12" s="164" t="str">
        <f>IFERROR(__xludf.DUMMYFUNCTION("GOOGLETRANSLATE(B12,""zh-tw"",""es-MX"")"),"Defensa física: 2. Aumenta la resistencia en un 5%, aumenta la resistencia a todos los estados alterados en un 15% y otorga un 15% de probabilidad de invulnerabilidad.")</f>
        <v>Defensa física: 2. Aumenta la resistencia en un 5%, aumenta la resistencia a todos los estados alterados en un 15% y otorga un 15% de probabilidad de invulnerabilidad.</v>
      </c>
      <c r="K12" s="335" t="s">
        <v>4910</v>
      </c>
      <c r="L12" s="163" t="s">
        <v>4911</v>
      </c>
      <c r="M12" s="338" t="str">
        <f>IFERROR(__xludf.DUMMYFUNCTION("GOOGLETRANSLATE(A12,""zh-tw"",""ru"")"),"Повязка на голову Perseverance")</f>
        <v>Повязка на голову Perseverance</v>
      </c>
      <c r="N12" s="317" t="str">
        <f>IFERROR(__xludf.DUMMYFUNCTION("GOOGLETRANSLATE(B12,""zh-tw"",""ru"")"),"Физическая защита: 2. Увеличивает выносливость на 5%, увеличивает сопротивление всем аномальным состояниям на 15% и дает 15% шанс стать неуязвимым.")</f>
        <v>Физическая защита: 2. Увеличивает выносливость на 5%, увеличивает сопротивление всем аномальным состояниям на 15% и дает 15% шанс стать неуязвимым.</v>
      </c>
      <c r="O12" s="336" t="s">
        <v>4912</v>
      </c>
      <c r="P12" s="319" t="s">
        <v>4913</v>
      </c>
      <c r="Q12" s="339" t="s">
        <v>4914</v>
      </c>
      <c r="R12" s="340" t="s">
        <v>4915</v>
      </c>
      <c r="S12" s="17"/>
      <c r="T12" s="17"/>
      <c r="U12" s="17"/>
      <c r="V12" s="17"/>
      <c r="W12" s="17"/>
      <c r="X12" s="17"/>
      <c r="Y12" s="17"/>
      <c r="Z12" s="17"/>
    </row>
    <row r="13">
      <c r="A13" s="336" t="s">
        <v>4916</v>
      </c>
      <c r="B13" s="319" t="s">
        <v>4917</v>
      </c>
      <c r="C13" s="350" t="str">
        <f>IFERROR(__xludf.DUMMYFUNCTION("GOOGLETRANSLATE(A13,""zh-tw"",""ja"")"),"招き猫")</f>
        <v>招き猫</v>
      </c>
      <c r="D13" s="186" t="s">
        <v>4918</v>
      </c>
      <c r="E13" s="335" t="s">
        <v>4919</v>
      </c>
      <c r="F13" s="163" t="s">
        <v>4920</v>
      </c>
      <c r="G13" s="337" t="str">
        <f>IFERROR(__xludf.DUMMYFUNCTION("GOOGLETRANSLATE(A13,""zh-tw"",""zh"")"),"招财猫")</f>
        <v>招财猫</v>
      </c>
      <c r="H13" s="164" t="str">
        <f>IFERROR(__xludf.DUMMYFUNCTION("GOOGLETRANSLATE(B13,""zh-tw"",""zh"")"),"魔抗：10
幸运：50
吸取物品")</f>
        <v>魔抗：10
幸运：50
吸取物品</v>
      </c>
      <c r="I13" s="337" t="str">
        <f>IFERROR(__xludf.DUMMYFUNCTION("GOOGLETRANSLATE(A13,""zh-tw"",""es-MX"")"),"Gato de la suerte")</f>
        <v>Gato de la suerte</v>
      </c>
      <c r="J13" s="164" t="str">
        <f>IFERROR(__xludf.DUMMYFUNCTION("GOOGLETRANSLATE(B13,""zh-tw"",""es-MX"")"),"Resistencia mágica: 10
Suerte: 50
Absorber objetos")</f>
        <v>Resistencia mágica: 10
Suerte: 50
Absorber objetos</v>
      </c>
      <c r="K13" s="335" t="s">
        <v>4921</v>
      </c>
      <c r="L13" s="163" t="s">
        <v>4922</v>
      </c>
      <c r="M13" s="338" t="str">
        <f>IFERROR(__xludf.DUMMYFUNCTION("GOOGLETRANSLATE(A13,""zh-tw"",""ru"")"),"Счастливый кот")</f>
        <v>Счастливый кот</v>
      </c>
      <c r="N13" s="317" t="str">
        <f>IFERROR(__xludf.DUMMYFUNCTION("GOOGLETRANSLATE(B13,""zh-tw"",""ru"")"),"Сопротивление магии: 10
Удача: 50
Поглощение предметов")</f>
        <v>Сопротивление магии: 10
Удача: 50
Поглощение предметов</v>
      </c>
      <c r="O13" s="336" t="s">
        <v>4923</v>
      </c>
      <c r="P13" s="319" t="s">
        <v>4924</v>
      </c>
      <c r="Q13" s="339" t="s">
        <v>4925</v>
      </c>
      <c r="R13" s="340" t="s">
        <v>4926</v>
      </c>
      <c r="S13" s="17"/>
      <c r="T13" s="17"/>
      <c r="U13" s="17"/>
      <c r="V13" s="17"/>
      <c r="W13" s="17"/>
      <c r="X13" s="17"/>
      <c r="Y13" s="17"/>
      <c r="Z13" s="17"/>
    </row>
    <row r="14">
      <c r="A14" s="336" t="s">
        <v>4927</v>
      </c>
      <c r="B14" s="319" t="s">
        <v>4928</v>
      </c>
      <c r="C14" s="350" t="str">
        <f>IFERROR(__xludf.DUMMYFUNCTION("GOOGLETRANSLATE(A14,""zh-tw"",""ja"")"),"怒りの拳")</f>
        <v>怒りの拳</v>
      </c>
      <c r="D14" s="349" t="str">
        <f>IFERROR(__xludf.DUMMYFUNCTION("GOOGLETRANSLATE(B14,""zh-tw"",""ja"")"),"自動旋回攻撃")</f>
        <v>自動旋回攻撃</v>
      </c>
      <c r="E14" s="335" t="s">
        <v>4929</v>
      </c>
      <c r="F14" s="163" t="s">
        <v>4930</v>
      </c>
      <c r="G14" s="337" t="str">
        <f>IFERROR(__xludf.DUMMYFUNCTION("GOOGLETRANSLATE(A14,""zh-tw"",""zh"")"),"愤怒的拳头")</f>
        <v>愤怒的拳头</v>
      </c>
      <c r="H14" s="164" t="str">
        <f>IFERROR(__xludf.DUMMYFUNCTION("GOOGLETRANSLATE(B14,""zh-tw"",""zh"")"),"自动环绕攻击")</f>
        <v>自动环绕攻击</v>
      </c>
      <c r="I14" s="337" t="str">
        <f>IFERROR(__xludf.DUMMYFUNCTION("GOOGLETRANSLATE(A14,""zh-tw"",""es-MX"")"),"Puño furioso")</f>
        <v>Puño furioso</v>
      </c>
      <c r="J14" s="164" t="str">
        <f>IFERROR(__xludf.DUMMYFUNCTION("GOOGLETRANSLATE(B14,""zh-tw"",""es-MX"")"),"ataque automático en círculo")</f>
        <v>ataque automático en círculo</v>
      </c>
      <c r="K14" s="337" t="str">
        <f>IFERROR(__xludf.DUMMYFUNCTION("GOOGLETRANSLATE(A14,""zh-tw"",""KO"")"),"화난 주먹")</f>
        <v>화난 주먹</v>
      </c>
      <c r="L14" s="163" t="s">
        <v>4931</v>
      </c>
      <c r="M14" s="338" t="str">
        <f>IFERROR(__xludf.DUMMYFUNCTION("GOOGLETRANSLATE(A14,""zh-tw"",""ru"")"),"Злой кулак")</f>
        <v>Злой кулак</v>
      </c>
      <c r="N14" s="317" t="str">
        <f>IFERROR(__xludf.DUMMYFUNCTION("GOOGLETRANSLATE(B14,""zh-tw"",""ru"")"),"Автоматическая круговая атака")</f>
        <v>Автоматическая круговая атака</v>
      </c>
      <c r="O14" s="336" t="s">
        <v>4932</v>
      </c>
      <c r="P14" s="319" t="s">
        <v>4933</v>
      </c>
      <c r="Q14" s="339" t="s">
        <v>4934</v>
      </c>
      <c r="R14" s="340" t="s">
        <v>4935</v>
      </c>
      <c r="S14" s="17"/>
      <c r="T14" s="17"/>
      <c r="U14" s="17"/>
      <c r="V14" s="17"/>
      <c r="W14" s="17"/>
      <c r="X14" s="17"/>
      <c r="Y14" s="17"/>
      <c r="Z14" s="17"/>
    </row>
    <row r="15">
      <c r="A15" s="336" t="s">
        <v>4936</v>
      </c>
      <c r="B15" s="319" t="s">
        <v>4937</v>
      </c>
      <c r="C15" s="348" t="s">
        <v>4938</v>
      </c>
      <c r="D15" s="186" t="s">
        <v>4939</v>
      </c>
      <c r="E15" s="335" t="s">
        <v>4940</v>
      </c>
      <c r="F15" s="163" t="s">
        <v>4941</v>
      </c>
      <c r="G15" s="337" t="str">
        <f>IFERROR(__xludf.DUMMYFUNCTION("GOOGLETRANSLATE(A15,""zh-tw"",""zh"")"),"毒蛇之拥")</f>
        <v>毒蛇之拥</v>
      </c>
      <c r="H15" s="164" t="str">
        <f>IFERROR(__xludf.DUMMYFUNCTION("GOOGLETRANSLATE(B15,""zh-tw"",""zh"")"),"物攻：1
魔攻：1
自动环绕攻击")</f>
        <v>物攻：1
魔攻：1
自动环绕攻击</v>
      </c>
      <c r="I15" s="337" t="str">
        <f>IFERROR(__xludf.DUMMYFUNCTION("GOOGLETRANSLATE(A15,""zh-tw"",""es-MX"")"),"El abrazo de la serpiente")</f>
        <v>El abrazo de la serpiente</v>
      </c>
      <c r="J15" s="164" t="str">
        <f>IFERROR(__xludf.DUMMYFUNCTION("GOOGLETRANSLATE(B15,""zh-tw"",""es-MX"")"),"Ataque físico: 1
Ataque mágico: 1
Ataque circular automático")</f>
        <v>Ataque físico: 1
Ataque mágico: 1
Ataque circular automático</v>
      </c>
      <c r="K15" s="335" t="s">
        <v>4942</v>
      </c>
      <c r="L15" s="163" t="s">
        <v>4943</v>
      </c>
      <c r="M15" s="338" t="str">
        <f>IFERROR(__xludf.DUMMYFUNCTION("GOOGLETRANSLATE(A15,""zh-tw"",""ru"")"),"Объятия Змеи")</f>
        <v>Объятия Змеи</v>
      </c>
      <c r="N15" s="317" t="str">
        <f>IFERROR(__xludf.DUMMYFUNCTION("GOOGLETRANSLATE(B15,""zh-tw"",""ru"")"),"Физическая атака: 1
Магическая атака: 1
Атака с автокругом")</f>
        <v>Физическая атака: 1
Магическая атака: 1
Атака с автокругом</v>
      </c>
      <c r="O15" s="336" t="s">
        <v>4944</v>
      </c>
      <c r="P15" s="319" t="s">
        <v>4945</v>
      </c>
      <c r="Q15" s="339" t="s">
        <v>4946</v>
      </c>
      <c r="R15" s="340" t="s">
        <v>4947</v>
      </c>
      <c r="S15" s="17"/>
      <c r="T15" s="17"/>
      <c r="U15" s="17"/>
      <c r="V15" s="17"/>
      <c r="W15" s="17"/>
      <c r="X15" s="17"/>
      <c r="Y15" s="17"/>
      <c r="Z15" s="17"/>
    </row>
    <row r="16">
      <c r="A16" s="336" t="s">
        <v>4062</v>
      </c>
      <c r="B16" s="319" t="s">
        <v>4948</v>
      </c>
      <c r="C16" s="350" t="str">
        <f>IFERROR(__xludf.DUMMYFUNCTION("GOOGLETRANSLATE(A16,""zh-tw"",""ja"")"),"火の鳥の羽")</f>
        <v>火の鳥の羽</v>
      </c>
      <c r="D16" s="349" t="str">
        <f>IFERROR(__xludf.DUMMYFUNCTION("GOOGLETRANSLATE(B16,""zh-tw"",""ja"")"),"一度復活する")</f>
        <v>一度復活する</v>
      </c>
      <c r="E16" s="335" t="s">
        <v>4067</v>
      </c>
      <c r="F16" s="163" t="s">
        <v>4949</v>
      </c>
      <c r="G16" s="337" t="str">
        <f>IFERROR(__xludf.DUMMYFUNCTION("GOOGLETRANSLATE(A16,""zh-tw"",""zh"")"),"火鸟的羽毛")</f>
        <v>火鸟的羽毛</v>
      </c>
      <c r="H16" s="164" t="str">
        <f>IFERROR(__xludf.DUMMYFUNCTION("GOOGLETRANSLATE(B16,""zh-tw"",""zh"")"),"复活一次")</f>
        <v>复活一次</v>
      </c>
      <c r="I16" s="337" t="str">
        <f>IFERROR(__xludf.DUMMYFUNCTION("GOOGLETRANSLATE(A16,""zh-tw"",""es-MX"")"),"plumas de ave fénix")</f>
        <v>plumas de ave fénix</v>
      </c>
      <c r="J16" s="164" t="str">
        <f>IFERROR(__xludf.DUMMYFUNCTION("GOOGLETRANSLATE(B16,""zh-tw"",""es-MX"")"),"Resucita una vez")</f>
        <v>Resucita una vez</v>
      </c>
      <c r="K16" s="336" t="s">
        <v>4070</v>
      </c>
      <c r="L16" s="163" t="s">
        <v>4950</v>
      </c>
      <c r="M16" s="338" t="str">
        <f>IFERROR(__xludf.DUMMYFUNCTION("GOOGLETRANSLATE(A16,""zh-tw"",""ru"")"),"Перья жар-птицы")</f>
        <v>Перья жар-птицы</v>
      </c>
      <c r="N16" s="317" t="str">
        <f>IFERROR(__xludf.DUMMYFUNCTION("GOOGLETRANSLATE(B16,""zh-tw"",""ru"")"),"Воскресить однажды")</f>
        <v>Воскресить однажды</v>
      </c>
      <c r="O16" s="336" t="s">
        <v>4073</v>
      </c>
      <c r="P16" s="319" t="s">
        <v>4951</v>
      </c>
      <c r="Q16" s="339" t="s">
        <v>4076</v>
      </c>
      <c r="R16" s="340" t="s">
        <v>4952</v>
      </c>
      <c r="S16" s="17"/>
      <c r="T16" s="17"/>
      <c r="U16" s="17"/>
      <c r="V16" s="17"/>
      <c r="W16" s="17"/>
      <c r="X16" s="17"/>
      <c r="Y16" s="17"/>
      <c r="Z16" s="17"/>
    </row>
    <row r="17">
      <c r="A17" s="336" t="s">
        <v>4953</v>
      </c>
      <c r="B17" s="319" t="s">
        <v>4954</v>
      </c>
      <c r="C17" s="348" t="s">
        <v>4955</v>
      </c>
      <c r="D17" s="349" t="str">
        <f>IFERROR(__xludf.DUMMYFUNCTION("GOOGLETRANSLATE(B17,""zh-tw"",""ja"")"),"物理防御力: 2
魔法耐性: 15
落下ダメージ軽減")</f>
        <v>物理防御力: 2
魔法耐性: 15
落下ダメージ軽減</v>
      </c>
      <c r="E17" s="335" t="s">
        <v>4956</v>
      </c>
      <c r="F17" s="163" t="s">
        <v>4957</v>
      </c>
      <c r="G17" s="337" t="str">
        <f>IFERROR(__xludf.DUMMYFUNCTION("GOOGLETRANSLATE(A17,""zh-tw"",""zh"")"),"倒吊人的骨戒")</f>
        <v>倒吊人的骨戒</v>
      </c>
      <c r="H17" s="164" t="str">
        <f>IFERROR(__xludf.DUMMYFUNCTION("GOOGLETRANSLATE(B17,""zh-tw"",""zh"")"),"物防：2
魔抗：15
掉落伤害减免")</f>
        <v>物防：2
魔抗：15
掉落伤害减免</v>
      </c>
      <c r="I17" s="337" t="str">
        <f>IFERROR(__xludf.DUMMYFUNCTION("GOOGLETRANSLATE(A17,""zh-tw"",""es-MX"")"),"El anillo de hueso del ahorcado")</f>
        <v>El anillo de hueso del ahorcado</v>
      </c>
      <c r="J17" s="164" t="str">
        <f>IFERROR(__xludf.DUMMYFUNCTION("GOOGLETRANSLATE(B17,""zh-tw"",""es-MX"")"),"Defensa física: 2
Resistencia mágica: 15
Reducción de daño por caída de objetos")</f>
        <v>Defensa física: 2
Resistencia mágica: 15
Reducción de daño por caída de objetos</v>
      </c>
      <c r="K17" s="335" t="s">
        <v>4958</v>
      </c>
      <c r="L17" s="163" t="s">
        <v>4959</v>
      </c>
      <c r="M17" s="338" t="str">
        <f>IFERROR(__xludf.DUMMYFUNCTION("GOOGLETRANSLATE(A17,""zh-tw"",""ru"")"),"Кольцо из костей повешенного")</f>
        <v>Кольцо из костей повешенного</v>
      </c>
      <c r="N17" s="317" t="str">
        <f>IFERROR(__xludf.DUMMYFUNCTION("GOOGLETRANSLATE(B17,""zh-tw"",""ru"")"),"Физическая защита: 2
Сопротивление магии: 15
Снижение урона от падения")</f>
        <v>Физическая защита: 2
Сопротивление магии: 15
Снижение урона от падения</v>
      </c>
      <c r="O17" s="336" t="s">
        <v>4960</v>
      </c>
      <c r="P17" s="319" t="s">
        <v>4961</v>
      </c>
      <c r="Q17" s="339" t="s">
        <v>4962</v>
      </c>
      <c r="R17" s="340" t="s">
        <v>4963</v>
      </c>
      <c r="S17" s="17"/>
      <c r="T17" s="17"/>
      <c r="U17" s="17"/>
      <c r="V17" s="17"/>
      <c r="W17" s="17"/>
      <c r="X17" s="17"/>
      <c r="Y17" s="17"/>
      <c r="Z17" s="17"/>
    </row>
    <row r="18">
      <c r="A18" s="335" t="s">
        <v>4964</v>
      </c>
      <c r="B18" s="163" t="s">
        <v>4965</v>
      </c>
      <c r="C18" s="348" t="s">
        <v>4966</v>
      </c>
      <c r="D18" s="349" t="str">
        <f>IFERROR(__xludf.DUMMYFUNCTION("GOOGLETRANSLATE(B18,""zh-tw"",""ja"")"),"物理攻撃：3。武器の耐久度消費を減らし、攻撃速度とパンチダメージを増加させます。")</f>
        <v>物理攻撃：3。武器の耐久度消費を減らし、攻撃速度とパンチダメージを増加させます。</v>
      </c>
      <c r="E18" s="337" t="str">
        <f>IFERROR(__xludf.DUMMYFUNCTION("GOOGLETRANSLATE(A18,""zh-tw"",""en"")"),"Martial Arts Wristguards")</f>
        <v>Martial Arts Wristguards</v>
      </c>
      <c r="F18" s="164" t="str">
        <f>IFERROR(__xludf.DUMMYFUNCTION("GOOGLETRANSLATE(B18,""zh-tw"",""en"")"),"Physical Attack: 3. Reduces weapon durability consumption, increases attack speed and punch damage.")</f>
        <v>Physical Attack: 3. Reduces weapon durability consumption, increases attack speed and punch damage.</v>
      </c>
      <c r="G18" s="337" t="str">
        <f>IFERROR(__xludf.DUMMYFUNCTION("GOOGLETRANSLATE(A18,""zh-tw"",""zh"")"),"武术家护腕")</f>
        <v>武术家护腕</v>
      </c>
      <c r="H18" s="164" t="str">
        <f>IFERROR(__xludf.DUMMYFUNCTION("GOOGLETRANSLATE(B18,""zh-tw"",""zh"")"),"物攻：3
减少武器耐久消耗、提升攻速和拳击的伤害")</f>
        <v>物攻：3
减少武器耐久消耗、提升攻速和拳击的伤害</v>
      </c>
      <c r="I18" s="337" t="str">
        <f>IFERROR(__xludf.DUMMYFUNCTION("GOOGLETRANSLATE(A18,""zh-tw"",""es-MX"")"),"Muñequeras para artes marciales")</f>
        <v>Muñequeras para artes marciales</v>
      </c>
      <c r="J18" s="164" t="str">
        <f>IFERROR(__xludf.DUMMYFUNCTION("GOOGLETRANSLATE(B18,""zh-tw"",""es-MX"")"),"Ataque físico: 3. Reduce el consumo de durabilidad del arma, aumenta la velocidad de ataque y el daño de los puñetazos.")</f>
        <v>Ataque físico: 3. Reduce el consumo de durabilidad del arma, aumenta la velocidad de ataque y el daño de los puñetazos.</v>
      </c>
      <c r="K18" s="337" t="str">
        <f>IFERROR(__xludf.DUMMYFUNCTION("GOOGLETRANSLATE(A18,""zh-tw"",""KO"")"),"무술 손목 보호대")</f>
        <v>무술 손목 보호대</v>
      </c>
      <c r="L18" s="164" t="str">
        <f>IFERROR(__xludf.DUMMYFUNCTION("GOOGLETRANSLATE(B18,""zh-tw"",""KO"")"),"물리 공격력: 3. 무기 내구도 소모 감소, 공격 속도 증가, 펀치 데미지 증가.")</f>
        <v>물리 공격력: 3. 무기 내구도 소모 감소, 공격 속도 증가, 펀치 데미지 증가.</v>
      </c>
      <c r="M18" s="338" t="str">
        <f>IFERROR(__xludf.DUMMYFUNCTION("GOOGLETRANSLATE(A18,""zh-tw"",""ru"")"),"Наручи для боевых искусств")</f>
        <v>Наручи для боевых искусств</v>
      </c>
      <c r="N18" s="317" t="str">
        <f>IFERROR(__xludf.DUMMYFUNCTION("GOOGLETRANSLATE(B18,""zh-tw"",""ru"")"),"Физическая атака: 3. Снижает расход прочности оружия, увеличивает скорость атаки и урон от ударов.")</f>
        <v>Физическая атака: 3. Снижает расход прочности оружия, увеличивает скорость атаки и урон от ударов.</v>
      </c>
      <c r="O18" s="336" t="s">
        <v>4967</v>
      </c>
      <c r="P18" s="319" t="s">
        <v>4968</v>
      </c>
      <c r="Q18" s="339" t="s">
        <v>4969</v>
      </c>
      <c r="R18" s="340" t="s">
        <v>4970</v>
      </c>
      <c r="S18" s="17"/>
      <c r="T18" s="17"/>
      <c r="U18" s="17"/>
      <c r="V18" s="17"/>
      <c r="W18" s="17"/>
      <c r="X18" s="17"/>
      <c r="Y18" s="17"/>
      <c r="Z18" s="17"/>
    </row>
    <row r="19">
      <c r="A19" s="336" t="s">
        <v>4971</v>
      </c>
      <c r="B19" s="319" t="s">
        <v>4972</v>
      </c>
      <c r="C19" s="348" t="s">
        <v>4973</v>
      </c>
      <c r="D19" s="349" t="str">
        <f>IFERROR(__xludf.DUMMYFUNCTION("GOOGLETRANSLATE(B19,""zh-tw"",""ja"")"),"移動速度：5 フラッシュステップ効果強化")</f>
        <v>移動速度：5 フラッシュステップ効果強化</v>
      </c>
      <c r="E19" s="335" t="s">
        <v>4974</v>
      </c>
      <c r="F19" s="163" t="s">
        <v>4975</v>
      </c>
      <c r="G19" s="337" t="str">
        <f>IFERROR(__xludf.DUMMYFUNCTION("GOOGLETRANSLATE(A19,""zh-tw"",""zh"")"),"武术家之鞋")</f>
        <v>武术家之鞋</v>
      </c>
      <c r="H19" s="164" t="str">
        <f>IFERROR(__xludf.DUMMYFUNCTION("GOOGLETRANSLATE(B19,""zh-tw"",""zh"")"),"移速:5
闪步效果强化")</f>
        <v>移速:5
闪步效果强化</v>
      </c>
      <c r="I19" s="337" t="str">
        <f>IFERROR(__xludf.DUMMYFUNCTION("GOOGLETRANSLATE(A19,""zh-tw"",""es-MX"")"),"Zapatos de artista marcial")</f>
        <v>Zapatos de artista marcial</v>
      </c>
      <c r="J19" s="164" t="str">
        <f>IFERROR(__xludf.DUMMYFUNCTION("GOOGLETRANSLATE(B19,""zh-tw"",""es-MX"")"),"Velocidad de movimiento: 5. Efecto de paso relámpago mejorado.")</f>
        <v>Velocidad de movimiento: 5. Efecto de paso relámpago mejorado.</v>
      </c>
      <c r="K19" s="337" t="str">
        <f>IFERROR(__xludf.DUMMYFUNCTION("GOOGLETRANSLATE(A19,""zh-tw"",""KO"")"),"무술가의 신발")</f>
        <v>무술가의 신발</v>
      </c>
      <c r="L19" s="164" t="str">
        <f>IFERROR(__xludf.DUMMYFUNCTION("GOOGLETRANSLATE(B19,""zh-tw"",""KO"")"),"이동 속도: 5 플래시 스텝 효과 강화")</f>
        <v>이동 속도: 5 플래시 스텝 효과 강화</v>
      </c>
      <c r="M19" s="338" t="str">
        <f>IFERROR(__xludf.DUMMYFUNCTION("GOOGLETRANSLATE(A19,""zh-tw"",""ru"")"),"Обувь для мастеров боевых искусств")</f>
        <v>Обувь для мастеров боевых искусств</v>
      </c>
      <c r="N19" s="317" t="str">
        <f>IFERROR(__xludf.DUMMYFUNCTION("GOOGLETRANSLATE(B19,""zh-tw"",""ru"")"),"Скорость передвижения: 5 шагов, улучшен эффект вспышки")</f>
        <v>Скорость передвижения: 5 шагов, улучшен эффект вспышки</v>
      </c>
      <c r="O19" s="336" t="s">
        <v>4976</v>
      </c>
      <c r="P19" s="319" t="s">
        <v>4977</v>
      </c>
      <c r="Q19" s="339" t="s">
        <v>4978</v>
      </c>
      <c r="R19" s="340" t="s">
        <v>4979</v>
      </c>
      <c r="S19" s="17"/>
      <c r="T19" s="17"/>
      <c r="U19" s="17"/>
      <c r="V19" s="17"/>
      <c r="W19" s="17"/>
      <c r="X19" s="17"/>
      <c r="Y19" s="17"/>
      <c r="Z19" s="17"/>
    </row>
    <row r="20">
      <c r="A20" s="336" t="s">
        <v>4980</v>
      </c>
      <c r="B20" s="319" t="s">
        <v>4981</v>
      </c>
      <c r="C20" s="348" t="s">
        <v>4982</v>
      </c>
      <c r="D20" s="349" t="str">
        <f>IFERROR(__xludf.DUMMYFUNCTION("GOOGLETRANSLATE(B20,""zh-tw"",""ja"")"),"物理防御: 1 運: 60")</f>
        <v>物理防御: 1 運: 60</v>
      </c>
      <c r="E20" s="335" t="s">
        <v>4983</v>
      </c>
      <c r="F20" s="163" t="s">
        <v>4984</v>
      </c>
      <c r="G20" s="337" t="str">
        <f>IFERROR(__xludf.DUMMYFUNCTION("GOOGLETRANSLATE(A20,""zh-tw"",""zh"")"),"萌萌兔耳")</f>
        <v>萌萌兔耳</v>
      </c>
      <c r="H20" s="164" t="str">
        <f>IFERROR(__xludf.DUMMYFUNCTION("GOOGLETRANSLATE(B20,""zh-tw"",""zh"")"),"物防：1
幸运：60")</f>
        <v>物防：1
幸运：60</v>
      </c>
      <c r="I20" s="337" t="str">
        <f>IFERROR(__xludf.DUMMYFUNCTION("GOOGLETRANSLATE(A20,""zh-tw"",""es-MX"")"),"Lindas orejas de conejo")</f>
        <v>Lindas orejas de conejo</v>
      </c>
      <c r="J20" s="164" t="str">
        <f>IFERROR(__xludf.DUMMYFUNCTION("GOOGLETRANSLATE(B20,""zh-tw"",""es-MX"")"),"Defensa física: 1 Suerte: 60")</f>
        <v>Defensa física: 1 Suerte: 60</v>
      </c>
      <c r="K20" s="337" t="str">
        <f>IFERROR(__xludf.DUMMYFUNCTION("GOOGLETRANSLATE(A20,""zh-tw"",""KO"")"),"귀여운 토끼 귀")</f>
        <v>귀여운 토끼 귀</v>
      </c>
      <c r="L20" s="164" t="str">
        <f>IFERROR(__xludf.DUMMYFUNCTION("GOOGLETRANSLATE(B20,""zh-tw"",""KO"")"),"물리 방어력: 1 행운: 60")</f>
        <v>물리 방어력: 1 행운: 60</v>
      </c>
      <c r="M20" s="338" t="str">
        <f>IFERROR(__xludf.DUMMYFUNCTION("GOOGLETRANSLATE(A20,""zh-tw"",""ru"")"),"Милые ушки зайчика")</f>
        <v>Милые ушки зайчика</v>
      </c>
      <c r="N20" s="317" t="str">
        <f>IFERROR(__xludf.DUMMYFUNCTION("GOOGLETRANSLATE(B20,""zh-tw"",""ru"")"),"Физическая защита: 1 Удача: 60")</f>
        <v>Физическая защита: 1 Удача: 60</v>
      </c>
      <c r="O20" s="336" t="s">
        <v>4985</v>
      </c>
      <c r="P20" s="319" t="s">
        <v>4986</v>
      </c>
      <c r="Q20" s="339" t="s">
        <v>4987</v>
      </c>
      <c r="R20" s="340" t="s">
        <v>4988</v>
      </c>
      <c r="S20" s="17"/>
      <c r="T20" s="17"/>
      <c r="U20" s="17"/>
      <c r="V20" s="17"/>
      <c r="W20" s="17"/>
      <c r="X20" s="17"/>
      <c r="Y20" s="17"/>
      <c r="Z20" s="17"/>
    </row>
    <row r="21">
      <c r="A21" s="336" t="s">
        <v>4989</v>
      </c>
      <c r="B21" s="319" t="s">
        <v>4990</v>
      </c>
      <c r="C21" s="350" t="str">
        <f>IFERROR(__xludf.DUMMYFUNCTION("GOOGLETRANSLATE(A21,""zh-tw"",""ja"")"),"メイド服")</f>
        <v>メイド服</v>
      </c>
      <c r="D21" s="349" t="str">
        <f>IFERROR(__xludf.DUMMYFUNCTION("GOOGLETRANSLATE(B21,""zh-tw"",""ja"")"),"物理防御力: 4
魔法耐性: 4
幸運: 30
攻撃不可、特殊効果")</f>
        <v>物理防御力: 4
魔法耐性: 4
幸運: 30
攻撃不可、特殊効果</v>
      </c>
      <c r="E21" s="335" t="s">
        <v>4991</v>
      </c>
      <c r="F21" s="163" t="s">
        <v>4992</v>
      </c>
      <c r="G21" s="337" t="str">
        <f>IFERROR(__xludf.DUMMYFUNCTION("GOOGLETRANSLATE(A21,""zh-tw"",""zh"")"),"女仆制服")</f>
        <v>女仆制服</v>
      </c>
      <c r="H21" s="164" t="str">
        <f>IFERROR(__xludf.DUMMYFUNCTION("GOOGLETRANSLATE(B21,""zh-tw"",""zh"")"),"物防：4
魔抗：4
幸运：30
无法攻击、特殊效果")</f>
        <v>物防：4
魔抗：4
幸运：30
无法攻击、特殊效果</v>
      </c>
      <c r="I21" s="337" t="str">
        <f>IFERROR(__xludf.DUMMYFUNCTION("GOOGLETRANSLATE(A21,""zh-tw"",""es-MX"")"),"uniforme de sirvienta")</f>
        <v>uniforme de sirvienta</v>
      </c>
      <c r="J21" s="164" t="str">
        <f>IFERROR(__xludf.DUMMYFUNCTION("GOOGLETRANSLATE(B21,""zh-tw"",""es-MX"")"),"Defensa física: 4
Resistencia mágica: 4
Suerte: 30
No puede atacar ni sufrir efectos especiales")</f>
        <v>Defensa física: 4
Resistencia mágica: 4
Suerte: 30
No puede atacar ni sufrir efectos especiales</v>
      </c>
      <c r="K21" s="336" t="s">
        <v>4993</v>
      </c>
      <c r="L21" s="163" t="s">
        <v>4994</v>
      </c>
      <c r="M21" s="338" t="str">
        <f>IFERROR(__xludf.DUMMYFUNCTION("GOOGLETRANSLATE(A21,""zh-tw"",""ru"")"),"Униформа горничной")</f>
        <v>Униформа горничной</v>
      </c>
      <c r="N21" s="317" t="str">
        <f>IFERROR(__xludf.DUMMYFUNCTION("GOOGLETRANSLATE(B21,""zh-tw"",""ru"")"),"Физическая защита: 4
Сопротивление магии: 4
Удача: 30
Не может атаковать, особый эффект")</f>
        <v>Физическая защита: 4
Сопротивление магии: 4
Удача: 30
Не может атаковать, особый эффект</v>
      </c>
      <c r="O21" s="336" t="s">
        <v>4995</v>
      </c>
      <c r="P21" s="319" t="s">
        <v>4996</v>
      </c>
      <c r="Q21" s="339" t="s">
        <v>4997</v>
      </c>
      <c r="R21" s="340" t="s">
        <v>4998</v>
      </c>
      <c r="S21" s="17"/>
      <c r="T21" s="17"/>
      <c r="U21" s="17"/>
      <c r="V21" s="17"/>
      <c r="W21" s="17"/>
      <c r="X21" s="17"/>
      <c r="Y21" s="17"/>
      <c r="Z21" s="17"/>
    </row>
    <row r="22">
      <c r="A22" s="336" t="s">
        <v>4999</v>
      </c>
      <c r="B22" s="319" t="s">
        <v>5000</v>
      </c>
      <c r="C22" s="348" t="s">
        <v>5001</v>
      </c>
      <c r="D22" s="349" t="str">
        <f>IFERROR(__xludf.DUMMYFUNCTION("GOOGLETRANSLATE(B22,""zh-tw"",""ja"")"),"魔法攻撃力：20
魔法耐性：10
詠唱速度向上、魔法貫通")</f>
        <v>魔法攻撃力：20
魔法耐性：10
詠唱速度向上、魔法貫通</v>
      </c>
      <c r="E22" s="335" t="s">
        <v>5002</v>
      </c>
      <c r="F22" s="163" t="s">
        <v>5003</v>
      </c>
      <c r="G22" s="337" t="str">
        <f>IFERROR(__xludf.DUMMYFUNCTION("GOOGLETRANSLATE(A22,""zh-tw"",""zh"")"),"魔力晶簇")</f>
        <v>魔力晶簇</v>
      </c>
      <c r="H22" s="164" t="str">
        <f>IFERROR(__xludf.DUMMYFUNCTION("GOOGLETRANSLATE(B22,""zh-tw"",""zh"")"),"魔攻：20
魔抗：10
加快吟唱、魔法穿透")</f>
        <v>魔攻：20
魔抗：10
加快吟唱、魔法穿透</v>
      </c>
      <c r="I22" s="337" t="str">
        <f>IFERROR(__xludf.DUMMYFUNCTION("GOOGLETRANSLATE(A22,""zh-tw"",""es-MX"")"),"Racimo de cristales mágicos")</f>
        <v>Racimo de cristales mágicos</v>
      </c>
      <c r="J22" s="164" t="str">
        <f>IFERROR(__xludf.DUMMYFUNCTION("GOOGLETRANSLATE(B22,""zh-tw"",""es-MX"")"),"Ataque mágico: 20
Resistencia mágica: 10
Velocidad de lanzamiento, Penetración mágica")</f>
        <v>Ataque mágico: 20
Resistencia mágica: 10
Velocidad de lanzamiento, Penetración mágica</v>
      </c>
      <c r="K22" s="335" t="s">
        <v>5004</v>
      </c>
      <c r="L22" s="163" t="s">
        <v>5005</v>
      </c>
      <c r="M22" s="338" t="str">
        <f>IFERROR(__xludf.DUMMYFUNCTION("GOOGLETRANSLATE(A22,""zh-tw"",""ru"")"),"Магический кристаллический кластер")</f>
        <v>Магический кристаллический кластер</v>
      </c>
      <c r="N22" s="317" t="str">
        <f>IFERROR(__xludf.DUMMYFUNCTION("GOOGLETRANSLATE(B22,""zh-tw"",""ru"")"),"Магическая атака: 20
Сопротивление магии: 10
Скорость применения заклинаний, Магическое проникновение")</f>
        <v>Магическая атака: 20
Сопротивление магии: 10
Скорость применения заклинаний, Магическое проникновение</v>
      </c>
      <c r="O22" s="336" t="s">
        <v>5006</v>
      </c>
      <c r="P22" s="319" t="s">
        <v>5007</v>
      </c>
      <c r="Q22" s="339" t="s">
        <v>5008</v>
      </c>
      <c r="R22" s="340" t="s">
        <v>5009</v>
      </c>
      <c r="S22" s="17"/>
      <c r="T22" s="17"/>
      <c r="U22" s="17"/>
      <c r="V22" s="17"/>
      <c r="W22" s="17"/>
      <c r="X22" s="17"/>
      <c r="Y22" s="17"/>
      <c r="Z22" s="17"/>
    </row>
    <row r="23">
      <c r="A23" s="336" t="s">
        <v>5010</v>
      </c>
      <c r="B23" s="319" t="s">
        <v>5011</v>
      </c>
      <c r="C23" s="348" t="s">
        <v>5012</v>
      </c>
      <c r="D23" s="349" t="str">
        <f>IFERROR(__xludf.DUMMYFUNCTION("GOOGLETRANSLATE(B23,""zh-tw"",""ja"")"),"魔法攻撃力: 35
魔法耐性: 20
スピードキャスト、魔法貫通")</f>
        <v>魔法攻撃力: 35
魔法耐性: 20
スピードキャスト、魔法貫通</v>
      </c>
      <c r="E23" s="335" t="s">
        <v>5013</v>
      </c>
      <c r="F23" s="163" t="s">
        <v>5014</v>
      </c>
      <c r="G23" s="337" t="str">
        <f>IFERROR(__xludf.DUMMYFUNCTION("GOOGLETRANSLATE(A23,""zh-tw"",""zh"")"),"深邃魔力晶簇")</f>
        <v>深邃魔力晶簇</v>
      </c>
      <c r="H23" s="164" t="str">
        <f>IFERROR(__xludf.DUMMYFUNCTION("GOOGLETRANSLATE(B23,""zh-tw"",""zh"")"),"魔攻：35
魔抗：20
加快吟唱、魔法穿透")</f>
        <v>魔攻：35
魔抗：20
加快吟唱、魔法穿透</v>
      </c>
      <c r="I23" s="337" t="str">
        <f>IFERROR(__xludf.DUMMYFUNCTION("GOOGLETRANSLATE(A23,""zh-tw"",""es-MX"")"),"Racimo de cristales de magia profunda")</f>
        <v>Racimo de cristales de magia profunda</v>
      </c>
      <c r="J23" s="164" t="str">
        <f>IFERROR(__xludf.DUMMYFUNCTION("GOOGLETRANSLATE(B23,""zh-tw"",""es-MX"")"),"Ataque mágico: 35
Resistencia mágica: 20
Velocidad de lanzamiento, Penetración mágica")</f>
        <v>Ataque mágico: 35
Resistencia mágica: 20
Velocidad de lanzamiento, Penetración mágica</v>
      </c>
      <c r="K23" s="336" t="s">
        <v>5015</v>
      </c>
      <c r="L23" s="163" t="s">
        <v>5016</v>
      </c>
      <c r="M23" s="338" t="str">
        <f>IFERROR(__xludf.DUMMYFUNCTION("GOOGLETRANSLATE(A23,""zh-tw"",""ru"")"),"Кристаллический кластер глубокой магии")</f>
        <v>Кристаллический кластер глубокой магии</v>
      </c>
      <c r="N23" s="317" t="str">
        <f>IFERROR(__xludf.DUMMYFUNCTION("GOOGLETRANSLATE(B23,""zh-tw"",""ru"")"),"Магическая атака: 35
Сопротивление магии: 20
Скорость применения заклинаний, Магическое проникновение")</f>
        <v>Магическая атака: 35
Сопротивление магии: 20
Скорость применения заклинаний, Магическое проникновение</v>
      </c>
      <c r="O23" s="336" t="s">
        <v>5017</v>
      </c>
      <c r="P23" s="319" t="s">
        <v>5018</v>
      </c>
      <c r="Q23" s="339" t="s">
        <v>5019</v>
      </c>
      <c r="R23" s="340" t="s">
        <v>5020</v>
      </c>
      <c r="S23" s="17"/>
      <c r="T23" s="17"/>
      <c r="U23" s="17"/>
      <c r="V23" s="17"/>
      <c r="W23" s="17"/>
      <c r="X23" s="17"/>
      <c r="Y23" s="17"/>
      <c r="Z23" s="17"/>
    </row>
    <row r="24">
      <c r="A24" s="336" t="s">
        <v>5021</v>
      </c>
      <c r="B24" s="319" t="s">
        <v>5022</v>
      </c>
      <c r="C24" s="348" t="s">
        <v>5023</v>
      </c>
      <c r="D24" s="349" t="str">
        <f>IFERROR(__xludf.DUMMYFUNCTION("GOOGLETRANSLATE(B24,""zh-tw"",""ja"")"),"スタミナが基本値の25から2%増加し、スタミナ回復効果が20%増加しました。")</f>
        <v>スタミナが基本値の25から2%増加し、スタミナ回復効果が20%増加しました。</v>
      </c>
      <c r="E24" s="335" t="s">
        <v>5024</v>
      </c>
      <c r="F24" s="164" t="str">
        <f>IFERROR(__xludf.DUMMYFUNCTION("GOOGLETRANSLATE(B24,""zh-tw"",""en"")"),"Stamina increased from a base of 25, with an additional 2% bonus. Stamina recovery effect increased by 20%.")</f>
        <v>Stamina increased from a base of 25, with an additional 2% bonus. Stamina recovery effect increased by 20%.</v>
      </c>
      <c r="G24" s="337" t="str">
        <f>IFERROR(__xludf.DUMMYFUNCTION("GOOGLETRANSLATE(A24,""zh-tw"",""zh"")"),"受诅胎体")</f>
        <v>受诅胎体</v>
      </c>
      <c r="H24" s="164" t="str">
        <f>IFERROR(__xludf.DUMMYFUNCTION("GOOGLETRANSLATE(B24,""zh-tw"",""zh"")"),"体力上升，基础25，额外加成2%
体力恢复效果提升20%")</f>
        <v>体力上升，基础25，额外加成2%
体力恢复效果提升20%</v>
      </c>
      <c r="I24" s="337" t="str">
        <f>IFERROR(__xludf.DUMMYFUNCTION("GOOGLETRANSLATE(A24,""zh-tw"",""es-MX"")"),"feto maldito")</f>
        <v>feto maldito</v>
      </c>
      <c r="J24" s="164" t="str">
        <f>IFERROR(__xludf.DUMMYFUNCTION("GOOGLETRANSLATE(B24,""zh-tw"",""es-MX"")"),"La resistencia aumentó desde una base de 25, con una bonificación adicional del 2%. El efecto de recuperación de resistencia aumentó un 20%.")</f>
        <v>La resistencia aumentó desde una base de 25, con una bonificación adicional del 2%. El efecto de recuperación de resistencia aumentó un 20%.</v>
      </c>
      <c r="K24" s="337" t="str">
        <f>IFERROR(__xludf.DUMMYFUNCTION("GOOGLETRANSLATE(A24,""zh-tw"",""KO"")"),"저주받은 태아")</f>
        <v>저주받은 태아</v>
      </c>
      <c r="L24" s="163" t="s">
        <v>5025</v>
      </c>
      <c r="M24" s="338" t="str">
        <f>IFERROR(__xludf.DUMMYFUNCTION("GOOGLETRANSLATE(A24,""zh-tw"",""ru"")"),"Проклятый плод")</f>
        <v>Проклятый плод</v>
      </c>
      <c r="N24" s="317" t="str">
        <f>IFERROR(__xludf.DUMMYFUNCTION("GOOGLETRANSLATE(B24,""zh-tw"",""ru"")"),"Выносливость увеличена с базовых 25, с дополнительным бонусом в 2%. Эффект восстановления выносливости увеличен на 20%.")</f>
        <v>Выносливость увеличена с базовых 25, с дополнительным бонусом в 2%. Эффект восстановления выносливости увеличен на 20%.</v>
      </c>
      <c r="O24" s="336" t="s">
        <v>5026</v>
      </c>
      <c r="P24" s="319" t="s">
        <v>5027</v>
      </c>
      <c r="Q24" s="339" t="s">
        <v>5028</v>
      </c>
      <c r="R24" s="340" t="s">
        <v>5029</v>
      </c>
      <c r="S24" s="17"/>
      <c r="T24" s="17"/>
      <c r="U24" s="17"/>
      <c r="V24" s="17"/>
      <c r="W24" s="17"/>
      <c r="X24" s="17"/>
      <c r="Y24" s="17"/>
      <c r="Z24" s="17"/>
    </row>
    <row r="25">
      <c r="A25" s="336" t="s">
        <v>5030</v>
      </c>
      <c r="B25" s="319" t="s">
        <v>5031</v>
      </c>
      <c r="C25" s="348" t="s">
        <v>5032</v>
      </c>
      <c r="D25" s="349" t="str">
        <f>IFERROR(__xludf.DUMMYFUNCTION("GOOGLETRANSLATE(B25,""zh-tw"",""ja"")"),"スタミナが増加（基本30、追加ボーナス10%）。スタミナ自動回復を獲得し、スタミナ回復効果が25%増加。")</f>
        <v>スタミナが増加（基本30、追加ボーナス10%）。スタミナ自動回復を獲得し、スタミナ回復効果が25%増加。</v>
      </c>
      <c r="E25" s="335" t="s">
        <v>5033</v>
      </c>
      <c r="F25" s="164" t="str">
        <f>IFERROR(__xludf.DUMMYFUNCTION("GOOGLETRANSLATE(B25,""zh-tw"",""en"")"),"Stamina increased, base 30, additional 10% bonus. Gains automatic stamina recovery; stamina recovery effect increased by 25%.")</f>
        <v>Stamina increased, base 30, additional 10% bonus. Gains automatic stamina recovery; stamina recovery effect increased by 25%.</v>
      </c>
      <c r="G25" s="337" t="str">
        <f>IFERROR(__xludf.DUMMYFUNCTION("GOOGLETRANSLATE(A25,""zh-tw"",""zh"")"),"不幸的诞生")</f>
        <v>不幸的诞生</v>
      </c>
      <c r="H25" s="164" t="str">
        <f>IFERROR(__xludf.DUMMYFUNCTION("GOOGLETRANSLATE(B25,""zh-tw"",""zh"")"),"体力上升，基础30，额外加成10%
获得自动回复效果，体力恢复效果提升25%")</f>
        <v>体力上升，基础30，额外加成10%
获得自动回复效果，体力恢复效果提升25%</v>
      </c>
      <c r="I25" s="337" t="str">
        <f>IFERROR(__xludf.DUMMYFUNCTION("GOOGLETRANSLATE(A25,""zh-tw"",""es-MX"")"),"Un nacimiento desafortunado")</f>
        <v>Un nacimiento desafortunado</v>
      </c>
      <c r="J25" s="164" t="str">
        <f>IFERROR(__xludf.DUMMYFUNCTION("GOOGLETRANSLATE(B25,""zh-tw"",""es-MX"")"),"Resistencia aumentada, base 30, bonificación adicional del 10%. Obtiene recuperación automática de resistencia; el efecto de recuperación de resistencia aumenta un 25%.")</f>
        <v>Resistencia aumentada, base 30, bonificación adicional del 10%. Obtiene recuperación automática de resistencia; el efecto de recuperación de resistencia aumenta un 25%.</v>
      </c>
      <c r="K25" s="337" t="str">
        <f>IFERROR(__xludf.DUMMYFUNCTION("GOOGLETRANSLATE(A25,""zh-tw"",""KO"")"),"불행한 탄생")</f>
        <v>불행한 탄생</v>
      </c>
      <c r="L25" s="163" t="s">
        <v>5034</v>
      </c>
      <c r="M25" s="338" t="str">
        <f>IFERROR(__xludf.DUMMYFUNCTION("GOOGLETRANSLATE(A25,""zh-tw"",""ru"")"),"Неудачное рождение")</f>
        <v>Неудачное рождение</v>
      </c>
      <c r="N25" s="317" t="str">
        <f>IFERROR(__xludf.DUMMYFUNCTION("GOOGLETRANSLATE(B25,""zh-tw"",""ru"")"),"Выносливость увеличена, базовая 30, дополнительный бонус 10%. Автоматически восстанавливает выносливость; эффект восстановления выносливости увеличивается на 25%.")</f>
        <v>Выносливость увеличена, базовая 30, дополнительный бонус 10%. Автоматически восстанавливает выносливость; эффект восстановления выносливости увеличивается на 25%.</v>
      </c>
      <c r="O25" s="336" t="s">
        <v>5035</v>
      </c>
      <c r="P25" s="319" t="s">
        <v>5036</v>
      </c>
      <c r="Q25" s="339" t="s">
        <v>5037</v>
      </c>
      <c r="R25" s="340" t="s">
        <v>5038</v>
      </c>
      <c r="S25" s="17"/>
      <c r="T25" s="17"/>
      <c r="U25" s="17"/>
      <c r="V25" s="17"/>
      <c r="W25" s="17"/>
      <c r="X25" s="17"/>
      <c r="Y25" s="17"/>
      <c r="Z25" s="17"/>
    </row>
    <row r="26">
      <c r="A26" s="335" t="s">
        <v>5039</v>
      </c>
      <c r="B26" s="163" t="s">
        <v>5040</v>
      </c>
      <c r="C26" s="348" t="s">
        <v>5041</v>
      </c>
      <c r="D26" s="186" t="s">
        <v>5042</v>
      </c>
      <c r="E26" s="335" t="s">
        <v>5043</v>
      </c>
      <c r="F26" s="163" t="s">
        <v>5044</v>
      </c>
      <c r="G26" s="337" t="str">
        <f>IFERROR(__xludf.DUMMYFUNCTION("GOOGLETRANSLATE(A26,""zh-tw"",""zh"")"),"调皮的杰克")</f>
        <v>调皮的杰克</v>
      </c>
      <c r="H26" s="164" t="str">
        <f>IFERROR(__xludf.DUMMYFUNCTION("GOOGLETRANSLATE(B26,""zh-tw"",""zh"")"),"魔攻：8
魔防：8
增强残血伤害")</f>
        <v>魔攻：8
魔防：8
增强残血伤害</v>
      </c>
      <c r="I26" s="337" t="str">
        <f>IFERROR(__xludf.DUMMYFUNCTION("GOOGLETRANSLATE(A26,""zh-tw"",""es-MX"")"),"Jack el travieso")</f>
        <v>Jack el travieso</v>
      </c>
      <c r="J26" s="164" t="str">
        <f>IFERROR(__xludf.DUMMYFUNCTION("GOOGLETRANSLATE(B26,""zh-tw"",""es-MX"")"),"Ataque mágico: 8
Defensa mágica: 8
Aumenta el daño infligido a enemigos con poca salud.")</f>
        <v>Ataque mágico: 8
Defensa mágica: 8
Aumenta el daño infligido a enemigos con poca salud.</v>
      </c>
      <c r="K26" s="337" t="str">
        <f>IFERROR(__xludf.DUMMYFUNCTION("GOOGLETRANSLATE(A26,""zh-tw"",""KO"")"),"장난꾸러기 잭")</f>
        <v>장난꾸러기 잭</v>
      </c>
      <c r="L26" s="163" t="s">
        <v>5045</v>
      </c>
      <c r="M26" s="338" t="str">
        <f>IFERROR(__xludf.DUMMYFUNCTION("GOOGLETRANSLATE(A26,""zh-tw"",""ru"")"),"Озорной Джек")</f>
        <v>Озорной Джек</v>
      </c>
      <c r="N26" s="317" t="str">
        <f>IFERROR(__xludf.DUMMYFUNCTION("GOOGLETRANSLATE(B26,""zh-tw"",""ru"")"),"Магическая атака: 8
Магическая защита: 8
Увеличивает урон, наносимый врагам с низким уровнем здоровья.")</f>
        <v>Магическая атака: 8
Магическая защита: 8
Увеличивает урон, наносимый врагам с низким уровнем здоровья.</v>
      </c>
      <c r="O26" s="336" t="s">
        <v>5046</v>
      </c>
      <c r="P26" s="319" t="s">
        <v>5047</v>
      </c>
      <c r="Q26" s="339" t="s">
        <v>5048</v>
      </c>
      <c r="R26" s="166" t="s">
        <v>5049</v>
      </c>
      <c r="S26" s="17"/>
      <c r="T26" s="17"/>
      <c r="U26" s="17"/>
      <c r="V26" s="17"/>
      <c r="W26" s="17"/>
      <c r="X26" s="17"/>
      <c r="Y26" s="17"/>
      <c r="Z26" s="17"/>
    </row>
    <row r="27">
      <c r="A27" s="335" t="s">
        <v>5050</v>
      </c>
      <c r="B27" s="163" t="s">
        <v>5051</v>
      </c>
      <c r="C27" s="348" t="s">
        <v>5052</v>
      </c>
      <c r="D27" s="349" t="str">
        <f>IFERROR(__xludf.DUMMYFUNCTION("GOOGLETRANSLATE(B27,""zh-tw"",""ja"")"),"幸運: 100 ドロップで拾えるお金の量が2倍になります。
(貯金箱との併用はできません)")</f>
        <v>幸運: 100 ドロップで拾えるお金の量が2倍になります。
(貯金箱との併用はできません)</v>
      </c>
      <c r="E27" s="335" t="s">
        <v>5053</v>
      </c>
      <c r="F27" s="163" t="s">
        <v>5054</v>
      </c>
      <c r="G27" s="337" t="str">
        <f>IFERROR(__xludf.DUMMYFUNCTION("GOOGLETRANSLATE(A27,""zh-tw"",""zh"")"),"未满的黄金圣杯")</f>
        <v>未满的黄金圣杯</v>
      </c>
      <c r="H27" s="164" t="str">
        <f>IFERROR(__xludf.DUMMYFUNCTION("GOOGLETRANSLATE(B27,""zh-tw"",""zh"")"),"幸运:100
掉落拾取的金钱数量翻倍
(不可以和存钱罐连动)")</f>
        <v>幸运:100
掉落拾取的金钱数量翻倍
(不可以和存钱罐连动)</v>
      </c>
      <c r="I27" s="335" t="s">
        <v>5055</v>
      </c>
      <c r="J27" s="164" t="str">
        <f>IFERROR(__xludf.DUMMYFUNCTION("GOOGLETRANSLATE(B27,""zh-tw"",""es-MX"")"),"Suerte: 100. Duplica la cantidad de dinero que recoges al soltar objetos.
(No se puede combinar con una hucha).")</f>
        <v>Suerte: 100. Duplica la cantidad de dinero que recoges al soltar objetos.
(No se puede combinar con una hucha).</v>
      </c>
      <c r="K27" s="335" t="s">
        <v>5056</v>
      </c>
      <c r="L27" s="163" t="s">
        <v>5057</v>
      </c>
      <c r="M27" s="338" t="str">
        <f>IFERROR(__xludf.DUMMYFUNCTION("GOOGLETRANSLATE(A27,""zh-tw"",""ru"")"),"Незавершённый Святой Грааль")</f>
        <v>Незавершённый Святой Грааль</v>
      </c>
      <c r="N27" s="317" t="str">
        <f>IFERROR(__xludf.DUMMYFUNCTION("GOOGLETRANSLATE(B27,""zh-tw"",""ru"")"),"Удача: 100 Удваивает количество денег, которые вы получаете из предметов.
(Нельзя объединить с копилкой)")</f>
        <v>Удача: 100 Удваивает количество денег, которые вы получаете из предметов.
(Нельзя объединить с копилкой)</v>
      </c>
      <c r="O27" s="336" t="s">
        <v>5058</v>
      </c>
      <c r="P27" s="319" t="s">
        <v>5059</v>
      </c>
      <c r="Q27" s="339" t="s">
        <v>5060</v>
      </c>
      <c r="R27" s="340" t="s">
        <v>5061</v>
      </c>
      <c r="S27" s="17"/>
      <c r="T27" s="17"/>
      <c r="U27" s="17"/>
      <c r="V27" s="17"/>
      <c r="W27" s="17"/>
      <c r="X27" s="17"/>
      <c r="Y27" s="17"/>
      <c r="Z27" s="17"/>
    </row>
    <row r="28">
      <c r="A28" s="335" t="s">
        <v>5062</v>
      </c>
      <c r="B28" s="163" t="s">
        <v>5063</v>
      </c>
      <c r="C28" s="348" t="s">
        <v>5064</v>
      </c>
      <c r="D28" s="349" t="str">
        <f>IFERROR(__xludf.DUMMYFUNCTION("GOOGLETRANSLATE(B28,""zh-tw"",""ja"")"),"追加爆発効果、爆発軽減")</f>
        <v>追加爆発効果、爆発軽減</v>
      </c>
      <c r="E28" s="335" t="s">
        <v>5065</v>
      </c>
      <c r="F28" s="163" t="s">
        <v>5066</v>
      </c>
      <c r="G28" s="337" t="str">
        <f>IFERROR(__xludf.DUMMYFUNCTION("GOOGLETRANSLATE(A28,""zh-tw"",""zh"")"),"炸弹魔之魂")</f>
        <v>炸弹魔之魂</v>
      </c>
      <c r="H28" s="164" t="str">
        <f>IFERROR(__xludf.DUMMYFUNCTION("GOOGLETRANSLATE(B28,""zh-tw"",""zh"")"),"附带爆炸效果、爆炸减免")</f>
        <v>附带爆炸效果、爆炸减免</v>
      </c>
      <c r="I28" s="337" t="str">
        <f>IFERROR(__xludf.DUMMYFUNCTION("GOOGLETRANSLATE(A28,""zh-tw"",""es-MX"")"),"Alma del bombardero")</f>
        <v>Alma del bombardero</v>
      </c>
      <c r="J28" s="164" t="str">
        <f>IFERROR(__xludf.DUMMYFUNCTION("GOOGLETRANSLATE(B28,""zh-tw"",""es-MX"")"),"Efecto de explosión adicional, reducción de explosión")</f>
        <v>Efecto de explosión adicional, reducción de explosión</v>
      </c>
      <c r="K28" s="336" t="s">
        <v>5067</v>
      </c>
      <c r="L28" s="163" t="s">
        <v>5068</v>
      </c>
      <c r="M28" s="338" t="str">
        <f>IFERROR(__xludf.DUMMYFUNCTION("GOOGLETRANSLATE(A28,""zh-tw"",""ru"")"),"Душа бомбардировщика")</f>
        <v>Душа бомбардировщика</v>
      </c>
      <c r="N28" s="317" t="str">
        <f>IFERROR(__xludf.DUMMYFUNCTION("GOOGLETRANSLATE(B28,""zh-tw"",""ru"")"),"Дополнительный эффект взрыва, снижение взрыва")</f>
        <v>Дополнительный эффект взрыва, снижение взрыва</v>
      </c>
      <c r="O28" s="336" t="s">
        <v>5069</v>
      </c>
      <c r="P28" s="319" t="s">
        <v>5070</v>
      </c>
      <c r="Q28" s="339" t="s">
        <v>5071</v>
      </c>
      <c r="R28" s="340" t="s">
        <v>5072</v>
      </c>
      <c r="S28" s="17"/>
      <c r="T28" s="17"/>
      <c r="U28" s="17"/>
      <c r="V28" s="17"/>
      <c r="W28" s="17"/>
      <c r="X28" s="17"/>
      <c r="Y28" s="17"/>
      <c r="Z28" s="17"/>
    </row>
    <row r="29">
      <c r="A29" s="335" t="s">
        <v>5073</v>
      </c>
      <c r="B29" s="163" t="s">
        <v>5074</v>
      </c>
      <c r="C29" s="348" t="s">
        <v>5075</v>
      </c>
      <c r="D29" s="349" t="str">
        <f>IFERROR(__xludf.DUMMYFUNCTION("GOOGLETRANSLATE(B29,""zh-tw"",""ja"")"),"物理攻撃力：4 爆弾効果を強化")</f>
        <v>物理攻撃力：4 爆弾効果を強化</v>
      </c>
      <c r="E29" s="335" t="s">
        <v>5076</v>
      </c>
      <c r="F29" s="163" t="s">
        <v>5077</v>
      </c>
      <c r="G29" s="337" t="str">
        <f>IFERROR(__xludf.DUMMYFUNCTION("GOOGLETRANSLATE(A29,""zh-tw"",""zh"")"),"纵火狂的防烫手套")</f>
        <v>纵火狂的防烫手套</v>
      </c>
      <c r="H29" s="164" t="str">
        <f>IFERROR(__xludf.DUMMYFUNCTION("GOOGLETRANSLATE(B29,""zh-tw"",""zh"")"),"物攻:4
增强炸弹效果")</f>
        <v>物攻:4
增强炸弹效果</v>
      </c>
      <c r="I29" s="337" t="str">
        <f>IFERROR(__xludf.DUMMYFUNCTION("GOOGLETRANSLATE(A29,""zh-tw"",""es-MX"")"),"Los guantes resistentes al calor del pirómano")</f>
        <v>Los guantes resistentes al calor del pirómano</v>
      </c>
      <c r="J29" s="164" t="str">
        <f>IFERROR(__xludf.DUMMYFUNCTION("GOOGLETRANSLATE(B29,""zh-tw"",""es-MX"")"),"Ataque físico: 4. Potencia el efecto de la bomba.")</f>
        <v>Ataque físico: 4. Potencia el efecto de la bomba.</v>
      </c>
      <c r="K29" s="335" t="s">
        <v>5078</v>
      </c>
      <c r="L29" s="163" t="s">
        <v>5079</v>
      </c>
      <c r="M29" s="338" t="str">
        <f>IFERROR(__xludf.DUMMYFUNCTION("GOOGLETRANSLATE(A29,""zh-tw"",""ru"")"),"Термостойкие перчатки поджигателя")</f>
        <v>Термостойкие перчатки поджигателя</v>
      </c>
      <c r="N29" s="317" t="str">
        <f>IFERROR(__xludf.DUMMYFUNCTION("GOOGLETRANSLATE(B29,""zh-tw"",""ru"")"),"Физическая атака: 4 Увеличивает эффект бомбы")</f>
        <v>Физическая атака: 4 Увеличивает эффект бомбы</v>
      </c>
      <c r="O29" s="336" t="s">
        <v>5080</v>
      </c>
      <c r="P29" s="319" t="s">
        <v>5081</v>
      </c>
      <c r="Q29" s="339" t="s">
        <v>5082</v>
      </c>
      <c r="R29" s="340" t="s">
        <v>5083</v>
      </c>
      <c r="S29" s="17"/>
      <c r="T29" s="17"/>
      <c r="U29" s="17"/>
      <c r="V29" s="17"/>
      <c r="W29" s="17"/>
      <c r="X29" s="17"/>
      <c r="Y29" s="17"/>
      <c r="Z29" s="17"/>
    </row>
    <row r="30">
      <c r="A30" s="336" t="s">
        <v>5084</v>
      </c>
      <c r="B30" s="319" t="s">
        <v>5085</v>
      </c>
      <c r="C30" s="348" t="s">
        <v>5086</v>
      </c>
      <c r="D30" s="349" t="str">
        <f>IFERROR(__xludf.DUMMYFUNCTION("GOOGLETRANSLATE(B30,""zh-tw"",""ja"")"),"魔法攻撃: 10 物理防御: 1 魔法抵抗: 20 武器は追加の魔法ダメージを与えます。")</f>
        <v>魔法攻撃: 10 物理防御: 1 魔法抵抗: 20 武器は追加の魔法ダメージを与えます。</v>
      </c>
      <c r="E30" s="335" t="s">
        <v>5087</v>
      </c>
      <c r="F30" s="163" t="s">
        <v>5088</v>
      </c>
      <c r="G30" s="337" t="str">
        <f>IFERROR(__xludf.DUMMYFUNCTION("GOOGLETRANSLATE(A30,""zh-tw"",""zh"")"),"魔力汲取手套")</f>
        <v>魔力汲取手套</v>
      </c>
      <c r="H30" s="164" t="str">
        <f>IFERROR(__xludf.DUMMYFUNCTION("GOOGLETRANSLATE(B30,""zh-tw"",""zh"")"),"魔攻：10
物防：1
魔抗：20
武器附带魔法伤害")</f>
        <v>魔攻：10
物防：1
魔抗：20
武器附带魔法伤害</v>
      </c>
      <c r="I30" s="337" t="str">
        <f>IFERROR(__xludf.DUMMYFUNCTION("GOOGLETRANSLATE(A30,""zh-tw"",""es-MX"")"),"Guantes de absorción mágica")</f>
        <v>Guantes de absorción mágica</v>
      </c>
      <c r="J30" s="164" t="str">
        <f>IFERROR(__xludf.DUMMYFUNCTION("GOOGLETRANSLATE(B30,""zh-tw"",""es-MX"")"),"Ataque mágico: 10 Defensa física: 1 Resistencia mágica: 20 El arma inflige daño mágico adicional.")</f>
        <v>Ataque mágico: 10 Defensa física: 1 Resistencia mágica: 20 El arma inflige daño mágico adicional.</v>
      </c>
      <c r="K30" s="336" t="s">
        <v>5089</v>
      </c>
      <c r="L30" s="163" t="s">
        <v>5090</v>
      </c>
      <c r="M30" s="338" t="str">
        <f>IFERROR(__xludf.DUMMYFUNCTION("GOOGLETRANSLATE(A30,""zh-tw"",""ru"")"),"Перчатки магического поглощения")</f>
        <v>Перчатки магического поглощения</v>
      </c>
      <c r="N30" s="317" t="str">
        <f>IFERROR(__xludf.DUMMYFUNCTION("GOOGLETRANSLATE(B30,""zh-tw"",""ru"")"),"Магическая атака: 10 Физическая защита: 1 Сопротивление магии: 20 Оружие наносит дополнительный магический урон.")</f>
        <v>Магическая атака: 10 Физическая защита: 1 Сопротивление магии: 20 Оружие наносит дополнительный магический урон.</v>
      </c>
      <c r="O30" s="336" t="s">
        <v>5091</v>
      </c>
      <c r="P30" s="319" t="s">
        <v>5092</v>
      </c>
      <c r="Q30" s="339" t="s">
        <v>5093</v>
      </c>
      <c r="R30" s="340" t="s">
        <v>5094</v>
      </c>
      <c r="S30" s="17"/>
      <c r="T30" s="17"/>
      <c r="U30" s="17"/>
      <c r="V30" s="17"/>
      <c r="W30" s="17"/>
      <c r="X30" s="17"/>
      <c r="Y30" s="17"/>
      <c r="Z30" s="17"/>
    </row>
    <row r="31">
      <c r="A31" s="336" t="s">
        <v>5095</v>
      </c>
      <c r="B31" s="319" t="s">
        <v>5096</v>
      </c>
      <c r="C31" s="348" t="s">
        <v>5097</v>
      </c>
      <c r="D31" s="349" t="str">
        <f>IFERROR(__xludf.DUMMYFUNCTION("GOOGLETRANSLATE(B31,""zh-tw"",""ja"")"),"物理攻撃: 2 物理防御: 6 ダメージを与えるアーマー")</f>
        <v>物理攻撃: 2 物理防御: 6 ダメージを与えるアーマー</v>
      </c>
      <c r="E31" s="335" t="s">
        <v>5098</v>
      </c>
      <c r="F31" s="163" t="s">
        <v>5099</v>
      </c>
      <c r="G31" s="337" t="str">
        <f>IFERROR(__xludf.DUMMYFUNCTION("GOOGLETRANSLATE(A31,""zh-tw"",""zh"")"),"穿刺钉甲")</f>
        <v>穿刺钉甲</v>
      </c>
      <c r="H31" s="164" t="str">
        <f>IFERROR(__xludf.DUMMYFUNCTION("GOOGLETRANSLATE(B31,""zh-tw"",""zh"")"),"物攻：2
物防：6
伤害型防具")</f>
        <v>物攻：2
物防：6
伤害型防具</v>
      </c>
      <c r="I31" s="337" t="str">
        <f>IFERROR(__xludf.DUMMYFUNCTION("GOOGLETRANSLATE(A31,""zh-tw"",""es-MX"")"),"armadura de clavo perforante")</f>
        <v>armadura de clavo perforante</v>
      </c>
      <c r="J31" s="164" t="str">
        <f>IFERROR(__xludf.DUMMYFUNCTION("GOOGLETRANSLATE(B31,""zh-tw"",""es-MX"")"),"Ataque físico: 2 Defensa física: 6 Armadura que inflige daño")</f>
        <v>Ataque físico: 2 Defensa física: 6 Armadura que inflige daño</v>
      </c>
      <c r="K31" s="335" t="s">
        <v>5100</v>
      </c>
      <c r="L31" s="163" t="s">
        <v>5101</v>
      </c>
      <c r="M31" s="338" t="str">
        <f>IFERROR(__xludf.DUMMYFUNCTION("GOOGLETRANSLATE(A31,""zh-tw"",""ru"")"),"Пронзающие гвозди доспехи")</f>
        <v>Пронзающие гвозди доспехи</v>
      </c>
      <c r="N31" s="317" t="str">
        <f>IFERROR(__xludf.DUMMYFUNCTION("GOOGLETRANSLATE(B31,""zh-tw"",""ru"")"),"Физическая атака: 2 Физическая защита: 6 Броня, наносящая урон")</f>
        <v>Физическая атака: 2 Физическая защита: 6 Броня, наносящая урон</v>
      </c>
      <c r="O31" s="336" t="s">
        <v>5102</v>
      </c>
      <c r="P31" s="319" t="s">
        <v>5103</v>
      </c>
      <c r="Q31" s="339" t="s">
        <v>5104</v>
      </c>
      <c r="R31" s="340" t="s">
        <v>5105</v>
      </c>
      <c r="S31" s="17"/>
      <c r="T31" s="17"/>
      <c r="U31" s="17"/>
      <c r="V31" s="17"/>
      <c r="W31" s="17"/>
      <c r="X31" s="17"/>
      <c r="Y31" s="17"/>
      <c r="Z31" s="17"/>
    </row>
    <row r="32">
      <c r="A32" s="336" t="s">
        <v>5106</v>
      </c>
      <c r="B32" s="319" t="s">
        <v>5107</v>
      </c>
      <c r="C32" s="348" t="s">
        <v>5108</v>
      </c>
      <c r="D32" s="349" t="str">
        <f>IFERROR(__xludf.DUMMYFUNCTION("GOOGLETRANSLATE(B32,""zh-tw"",""ja"")"),"物理攻撃力：4
物理防御力：2
ダメージを与えるアーマー")</f>
        <v>物理攻撃力：4
物理防御力：2
ダメージを与えるアーマー</v>
      </c>
      <c r="E32" s="335" t="s">
        <v>5109</v>
      </c>
      <c r="F32" s="163" t="s">
        <v>5110</v>
      </c>
      <c r="G32" s="337" t="str">
        <f>IFERROR(__xludf.DUMMYFUNCTION("GOOGLETRANSLATE(A32,""zh-tw"",""zh"")"),"穿刺钉盔")</f>
        <v>穿刺钉盔</v>
      </c>
      <c r="H32" s="164" t="str">
        <f>IFERROR(__xludf.DUMMYFUNCTION("GOOGLETRANSLATE(B32,""zh-tw"",""zh"")"),"物攻：4
物防：2
伤害型防具")</f>
        <v>物攻：4
物防：2
伤害型防具</v>
      </c>
      <c r="I32" s="337" t="str">
        <f>IFERROR(__xludf.DUMMYFUNCTION("GOOGLETRANSLATE(A32,""zh-tw"",""es-MX"")"),"Casco perforador")</f>
        <v>Casco perforador</v>
      </c>
      <c r="J32" s="164" t="str">
        <f>IFERROR(__xludf.DUMMYFUNCTION("GOOGLETRANSLATE(B32,""zh-tw"",""es-MX"")"),"Ataque físico: 4
Defensa física: 2
Armadura que inflige daño")</f>
        <v>Ataque físico: 4
Defensa física: 2
Armadura que inflige daño</v>
      </c>
      <c r="K32" s="335" t="s">
        <v>5111</v>
      </c>
      <c r="L32" s="163" t="s">
        <v>5112</v>
      </c>
      <c r="M32" s="338" t="str">
        <f>IFERROR(__xludf.DUMMYFUNCTION("GOOGLETRANSLATE(A32,""zh-tw"",""ru"")"),"Пирсинг шлема")</f>
        <v>Пирсинг шлема</v>
      </c>
      <c r="N32" s="317" t="str">
        <f>IFERROR(__xludf.DUMMYFUNCTION("GOOGLETRANSLATE(B32,""zh-tw"",""ru"")"),"Физическая атака: 4
Физическая защита: 2
Броня, наносящая урон")</f>
        <v>Физическая атака: 4
Физическая защита: 2
Броня, наносящая урон</v>
      </c>
      <c r="O32" s="336" t="s">
        <v>5113</v>
      </c>
      <c r="P32" s="319" t="s">
        <v>5114</v>
      </c>
      <c r="Q32" s="339" t="s">
        <v>5115</v>
      </c>
      <c r="R32" s="340" t="s">
        <v>5116</v>
      </c>
      <c r="S32" s="17"/>
      <c r="T32" s="17"/>
      <c r="U32" s="17"/>
      <c r="V32" s="17"/>
      <c r="W32" s="17"/>
      <c r="X32" s="17"/>
      <c r="Y32" s="17"/>
      <c r="Z32" s="17"/>
    </row>
    <row r="33">
      <c r="A33" s="336" t="s">
        <v>5117</v>
      </c>
      <c r="B33" s="319" t="s">
        <v>5118</v>
      </c>
      <c r="C33" s="348" t="s">
        <v>5119</v>
      </c>
      <c r="D33" s="349" t="str">
        <f>IFERROR(__xludf.DUMMYFUNCTION("GOOGLETRANSLATE(B33,""zh-tw"",""ja"")"),"物理攻撃: 2 物理防御: 2 ダメージを与えるアーマー")</f>
        <v>物理攻撃: 2 物理防御: 2 ダメージを与えるアーマー</v>
      </c>
      <c r="E33" s="335" t="s">
        <v>5120</v>
      </c>
      <c r="F33" s="163" t="s">
        <v>5121</v>
      </c>
      <c r="G33" s="337" t="str">
        <f>IFERROR(__xludf.DUMMYFUNCTION("GOOGLETRANSLATE(A33,""zh-tw"",""zh"")"),"穿刺钉鞋")</f>
        <v>穿刺钉鞋</v>
      </c>
      <c r="H33" s="164" t="str">
        <f>IFERROR(__xludf.DUMMYFUNCTION("GOOGLETRANSLATE(B33,""zh-tw"",""zh"")"),"物攻：2
物防：2
伤害型防具")</f>
        <v>物攻：2
物防：2
伤害型防具</v>
      </c>
      <c r="I33" s="335" t="s">
        <v>5122</v>
      </c>
      <c r="J33" s="164" t="str">
        <f>IFERROR(__xludf.DUMMYFUNCTION("GOOGLETRANSLATE(B33,""zh-tw"",""es-MX"")"),"Ataque físico: 2 Defensa física: 2 Armadura que inflige daño")</f>
        <v>Ataque físico: 2 Defensa física: 2 Armadura que inflige daño</v>
      </c>
      <c r="K33" s="335" t="s">
        <v>5123</v>
      </c>
      <c r="L33" s="163" t="s">
        <v>5124</v>
      </c>
      <c r="M33" s="338" t="str">
        <f>IFERROR(__xludf.DUMMYFUNCTION("GOOGLETRANSLATE(A33,""zh-tw"",""ru"")"),"Обувь с шипами")</f>
        <v>Обувь с шипами</v>
      </c>
      <c r="N33" s="317" t="str">
        <f>IFERROR(__xludf.DUMMYFUNCTION("GOOGLETRANSLATE(B33,""zh-tw"",""ru"")"),"Физическая атака: 2 Физическая защита: 2 Броня, наносящая урон")</f>
        <v>Физическая атака: 2 Физическая защита: 2 Броня, наносящая урон</v>
      </c>
      <c r="O33" s="336" t="s">
        <v>5125</v>
      </c>
      <c r="P33" s="319" t="s">
        <v>5126</v>
      </c>
      <c r="Q33" s="339" t="s">
        <v>5127</v>
      </c>
      <c r="R33" s="340" t="s">
        <v>5128</v>
      </c>
      <c r="S33" s="17"/>
      <c r="T33" s="17"/>
      <c r="U33" s="17"/>
      <c r="V33" s="17"/>
      <c r="W33" s="17"/>
      <c r="X33" s="17"/>
      <c r="Y33" s="17"/>
      <c r="Z33" s="17"/>
    </row>
    <row r="34">
      <c r="A34" s="336" t="s">
        <v>5129</v>
      </c>
      <c r="B34" s="319" t="s">
        <v>5130</v>
      </c>
      <c r="C34" s="348" t="s">
        <v>5131</v>
      </c>
      <c r="D34" s="349" t="str">
        <f>IFERROR(__xludf.DUMMYFUNCTION("GOOGLETRANSLATE(B34,""zh-tw"",""ja"")"),"物理攻撃力：5
物理防御力：1
ダメージを与えるアーマー")</f>
        <v>物理攻撃力：5
物理防御力：1
ダメージを与えるアーマー</v>
      </c>
      <c r="E34" s="335" t="s">
        <v>5132</v>
      </c>
      <c r="F34" s="163" t="s">
        <v>5133</v>
      </c>
      <c r="G34" s="337" t="str">
        <f>IFERROR(__xludf.DUMMYFUNCTION("GOOGLETRANSLATE(A34,""zh-tw"",""zh"")"),"穿刺臂铠")</f>
        <v>穿刺臂铠</v>
      </c>
      <c r="H34" s="164" t="str">
        <f>IFERROR(__xludf.DUMMYFUNCTION("GOOGLETRANSLATE(B34,""zh-tw"",""zh"")"),"物攻：5
物防：1
伤害型防具")</f>
        <v>物攻：5
物防：1
伤害型防具</v>
      </c>
      <c r="I34" s="337" t="str">
        <f>IFERROR(__xludf.DUMMYFUNCTION("GOOGLETRANSLATE(A34,""zh-tw"",""es-MX"")"),"Armadura de brazo perforante")</f>
        <v>Armadura de brazo perforante</v>
      </c>
      <c r="J34" s="164" t="str">
        <f>IFERROR(__xludf.DUMMYFUNCTION("GOOGLETRANSLATE(B34,""zh-tw"",""es-MX"")"),"Ataque físico: 5
Defensa física: 1
Armadura que inflige daño")</f>
        <v>Ataque físico: 5
Defensa física: 1
Armadura que inflige daño</v>
      </c>
      <c r="K34" s="335" t="s">
        <v>5134</v>
      </c>
      <c r="L34" s="163" t="s">
        <v>5135</v>
      </c>
      <c r="M34" s="338" t="str">
        <f>IFERROR(__xludf.DUMMYFUNCTION("GOOGLETRANSLATE(A34,""zh-tw"",""ru"")"),"Броня для прокалывания рук")</f>
        <v>Броня для прокалывания рук</v>
      </c>
      <c r="N34" s="317" t="str">
        <f>IFERROR(__xludf.DUMMYFUNCTION("GOOGLETRANSLATE(B34,""zh-tw"",""ru"")"),"Физическая атака: 5
Физическая защита: 1
Броня, наносящая урон")</f>
        <v>Физическая атака: 5
Физическая защита: 1
Броня, наносящая урон</v>
      </c>
      <c r="O34" s="336" t="s">
        <v>5136</v>
      </c>
      <c r="P34" s="319" t="s">
        <v>5137</v>
      </c>
      <c r="Q34" s="339" t="s">
        <v>5138</v>
      </c>
      <c r="R34" s="340" t="s">
        <v>5139</v>
      </c>
      <c r="S34" s="17"/>
      <c r="T34" s="17"/>
      <c r="U34" s="17"/>
      <c r="V34" s="17"/>
      <c r="W34" s="17"/>
      <c r="X34" s="17"/>
      <c r="Y34" s="17"/>
      <c r="Z34" s="17"/>
    </row>
    <row r="35">
      <c r="A35" s="336" t="s">
        <v>5140</v>
      </c>
      <c r="B35" s="319" t="s">
        <v>5141</v>
      </c>
      <c r="C35" s="350" t="str">
        <f>IFERROR(__xludf.DUMMYFUNCTION("GOOGLETRANSLATE(A35,""zh-tw"",""ja"")"),"騎士のヘルメット")</f>
        <v>騎士のヘルメット</v>
      </c>
      <c r="D35" s="349" t="str">
        <f>IFERROR(__xludf.DUMMYFUNCTION("GOOGLETRANSLATE(B35,""zh-tw"",""ja"")"),"物理防御力: 5
魔法耐性: 2
スタミナが低いと能力が上昇する")</f>
        <v>物理防御力: 5
魔法耐性: 2
スタミナが低いと能力が上昇する</v>
      </c>
      <c r="E35" s="335" t="s">
        <v>5142</v>
      </c>
      <c r="F35" s="163" t="s">
        <v>5143</v>
      </c>
      <c r="G35" s="337" t="str">
        <f>IFERROR(__xludf.DUMMYFUNCTION("GOOGLETRANSLATE(A35,""zh-tw"",""zh"")"),"骑士头盔")</f>
        <v>骑士头盔</v>
      </c>
      <c r="H35" s="164" t="str">
        <f>IFERROR(__xludf.DUMMYFUNCTION("GOOGLETRANSLATE(B35,""zh-tw"",""zh"")"),"物防：5
魔抗：2
低体力增属性")</f>
        <v>物防：5
魔抗：2
低体力增属性</v>
      </c>
      <c r="I35" s="337" t="str">
        <f>IFERROR(__xludf.DUMMYFUNCTION("GOOGLETRANSLATE(A35,""zh-tw"",""es-MX"")"),"Casco de caballero")</f>
        <v>Casco de caballero</v>
      </c>
      <c r="J35" s="164" t="str">
        <f>IFERROR(__xludf.DUMMYFUNCTION("GOOGLETRANSLATE(B35,""zh-tw"",""es-MX"")"),"Defensa física: 5
Resistencia mágica: 2
Baja resistencia: aumenta los atributos")</f>
        <v>Defensa física: 5
Resistencia mágica: 2
Baja resistencia: aumenta los atributos</v>
      </c>
      <c r="K35" s="335" t="s">
        <v>5144</v>
      </c>
      <c r="L35" s="163" t="s">
        <v>5145</v>
      </c>
      <c r="M35" s="338" t="str">
        <f>IFERROR(__xludf.DUMMYFUNCTION("GOOGLETRANSLATE(A35,""zh-tw"",""ru"")"),"Рыцарский шлем")</f>
        <v>Рыцарский шлем</v>
      </c>
      <c r="N35" s="317" t="str">
        <f>IFERROR(__xludf.DUMMYFUNCTION("GOOGLETRANSLATE(B35,""zh-tw"",""ru"")"),"Физическая защита: 5
Сопротивление магии: 2
Низкая выносливость увеличивает характеристики")</f>
        <v>Физическая защита: 5
Сопротивление магии: 2
Низкая выносливость увеличивает характеристики</v>
      </c>
      <c r="O35" s="336" t="s">
        <v>5146</v>
      </c>
      <c r="P35" s="319" t="s">
        <v>5147</v>
      </c>
      <c r="Q35" s="339" t="s">
        <v>5148</v>
      </c>
      <c r="R35" s="340" t="s">
        <v>5149</v>
      </c>
      <c r="S35" s="17"/>
      <c r="T35" s="17"/>
      <c r="U35" s="17"/>
      <c r="V35" s="17"/>
      <c r="W35" s="17"/>
      <c r="X35" s="17"/>
      <c r="Y35" s="17"/>
      <c r="Z35" s="17"/>
    </row>
    <row r="36">
      <c r="A36" s="336" t="s">
        <v>5150</v>
      </c>
      <c r="B36" s="319" t="s">
        <v>5151</v>
      </c>
      <c r="C36" s="348" t="s">
        <v>5152</v>
      </c>
      <c r="D36" s="349" t="str">
        <f>IFERROR(__xludf.DUMMYFUNCTION("GOOGLETRANSLATE(B36,""zh-tw"",""ja"")"),"物理攻撃: 2 物理防御: 3 HPが低いときにステータスが上昇")</f>
        <v>物理攻撃: 2 物理防御: 3 HPが低いときにステータスが上昇</v>
      </c>
      <c r="E36" s="335" t="s">
        <v>5153</v>
      </c>
      <c r="F36" s="163" t="s">
        <v>5154</v>
      </c>
      <c r="G36" s="337" t="str">
        <f>IFERROR(__xludf.DUMMYFUNCTION("GOOGLETRANSLATE(A36,""zh-tw"",""zh"")"),"骑士护臂")</f>
        <v>骑士护臂</v>
      </c>
      <c r="H36" s="164" t="str">
        <f>IFERROR(__xludf.DUMMYFUNCTION("GOOGLETRANSLATE(B36,""zh-tw"",""zh"")"),"物攻：2
物防：3
低体力增属性")</f>
        <v>物攻：2
物防：3
低体力增属性</v>
      </c>
      <c r="I36" s="335" t="s">
        <v>5155</v>
      </c>
      <c r="J36" s="164" t="str">
        <f>IFERROR(__xludf.DUMMYFUNCTION("GOOGLETRANSLATE(B36,""zh-tw"",""es-MX"")"),"Ataque físico: 2 Defensa física: 3 Aumenta las estadísticas cuando la salud está baja")</f>
        <v>Ataque físico: 2 Defensa física: 3 Aumenta las estadísticas cuando la salud está baja</v>
      </c>
      <c r="K36" s="336" t="s">
        <v>5156</v>
      </c>
      <c r="L36" s="163" t="s">
        <v>5157</v>
      </c>
      <c r="M36" s="338" t="str">
        <f>IFERROR(__xludf.DUMMYFUNCTION("GOOGLETRANSLATE(A36,""zh-tw"",""ru"")"),"Наручи рыцаря")</f>
        <v>Наручи рыцаря</v>
      </c>
      <c r="N36" s="317" t="str">
        <f>IFERROR(__xludf.DUMMYFUNCTION("GOOGLETRANSLATE(B36,""zh-tw"",""ru"")"),"Физическая атака: 2 Физическая защита: 3 Увеличивает характеристики при низком уровне здоровья")</f>
        <v>Физическая атака: 2 Физическая защита: 3 Увеличивает характеристики при низком уровне здоровья</v>
      </c>
      <c r="O36" s="336" t="s">
        <v>5158</v>
      </c>
      <c r="P36" s="319" t="s">
        <v>5159</v>
      </c>
      <c r="Q36" s="339" t="s">
        <v>5160</v>
      </c>
      <c r="R36" s="340" t="s">
        <v>5161</v>
      </c>
      <c r="S36" s="17"/>
      <c r="T36" s="17"/>
      <c r="U36" s="17"/>
      <c r="V36" s="17"/>
      <c r="W36" s="17"/>
      <c r="X36" s="17"/>
      <c r="Y36" s="17"/>
      <c r="Z36" s="17"/>
    </row>
    <row r="37">
      <c r="A37" s="336" t="s">
        <v>5162</v>
      </c>
      <c r="B37" s="319" t="s">
        <v>5163</v>
      </c>
      <c r="C37" s="348" t="s">
        <v>5164</v>
      </c>
      <c r="D37" s="349" t="str">
        <f>IFERROR(__xludf.DUMMYFUNCTION("GOOGLETRANSLATE(B37,""zh-tw"",""ja"")"),"物理防御力: 2
魔法耐性: 2
HPが低いとステータスが上昇")</f>
        <v>物理防御力: 2
魔法耐性: 2
HPが低いとステータスが上昇</v>
      </c>
      <c r="E37" s="335" t="s">
        <v>5165</v>
      </c>
      <c r="F37" s="163" t="s">
        <v>5166</v>
      </c>
      <c r="G37" s="337" t="str">
        <f>IFERROR(__xludf.DUMMYFUNCTION("GOOGLETRANSLATE(A37,""zh-tw"",""zh"")"),"骑士胫甲")</f>
        <v>骑士胫甲</v>
      </c>
      <c r="H37" s="164" t="str">
        <f>IFERROR(__xludf.DUMMYFUNCTION("GOOGLETRANSLATE(B37,""zh-tw"",""zh"")"),"物防：2
魔抗：2
低体力增属性")</f>
        <v>物防：2
魔抗：2
低体力增属性</v>
      </c>
      <c r="I37" s="337" t="str">
        <f>IFERROR(__xludf.DUMMYFUNCTION("GOOGLETRANSLATE(A37,""zh-tw"",""es-MX"")"),"Grebas de caballero")</f>
        <v>Grebas de caballero</v>
      </c>
      <c r="J37" s="164" t="str">
        <f>IFERROR(__xludf.DUMMYFUNCTION("GOOGLETRANSLATE(B37,""zh-tw"",""es-MX"")"),"Defensa física: 2
Resistencia mágica: 2
Poca vida aumenta las estadísticas")</f>
        <v>Defensa física: 2
Resistencia mágica: 2
Poca vida aumenta las estadísticas</v>
      </c>
      <c r="K37" s="335" t="s">
        <v>5167</v>
      </c>
      <c r="L37" s="163" t="s">
        <v>5168</v>
      </c>
      <c r="M37" s="338" t="str">
        <f>IFERROR(__xludf.DUMMYFUNCTION("GOOGLETRANSLATE(A37,""zh-tw"",""ru"")"),"Рыцарские поножи")</f>
        <v>Рыцарские поножи</v>
      </c>
      <c r="N37" s="317" t="str">
        <f>IFERROR(__xludf.DUMMYFUNCTION("GOOGLETRANSLATE(B37,""zh-tw"",""ru"")"),"Физическая защита: 2
Сопротивление магии: 2
Низкий уровень здоровья увеличивает характеристики")</f>
        <v>Физическая защита: 2
Сопротивление магии: 2
Низкий уровень здоровья увеличивает характеристики</v>
      </c>
      <c r="O37" s="336" t="s">
        <v>5169</v>
      </c>
      <c r="P37" s="319" t="s">
        <v>5170</v>
      </c>
      <c r="Q37" s="339" t="s">
        <v>5171</v>
      </c>
      <c r="R37" s="340" t="s">
        <v>5172</v>
      </c>
      <c r="S37" s="17"/>
      <c r="T37" s="17"/>
      <c r="U37" s="17"/>
      <c r="V37" s="17"/>
      <c r="W37" s="17"/>
      <c r="X37" s="17"/>
      <c r="Y37" s="17"/>
      <c r="Z37" s="17"/>
    </row>
    <row r="38">
      <c r="A38" s="336" t="s">
        <v>5173</v>
      </c>
      <c r="B38" s="319" t="s">
        <v>5174</v>
      </c>
      <c r="C38" s="350" t="str">
        <f>IFERROR(__xludf.DUMMYFUNCTION("GOOGLETRANSLATE(A38,""zh-tw"",""ja"")"),"騎士の鎧")</f>
        <v>騎士の鎧</v>
      </c>
      <c r="D38" s="349" t="str">
        <f>IFERROR(__xludf.DUMMYFUNCTION("GOOGLETRANSLATE(B38,""zh-tw"",""ja"")"),"物理防御力: 10
魔法耐性: 4
スタミナ低下時に能力値が上昇")</f>
        <v>物理防御力: 10
魔法耐性: 4
スタミナ低下時に能力値が上昇</v>
      </c>
      <c r="E38" s="335" t="s">
        <v>5175</v>
      </c>
      <c r="F38" s="163" t="s">
        <v>5176</v>
      </c>
      <c r="G38" s="337" t="str">
        <f>IFERROR(__xludf.DUMMYFUNCTION("GOOGLETRANSLATE(A38,""zh-tw"",""zh"")"),"骑士铠甲")</f>
        <v>骑士铠甲</v>
      </c>
      <c r="H38" s="164" t="str">
        <f>IFERROR(__xludf.DUMMYFUNCTION("GOOGLETRANSLATE(B38,""zh-tw"",""zh"")"),"物防：10
魔抗：4
低体力增属性")</f>
        <v>物防：10
魔抗：4
低体力增属性</v>
      </c>
      <c r="I38" s="337" t="str">
        <f>IFERROR(__xludf.DUMMYFUNCTION("GOOGLETRANSLATE(A38,""zh-tw"",""es-MX"")"),"Armadura de caballero")</f>
        <v>Armadura de caballero</v>
      </c>
      <c r="J38" s="164" t="str">
        <f>IFERROR(__xludf.DUMMYFUNCTION("GOOGLETRANSLATE(B38,""zh-tw"",""es-MX"")"),"Defensa física: 10
Resistencia mágica: 4
Aumento de atributos cuando la resistencia es baja")</f>
        <v>Defensa física: 10
Resistencia mágica: 4
Aumento de atributos cuando la resistencia es baja</v>
      </c>
      <c r="K38" s="335" t="s">
        <v>5177</v>
      </c>
      <c r="L38" s="163" t="s">
        <v>5178</v>
      </c>
      <c r="M38" s="338" t="str">
        <f>IFERROR(__xludf.DUMMYFUNCTION("GOOGLETRANSLATE(A38,""zh-tw"",""ru"")"),"Рыцарские доспехи")</f>
        <v>Рыцарские доспехи</v>
      </c>
      <c r="N38" s="317" t="str">
        <f>IFERROR(__xludf.DUMMYFUNCTION("GOOGLETRANSLATE(B38,""zh-tw"",""ru"")"),"Физическая защита: 10
Сопротивление магии: 4
Увеличение характеристик при низком уровне выносливости")</f>
        <v>Физическая защита: 10
Сопротивление магии: 4
Увеличение характеристик при низком уровне выносливости</v>
      </c>
      <c r="O38" s="336" t="s">
        <v>5179</v>
      </c>
      <c r="P38" s="319" t="s">
        <v>5180</v>
      </c>
      <c r="Q38" s="339" t="s">
        <v>5181</v>
      </c>
      <c r="R38" s="340" t="s">
        <v>5182</v>
      </c>
      <c r="S38" s="17"/>
      <c r="T38" s="17"/>
      <c r="U38" s="17"/>
      <c r="V38" s="17"/>
      <c r="W38" s="17"/>
      <c r="X38" s="17"/>
      <c r="Y38" s="17"/>
      <c r="Z38" s="17"/>
    </row>
    <row r="39">
      <c r="A39" s="341" t="s">
        <v>5183</v>
      </c>
      <c r="B39" s="164" t="s">
        <v>5184</v>
      </c>
      <c r="C39" s="348" t="s">
        <v>5185</v>
      </c>
      <c r="D39" s="349" t="str">
        <f>IFERROR(__xludf.DUMMYFUNCTION("GOOGLETRANSLATE(B39,""zh-tw"",""ja"")"),"魔法攻撃: 10 自動照準")</f>
        <v>魔法攻撃: 10 自動照準</v>
      </c>
      <c r="E39" s="335" t="s">
        <v>5186</v>
      </c>
      <c r="F39" s="163" t="s">
        <v>5187</v>
      </c>
      <c r="G39" s="337" t="str">
        <f>IFERROR(__xludf.DUMMYFUNCTION("GOOGLETRANSLATE(A39,""zh-tw"",""zh"")"),"堕落法师的手套")</f>
        <v>堕落法师的手套</v>
      </c>
      <c r="H39" s="164" t="str">
        <f>IFERROR(__xludf.DUMMYFUNCTION("GOOGLETRANSLATE(B39,""zh-tw"",""zh"")"),"魔攻：10
自动瞄准")</f>
        <v>魔攻：10
自动瞄准</v>
      </c>
      <c r="I39" s="337" t="str">
        <f>IFERROR(__xludf.DUMMYFUNCTION("GOOGLETRANSLATE(A39,""zh-tw"",""es-MX"")"),"Los guantes del mago caído")</f>
        <v>Los guantes del mago caído</v>
      </c>
      <c r="J39" s="164" t="str">
        <f>IFERROR(__xludf.DUMMYFUNCTION("GOOGLETRANSLATE(B39,""zh-tw"",""es-MX"")"),"Ataque mágico: 10 Apuntado automático")</f>
        <v>Ataque mágico: 10 Apuntado automático</v>
      </c>
      <c r="K39" s="337" t="str">
        <f>IFERROR(__xludf.DUMMYFUNCTION("GOOGLETRANSLATE(A39,""zh-tw"",""KO"")"),"타락한 마법사의 장갑")</f>
        <v>타락한 마법사의 장갑</v>
      </c>
      <c r="L39" s="163" t="s">
        <v>5188</v>
      </c>
      <c r="M39" s="338" t="str">
        <f>IFERROR(__xludf.DUMMYFUNCTION("GOOGLETRANSLATE(A39,""zh-tw"",""ru"")"),"Перчатки падшего мага")</f>
        <v>Перчатки падшего мага</v>
      </c>
      <c r="N39" s="317" t="str">
        <f>IFERROR(__xludf.DUMMYFUNCTION("GOOGLETRANSLATE(B39,""zh-tw"",""ru"")"),"Магическая атака: 10 Автоприцеливание")</f>
        <v>Магическая атака: 10 Автоприцеливание</v>
      </c>
      <c r="O39" s="336" t="s">
        <v>5189</v>
      </c>
      <c r="P39" s="319" t="s">
        <v>5190</v>
      </c>
      <c r="Q39" s="339" t="s">
        <v>5191</v>
      </c>
      <c r="R39" s="327" t="s">
        <v>5192</v>
      </c>
      <c r="S39" s="17"/>
      <c r="T39" s="17"/>
      <c r="U39" s="17"/>
      <c r="V39" s="17"/>
      <c r="W39" s="17"/>
      <c r="X39" s="17"/>
      <c r="Y39" s="17"/>
      <c r="Z39" s="17"/>
    </row>
    <row r="40">
      <c r="A40" s="335" t="s">
        <v>5193</v>
      </c>
      <c r="B40" s="163" t="s">
        <v>5194</v>
      </c>
      <c r="C40" s="350" t="str">
        <f>IFERROR(__xludf.DUMMYFUNCTION("GOOGLETRANSLATE(A40,""zh-tw"",""ja"")"),"堕落した魔術師のヘッドバンド")</f>
        <v>堕落した魔術師のヘッドバンド</v>
      </c>
      <c r="D40" s="349" t="str">
        <f>IFERROR(__xludf.DUMMYFUNCTION("GOOGLETRANSLATE(B40,""zh-tw"",""ja"")"),"魔法攻撃力：10
魔法耐性：25
魔法攻撃力が上昇し、最大スタミナが減少します。")</f>
        <v>魔法攻撃力：10
魔法耐性：25
魔法攻撃力が上昇し、最大スタミナが減少します。</v>
      </c>
      <c r="E40" s="335" t="s">
        <v>5195</v>
      </c>
      <c r="F40" s="163" t="s">
        <v>5196</v>
      </c>
      <c r="G40" s="337" t="str">
        <f>IFERROR(__xludf.DUMMYFUNCTION("GOOGLETRANSLATE(A40,""zh-tw"",""zh"")"),"堕落法师的头环")</f>
        <v>堕落法师的头环</v>
      </c>
      <c r="H40" s="164" t="str">
        <f>IFERROR(__xludf.DUMMYFUNCTION("GOOGLETRANSLATE(B40,""zh-tw"",""zh"")"),"魔攻：10
魔抗：25
提升魔攻并降低自身体力上限")</f>
        <v>魔攻：10
魔抗：25
提升魔攻并降低自身体力上限</v>
      </c>
      <c r="I40" s="337" t="str">
        <f>IFERROR(__xludf.DUMMYFUNCTION("GOOGLETRANSLATE(A40,""zh-tw"",""es-MX"")"),"La diadema del mago caído")</f>
        <v>La diadema del mago caído</v>
      </c>
      <c r="J40" s="164" t="str">
        <f>IFERROR(__xludf.DUMMYFUNCTION("GOOGLETRANSLATE(B40,""zh-tw"",""es-MX"")"),"Ataque mágico: 10
Resistencia mágica: 25
Aumenta el ataque mágico y reduce la resistencia máxima.")</f>
        <v>Ataque mágico: 10
Resistencia mágica: 25
Aumenta el ataque mágico y reduce la resistencia máxima.</v>
      </c>
      <c r="K40" s="335" t="s">
        <v>5197</v>
      </c>
      <c r="L40" s="163" t="s">
        <v>5198</v>
      </c>
      <c r="M40" s="338" t="str">
        <f>IFERROR(__xludf.DUMMYFUNCTION("GOOGLETRANSLATE(A40,""zh-tw"",""ru"")"),"Повязка падшего мага")</f>
        <v>Повязка падшего мага</v>
      </c>
      <c r="N40" s="317" t="str">
        <f>IFERROR(__xludf.DUMMYFUNCTION("GOOGLETRANSLATE(B40,""zh-tw"",""ru"")"),"Магическая атака: 10
Сопротивление магии: 25
Увеличивает магическую атаку и снижает максимальную выносливость.")</f>
        <v>Магическая атака: 10
Сопротивление магии: 25
Увеличивает магическую атаку и снижает максимальную выносливость.</v>
      </c>
      <c r="O40" s="336" t="s">
        <v>5199</v>
      </c>
      <c r="P40" s="319" t="s">
        <v>5200</v>
      </c>
      <c r="Q40" s="339" t="s">
        <v>5201</v>
      </c>
      <c r="R40" s="340" t="s">
        <v>5202</v>
      </c>
      <c r="S40" s="17"/>
      <c r="T40" s="17"/>
      <c r="U40" s="17"/>
      <c r="V40" s="17"/>
      <c r="W40" s="17"/>
      <c r="X40" s="17"/>
      <c r="Y40" s="17"/>
      <c r="Z40" s="17"/>
    </row>
    <row r="41">
      <c r="A41" s="335" t="s">
        <v>5203</v>
      </c>
      <c r="B41" s="163" t="s">
        <v>5204</v>
      </c>
      <c r="C41" s="350" t="str">
        <f>IFERROR(__xludf.DUMMYFUNCTION("GOOGLETRANSLATE(A41,""zh-tw"",""ja"")"),"堕落した魔術師のマント")</f>
        <v>堕落した魔術師のマント</v>
      </c>
      <c r="D41" s="349" t="str">
        <f>IFERROR(__xludf.DUMMYFUNCTION("GOOGLETRANSLATE(B41,""zh-tw"",""ja"")"),"魔法攻撃: 10 物理防御: 1 魔法抵抗: 35 フラッシュステップは、停滞した状態のオブジェクトを凍結します。")</f>
        <v>魔法攻撃: 10 物理防御: 1 魔法抵抗: 35 フラッシュステップは、停滞した状態のオブジェクトを凍結します。</v>
      </c>
      <c r="E41" s="335" t="s">
        <v>5205</v>
      </c>
      <c r="F41" s="163" t="s">
        <v>5206</v>
      </c>
      <c r="G41" s="337" t="str">
        <f>IFERROR(__xludf.DUMMYFUNCTION("GOOGLETRANSLATE(A41,""zh-tw"",""zh"")"),"堕落法师的披风")</f>
        <v>堕落法师的披风</v>
      </c>
      <c r="H41" s="164" t="str">
        <f>IFERROR(__xludf.DUMMYFUNCTION("GOOGLETRANSLATE(B41,""zh-tw"",""zh"")"),"魔攻：10
物防:1
魔抗：35
闪步使物体陷入凝滞状态")</f>
        <v>魔攻：10
物防:1
魔抗：35
闪步使物体陷入凝滞状态</v>
      </c>
      <c r="I41" s="337" t="str">
        <f>IFERROR(__xludf.DUMMYFUNCTION("GOOGLETRANSLATE(A41,""zh-tw"",""es-MX"")"),"La capa del mago caído")</f>
        <v>La capa del mago caído</v>
      </c>
      <c r="J41" s="164" t="str">
        <f>IFERROR(__xludf.DUMMYFUNCTION("GOOGLETRANSLATE(B41,""zh-tw"",""es-MX"")"),"Ataque mágico: 10 Defensa física: 1 Resistencia mágica: 35 Paso relámpago congela los objetos en un estado de estancamiento.")</f>
        <v>Ataque mágico: 10 Defensa física: 1 Resistencia mágica: 35 Paso relámpago congela los objetos en un estado de estancamiento.</v>
      </c>
      <c r="K41" s="335" t="s">
        <v>5207</v>
      </c>
      <c r="L41" s="163" t="s">
        <v>5208</v>
      </c>
      <c r="M41" s="338" t="str">
        <f>IFERROR(__xludf.DUMMYFUNCTION("GOOGLETRANSLATE(A41,""zh-tw"",""ru"")"),"Плащ падшего мага")</f>
        <v>Плащ падшего мага</v>
      </c>
      <c r="N41" s="317" t="str">
        <f>IFERROR(__xludf.DUMMYFUNCTION("GOOGLETRANSLATE(B41,""zh-tw"",""ru"")"),"Магическая атака: 10 Физическая защита: 1 Сопротивление магии: 35 Шаг молнии замораживает объекты в состоянии стагнации.")</f>
        <v>Магическая атака: 10 Физическая защита: 1 Сопротивление магии: 35 Шаг молнии замораживает объекты в состоянии стагнации.</v>
      </c>
      <c r="O41" s="336" t="s">
        <v>5209</v>
      </c>
      <c r="P41" s="319" t="s">
        <v>5210</v>
      </c>
      <c r="Q41" s="339" t="s">
        <v>5211</v>
      </c>
      <c r="R41" s="340" t="s">
        <v>5212</v>
      </c>
      <c r="S41" s="17"/>
      <c r="T41" s="17"/>
      <c r="U41" s="17"/>
      <c r="V41" s="17"/>
      <c r="W41" s="17"/>
      <c r="X41" s="17"/>
      <c r="Y41" s="17"/>
      <c r="Z41" s="17"/>
    </row>
    <row r="42">
      <c r="A42" s="341" t="s">
        <v>5213</v>
      </c>
      <c r="B42" s="163" t="s">
        <v>5214</v>
      </c>
      <c r="C42" s="350" t="str">
        <f>IFERROR(__xludf.DUMMYFUNCTION("GOOGLETRANSLATE(A42,""zh-tw"",""ja"")"),"堕落した魔術師の軽い足音")</f>
        <v>堕落した魔術師の軽い足音</v>
      </c>
      <c r="D42" s="349" t="str">
        <f>IFERROR(__xludf.DUMMYFUNCTION("GOOGLETRANSLATE(B42,""zh-tw"",""ja"")"),"魔法攻撃力：10
魔法耐性：20
ボイド：敵弾を含むあらゆる障害物を無視")</f>
        <v>魔法攻撃力：10
魔法耐性：20
ボイド：敵弾を含むあらゆる障害物を無視</v>
      </c>
      <c r="E42" s="335" t="s">
        <v>5215</v>
      </c>
      <c r="F42" s="163" t="s">
        <v>5216</v>
      </c>
      <c r="G42" s="337" t="str">
        <f>IFERROR(__xludf.DUMMYFUNCTION("GOOGLETRANSLATE(A42,""zh-tw"",""zh"")"),"堕落法师的轻履")</f>
        <v>堕落法师的轻履</v>
      </c>
      <c r="H42" s="164" t="str">
        <f>IFERROR(__xludf.DUMMYFUNCTION("GOOGLETRANSLATE(B42,""zh-tw"",""zh"")"),"魔攻：10
魔抗：20
虚无：无视一切阻碍、包括敌人子弹")</f>
        <v>魔攻：10
魔抗：20
虚无：无视一切阻碍、包括敌人子弹</v>
      </c>
      <c r="I42" s="337" t="str">
        <f>IFERROR(__xludf.DUMMYFUNCTION("GOOGLETRANSLATE(A42,""zh-tw"",""es-MX"")"),"Los pasos ligeros del mago caído")</f>
        <v>Los pasos ligeros del mago caído</v>
      </c>
      <c r="J42" s="164" t="str">
        <f>IFERROR(__xludf.DUMMYFUNCTION("GOOGLETRANSLATE(B42,""zh-tw"",""es-MX"")"),"Ataque mágico: 10
Resistencia mágica: 20
Vacío: Ignora todos los obstáculos, incluidas las balas enemigas.")</f>
        <v>Ataque mágico: 10
Resistencia mágica: 20
Vacío: Ignora todos los obstáculos, incluidas las balas enemigas.</v>
      </c>
      <c r="K42" s="335" t="s">
        <v>5217</v>
      </c>
      <c r="L42" s="163" t="s">
        <v>5218</v>
      </c>
      <c r="M42" s="338" t="str">
        <f>IFERROR(__xludf.DUMMYFUNCTION("GOOGLETRANSLATE(A42,""zh-tw"",""ru"")"),"Легкие шаги падшего мага")</f>
        <v>Легкие шаги падшего мага</v>
      </c>
      <c r="N42" s="317" t="str">
        <f>IFERROR(__xludf.DUMMYFUNCTION("GOOGLETRANSLATE(B42,""zh-tw"",""ru"")"),"Магическая атака: 10
Сопротивление магии: 20
Пустота: игнорирует все препятствия, включая вражеские пули")</f>
        <v>Магическая атака: 10
Сопротивление магии: 20
Пустота: игнорирует все препятствия, включая вражеские пули</v>
      </c>
      <c r="O42" s="336" t="s">
        <v>5219</v>
      </c>
      <c r="P42" s="319" t="s">
        <v>5220</v>
      </c>
      <c r="Q42" s="339" t="s">
        <v>5221</v>
      </c>
      <c r="R42" s="340" t="s">
        <v>5222</v>
      </c>
      <c r="S42" s="17"/>
      <c r="T42" s="17"/>
      <c r="U42" s="17"/>
      <c r="V42" s="17"/>
      <c r="W42" s="17"/>
      <c r="X42" s="17"/>
      <c r="Y42" s="17"/>
      <c r="Z42" s="17"/>
    </row>
    <row r="43">
      <c r="A43" s="335" t="s">
        <v>5223</v>
      </c>
      <c r="B43" s="163" t="s">
        <v>5224</v>
      </c>
      <c r="C43" s="348" t="s">
        <v>5225</v>
      </c>
      <c r="D43" s="349" t="str">
        <f>IFERROR(__xludf.DUMMYFUNCTION("GOOGLETRANSLATE(B43,""zh-tw"",""ja"")"),"魔法攻撃: 1. スタン耐性、魔法貫通力および魔法範囲の拡大。")</f>
        <v>魔法攻撃: 1. スタン耐性、魔法貫通力および魔法範囲の拡大。</v>
      </c>
      <c r="E43" s="335" t="s">
        <v>5226</v>
      </c>
      <c r="F43" s="163" t="s">
        <v>5227</v>
      </c>
      <c r="G43" s="337" t="str">
        <f>IFERROR(__xludf.DUMMYFUNCTION("GOOGLETRANSLATE(A43,""zh-tw"",""zh"")"),"精神凝聚头环")</f>
        <v>精神凝聚头环</v>
      </c>
      <c r="H43" s="164" t="str">
        <f>IFERROR(__xludf.DUMMYFUNCTION("GOOGLETRANSLATE(B43,""zh-tw"",""zh"")"),"魔攻：1
免疫晕眩、增强魔法穿透和魔法范围")</f>
        <v>魔攻：1
免疫晕眩、增强魔法穿透和魔法范围</v>
      </c>
      <c r="I43" s="337" t="str">
        <f>IFERROR(__xludf.DUMMYFUNCTION("GOOGLETRANSLATE(A43,""zh-tw"",""es-MX"")"),"Diadema de cohesión espiritual")</f>
        <v>Diadema de cohesión espiritual</v>
      </c>
      <c r="J43" s="164" t="str">
        <f>IFERROR(__xludf.DUMMYFUNCTION("GOOGLETRANSLATE(B43,""zh-tw"",""es-MX"")"),"Ataque mágico: 1. Inmune al aturdimiento, mayor penetración mágica y mayor alcance mágico.")</f>
        <v>Ataque mágico: 1. Inmune al aturdimiento, mayor penetración mágica y mayor alcance mágico.</v>
      </c>
      <c r="K43" s="335" t="s">
        <v>5228</v>
      </c>
      <c r="L43" s="163" t="s">
        <v>5229</v>
      </c>
      <c r="M43" s="338" t="str">
        <f>IFERROR(__xludf.DUMMYFUNCTION("GOOGLETRANSLATE(A43,""zh-tw"",""ru"")"),"Повязка на голову «Духовное единство»")</f>
        <v>Повязка на голову «Духовное единство»</v>
      </c>
      <c r="N43" s="317" t="str">
        <f>IFERROR(__xludf.DUMMYFUNCTION("GOOGLETRANSLATE(B43,""zh-tw"",""ru"")"),"Магическая атака: 1. Иммунитет к оглушению, увеличенное проникновение магии и дальность магии.")</f>
        <v>Магическая атака: 1. Иммунитет к оглушению, увеличенное проникновение магии и дальность магии.</v>
      </c>
      <c r="O43" s="336" t="s">
        <v>5230</v>
      </c>
      <c r="P43" s="319" t="s">
        <v>5231</v>
      </c>
      <c r="Q43" s="339" t="s">
        <v>5232</v>
      </c>
      <c r="R43" s="340" t="s">
        <v>5233</v>
      </c>
      <c r="S43" s="17"/>
      <c r="T43" s="17"/>
      <c r="U43" s="17"/>
      <c r="V43" s="17"/>
      <c r="W43" s="17"/>
      <c r="X43" s="17"/>
      <c r="Y43" s="17"/>
      <c r="Z43" s="17"/>
    </row>
    <row r="44">
      <c r="A44" s="335" t="s">
        <v>5234</v>
      </c>
      <c r="B44" s="163" t="s">
        <v>5235</v>
      </c>
      <c r="C44" s="350" t="str">
        <f>IFERROR(__xludf.DUMMYFUNCTION("GOOGLETRANSLATE(A44,""zh-tw"",""ja"")"),"夜霧の幻影")</f>
        <v>夜霧の幻影</v>
      </c>
      <c r="D44" s="349" t="str">
        <f>IFERROR(__xludf.DUMMYFUNCTION("GOOGLETRANSLATE(B44,""zh-tw"",""ja"")"),"物理防御力: 2
魔法防御力: 2
定期的に透明になり、透明状態の間は背後からの攻撃ダメージが2倍になる。")</f>
        <v>物理防御力: 2
魔法防御力: 2
定期的に透明になり、透明状態の間は背後からの攻撃ダメージが2倍になる。</v>
      </c>
      <c r="E44" s="335" t="s">
        <v>5236</v>
      </c>
      <c r="F44" s="163" t="s">
        <v>5237</v>
      </c>
      <c r="G44" s="337" t="str">
        <f>IFERROR(__xludf.DUMMYFUNCTION("GOOGLETRANSLATE(A44,""zh-tw"",""zh"")"),"夜雾幻影")</f>
        <v>夜雾幻影</v>
      </c>
      <c r="H44" s="164" t="str">
        <f>IFERROR(__xludf.DUMMYFUNCTION("GOOGLETRANSLATE(B44,""zh-tw"",""zh"")"),"物防:2
魔防:2
每隔一段时间会透明化、透明时进行背刺伤害加倍")</f>
        <v>物防:2
魔防:2
每隔一段时间会透明化、透明时进行背刺伤害加倍</v>
      </c>
      <c r="I44" s="337" t="str">
        <f>IFERROR(__xludf.DUMMYFUNCTION("GOOGLETRANSLATE(A44,""zh-tw"",""es-MX"")"),"Fantasma de la niebla nocturna")</f>
        <v>Fantasma de la niebla nocturna</v>
      </c>
      <c r="J44" s="164" t="str">
        <f>IFERROR(__xludf.DUMMYFUNCTION("GOOGLETRANSLATE(B44,""zh-tw"",""es-MX"")"),"Defensa física: 2
Defensa mágica: 2
Periódicamente se vuelve transparente; el daño por ataque por la espalda se duplica mientras está transparente.")</f>
        <v>Defensa física: 2
Defensa mágica: 2
Periódicamente se vuelve transparente; el daño por ataque por la espalda se duplica mientras está transparente.</v>
      </c>
      <c r="K44" s="335" t="s">
        <v>5238</v>
      </c>
      <c r="L44" s="163" t="s">
        <v>5239</v>
      </c>
      <c r="M44" s="338" t="str">
        <f>IFERROR(__xludf.DUMMYFUNCTION("GOOGLETRANSLATE(A44,""zh-tw"",""ru"")"),"Ночной туманный фантом")</f>
        <v>Ночной туманный фантом</v>
      </c>
      <c r="N44" s="317" t="str">
        <f>IFERROR(__xludf.DUMMYFUNCTION("GOOGLETRANSLATE(B44,""zh-tw"",""ru"")"),"Физическая защита: 2
Магическая защита: 2
Периодически становится прозрачным; урон от удара в спину удваивается, пока он прозрачен.")</f>
        <v>Физическая защита: 2
Магическая защита: 2
Периодически становится прозрачным; урон от удара в спину удваивается, пока он прозрачен.</v>
      </c>
      <c r="O44" s="336" t="s">
        <v>5240</v>
      </c>
      <c r="P44" s="319" t="s">
        <v>5241</v>
      </c>
      <c r="Q44" s="339" t="s">
        <v>5242</v>
      </c>
      <c r="R44" s="340" t="s">
        <v>5243</v>
      </c>
      <c r="S44" s="17"/>
      <c r="T44" s="17"/>
      <c r="U44" s="17"/>
      <c r="V44" s="17"/>
      <c r="W44" s="17"/>
      <c r="X44" s="17"/>
      <c r="Y44" s="17"/>
      <c r="Z44" s="17"/>
    </row>
    <row r="45">
      <c r="A45" s="335" t="s">
        <v>5244</v>
      </c>
      <c r="B45" s="163" t="s">
        <v>5245</v>
      </c>
      <c r="C45" s="348" t="s">
        <v>5246</v>
      </c>
      <c r="D45" s="186" t="s">
        <v>5247</v>
      </c>
      <c r="E45" s="335" t="s">
        <v>5248</v>
      </c>
      <c r="F45" s="163" t="s">
        <v>5249</v>
      </c>
      <c r="G45" s="337" t="str">
        <f>IFERROR(__xludf.DUMMYFUNCTION("GOOGLETRANSLATE(A45,""zh-tw"",""zh"")"),"圣少女的怜悯")</f>
        <v>圣少女的怜悯</v>
      </c>
      <c r="H45" s="164" t="str">
        <f>IFERROR(__xludf.DUMMYFUNCTION("GOOGLETRANSLATE(B45,""zh-tw"",""zh"")"),"魔攻：20
物防:2
魔抗：40
贤者、特殊好感")</f>
        <v>魔攻：20
物防:2
魔抗：40
贤者、特殊好感</v>
      </c>
      <c r="I45" s="337" t="str">
        <f>IFERROR(__xludf.DUMMYFUNCTION("GOOGLETRANSLATE(A45,""zh-tw"",""es-MX"")"),"La Misericordia de la Santa Doncella")</f>
        <v>La Misericordia de la Santa Doncella</v>
      </c>
      <c r="J45" s="164" t="str">
        <f>IFERROR(__xludf.DUMMYFUNCTION("GOOGLETRANSLATE(B45,""zh-tw"",""es-MX"")"),"Ataque mágico: 20 Defensa física: 2 Resistencia mágica: 40 Sabio, Afinidad especial")</f>
        <v>Ataque mágico: 20 Defensa física: 2 Resistencia mágica: 40 Sabio, Afinidad especial</v>
      </c>
      <c r="K45" s="335" t="s">
        <v>5250</v>
      </c>
      <c r="L45" s="163" t="s">
        <v>5251</v>
      </c>
      <c r="M45" s="338" t="str">
        <f>IFERROR(__xludf.DUMMYFUNCTION("GOOGLETRANSLATE(A45,""zh-tw"",""ru"")"),"Милосердие Святой Девы")</f>
        <v>Милосердие Святой Девы</v>
      </c>
      <c r="N45" s="317" t="str">
        <f>IFERROR(__xludf.DUMMYFUNCTION("GOOGLETRANSLATE(B45,""zh-tw"",""ru"")"),"Магическая атака: 20 Физическая защита: 2 Сопротивление магии: 40 Мудрец, Особое родство")</f>
        <v>Магическая атака: 20 Физическая защита: 2 Сопротивление магии: 40 Мудрец, Особое родство</v>
      </c>
      <c r="O45" s="336" t="s">
        <v>5252</v>
      </c>
      <c r="P45" s="319" t="s">
        <v>5253</v>
      </c>
      <c r="Q45" s="339" t="s">
        <v>5254</v>
      </c>
      <c r="R45" s="340" t="s">
        <v>5255</v>
      </c>
      <c r="S45" s="17"/>
      <c r="T45" s="17"/>
      <c r="U45" s="17"/>
      <c r="V45" s="17"/>
      <c r="W45" s="17"/>
      <c r="X45" s="17"/>
      <c r="Y45" s="17"/>
      <c r="Z45" s="17"/>
    </row>
    <row r="46">
      <c r="A46" s="336" t="s">
        <v>5256</v>
      </c>
      <c r="B46" s="319" t="s">
        <v>5257</v>
      </c>
      <c r="C46" s="348" t="s">
        <v>5258</v>
      </c>
      <c r="D46" s="349" t="str">
        <f>IFERROR(__xludf.DUMMYFUNCTION("GOOGLETRANSLATE(B46,""zh-tw"",""ja"")"),"魔法耐性: 10
幸運: 10
翌日は晴れ")</f>
        <v>魔法耐性: 10
幸運: 10
翌日は晴れ</v>
      </c>
      <c r="E46" s="335" t="s">
        <v>5259</v>
      </c>
      <c r="F46" s="163" t="s">
        <v>5260</v>
      </c>
      <c r="G46" s="337" t="str">
        <f>IFERROR(__xludf.DUMMYFUNCTION("GOOGLETRANSLATE(A46,""zh-tw"",""zh"")"),"晴天娃娃")</f>
        <v>晴天娃娃</v>
      </c>
      <c r="H46" s="164" t="str">
        <f>IFERROR(__xludf.DUMMYFUNCTION("GOOGLETRANSLATE(B46,""zh-tw"",""zh"")"),"魔抗：10
幸运：10
第二天晴天")</f>
        <v>魔抗：10
幸运：10
第二天晴天</v>
      </c>
      <c r="I46" s="335" t="s">
        <v>5259</v>
      </c>
      <c r="J46" s="164" t="str">
        <f>IFERROR(__xludf.DUMMYFUNCTION("GOOGLETRANSLATE(B46,""zh-tw"",""es-MX"")"),"Resistencia mágica: 10
Suerte: 10
Día soleado al día siguiente")</f>
        <v>Resistencia mágica: 10
Suerte: 10
Día soleado al día siguiente</v>
      </c>
      <c r="K46" s="335" t="s">
        <v>5261</v>
      </c>
      <c r="L46" s="163" t="s">
        <v>5262</v>
      </c>
      <c r="M46" s="338" t="str">
        <f>IFERROR(__xludf.DUMMYFUNCTION("GOOGLETRANSLATE(A46,""zh-tw"",""ru"")"),"Солнечная кукла")</f>
        <v>Солнечная кукла</v>
      </c>
      <c r="N46" s="317" t="str">
        <f>IFERROR(__xludf.DUMMYFUNCTION("GOOGLETRANSLATE(B46,""zh-tw"",""ru"")"),"Сопротивление магии: 10
Удача: 10
Следующий день: солнечно")</f>
        <v>Сопротивление магии: 10
Удача: 10
Следующий день: солнечно</v>
      </c>
      <c r="O46" s="336" t="s">
        <v>5263</v>
      </c>
      <c r="P46" s="319" t="s">
        <v>5264</v>
      </c>
      <c r="Q46" s="351" t="s">
        <v>5265</v>
      </c>
      <c r="R46" s="340" t="s">
        <v>5266</v>
      </c>
      <c r="S46" s="17"/>
      <c r="T46" s="17"/>
      <c r="U46" s="17"/>
      <c r="V46" s="17"/>
      <c r="W46" s="17"/>
      <c r="X46" s="17"/>
      <c r="Y46" s="17"/>
      <c r="Z46" s="17"/>
    </row>
    <row r="47">
      <c r="A47" s="336" t="s">
        <v>5267</v>
      </c>
      <c r="B47" s="319" t="s">
        <v>5268</v>
      </c>
      <c r="C47" s="348" t="s">
        <v>5269</v>
      </c>
      <c r="D47" s="349" t="str">
        <f>IFERROR(__xludf.DUMMYFUNCTION("GOOGLETRANSLATE(B47,""zh-tw"",""ja"")"),"魔法耐性：10
幸運：10
2日目は曇りでした。")</f>
        <v>魔法耐性：10
幸運：10
2日目は曇りでした。</v>
      </c>
      <c r="E47" s="335" t="s">
        <v>5270</v>
      </c>
      <c r="F47" s="163" t="s">
        <v>5271</v>
      </c>
      <c r="G47" s="337" t="str">
        <f>IFERROR(__xludf.DUMMYFUNCTION("GOOGLETRANSLATE(A47,""zh-tw"",""zh"")"),"阴天娃娃")</f>
        <v>阴天娃娃</v>
      </c>
      <c r="H47" s="164" t="str">
        <f>IFERROR(__xludf.DUMMYFUNCTION("GOOGLETRANSLATE(B47,""zh-tw"",""zh"")"),"魔抗：10
幸运：10
第二天阴天")</f>
        <v>魔抗：10
幸运：10
第二天阴天</v>
      </c>
      <c r="I47" s="335" t="s">
        <v>5270</v>
      </c>
      <c r="J47" s="164" t="str">
        <f>IFERROR(__xludf.DUMMYFUNCTION("GOOGLETRANSLATE(B47,""zh-tw"",""es-MX"")"),"Resistencia mágica: 10
Suerte: 10
El segundo día estuvo nublado.")</f>
        <v>Resistencia mágica: 10
Suerte: 10
El segundo día estuvo nublado.</v>
      </c>
      <c r="K47" s="336" t="s">
        <v>5272</v>
      </c>
      <c r="L47" s="163" t="s">
        <v>5273</v>
      </c>
      <c r="M47" s="338" t="str">
        <f>IFERROR(__xludf.DUMMYFUNCTION("GOOGLETRANSLATE(A47,""zh-tw"",""ru"")"),"Облачная кукла")</f>
        <v>Облачная кукла</v>
      </c>
      <c r="N47" s="317" t="str">
        <f>IFERROR(__xludf.DUMMYFUNCTION("GOOGLETRANSLATE(B47,""zh-tw"",""ru"")"),"Сопротивление магии: 10
Удача: 10
Второй день был облачным.")</f>
        <v>Сопротивление магии: 10
Удача: 10
Второй день был облачным.</v>
      </c>
      <c r="O47" s="336" t="s">
        <v>5274</v>
      </c>
      <c r="P47" s="319" t="s">
        <v>5275</v>
      </c>
      <c r="Q47" s="351" t="s">
        <v>5276</v>
      </c>
      <c r="R47" s="340" t="s">
        <v>5277</v>
      </c>
      <c r="S47" s="17"/>
      <c r="T47" s="17"/>
      <c r="U47" s="17"/>
      <c r="V47" s="17"/>
      <c r="W47" s="17"/>
      <c r="X47" s="17"/>
      <c r="Y47" s="17"/>
      <c r="Z47" s="17"/>
    </row>
    <row r="48">
      <c r="A48" s="336" t="s">
        <v>5278</v>
      </c>
      <c r="B48" s="319" t="s">
        <v>5279</v>
      </c>
      <c r="C48" s="348" t="s">
        <v>5280</v>
      </c>
      <c r="D48" s="349" t="str">
        <f>IFERROR(__xludf.DUMMYFUNCTION("GOOGLETRANSLATE(B48,""zh-tw"",""ja"")"),"魔法耐性：10
幸運：10
翌日は雨だった。")</f>
        <v>魔法耐性：10
幸運：10
翌日は雨だった。</v>
      </c>
      <c r="E48" s="335" t="s">
        <v>5281</v>
      </c>
      <c r="F48" s="163" t="s">
        <v>5282</v>
      </c>
      <c r="G48" s="337" t="str">
        <f>IFERROR(__xludf.DUMMYFUNCTION("GOOGLETRANSLATE(A48,""zh-tw"",""zh"")"),"雨天娃娃")</f>
        <v>雨天娃娃</v>
      </c>
      <c r="H48" s="164" t="str">
        <f>IFERROR(__xludf.DUMMYFUNCTION("GOOGLETRANSLATE(B48,""zh-tw"",""zh"")"),"魔抗：10
幸运：10
第二天雨天")</f>
        <v>魔抗：10
幸运：10
第二天雨天</v>
      </c>
      <c r="I48" s="335" t="s">
        <v>5281</v>
      </c>
      <c r="J48" s="164" t="str">
        <f>IFERROR(__xludf.DUMMYFUNCTION("GOOGLETRANSLATE(B48,""zh-tw"",""es-MX"")"),"Resistencia mágica: 10
Suerte: 10
Al día siguiente llovió.")</f>
        <v>Resistencia mágica: 10
Suerte: 10
Al día siguiente llovió.</v>
      </c>
      <c r="K48" s="335" t="s">
        <v>5283</v>
      </c>
      <c r="L48" s="163" t="s">
        <v>5284</v>
      </c>
      <c r="M48" s="338" t="str">
        <f>IFERROR(__xludf.DUMMYFUNCTION("GOOGLETRANSLATE(A48,""zh-tw"",""ru"")"),"Кукла Дождливый День")</f>
        <v>Кукла Дождливый День</v>
      </c>
      <c r="N48" s="317" t="str">
        <f>IFERROR(__xludf.DUMMYFUNCTION("GOOGLETRANSLATE(B48,""zh-tw"",""ru"")"),"Сопротивление магии: 10
Удача: 10
Следующий день выдался дождливым.")</f>
        <v>Сопротивление магии: 10
Удача: 10
Следующий день выдался дождливым.</v>
      </c>
      <c r="O48" s="336" t="s">
        <v>5285</v>
      </c>
      <c r="P48" s="319" t="s">
        <v>5286</v>
      </c>
      <c r="Q48" s="351" t="s">
        <v>5287</v>
      </c>
      <c r="R48" s="340" t="s">
        <v>5288</v>
      </c>
      <c r="S48" s="17"/>
      <c r="T48" s="17"/>
      <c r="U48" s="17"/>
      <c r="V48" s="17"/>
      <c r="W48" s="17"/>
      <c r="X48" s="17"/>
      <c r="Y48" s="17"/>
      <c r="Z48" s="17"/>
    </row>
    <row r="49">
      <c r="A49" s="335" t="s">
        <v>5289</v>
      </c>
      <c r="B49" s="163" t="s">
        <v>5290</v>
      </c>
      <c r="C49" s="348" t="s">
        <v>5289</v>
      </c>
      <c r="D49" s="349" t="str">
        <f>IFERROR(__xludf.DUMMYFUNCTION("GOOGLETRANSLATE(B49,""zh-tw"",""ja"")"),"物理防御力：1
魔法耐性：10
幸運：5
最大HPを増加")</f>
        <v>物理防御力：1
魔法耐性：10
幸運：5
最大HPを増加</v>
      </c>
      <c r="E49" s="335" t="s">
        <v>5291</v>
      </c>
      <c r="F49" s="163" t="s">
        <v>5292</v>
      </c>
      <c r="G49" s="337" t="str">
        <f>IFERROR(__xludf.DUMMYFUNCTION("GOOGLETRANSLATE(A49,""zh-tw"",""zh"")"),"芳草心")</f>
        <v>芳草心</v>
      </c>
      <c r="H49" s="164" t="str">
        <f>IFERROR(__xludf.DUMMYFUNCTION("GOOGLETRANSLATE(B49,""zh-tw"",""zh"")"),"物防：1
魔抗：10
幸运：5
提升最大体力")</f>
        <v>物防：1
魔抗：10
幸运：5
提升最大体力</v>
      </c>
      <c r="I49" s="337" t="str">
        <f>IFERROR(__xludf.DUMMYFUNCTION("GOOGLETRANSLATE(A49,""zh-tw"",""es-MX"")"),"Corazón de hierba fragante")</f>
        <v>Corazón de hierba fragante</v>
      </c>
      <c r="J49" s="164" t="str">
        <f>IFERROR(__xludf.DUMMYFUNCTION("GOOGLETRANSLATE(B49,""zh-tw"",""es-MX"")"),"Defensa física: 1
Resistencia mágica: 10
Suerte: 5
Aumenta los PS máximos")</f>
        <v>Defensa física: 1
Resistencia mágica: 10
Suerte: 5
Aumenta los PS máximos</v>
      </c>
      <c r="K49" s="335" t="s">
        <v>5293</v>
      </c>
      <c r="L49" s="163" t="s">
        <v>5294</v>
      </c>
      <c r="M49" s="338" t="str">
        <f>IFERROR(__xludf.DUMMYFUNCTION("GOOGLETRANSLATE(A49,""zh-tw"",""ru"")"),"Сердце ароматной травы")</f>
        <v>Сердце ароматной травы</v>
      </c>
      <c r="N49" s="317" t="str">
        <f>IFERROR(__xludf.DUMMYFUNCTION("GOOGLETRANSLATE(B49,""zh-tw"",""ru"")"),"Физическая защита: 1
Сопротивление магии: 10
Удача: 5
Увеличивает максимальное здоровье")</f>
        <v>Физическая защита: 1
Сопротивление магии: 10
Удача: 5
Увеличивает максимальное здоровье</v>
      </c>
      <c r="O49" s="336" t="s">
        <v>5295</v>
      </c>
      <c r="P49" s="319" t="s">
        <v>5296</v>
      </c>
      <c r="Q49" s="339" t="s">
        <v>5297</v>
      </c>
      <c r="R49" s="340" t="s">
        <v>5298</v>
      </c>
      <c r="S49" s="17"/>
      <c r="T49" s="17"/>
      <c r="U49" s="17"/>
      <c r="V49" s="17"/>
      <c r="W49" s="17"/>
      <c r="X49" s="17"/>
      <c r="Y49" s="17"/>
      <c r="Z49" s="17"/>
    </row>
    <row r="50">
      <c r="A50" s="335" t="s">
        <v>4241</v>
      </c>
      <c r="B50" s="163" t="s">
        <v>5299</v>
      </c>
      <c r="C50" s="348" t="s">
        <v>4243</v>
      </c>
      <c r="D50" s="349" t="str">
        <f>IFERROR(__xludf.DUMMYFUNCTION("GOOGLETRANSLATE(B50,""zh-tw"",""ja"")"),"魔法耐性: 30 回復不能、7秒間無敵")</f>
        <v>魔法耐性: 30 回復不能、7秒間無敵</v>
      </c>
      <c r="E50" s="335" t="s">
        <v>4245</v>
      </c>
      <c r="F50" s="163" t="s">
        <v>5300</v>
      </c>
      <c r="G50" s="337" t="str">
        <f>IFERROR(__xludf.DUMMYFUNCTION("GOOGLETRANSLATE(A50,""zh-tw"",""zh"")"),"稻草人的心")</f>
        <v>稻草人的心</v>
      </c>
      <c r="H50" s="164" t="str">
        <f>IFERROR(__xludf.DUMMYFUNCTION("GOOGLETRANSLATE(B50,""zh-tw"",""zh"")"),"魔抗：30
无法回复、免死7秒")</f>
        <v>魔抗：30
无法回复、免死7秒</v>
      </c>
      <c r="I50" s="337" t="str">
        <f>IFERROR(__xludf.DUMMYFUNCTION("GOOGLETRANSLATE(A50,""zh-tw"",""es-MX"")"),"El corazón del espantapájaros")</f>
        <v>El corazón del espantapájaros</v>
      </c>
      <c r="J50" s="164" t="str">
        <f>IFERROR(__xludf.DUMMYFUNCTION("GOOGLETRANSLATE(B50,""zh-tw"",""es-MX"")"),"Resistencia mágica: 30. Incapaz de recuperarse, invulnerable durante 7 segundos.")</f>
        <v>Resistencia mágica: 30. Incapaz de recuperarse, invulnerable durante 7 segundos.</v>
      </c>
      <c r="K50" s="335" t="s">
        <v>4247</v>
      </c>
      <c r="L50" s="163" t="s">
        <v>5301</v>
      </c>
      <c r="M50" s="338" t="str">
        <f>IFERROR(__xludf.DUMMYFUNCTION("GOOGLETRANSLATE(A50,""zh-tw"",""ru"")"),"Сердце пугала")</f>
        <v>Сердце пугала</v>
      </c>
      <c r="N50" s="317" t="str">
        <f>IFERROR(__xludf.DUMMYFUNCTION("GOOGLETRANSLATE(B50,""zh-tw"",""ru"")"),"Сопротивление магии: 30 Невозможно восстановиться, неуязвим в течение 7 секунд.")</f>
        <v>Сопротивление магии: 30 Невозможно восстановиться, неуязвим в течение 7 секунд.</v>
      </c>
      <c r="O50" s="336" t="s">
        <v>4249</v>
      </c>
      <c r="P50" s="319" t="s">
        <v>5302</v>
      </c>
      <c r="Q50" s="339" t="s">
        <v>4251</v>
      </c>
      <c r="R50" s="340" t="s">
        <v>5303</v>
      </c>
      <c r="S50" s="17"/>
      <c r="T50" s="17"/>
      <c r="U50" s="17"/>
      <c r="V50" s="17"/>
      <c r="W50" s="17"/>
      <c r="X50" s="17"/>
      <c r="Y50" s="17"/>
      <c r="Z50" s="17"/>
    </row>
    <row r="51">
      <c r="A51" s="335" t="s">
        <v>5304</v>
      </c>
      <c r="B51" s="163" t="s">
        <v>5305</v>
      </c>
      <c r="C51" s="350" t="str">
        <f>IFERROR(__xludf.DUMMYFUNCTION("GOOGLETRANSLATE(A51,""zh-tw"",""ja"")"),"貯金箱")</f>
        <v>貯金箱</v>
      </c>
      <c r="D51" s="349" t="str">
        <f>IFERROR(__xludf.DUMMYFUNCTION("GOOGLETRANSLATE(B51,""zh-tw"",""ja"")"),"幸運: 40 お金を見つける (100万で進化)、壊れやすい")</f>
        <v>幸運: 40 お金を見つける (100万で進化)、壊れやすい</v>
      </c>
      <c r="E51" s="335" t="s">
        <v>5306</v>
      </c>
      <c r="F51" s="163" t="s">
        <v>5307</v>
      </c>
      <c r="G51" s="337" t="str">
        <f>IFERROR(__xludf.DUMMYFUNCTION("GOOGLETRANSLATE(A51,""zh-tw"",""zh"")"),"猪猪存钱罐")</f>
        <v>猪猪存钱罐</v>
      </c>
      <c r="H51" s="164" t="str">
        <f>IFERROR(__xludf.DUMMYFUNCTION("GOOGLETRANSLATE(B51,""zh-tw"",""zh"")"),"幸运：40
捡钱(100万进化)、易碎")</f>
        <v>幸运：40
捡钱(100万进化)、易碎</v>
      </c>
      <c r="I51" s="337" t="str">
        <f>IFERROR(__xludf.DUMMYFUNCTION("GOOGLETRANSLATE(A51,""zh-tw"",""es-MX"")"),"Hucha")</f>
        <v>Hucha</v>
      </c>
      <c r="J51" s="164" t="str">
        <f>IFERROR(__xludf.DUMMYFUNCTION("GOOGLETRANSLATE(B51,""zh-tw"",""es-MX"")"),"Suerte: 40 Encontrar dinero (Evoluciona con 1 millón), Frágil")</f>
        <v>Suerte: 40 Encontrar dinero (Evoluciona con 1 millón), Frágil</v>
      </c>
      <c r="K51" s="337" t="str">
        <f>IFERROR(__xludf.DUMMYFUNCTION("GOOGLETRANSLATE(A51,""zh-tw"",""KO"")"),"돼지 저금통")</f>
        <v>돼지 저금통</v>
      </c>
      <c r="L51" s="163" t="s">
        <v>5308</v>
      </c>
      <c r="M51" s="338" t="str">
        <f>IFERROR(__xludf.DUMMYFUNCTION("GOOGLETRANSLATE(A51,""zh-tw"",""ru"")"),"Копилка")</f>
        <v>Копилка</v>
      </c>
      <c r="N51" s="317" t="str">
        <f>IFERROR(__xludf.DUMMYFUNCTION("GOOGLETRANSLATE(B51,""zh-tw"",""ru"")"),"Удача: 40 Найти деньги (Эволюция с 1 миллионом), Хрупкий")</f>
        <v>Удача: 40 Найти деньги (Эволюция с 1 миллионом), Хрупкий</v>
      </c>
      <c r="O51" s="336" t="s">
        <v>5309</v>
      </c>
      <c r="P51" s="319" t="s">
        <v>5310</v>
      </c>
      <c r="Q51" s="339" t="s">
        <v>5311</v>
      </c>
      <c r="R51" s="340" t="s">
        <v>5312</v>
      </c>
      <c r="S51" s="17"/>
      <c r="T51" s="17"/>
      <c r="U51" s="17"/>
      <c r="V51" s="17"/>
      <c r="W51" s="17"/>
      <c r="X51" s="17"/>
      <c r="Y51" s="17"/>
      <c r="Z51" s="17"/>
    </row>
    <row r="52">
      <c r="A52" s="335" t="s">
        <v>5313</v>
      </c>
      <c r="B52" s="163" t="s">
        <v>5314</v>
      </c>
      <c r="C52" s="350" t="str">
        <f>IFERROR(__xludf.DUMMYFUNCTION("GOOGLETRANSLATE(A52,""zh-tw"",""ja"")"),"貪欲な貯金箱")</f>
        <v>貪欲な貯金箱</v>
      </c>
      <c r="D52" s="349" t="str">
        <f>IFERROR(__xludf.DUMMYFUNCTION("GOOGLETRANSLATE(B52,""zh-tw"",""ja"")"),"幸運：マネー100拾得、マモンオーラ、破壊不能、移動速度アップ
（聖杯と連携可能）")</f>
        <v>幸運：マネー100拾得、マモンオーラ、破壊不能、移動速度アップ
（聖杯と連携可能）</v>
      </c>
      <c r="E52" s="335" t="s">
        <v>5315</v>
      </c>
      <c r="F52" s="164" t="str">
        <f>IFERROR(__xludf.DUMMYFUNCTION("GOOGLETRANSLATE(B52,""zh-tw"",""en"")"),"Luck: 100 Money Pickup, Mammon Aura, Indestructible, Increased Movement Speed
(Can be linked with the Holy Grail)")</f>
        <v>Luck: 100 Money Pickup, Mammon Aura, Indestructible, Increased Movement Speed
(Can be linked with the Holy Grail)</v>
      </c>
      <c r="G52" s="337" t="str">
        <f>IFERROR(__xludf.DUMMYFUNCTION("GOOGLETRANSLATE(A52,""zh-tw"",""zh"")"),"贪欲存钱罐")</f>
        <v>贪欲存钱罐</v>
      </c>
      <c r="H52" s="164" t="str">
        <f>IFERROR(__xludf.DUMMYFUNCTION("GOOGLETRANSLATE(B52,""zh-tw"",""zh"")"),"幸运：100
捡钱、玛门光环、坚不可摧、移动加快
(可以与黄金圣杯连动)")</f>
        <v>幸运：100
捡钱、玛门光环、坚不可摧、移动加快
(可以与黄金圣杯连动)</v>
      </c>
      <c r="I52" s="337" t="str">
        <f>IFERROR(__xludf.DUMMYFUNCTION("GOOGLETRANSLATE(A52,""zh-tw"",""es-MX"")"),"alcancía codiciosa")</f>
        <v>alcancía codiciosa</v>
      </c>
      <c r="J52" s="164" t="str">
        <f>IFERROR(__xludf.DUMMYFUNCTION("GOOGLETRANSLATE(B52,""zh-tw"",""es-MX"")"),"Suerte: Recogida de dinero: 100, Aura de Mammon, Indestructible, Velocidad de movimiento aumentada
(Puede vincularse con el Santo Grial)")</f>
        <v>Suerte: Recogida de dinero: 100, Aura de Mammon, Indestructible, Velocidad de movimiento aumentada
(Puede vincularse con el Santo Grial)</v>
      </c>
      <c r="K52" s="337" t="str">
        <f>IFERROR(__xludf.DUMMYFUNCTION("GOOGLETRANSLATE(A52,""zh-tw"",""KO"")"),"탐욕스러운 돼지 저금통")</f>
        <v>탐욕스러운 돼지 저금통</v>
      </c>
      <c r="L52" s="163" t="s">
        <v>5316</v>
      </c>
      <c r="M52" s="338" t="str">
        <f>IFERROR(__xludf.DUMMYFUNCTION("GOOGLETRANSLATE(A52,""zh-tw"",""ru"")"),"Жадная копилка")</f>
        <v>Жадная копилка</v>
      </c>
      <c r="N52" s="317" t="str">
        <f>IFERROR(__xludf.DUMMYFUNCTION("GOOGLETRANSLATE(B52,""zh-tw"",""ru"")"),"Удача: 100 ед. сбора денег, Аура Маммона, Неуязвимость, Увеличение скорости передвижения
(Можно связать со Святым Граалем)")</f>
        <v>Удача: 100 ед. сбора денег, Аура Маммона, Неуязвимость, Увеличение скорости передвижения
(Можно связать со Святым Граалем)</v>
      </c>
      <c r="O52" s="336" t="s">
        <v>5317</v>
      </c>
      <c r="P52" s="319" t="s">
        <v>5318</v>
      </c>
      <c r="Q52" s="339" t="s">
        <v>5319</v>
      </c>
      <c r="R52" s="340" t="s">
        <v>5320</v>
      </c>
      <c r="S52" s="17"/>
      <c r="T52" s="17"/>
      <c r="U52" s="17"/>
      <c r="V52" s="17"/>
      <c r="W52" s="17"/>
      <c r="X52" s="17"/>
      <c r="Y52" s="17"/>
      <c r="Z52" s="17"/>
    </row>
    <row r="53">
      <c r="A53" s="335" t="s">
        <v>5321</v>
      </c>
      <c r="B53" s="163" t="s">
        <v>5322</v>
      </c>
      <c r="C53" s="348" t="s">
        <v>5323</v>
      </c>
      <c r="D53" s="349" t="str">
        <f>IFERROR(__xludf.DUMMYFUNCTION("GOOGLETRANSLATE(B53,""zh-tw"",""ja"")"),"サーヴァントのサイズと能力を増加し、全属性を強化します。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f>
        <v>サーヴァントのサイズと能力を増加し、全属性を強化します。
アングリーフィスト - ダメージとノックバック距離を増加します。
ポイズンナイフ - 毒発生率を増加します。
ブタの貯金箱 - 耐久性を向上します。
グリーディブタの貯金箱 - 検知範囲とオーラ範囲を増加します。
シェリスの呪われた手 - デバフ効果を向上し、指をピクセル化します（未実装）。
◉▽◉ - サイズとダメージを増加し、ノックバック効果を追加します（ノックバック効果は重複しません）。
（カモメは現在サポートされていません）</v>
      </c>
      <c r="E53" s="335" t="s">
        <v>5324</v>
      </c>
      <c r="F53" s="163" t="s">
        <v>5325</v>
      </c>
      <c r="G53" s="337" t="str">
        <f>IFERROR(__xludf.DUMMYFUNCTION("GOOGLETRANSLATE(A53,""zh-tw"",""zh"")"),"王权之令")</f>
        <v>王权之令</v>
      </c>
      <c r="H53" s="164" t="str">
        <f>IFERROR(__xludf.DUMMYFUNCTION("GOOGLETRANSLATE(B53,""zh-tw"",""zh"")"),"提升从者大小和能力、提升全属性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f>
        <v>提升从者大小和能力、提升全属性
愤怒的拳头-强化伤害和击退距离
毒刀-强化中毒概率
猪猪存钱罐-更不易碎
贪欲存钱罐-探测范围变大，光环范围变大
谢里斯的诅咒之手-强化Debuff效果，并让手指变为马赛克状态(未实装)
◉▽◉-提升体型与伤害、增加击退效果(击退效果不会叠加)
(海鸥目前未适配)</v>
      </c>
      <c r="I53" s="337" t="str">
        <f>IFERROR(__xludf.DUMMYFUNCTION("GOOGLETRANSLATE(A53,""zh-tw"",""es-MX"")"),"Real Decreto")</f>
        <v>Real Decreto</v>
      </c>
      <c r="J53" s="164" t="str">
        <f>IFERROR(__xludf.DUMMYFUNCTION("GOOGLETRANSLATE(B53,""zh-tw"",""es-MX"")"),"Aumenta el tamaño y las habilidades del Sirviente, y mejora todos sus atributos.
Puño Furioso: Aumenta el daño y la distancia de repulsión.
Cuchillo Envenenado: Aumenta la probabilidad de envenenar.
Hucha: Más resistente.
Hucha Codiciosa: Aumenta el a"&amp;"lcance de detección y el alcance del aura.
Mano Maldita de Sheris: Mejora los efectos negativos y pixela los dedos (aún no implementado).
◉▽◉: Aumenta el tamaño y el daño, y añade un efecto de repulsión (el efecto de repulsión no se acumula).
(Gaviota "&amp;"no compatible actualmente)")</f>
        <v>Aumenta el tamaño y las habilidades del Sirviente, y mejora todos sus atributos.
Puño Furioso: Aumenta el daño y la distancia de repulsión.
Cuchillo Envenenado: Aumenta la probabilidad de envenenar.
Hucha: Más resistente.
Hucha Codiciosa: Aumenta el alcance de detección y el alcance del aura.
Mano Maldita de Sheris: Mejora los efectos negativos y pixela los dedos (aún no implementado).
◉▽◉: Aumenta el tamaño y el daño, y añade un efecto de repulsión (el efecto de repulsión no se acumula).
(Gaviota no compatible actualmente)</v>
      </c>
      <c r="K53" s="337" t="str">
        <f>IFERROR(__xludf.DUMMYFUNCTION("GOOGLETRANSLATE(A53,""zh-tw"",""KO"")"),"왕령")</f>
        <v>왕령</v>
      </c>
      <c r="L53" s="163" t="s">
        <v>5326</v>
      </c>
      <c r="M53" s="338" t="str">
        <f>IFERROR(__xludf.DUMMYFUNCTION("GOOGLETRANSLATE(A53,""zh-tw"",""ru"")"),"Королевский указ")</f>
        <v>Королевский указ</v>
      </c>
      <c r="N53" s="317" t="str">
        <f>IFERROR(__xludf.DUMMYFUNCTION("GOOGLETRANSLATE(B53,""zh-tw"",""ru"")"),"Увеличивает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радиус "&amp;"действия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не"&amp;" поддерживается)")</f>
        <v>Увеличивает размер и способности Слуги, улучшает все характеристики.
Злой кулак — увеличивает урон и дальность отбрасывания.
Ядовитый нож — увеличивает шанс отравления.
Копилка — более прочная.
Жадная копилка — увеличивает дальность обнаружения и радиус действия ауры.
Проклятая рука Шерис — усиливает эффекты ослаблений и делает пальцы пикселизированными (пока не реализовано).
◉▽◉ — увеличивает размер и урон, добавляет эффект отбрасывания (эффект отбрасывания не суммируется).
(Чайка в настоящее время не поддерживается)</v>
      </c>
      <c r="O53" s="336" t="s">
        <v>5327</v>
      </c>
      <c r="P53" s="319" t="s">
        <v>5328</v>
      </c>
      <c r="Q53" s="339" t="s">
        <v>5329</v>
      </c>
      <c r="R53" s="166" t="s">
        <v>5330</v>
      </c>
      <c r="S53" s="17"/>
      <c r="T53" s="17"/>
      <c r="U53" s="17"/>
      <c r="V53" s="17"/>
      <c r="W53" s="17"/>
      <c r="X53" s="17"/>
      <c r="Y53" s="17"/>
      <c r="Z53" s="17"/>
    </row>
    <row r="54">
      <c r="A54" s="335" t="s">
        <v>5331</v>
      </c>
      <c r="B54" s="163" t="s">
        <v>5332</v>
      </c>
      <c r="C54" s="348" t="s">
        <v>5333</v>
      </c>
      <c r="D54" s="163" t="s">
        <v>5334</v>
      </c>
      <c r="E54" s="335" t="s">
        <v>5335</v>
      </c>
      <c r="F54" s="163" t="s">
        <v>5336</v>
      </c>
      <c r="G54" s="337" t="str">
        <f>IFERROR(__xludf.DUMMYFUNCTION("GOOGLETRANSLATE(A54,""zh-tw"",""zh"")"),"猫猫玩偶服")</f>
        <v>猫猫玩偶服</v>
      </c>
      <c r="H54" s="164" t="str">
        <f>IFERROR(__xludf.DUMMYFUNCTION("GOOGLETRANSLATE(B54,""zh-tw"",""zh"")"),"物防：3
魔抗：25
武器数量+10
装备数量+20")</f>
        <v>物防：3
魔抗：25
武器数量+10
装备数量+20</v>
      </c>
      <c r="I54" s="335" t="s">
        <v>5337</v>
      </c>
      <c r="J54" s="164" t="str">
        <f>IFERROR(__xludf.DUMMYFUNCTION("GOOGLETRANSLATE(B54,""zh-tw"",""es-MX"")"),"Defensa física: 3
Resistencia mágica: 25
Cantidad de armas: +10
Cantidad de equipo: +20")</f>
        <v>Defensa física: 3
Resistencia mágica: 25
Cantidad de armas: +10
Cantidad de equipo: +20</v>
      </c>
      <c r="K54" s="337" t="str">
        <f>IFERROR(__xludf.DUMMYFUNCTION("GOOGLETRANSLATE(A54,""zh-tw"",""KO"")"),"고양이 의상")</f>
        <v>고양이 의상</v>
      </c>
      <c r="L54" s="163" t="s">
        <v>5338</v>
      </c>
      <c r="M54" s="338" t="str">
        <f>IFERROR(__xludf.DUMMYFUNCTION("GOOGLETRANSLATE(A54,""zh-tw"",""ru"")"),"Костюм кошки")</f>
        <v>Костюм кошки</v>
      </c>
      <c r="N54" s="317" t="str">
        <f>IFERROR(__xludf.DUMMYFUNCTION("GOOGLETRANSLATE(B54,""zh-tw"",""ru"")"),"Физическая защита: 3
Сопротивление магии: 25
Количество оружия +10
Количество снаряжения +20")</f>
        <v>Физическая защита: 3
Сопротивление магии: 25
Количество оружия +10
Количество снаряжения +20</v>
      </c>
      <c r="O54" s="336" t="s">
        <v>5339</v>
      </c>
      <c r="P54" s="319" t="s">
        <v>5340</v>
      </c>
      <c r="Q54" s="339" t="s">
        <v>5341</v>
      </c>
      <c r="R54" s="340" t="s">
        <v>5342</v>
      </c>
      <c r="S54" s="17"/>
      <c r="T54" s="17"/>
      <c r="U54" s="17"/>
      <c r="V54" s="17"/>
      <c r="W54" s="17"/>
      <c r="X54" s="17"/>
      <c r="Y54" s="17"/>
      <c r="Z54" s="17"/>
    </row>
    <row r="55">
      <c r="A55" s="335" t="s">
        <v>4279</v>
      </c>
      <c r="B55" s="163" t="s">
        <v>5343</v>
      </c>
      <c r="C55" s="350" t="str">
        <f>IFERROR(__xludf.DUMMYFUNCTION("GOOGLETRANSLATE(A55,""zh-tw"",""ja"")"),"溶岩リング")</f>
        <v>溶岩リング</v>
      </c>
      <c r="D55" s="349" t="str">
        <f>IFERROR(__xludf.DUMMYFUNCTION("GOOGLETRANSLATE(B55,""zh-tw"",""ja"")"),"物理防御：2
魔法攻撃：15
魔法耐性：60
凍結と燃焼の可能性を軽減します。")</f>
        <v>物理防御：2
魔法攻撃：15
魔法耐性：60
凍結と燃焼の可能性を軽減します。</v>
      </c>
      <c r="E55" s="335" t="s">
        <v>4283</v>
      </c>
      <c r="F55" s="163" t="s">
        <v>5344</v>
      </c>
      <c r="G55" s="337" t="str">
        <f>IFERROR(__xludf.DUMMYFUNCTION("GOOGLETRANSLATE(A55,""zh-tw"",""zh"")"),"熔岩戒指")</f>
        <v>熔岩戒指</v>
      </c>
      <c r="H55" s="164" t="str">
        <f>IFERROR(__xludf.DUMMYFUNCTION("GOOGLETRANSLATE(B55,""zh-tw"",""zh"")"),"物防：2
魔功：15
魔抗：60
降低结冰、炎上的机率")</f>
        <v>物防：2
魔功：15
魔抗：60
降低结冰、炎上的机率</v>
      </c>
      <c r="I55" s="337" t="str">
        <f>IFERROR(__xludf.DUMMYFUNCTION("GOOGLETRANSLATE(A55,""zh-tw"",""es-MX"")"),"Anillo de lava")</f>
        <v>Anillo de lava</v>
      </c>
      <c r="J55" s="164" t="str">
        <f>IFERROR(__xludf.DUMMYFUNCTION("GOOGLETRANSLATE(B55,""zh-tw"",""es-MX"")"),"Defensa física: 2
Ataque mágico: 15
Resistencia mágica: 60
Reduce la probabilidad de congelación y quemaduras.")</f>
        <v>Defensa física: 2
Ataque mágico: 15
Resistencia mágica: 60
Reduce la probabilidad de congelación y quemaduras.</v>
      </c>
      <c r="K55" s="335" t="s">
        <v>4284</v>
      </c>
      <c r="L55" s="163" t="s">
        <v>5345</v>
      </c>
      <c r="M55" s="338" t="str">
        <f>IFERROR(__xludf.DUMMYFUNCTION("GOOGLETRANSLATE(A55,""zh-tw"",""ru"")"),"Кольцо лавы")</f>
        <v>Кольцо лавы</v>
      </c>
      <c r="N55" s="317" t="str">
        <f>IFERROR(__xludf.DUMMYFUNCTION("GOOGLETRANSLATE(B55,""zh-tw"",""ru"")"),"Физическая защита: 2
Магическая атака: 15
Сопротивление магии: 60
Снижает вероятность заморозки и ожога.")</f>
        <v>Физическая защита: 2
Магическая атака: 15
Сопротивление магии: 60
Снижает вероятность заморозки и ожога.</v>
      </c>
      <c r="O55" s="336" t="s">
        <v>4286</v>
      </c>
      <c r="P55" s="319" t="s">
        <v>5346</v>
      </c>
      <c r="Q55" s="339" t="s">
        <v>5347</v>
      </c>
      <c r="R55" s="340" t="s">
        <v>5348</v>
      </c>
      <c r="S55" s="17"/>
      <c r="T55" s="17"/>
      <c r="U55" s="17"/>
      <c r="V55" s="17"/>
      <c r="W55" s="17"/>
      <c r="X55" s="17"/>
      <c r="Y55" s="17"/>
      <c r="Z55" s="17"/>
    </row>
    <row r="56">
      <c r="A56" s="335" t="s">
        <v>5349</v>
      </c>
      <c r="B56" s="319" t="s">
        <v>5350</v>
      </c>
      <c r="C56" s="348" t="s">
        <v>5351</v>
      </c>
      <c r="D56" s="186" t="s">
        <v>5352</v>
      </c>
      <c r="E56" s="335" t="s">
        <v>5353</v>
      </c>
      <c r="F56" s="163" t="s">
        <v>5354</v>
      </c>
      <c r="G56" s="337" t="str">
        <f>IFERROR(__xludf.DUMMYFUNCTION("GOOGLETRANSLATE(A56,""zh-tw"",""zh"")"),"炎天娃娃")</f>
        <v>炎天娃娃</v>
      </c>
      <c r="H56" s="164" t="str">
        <f>IFERROR(__xludf.DUMMYFUNCTION("GOOGLETRANSLATE(B56,""zh-tw"",""zh"")"),"魔抗：10
幸运：10
第二天炎热")</f>
        <v>魔抗：10
幸运：10
第二天炎热</v>
      </c>
      <c r="I56" s="335" t="s">
        <v>5353</v>
      </c>
      <c r="J56" s="164" t="str">
        <f>IFERROR(__xludf.DUMMYFUNCTION("GOOGLETRANSLATE(B56,""zh-tw"",""es-MX"")"),"Resistencia mágica: 10
Suerte: 10
Al día siguiente hizo calor.")</f>
        <v>Resistencia mágica: 10
Suerte: 10
Al día siguiente hizo calor.</v>
      </c>
      <c r="K56" s="337" t="str">
        <f>IFERROR(__xludf.DUMMYFUNCTION("GOOGLETRANSLATE(A56,""zh-tw"",""KO"")"),"불꽃 인형")</f>
        <v>불꽃 인형</v>
      </c>
      <c r="L56" s="164" t="str">
        <f>IFERROR(__xludf.DUMMYFUNCTION("GOOGLETRANSLATE(B56,""zh-tw"",""KO"")"),"마법 저항력: 10
행운: 10
다음 날은 더웠다.")</f>
        <v>마법 저항력: 10
행운: 10
다음 날은 더웠다.</v>
      </c>
      <c r="M56" s="338" t="str">
        <f>IFERROR(__xludf.DUMMYFUNCTION("GOOGLETRANSLATE(A56,""zh-tw"",""ru"")"),"Кукла Пламени")</f>
        <v>Кукла Пламени</v>
      </c>
      <c r="N56" s="317" t="str">
        <f>IFERROR(__xludf.DUMMYFUNCTION("GOOGLETRANSLATE(B56,""zh-tw"",""ru"")"),"Сопротивление магии: 10
Удача: 10
Следующий день выдался жарким.")</f>
        <v>Сопротивление магии: 10
Удача: 10
Следующий день выдался жарким.</v>
      </c>
      <c r="O56" s="336" t="s">
        <v>5355</v>
      </c>
      <c r="P56" s="319" t="s">
        <v>5356</v>
      </c>
      <c r="Q56" s="351" t="s">
        <v>5357</v>
      </c>
      <c r="R56" s="340" t="s">
        <v>5358</v>
      </c>
      <c r="S56" s="17"/>
      <c r="T56" s="17"/>
      <c r="U56" s="17"/>
      <c r="V56" s="17"/>
      <c r="W56" s="17"/>
      <c r="X56" s="17"/>
      <c r="Y56" s="17"/>
      <c r="Z56" s="17"/>
    </row>
    <row r="57">
      <c r="A57" s="335" t="s">
        <v>5359</v>
      </c>
      <c r="B57" s="163" t="s">
        <v>5360</v>
      </c>
      <c r="C57" s="348" t="s">
        <v>5361</v>
      </c>
      <c r="D57" s="349" t="str">
        <f>IFERROR(__xludf.DUMMYFUNCTION("GOOGLETRANSLATE(B57,""zh-tw"",""ja"")"),"物理攻撃力：6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複数装備すると発動率が上昇します。")</f>
        <v>物理攻撃力：6
物理防御力：1
装備中は武器を装備できません。
敵の最大体力に応じて追加ダメージを与える可能性があります。
追加ダメージはクリティカルヒットダメージの3倍ですが、敵の体力がこの値の1%を超える場合、敵の体力の1%に減少します。
複数装備すると発動率が上昇します。</v>
      </c>
      <c r="E57" s="335" t="s">
        <v>5362</v>
      </c>
      <c r="F57" s="163" t="s">
        <v>5363</v>
      </c>
      <c r="G57" s="337" t="str">
        <f>IFERROR(__xludf.DUMMYFUNCTION("GOOGLETRANSLATE(A57,""zh-tw"",""zh"")"),"破颜拳套")</f>
        <v>破颜拳套</v>
      </c>
      <c r="H57" s="164" t="str">
        <f>IFERROR(__xludf.DUMMYFUNCTION("GOOGLETRANSLATE(B57,""zh-tw"",""zh"")"),"物攻：6
物防：1
装备时无法穿戴武器。
机率性根据对方最大生命值，造成额外伤害。
额外伤害的数值为3倍暴击伤害，但若敌人血量大于此数值的1%，则改为敌人血量的1%。
穿戴多个可以提升触发机率。")</f>
        <v>物攻：6
物防：1
装备时无法穿戴武器。
机率性根据对方最大生命值，造成额外伤害。
额外伤害的数值为3倍暴击伤害，但若敌人血量大于此数值的1%，则改为敌人血量的1%。
穿戴多个可以提升触发机率。</v>
      </c>
      <c r="I57" s="352" t="s">
        <v>5364</v>
      </c>
      <c r="J57" s="353" t="s">
        <v>5365</v>
      </c>
      <c r="K57" s="337" t="str">
        <f>IFERROR(__xludf.DUMMYFUNCTION("GOOGLETRANSLATE(A57,""zh-tw"",""KO"")"),"얼굴을 부수는 장갑")</f>
        <v>얼굴을 부수는 장갑</v>
      </c>
      <c r="L57" s="164" t="str">
        <f>IFERROR(__xludf.DUMMYFUNCTION("GOOGLETRANSLATE(B57,""zh-tw"",""KO"")"),"물리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f>
        <v>물리 공격력: 6
물리 방어력: 1
장착 중에는 무기를 착용할 수 없습니다.
상대 최대 체력에 따라 추가 피해를 입힐 확률이 있습니다.
추가 피해는 치명타 피해의 3배이지만, 적의 체력이 이 값의 1%를 초과할 경우 적 체력의 1%로 감소합니다.
여러 개를 착용하면 발동 확률이 증가합니다.</v>
      </c>
      <c r="M57" s="338" t="str">
        <f>IFERROR(__xludf.DUMMYFUNCTION("GOOGLETRANSLATE(A57,""zh-tw"",""ru"")"),"Перчатки, ломающие лицо")</f>
        <v>Перчатки, ломающие лицо</v>
      </c>
      <c r="N57" s="317" t="str">
        <f>IFERROR(__xludf.DUMMYFUNCTION("GOOGLETRANSLATE(B57,""zh-tw"",""ru"")"),"Физическая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"&amp;"противника превышает 1% от этого значения, он уменьшится до 1% от здоровья противника.
Ношение нескольких копий увеличивает вероятность срабатывания.")</f>
        <v>Физическая атака: 6
Физическая защита: 1
Оружие нельзя носить, пока оно экипировано.
Есть вероятность нанести дополнительный урон, зависящий от максимального здоровья противника.
Дополнительный урон в 3 раза превышает критический урон, но если здоровье противника превышает 1% от этого значения, он уменьшится до 1% от здоровья противника.
Ношение нескольких копий увеличивает вероятность срабатывания.</v>
      </c>
      <c r="O57" s="336" t="s">
        <v>5366</v>
      </c>
      <c r="P57" s="319" t="s">
        <v>5367</v>
      </c>
      <c r="Q57" s="339" t="s">
        <v>5368</v>
      </c>
      <c r="R57" s="340" t="s">
        <v>5369</v>
      </c>
      <c r="S57" s="17"/>
      <c r="T57" s="17"/>
      <c r="U57" s="17"/>
      <c r="V57" s="17"/>
      <c r="W57" s="17"/>
      <c r="X57" s="17"/>
      <c r="Y57" s="17"/>
      <c r="Z57" s="17"/>
    </row>
    <row r="58">
      <c r="A58" s="337" t="s">
        <v>5370</v>
      </c>
      <c r="B58" s="164" t="s">
        <v>5371</v>
      </c>
      <c r="C58" s="335" t="s">
        <v>5372</v>
      </c>
      <c r="D58" s="164" t="s">
        <v>5373</v>
      </c>
      <c r="E58" s="337" t="s">
        <v>5374</v>
      </c>
      <c r="F58" s="164" t="s">
        <v>5375</v>
      </c>
      <c r="G58" s="337" t="str">
        <f>IFERROR(__xludf.DUMMYFUNCTION("GOOGLETRANSLATE(A58,""zh-tw"",""zh"")"),"红髓玉吊坠")</f>
        <v>红髓玉吊坠</v>
      </c>
      <c r="H58" s="164" t="str">
        <f>IFERROR(__xludf.DUMMYFUNCTION("GOOGLETRANSLATE(B58,""zh-tw"",""zh"")"),"魔攻：20
魔防：45
1.降低魔法武器的耐久消耗
2.依照""天上石碎片""的数量，提升魔法攻击数值(每个碎片提升10)
3.此装备能力属于""唯一""效果，多件装备无法叠加效果")</f>
        <v>魔攻：20
魔防：45
1.降低魔法武器的耐久消耗
2.依照"天上石碎片"的数量，提升魔法攻击数值(每个碎片提升10)
3.此装备能力属于"唯一"效果，多件装备无法叠加效果</v>
      </c>
      <c r="I58" s="337" t="str">
        <f>IFERROR(__xludf.DUMMYFUNCTION("GOOGLETRANSLATE(A58,""zh-tw"",""es-MX"")"),"Colgante de cornalina roja")</f>
        <v>Colgante de cornalina roja</v>
      </c>
      <c r="J58" s="164" t="str">
        <f>IFERROR(__xludf.DUMMYFUNCTION("GOOGLETRANSLATE(B58,""zh-tw"",""es-MX"")"),"Ataque mágico: 20
Defensa mágica: 45
1. Reduce el consumo de durabilidad de las armas mágicas.
2. Aumenta el ataque mágico según la cantidad de Fragmentos de Piedra Celestial (cada fragmento aumenta en 10).
3. Esta habilidad es un efecto único; no se "&amp;"puede acumular con otras piezas de equipo.")</f>
        <v>Ataque mágico: 20
Defensa mágica: 45
1. Reduce el consumo de durabilidad de las armas mágicas.
2. Aumenta el ataque mágico según la cantidad de Fragmentos de Piedra Celestial (cada fragmento aumenta en 10).
3. Esta habilidad es un efecto único; no se puede acumular con otras piezas de equipo.</v>
      </c>
      <c r="K58" s="337" t="str">
        <f>IFERROR(__xludf.DUMMYFUNCTION("GOOGLETRANSLATE(A58,""zh-tw"",""KO"")"),"붉은 카넬리안 펜던트")</f>
        <v>붉은 카넬리안 펜던트</v>
      </c>
      <c r="L58" s="164" t="str">
        <f>IFERROR(__xludf.DUMMYFUNCTION("GOOGLETRANSLATE(B58,""zh-tw"",""KO"")"),"마법 공격력: 20
마법 방어력: 45
1. 마법 무기의 내구도 소모량이 감소합니다.
2. ""천상의 돌 조각"" 개수에 따라 마법 공격력이 증가합니다. (조각 하나당 10씩 증가합니다.)
3. 이 장비 능력은 ""고유"" 효과입니다. 여러 장비를 장착해도 효과가 중첩되지 않습니다.")</f>
        <v>마법 공격력: 20
마법 방어력: 45
1. 마법 무기의 내구도 소모량이 감소합니다.
2. "천상의 돌 조각" 개수에 따라 마법 공격력이 증가합니다. (조각 하나당 10씩 증가합니다.)
3. 이 장비 능력은 "고유" 효과입니다. 여러 장비를 장착해도 효과가 중첩되지 않습니다.</v>
      </c>
      <c r="M58" s="338" t="str">
        <f>IFERROR(__xludf.DUMMYFUNCTION("GOOGLETRANSLATE(A58,""zh-tw"",""ru"")"),"Кулон из красного сердолика")</f>
        <v>Кулон из красного сердолика</v>
      </c>
      <c r="N58" s="317" t="str">
        <f>IFERROR(__xludf.DUMMYFUNCTION("GOOGLETRANSLATE(B58,""zh-tw"",""ru"")"),"Магическая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силу на 10).
3. Эта способность снаря"&amp;"жения — «уникальный» эффект; эффект от нескольких предметов снаряжения не суммируется.")</f>
        <v>Магическая атака: 20
Магическая защита: 45
1. Снижает расход прочности магического оружия.
2. Увеличивает значение магической атаки в зависимости от количества «Фрагментов небесного камня» (каждый фрагмент увеличивает силу на 10).
3. Эта способность снаряжения — «уникальный» эффект; эффект от нескольких предметов снаряжения не суммируется.</v>
      </c>
      <c r="O58" s="335" t="s">
        <v>5374</v>
      </c>
      <c r="P58" s="163" t="s">
        <v>5376</v>
      </c>
      <c r="Q58" s="354" t="s">
        <v>5377</v>
      </c>
      <c r="R58" s="355" t="s">
        <v>5378</v>
      </c>
      <c r="S58" s="17"/>
      <c r="T58" s="17"/>
      <c r="U58" s="17"/>
      <c r="V58" s="17"/>
      <c r="W58" s="17"/>
      <c r="X58" s="17"/>
      <c r="Y58" s="17"/>
      <c r="Z58" s="17"/>
    </row>
    <row r="59">
      <c r="A59" s="337" t="s">
        <v>5379</v>
      </c>
      <c r="B59" s="164" t="s">
        <v>5380</v>
      </c>
      <c r="C59" s="335" t="s">
        <v>4300</v>
      </c>
      <c r="D59" s="164" t="s">
        <v>5381</v>
      </c>
      <c r="E59" s="337" t="s">
        <v>5382</v>
      </c>
      <c r="F59" s="164" t="s">
        <v>5383</v>
      </c>
      <c r="G59" s="337" t="str">
        <f>IFERROR(__xludf.DUMMYFUNCTION("GOOGLETRANSLATE(A59,""zh-tw"",""zh"")"),"谢里斯的诅咒之手")</f>
        <v>谢里斯的诅咒之手</v>
      </c>
      <c r="H59" s="164" t="str">
        <f>IFERROR(__xludf.DUMMYFUNCTION("GOOGLETRANSLATE(B59,""zh-tw"",""zh"")"),"魔防：18
自动环绕从者
对目标施加伤害
附上Debuff：嘲讽、激怒
(减少对方防御、增加对方攻击)
(Debuff未实装)")</f>
        <v>魔防：18
自动环绕从者
对目标施加伤害
附上Debuff：嘲讽、激怒
(减少对方防御、增加对方攻击)
(Debuff未实装)</v>
      </c>
      <c r="I59" s="337" t="str">
        <f>IFERROR(__xludf.DUMMYFUNCTION("GOOGLETRANSLATE(A59,""zh-tw"",""es-MX"")"),"La mano maldita de Sheris")</f>
        <v>La mano maldita de Sheris</v>
      </c>
      <c r="J59" s="164" t="str">
        <f>IFERROR(__xludf.DUMMYFUNCTION("GOOGLETRANSLATE(B59,""zh-tw"",""es-MX"")"),"Defensa mágica: 18. Orbita automáticamente al Sirviente. Inflige daño al objetivo. Aplica las siguientes desventajas: Provocar, Enfurecer.
(Reduce la defensa del enemigo, aumenta su ataque).
(Desventaja aún no implementada).")</f>
        <v>Defensa mágica: 18. Orbita automáticamente al Sirviente. Inflige daño al objetivo. Aplica las siguientes desventajas: Provocar, Enfurecer.
(Reduce la defensa del enemigo, aumenta su ataque).
(Desventaja aún no implementada).</v>
      </c>
      <c r="K59" s="337" t="str">
        <f>IFERROR(__xludf.DUMMYFUNCTION("GOOGLETRANSLATE(A59,""zh-tw"",""KO"")"),"셰리스의 저주받은 손")</f>
        <v>셰리스의 저주받은 손</v>
      </c>
      <c r="L59" s="164" t="str">
        <f>IFERROR(__xludf.DUMMYFUNCTION("GOOGLETRANSLATE(B59,""zh-tw"",""KO"")"),"마법 방어력: 18 자동으로 서번트를 선회합니다. 대상에게 피해를 입힙니다. 도발, 격노 등의 디버프를 부여합니다.
(적의 방어력을 감소시키고, 적의 공격력을 증가시킵니다.)
(디버프는 아직 구현되지 않았습니다.)")</f>
        <v>마법 방어력: 18 자동으로 서번트를 선회합니다. 대상에게 피해를 입힙니다. 도발, 격노 등의 디버프를 부여합니다.
(적의 방어력을 감소시키고, 적의 공격력을 증가시킵니다.)
(디버프는 아직 구현되지 않았습니다.)</v>
      </c>
      <c r="M59" s="338" t="str">
        <f>IFERROR(__xludf.DUMMYFUNCTION("GOOGLETRANSLATE(A59,""zh-tw"",""ru"")"),"Проклятая рука Шерис")</f>
        <v>Проклятая рука Шерис</v>
      </c>
      <c r="N59" s="317" t="str">
        <f>IFERROR(__xludf.DUMMYFUNCTION("GOOGLETRANSLATE(B59,""zh-tw"",""ru"")"),"Защита от магии: 18. Автоматически вращается вокруг Слуги. Наносит урон цели. Накладывает ослабления: Провокация, Ярость.
(Снижает защиту противника, увеличивает атаку противника.)
(Ослабление пока не реализовано.)")</f>
        <v>Защита от магии: 18. Автоматически вращается вокруг Слуги. Наносит урон цели. Накладывает ослабления: Провокация, Ярость.
(Снижает защиту противника, увеличивает атаку противника.)
(Ослабление пока не реализовано.)</v>
      </c>
      <c r="O59" s="335" t="s">
        <v>5384</v>
      </c>
      <c r="P59" s="163" t="s">
        <v>5385</v>
      </c>
      <c r="Q59" s="356" t="s">
        <v>5386</v>
      </c>
      <c r="R59" s="327" t="s">
        <v>5387</v>
      </c>
      <c r="S59" s="17"/>
      <c r="T59" s="17"/>
      <c r="U59" s="17"/>
      <c r="V59" s="17"/>
      <c r="W59" s="17"/>
      <c r="X59" s="17"/>
      <c r="Y59" s="17"/>
      <c r="Z59" s="17"/>
    </row>
    <row r="60">
      <c r="A60" s="337" t="s">
        <v>5388</v>
      </c>
      <c r="B60" s="164" t="s">
        <v>5389</v>
      </c>
      <c r="C60" s="356" t="s">
        <v>5390</v>
      </c>
      <c r="D60" s="187" t="s">
        <v>5391</v>
      </c>
      <c r="E60" s="335" t="s">
        <v>5392</v>
      </c>
      <c r="F60" s="163" t="s">
        <v>5393</v>
      </c>
      <c r="G60" s="337" t="str">
        <f>IFERROR(__xludf.DUMMYFUNCTION("GOOGLETRANSLATE(A60,""zh-tw"",""zh"")"),"爱神荡漾")</f>
        <v>爱神荡漾</v>
      </c>
      <c r="H60" s="164" t="str">
        <f>IFERROR(__xludf.DUMMYFUNCTION("GOOGLETRANSLATE(B60,""zh-tw"",""zh"")"),"大幅增加触摸时提升的好感度
(摸一次增加一颗好感)
※此为作弊神器，请参考TIPS")</f>
        <v>大幅增加触摸时提升的好感度
(摸一次增加一颗好感)
※此为作弊神器，请参考TIPS</v>
      </c>
      <c r="I60" s="337" t="str">
        <f>IFERROR(__xludf.DUMMYFUNCTION("GOOGLETRANSLATE(A60,""zh-tw"",""es-MX"")"),"Onda de Cupido")</f>
        <v>Onda de Cupido</v>
      </c>
      <c r="J60" s="164" t="str">
        <f>IFERROR(__xludf.DUMMYFUNCTION("GOOGLETRANSLATE(B60,""zh-tw"",""es-MX"")"),"Aumenta significativamente la afinidad obtenida al interactuar con otros personajes.
(Cada interacción aumenta la afinidad en un punto).
※Esta es una herramienta para hacer trampa; consulta los consejos.")</f>
        <v>Aumenta significativamente la afinidad obtenida al interactuar con otros personajes.
(Cada interacción aumenta la afinidad en un punto).
※Esta es una herramienta para hacer trampa; consulta los consejos.</v>
      </c>
      <c r="K60" s="337" t="str">
        <f>IFERROR(__xludf.DUMMYFUNCTION("GOOGLETRANSLATE(A60,""zh-tw"",""KO"")"),"큐피드의 물결")</f>
        <v>큐피드의 물결</v>
      </c>
      <c r="L60" s="164" t="str">
        <f>IFERROR(__xludf.DUMMYFUNCTION("GOOGLETRANSLATE(B60,""zh-tw"",""KO"")"),"터치 시 획득하는 친밀도가 크게 증가합니다.
(터치 한 번으로 친밀도가 1포인트 증가합니다.)
※이 도구는 치트 도구이므로, 팁을 참조하세요.")</f>
        <v>터치 시 획득하는 친밀도가 크게 증가합니다.
(터치 한 번으로 친밀도가 1포인트 증가합니다.)
※이 도구는 치트 도구이므로, 팁을 참조하세요.</v>
      </c>
      <c r="M60" s="338" t="str">
        <f>IFERROR(__xludf.DUMMYFUNCTION("GOOGLETRANSLATE(A60,""zh-tw"",""ru"")"),"Волна Купидона")</f>
        <v>Волна Купидона</v>
      </c>
      <c r="N60" s="317" t="str">
        <f>IFERROR(__xludf.DUMMYFUNCTION("GOOGLETRANSLATE(B60,""zh-tw"",""ru"")"),"Значительно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f>
        <v>Значительно увеличивает степень близости, получаемой от прикосновений.
(Одно касание увеличивает степень близости на один пункт.)
※Это читерский инструмент; пожалуйста, ознакомьтесь с СОВЕТЫМИ.</v>
      </c>
      <c r="O60" s="335" t="s">
        <v>5394</v>
      </c>
      <c r="P60" s="163" t="s">
        <v>5395</v>
      </c>
      <c r="Q60" s="354" t="s">
        <v>5396</v>
      </c>
      <c r="R60" s="327" t="s">
        <v>5397</v>
      </c>
      <c r="S60" s="357"/>
      <c r="T60" s="357"/>
      <c r="U60" s="357"/>
      <c r="V60" s="357"/>
      <c r="W60" s="357"/>
      <c r="X60" s="357"/>
      <c r="Y60" s="357"/>
      <c r="Z60" s="357"/>
    </row>
    <row r="61">
      <c r="A61" s="335" t="s">
        <v>5398</v>
      </c>
      <c r="B61" s="163" t="s">
        <v>5399</v>
      </c>
      <c r="C61" s="348" t="s">
        <v>5400</v>
      </c>
      <c r="D61" s="186" t="s">
        <v>5401</v>
      </c>
      <c r="E61" s="335" t="s">
        <v>5402</v>
      </c>
      <c r="F61" s="163" t="s">
        <v>5403</v>
      </c>
      <c r="G61" s="337" t="str">
        <f>IFERROR(__xludf.DUMMYFUNCTION("GOOGLETRANSLATE(A61,""zh-tw"",""zh"")"),"绝对领域")</f>
        <v>绝对领域</v>
      </c>
      <c r="H61" s="164" t="str">
        <f>IFERROR(__xludf.DUMMYFUNCTION("GOOGLETRANSLATE(B61,""zh-tw"",""zh"")"),"魔防：169
幸运：69
增加携带武器/防具数量+99
※此为作弊神器，请参考TIPS")</f>
        <v>魔防：169
幸运：69
增加携带武器/防具数量+99
※此为作弊神器，请参考TIPS</v>
      </c>
      <c r="I61" s="337" t="str">
        <f>IFERROR(__xludf.DUMMYFUNCTION("GOOGLETRANSLATE(A61,""zh-tw"",""es-MX"")"),"Territorio absoluto")</f>
        <v>Territorio absoluto</v>
      </c>
      <c r="J61" s="164" t="str">
        <f>IFERROR(__xludf.DUMMYFUNCTION("GOOGLETRANSLATE(B61,""zh-tw"",""es-MX"")"),"Defensa mágica: 169
Suerte: 69
Aumenta la cantidad de armas/armaduras que puedes llevar en +99
※Este es un objeto que otorga ventajas injustas. Consulta los consejos.")</f>
        <v>Defensa mágica: 169
Suerte: 69
Aumenta la cantidad de armas/armaduras que puedes llevar en +99
※Este es un objeto que otorga ventajas injustas. Consulta los consejos.</v>
      </c>
      <c r="K61" s="337" t="str">
        <f>IFERROR(__xludf.DUMMYFUNCTION("GOOGLETRANSLATE(A61,""zh-tw"",""KO"")"),"절대 영토")</f>
        <v>절대 영토</v>
      </c>
      <c r="L61" s="164" t="str">
        <f>IFERROR(__xludf.DUMMYFUNCTION("GOOGLETRANSLATE(B61,""zh-tw"",""KO"")"),"마법 방어력: 169
행운: 69
소지 가능한 무기/방어구 개수 +99 증가
※치트 아이템입니다. 팁을 참고해 주세요.")</f>
        <v>마법 방어력: 169
행운: 69
소지 가능한 무기/방어구 개수 +99 증가
※치트 아이템입니다. 팁을 참고해 주세요.</v>
      </c>
      <c r="M61" s="338" t="str">
        <f>IFERROR(__xludf.DUMMYFUNCTION("GOOGLETRANSLATE(A61,""zh-tw"",""ru"")"),"Абсолютная Территория")</f>
        <v>Абсолютная Территория</v>
      </c>
      <c r="N61" s="317" t="str">
        <f>IFERROR(__xludf.DUMMYFUNCTION("GOOGLETRANSLATE(B61,""zh-tw"",""ru"")"),"Защита от магии: 169
Удача: 69
Увеличивает количество оружия/брони, которое вы можете носить, на +99
※Это читерский предмет, пожалуйста, ознакомьтесь с СОВЕТЫМИ.")</f>
        <v>Защита от магии: 169
Удача: 69
Увеличивает количество оружия/брони, которое вы можете носить, на +99
※Это читерский предмет, пожалуйста, ознакомьтесь с СОВЕТЫМИ.</v>
      </c>
      <c r="O61" s="335" t="s">
        <v>5404</v>
      </c>
      <c r="P61" s="163" t="s">
        <v>5405</v>
      </c>
      <c r="Q61" s="339" t="s">
        <v>5406</v>
      </c>
      <c r="R61" s="340" t="s">
        <v>5407</v>
      </c>
      <c r="S61" s="17"/>
      <c r="T61" s="17"/>
      <c r="U61" s="17"/>
      <c r="V61" s="17"/>
      <c r="W61" s="17"/>
      <c r="X61" s="17"/>
      <c r="Y61" s="17"/>
      <c r="Z61" s="17"/>
    </row>
    <row r="62">
      <c r="A62" s="341" t="s">
        <v>5408</v>
      </c>
      <c r="B62" s="324" t="s">
        <v>5409</v>
      </c>
      <c r="C62" s="341" t="s">
        <v>5410</v>
      </c>
      <c r="D62" s="324" t="s">
        <v>5411</v>
      </c>
      <c r="E62" s="341" t="s">
        <v>5412</v>
      </c>
      <c r="F62" s="324" t="s">
        <v>5413</v>
      </c>
      <c r="G62" s="337" t="str">
        <f>IFERROR(__xludf.DUMMYFUNCTION("GOOGLETRANSLATE(A62,""zh-tw"",""zh"")"),"火蝾螈之卷")</f>
        <v>火蝾螈之卷</v>
      </c>
      <c r="H62" s="164" t="str">
        <f>IFERROR(__xludf.DUMMYFUNCTION("GOOGLETRANSLATE(B62,""zh-tw"",""zh"")"),"魔攻：50
魔防：15
强化火焰元素")</f>
        <v>魔攻：50
魔防：15
强化火焰元素</v>
      </c>
      <c r="I62" s="337" t="str">
        <f>IFERROR(__xludf.DUMMYFUNCTION("GOOGLETRANSLATE(A62,""zh-tw"",""es-MX"")"),"Pergamino de la Salamandra de Fuego")</f>
        <v>Pergamino de la Salamandra de Fuego</v>
      </c>
      <c r="J62" s="164" t="str">
        <f>IFERROR(__xludf.DUMMYFUNCTION("GOOGLETRANSLATE(B62,""zh-tw"",""es-MX"")"),"Ataque mágico: 50
Defensa mágica: 15
Elemento fuego potenciado")</f>
        <v>Ataque mágico: 50
Defensa mágica: 15
Elemento fuego potenciado</v>
      </c>
      <c r="K62" s="337" t="str">
        <f>IFERROR(__xludf.DUMMYFUNCTION("GOOGLETRANSLATE(A62,""zh-tw"",""KO"")"),"불도롱뇽 두루마리")</f>
        <v>불도롱뇽 두루마리</v>
      </c>
      <c r="L62" s="164" t="str">
        <f>IFERROR(__xludf.DUMMYFUNCTION("GOOGLETRANSLATE(B62,""zh-tw"",""KO"")"),"마법 공격력: 50
마법 방어력: 15
향상된 화속성")</f>
        <v>마법 공격력: 50
마법 방어력: 15
향상된 화속성</v>
      </c>
      <c r="M62" s="338" t="str">
        <f>IFERROR(__xludf.DUMMYFUNCTION("GOOGLETRANSLATE(A62,""zh-tw"",""ru"")"),"Свиток Огненной Саламандры")</f>
        <v>Свиток Огненной Саламандры</v>
      </c>
      <c r="N62" s="317" t="str">
        <f>IFERROR(__xludf.DUMMYFUNCTION("GOOGLETRANSLATE(B62,""zh-tw"",""ru"")"),"Магическая атака: 50
Магическая защита: 15
Усиленный элемент огня")</f>
        <v>Магическая атака: 50
Магическая защита: 15
Усиленный элемент огня</v>
      </c>
      <c r="O62" s="337" t="s">
        <v>5414</v>
      </c>
      <c r="P62" s="164" t="s">
        <v>5415</v>
      </c>
      <c r="Q62" s="339" t="s">
        <v>5416</v>
      </c>
      <c r="R62" s="340" t="s">
        <v>5417</v>
      </c>
      <c r="S62" s="17"/>
      <c r="T62" s="17"/>
      <c r="U62" s="17"/>
      <c r="V62" s="17"/>
      <c r="W62" s="17"/>
      <c r="X62" s="17"/>
      <c r="Y62" s="17"/>
      <c r="Z62" s="17"/>
    </row>
    <row r="63">
      <c r="A63" s="341" t="s">
        <v>5418</v>
      </c>
      <c r="B63" s="324" t="s">
        <v>5419</v>
      </c>
      <c r="C63" s="348" t="s">
        <v>5420</v>
      </c>
      <c r="D63" s="186" t="s">
        <v>5421</v>
      </c>
      <c r="E63" s="341" t="s">
        <v>5422</v>
      </c>
      <c r="F63" s="324" t="s">
        <v>5423</v>
      </c>
      <c r="G63" s="337" t="str">
        <f>IFERROR(__xludf.DUMMYFUNCTION("GOOGLETRANSLATE(A63,""zh-tw"",""zh"")"),"逆咒缚契约")</f>
        <v>逆咒缚契约</v>
      </c>
      <c r="H63" s="164" t="str">
        <f>IFERROR(__xludf.DUMMYFUNCTION("GOOGLETRANSLATE(B63,""zh-tw"",""zh"")"),"代替从者受到伤害
依从者数量提升主角生命回复力")</f>
        <v>代替从者受到伤害
依从者数量提升主角生命回复力</v>
      </c>
      <c r="I63" s="337" t="str">
        <f>IFERROR(__xludf.DUMMYFUNCTION("GOOGLETRANSLATE(A63,""zh-tw"",""es-MX"")"),"Contrato de maldición inversa")</f>
        <v>Contrato de maldición inversa</v>
      </c>
      <c r="J63" s="164" t="str">
        <f>IFERROR(__xludf.DUMMYFUNCTION("GOOGLETRANSLATE(B63,""zh-tw"",""es-MX"")"),"Recibe daño en lugar de los Servants; aumenta la regeneración de HP del protagonista en función del número de Servants.")</f>
        <v>Recibe daño en lugar de los Servants; aumenta la regeneración de HP del protagonista en función del número de Servants.</v>
      </c>
      <c r="K63" s="337" t="str">
        <f>IFERROR(__xludf.DUMMYFUNCTION("GOOGLETRANSLATE(A63,""zh-tw"",""KO"")"),"역저주 계약")</f>
        <v>역저주 계약</v>
      </c>
      <c r="L63" s="164" t="str">
        <f>IFERROR(__xludf.DUMMYFUNCTION("GOOGLETRANSLATE(B63,""zh-tw"",""KO"")"),"하인 대신 피해를 입습니다. 하인의 수에 따라 주인공의 HP 재생 속도가 증가합니다.")</f>
        <v>하인 대신 피해를 입습니다. 하인의 수에 따라 주인공의 HP 재생 속도가 증가합니다.</v>
      </c>
      <c r="M63" s="338" t="str">
        <f>IFERROR(__xludf.DUMMYFUNCTION("GOOGLETRANSLATE(A63,""zh-tw"",""ru"")"),"Контракт обратного проклятия")</f>
        <v>Контракт обратного проклятия</v>
      </c>
      <c r="N63" s="317" t="str">
        <f>IFERROR(__xludf.DUMMYFUNCTION("GOOGLETRANSLATE(B63,""zh-tw"",""ru"")"),"Получение урона вместо Слуг; увеличение регенерации HP главного героя в зависимости от количества Слуг.")</f>
        <v>Получение урона вместо Слуг; увеличение регенерации HP главного героя в зависимости от количества Слуг.</v>
      </c>
      <c r="O63" s="337" t="s">
        <v>5424</v>
      </c>
      <c r="P63" s="164" t="s">
        <v>5425</v>
      </c>
      <c r="Q63" s="339" t="s">
        <v>5426</v>
      </c>
      <c r="R63" s="340" t="s">
        <v>5427</v>
      </c>
      <c r="S63" s="17"/>
      <c r="T63" s="17"/>
      <c r="U63" s="17"/>
      <c r="V63" s="17"/>
      <c r="W63" s="17"/>
      <c r="X63" s="17"/>
      <c r="Y63" s="17"/>
      <c r="Z63" s="17"/>
    </row>
    <row r="64">
      <c r="A64" s="335" t="s">
        <v>5428</v>
      </c>
      <c r="B64" s="163" t="s">
        <v>5429</v>
      </c>
      <c r="C64" s="337" t="str">
        <f>IFERROR(__xludf.DUMMYFUNCTION("GOOGLETRANSLATE(A64,""zh-tw"",""ja"")"),"ハンターの衣装")</f>
        <v>ハンターの衣装</v>
      </c>
      <c r="D64" s="164" t="str">
        <f>IFERROR(__xludf.DUMMYFUNCTION("GOOGLETRANSLATE(B64,""zh-tw"",""ja"")"),"物理防御力：3
魔法耐性：10
草の上にいる間、スタミナが回復する")</f>
        <v>物理防御力：3
魔法耐性：10
草の上にいる間、スタミナが回復する</v>
      </c>
      <c r="E64" s="335" t="s">
        <v>5430</v>
      </c>
      <c r="F64" s="163" t="s">
        <v>5431</v>
      </c>
      <c r="G64" s="337" t="str">
        <f>IFERROR(__xludf.DUMMYFUNCTION("GOOGLETRANSLATE(A64,""zh-tw"",""zh"")"),"猎人服")</f>
        <v>猎人服</v>
      </c>
      <c r="H64" s="164" t="str">
        <f>IFERROR(__xludf.DUMMYFUNCTION("GOOGLETRANSLATE(B64,""zh-tw"",""zh"")"),"物防：3
魔抗：10
站在草地上回复体力")</f>
        <v>物防：3
魔抗：10
站在草地上回复体力</v>
      </c>
      <c r="I64" s="337" t="str">
        <f>IFERROR(__xludf.DUMMYFUNCTION("GOOGLETRANSLATE(A64,""zh-tw"",""es-MX"")"),"El atuendo del cazador")</f>
        <v>El atuendo del cazador</v>
      </c>
      <c r="J64" s="164" t="str">
        <f>IFERROR(__xludf.DUMMYFUNCTION("GOOGLETRANSLATE(B64,""zh-tw"",""es-MX"")"),"Defensa física: 3
Resistencia mágica: 10")</f>
        <v>Defensa física: 3
Resistencia mágica: 10</v>
      </c>
      <c r="K64" s="337" t="str">
        <f>IFERROR(__xludf.DUMMYFUNCTION("GOOGLETRANSLATE(A64,""zh-tw"",""KO"")"),"사냥꾼의 복장")</f>
        <v>사냥꾼의 복장</v>
      </c>
      <c r="L64" s="164" t="str">
        <f>IFERROR(__xludf.DUMMYFUNCTION("GOOGLETRANSLATE(B64,""zh-tw"",""KO"")"),"물리 방어력: 3
마법 저항력: 10
풀밭에 서 있는 동안 지구력 회복")</f>
        <v>물리 방어력: 3
마법 저항력: 10
풀밭에 서 있는 동안 지구력 회복</v>
      </c>
      <c r="M64" s="338" t="str">
        <f>IFERROR(__xludf.DUMMYFUNCTION("GOOGLETRANSLATE(A64,""zh-tw"",""ru"")"),"Наряд охотника")</f>
        <v>Наряд охотника</v>
      </c>
      <c r="N64" s="317" t="str">
        <f>IFERROR(__xludf.DUMMYFUNCTION("GOOGLETRANSLATE(B64,""zh-tw"",""ru"")"),"Физическая защита: 3
Сопротивление магии: 10
Восстанавливает выносливость, стоя на траве")</f>
        <v>Физическая защита: 3
Сопротивление магии: 10
Восстанавливает выносливость, стоя на траве</v>
      </c>
      <c r="O64" s="338" t="str">
        <f>IFERROR(__xludf.DUMMYFUNCTION("GOOGLETRANSLATE(A64,""zh-tw"",""de"")"),"Jägers Outfit")</f>
        <v>Jägers Outfit</v>
      </c>
      <c r="P64" s="317" t="str">
        <f>IFERROR(__xludf.DUMMYFUNCTION("GOOGLETRANSLATE(B64,""zh-tw"",""de"")"),"Physische Verteidigung: 3
Magieresistenz: 10
Regeneriert Ausdauer beim Stehen auf Gras")</f>
        <v>Physische Verteidigung: 3
Magieresistenz: 10
Regeneriert Ausdauer beim Stehen auf Gras</v>
      </c>
      <c r="Q64" s="339" t="s">
        <v>5432</v>
      </c>
      <c r="R64" s="340" t="s">
        <v>5433</v>
      </c>
      <c r="S64" s="17"/>
      <c r="T64" s="17"/>
      <c r="U64" s="17"/>
      <c r="V64" s="17"/>
      <c r="W64" s="17"/>
      <c r="X64" s="17"/>
      <c r="Y64" s="17"/>
      <c r="Z64" s="17"/>
    </row>
    <row r="65">
      <c r="A65" s="335" t="s">
        <v>5434</v>
      </c>
      <c r="B65" s="163" t="s">
        <v>5435</v>
      </c>
      <c r="C65" s="337" t="str">
        <f>IFERROR(__xludf.DUMMYFUNCTION("GOOGLETRANSLATE(A65,""zh-tw"",""ja"")"),"ハンターのベルト")</f>
        <v>ハンターのベルト</v>
      </c>
      <c r="D65" s="164" t="str">
        <f>IFERROR(__xludf.DUMMYFUNCTION("GOOGLETRANSLATE(B65,""zh-tw"",""ja"")"),"物理防御力：1 若干の改善：最大スタミナ、移動速度、装備容量")</f>
        <v>物理防御力：1 若干の改善：最大スタミナ、移動速度、装備容量</v>
      </c>
      <c r="E65" s="335" t="s">
        <v>5436</v>
      </c>
      <c r="F65" s="163" t="s">
        <v>5437</v>
      </c>
      <c r="G65" s="337" t="str">
        <f>IFERROR(__xludf.DUMMYFUNCTION("GOOGLETRANSLATE(A65,""zh-tw"",""zh"")"),"猎人腰带")</f>
        <v>猎人腰带</v>
      </c>
      <c r="H65" s="164" t="str">
        <f>IFERROR(__xludf.DUMMYFUNCTION("GOOGLETRANSLATE(B65,""zh-tw"",""zh"")"),"物防：1
小幅提升：体力上限、移动速度、装备携带数量")</f>
        <v>物防：1
小幅提升：体力上限、移动速度、装备携带数量</v>
      </c>
      <c r="I65" s="337" t="str">
        <f>IFERROR(__xludf.DUMMYFUNCTION("GOOGLETRANSLATE(A65,""zh-tw"",""es-MX"")"),"Cinturón de cazador")</f>
        <v>Cinturón de cazador</v>
      </c>
      <c r="J65" s="164" t="str">
        <f>IFERROR(__xludf.DUMMYFUNCTION("GOOGLETRANSLATE(B65,""zh-tw"",""es-MX"")"),"Defensa física: 1. Mejoras leves: Resistencia máxima, velocidad de movimiento, capacidad de equipo.")</f>
        <v>Defensa física: 1. Mejoras leves: Resistencia máxima, velocidad de movimiento, capacidad de equipo.</v>
      </c>
      <c r="K65" s="337" t="str">
        <f>IFERROR(__xludf.DUMMYFUNCTION("GOOGLETRANSLATE(A65,""zh-tw"",""KO"")"),"사냥꾼의 벨트")</f>
        <v>사냥꾼의 벨트</v>
      </c>
      <c r="L65" s="164" t="str">
        <f>IFERROR(__xludf.DUMMYFUNCTION("GOOGLETRANSLATE(B65,""zh-tw"",""KO"")"),"물리 방어력: 1 소폭 향상: 최대 체력, 이동 속도, 장비 수용량")</f>
        <v>물리 방어력: 1 소폭 향상: 최대 체력, 이동 속도, 장비 수용량</v>
      </c>
      <c r="M65" s="338" t="str">
        <f>IFERROR(__xludf.DUMMYFUNCTION("GOOGLETRANSLATE(A65,""zh-tw"",""ru"")"),"Пояс Охотника")</f>
        <v>Пояс Охотника</v>
      </c>
      <c r="N65" s="317" t="str">
        <f>IFERROR(__xludf.DUMMYFUNCTION("GOOGLETRANSLATE(B65,""zh-tw"",""ru"")"),"Физическая защита: 1 Небольшие улучшения: максимальная выносливость, скорость передвижения, грузоподъёмность снаряжения")</f>
        <v>Физическая защита: 1 Небольшие улучшения: максимальная выносливость, скорость передвижения, грузоподъёмность снаряжения</v>
      </c>
      <c r="O65" s="338" t="str">
        <f>IFERROR(__xludf.DUMMYFUNCTION("GOOGLETRANSLATE(A65,""zh-tw"",""de"")"),"Jägergürtel")</f>
        <v>Jägergürtel</v>
      </c>
      <c r="P65" s="317" t="str">
        <f>IFERROR(__xludf.DUMMYFUNCTION("GOOGLETRANSLATE(B65,""zh-tw"",""de"")"),"Physische Verteidigung: 1 Leichte Verbesserungen: Maximale Ausdauer, Bewegungsgeschwindigkeit, Ausrüstungskapazität")</f>
        <v>Physische Verteidigung: 1 Leichte Verbesserungen: Maximale Ausdauer, Bewegungsgeschwindigkeit, Ausrüstungskapazität</v>
      </c>
      <c r="Q65" s="339" t="s">
        <v>5438</v>
      </c>
      <c r="R65" s="340" t="s">
        <v>5439</v>
      </c>
      <c r="S65" s="17"/>
      <c r="T65" s="17"/>
      <c r="U65" s="17"/>
      <c r="V65" s="17"/>
      <c r="W65" s="17"/>
      <c r="X65" s="17"/>
      <c r="Y65" s="17"/>
      <c r="Z65" s="17"/>
    </row>
    <row r="66">
      <c r="A66" s="335" t="s">
        <v>5440</v>
      </c>
      <c r="B66" s="163" t="s">
        <v>5441</v>
      </c>
      <c r="C66" s="337" t="str">
        <f>IFERROR(__xludf.DUMMYFUNCTION("GOOGLETRANSLATE(A66,""zh-tw"",""ja"")"),"ハンターの短剣")</f>
        <v>ハンターの短剣</v>
      </c>
      <c r="D66" s="164" t="str">
        <f>IFERROR(__xludf.DUMMYFUNCTION("GOOGLETRANSLATE(B66,""zh-tw"",""ja"")"),"物理攻撃力: 6
幸運: 20
肉のドロップ率が2倍（魚のフライを含む）")</f>
        <v>物理攻撃力: 6
幸運: 20
肉のドロップ率が2倍（魚のフライを含む）</v>
      </c>
      <c r="E66" s="335" t="s">
        <v>5442</v>
      </c>
      <c r="F66" s="163" t="s">
        <v>5443</v>
      </c>
      <c r="G66" s="337" t="str">
        <f>IFERROR(__xludf.DUMMYFUNCTION("GOOGLETRANSLATE(A66,""zh-tw"",""zh"")"),"猎人短刀")</f>
        <v>猎人短刀</v>
      </c>
      <c r="H66" s="164" t="str">
        <f>IFERROR(__xludf.DUMMYFUNCTION("GOOGLETRANSLATE(B66,""zh-tw"",""zh"")"),"物攻：6
幸运：20
肉类掉落机率翻倍(包含炸鱼)")</f>
        <v>物攻：6
幸运：20
肉类掉落机率翻倍(包含炸鱼)</v>
      </c>
      <c r="I66" s="337" t="str">
        <f>IFERROR(__xludf.DUMMYFUNCTION("GOOGLETRANSLATE(A66,""zh-tw"",""es-MX"")"),"Daga del cazador")</f>
        <v>Daga del cazador</v>
      </c>
      <c r="J66" s="164" t="str">
        <f>IFERROR(__xludf.DUMMYFUNCTION("GOOGLETRANSLATE(B66,""zh-tw"",""es-MX"")"),"Ataque físico: 6
Suerte: 20
Probabilidad de obtener carne duplicada (incluido el pescado frito)")</f>
        <v>Ataque físico: 6
Suerte: 20
Probabilidad de obtener carne duplicada (incluido el pescado frito)</v>
      </c>
      <c r="K66" s="337" t="str">
        <f>IFERROR(__xludf.DUMMYFUNCTION("GOOGLETRANSLATE(A66,""zh-tw"",""KO"")"),"사냥꾼의 단검")</f>
        <v>사냥꾼의 단검</v>
      </c>
      <c r="L66" s="164" t="str">
        <f>IFERROR(__xludf.DUMMYFUNCTION("GOOGLETRANSLATE(B66,""zh-tw"",""KO"")"),"물리 공격력: 6
행운: 20
고기 드랍률 2배 증가 (생선튀김 포함)")</f>
        <v>물리 공격력: 6
행운: 20
고기 드랍률 2배 증가 (생선튀김 포함)</v>
      </c>
      <c r="M66" s="338" t="str">
        <f>IFERROR(__xludf.DUMMYFUNCTION("GOOGLETRANSLATE(A66,""zh-tw"",""ru"")"),"Кинжал охотника")</f>
        <v>Кинжал охотника</v>
      </c>
      <c r="N66" s="317" t="str">
        <f>IFERROR(__xludf.DUMMYFUNCTION("GOOGLETRANSLATE(B66,""zh-tw"",""ru"")"),"Физическая атака: 6
Удача: 20
Частота выпадения мяса увеличена вдвое (включая жареную рыбу)")</f>
        <v>Физическая атака: 6
Удача: 20
Частота выпадения мяса увеличена вдвое (включая жареную рыбу)</v>
      </c>
      <c r="O66" s="338" t="str">
        <f>IFERROR(__xludf.DUMMYFUNCTION("GOOGLETRANSLATE(A66,""zh-tw"",""de"")"),"Jägerdolch")</f>
        <v>Jägerdolch</v>
      </c>
      <c r="P66" s="317" t="str">
        <f>IFERROR(__xludf.DUMMYFUNCTION("GOOGLETRANSLATE(B66,""zh-tw"",""de"")"),"Physischer Angriff: 6
Glück: 20
Fleischfundrate verdoppelt (einschließlich gebratenem Fisch)")</f>
        <v>Physischer Angriff: 6
Glück: 20
Fleischfundrate verdoppelt (einschließlich gebratenem Fisch)</v>
      </c>
      <c r="Q66" s="339" t="s">
        <v>5444</v>
      </c>
      <c r="R66" s="340" t="s">
        <v>5445</v>
      </c>
      <c r="S66" s="17"/>
      <c r="T66" s="17"/>
      <c r="U66" s="17"/>
      <c r="V66" s="17"/>
      <c r="W66" s="17"/>
      <c r="X66" s="17"/>
      <c r="Y66" s="17"/>
      <c r="Z66" s="17"/>
    </row>
    <row r="67">
      <c r="A67" s="335" t="s">
        <v>5446</v>
      </c>
      <c r="B67" s="163" t="s">
        <v>5447</v>
      </c>
      <c r="C67" s="337" t="str">
        <f>IFERROR(__xludf.DUMMYFUNCTION("GOOGLETRANSLATE(A67,""zh-tw"",""ja"")"),"アオウミガメの甲羅")</f>
        <v>アオウミガメの甲羅</v>
      </c>
      <c r="D67" s="164" t="str">
        <f>IFERROR(__xludf.DUMMYFUNCTION("GOOGLETRANSLATE(B67,""zh-tw"",""ja"")"),"物理防御力：20
魔法耐性：60
水泳速度が上昇し、陸上移動速度が低下")</f>
        <v>物理防御力：20
魔法耐性：60
水泳速度が上昇し、陸上移動速度が低下</v>
      </c>
      <c r="E67" s="335" t="s">
        <v>5448</v>
      </c>
      <c r="F67" s="163" t="s">
        <v>5449</v>
      </c>
      <c r="G67" s="337" t="str">
        <f>IFERROR(__xludf.DUMMYFUNCTION("GOOGLETRANSLATE(A67,""zh-tw"",""zh"")"),"绿龟壳")</f>
        <v>绿龟壳</v>
      </c>
      <c r="H67" s="164" t="str">
        <f>IFERROR(__xludf.DUMMYFUNCTION("GOOGLETRANSLATE(B67,""zh-tw"",""zh"")"),"物防：20
魔抗：60
增加游泳移速、降低陆地移速")</f>
        <v>物防：20
魔抗：60
增加游泳移速、降低陆地移速</v>
      </c>
      <c r="I67" s="337" t="str">
        <f>IFERROR(__xludf.DUMMYFUNCTION("GOOGLETRANSLATE(A67,""zh-tw"",""es-MX"")"),"caparazón de tortuga verde")</f>
        <v>caparazón de tortuga verde</v>
      </c>
      <c r="J67" s="164" t="str">
        <f>IFERROR(__xludf.DUMMYFUNCTION("GOOGLETRANSLATE(B67,""zh-tw"",""es-MX"")"),"Defensa física: 20
Resistencia mágica: 60")</f>
        <v>Defensa física: 20
Resistencia mágica: 60</v>
      </c>
      <c r="K67" s="337" t="str">
        <f>IFERROR(__xludf.DUMMYFUNCTION("GOOGLETRANSLATE(A67,""zh-tw"",""KO"")"),"녹색 거북이 껍질")</f>
        <v>녹색 거북이 껍질</v>
      </c>
      <c r="L67" s="164" t="str">
        <f>IFERROR(__xludf.DUMMYFUNCTION("GOOGLETRANSLATE(B67,""zh-tw"",""KO"")"),"물리 방어력: 20
마법 저항력: 60
수영 속도 증가, 지상 이동 속도 감소")</f>
        <v>물리 방어력: 20
마법 저항력: 60
수영 속도 증가, 지상 이동 속도 감소</v>
      </c>
      <c r="M67" s="338" t="str">
        <f>IFERROR(__xludf.DUMMYFUNCTION("GOOGLETRANSLATE(A67,""zh-tw"",""ru"")"),"Зеленый панцирь черепахи")</f>
        <v>Зеленый панцирь черепахи</v>
      </c>
      <c r="N67" s="317" t="str">
        <f>IFERROR(__xludf.DUMMYFUNCTION("GOOGLETRANSLATE(B67,""zh-tw"",""ru"")"),"Физическая защита: 20
Сопротивление магии: 60
Увеличивает скорость плавания, снижает скорость передвижения по суше")</f>
        <v>Физическая защита: 20
Сопротивление магии: 60
Увеличивает скорость плавания, снижает скорость передвижения по суше</v>
      </c>
      <c r="O67" s="338" t="str">
        <f>IFERROR(__xludf.DUMMYFUNCTION("GOOGLETRANSLATE(A67,""zh-tw"",""de"")"),"Grüner Schildkrötenpanzer")</f>
        <v>Grüner Schildkrötenpanzer</v>
      </c>
      <c r="P67" s="317" t="str">
        <f>IFERROR(__xludf.DUMMYFUNCTION("GOOGLETRANSLATE(B67,""zh-tw"",""de"")"),"Physische Verteidigung: 20
Magieresistenz: 60
Erhöht die Schwimmgeschwindigkeit, verringert die Bewegungsgeschwindigkeit an Land.")</f>
        <v>Physische Verteidigung: 20
Magieresistenz: 60
Erhöht die Schwimmgeschwindigkeit, verringert die Bewegungsgeschwindigkeit an Land.</v>
      </c>
      <c r="Q67" s="339" t="s">
        <v>5450</v>
      </c>
      <c r="R67" s="340" t="s">
        <v>5451</v>
      </c>
      <c r="S67" s="17"/>
      <c r="T67" s="17"/>
      <c r="U67" s="17"/>
      <c r="V67" s="17"/>
      <c r="W67" s="17"/>
      <c r="X67" s="17"/>
      <c r="Y67" s="17"/>
      <c r="Z67" s="17"/>
    </row>
    <row r="68">
      <c r="A68" s="335" t="s">
        <v>5452</v>
      </c>
      <c r="B68" s="163" t="s">
        <v>5453</v>
      </c>
      <c r="C68" s="337" t="str">
        <f>IFERROR(__xludf.DUMMYFUNCTION("GOOGLETRANSLATE(A68,""zh-tw"",""ja"")"),"宝石の剣")</f>
        <v>宝石の剣</v>
      </c>
      <c r="D68" s="164" t="str">
        <f>IFERROR(__xludf.DUMMYFUNCTION("GOOGLETRANSLATE(B68,""zh-tw"",""ja"")"),"魔法攻撃力: 15
魔法耐性: 20
幸運: 20
攻撃力を強化するには宝石を消費します")</f>
        <v>魔法攻撃力: 15
魔法耐性: 20
幸運: 20
攻撃力を強化するには宝石を消費します</v>
      </c>
      <c r="E68" s="335" t="s">
        <v>5454</v>
      </c>
      <c r="F68" s="163" t="s">
        <v>5455</v>
      </c>
      <c r="G68" s="337" t="str">
        <f>IFERROR(__xludf.DUMMYFUNCTION("GOOGLETRANSLATE(A68,""zh-tw"",""zh"")"),"宝石剑")</f>
        <v>宝石剑</v>
      </c>
      <c r="H68" s="164" t="str">
        <f>IFERROR(__xludf.DUMMYFUNCTION("GOOGLETRANSLATE(B68,""zh-tw"",""zh"")"),"魔攻：15
魔抗：20
幸运：20
消耗宝石强化攻击")</f>
        <v>魔攻：15
魔抗：20
幸运：20
消耗宝石强化攻击</v>
      </c>
      <c r="I68" s="337" t="str">
        <f>IFERROR(__xludf.DUMMYFUNCTION("GOOGLETRANSLATE(A68,""zh-tw"",""es-MX"")"),"Espada enjoyada")</f>
        <v>Espada enjoyada</v>
      </c>
      <c r="J68" s="164" t="str">
        <f>IFERROR(__xludf.DUMMYFUNCTION("GOOGLETRANSLATE(B68,""zh-tw"",""es-MX"")"),"Ataque mágico: 15
Resistencia mágica: 20
Suerte: 20
Consume gemas para aumentar el ataque")</f>
        <v>Ataque mágico: 15
Resistencia mágica: 20
Suerte: 20
Consume gemas para aumentar el ataque</v>
      </c>
      <c r="K68" s="337" t="str">
        <f>IFERROR(__xludf.DUMMYFUNCTION("GOOGLETRANSLATE(A68,""zh-tw"",""KO"")"),"보석 검")</f>
        <v>보석 검</v>
      </c>
      <c r="L68" s="164" t="str">
        <f>IFERROR(__xludf.DUMMYFUNCTION("GOOGLETRANSLATE(B68,""zh-tw"",""KO"")"),"마법 공격력: 15
마법 저항력: 20
행운: 20
보석을 소모하여 공격력을 강화하세요")</f>
        <v>마법 공격력: 15
마법 저항력: 20
행운: 20
보석을 소모하여 공격력을 강화하세요</v>
      </c>
      <c r="M68" s="338" t="str">
        <f>IFERROR(__xludf.DUMMYFUNCTION("GOOGLETRANSLATE(A68,""zh-tw"",""ru"")"),"Драгоценный меч")</f>
        <v>Драгоценный меч</v>
      </c>
      <c r="N68" s="317" t="str">
        <f>IFERROR(__xludf.DUMMYFUNCTION("GOOGLETRANSLATE(B68,""zh-tw"",""ru"")"),"Магическая атака: 15
Сопротивление магии: 20
Удача: 20
Используйте драгоценные камни для усиления атаки")</f>
        <v>Магическая атака: 15
Сопротивление магии: 20
Удача: 20
Используйте драгоценные камни для усиления атаки</v>
      </c>
      <c r="O68" s="338" t="str">
        <f>IFERROR(__xludf.DUMMYFUNCTION("GOOGLETRANSLATE(A68,""zh-tw"",""de"")"),"Juwelenschwert")</f>
        <v>Juwelenschwert</v>
      </c>
      <c r="P68" s="317" t="str">
        <f>IFERROR(__xludf.DUMMYFUNCTION("GOOGLETRANSLATE(B68,""zh-tw"",""de"")"),"Magischer Angriff: 15
Magieresistenz: 20
Glück: 20
Verbrauche Edelsteine, um den Angriff zu erhöhen")</f>
        <v>Magischer Angriff: 15
Magieresistenz: 20
Glück: 20
Verbrauche Edelsteine, um den Angriff zu erhöhen</v>
      </c>
      <c r="Q68" s="339" t="s">
        <v>5456</v>
      </c>
      <c r="R68" s="340" t="s">
        <v>5457</v>
      </c>
      <c r="S68" s="17"/>
      <c r="T68" s="17"/>
      <c r="U68" s="17"/>
      <c r="V68" s="17"/>
      <c r="W68" s="17"/>
      <c r="X68" s="17"/>
      <c r="Y68" s="17"/>
      <c r="Z68" s="17"/>
    </row>
    <row r="69">
      <c r="A69" s="335" t="s">
        <v>5458</v>
      </c>
      <c r="B69" s="163" t="s">
        <v>5459</v>
      </c>
      <c r="C69" s="337" t="str">
        <f>IFERROR(__xludf.DUMMYFUNCTION("GOOGLETRANSLATE(A69,""zh-tw"",""ja"")"),"安全手袋")</f>
        <v>安全手袋</v>
      </c>
      <c r="D69" s="164" t="str">
        <f>IFERROR(__xludf.DUMMYFUNCTION("GOOGLETRANSLATE(B69,""zh-tw"",""ja"")"),"物理防御力: 2 魔法耐性: 45 雷防御")</f>
        <v>物理防御力: 2 魔法耐性: 45 雷防御</v>
      </c>
      <c r="E69" s="335" t="s">
        <v>5460</v>
      </c>
      <c r="F69" s="163" t="s">
        <v>5461</v>
      </c>
      <c r="G69" s="337" t="str">
        <f>IFERROR(__xludf.DUMMYFUNCTION("GOOGLETRANSLATE(A69,""zh-tw"",""zh"")"),"安全手套")</f>
        <v>安全手套</v>
      </c>
      <c r="H69" s="164" t="str">
        <f>IFERROR(__xludf.DUMMYFUNCTION("GOOGLETRANSLATE(B69,""zh-tw"",""zh"")"),"物防：2
魔抗：45
防御雷电")</f>
        <v>物防：2
魔抗：45
防御雷电</v>
      </c>
      <c r="I69" s="337" t="str">
        <f>IFERROR(__xludf.DUMMYFUNCTION("GOOGLETRANSLATE(A69,""zh-tw"",""es-MX"")"),"guantes de seguridad")</f>
        <v>guantes de seguridad</v>
      </c>
      <c r="J69" s="164" t="str">
        <f>IFERROR(__xludf.DUMMYFUNCTION("GOOGLETRANSLATE(B69,""zh-tw"",""es-MX"")"),"Defensa física: 2 Resistencia mágica: 45 Defensa contra rayos")</f>
        <v>Defensa física: 2 Resistencia mágica: 45 Defensa contra rayos</v>
      </c>
      <c r="K69" s="337" t="str">
        <f>IFERROR(__xludf.DUMMYFUNCTION("GOOGLETRANSLATE(A69,""zh-tw"",""KO"")"),"안전 장갑")</f>
        <v>안전 장갑</v>
      </c>
      <c r="L69" s="164" t="str">
        <f>IFERROR(__xludf.DUMMYFUNCTION("GOOGLETRANSLATE(B69,""zh-tw"",""KO"")"),"물리 방어력: 2 마법 저항력: 45 번개 방어력")</f>
        <v>물리 방어력: 2 마법 저항력: 45 번개 방어력</v>
      </c>
      <c r="M69" s="338" t="str">
        <f>IFERROR(__xludf.DUMMYFUNCTION("GOOGLETRANSLATE(A69,""zh-tw"",""ru"")"),"Защитные перчатки")</f>
        <v>Защитные перчатки</v>
      </c>
      <c r="N69" s="317" t="str">
        <f>IFERROR(__xludf.DUMMYFUNCTION("GOOGLETRANSLATE(B69,""zh-tw"",""ru"")"),"Физическая защита: 2 Сопротивление магии: 45 Защита от молнии")</f>
        <v>Физическая защита: 2 Сопротивление магии: 45 Защита от молнии</v>
      </c>
      <c r="O69" s="338" t="str">
        <f>IFERROR(__xludf.DUMMYFUNCTION("GOOGLETRANSLATE(A69,""zh-tw"",""de"")"),"Schutzhandschuhe")</f>
        <v>Schutzhandschuhe</v>
      </c>
      <c r="P69" s="317" t="str">
        <f>IFERROR(__xludf.DUMMYFUNCTION("GOOGLETRANSLATE(B69,""zh-tw"",""de"")"),"Physische Verteidigung: 2 Magieresistenz: 45 Blitzverteidigung")</f>
        <v>Physische Verteidigung: 2 Magieresistenz: 45 Blitzverteidigung</v>
      </c>
      <c r="Q69" s="339" t="s">
        <v>5462</v>
      </c>
      <c r="R69" s="340" t="s">
        <v>5463</v>
      </c>
      <c r="S69" s="17"/>
      <c r="T69" s="17"/>
      <c r="U69" s="17"/>
      <c r="V69" s="17"/>
      <c r="W69" s="17"/>
      <c r="X69" s="17"/>
      <c r="Y69" s="17"/>
      <c r="Z69" s="17"/>
    </row>
    <row r="70">
      <c r="A70" s="335" t="s">
        <v>5464</v>
      </c>
      <c r="B70" s="163" t="s">
        <v>5465</v>
      </c>
      <c r="C70" s="337" t="str">
        <f>IFERROR(__xludf.DUMMYFUNCTION("GOOGLETRANSLATE(A70,""zh-tw"",""ja"")"),"シャープブレードリング")</f>
        <v>シャープブレードリング</v>
      </c>
      <c r="D70" s="164" t="str">
        <f>IFERROR(__xludf.DUMMYFUNCTION("GOOGLETRANSLATE(B70,""zh-tw"",""ja"")"),"物理攻撃力+15%")</f>
        <v>物理攻撃力+15%</v>
      </c>
      <c r="E70" s="335" t="s">
        <v>5466</v>
      </c>
      <c r="F70" s="163" t="s">
        <v>5467</v>
      </c>
      <c r="G70" s="337" t="str">
        <f>IFERROR(__xludf.DUMMYFUNCTION("GOOGLETRANSLATE(A70,""zh-tw"",""zh"")"),"锐刃指环")</f>
        <v>锐刃指环</v>
      </c>
      <c r="H70" s="164" t="str">
        <f>IFERROR(__xludf.DUMMYFUNCTION("GOOGLETRANSLATE(B70,""zh-tw"",""zh"")"),"物攻+15%")</f>
        <v>物攻+15%</v>
      </c>
      <c r="I70" s="337" t="str">
        <f>IFERROR(__xludf.DUMMYFUNCTION("GOOGLETRANSLATE(A70,""zh-tw"",""es-MX"")"),"Anillo de hoja afilada")</f>
        <v>Anillo de hoja afilada</v>
      </c>
      <c r="J70" s="164" t="str">
        <f>IFERROR(__xludf.DUMMYFUNCTION("GOOGLETRANSLATE(B70,""zh-tw"",""es-MX"")"),"Ataque físico +15%")</f>
        <v>Ataque físico +15%</v>
      </c>
      <c r="K70" s="337" t="str">
        <f>IFERROR(__xludf.DUMMYFUNCTION("GOOGLETRANSLATE(A70,""zh-tw"",""KO"")"),"날카로운 칼날 반지")</f>
        <v>날카로운 칼날 반지</v>
      </c>
      <c r="L70" s="164" t="str">
        <f>IFERROR(__xludf.DUMMYFUNCTION("GOOGLETRANSLATE(B70,""zh-tw"",""KO"")"),"물리 공격력 +15%")</f>
        <v>물리 공격력 +15%</v>
      </c>
      <c r="M70" s="338" t="str">
        <f>IFERROR(__xludf.DUMMYFUNCTION("GOOGLETRANSLATE(A70,""zh-tw"",""ru"")"),"Кольцо с острым лезвием")</f>
        <v>Кольцо с острым лезвием</v>
      </c>
      <c r="N70" s="317" t="str">
        <f>IFERROR(__xludf.DUMMYFUNCTION("GOOGLETRANSLATE(B70,""zh-tw"",""ru"")"),"Физическая атака +15%")</f>
        <v>Физическая атака +15%</v>
      </c>
      <c r="O70" s="338" t="str">
        <f>IFERROR(__xludf.DUMMYFUNCTION("GOOGLETRANSLATE(A70,""zh-tw"",""de"")"),"Scharfer Klingenring")</f>
        <v>Scharfer Klingenring</v>
      </c>
      <c r="P70" s="317" t="str">
        <f>IFERROR(__xludf.DUMMYFUNCTION("GOOGLETRANSLATE(B70,""zh-tw"",""de"")"),"Physischer Angriff +15 %")</f>
        <v>Physischer Angriff +15 %</v>
      </c>
      <c r="Q70" s="339" t="s">
        <v>5468</v>
      </c>
      <c r="R70" s="340" t="s">
        <v>5469</v>
      </c>
      <c r="S70" s="17"/>
      <c r="T70" s="17"/>
      <c r="U70" s="17"/>
      <c r="V70" s="17"/>
      <c r="W70" s="17"/>
      <c r="X70" s="17"/>
      <c r="Y70" s="17"/>
      <c r="Z70" s="17"/>
    </row>
    <row r="71">
      <c r="A71" s="335" t="s">
        <v>5470</v>
      </c>
      <c r="B71" s="163" t="s">
        <v>5471</v>
      </c>
      <c r="C71" s="337" t="str">
        <f>IFERROR(__xludf.DUMMYFUNCTION("GOOGLETRANSLATE(A71,""zh-tw"",""ja"")"),"滝指")</f>
        <v>滝指</v>
      </c>
      <c r="D71" s="164" t="str">
        <f>IFERROR(__xludf.DUMMYFUNCTION("GOOGLETRANSLATE(B71,""zh-tw"",""ja"")"),"近接通常攻撃回数+1。出血確率。ヒットボックスは小さく、武器のサイズによる変化はありません。ダメージは固定ですが、剣術訓練と組み合わせることでダメージボーナスを得ることができます。")</f>
        <v>近接通常攻撃回数+1。出血確率。ヒットボックスは小さく、武器のサイズによる変化はありません。ダメージは固定ですが、剣術訓練と組み合わせることでダメージボーナスを得ることができます。</v>
      </c>
      <c r="E71" s="335" t="s">
        <v>5472</v>
      </c>
      <c r="F71" s="163" t="s">
        <v>5473</v>
      </c>
      <c r="G71" s="337" t="str">
        <f>IFERROR(__xludf.DUMMYFUNCTION("GOOGLETRANSLATE(A71,""zh-tw"",""zh"")"),"胁差")</f>
        <v>胁差</v>
      </c>
      <c r="H71" s="164" t="str">
        <f>IFERROR(__xludf.DUMMYFUNCTION("GOOGLETRANSLATE(B71,""zh-tw"",""zh"")"),"近距离普通攻击次数+1
机率出血
判定较小，且不会随着武器大小变动
固定伤害，但可以配合剑术修行的伤害加成")</f>
        <v>近距离普通攻击次数+1
机率出血
判定较小，且不会随着武器大小变动
固定伤害，但可以配合剑术修行的伤害加成</v>
      </c>
      <c r="I71" s="337" t="str">
        <f>IFERROR(__xludf.DUMMYFUNCTION("GOOGLETRANSLATE(A71,""zh-tw"",""es-MX"")"),"takizashi")</f>
        <v>takizashi</v>
      </c>
      <c r="J71" s="164" t="str">
        <f>IFERROR(__xludf.DUMMYFUNCTION("GOOGLETRANSLATE(B71,""zh-tw"",""es-MX"")"),"+1 ataque cuerpo a cuerpo normal. Posibilidad de sangrado. Área de impacto pequeña, que no varía con el tamaño del arma. Daño fijo, pero se puede combinar con entrenamiento en esgrima para obtener bonificaciones de daño.")</f>
        <v>+1 ataque cuerpo a cuerpo normal. Posibilidad de sangrado. Área de impacto pequeña, que no varía con el tamaño del arma. Daño fijo, pero se puede combinar con entrenamiento en esgrima para obtener bonificaciones de daño.</v>
      </c>
      <c r="K71" s="337" t="str">
        <f>IFERROR(__xludf.DUMMYFUNCTION("GOOGLETRANSLATE(A71,""zh-tw"",""KO"")"),"다키자시")</f>
        <v>다키자시</v>
      </c>
      <c r="L71" s="164" t="str">
        <f>IFERROR(__xludf.DUMMYFUNCTION("GOOGLETRANSLATE(B71,""zh-tw"",""KO"")"),"근접 일반 공격 횟수 +1. 출혈 확률. 타격 범위가 작고 무기 크기에 따라 변하지 않습니다. 고정 피해량이지만, 검술 훈련과 병행하여 추가 피해를 얻을 수 있습니다.")</f>
        <v>근접 일반 공격 횟수 +1. 출혈 확률. 타격 범위가 작고 무기 크기에 따라 변하지 않습니다. 고정 피해량이지만, 검술 훈련과 병행하여 추가 피해를 얻을 수 있습니다.</v>
      </c>
      <c r="M71" s="338" t="str">
        <f>IFERROR(__xludf.DUMMYFUNCTION("GOOGLETRANSLATE(A71,""zh-tw"",""ru"")"),"Такизаши")</f>
        <v>Такизаши</v>
      </c>
      <c r="N71" s="317" t="str">
        <f>IFERROR(__xludf.DUMMYFUNCTION("GOOGLETRANSLATE(B71,""zh-tw"",""ru"")"),"+1 к обычному количеству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f>
        <v>+1 к обычному количеству атак в ближнем бою. Вероятность кровотечения. Небольшой хитбокс, не зависящий от размера оружия. Урон фиксированный, но его можно сочетать с обучением фехтованию для увеличения урона.</v>
      </c>
      <c r="O71" s="338" t="str">
        <f>IFERROR(__xludf.DUMMYFUNCTION("GOOGLETRANSLATE(A71,""zh-tw"",""de"")"),"Takizashi")</f>
        <v>Takizashi</v>
      </c>
      <c r="P71" s="317" t="str">
        <f>IFERROR(__xludf.DUMMYFUNCTION("GOOGLETRANSLATE(B71,""zh-tw"",""de"")"),"+1 Nahkampfangriff. Blutungschance. Kleine Trefferzone, die sich nicht mit der Waffengröße ändert. Fester Schaden, kann aber mit Schwertkampftraining für Schadensboni kombiniert werden.")</f>
        <v>+1 Nahkampfangriff. Blutungschance. Kleine Trefferzone, die sich nicht mit der Waffengröße ändert. Fester Schaden, kann aber mit Schwertkampftraining für Schadensboni kombiniert werden.</v>
      </c>
      <c r="Q71" s="339" t="s">
        <v>5472</v>
      </c>
      <c r="R71" s="340" t="s">
        <v>5474</v>
      </c>
      <c r="S71" s="17"/>
      <c r="T71" s="17"/>
      <c r="U71" s="17"/>
      <c r="V71" s="17"/>
      <c r="W71" s="17"/>
      <c r="X71" s="17"/>
      <c r="Y71" s="17"/>
      <c r="Z71" s="17"/>
    </row>
    <row r="72">
      <c r="A72" s="335" t="s">
        <v>5475</v>
      </c>
      <c r="B72" s="163" t="s">
        <v>5476</v>
      </c>
      <c r="C72" s="337" t="str">
        <f>IFERROR(__xludf.DUMMYFUNCTION("GOOGLETRANSLATE(A72,""zh-tw"",""ja"")"),"鉄の鷲")</f>
        <v>鉄の鷲</v>
      </c>
      <c r="D72" s="164" t="str">
        <f>IFERROR(__xludf.DUMMYFUNCTION("GOOGLETRANSLATE(B72,""zh-tw"",""ja"")"),"物理防御力：15
魔法耐性：10
詳細はヒントをご覧ください")</f>
        <v>物理防御力：15
魔法耐性：10
詳細はヒントをご覧ください</v>
      </c>
      <c r="E72" s="335" t="s">
        <v>5477</v>
      </c>
      <c r="F72" s="163" t="s">
        <v>5478</v>
      </c>
      <c r="G72" s="337" t="str">
        <f>IFERROR(__xludf.DUMMYFUNCTION("GOOGLETRANSLATE(A72,""zh-tw"",""zh"")"),"铁觇")</f>
        <v>铁觇</v>
      </c>
      <c r="H72" s="164" t="str">
        <f>IFERROR(__xludf.DUMMYFUNCTION("GOOGLETRANSLATE(B72,""zh-tw"",""zh"")"),"物防：15
魔抗：10
详细说明于Tips")</f>
        <v>物防：15
魔抗：10
详细说明于Tips</v>
      </c>
      <c r="I72" s="337" t="str">
        <f>IFERROR(__xludf.DUMMYFUNCTION("GOOGLETRANSLATE(A72,""zh-tw"",""es-MX"")"),"águila de hierro")</f>
        <v>águila de hierro</v>
      </c>
      <c r="J72" s="164" t="str">
        <f>IFERROR(__xludf.DUMMYFUNCTION("GOOGLETRANSLATE(B72,""zh-tw"",""es-MX"")"),"Defensa física: 15
Resistencia mágica: 10
Explicación detallada en la sección de Consejos.")</f>
        <v>Defensa física: 15
Resistencia mágica: 10
Explicación detallada en la sección de Consejos.</v>
      </c>
      <c r="K72" s="337" t="str">
        <f>IFERROR(__xludf.DUMMYFUNCTION("GOOGLETRANSLATE(A72,""zh-tw"",""KO"")"),"아이언 이글")</f>
        <v>아이언 이글</v>
      </c>
      <c r="L72" s="164" t="str">
        <f>IFERROR(__xludf.DUMMYFUNCTION("GOOGLETRANSLATE(B72,""zh-tw"",""KO"")"),"물리 방어력: 15
마법 저항력: 10
자세한 설명은 팁에 있습니다")</f>
        <v>물리 방어력: 15
마법 저항력: 10
자세한 설명은 팁에 있습니다</v>
      </c>
      <c r="M72" s="338" t="str">
        <f>IFERROR(__xludf.DUMMYFUNCTION("GOOGLETRANSLATE(A72,""zh-tw"",""ru"")"),"Железный орел")</f>
        <v>Железный орел</v>
      </c>
      <c r="N72" s="317" t="str">
        <f>IFERROR(__xludf.DUMMYFUNCTION("GOOGLETRANSLATE(B72,""zh-tw"",""ru"")"),"Физическая защита: 15
Сопротивление магии: 10
Подробное объяснение в разделе «Советы»")</f>
        <v>Физическая защита: 15
Сопротивление магии: 10
Подробное объяснение в разделе «Советы»</v>
      </c>
      <c r="O72" s="338" t="str">
        <f>IFERROR(__xludf.DUMMYFUNCTION("GOOGLETRANSLATE(A72,""zh-tw"",""de"")"),"Eiserner Adler")</f>
        <v>Eiserner Adler</v>
      </c>
      <c r="P72" s="317" t="str">
        <f>IFERROR(__xludf.DUMMYFUNCTION("GOOGLETRANSLATE(B72,""zh-tw"",""de"")"),"Physische Verteidigung: 15
Magieresistenz: 10
Detaillierte Erklärung in den Tipps")</f>
        <v>Physische Verteidigung: 15
Magieresistenz: 10
Detaillierte Erklärung in den Tipps</v>
      </c>
      <c r="Q72" s="351" t="s">
        <v>5479</v>
      </c>
      <c r="R72" s="340" t="s">
        <v>5480</v>
      </c>
      <c r="S72" s="17"/>
      <c r="T72" s="17"/>
      <c r="U72" s="17"/>
      <c r="V72" s="17"/>
      <c r="W72" s="17"/>
      <c r="X72" s="17"/>
      <c r="Y72" s="17"/>
      <c r="Z72" s="17"/>
    </row>
    <row r="73">
      <c r="A73" s="335" t="s">
        <v>5481</v>
      </c>
      <c r="B73" s="163" t="s">
        <v>5482</v>
      </c>
      <c r="C73" s="337" t="str">
        <f>IFERROR(__xludf.DUMMYFUNCTION("GOOGLETRANSLATE(A73,""zh-tw"",""ja"")"),"五剣くんのバッジ")</f>
        <v>五剣くんのバッジ</v>
      </c>
      <c r="D73" s="164" t="str">
        <f>IFERROR(__xludf.DUMMYFUNCTION("GOOGLETRANSLATE(B73,""zh-tw"",""ja"")"),"攻撃力と攻撃上限ボーナスを減らし、武器の耐久性消費を減らします。")</f>
        <v>攻撃力と攻撃上限ボーナスを減らし、武器の耐久性消費を減らします。</v>
      </c>
      <c r="E73" s="335" t="s">
        <v>5483</v>
      </c>
      <c r="F73" s="163" t="s">
        <v>5484</v>
      </c>
      <c r="G73" s="337" t="str">
        <f>IFERROR(__xludf.DUMMYFUNCTION("GOOGLETRANSLATE(A73,""zh-tw"",""zh"")"),"护刃众的徽章")</f>
        <v>护刃众的徽章</v>
      </c>
      <c r="H73" s="164" t="str">
        <f>IFERROR(__xludf.DUMMYFUNCTION("GOOGLETRANSLATE(B73,""zh-tw"",""zh"")"),"减少攻击力以及攻击上限加成
降低武器耐久度消耗")</f>
        <v>减少攻击力以及攻击上限加成
降低武器耐久度消耗</v>
      </c>
      <c r="I73" s="337" t="str">
        <f>IFERROR(__xludf.DUMMYFUNCTION("GOOGLETRANSLATE(A73,""zh-tw"",""es-MX"")"),"Insignias de Goken-kun")</f>
        <v>Insignias de Goken-kun</v>
      </c>
      <c r="J73" s="164" t="str">
        <f>IFERROR(__xludf.DUMMYFUNCTION("GOOGLETRANSLATE(B73,""zh-tw"",""es-MX"")"),"Reduce las bonificaciones de poder de ataque y límite de ataque; reduce el consumo de durabilidad del arma.")</f>
        <v>Reduce las bonificaciones de poder de ataque y límite de ataque; reduce el consumo de durabilidad del arma.</v>
      </c>
      <c r="K73" s="337" t="str">
        <f>IFERROR(__xludf.DUMMYFUNCTION("GOOGLETRANSLATE(A73,""zh-tw"",""KO"")"),"고켄군의 배지")</f>
        <v>고켄군의 배지</v>
      </c>
      <c r="L73" s="164" t="str">
        <f>IFERROR(__xludf.DUMMYFUNCTION("GOOGLETRANSLATE(B73,""zh-tw"",""KO"")"),"공격력과 공격력 상한 보너스를 감소시키고, 무기 내구도 소모를 감소시킵니다.")</f>
        <v>공격력과 공격력 상한 보너스를 감소시키고, 무기 내구도 소모를 감소시킵니다.</v>
      </c>
      <c r="M73" s="338" t="str">
        <f>IFERROR(__xludf.DUMMYFUNCTION("GOOGLETRANSLATE(A73,""zh-tw"",""ru"")"),"Значки Гокен-куна")</f>
        <v>Значки Гокен-куна</v>
      </c>
      <c r="N73" s="317" t="str">
        <f>IFERROR(__xludf.DUMMYFUNCTION("GOOGLETRANSLATE(B73,""zh-tw"",""ru"")"),"Уменьшает силу атаки и бонусы к пределу атаки; уменьшает расход прочности оружия.")</f>
        <v>Уменьшает силу атаки и бонусы к пределу атаки; уменьшает расход прочности оружия.</v>
      </c>
      <c r="O73" s="338" t="str">
        <f>IFERROR(__xludf.DUMMYFUNCTION("GOOGLETRANSLATE(A73,""zh-tw"",""de"")"),"Abzeichen des Goken-kun")</f>
        <v>Abzeichen des Goken-kun</v>
      </c>
      <c r="P73" s="317" t="str">
        <f>IFERROR(__xludf.DUMMYFUNCTION("GOOGLETRANSLATE(B73,""zh-tw"",""de"")"),"Verringert Angriffskraft und Angriffslimitboni; verringert den Waffenhaltbarkeitsverbrauch.")</f>
        <v>Verringert Angriffskraft und Angriffslimitboni; verringert den Waffenhaltbarkeitsverbrauch.</v>
      </c>
      <c r="Q73" s="339" t="s">
        <v>5485</v>
      </c>
      <c r="R73" s="340" t="s">
        <v>5486</v>
      </c>
      <c r="S73" s="17"/>
      <c r="T73" s="17"/>
      <c r="U73" s="17"/>
      <c r="V73" s="17"/>
      <c r="W73" s="17"/>
      <c r="X73" s="17"/>
      <c r="Y73" s="17"/>
      <c r="Z73" s="17"/>
    </row>
    <row r="74">
      <c r="A74" s="335" t="s">
        <v>5487</v>
      </c>
      <c r="B74" s="163" t="s">
        <v>5488</v>
      </c>
      <c r="C74" s="337" t="str">
        <f>IFERROR(__xludf.DUMMYFUNCTION("GOOGLETRANSLATE(A74,""zh-tw"",""ja"")"),"イチゴを取り戻せ！")</f>
        <v>イチゴを取り戻せ！</v>
      </c>
      <c r="D74" s="164" t="str">
        <f>IFERROR(__xludf.DUMMYFUNCTION("GOOGLETRANSLATE(B74,""zh-tw"",""ja"")"),"コマンドタイプの装備
(スキルスロット参照)")</f>
        <v>コマンドタイプの装備
(スキルスロット参照)</v>
      </c>
      <c r="E74" s="335" t="s">
        <v>5489</v>
      </c>
      <c r="F74" s="163" t="s">
        <v>5490</v>
      </c>
      <c r="G74" s="337" t="str">
        <f>IFERROR(__xludf.DUMMYFUNCTION("GOOGLETRANSLATE(A74,""zh-tw"",""zh"")"),"把草莓夺回来！ !")</f>
        <v>把草莓夺回来！ !</v>
      </c>
      <c r="H74" s="164" t="str">
        <f>IFERROR(__xludf.DUMMYFUNCTION("GOOGLETRANSLATE(B74,""zh-tw"",""zh"")"),"指令类型装备
(请见技能栏位)")</f>
        <v>指令类型装备
(请见技能栏位)</v>
      </c>
      <c r="I74" s="337" t="str">
        <f>IFERROR(__xludf.DUMMYFUNCTION("GOOGLETRANSLATE(A74,""zh-tw"",""es-MX"")"),"¡Recuperemos las fresas!")</f>
        <v>¡Recuperemos las fresas!</v>
      </c>
      <c r="J74" s="164" t="str">
        <f>IFERROR(__xludf.DUMMYFUNCTION("GOOGLETRANSLATE(B74,""zh-tw"",""es-MX"")"),"Equipo de tipo comando
(Ver espacios para habilidades)")</f>
        <v>Equipo de tipo comando
(Ver espacios para habilidades)</v>
      </c>
      <c r="K74" s="337" t="str">
        <f>IFERROR(__xludf.DUMMYFUNCTION("GOOGLETRANSLATE(A74,""zh-tw"",""KO"")"),"딸기를 다시 가져와!")</f>
        <v>딸기를 다시 가져와!</v>
      </c>
      <c r="L74" s="164" t="str">
        <f>IFERROR(__xludf.DUMMYFUNCTION("GOOGLETRANSLATE(B74,""zh-tw"",""KO"")"),"명령형 장비
(스킬 슬롯 참조)")</f>
        <v>명령형 장비
(스킬 슬롯 참조)</v>
      </c>
      <c r="M74" s="338" t="str">
        <f>IFERROR(__xludf.DUMMYFUNCTION("GOOGLETRANSLATE(A74,""zh-tw"",""ru"")"),"Верните клубнику!")</f>
        <v>Верните клубнику!</v>
      </c>
      <c r="N74" s="317" t="str">
        <f>IFERROR(__xludf.DUMMYFUNCTION("GOOGLETRANSLATE(B74,""zh-tw"",""ru"")"),"Командное снаряжение
(См. слоты навыков)")</f>
        <v>Командное снаряжение
(См. слоты навыков)</v>
      </c>
      <c r="O74" s="338" t="str">
        <f>IFERROR(__xludf.DUMMYFUNCTION("GOOGLETRANSLATE(A74,""zh-tw"",""de"")"),"Holt die Erdbeeren zurück!")</f>
        <v>Holt die Erdbeeren zurück!</v>
      </c>
      <c r="P74" s="317" t="str">
        <f>IFERROR(__xludf.DUMMYFUNCTION("GOOGLETRANSLATE(B74,""zh-tw"",""de"")"),"Ausrüstung vom Typ „Befehl“
(Siehe Fertigkeitsplätze)")</f>
        <v>Ausrüstung vom Typ „Befehl“
(Siehe Fertigkeitsplätze)</v>
      </c>
      <c r="Q74" s="339" t="s">
        <v>5491</v>
      </c>
      <c r="R74" s="340" t="s">
        <v>5492</v>
      </c>
      <c r="S74" s="17"/>
      <c r="T74" s="17"/>
      <c r="U74" s="17"/>
      <c r="V74" s="17"/>
      <c r="W74" s="17"/>
      <c r="X74" s="17"/>
      <c r="Y74" s="17"/>
      <c r="Z74" s="17"/>
    </row>
    <row r="75">
      <c r="A75" s="341" t="s">
        <v>4352</v>
      </c>
      <c r="B75" s="163" t="s">
        <v>5493</v>
      </c>
      <c r="C75" s="348" t="s">
        <v>5494</v>
      </c>
      <c r="D75" s="186" t="s">
        <v>5495</v>
      </c>
      <c r="E75" s="335" t="s">
        <v>4358</v>
      </c>
      <c r="F75" s="163" t="s">
        <v>5496</v>
      </c>
      <c r="G75" s="337" t="str">
        <f>IFERROR(__xludf.DUMMYFUNCTION("GOOGLETRANSLATE(A75,""zh-tw"",""zh"")"),"◉▽◉(蓝色)")</f>
        <v>◉▽◉(蓝色)</v>
      </c>
      <c r="H75" s="164" t="str">
        <f>IFERROR(__xludf.DUMMYFUNCTION("GOOGLETRANSLATE(B75,""zh-tw"",""zh"")"),"投掷攻击
遇水消失、会被击杀
幸运：10")</f>
        <v>投掷攻击
遇水消失、会被击杀
幸运：10</v>
      </c>
      <c r="I75" s="337" t="str">
        <f>IFERROR(__xludf.DUMMYFUNCTION("GOOGLETRANSLATE(A75,""zh-tw"",""es-MX"")"),"◉▽◉ (Azul)")</f>
        <v>◉▽◉ (Azul)</v>
      </c>
      <c r="J75" s="164" t="str">
        <f>IFERROR(__xludf.DUMMYFUNCTION("GOOGLETRANSLATE(B75,""zh-tw"",""es-MX"")"),"Ataque arrojadizo. Desaparece al contacto con el agua y puede ser eliminado. Suerte: 10")</f>
        <v>Ataque arrojadizo. Desaparece al contacto con el agua y puede ser eliminado. Suerte: 10</v>
      </c>
      <c r="K75" s="337" t="str">
        <f>IFERROR(__xludf.DUMMYFUNCTION("GOOGLETRANSLATE(A75,""zh-tw"",""KO"")"),"◉▽◉ (파란색)")</f>
        <v>◉▽◉ (파란색)</v>
      </c>
      <c r="L75" s="164" t="str">
        <f>IFERROR(__xludf.DUMMYFUNCTION("GOOGLETRANSLATE(B75,""zh-tw"",""KO"")"),"던지기 공격. 물에 닿으면 사라지며, 죽을 수도 있습니다. 행운: 10")</f>
        <v>던지기 공격. 물에 닿으면 사라지며, 죽을 수도 있습니다. 행운: 10</v>
      </c>
      <c r="M75" s="338" t="str">
        <f>IFERROR(__xludf.DUMMYFUNCTION("GOOGLETRANSLATE(A75,""zh-tw"",""ru"")"),"◉▽◉ (Синий)")</f>
        <v>◉▽◉ (Синий)</v>
      </c>
      <c r="N75" s="317" t="str">
        <f>IFERROR(__xludf.DUMMYFUNCTION("GOOGLETRANSLATE(B75,""zh-tw"",""ru"")"),"Бросок. Исчезает при контакте с водой и может быть убит. Удача: 10.")</f>
        <v>Бросок. Исчезает при контакте с водой и может быть убит. Удача: 10.</v>
      </c>
      <c r="O75" s="335" t="s">
        <v>4361</v>
      </c>
      <c r="P75" s="163" t="s">
        <v>5497</v>
      </c>
      <c r="Q75" s="339" t="s">
        <v>4364</v>
      </c>
      <c r="R75" s="340" t="s">
        <v>5498</v>
      </c>
      <c r="S75" s="17"/>
      <c r="T75" s="17"/>
      <c r="U75" s="17"/>
      <c r="V75" s="17"/>
      <c r="W75" s="17"/>
      <c r="X75" s="17"/>
      <c r="Y75" s="17"/>
      <c r="Z75" s="17"/>
    </row>
    <row r="76">
      <c r="A76" s="337" t="s">
        <v>4367</v>
      </c>
      <c r="B76" s="163" t="s">
        <v>5499</v>
      </c>
      <c r="C76" s="337" t="s">
        <v>4367</v>
      </c>
      <c r="D76" s="186" t="s">
        <v>5500</v>
      </c>
      <c r="E76" s="335" t="s">
        <v>4371</v>
      </c>
      <c r="F76" s="163" t="s">
        <v>5501</v>
      </c>
      <c r="G76" s="337" t="str">
        <f>IFERROR(__xludf.DUMMYFUNCTION("GOOGLETRANSLATE(A76,""zh-tw"",""zh"")"),"◉▽◉(紫色)")</f>
        <v>◉▽◉(紫色)</v>
      </c>
      <c r="H76" s="164" t="str">
        <f>IFERROR(__xludf.DUMMYFUNCTION("GOOGLETRANSLATE(B76,""zh-tw"",""zh"")"),"投掷攻击
遇水消失、会被击杀
幸运：20")</f>
        <v>投掷攻击
遇水消失、会被击杀
幸运：20</v>
      </c>
      <c r="I76" s="337" t="str">
        <f>IFERROR(__xludf.DUMMYFUNCTION("GOOGLETRANSLATE(A76,""zh-tw"",""es-MX"")"),"◉▽◉(morado)")</f>
        <v>◉▽◉(morado)</v>
      </c>
      <c r="J76" s="164" t="str">
        <f>IFERROR(__xludf.DUMMYFUNCTION("GOOGLETRANSLATE(B76,""zh-tw"",""es-MX"")"),"Ataque arrojadizo. Desaparece al contacto con el agua y puede ser eliminado. Suerte: 20")</f>
        <v>Ataque arrojadizo. Desaparece al contacto con el agua y puede ser eliminado. Suerte: 20</v>
      </c>
      <c r="K76" s="337" t="str">
        <f>IFERROR(__xludf.DUMMYFUNCTION("GOOGLETRANSLATE(A76,""zh-tw"",""KO"")"),"◉▽◉(보라색)")</f>
        <v>◉▽◉(보라색)</v>
      </c>
      <c r="L76" s="164" t="str">
        <f>IFERROR(__xludf.DUMMYFUNCTION("GOOGLETRANSLATE(B76,""zh-tw"",""KO"")"),"던지기 공격. 물에 닿으면 사라지며, 죽을 수도 있습니다. 행운: 20")</f>
        <v>던지기 공격. 물에 닿으면 사라지며, 죽을 수도 있습니다. 행운: 20</v>
      </c>
      <c r="M76" s="338" t="str">
        <f>IFERROR(__xludf.DUMMYFUNCTION("GOOGLETRANSLATE(A76,""zh-tw"",""ru"")"),"◉▽◉(фиолетовый)")</f>
        <v>◉▽◉(фиолетовый)</v>
      </c>
      <c r="N76" s="317" t="str">
        <f>IFERROR(__xludf.DUMMYFUNCTION("GOOGLETRANSLATE(B76,""zh-tw"",""ru"")"),"Бросок. Исчезает при контакте с водой и может быть убит. Удача: 20.")</f>
        <v>Бросок. Исчезает при контакте с водой и может быть убит. Удача: 20.</v>
      </c>
      <c r="O76" s="335" t="s">
        <v>4373</v>
      </c>
      <c r="P76" s="163" t="s">
        <v>5502</v>
      </c>
      <c r="Q76" s="354" t="s">
        <v>4375</v>
      </c>
      <c r="R76" s="340" t="s">
        <v>5503</v>
      </c>
      <c r="S76" s="17"/>
      <c r="T76" s="17"/>
      <c r="U76" s="17"/>
      <c r="V76" s="17"/>
      <c r="W76" s="17"/>
      <c r="X76" s="17"/>
      <c r="Y76" s="17"/>
      <c r="Z76" s="17"/>
    </row>
    <row r="77">
      <c r="A77" s="337" t="s">
        <v>5504</v>
      </c>
      <c r="B77" s="163" t="s">
        <v>5505</v>
      </c>
      <c r="C77" s="348" t="s">
        <v>5506</v>
      </c>
      <c r="D77" s="186" t="s">
        <v>5507</v>
      </c>
      <c r="E77" s="335" t="s">
        <v>5508</v>
      </c>
      <c r="F77" s="163" t="s">
        <v>5509</v>
      </c>
      <c r="G77" s="337" t="str">
        <f>IFERROR(__xludf.DUMMYFUNCTION("GOOGLETRANSLATE(A77,""zh-tw"",""zh"")"),"◉▽◉(粉色)")</f>
        <v>◉▽◉(粉色)</v>
      </c>
      <c r="H77" s="164" t="str">
        <f>IFERROR(__xludf.DUMMYFUNCTION("GOOGLETRANSLATE(B77,""zh-tw"",""zh"")"),"投掷攻击
遇水消失、会被击杀
幸运：40")</f>
        <v>投掷攻击
遇水消失、会被击杀
幸运：40</v>
      </c>
      <c r="I77" s="337" t="str">
        <f>IFERROR(__xludf.DUMMYFUNCTION("GOOGLETRANSLATE(A77,""zh-tw"",""es-MX"")"),"◉▽◉(Rosa)")</f>
        <v>◉▽◉(Rosa)</v>
      </c>
      <c r="J77" s="164" t="str">
        <f>IFERROR(__xludf.DUMMYFUNCTION("GOOGLETRANSLATE(B77,""zh-tw"",""es-MX"")"),"Ataque arrojadizo. Desaparece al contacto con el agua; puede ser eliminado. Suerte: 40")</f>
        <v>Ataque arrojadizo. Desaparece al contacto con el agua; puede ser eliminado. Suerte: 40</v>
      </c>
      <c r="K77" s="337" t="str">
        <f>IFERROR(__xludf.DUMMYFUNCTION("GOOGLETRANSLATE(A77,""zh-tw"",""KO"")"),"◉▽◉(분홍색)")</f>
        <v>◉▽◉(분홍색)</v>
      </c>
      <c r="L77" s="164" t="str">
        <f>IFERROR(__xludf.DUMMYFUNCTION("GOOGLETRANSLATE(B77,""zh-tw"",""KO"")"),"던지기 공격. 물에 닿으면 사라짐. 죽을 수도 있음. 행운: 40")</f>
        <v>던지기 공격. 물에 닿으면 사라짐. 죽을 수도 있음. 행운: 40</v>
      </c>
      <c r="M77" s="338" t="str">
        <f>IFERROR(__xludf.DUMMYFUNCTION("GOOGLETRANSLATE(A77,""zh-tw"",""ru"")"),"◉▽◉(Розовый)")</f>
        <v>◉▽◉(Розовый)</v>
      </c>
      <c r="N77" s="317" t="str">
        <f>IFERROR(__xludf.DUMMYFUNCTION("GOOGLETRANSLATE(B77,""zh-tw"",""ru"")"),"Бросок. Исчезает при контакте с водой; может быть убит. Удача: 40.")</f>
        <v>Бросок. Исчезает при контакте с водой; может быть убит. Удача: 40.</v>
      </c>
      <c r="O77" s="335" t="s">
        <v>5510</v>
      </c>
      <c r="P77" s="163" t="s">
        <v>5511</v>
      </c>
      <c r="Q77" s="354" t="s">
        <v>5512</v>
      </c>
      <c r="R77" s="340" t="s">
        <v>5513</v>
      </c>
      <c r="S77" s="17"/>
      <c r="T77" s="17"/>
      <c r="U77" s="17"/>
      <c r="V77" s="17"/>
      <c r="W77" s="17"/>
      <c r="X77" s="17"/>
      <c r="Y77" s="17"/>
      <c r="Z77" s="17"/>
    </row>
    <row r="78">
      <c r="A78" s="335" t="s">
        <v>5514</v>
      </c>
      <c r="B78" s="163" t="s">
        <v>5515</v>
      </c>
      <c r="C78" s="348" t="s">
        <v>5516</v>
      </c>
      <c r="D78" s="186" t="s">
        <v>5517</v>
      </c>
      <c r="E78" s="335" t="s">
        <v>5518</v>
      </c>
      <c r="F78" s="163" t="s">
        <v>5519</v>
      </c>
      <c r="G78" s="337" t="str">
        <f>IFERROR(__xludf.DUMMYFUNCTION("GOOGLETRANSLATE(A78,""zh-tw"",""zh"")"),"初号核心I~VII")</f>
        <v>初号核心I~VII</v>
      </c>
      <c r="H78" s="164" t="str">
        <f>IFERROR(__xludf.DUMMYFUNCTION("GOOGLETRANSLATE(B78,""zh-tw"",""zh"")"),"可以于技能栏位中，消耗特定物品进行提升机甲的型态，由此获得新能力
魔抗：15~??
*无法丢弃或破坏
(请见TIPS说明)")</f>
        <v>可以于技能栏位中，消耗特定物品进行提升机甲的型态，由此获得新能力
魔抗：15~??
*无法丢弃或破坏
(请见TIPS说明)</v>
      </c>
      <c r="I78" s="337" t="str">
        <f>IFERROR(__xludf.DUMMYFUNCTION("GOOGLETRANSLATE(A78,""zh-tw"",""es-MX"")"),"Núcleo inicial I~VII")</f>
        <v>Núcleo inicial I~VII</v>
      </c>
      <c r="J78" s="164" t="str">
        <f>IFERROR(__xludf.DUMMYFUNCTION("GOOGLETRANSLATE(B78,""zh-tw"",""es-MX"")"),"Puedes mejorar la forma de tu meca consumiendo objetos específicos en las ranuras de habilidades, obteniendo así nuevas capacidades.
Resistencia mágica: 15~??
*No se puede descartar ni destruir.
(Consulta los CONSEJOS para más detalles)")</f>
        <v>Puedes mejorar la forma de tu meca consumiendo objetos específicos en las ranuras de habilidades, obteniendo así nuevas capacidades.
Resistencia mágica: 15~??
*No se puede descartar ni destruir.
(Consulta los CONSEJOS para más detalles)</v>
      </c>
      <c r="K78" s="337" t="str">
        <f>IFERROR(__xludf.DUMMYFUNCTION("GOOGLETRANSLATE(A78,""zh-tw"",""KO"")"),"초기 코어 I~VII")</f>
        <v>초기 코어 I~VII</v>
      </c>
      <c r="L78" s="164" t="str">
        <f>IFERROR(__xludf.DUMMYFUNCTION("GOOGLETRANSLATE(B78,""zh-tw"",""KO"")"),"스킬 슬롯에 있는 특정 아이템을 소모하여 메카의 형태를 업그레이드하고 새로운 능력을 얻을 수 있습니다.
마법 저항력: 15~??
*버리거나 파괴할 수 없습니다.
(자세한 내용은 팁을 참조하세요)")</f>
        <v>스킬 슬롯에 있는 특정 아이템을 소모하여 메카의 형태를 업그레이드하고 새로운 능력을 얻을 수 있습니다.
마법 저항력: 15~??
*버리거나 파괴할 수 없습니다.
(자세한 내용은 팁을 참조하세요)</v>
      </c>
      <c r="M78" s="338" t="str">
        <f>IFERROR(__xludf.DUMMYFUNCTION("GOOGLETRANSLATE(A78,""zh-tw"",""ru"")"),"Начальное ядро ​​I~VII")</f>
        <v>Начальное ядро ​​I~VII</v>
      </c>
      <c r="N78" s="317" t="str">
        <f>IFERROR(__xludf.DUMMYFUNCTION("GOOGLETRANSLATE(B78,""zh-tw"",""ru"")"),"Вы можете улучшить форму своего меха, используя определённые предметы в ячейках навыков, тем самым приобретая новые способности.
Сопротивление магии: 15~??
*Нельзя выбросить или уничтожить.
(Подробности см. в разделе «СОВЕТЫ»).")</f>
        <v>Вы можете улучшить форму своего меха, используя определённые предметы в ячейках навыков, тем самым приобретая новые способности.
Сопротивление магии: 15~??
*Нельзя выбросить или уничтожить.
(Подробности см. в разделе «СОВЕТЫ»).</v>
      </c>
      <c r="O78" s="335" t="s">
        <v>5520</v>
      </c>
      <c r="P78" s="163" t="s">
        <v>5521</v>
      </c>
      <c r="Q78" s="339" t="s">
        <v>5518</v>
      </c>
      <c r="R78" s="340" t="s">
        <v>5522</v>
      </c>
      <c r="S78" s="17"/>
      <c r="T78" s="17"/>
      <c r="U78" s="17"/>
      <c r="V78" s="17"/>
      <c r="W78" s="17"/>
      <c r="X78" s="17"/>
      <c r="Y78" s="17"/>
      <c r="Z78" s="17"/>
    </row>
    <row r="79">
      <c r="A79" s="335" t="s">
        <v>5523</v>
      </c>
      <c r="B79" s="163" t="s">
        <v>5524</v>
      </c>
      <c r="C79" s="348" t="s">
        <v>5525</v>
      </c>
      <c r="D79" s="186" t="s">
        <v>5526</v>
      </c>
      <c r="E79" s="335" t="s">
        <v>5527</v>
      </c>
      <c r="F79" s="163" t="s">
        <v>5528</v>
      </c>
      <c r="G79" s="337" t="str">
        <f>IFERROR(__xludf.DUMMYFUNCTION("GOOGLETRANSLATE(A79,""zh-tw"",""zh"")"),"Ruika的万宝槌")</f>
        <v>Ruika的万宝槌</v>
      </c>
      <c r="H79" s="164" t="str">
        <f>IFERROR(__xludf.DUMMYFUNCTION("GOOGLETRANSLATE(B79,""zh-tw"",""zh"")"),"幸运：777
增加掉落率(作弊道具)")</f>
        <v>幸运：777
增加掉落率(作弊道具)</v>
      </c>
      <c r="I79" s="337" t="str">
        <f>IFERROR(__xludf.DUMMYFUNCTION("GOOGLETRANSLATE(A79,""zh-tw"",""es-MX"")"),"El martillo de Ruika")</f>
        <v>El martillo de Ruika</v>
      </c>
      <c r="J79" s="164" t="str">
        <f>IFERROR(__xludf.DUMMYFUNCTION("GOOGLETRANSLATE(B79,""zh-tw"",""es-MX"")"),"Suerte: 777 Aumenta la probabilidad de obtener objetos (objeto de trampa)")</f>
        <v>Suerte: 777 Aumenta la probabilidad de obtener objetos (objeto de trampa)</v>
      </c>
      <c r="K79" s="337" t="str">
        <f>IFERROR(__xludf.DUMMYFUNCTION("GOOGLETRANSLATE(A79,""zh-tw"",""KO"")"),"루이카의 망치")</f>
        <v>루이카의 망치</v>
      </c>
      <c r="L79" s="164" t="str">
        <f>IFERROR(__xludf.DUMMYFUNCTION("GOOGLETRANSLATE(B79,""zh-tw"",""KO"")"),"행운 : 777 (치트아이템) 드랍률 증가")</f>
        <v>행운 : 777 (치트아이템) 드랍률 증가</v>
      </c>
      <c r="M79" s="338" t="str">
        <f>IFERROR(__xludf.DUMMYFUNCTION("GOOGLETRANSLATE(A79,""zh-tw"",""ru"")"),"Молот Руики")</f>
        <v>Молот Руики</v>
      </c>
      <c r="N79" s="317" t="str">
        <f>IFERROR(__xludf.DUMMYFUNCTION("GOOGLETRANSLATE(B79,""zh-tw"",""ru"")"),"Удача: 777 Увеличивает шанс выпадения (чит-предмет)")</f>
        <v>Удача: 777 Увеличивает шанс выпадения (чит-предмет)</v>
      </c>
      <c r="O79" s="338" t="str">
        <f>IFERROR(__xludf.DUMMYFUNCTION("GOOGLETRANSLATE(A79,""zh-tw"",""de"")"),"Ruikas Hammer")</f>
        <v>Ruikas Hammer</v>
      </c>
      <c r="P79" s="317" t="str">
        <f>IFERROR(__xludf.DUMMYFUNCTION("GOOGLETRANSLATE(B79,""zh-tw"",""de"")"),"Glück: 777 Erhöht die Drop-Rate (Cheat-Gegenstand)")</f>
        <v>Glück: 777 Erhöht die Drop-Rate (Cheat-Gegenstand)</v>
      </c>
      <c r="Q79" s="351" t="s">
        <v>5529</v>
      </c>
      <c r="R79" s="325" t="s">
        <v>5530</v>
      </c>
      <c r="S79" s="17"/>
      <c r="T79" s="17"/>
      <c r="U79" s="17"/>
      <c r="V79" s="17"/>
      <c r="W79" s="17"/>
      <c r="X79" s="17"/>
      <c r="Y79" s="17"/>
      <c r="Z79" s="17"/>
    </row>
    <row r="80">
      <c r="A80" s="335" t="s">
        <v>5531</v>
      </c>
      <c r="B80" s="163" t="s">
        <v>5532</v>
      </c>
      <c r="C80" s="348" t="s">
        <v>5533</v>
      </c>
      <c r="D80" s="186" t="s">
        <v>5534</v>
      </c>
      <c r="E80" s="335" t="s">
        <v>5535</v>
      </c>
      <c r="F80" s="163" t="s">
        <v>5536</v>
      </c>
      <c r="G80" s="337" t="str">
        <f>IFERROR(__xludf.DUMMYFUNCTION("GOOGLETRANSLATE(A80,""zh-tw"",""zh"")"),"Mio的急救箱")</f>
        <v>Mio的急救箱</v>
      </c>
      <c r="H80" s="164" t="str">
        <f>IFERROR(__xludf.DUMMYFUNCTION("GOOGLETRANSLATE(B80,""zh-tw"",""zh"")"),"每秒回复血(作弊道具)")</f>
        <v>每秒回复血(作弊道具)</v>
      </c>
      <c r="I80" s="337" t="str">
        <f>IFERROR(__xludf.DUMMYFUNCTION("GOOGLETRANSLATE(A80,""zh-tw"",""es-MX"")"),"Botiquín de primeros auxilios de Mio")</f>
        <v>Botiquín de primeros auxilios de Mio</v>
      </c>
      <c r="J80" s="164" t="str">
        <f>IFERROR(__xludf.DUMMYFUNCTION("GOOGLETRANSLATE(B80,""zh-tw"",""es-MX"")"),"Regenera salud por segundo (objeto de trampa)")</f>
        <v>Regenera salud por segundo (objeto de trampa)</v>
      </c>
      <c r="K80" s="337" t="str">
        <f>IFERROR(__xludf.DUMMYFUNCTION("GOOGLETRANSLATE(A80,""zh-tw"",""KO"")"),"미오의 응급처치 키트")</f>
        <v>미오의 응급처치 키트</v>
      </c>
      <c r="L80" s="164" t="str">
        <f>IFERROR(__xludf.DUMMYFUNCTION("GOOGLETRANSLATE(B80,""zh-tw"",""KO"")"),"초당 체력 재생(치트 아이템)")</f>
        <v>초당 체력 재생(치트 아이템)</v>
      </c>
      <c r="M80" s="338" t="str">
        <f>IFERROR(__xludf.DUMMYFUNCTION("GOOGLETRANSLATE(A80,""zh-tw"",""ru"")"),"Аптечка первой помощи Мио")</f>
        <v>Аптечка первой помощи Мио</v>
      </c>
      <c r="N80" s="317" t="str">
        <f>IFERROR(__xludf.DUMMYFUNCTION("GOOGLETRANSLATE(B80,""zh-tw"",""ru"")"),"Восстанавливает здоровье каждую секунду (чит-предмет)")</f>
        <v>Восстанавливает здоровье каждую секунду (чит-предмет)</v>
      </c>
      <c r="O80" s="338" t="str">
        <f>IFERROR(__xludf.DUMMYFUNCTION("GOOGLETRANSLATE(A80,""zh-tw"",""de"")"),"Mios Erste-Hilfe-Set")</f>
        <v>Mios Erste-Hilfe-Set</v>
      </c>
      <c r="P80" s="317" t="str">
        <f>IFERROR(__xludf.DUMMYFUNCTION("GOOGLETRANSLATE(B80,""zh-tw"",""de"")"),"Regeneriert Gesundheit pro Sekunde (Cheat-Gegenstand)")</f>
        <v>Regeneriert Gesundheit pro Sekunde (Cheat-Gegenstand)</v>
      </c>
      <c r="Q80" s="351" t="s">
        <v>5537</v>
      </c>
      <c r="R80" s="325" t="s">
        <v>5538</v>
      </c>
      <c r="S80" s="17"/>
      <c r="T80" s="17"/>
      <c r="U80" s="17"/>
      <c r="V80" s="17"/>
      <c r="W80" s="17"/>
      <c r="X80" s="17"/>
      <c r="Y80" s="17"/>
      <c r="Z80" s="17"/>
    </row>
    <row r="81">
      <c r="A81" s="335" t="s">
        <v>5539</v>
      </c>
      <c r="B81" s="163" t="s">
        <v>5540</v>
      </c>
      <c r="C81" s="348" t="s">
        <v>5541</v>
      </c>
      <c r="D81" s="186" t="s">
        <v>5542</v>
      </c>
      <c r="E81" s="335" t="s">
        <v>5543</v>
      </c>
      <c r="F81" s="163" t="s">
        <v>5544</v>
      </c>
      <c r="G81" s="337" t="str">
        <f>IFERROR(__xludf.DUMMYFUNCTION("GOOGLETRANSLATE(A81,""zh-tw"",""zh"")"),"白湮的金手指")</f>
        <v>白湮的金手指</v>
      </c>
      <c r="H81" s="164" t="str">
        <f>IFERROR(__xludf.DUMMYFUNCTION("GOOGLETRANSLATE(B81,""zh-tw"",""zh"")"),"武器无消耗(作弊道具)")</f>
        <v>武器无消耗(作弊道具)</v>
      </c>
      <c r="I81" s="337" t="str">
        <f>IFERROR(__xludf.DUMMYFUNCTION("GOOGLETRANSLATE(A81,""zh-tw"",""es-MX"")"),"El dedo dorado de Bai Yan")</f>
        <v>El dedo dorado de Bai Yan</v>
      </c>
      <c r="J81" s="164" t="str">
        <f>IFERROR(__xludf.DUMMYFUNCTION("GOOGLETRANSLATE(B81,""zh-tw"",""es-MX"")"),"Las armas no tienen coste (objeto de trampa)")</f>
        <v>Las armas no tienen coste (objeto de trampa)</v>
      </c>
      <c r="K81" s="337" t="str">
        <f>IFERROR(__xludf.DUMMYFUNCTION("GOOGLETRANSLATE(A81,""zh-tw"",""KO"")"),"백연의 황금 손가락")</f>
        <v>백연의 황금 손가락</v>
      </c>
      <c r="L81" s="164" t="str">
        <f>IFERROR(__xludf.DUMMYFUNCTION("GOOGLETRANSLATE(B81,""zh-tw"",""KO"")"),"무기에는 비용이 없습니다(치트 아이템)")</f>
        <v>무기에는 비용이 없습니다(치트 아이템)</v>
      </c>
      <c r="M81" s="338" t="str">
        <f>IFERROR(__xludf.DUMMYFUNCTION("GOOGLETRANSLATE(A81,""zh-tw"",""ru"")"),"Золотой палец Бай Яня")</f>
        <v>Золотой палец Бай Яня</v>
      </c>
      <c r="N81" s="317" t="str">
        <f>IFERROR(__xludf.DUMMYFUNCTION("GOOGLETRANSLATE(B81,""zh-tw"",""ru"")"),"Оружие не имеет стоимости (чит-предмет)")</f>
        <v>Оружие не имеет стоимости (чит-предмет)</v>
      </c>
      <c r="O81" s="338" t="str">
        <f>IFERROR(__xludf.DUMMYFUNCTION("GOOGLETRANSLATE(A81,""zh-tw"",""de"")"),"Bai Yans goldener Finger")</f>
        <v>Bai Yans goldener Finger</v>
      </c>
      <c r="P81" s="317" t="str">
        <f>IFERROR(__xludf.DUMMYFUNCTION("GOOGLETRANSLATE(B81,""zh-tw"",""de"")"),"Waffen kosten nichts (Cheat-Gegenstand).")</f>
        <v>Waffen kosten nichts (Cheat-Gegenstand).</v>
      </c>
      <c r="Q81" s="351" t="s">
        <v>5545</v>
      </c>
      <c r="R81" s="325" t="s">
        <v>5546</v>
      </c>
      <c r="S81" s="17"/>
      <c r="T81" s="17"/>
      <c r="U81" s="17"/>
      <c r="V81" s="17"/>
      <c r="W81" s="17"/>
      <c r="X81" s="17"/>
      <c r="Y81" s="17"/>
      <c r="Z81" s="17"/>
    </row>
    <row r="82">
      <c r="A82" s="337"/>
      <c r="B82" s="164"/>
      <c r="C82" s="350"/>
      <c r="D82" s="349"/>
      <c r="E82" s="337"/>
      <c r="F82" s="164"/>
      <c r="G82" s="337"/>
      <c r="H82" s="164"/>
      <c r="I82" s="343"/>
      <c r="J82" s="183"/>
      <c r="K82" s="343"/>
      <c r="L82" s="183"/>
      <c r="M82" s="343"/>
      <c r="N82" s="183"/>
      <c r="O82" s="337"/>
      <c r="P82" s="164"/>
      <c r="Q82" s="339"/>
      <c r="R82" s="340"/>
      <c r="S82" s="17"/>
      <c r="T82" s="17"/>
      <c r="U82" s="17"/>
      <c r="V82" s="17"/>
      <c r="W82" s="17"/>
      <c r="X82" s="17"/>
      <c r="Y82" s="17"/>
      <c r="Z82" s="17"/>
    </row>
    <row r="83">
      <c r="A83" s="337"/>
      <c r="B83" s="164"/>
      <c r="C83" s="350"/>
      <c r="D83" s="349"/>
      <c r="E83" s="337"/>
      <c r="F83" s="164"/>
      <c r="G83" s="337"/>
      <c r="H83" s="164"/>
      <c r="I83" s="343"/>
      <c r="J83" s="183"/>
      <c r="K83" s="343"/>
      <c r="L83" s="183"/>
      <c r="M83" s="343"/>
      <c r="N83" s="183"/>
      <c r="O83" s="337"/>
      <c r="P83" s="164"/>
      <c r="Q83" s="339"/>
      <c r="R83" s="340"/>
      <c r="S83" s="17"/>
      <c r="T83" s="17"/>
      <c r="U83" s="17"/>
      <c r="V83" s="17"/>
      <c r="W83" s="17"/>
      <c r="X83" s="17"/>
      <c r="Y83" s="17"/>
      <c r="Z83" s="17"/>
    </row>
    <row r="84">
      <c r="A84" s="337"/>
      <c r="B84" s="164"/>
      <c r="C84" s="350"/>
      <c r="D84" s="349"/>
      <c r="E84" s="337"/>
      <c r="F84" s="164"/>
      <c r="G84" s="337"/>
      <c r="H84" s="164"/>
      <c r="I84" s="343"/>
      <c r="J84" s="183"/>
      <c r="K84" s="343"/>
      <c r="L84" s="183"/>
      <c r="M84" s="343"/>
      <c r="N84" s="183"/>
      <c r="O84" s="337"/>
      <c r="P84" s="164"/>
      <c r="Q84" s="339"/>
      <c r="R84" s="340"/>
      <c r="S84" s="17"/>
      <c r="T84" s="17"/>
      <c r="U84" s="17"/>
      <c r="V84" s="17"/>
      <c r="W84" s="17"/>
      <c r="X84" s="17"/>
      <c r="Y84" s="17"/>
      <c r="Z84" s="17"/>
    </row>
    <row r="85">
      <c r="A85" s="337"/>
      <c r="B85" s="164"/>
      <c r="C85" s="350"/>
      <c r="D85" s="349"/>
      <c r="E85" s="337"/>
      <c r="F85" s="164"/>
      <c r="G85" s="337"/>
      <c r="H85" s="164"/>
      <c r="I85" s="343"/>
      <c r="J85" s="183"/>
      <c r="K85" s="343"/>
      <c r="L85" s="183"/>
      <c r="M85" s="343"/>
      <c r="N85" s="183"/>
      <c r="O85" s="337"/>
      <c r="P85" s="164"/>
      <c r="Q85" s="339"/>
      <c r="R85" s="340"/>
      <c r="S85" s="17"/>
      <c r="T85" s="17"/>
      <c r="U85" s="17"/>
      <c r="V85" s="17"/>
      <c r="W85" s="17"/>
      <c r="X85" s="17"/>
      <c r="Y85" s="17"/>
      <c r="Z85" s="17"/>
    </row>
    <row r="86">
      <c r="A86" s="337"/>
      <c r="B86" s="164"/>
      <c r="C86" s="350"/>
      <c r="D86" s="349"/>
      <c r="E86" s="337"/>
      <c r="F86" s="164"/>
      <c r="G86" s="337"/>
      <c r="H86" s="164"/>
      <c r="I86" s="343"/>
      <c r="J86" s="183"/>
      <c r="K86" s="343"/>
      <c r="L86" s="183"/>
      <c r="M86" s="343"/>
      <c r="N86" s="183"/>
      <c r="O86" s="337"/>
      <c r="P86" s="164"/>
      <c r="Q86" s="339"/>
      <c r="R86" s="340"/>
      <c r="S86" s="17"/>
      <c r="T86" s="17"/>
      <c r="U86" s="17"/>
      <c r="V86" s="17"/>
      <c r="W86" s="17"/>
      <c r="X86" s="17"/>
      <c r="Y86" s="17"/>
      <c r="Z86" s="17"/>
    </row>
    <row r="87">
      <c r="A87" s="337"/>
      <c r="B87" s="164"/>
      <c r="C87" s="350"/>
      <c r="D87" s="349"/>
      <c r="E87" s="337"/>
      <c r="F87" s="164"/>
      <c r="G87" s="337"/>
      <c r="H87" s="164"/>
      <c r="I87" s="343"/>
      <c r="J87" s="183"/>
      <c r="K87" s="343"/>
      <c r="L87" s="183"/>
      <c r="M87" s="343"/>
      <c r="N87" s="183"/>
      <c r="O87" s="337"/>
      <c r="P87" s="164"/>
      <c r="Q87" s="339"/>
      <c r="R87" s="340"/>
      <c r="S87" s="17"/>
      <c r="T87" s="17"/>
      <c r="U87" s="17"/>
      <c r="V87" s="17"/>
      <c r="W87" s="17"/>
      <c r="X87" s="17"/>
      <c r="Y87" s="17"/>
      <c r="Z87" s="17"/>
    </row>
    <row r="88">
      <c r="A88" s="337"/>
      <c r="B88" s="164"/>
      <c r="C88" s="350"/>
      <c r="D88" s="349"/>
      <c r="E88" s="337"/>
      <c r="F88" s="164"/>
      <c r="G88" s="337"/>
      <c r="H88" s="164"/>
      <c r="I88" s="343"/>
      <c r="J88" s="183"/>
      <c r="K88" s="343"/>
      <c r="L88" s="183"/>
      <c r="M88" s="343"/>
      <c r="N88" s="183"/>
      <c r="O88" s="337"/>
      <c r="P88" s="164"/>
      <c r="Q88" s="339"/>
      <c r="R88" s="340"/>
      <c r="S88" s="17"/>
      <c r="T88" s="17"/>
      <c r="U88" s="17"/>
      <c r="V88" s="17"/>
      <c r="W88" s="17"/>
      <c r="X88" s="17"/>
      <c r="Y88" s="17"/>
      <c r="Z88" s="17"/>
    </row>
    <row r="89">
      <c r="A89" s="337"/>
      <c r="B89" s="358"/>
      <c r="C89" s="350"/>
      <c r="D89" s="349"/>
      <c r="E89" s="337"/>
      <c r="F89" s="164"/>
      <c r="G89" s="337"/>
      <c r="H89" s="164"/>
      <c r="I89" s="343"/>
      <c r="J89" s="183"/>
      <c r="K89" s="343"/>
      <c r="L89" s="183"/>
      <c r="M89" s="343"/>
      <c r="N89" s="183"/>
      <c r="O89" s="337"/>
      <c r="P89" s="164"/>
      <c r="Q89" s="339"/>
      <c r="R89" s="340"/>
      <c r="S89" s="17"/>
      <c r="T89" s="17"/>
      <c r="U89" s="17"/>
      <c r="V89" s="17"/>
      <c r="W89" s="17"/>
      <c r="X89" s="17"/>
      <c r="Y89" s="17"/>
      <c r="Z89" s="17"/>
    </row>
    <row r="90">
      <c r="A90" s="337"/>
      <c r="B90" s="164"/>
      <c r="C90" s="350"/>
      <c r="D90" s="349"/>
      <c r="E90" s="337"/>
      <c r="F90" s="164"/>
      <c r="G90" s="337"/>
      <c r="H90" s="164"/>
      <c r="I90" s="343"/>
      <c r="J90" s="183"/>
      <c r="K90" s="343"/>
      <c r="L90" s="183"/>
      <c r="M90" s="343"/>
      <c r="N90" s="183"/>
      <c r="O90" s="337"/>
      <c r="P90" s="164"/>
      <c r="Q90" s="339"/>
      <c r="R90" s="340"/>
      <c r="S90" s="17"/>
      <c r="T90" s="17"/>
      <c r="U90" s="17"/>
      <c r="V90" s="17"/>
      <c r="W90" s="17"/>
      <c r="X90" s="17"/>
      <c r="Y90" s="17"/>
      <c r="Z90" s="17"/>
    </row>
    <row r="91">
      <c r="A91" s="337"/>
      <c r="B91" s="164"/>
      <c r="C91" s="350"/>
      <c r="D91" s="349"/>
      <c r="E91" s="337"/>
      <c r="F91" s="164"/>
      <c r="G91" s="337"/>
      <c r="H91" s="164"/>
      <c r="I91" s="343"/>
      <c r="J91" s="183"/>
      <c r="K91" s="343"/>
      <c r="L91" s="183"/>
      <c r="M91" s="343"/>
      <c r="N91" s="183"/>
      <c r="O91" s="337"/>
      <c r="P91" s="164"/>
      <c r="Q91" s="339"/>
      <c r="R91" s="340"/>
      <c r="S91" s="17"/>
      <c r="T91" s="17"/>
      <c r="U91" s="17"/>
      <c r="V91" s="17"/>
      <c r="W91" s="17"/>
      <c r="X91" s="17"/>
      <c r="Y91" s="17"/>
      <c r="Z91" s="17"/>
    </row>
    <row r="92">
      <c r="A92" s="337"/>
      <c r="B92" s="164"/>
      <c r="C92" s="350"/>
      <c r="D92" s="349"/>
      <c r="E92" s="337"/>
      <c r="F92" s="164"/>
      <c r="G92" s="337"/>
      <c r="H92" s="164"/>
      <c r="I92" s="343"/>
      <c r="J92" s="183"/>
      <c r="K92" s="343"/>
      <c r="L92" s="183"/>
      <c r="M92" s="343"/>
      <c r="N92" s="183"/>
      <c r="O92" s="337"/>
      <c r="P92" s="164"/>
      <c r="Q92" s="339"/>
      <c r="R92" s="340"/>
      <c r="S92" s="17"/>
      <c r="T92" s="17"/>
      <c r="U92" s="17"/>
      <c r="V92" s="17"/>
      <c r="W92" s="17"/>
      <c r="X92" s="17"/>
      <c r="Y92" s="17"/>
      <c r="Z92" s="17"/>
    </row>
    <row r="93">
      <c r="A93" s="337"/>
      <c r="B93" s="164"/>
      <c r="C93" s="350"/>
      <c r="D93" s="349"/>
      <c r="E93" s="337"/>
      <c r="F93" s="164"/>
      <c r="G93" s="337"/>
      <c r="H93" s="164"/>
      <c r="I93" s="343"/>
      <c r="J93" s="183"/>
      <c r="K93" s="343"/>
      <c r="L93" s="183"/>
      <c r="M93" s="343"/>
      <c r="N93" s="183"/>
      <c r="O93" s="337"/>
      <c r="P93" s="164"/>
      <c r="Q93" s="339"/>
      <c r="R93" s="340"/>
      <c r="S93" s="17"/>
      <c r="T93" s="17"/>
      <c r="U93" s="17"/>
      <c r="V93" s="17"/>
      <c r="W93" s="17"/>
      <c r="X93" s="17"/>
      <c r="Y93" s="17"/>
      <c r="Z93" s="17"/>
    </row>
    <row r="94">
      <c r="A94" s="337"/>
      <c r="B94" s="164"/>
      <c r="C94" s="350"/>
      <c r="D94" s="349"/>
      <c r="E94" s="337"/>
      <c r="F94" s="164"/>
      <c r="G94" s="337"/>
      <c r="H94" s="164"/>
      <c r="I94" s="343"/>
      <c r="J94" s="183"/>
      <c r="K94" s="343"/>
      <c r="L94" s="183"/>
      <c r="M94" s="343"/>
      <c r="N94" s="183"/>
      <c r="O94" s="337"/>
      <c r="P94" s="164"/>
      <c r="Q94" s="339"/>
      <c r="R94" s="340"/>
      <c r="S94" s="17"/>
      <c r="T94" s="17"/>
      <c r="U94" s="17"/>
      <c r="V94" s="17"/>
      <c r="W94" s="17"/>
      <c r="X94" s="17"/>
      <c r="Y94" s="17"/>
      <c r="Z94" s="17"/>
    </row>
    <row r="95">
      <c r="A95" s="337"/>
      <c r="B95" s="164"/>
      <c r="C95" s="350"/>
      <c r="D95" s="349"/>
      <c r="E95" s="337"/>
      <c r="F95" s="164"/>
      <c r="G95" s="337"/>
      <c r="H95" s="164"/>
      <c r="I95" s="343"/>
      <c r="J95" s="183"/>
      <c r="K95" s="343"/>
      <c r="L95" s="183"/>
      <c r="M95" s="343"/>
      <c r="N95" s="183"/>
      <c r="O95" s="337"/>
      <c r="P95" s="164"/>
      <c r="Q95" s="339"/>
      <c r="R95" s="340"/>
      <c r="S95" s="17"/>
      <c r="T95" s="17"/>
      <c r="U95" s="17"/>
      <c r="V95" s="17"/>
      <c r="W95" s="17"/>
      <c r="X95" s="17"/>
      <c r="Y95" s="17"/>
      <c r="Z95" s="17"/>
    </row>
    <row r="96">
      <c r="A96" s="337"/>
      <c r="B96" s="164"/>
      <c r="C96" s="350"/>
      <c r="D96" s="349"/>
      <c r="E96" s="337"/>
      <c r="F96" s="164"/>
      <c r="G96" s="337"/>
      <c r="H96" s="164"/>
      <c r="I96" s="343"/>
      <c r="J96" s="183"/>
      <c r="K96" s="343"/>
      <c r="L96" s="183"/>
      <c r="M96" s="343"/>
      <c r="N96" s="183"/>
      <c r="O96" s="337"/>
      <c r="P96" s="164"/>
      <c r="Q96" s="339"/>
      <c r="R96" s="340"/>
      <c r="S96" s="17"/>
      <c r="T96" s="17"/>
      <c r="U96" s="17"/>
      <c r="V96" s="17"/>
      <c r="W96" s="17"/>
      <c r="X96" s="17"/>
      <c r="Y96" s="17"/>
      <c r="Z96" s="17"/>
    </row>
    <row r="97">
      <c r="A97" s="337"/>
      <c r="B97" s="164"/>
      <c r="C97" s="350"/>
      <c r="D97" s="349"/>
      <c r="E97" s="337"/>
      <c r="F97" s="164"/>
      <c r="G97" s="337"/>
      <c r="H97" s="164"/>
      <c r="I97" s="343"/>
      <c r="J97" s="183"/>
      <c r="K97" s="343"/>
      <c r="L97" s="183"/>
      <c r="M97" s="343"/>
      <c r="N97" s="183"/>
      <c r="O97" s="337"/>
      <c r="P97" s="164"/>
      <c r="Q97" s="339"/>
      <c r="R97" s="340"/>
      <c r="S97" s="17"/>
      <c r="T97" s="17"/>
      <c r="U97" s="17"/>
      <c r="V97" s="17"/>
      <c r="W97" s="17"/>
      <c r="X97" s="17"/>
      <c r="Y97" s="17"/>
      <c r="Z97" s="17"/>
    </row>
    <row r="98">
      <c r="A98" s="337"/>
      <c r="B98" s="164"/>
      <c r="C98" s="350"/>
      <c r="D98" s="349"/>
      <c r="E98" s="337"/>
      <c r="F98" s="164"/>
      <c r="G98" s="337"/>
      <c r="H98" s="164"/>
      <c r="I98" s="343"/>
      <c r="J98" s="183"/>
      <c r="K98" s="343"/>
      <c r="L98" s="183"/>
      <c r="M98" s="343"/>
      <c r="N98" s="183"/>
      <c r="O98" s="337"/>
      <c r="P98" s="164"/>
      <c r="Q98" s="339"/>
      <c r="R98" s="340"/>
      <c r="S98" s="17"/>
      <c r="T98" s="17"/>
      <c r="U98" s="17"/>
      <c r="V98" s="17"/>
      <c r="W98" s="17"/>
      <c r="X98" s="17"/>
      <c r="Y98" s="17"/>
      <c r="Z98" s="17"/>
    </row>
    <row r="99">
      <c r="A99" s="337"/>
      <c r="B99" s="164"/>
      <c r="C99" s="350"/>
      <c r="D99" s="349"/>
      <c r="E99" s="337"/>
      <c r="F99" s="164"/>
      <c r="G99" s="337"/>
      <c r="H99" s="164"/>
      <c r="I99" s="343"/>
      <c r="J99" s="183"/>
      <c r="K99" s="343"/>
      <c r="L99" s="183"/>
      <c r="M99" s="343"/>
      <c r="N99" s="183"/>
      <c r="O99" s="337"/>
      <c r="P99" s="164"/>
      <c r="Q99" s="339"/>
      <c r="R99" s="340"/>
      <c r="S99" s="17"/>
      <c r="T99" s="17"/>
      <c r="U99" s="17"/>
      <c r="V99" s="17"/>
      <c r="W99" s="17"/>
      <c r="X99" s="17"/>
      <c r="Y99" s="17"/>
      <c r="Z99" s="17"/>
    </row>
    <row r="100">
      <c r="A100" s="337"/>
      <c r="B100" s="164"/>
      <c r="C100" s="350"/>
      <c r="D100" s="349"/>
      <c r="E100" s="337"/>
      <c r="F100" s="164"/>
      <c r="G100" s="337"/>
      <c r="H100" s="164"/>
      <c r="I100" s="343"/>
      <c r="J100" s="183"/>
      <c r="K100" s="343"/>
      <c r="L100" s="183"/>
      <c r="M100" s="343"/>
      <c r="N100" s="183"/>
      <c r="O100" s="337"/>
      <c r="P100" s="164"/>
      <c r="Q100" s="339"/>
      <c r="R100" s="340"/>
      <c r="S100" s="17"/>
      <c r="T100" s="17"/>
      <c r="U100" s="17"/>
      <c r="V100" s="17"/>
      <c r="W100" s="17"/>
      <c r="X100" s="17"/>
      <c r="Y100" s="17"/>
      <c r="Z100" s="17"/>
    </row>
    <row r="101">
      <c r="A101" s="337"/>
      <c r="B101" s="164"/>
      <c r="C101" s="350"/>
      <c r="D101" s="349"/>
      <c r="E101" s="337"/>
      <c r="F101" s="164"/>
      <c r="G101" s="337"/>
      <c r="H101" s="164"/>
      <c r="I101" s="343"/>
      <c r="J101" s="183"/>
      <c r="K101" s="343"/>
      <c r="L101" s="183"/>
      <c r="M101" s="343"/>
      <c r="N101" s="183"/>
      <c r="O101" s="337"/>
      <c r="P101" s="164"/>
      <c r="Q101" s="339"/>
      <c r="R101" s="340"/>
      <c r="S101" s="17"/>
      <c r="T101" s="17"/>
      <c r="U101" s="17"/>
      <c r="V101" s="17"/>
      <c r="W101" s="17"/>
      <c r="X101" s="17"/>
      <c r="Y101" s="17"/>
      <c r="Z101" s="17"/>
    </row>
    <row r="102">
      <c r="A102" s="337"/>
      <c r="B102" s="164"/>
      <c r="C102" s="350"/>
      <c r="D102" s="349"/>
      <c r="E102" s="337"/>
      <c r="F102" s="164"/>
      <c r="G102" s="337"/>
      <c r="H102" s="164"/>
      <c r="I102" s="343"/>
      <c r="J102" s="183"/>
      <c r="K102" s="343"/>
      <c r="L102" s="183"/>
      <c r="M102" s="343"/>
      <c r="N102" s="183"/>
      <c r="O102" s="337"/>
      <c r="P102" s="164"/>
      <c r="Q102" s="339"/>
      <c r="R102" s="340"/>
      <c r="S102" s="17"/>
      <c r="T102" s="17"/>
      <c r="U102" s="17"/>
      <c r="V102" s="17"/>
      <c r="W102" s="17"/>
      <c r="X102" s="17"/>
      <c r="Y102" s="17"/>
      <c r="Z102" s="17"/>
    </row>
    <row r="103">
      <c r="A103" s="337"/>
      <c r="B103" s="164"/>
      <c r="C103" s="350"/>
      <c r="D103" s="349"/>
      <c r="E103" s="337"/>
      <c r="F103" s="164"/>
      <c r="G103" s="337"/>
      <c r="H103" s="164"/>
      <c r="I103" s="343"/>
      <c r="J103" s="183"/>
      <c r="K103" s="343"/>
      <c r="L103" s="183"/>
      <c r="M103" s="343"/>
      <c r="N103" s="183"/>
      <c r="O103" s="337"/>
      <c r="P103" s="164"/>
      <c r="Q103" s="339"/>
      <c r="R103" s="340"/>
      <c r="S103" s="17"/>
      <c r="T103" s="17"/>
      <c r="U103" s="17"/>
      <c r="V103" s="17"/>
      <c r="W103" s="17"/>
      <c r="X103" s="17"/>
      <c r="Y103" s="17"/>
      <c r="Z103" s="17"/>
    </row>
    <row r="104">
      <c r="A104" s="337"/>
      <c r="B104" s="164"/>
      <c r="C104" s="350"/>
      <c r="D104" s="349"/>
      <c r="E104" s="337"/>
      <c r="F104" s="164"/>
      <c r="G104" s="337"/>
      <c r="H104" s="164"/>
      <c r="I104" s="343"/>
      <c r="J104" s="183"/>
      <c r="K104" s="343"/>
      <c r="L104" s="183"/>
      <c r="M104" s="343"/>
      <c r="N104" s="183"/>
      <c r="O104" s="337"/>
      <c r="P104" s="164"/>
      <c r="Q104" s="339"/>
      <c r="R104" s="340"/>
      <c r="S104" s="17"/>
      <c r="T104" s="17"/>
      <c r="U104" s="17"/>
      <c r="V104" s="17"/>
      <c r="W104" s="17"/>
      <c r="X104" s="17"/>
      <c r="Y104" s="17"/>
      <c r="Z104" s="17"/>
    </row>
    <row r="105">
      <c r="A105" s="337"/>
      <c r="B105" s="164"/>
      <c r="C105" s="350"/>
      <c r="D105" s="349"/>
      <c r="E105" s="337"/>
      <c r="F105" s="164"/>
      <c r="G105" s="337"/>
      <c r="H105" s="164"/>
      <c r="I105" s="343"/>
      <c r="J105" s="183"/>
      <c r="K105" s="343"/>
      <c r="L105" s="183"/>
      <c r="M105" s="343"/>
      <c r="N105" s="183"/>
      <c r="O105" s="337"/>
      <c r="P105" s="164"/>
      <c r="Q105" s="339"/>
      <c r="R105" s="340"/>
      <c r="S105" s="17"/>
      <c r="T105" s="17"/>
      <c r="U105" s="17"/>
      <c r="V105" s="17"/>
      <c r="W105" s="17"/>
      <c r="X105" s="17"/>
      <c r="Y105" s="17"/>
      <c r="Z105" s="17"/>
    </row>
    <row r="106">
      <c r="A106" s="337"/>
      <c r="B106" s="164"/>
      <c r="C106" s="350"/>
      <c r="D106" s="349"/>
      <c r="E106" s="337"/>
      <c r="F106" s="164"/>
      <c r="G106" s="337"/>
      <c r="H106" s="164"/>
      <c r="I106" s="343"/>
      <c r="J106" s="183"/>
      <c r="K106" s="343"/>
      <c r="L106" s="183"/>
      <c r="M106" s="343"/>
      <c r="N106" s="183"/>
      <c r="O106" s="337"/>
      <c r="P106" s="164"/>
      <c r="Q106" s="339"/>
      <c r="R106" s="340"/>
      <c r="S106" s="17"/>
      <c r="T106" s="17"/>
      <c r="U106" s="17"/>
      <c r="V106" s="17"/>
      <c r="W106" s="17"/>
      <c r="X106" s="17"/>
      <c r="Y106" s="17"/>
      <c r="Z106" s="17"/>
    </row>
    <row r="107">
      <c r="A107" s="337"/>
      <c r="B107" s="164"/>
      <c r="C107" s="350"/>
      <c r="D107" s="349"/>
      <c r="E107" s="337"/>
      <c r="F107" s="164"/>
      <c r="G107" s="337"/>
      <c r="H107" s="164"/>
      <c r="I107" s="343"/>
      <c r="J107" s="183"/>
      <c r="K107" s="343"/>
      <c r="L107" s="183"/>
      <c r="M107" s="343"/>
      <c r="N107" s="183"/>
      <c r="O107" s="337"/>
      <c r="P107" s="164"/>
      <c r="Q107" s="339"/>
      <c r="R107" s="340"/>
      <c r="S107" s="17"/>
      <c r="T107" s="17"/>
      <c r="U107" s="17"/>
      <c r="V107" s="17"/>
      <c r="W107" s="17"/>
      <c r="X107" s="17"/>
      <c r="Y107" s="17"/>
      <c r="Z107" s="17"/>
    </row>
    <row r="108">
      <c r="A108" s="337"/>
      <c r="B108" s="164"/>
      <c r="C108" s="350"/>
      <c r="D108" s="349"/>
      <c r="E108" s="337"/>
      <c r="F108" s="164"/>
      <c r="G108" s="337"/>
      <c r="H108" s="164"/>
      <c r="I108" s="343"/>
      <c r="J108" s="183"/>
      <c r="K108" s="343"/>
      <c r="L108" s="183"/>
      <c r="M108" s="343"/>
      <c r="N108" s="183"/>
      <c r="O108" s="337"/>
      <c r="P108" s="164"/>
      <c r="Q108" s="339"/>
      <c r="R108" s="340"/>
      <c r="S108" s="17"/>
      <c r="T108" s="17"/>
      <c r="U108" s="17"/>
      <c r="V108" s="17"/>
      <c r="W108" s="17"/>
      <c r="X108" s="17"/>
      <c r="Y108" s="17"/>
      <c r="Z108" s="17"/>
    </row>
    <row r="109">
      <c r="A109" s="337"/>
      <c r="B109" s="164"/>
      <c r="C109" s="350"/>
      <c r="D109" s="349"/>
      <c r="E109" s="337"/>
      <c r="F109" s="164"/>
      <c r="G109" s="337"/>
      <c r="H109" s="164"/>
      <c r="I109" s="343"/>
      <c r="J109" s="183"/>
      <c r="K109" s="343"/>
      <c r="L109" s="183"/>
      <c r="M109" s="343"/>
      <c r="N109" s="183"/>
      <c r="O109" s="337"/>
      <c r="P109" s="164"/>
      <c r="Q109" s="339"/>
      <c r="R109" s="340"/>
      <c r="S109" s="17"/>
      <c r="T109" s="17"/>
      <c r="U109" s="17"/>
      <c r="V109" s="17"/>
      <c r="W109" s="17"/>
      <c r="X109" s="17"/>
      <c r="Y109" s="17"/>
      <c r="Z109" s="17"/>
    </row>
    <row r="110">
      <c r="A110" s="337"/>
      <c r="B110" s="164"/>
      <c r="C110" s="350"/>
      <c r="D110" s="349"/>
      <c r="E110" s="337"/>
      <c r="F110" s="164"/>
      <c r="G110" s="337"/>
      <c r="H110" s="164"/>
      <c r="I110" s="343"/>
      <c r="J110" s="183"/>
      <c r="K110" s="343"/>
      <c r="L110" s="183"/>
      <c r="M110" s="343"/>
      <c r="N110" s="183"/>
      <c r="O110" s="337"/>
      <c r="P110" s="164"/>
      <c r="Q110" s="339"/>
      <c r="R110" s="340"/>
      <c r="S110" s="17"/>
      <c r="T110" s="17"/>
      <c r="U110" s="17"/>
      <c r="V110" s="17"/>
      <c r="W110" s="17"/>
      <c r="X110" s="17"/>
      <c r="Y110" s="17"/>
      <c r="Z110" s="17"/>
    </row>
    <row r="111">
      <c r="A111" s="337"/>
      <c r="B111" s="164"/>
      <c r="C111" s="350"/>
      <c r="D111" s="349"/>
      <c r="E111" s="337"/>
      <c r="F111" s="164"/>
      <c r="G111" s="337"/>
      <c r="H111" s="164"/>
      <c r="I111" s="343"/>
      <c r="J111" s="183"/>
      <c r="K111" s="343"/>
      <c r="L111" s="183"/>
      <c r="M111" s="343"/>
      <c r="N111" s="183"/>
      <c r="O111" s="337"/>
      <c r="P111" s="164"/>
      <c r="Q111" s="339"/>
      <c r="R111" s="340"/>
      <c r="S111" s="17"/>
      <c r="T111" s="17"/>
      <c r="U111" s="17"/>
      <c r="V111" s="17"/>
      <c r="W111" s="17"/>
      <c r="X111" s="17"/>
      <c r="Y111" s="17"/>
      <c r="Z111" s="17"/>
    </row>
    <row r="112">
      <c r="A112" s="337"/>
      <c r="B112" s="164"/>
      <c r="C112" s="350"/>
      <c r="D112" s="349"/>
      <c r="E112" s="337"/>
      <c r="F112" s="164"/>
      <c r="G112" s="337"/>
      <c r="H112" s="164"/>
      <c r="I112" s="343"/>
      <c r="J112" s="183"/>
      <c r="K112" s="343"/>
      <c r="L112" s="183"/>
      <c r="M112" s="343"/>
      <c r="N112" s="183"/>
      <c r="O112" s="337"/>
      <c r="P112" s="164"/>
      <c r="Q112" s="339"/>
      <c r="R112" s="340"/>
      <c r="S112" s="17"/>
      <c r="T112" s="17"/>
      <c r="U112" s="17"/>
      <c r="V112" s="17"/>
      <c r="W112" s="17"/>
      <c r="X112" s="17"/>
      <c r="Y112" s="17"/>
      <c r="Z112" s="17"/>
    </row>
    <row r="113">
      <c r="A113" s="337"/>
      <c r="B113" s="164"/>
      <c r="C113" s="350"/>
      <c r="D113" s="349"/>
      <c r="E113" s="337"/>
      <c r="F113" s="164"/>
      <c r="G113" s="337"/>
      <c r="H113" s="164"/>
      <c r="I113" s="343"/>
      <c r="J113" s="183"/>
      <c r="K113" s="343"/>
      <c r="L113" s="183"/>
      <c r="M113" s="343"/>
      <c r="N113" s="183"/>
      <c r="O113" s="337"/>
      <c r="P113" s="164"/>
      <c r="Q113" s="339"/>
      <c r="R113" s="340"/>
      <c r="S113" s="17"/>
      <c r="T113" s="17"/>
      <c r="U113" s="17"/>
      <c r="V113" s="17"/>
      <c r="W113" s="17"/>
      <c r="X113" s="17"/>
      <c r="Y113" s="17"/>
      <c r="Z113" s="17"/>
    </row>
    <row r="114">
      <c r="A114" s="337"/>
      <c r="B114" s="164"/>
      <c r="C114" s="350"/>
      <c r="D114" s="349"/>
      <c r="E114" s="337"/>
      <c r="F114" s="164"/>
      <c r="G114" s="337"/>
      <c r="H114" s="164"/>
      <c r="I114" s="343"/>
      <c r="J114" s="183"/>
      <c r="K114" s="343"/>
      <c r="L114" s="183"/>
      <c r="M114" s="343"/>
      <c r="N114" s="183"/>
      <c r="O114" s="337"/>
      <c r="P114" s="164"/>
      <c r="Q114" s="339"/>
      <c r="R114" s="340"/>
      <c r="S114" s="17"/>
      <c r="T114" s="17"/>
      <c r="U114" s="17"/>
      <c r="V114" s="17"/>
      <c r="W114" s="17"/>
      <c r="X114" s="17"/>
      <c r="Y114" s="17"/>
      <c r="Z114" s="17"/>
    </row>
    <row r="115">
      <c r="A115" s="337"/>
      <c r="B115" s="164"/>
      <c r="C115" s="350"/>
      <c r="D115" s="349"/>
      <c r="E115" s="337"/>
      <c r="F115" s="164"/>
      <c r="G115" s="337"/>
      <c r="H115" s="164"/>
      <c r="I115" s="343"/>
      <c r="J115" s="183"/>
      <c r="K115" s="343"/>
      <c r="L115" s="183"/>
      <c r="M115" s="343"/>
      <c r="N115" s="183"/>
      <c r="O115" s="337"/>
      <c r="P115" s="164"/>
      <c r="Q115" s="339"/>
      <c r="R115" s="340"/>
      <c r="S115" s="17"/>
      <c r="T115" s="17"/>
      <c r="U115" s="17"/>
      <c r="V115" s="17"/>
      <c r="W115" s="17"/>
      <c r="X115" s="17"/>
      <c r="Y115" s="17"/>
      <c r="Z115" s="17"/>
    </row>
    <row r="116">
      <c r="A116" s="337"/>
      <c r="B116" s="164"/>
      <c r="C116" s="350"/>
      <c r="D116" s="349"/>
      <c r="E116" s="337"/>
      <c r="F116" s="164"/>
      <c r="G116" s="337"/>
      <c r="H116" s="164"/>
      <c r="I116" s="343"/>
      <c r="J116" s="183"/>
      <c r="K116" s="343"/>
      <c r="L116" s="183"/>
      <c r="M116" s="343"/>
      <c r="N116" s="183"/>
      <c r="O116" s="337"/>
      <c r="P116" s="164"/>
      <c r="Q116" s="339"/>
      <c r="R116" s="340"/>
      <c r="S116" s="17"/>
      <c r="T116" s="17"/>
      <c r="U116" s="17"/>
      <c r="V116" s="17"/>
      <c r="W116" s="17"/>
      <c r="X116" s="17"/>
      <c r="Y116" s="17"/>
      <c r="Z116" s="17"/>
    </row>
    <row r="117">
      <c r="A117" s="337"/>
      <c r="B117" s="164"/>
      <c r="C117" s="350"/>
      <c r="D117" s="349"/>
      <c r="E117" s="337"/>
      <c r="F117" s="164"/>
      <c r="G117" s="337"/>
      <c r="H117" s="164"/>
      <c r="I117" s="343"/>
      <c r="J117" s="183"/>
      <c r="K117" s="343"/>
      <c r="L117" s="183"/>
      <c r="M117" s="343"/>
      <c r="N117" s="183"/>
      <c r="O117" s="337"/>
      <c r="P117" s="164"/>
      <c r="Q117" s="339"/>
      <c r="R117" s="340"/>
      <c r="S117" s="17"/>
      <c r="T117" s="17"/>
      <c r="U117" s="17"/>
      <c r="V117" s="17"/>
      <c r="W117" s="17"/>
      <c r="X117" s="17"/>
      <c r="Y117" s="17"/>
      <c r="Z117" s="17"/>
    </row>
    <row r="118">
      <c r="A118" s="337"/>
      <c r="B118" s="164"/>
      <c r="C118" s="350"/>
      <c r="D118" s="349"/>
      <c r="E118" s="337"/>
      <c r="F118" s="164"/>
      <c r="G118" s="337"/>
      <c r="H118" s="164"/>
      <c r="I118" s="343"/>
      <c r="J118" s="183"/>
      <c r="K118" s="343"/>
      <c r="L118" s="183"/>
      <c r="M118" s="343"/>
      <c r="N118" s="183"/>
      <c r="O118" s="337"/>
      <c r="P118" s="164"/>
      <c r="Q118" s="339"/>
      <c r="R118" s="340"/>
      <c r="S118" s="17"/>
      <c r="T118" s="17"/>
      <c r="U118" s="17"/>
      <c r="V118" s="17"/>
      <c r="W118" s="17"/>
      <c r="X118" s="17"/>
      <c r="Y118" s="17"/>
      <c r="Z118" s="17"/>
    </row>
    <row r="119">
      <c r="A119" s="337"/>
      <c r="B119" s="164"/>
      <c r="C119" s="350"/>
      <c r="D119" s="349"/>
      <c r="E119" s="337"/>
      <c r="F119" s="164"/>
      <c r="G119" s="337"/>
      <c r="H119" s="164"/>
      <c r="I119" s="343"/>
      <c r="J119" s="183"/>
      <c r="K119" s="343"/>
      <c r="L119" s="183"/>
      <c r="M119" s="343"/>
      <c r="N119" s="183"/>
      <c r="O119" s="337"/>
      <c r="P119" s="164"/>
      <c r="Q119" s="339"/>
      <c r="R119" s="340"/>
      <c r="S119" s="17"/>
      <c r="T119" s="17"/>
      <c r="U119" s="17"/>
      <c r="V119" s="17"/>
      <c r="W119" s="17"/>
      <c r="X119" s="17"/>
      <c r="Y119" s="17"/>
      <c r="Z119" s="17"/>
    </row>
    <row r="120">
      <c r="A120" s="337"/>
      <c r="B120" s="164"/>
      <c r="C120" s="350"/>
      <c r="D120" s="349"/>
      <c r="E120" s="337"/>
      <c r="F120" s="164"/>
      <c r="G120" s="337"/>
      <c r="H120" s="164"/>
      <c r="I120" s="343"/>
      <c r="J120" s="183"/>
      <c r="K120" s="343"/>
      <c r="L120" s="183"/>
      <c r="M120" s="343"/>
      <c r="N120" s="183"/>
      <c r="O120" s="337"/>
      <c r="P120" s="164"/>
      <c r="Q120" s="339"/>
      <c r="R120" s="340"/>
      <c r="S120" s="17"/>
      <c r="T120" s="17"/>
      <c r="U120" s="17"/>
      <c r="V120" s="17"/>
      <c r="W120" s="17"/>
      <c r="X120" s="17"/>
      <c r="Y120" s="17"/>
      <c r="Z120" s="17"/>
    </row>
    <row r="121">
      <c r="A121" s="337"/>
      <c r="B121" s="164"/>
      <c r="C121" s="350"/>
      <c r="D121" s="349"/>
      <c r="E121" s="337"/>
      <c r="F121" s="164"/>
      <c r="G121" s="337"/>
      <c r="H121" s="164"/>
      <c r="I121" s="343"/>
      <c r="J121" s="183"/>
      <c r="K121" s="343"/>
      <c r="L121" s="183"/>
      <c r="M121" s="343"/>
      <c r="N121" s="183"/>
      <c r="O121" s="337"/>
      <c r="P121" s="164"/>
      <c r="Q121" s="339"/>
      <c r="R121" s="340"/>
      <c r="S121" s="17"/>
      <c r="T121" s="17"/>
      <c r="U121" s="17"/>
      <c r="V121" s="17"/>
      <c r="W121" s="17"/>
      <c r="X121" s="17"/>
      <c r="Y121" s="17"/>
      <c r="Z121" s="17"/>
    </row>
    <row r="122">
      <c r="A122" s="337"/>
      <c r="B122" s="164"/>
      <c r="C122" s="350"/>
      <c r="D122" s="349"/>
      <c r="E122" s="337"/>
      <c r="F122" s="164"/>
      <c r="G122" s="337"/>
      <c r="H122" s="164"/>
      <c r="I122" s="343"/>
      <c r="J122" s="183"/>
      <c r="K122" s="343"/>
      <c r="L122" s="183"/>
      <c r="M122" s="343"/>
      <c r="N122" s="183"/>
      <c r="O122" s="337"/>
      <c r="P122" s="164"/>
      <c r="Q122" s="339"/>
      <c r="R122" s="340"/>
      <c r="S122" s="17"/>
      <c r="T122" s="17"/>
      <c r="U122" s="17"/>
      <c r="V122" s="17"/>
      <c r="W122" s="17"/>
      <c r="X122" s="17"/>
      <c r="Y122" s="17"/>
      <c r="Z122" s="17"/>
    </row>
    <row r="123">
      <c r="A123" s="337"/>
      <c r="B123" s="164"/>
      <c r="C123" s="350"/>
      <c r="D123" s="349"/>
      <c r="E123" s="337"/>
      <c r="F123" s="164"/>
      <c r="G123" s="337"/>
      <c r="H123" s="164"/>
      <c r="I123" s="343"/>
      <c r="J123" s="183"/>
      <c r="K123" s="343"/>
      <c r="L123" s="183"/>
      <c r="M123" s="343"/>
      <c r="N123" s="183"/>
      <c r="O123" s="337"/>
      <c r="P123" s="164"/>
      <c r="Q123" s="339"/>
      <c r="R123" s="340"/>
      <c r="S123" s="17"/>
      <c r="T123" s="17"/>
      <c r="U123" s="17"/>
      <c r="V123" s="17"/>
      <c r="W123" s="17"/>
      <c r="X123" s="17"/>
      <c r="Y123" s="17"/>
      <c r="Z123" s="17"/>
    </row>
    <row r="124">
      <c r="A124" s="337"/>
      <c r="B124" s="164"/>
      <c r="C124" s="350"/>
      <c r="D124" s="349"/>
      <c r="E124" s="337"/>
      <c r="F124" s="164"/>
      <c r="G124" s="337"/>
      <c r="H124" s="164"/>
      <c r="I124" s="343"/>
      <c r="J124" s="183"/>
      <c r="K124" s="343"/>
      <c r="L124" s="183"/>
      <c r="M124" s="343"/>
      <c r="N124" s="183"/>
      <c r="O124" s="337"/>
      <c r="P124" s="164"/>
      <c r="Q124" s="339"/>
      <c r="R124" s="340"/>
      <c r="S124" s="17"/>
      <c r="T124" s="17"/>
      <c r="U124" s="17"/>
      <c r="V124" s="17"/>
      <c r="W124" s="17"/>
      <c r="X124" s="17"/>
      <c r="Y124" s="17"/>
      <c r="Z124" s="17"/>
    </row>
    <row r="125">
      <c r="A125" s="337"/>
      <c r="B125" s="164"/>
      <c r="C125" s="350"/>
      <c r="D125" s="349"/>
      <c r="E125" s="337"/>
      <c r="F125" s="164"/>
      <c r="G125" s="337"/>
      <c r="H125" s="164"/>
      <c r="I125" s="343"/>
      <c r="J125" s="183"/>
      <c r="K125" s="343"/>
      <c r="L125" s="183"/>
      <c r="M125" s="343"/>
      <c r="N125" s="183"/>
      <c r="O125" s="337"/>
      <c r="P125" s="164"/>
      <c r="Q125" s="339"/>
      <c r="R125" s="340"/>
      <c r="S125" s="17"/>
      <c r="T125" s="17"/>
      <c r="U125" s="17"/>
      <c r="V125" s="17"/>
      <c r="W125" s="17"/>
      <c r="X125" s="17"/>
      <c r="Y125" s="17"/>
      <c r="Z125" s="17"/>
    </row>
    <row r="126">
      <c r="A126" s="337"/>
      <c r="B126" s="164"/>
      <c r="C126" s="350"/>
      <c r="D126" s="349"/>
      <c r="E126" s="337"/>
      <c r="F126" s="164"/>
      <c r="G126" s="337"/>
      <c r="H126" s="164"/>
      <c r="I126" s="343"/>
      <c r="J126" s="183"/>
      <c r="K126" s="343"/>
      <c r="L126" s="183"/>
      <c r="M126" s="343"/>
      <c r="N126" s="183"/>
      <c r="O126" s="337"/>
      <c r="P126" s="164"/>
      <c r="Q126" s="339"/>
      <c r="R126" s="340"/>
      <c r="S126" s="17"/>
      <c r="T126" s="17"/>
      <c r="U126" s="17"/>
      <c r="V126" s="17"/>
      <c r="W126" s="17"/>
      <c r="X126" s="17"/>
      <c r="Y126" s="17"/>
      <c r="Z126" s="17"/>
    </row>
    <row r="127">
      <c r="A127" s="337"/>
      <c r="B127" s="164"/>
      <c r="C127" s="350"/>
      <c r="D127" s="349"/>
      <c r="E127" s="337"/>
      <c r="F127" s="164"/>
      <c r="G127" s="337"/>
      <c r="H127" s="164"/>
      <c r="I127" s="343"/>
      <c r="J127" s="183"/>
      <c r="K127" s="343"/>
      <c r="L127" s="183"/>
      <c r="M127" s="343"/>
      <c r="N127" s="183"/>
      <c r="O127" s="337"/>
      <c r="P127" s="164"/>
      <c r="Q127" s="339"/>
      <c r="R127" s="340"/>
      <c r="S127" s="17"/>
      <c r="T127" s="17"/>
      <c r="U127" s="17"/>
      <c r="V127" s="17"/>
      <c r="W127" s="17"/>
      <c r="X127" s="17"/>
      <c r="Y127" s="17"/>
      <c r="Z127" s="17"/>
    </row>
    <row r="128">
      <c r="A128" s="337"/>
      <c r="B128" s="164"/>
      <c r="C128" s="350"/>
      <c r="D128" s="349"/>
      <c r="E128" s="337"/>
      <c r="F128" s="164"/>
      <c r="G128" s="337"/>
      <c r="H128" s="164"/>
      <c r="I128" s="343"/>
      <c r="J128" s="183"/>
      <c r="K128" s="343"/>
      <c r="L128" s="183"/>
      <c r="M128" s="343"/>
      <c r="N128" s="183"/>
      <c r="O128" s="337"/>
      <c r="P128" s="164"/>
      <c r="Q128" s="359"/>
      <c r="R128" s="220"/>
      <c r="S128" s="17"/>
      <c r="T128" s="17"/>
      <c r="U128" s="17"/>
      <c r="V128" s="17"/>
      <c r="W128" s="17"/>
      <c r="X128" s="17"/>
      <c r="Y128" s="17"/>
      <c r="Z128" s="17"/>
    </row>
    <row r="129">
      <c r="A129" s="337"/>
      <c r="B129" s="164"/>
      <c r="C129" s="350"/>
      <c r="D129" s="349"/>
      <c r="E129" s="337"/>
      <c r="F129" s="164"/>
      <c r="G129" s="337"/>
      <c r="H129" s="164"/>
      <c r="I129" s="343"/>
      <c r="J129" s="183"/>
      <c r="K129" s="343"/>
      <c r="L129" s="183"/>
      <c r="M129" s="343"/>
      <c r="N129" s="183"/>
      <c r="O129" s="337"/>
      <c r="P129" s="164"/>
      <c r="Q129" s="359"/>
      <c r="R129" s="220"/>
      <c r="S129" s="17"/>
      <c r="T129" s="17"/>
      <c r="U129" s="17"/>
      <c r="V129" s="17"/>
      <c r="W129" s="17"/>
      <c r="X129" s="17"/>
      <c r="Y129" s="17"/>
      <c r="Z129" s="17"/>
    </row>
    <row r="130">
      <c r="A130" s="337"/>
      <c r="B130" s="164"/>
      <c r="C130" s="350"/>
      <c r="D130" s="349"/>
      <c r="E130" s="337"/>
      <c r="F130" s="164"/>
      <c r="G130" s="337"/>
      <c r="H130" s="164"/>
      <c r="I130" s="343"/>
      <c r="J130" s="183"/>
      <c r="K130" s="343"/>
      <c r="L130" s="183"/>
      <c r="M130" s="343"/>
      <c r="N130" s="183"/>
      <c r="O130" s="337"/>
      <c r="P130" s="164"/>
      <c r="Q130" s="359"/>
      <c r="R130" s="220"/>
      <c r="S130" s="17"/>
      <c r="T130" s="17"/>
      <c r="U130" s="17"/>
      <c r="V130" s="17"/>
      <c r="W130" s="17"/>
      <c r="X130" s="17"/>
      <c r="Y130" s="17"/>
      <c r="Z130" s="17"/>
    </row>
    <row r="131">
      <c r="A131" s="337"/>
      <c r="B131" s="164"/>
      <c r="C131" s="350"/>
      <c r="D131" s="349"/>
      <c r="E131" s="337"/>
      <c r="F131" s="164"/>
      <c r="G131" s="337"/>
      <c r="H131" s="164"/>
      <c r="I131" s="343"/>
      <c r="J131" s="183"/>
      <c r="K131" s="343"/>
      <c r="L131" s="183"/>
      <c r="M131" s="343"/>
      <c r="N131" s="183"/>
      <c r="O131" s="337"/>
      <c r="P131" s="164"/>
      <c r="Q131" s="359"/>
      <c r="R131" s="220"/>
      <c r="S131" s="17"/>
      <c r="T131" s="17"/>
      <c r="U131" s="17"/>
      <c r="V131" s="17"/>
      <c r="W131" s="17"/>
      <c r="X131" s="17"/>
      <c r="Y131" s="17"/>
      <c r="Z131" s="17"/>
    </row>
    <row r="132">
      <c r="A132" s="337"/>
      <c r="B132" s="164"/>
      <c r="C132" s="350"/>
      <c r="D132" s="349"/>
      <c r="E132" s="337"/>
      <c r="F132" s="164"/>
      <c r="G132" s="337"/>
      <c r="H132" s="164"/>
      <c r="I132" s="343"/>
      <c r="J132" s="183"/>
      <c r="K132" s="343"/>
      <c r="L132" s="183"/>
      <c r="M132" s="343"/>
      <c r="N132" s="183"/>
      <c r="O132" s="337"/>
      <c r="P132" s="164"/>
      <c r="Q132" s="359"/>
      <c r="R132" s="220"/>
      <c r="S132" s="17"/>
      <c r="T132" s="17"/>
      <c r="U132" s="17"/>
      <c r="V132" s="17"/>
      <c r="W132" s="17"/>
      <c r="X132" s="17"/>
      <c r="Y132" s="17"/>
      <c r="Z132" s="17"/>
    </row>
    <row r="133">
      <c r="A133" s="337"/>
      <c r="B133" s="164"/>
      <c r="C133" s="350"/>
      <c r="D133" s="349"/>
      <c r="E133" s="337"/>
      <c r="F133" s="164"/>
      <c r="G133" s="337"/>
      <c r="H133" s="164"/>
      <c r="I133" s="343"/>
      <c r="J133" s="183"/>
      <c r="K133" s="343"/>
      <c r="L133" s="183"/>
      <c r="M133" s="343"/>
      <c r="N133" s="183"/>
      <c r="O133" s="337"/>
      <c r="P133" s="164"/>
      <c r="Q133" s="359"/>
      <c r="R133" s="220"/>
      <c r="S133" s="17"/>
      <c r="T133" s="17"/>
      <c r="U133" s="17"/>
      <c r="V133" s="17"/>
      <c r="W133" s="17"/>
      <c r="X133" s="17"/>
      <c r="Y133" s="17"/>
      <c r="Z133" s="17"/>
    </row>
    <row r="134">
      <c r="A134" s="337"/>
      <c r="B134" s="164"/>
      <c r="C134" s="350"/>
      <c r="D134" s="349"/>
      <c r="E134" s="337"/>
      <c r="F134" s="164"/>
      <c r="G134" s="337"/>
      <c r="H134" s="164"/>
      <c r="I134" s="343"/>
      <c r="J134" s="183"/>
      <c r="K134" s="343"/>
      <c r="L134" s="183"/>
      <c r="M134" s="343"/>
      <c r="N134" s="183"/>
      <c r="O134" s="337"/>
      <c r="P134" s="164"/>
      <c r="Q134" s="359"/>
      <c r="R134" s="220"/>
      <c r="S134" s="17"/>
      <c r="T134" s="17"/>
      <c r="U134" s="17"/>
      <c r="V134" s="17"/>
      <c r="W134" s="17"/>
      <c r="X134" s="17"/>
      <c r="Y134" s="17"/>
      <c r="Z134" s="17"/>
    </row>
    <row r="135">
      <c r="A135" s="337"/>
      <c r="B135" s="164"/>
      <c r="C135" s="350"/>
      <c r="D135" s="349"/>
      <c r="E135" s="337"/>
      <c r="F135" s="164"/>
      <c r="G135" s="337"/>
      <c r="H135" s="164"/>
      <c r="I135" s="343"/>
      <c r="J135" s="183"/>
      <c r="K135" s="343"/>
      <c r="L135" s="183"/>
      <c r="M135" s="343"/>
      <c r="N135" s="183"/>
      <c r="O135" s="337"/>
      <c r="P135" s="164"/>
      <c r="Q135" s="359"/>
      <c r="R135" s="220"/>
      <c r="S135" s="17"/>
      <c r="T135" s="17"/>
      <c r="U135" s="17"/>
      <c r="V135" s="17"/>
      <c r="W135" s="17"/>
      <c r="X135" s="17"/>
      <c r="Y135" s="17"/>
      <c r="Z135" s="17"/>
    </row>
    <row r="136">
      <c r="A136" s="337"/>
      <c r="B136" s="164"/>
      <c r="C136" s="350"/>
      <c r="D136" s="349"/>
      <c r="E136" s="337"/>
      <c r="F136" s="164"/>
      <c r="G136" s="337"/>
      <c r="H136" s="164"/>
      <c r="I136" s="343"/>
      <c r="J136" s="183"/>
      <c r="K136" s="343"/>
      <c r="L136" s="183"/>
      <c r="M136" s="343"/>
      <c r="N136" s="183"/>
      <c r="O136" s="337"/>
      <c r="P136" s="164"/>
      <c r="Q136" s="359"/>
      <c r="R136" s="220"/>
      <c r="S136" s="17"/>
      <c r="T136" s="17"/>
      <c r="U136" s="17"/>
      <c r="V136" s="17"/>
      <c r="W136" s="17"/>
      <c r="X136" s="17"/>
      <c r="Y136" s="17"/>
      <c r="Z136" s="17"/>
    </row>
    <row r="137">
      <c r="A137" s="337"/>
      <c r="B137" s="164"/>
      <c r="C137" s="350"/>
      <c r="D137" s="349"/>
      <c r="E137" s="337"/>
      <c r="F137" s="164"/>
      <c r="G137" s="337"/>
      <c r="H137" s="164"/>
      <c r="I137" s="343"/>
      <c r="J137" s="183"/>
      <c r="K137" s="343"/>
      <c r="L137" s="183"/>
      <c r="M137" s="343"/>
      <c r="N137" s="183"/>
      <c r="O137" s="337"/>
      <c r="P137" s="164"/>
      <c r="Q137" s="359"/>
      <c r="R137" s="220"/>
      <c r="S137" s="17"/>
      <c r="T137" s="17"/>
      <c r="U137" s="17"/>
      <c r="V137" s="17"/>
      <c r="W137" s="17"/>
      <c r="X137" s="17"/>
      <c r="Y137" s="17"/>
      <c r="Z137" s="17"/>
    </row>
    <row r="138">
      <c r="A138" s="337"/>
      <c r="B138" s="164"/>
      <c r="C138" s="350"/>
      <c r="D138" s="349"/>
      <c r="E138" s="337"/>
      <c r="F138" s="164"/>
      <c r="G138" s="337"/>
      <c r="H138" s="164"/>
      <c r="I138" s="343"/>
      <c r="J138" s="183"/>
      <c r="K138" s="343"/>
      <c r="L138" s="183"/>
      <c r="M138" s="343"/>
      <c r="N138" s="183"/>
      <c r="O138" s="337"/>
      <c r="P138" s="164"/>
      <c r="Q138" s="359"/>
      <c r="R138" s="220"/>
      <c r="S138" s="17"/>
      <c r="T138" s="17"/>
      <c r="U138" s="17"/>
      <c r="V138" s="17"/>
      <c r="W138" s="17"/>
      <c r="X138" s="17"/>
      <c r="Y138" s="17"/>
      <c r="Z138" s="17"/>
    </row>
    <row r="139">
      <c r="A139" s="337"/>
      <c r="B139" s="164"/>
      <c r="C139" s="350"/>
      <c r="D139" s="349"/>
      <c r="E139" s="337"/>
      <c r="F139" s="164"/>
      <c r="G139" s="337"/>
      <c r="H139" s="164"/>
      <c r="I139" s="343"/>
      <c r="J139" s="183"/>
      <c r="K139" s="343"/>
      <c r="L139" s="183"/>
      <c r="M139" s="343"/>
      <c r="N139" s="183"/>
      <c r="O139" s="337"/>
      <c r="P139" s="164"/>
      <c r="Q139" s="359"/>
      <c r="R139" s="220"/>
      <c r="S139" s="17"/>
      <c r="T139" s="17"/>
      <c r="U139" s="17"/>
      <c r="V139" s="17"/>
      <c r="W139" s="17"/>
      <c r="X139" s="17"/>
      <c r="Y139" s="17"/>
      <c r="Z139" s="17"/>
    </row>
    <row r="140">
      <c r="A140" s="337"/>
      <c r="B140" s="164"/>
      <c r="C140" s="350"/>
      <c r="D140" s="349"/>
      <c r="E140" s="337"/>
      <c r="F140" s="164"/>
      <c r="G140" s="337"/>
      <c r="H140" s="164"/>
      <c r="I140" s="343"/>
      <c r="J140" s="183"/>
      <c r="K140" s="343"/>
      <c r="L140" s="183"/>
      <c r="M140" s="343"/>
      <c r="N140" s="183"/>
      <c r="O140" s="337"/>
      <c r="P140" s="164"/>
      <c r="Q140" s="359"/>
      <c r="R140" s="220"/>
      <c r="S140" s="17"/>
      <c r="T140" s="17"/>
      <c r="U140" s="17"/>
      <c r="V140" s="17"/>
      <c r="W140" s="17"/>
      <c r="X140" s="17"/>
      <c r="Y140" s="17"/>
      <c r="Z140" s="17"/>
    </row>
    <row r="141">
      <c r="A141" s="337"/>
      <c r="B141" s="164"/>
      <c r="C141" s="350"/>
      <c r="D141" s="349"/>
      <c r="E141" s="337"/>
      <c r="F141" s="164"/>
      <c r="G141" s="337"/>
      <c r="H141" s="164"/>
      <c r="I141" s="343"/>
      <c r="J141" s="183"/>
      <c r="K141" s="343"/>
      <c r="L141" s="183"/>
      <c r="M141" s="343"/>
      <c r="N141" s="183"/>
      <c r="O141" s="337"/>
      <c r="P141" s="164"/>
      <c r="Q141" s="359"/>
      <c r="R141" s="220"/>
      <c r="S141" s="17"/>
      <c r="T141" s="17"/>
      <c r="U141" s="17"/>
      <c r="V141" s="17"/>
      <c r="W141" s="17"/>
      <c r="X141" s="17"/>
      <c r="Y141" s="17"/>
      <c r="Z141" s="17"/>
    </row>
    <row r="142">
      <c r="A142" s="337"/>
      <c r="B142" s="164"/>
      <c r="C142" s="350"/>
      <c r="D142" s="349"/>
      <c r="E142" s="337"/>
      <c r="F142" s="164"/>
      <c r="G142" s="337"/>
      <c r="H142" s="164"/>
      <c r="I142" s="343"/>
      <c r="J142" s="183"/>
      <c r="K142" s="343"/>
      <c r="L142" s="183"/>
      <c r="M142" s="343"/>
      <c r="N142" s="183"/>
      <c r="O142" s="337"/>
      <c r="P142" s="164"/>
      <c r="Q142" s="359"/>
      <c r="R142" s="220"/>
      <c r="S142" s="17"/>
      <c r="T142" s="17"/>
      <c r="U142" s="17"/>
      <c r="V142" s="17"/>
      <c r="W142" s="17"/>
      <c r="X142" s="17"/>
      <c r="Y142" s="17"/>
      <c r="Z142" s="17"/>
    </row>
    <row r="143">
      <c r="A143" s="337"/>
      <c r="B143" s="164"/>
      <c r="C143" s="350"/>
      <c r="D143" s="349"/>
      <c r="E143" s="337"/>
      <c r="F143" s="164"/>
      <c r="G143" s="337"/>
      <c r="H143" s="164"/>
      <c r="I143" s="343"/>
      <c r="J143" s="183"/>
      <c r="K143" s="343"/>
      <c r="L143" s="183"/>
      <c r="M143" s="343"/>
      <c r="N143" s="183"/>
      <c r="O143" s="337"/>
      <c r="P143" s="164"/>
      <c r="Q143" s="359"/>
      <c r="R143" s="220"/>
      <c r="S143" s="17"/>
      <c r="T143" s="17"/>
      <c r="U143" s="17"/>
      <c r="V143" s="17"/>
      <c r="W143" s="17"/>
      <c r="X143" s="17"/>
      <c r="Y143" s="17"/>
      <c r="Z143" s="17"/>
    </row>
    <row r="144">
      <c r="A144" s="337"/>
      <c r="B144" s="164"/>
      <c r="C144" s="350"/>
      <c r="D144" s="349"/>
      <c r="E144" s="337"/>
      <c r="F144" s="164"/>
      <c r="G144" s="337"/>
      <c r="H144" s="164"/>
      <c r="I144" s="343"/>
      <c r="J144" s="183"/>
      <c r="K144" s="343"/>
      <c r="L144" s="183"/>
      <c r="M144" s="343"/>
      <c r="N144" s="183"/>
      <c r="O144" s="337"/>
      <c r="P144" s="164"/>
      <c r="Q144" s="359"/>
      <c r="R144" s="220"/>
      <c r="S144" s="17"/>
      <c r="T144" s="17"/>
      <c r="U144" s="17"/>
      <c r="V144" s="17"/>
      <c r="W144" s="17"/>
      <c r="X144" s="17"/>
      <c r="Y144" s="17"/>
      <c r="Z144" s="17"/>
    </row>
    <row r="145">
      <c r="A145" s="337"/>
      <c r="B145" s="164"/>
      <c r="C145" s="350"/>
      <c r="D145" s="349"/>
      <c r="E145" s="337"/>
      <c r="F145" s="164"/>
      <c r="G145" s="337"/>
      <c r="H145" s="164"/>
      <c r="I145" s="343"/>
      <c r="J145" s="183"/>
      <c r="K145" s="343"/>
      <c r="L145" s="183"/>
      <c r="M145" s="343"/>
      <c r="N145" s="183"/>
      <c r="O145" s="337"/>
      <c r="P145" s="164"/>
      <c r="Q145" s="359"/>
      <c r="R145" s="220"/>
      <c r="S145" s="17"/>
      <c r="T145" s="17"/>
      <c r="U145" s="17"/>
      <c r="V145" s="17"/>
      <c r="W145" s="17"/>
      <c r="X145" s="17"/>
      <c r="Y145" s="17"/>
      <c r="Z145" s="17"/>
    </row>
    <row r="146">
      <c r="A146" s="337"/>
      <c r="B146" s="164"/>
      <c r="C146" s="350"/>
      <c r="D146" s="349"/>
      <c r="E146" s="337"/>
      <c r="F146" s="164"/>
      <c r="G146" s="337"/>
      <c r="H146" s="164"/>
      <c r="I146" s="343"/>
      <c r="J146" s="183"/>
      <c r="K146" s="343"/>
      <c r="L146" s="183"/>
      <c r="M146" s="343"/>
      <c r="N146" s="183"/>
      <c r="O146" s="337"/>
      <c r="P146" s="164"/>
      <c r="Q146" s="359"/>
      <c r="R146" s="220"/>
      <c r="S146" s="17"/>
      <c r="T146" s="17"/>
      <c r="U146" s="17"/>
      <c r="V146" s="17"/>
      <c r="W146" s="17"/>
      <c r="X146" s="17"/>
      <c r="Y146" s="17"/>
      <c r="Z146" s="17"/>
    </row>
    <row r="147">
      <c r="A147" s="337"/>
      <c r="B147" s="164"/>
      <c r="C147" s="350"/>
      <c r="D147" s="349"/>
      <c r="E147" s="337"/>
      <c r="F147" s="164"/>
      <c r="G147" s="337"/>
      <c r="H147" s="164"/>
      <c r="I147" s="343"/>
      <c r="J147" s="183"/>
      <c r="K147" s="343"/>
      <c r="L147" s="183"/>
      <c r="M147" s="343"/>
      <c r="N147" s="183"/>
      <c r="O147" s="337"/>
      <c r="P147" s="164"/>
      <c r="Q147" s="359"/>
      <c r="R147" s="220"/>
      <c r="S147" s="17"/>
      <c r="T147" s="17"/>
      <c r="U147" s="17"/>
      <c r="V147" s="17"/>
      <c r="W147" s="17"/>
      <c r="X147" s="17"/>
      <c r="Y147" s="17"/>
      <c r="Z147" s="17"/>
    </row>
    <row r="148">
      <c r="A148" s="337"/>
      <c r="B148" s="164"/>
      <c r="C148" s="350"/>
      <c r="D148" s="349"/>
      <c r="E148" s="337"/>
      <c r="F148" s="164"/>
      <c r="G148" s="337"/>
      <c r="H148" s="164"/>
      <c r="I148" s="343"/>
      <c r="J148" s="183"/>
      <c r="K148" s="343"/>
      <c r="L148" s="183"/>
      <c r="M148" s="343"/>
      <c r="N148" s="183"/>
      <c r="O148" s="337"/>
      <c r="P148" s="164"/>
      <c r="Q148" s="359"/>
      <c r="R148" s="220"/>
      <c r="S148" s="17"/>
      <c r="T148" s="17"/>
      <c r="U148" s="17"/>
      <c r="V148" s="17"/>
      <c r="W148" s="17"/>
      <c r="X148" s="17"/>
      <c r="Y148" s="17"/>
      <c r="Z148" s="17"/>
    </row>
    <row r="149">
      <c r="A149" s="337"/>
      <c r="B149" s="164"/>
      <c r="C149" s="350"/>
      <c r="D149" s="349"/>
      <c r="E149" s="337"/>
      <c r="F149" s="164"/>
      <c r="G149" s="337"/>
      <c r="H149" s="164"/>
      <c r="I149" s="343"/>
      <c r="J149" s="183"/>
      <c r="K149" s="343"/>
      <c r="L149" s="183"/>
      <c r="M149" s="343"/>
      <c r="N149" s="183"/>
      <c r="O149" s="337"/>
      <c r="P149" s="164"/>
      <c r="Q149" s="359"/>
      <c r="R149" s="220"/>
      <c r="S149" s="17"/>
      <c r="T149" s="17"/>
      <c r="U149" s="17"/>
      <c r="V149" s="17"/>
      <c r="W149" s="17"/>
      <c r="X149" s="17"/>
      <c r="Y149" s="17"/>
      <c r="Z149" s="17"/>
    </row>
    <row r="150">
      <c r="A150" s="337"/>
      <c r="B150" s="164"/>
      <c r="C150" s="350"/>
      <c r="D150" s="349"/>
      <c r="E150" s="337"/>
      <c r="F150" s="164"/>
      <c r="G150" s="337"/>
      <c r="H150" s="164"/>
      <c r="I150" s="343"/>
      <c r="J150" s="183"/>
      <c r="K150" s="343"/>
      <c r="L150" s="183"/>
      <c r="M150" s="343"/>
      <c r="N150" s="183"/>
      <c r="O150" s="337"/>
      <c r="P150" s="164"/>
      <c r="Q150" s="359"/>
      <c r="R150" s="220"/>
      <c r="S150" s="17"/>
      <c r="T150" s="17"/>
      <c r="U150" s="17"/>
      <c r="V150" s="17"/>
      <c r="W150" s="17"/>
      <c r="X150" s="17"/>
      <c r="Y150" s="17"/>
      <c r="Z150" s="17"/>
    </row>
    <row r="151">
      <c r="A151" s="337"/>
      <c r="B151" s="164"/>
      <c r="C151" s="350"/>
      <c r="D151" s="349"/>
      <c r="E151" s="337"/>
      <c r="F151" s="164"/>
      <c r="G151" s="337"/>
      <c r="H151" s="164"/>
      <c r="I151" s="343"/>
      <c r="J151" s="183"/>
      <c r="K151" s="343"/>
      <c r="L151" s="183"/>
      <c r="M151" s="343"/>
      <c r="N151" s="183"/>
      <c r="O151" s="337"/>
      <c r="P151" s="164"/>
      <c r="Q151" s="359"/>
      <c r="R151" s="220"/>
      <c r="S151" s="17"/>
      <c r="T151" s="17"/>
      <c r="U151" s="17"/>
      <c r="V151" s="17"/>
      <c r="W151" s="17"/>
      <c r="X151" s="17"/>
      <c r="Y151" s="17"/>
      <c r="Z151" s="17"/>
    </row>
    <row r="152">
      <c r="A152" s="337"/>
      <c r="B152" s="164"/>
      <c r="C152" s="350"/>
      <c r="D152" s="349"/>
      <c r="E152" s="337"/>
      <c r="F152" s="164"/>
      <c r="G152" s="337"/>
      <c r="H152" s="164"/>
      <c r="I152" s="343"/>
      <c r="J152" s="183"/>
      <c r="K152" s="343"/>
      <c r="L152" s="183"/>
      <c r="M152" s="343"/>
      <c r="N152" s="183"/>
      <c r="O152" s="337"/>
      <c r="P152" s="164"/>
      <c r="Q152" s="359"/>
      <c r="R152" s="220"/>
      <c r="S152" s="17"/>
      <c r="T152" s="17"/>
      <c r="U152" s="17"/>
      <c r="V152" s="17"/>
      <c r="W152" s="17"/>
      <c r="X152" s="17"/>
      <c r="Y152" s="17"/>
      <c r="Z152" s="17"/>
    </row>
    <row r="153">
      <c r="A153" s="337"/>
      <c r="B153" s="164"/>
      <c r="C153" s="350"/>
      <c r="D153" s="349"/>
      <c r="E153" s="337"/>
      <c r="F153" s="164"/>
      <c r="G153" s="337"/>
      <c r="H153" s="164"/>
      <c r="I153" s="343"/>
      <c r="J153" s="183"/>
      <c r="K153" s="343"/>
      <c r="L153" s="183"/>
      <c r="M153" s="343"/>
      <c r="N153" s="183"/>
      <c r="O153" s="337"/>
      <c r="P153" s="164"/>
      <c r="Q153" s="359"/>
      <c r="R153" s="220"/>
      <c r="S153" s="17"/>
      <c r="T153" s="17"/>
      <c r="U153" s="17"/>
      <c r="V153" s="17"/>
      <c r="W153" s="17"/>
      <c r="X153" s="17"/>
      <c r="Y153" s="17"/>
      <c r="Z153" s="17"/>
    </row>
    <row r="154">
      <c r="A154" s="337"/>
      <c r="B154" s="164"/>
      <c r="C154" s="350"/>
      <c r="D154" s="349"/>
      <c r="E154" s="337"/>
      <c r="F154" s="164"/>
      <c r="G154" s="337"/>
      <c r="H154" s="164"/>
      <c r="I154" s="343"/>
      <c r="J154" s="183"/>
      <c r="K154" s="343"/>
      <c r="L154" s="183"/>
      <c r="M154" s="343"/>
      <c r="N154" s="183"/>
      <c r="O154" s="337"/>
      <c r="P154" s="164"/>
      <c r="Q154" s="359"/>
      <c r="R154" s="220"/>
      <c r="S154" s="17"/>
      <c r="T154" s="17"/>
      <c r="U154" s="17"/>
      <c r="V154" s="17"/>
      <c r="W154" s="17"/>
      <c r="X154" s="17"/>
      <c r="Y154" s="17"/>
      <c r="Z154" s="17"/>
    </row>
    <row r="155">
      <c r="A155" s="337"/>
      <c r="B155" s="164"/>
      <c r="C155" s="350"/>
      <c r="D155" s="349"/>
      <c r="E155" s="337"/>
      <c r="F155" s="164"/>
      <c r="G155" s="337"/>
      <c r="H155" s="164"/>
      <c r="I155" s="343"/>
      <c r="J155" s="183"/>
      <c r="K155" s="343"/>
      <c r="L155" s="183"/>
      <c r="M155" s="343"/>
      <c r="N155" s="183"/>
      <c r="O155" s="337"/>
      <c r="P155" s="164"/>
      <c r="Q155" s="359"/>
      <c r="R155" s="220"/>
      <c r="S155" s="17"/>
      <c r="T155" s="17"/>
      <c r="U155" s="17"/>
      <c r="V155" s="17"/>
      <c r="W155" s="17"/>
      <c r="X155" s="17"/>
      <c r="Y155" s="17"/>
      <c r="Z155" s="17"/>
    </row>
    <row r="156">
      <c r="A156" s="337"/>
      <c r="B156" s="164"/>
      <c r="C156" s="350"/>
      <c r="D156" s="349"/>
      <c r="E156" s="337"/>
      <c r="F156" s="164"/>
      <c r="G156" s="337"/>
      <c r="H156" s="164"/>
      <c r="I156" s="343"/>
      <c r="J156" s="183"/>
      <c r="K156" s="343"/>
      <c r="L156" s="183"/>
      <c r="M156" s="343"/>
      <c r="N156" s="183"/>
      <c r="O156" s="337"/>
      <c r="P156" s="164"/>
      <c r="Q156" s="359"/>
      <c r="R156" s="220"/>
      <c r="S156" s="17"/>
      <c r="T156" s="17"/>
      <c r="U156" s="17"/>
      <c r="V156" s="17"/>
      <c r="W156" s="17"/>
      <c r="X156" s="17"/>
      <c r="Y156" s="17"/>
      <c r="Z156" s="17"/>
    </row>
    <row r="157">
      <c r="A157" s="337"/>
      <c r="B157" s="164"/>
      <c r="C157" s="350"/>
      <c r="D157" s="349"/>
      <c r="E157" s="337"/>
      <c r="F157" s="164"/>
      <c r="G157" s="337"/>
      <c r="H157" s="164"/>
      <c r="I157" s="343"/>
      <c r="J157" s="183"/>
      <c r="K157" s="343"/>
      <c r="L157" s="183"/>
      <c r="M157" s="343"/>
      <c r="N157" s="183"/>
      <c r="O157" s="337"/>
      <c r="P157" s="164"/>
      <c r="Q157" s="359"/>
      <c r="R157" s="220"/>
      <c r="S157" s="17"/>
      <c r="T157" s="17"/>
      <c r="U157" s="17"/>
      <c r="V157" s="17"/>
      <c r="W157" s="17"/>
      <c r="X157" s="17"/>
      <c r="Y157" s="17"/>
      <c r="Z157" s="17"/>
    </row>
    <row r="158">
      <c r="A158" s="337"/>
      <c r="B158" s="164"/>
      <c r="C158" s="350"/>
      <c r="D158" s="349"/>
      <c r="E158" s="337"/>
      <c r="F158" s="164"/>
      <c r="G158" s="337"/>
      <c r="H158" s="164"/>
      <c r="I158" s="343"/>
      <c r="J158" s="183"/>
      <c r="K158" s="343"/>
      <c r="L158" s="183"/>
      <c r="M158" s="343"/>
      <c r="N158" s="183"/>
      <c r="O158" s="337"/>
      <c r="P158" s="164"/>
      <c r="Q158" s="359"/>
      <c r="R158" s="220"/>
      <c r="S158" s="17"/>
      <c r="T158" s="17"/>
      <c r="U158" s="17"/>
      <c r="V158" s="17"/>
      <c r="W158" s="17"/>
      <c r="X158" s="17"/>
      <c r="Y158" s="17"/>
      <c r="Z158" s="17"/>
    </row>
    <row r="159">
      <c r="A159" s="337"/>
      <c r="B159" s="164"/>
      <c r="C159" s="350"/>
      <c r="D159" s="349"/>
      <c r="E159" s="337"/>
      <c r="F159" s="164"/>
      <c r="G159" s="337"/>
      <c r="H159" s="164"/>
      <c r="I159" s="343"/>
      <c r="J159" s="183"/>
      <c r="K159" s="343"/>
      <c r="L159" s="183"/>
      <c r="M159" s="343"/>
      <c r="N159" s="183"/>
      <c r="O159" s="337"/>
      <c r="P159" s="164"/>
      <c r="Q159" s="359"/>
      <c r="R159" s="220"/>
      <c r="S159" s="17"/>
      <c r="T159" s="17"/>
      <c r="U159" s="17"/>
      <c r="V159" s="17"/>
      <c r="W159" s="17"/>
      <c r="X159" s="17"/>
      <c r="Y159" s="17"/>
      <c r="Z159" s="17"/>
    </row>
    <row r="160">
      <c r="A160" s="337"/>
      <c r="B160" s="164"/>
      <c r="C160" s="350"/>
      <c r="D160" s="349"/>
      <c r="E160" s="337"/>
      <c r="F160" s="164"/>
      <c r="G160" s="337"/>
      <c r="H160" s="164"/>
      <c r="I160" s="343"/>
      <c r="J160" s="183"/>
      <c r="K160" s="343"/>
      <c r="L160" s="183"/>
      <c r="M160" s="343"/>
      <c r="N160" s="183"/>
      <c r="O160" s="337"/>
      <c r="P160" s="164"/>
      <c r="Q160" s="359"/>
      <c r="R160" s="220"/>
      <c r="S160" s="17"/>
      <c r="T160" s="17"/>
      <c r="U160" s="17"/>
      <c r="V160" s="17"/>
      <c r="W160" s="17"/>
      <c r="X160" s="17"/>
      <c r="Y160" s="17"/>
      <c r="Z160" s="17"/>
    </row>
    <row r="161">
      <c r="A161" s="337"/>
      <c r="B161" s="164"/>
      <c r="C161" s="350"/>
      <c r="D161" s="349"/>
      <c r="E161" s="337"/>
      <c r="F161" s="164"/>
      <c r="G161" s="337"/>
      <c r="H161" s="164"/>
      <c r="I161" s="343"/>
      <c r="J161" s="183"/>
      <c r="K161" s="343"/>
      <c r="L161" s="183"/>
      <c r="M161" s="343"/>
      <c r="N161" s="183"/>
      <c r="O161" s="337"/>
      <c r="P161" s="164"/>
      <c r="Q161" s="359"/>
      <c r="R161" s="220"/>
      <c r="S161" s="17"/>
      <c r="T161" s="17"/>
      <c r="U161" s="17"/>
      <c r="V161" s="17"/>
      <c r="W161" s="17"/>
      <c r="X161" s="17"/>
      <c r="Y161" s="17"/>
      <c r="Z161" s="17"/>
    </row>
    <row r="162">
      <c r="A162" s="337"/>
      <c r="B162" s="164"/>
      <c r="C162" s="350"/>
      <c r="D162" s="349"/>
      <c r="E162" s="337"/>
      <c r="F162" s="164"/>
      <c r="G162" s="337"/>
      <c r="H162" s="164"/>
      <c r="I162" s="343"/>
      <c r="J162" s="183"/>
      <c r="K162" s="343"/>
      <c r="L162" s="183"/>
      <c r="M162" s="343"/>
      <c r="N162" s="183"/>
      <c r="O162" s="337"/>
      <c r="P162" s="164"/>
      <c r="Q162" s="359"/>
      <c r="R162" s="220"/>
      <c r="S162" s="17"/>
      <c r="T162" s="17"/>
      <c r="U162" s="17"/>
      <c r="V162" s="17"/>
      <c r="W162" s="17"/>
      <c r="X162" s="17"/>
      <c r="Y162" s="17"/>
      <c r="Z162" s="17"/>
    </row>
    <row r="163">
      <c r="A163" s="337"/>
      <c r="B163" s="164"/>
      <c r="C163" s="350"/>
      <c r="D163" s="349"/>
      <c r="E163" s="337"/>
      <c r="F163" s="164"/>
      <c r="G163" s="337"/>
      <c r="H163" s="164"/>
      <c r="I163" s="343"/>
      <c r="J163" s="183"/>
      <c r="K163" s="343"/>
      <c r="L163" s="183"/>
      <c r="M163" s="343"/>
      <c r="N163" s="183"/>
      <c r="O163" s="337"/>
      <c r="P163" s="164"/>
      <c r="Q163" s="359"/>
      <c r="R163" s="220"/>
      <c r="S163" s="17"/>
      <c r="T163" s="17"/>
      <c r="U163" s="17"/>
      <c r="V163" s="17"/>
      <c r="W163" s="17"/>
      <c r="X163" s="17"/>
      <c r="Y163" s="17"/>
      <c r="Z163" s="17"/>
    </row>
    <row r="164">
      <c r="A164" s="337"/>
      <c r="B164" s="164"/>
      <c r="C164" s="350"/>
      <c r="D164" s="349"/>
      <c r="E164" s="337"/>
      <c r="F164" s="164"/>
      <c r="G164" s="337"/>
      <c r="H164" s="164"/>
      <c r="I164" s="343"/>
      <c r="J164" s="183"/>
      <c r="K164" s="343"/>
      <c r="L164" s="183"/>
      <c r="M164" s="343"/>
      <c r="N164" s="183"/>
      <c r="O164" s="337"/>
      <c r="P164" s="164"/>
      <c r="Q164" s="359"/>
      <c r="R164" s="220"/>
      <c r="S164" s="17"/>
      <c r="T164" s="17"/>
      <c r="U164" s="17"/>
      <c r="V164" s="17"/>
      <c r="W164" s="17"/>
      <c r="X164" s="17"/>
      <c r="Y164" s="17"/>
      <c r="Z164" s="17"/>
    </row>
    <row r="165">
      <c r="A165" s="337"/>
      <c r="B165" s="164"/>
      <c r="C165" s="350"/>
      <c r="D165" s="349"/>
      <c r="E165" s="337"/>
      <c r="F165" s="164"/>
      <c r="G165" s="337"/>
      <c r="H165" s="164"/>
      <c r="I165" s="343"/>
      <c r="J165" s="183"/>
      <c r="K165" s="343"/>
      <c r="L165" s="183"/>
      <c r="M165" s="343"/>
      <c r="N165" s="183"/>
      <c r="O165" s="337"/>
      <c r="P165" s="164"/>
      <c r="Q165" s="359"/>
      <c r="R165" s="220"/>
      <c r="S165" s="17"/>
      <c r="T165" s="17"/>
      <c r="U165" s="17"/>
      <c r="V165" s="17"/>
      <c r="W165" s="17"/>
      <c r="X165" s="17"/>
      <c r="Y165" s="17"/>
      <c r="Z165" s="17"/>
    </row>
    <row r="166">
      <c r="A166" s="337"/>
      <c r="B166" s="164"/>
      <c r="C166" s="350"/>
      <c r="D166" s="349"/>
      <c r="E166" s="337"/>
      <c r="F166" s="164"/>
      <c r="G166" s="337"/>
      <c r="H166" s="164"/>
      <c r="I166" s="343"/>
      <c r="J166" s="183"/>
      <c r="K166" s="343"/>
      <c r="L166" s="183"/>
      <c r="M166" s="343"/>
      <c r="N166" s="183"/>
      <c r="O166" s="337"/>
      <c r="P166" s="164"/>
      <c r="Q166" s="359"/>
      <c r="R166" s="220"/>
      <c r="S166" s="17"/>
      <c r="T166" s="17"/>
      <c r="U166" s="17"/>
      <c r="V166" s="17"/>
      <c r="W166" s="17"/>
      <c r="X166" s="17"/>
      <c r="Y166" s="17"/>
      <c r="Z166" s="17"/>
    </row>
    <row r="167">
      <c r="A167" s="337"/>
      <c r="B167" s="164"/>
      <c r="C167" s="350"/>
      <c r="D167" s="349"/>
      <c r="E167" s="337"/>
      <c r="F167" s="164"/>
      <c r="G167" s="337"/>
      <c r="H167" s="164"/>
      <c r="I167" s="343"/>
      <c r="J167" s="183"/>
      <c r="K167" s="343"/>
      <c r="L167" s="183"/>
      <c r="M167" s="343"/>
      <c r="N167" s="183"/>
      <c r="O167" s="337"/>
      <c r="P167" s="164"/>
      <c r="Q167" s="359"/>
      <c r="R167" s="220"/>
      <c r="S167" s="17"/>
      <c r="T167" s="17"/>
      <c r="U167" s="17"/>
      <c r="V167" s="17"/>
      <c r="W167" s="17"/>
      <c r="X167" s="17"/>
      <c r="Y167" s="17"/>
      <c r="Z167" s="17"/>
    </row>
    <row r="168">
      <c r="A168" s="337"/>
      <c r="B168" s="164"/>
      <c r="C168" s="350"/>
      <c r="D168" s="349"/>
      <c r="E168" s="337"/>
      <c r="F168" s="164"/>
      <c r="G168" s="337"/>
      <c r="H168" s="164"/>
      <c r="I168" s="343"/>
      <c r="J168" s="183"/>
      <c r="K168" s="343"/>
      <c r="L168" s="183"/>
      <c r="M168" s="343"/>
      <c r="N168" s="183"/>
      <c r="O168" s="337"/>
      <c r="P168" s="164"/>
      <c r="Q168" s="359"/>
      <c r="R168" s="220"/>
      <c r="S168" s="17"/>
      <c r="T168" s="17"/>
      <c r="U168" s="17"/>
      <c r="V168" s="17"/>
      <c r="W168" s="17"/>
      <c r="X168" s="17"/>
      <c r="Y168" s="17"/>
      <c r="Z168" s="17"/>
    </row>
    <row r="169">
      <c r="A169" s="337"/>
      <c r="B169" s="164"/>
      <c r="C169" s="350"/>
      <c r="D169" s="349"/>
      <c r="E169" s="337"/>
      <c r="F169" s="164"/>
      <c r="G169" s="337"/>
      <c r="H169" s="164"/>
      <c r="I169" s="343"/>
      <c r="J169" s="183"/>
      <c r="K169" s="343"/>
      <c r="L169" s="183"/>
      <c r="M169" s="343"/>
      <c r="N169" s="183"/>
      <c r="O169" s="337"/>
      <c r="P169" s="164"/>
      <c r="Q169" s="359"/>
      <c r="R169" s="220"/>
      <c r="S169" s="17"/>
      <c r="T169" s="17"/>
      <c r="U169" s="17"/>
      <c r="V169" s="17"/>
      <c r="W169" s="17"/>
      <c r="X169" s="17"/>
      <c r="Y169" s="17"/>
      <c r="Z169" s="17"/>
    </row>
    <row r="170">
      <c r="A170" s="337"/>
      <c r="B170" s="164"/>
      <c r="C170" s="350"/>
      <c r="D170" s="349"/>
      <c r="E170" s="337"/>
      <c r="F170" s="164"/>
      <c r="G170" s="337"/>
      <c r="H170" s="164"/>
      <c r="I170" s="343"/>
      <c r="J170" s="183"/>
      <c r="K170" s="343"/>
      <c r="L170" s="183"/>
      <c r="M170" s="343"/>
      <c r="N170" s="183"/>
      <c r="O170" s="337"/>
      <c r="P170" s="164"/>
      <c r="Q170" s="359"/>
      <c r="R170" s="220"/>
      <c r="S170" s="17"/>
      <c r="T170" s="17"/>
      <c r="U170" s="17"/>
      <c r="V170" s="17"/>
      <c r="W170" s="17"/>
      <c r="X170" s="17"/>
      <c r="Y170" s="17"/>
      <c r="Z170" s="17"/>
    </row>
    <row r="171">
      <c r="A171" s="337"/>
      <c r="B171" s="164"/>
      <c r="C171" s="350"/>
      <c r="D171" s="349"/>
      <c r="E171" s="337"/>
      <c r="F171" s="164"/>
      <c r="G171" s="337"/>
      <c r="H171" s="164"/>
      <c r="I171" s="343"/>
      <c r="J171" s="183"/>
      <c r="K171" s="343"/>
      <c r="L171" s="183"/>
      <c r="M171" s="343"/>
      <c r="N171" s="183"/>
      <c r="O171" s="337"/>
      <c r="P171" s="164"/>
      <c r="Q171" s="359"/>
      <c r="R171" s="220"/>
      <c r="S171" s="17"/>
      <c r="T171" s="17"/>
      <c r="U171" s="17"/>
      <c r="V171" s="17"/>
      <c r="W171" s="17"/>
      <c r="X171" s="17"/>
      <c r="Y171" s="17"/>
      <c r="Z171" s="17"/>
    </row>
    <row r="172">
      <c r="A172" s="337"/>
      <c r="B172" s="164"/>
      <c r="C172" s="350"/>
      <c r="D172" s="349"/>
      <c r="E172" s="337"/>
      <c r="F172" s="164"/>
      <c r="G172" s="337"/>
      <c r="H172" s="164"/>
      <c r="I172" s="343"/>
      <c r="J172" s="183"/>
      <c r="K172" s="343"/>
      <c r="L172" s="183"/>
      <c r="M172" s="343"/>
      <c r="N172" s="183"/>
      <c r="O172" s="337"/>
      <c r="P172" s="164"/>
      <c r="Q172" s="359"/>
      <c r="R172" s="220"/>
      <c r="S172" s="17"/>
      <c r="T172" s="17"/>
      <c r="U172" s="17"/>
      <c r="V172" s="17"/>
      <c r="W172" s="17"/>
      <c r="X172" s="17"/>
      <c r="Y172" s="17"/>
      <c r="Z172" s="17"/>
    </row>
    <row r="173">
      <c r="A173" s="337"/>
      <c r="B173" s="164"/>
      <c r="C173" s="350"/>
      <c r="D173" s="349"/>
      <c r="E173" s="337"/>
      <c r="F173" s="164"/>
      <c r="G173" s="337"/>
      <c r="H173" s="164"/>
      <c r="I173" s="343"/>
      <c r="J173" s="183"/>
      <c r="K173" s="343"/>
      <c r="L173" s="183"/>
      <c r="M173" s="343"/>
      <c r="N173" s="183"/>
      <c r="O173" s="337"/>
      <c r="P173" s="164"/>
      <c r="Q173" s="359"/>
      <c r="R173" s="220"/>
      <c r="S173" s="17"/>
      <c r="T173" s="17"/>
      <c r="U173" s="17"/>
      <c r="V173" s="17"/>
      <c r="W173" s="17"/>
      <c r="X173" s="17"/>
      <c r="Y173" s="17"/>
      <c r="Z173" s="17"/>
    </row>
    <row r="174">
      <c r="A174" s="337"/>
      <c r="B174" s="164"/>
      <c r="C174" s="350"/>
      <c r="D174" s="349"/>
      <c r="E174" s="337"/>
      <c r="F174" s="164"/>
      <c r="G174" s="337"/>
      <c r="H174" s="164"/>
      <c r="I174" s="343"/>
      <c r="J174" s="183"/>
      <c r="K174" s="343"/>
      <c r="L174" s="183"/>
      <c r="M174" s="343"/>
      <c r="N174" s="183"/>
      <c r="O174" s="337"/>
      <c r="P174" s="164"/>
      <c r="Q174" s="359"/>
      <c r="R174" s="220"/>
      <c r="S174" s="17"/>
      <c r="T174" s="17"/>
      <c r="U174" s="17"/>
      <c r="V174" s="17"/>
      <c r="W174" s="17"/>
      <c r="X174" s="17"/>
      <c r="Y174" s="17"/>
      <c r="Z174" s="17"/>
    </row>
    <row r="175">
      <c r="A175" s="337"/>
      <c r="B175" s="164"/>
      <c r="C175" s="350"/>
      <c r="D175" s="349"/>
      <c r="E175" s="337"/>
      <c r="F175" s="164"/>
      <c r="G175" s="337"/>
      <c r="H175" s="164"/>
      <c r="I175" s="343"/>
      <c r="J175" s="183"/>
      <c r="K175" s="343"/>
      <c r="L175" s="183"/>
      <c r="M175" s="343"/>
      <c r="N175" s="183"/>
      <c r="O175" s="337"/>
      <c r="P175" s="164"/>
      <c r="Q175" s="359"/>
      <c r="R175" s="220"/>
      <c r="S175" s="17"/>
      <c r="T175" s="17"/>
      <c r="U175" s="17"/>
      <c r="V175" s="17"/>
      <c r="W175" s="17"/>
      <c r="X175" s="17"/>
      <c r="Y175" s="17"/>
      <c r="Z175" s="17"/>
    </row>
    <row r="176">
      <c r="A176" s="337"/>
      <c r="B176" s="164"/>
      <c r="C176" s="350"/>
      <c r="D176" s="349"/>
      <c r="E176" s="337"/>
      <c r="F176" s="164"/>
      <c r="G176" s="337"/>
      <c r="H176" s="164"/>
      <c r="I176" s="343"/>
      <c r="J176" s="183"/>
      <c r="K176" s="343"/>
      <c r="L176" s="183"/>
      <c r="M176" s="343"/>
      <c r="N176" s="183"/>
      <c r="O176" s="337"/>
      <c r="P176" s="164"/>
      <c r="Q176" s="359"/>
      <c r="R176" s="220"/>
      <c r="S176" s="17"/>
      <c r="T176" s="17"/>
      <c r="U176" s="17"/>
      <c r="V176" s="17"/>
      <c r="W176" s="17"/>
      <c r="X176" s="17"/>
      <c r="Y176" s="17"/>
      <c r="Z176" s="17"/>
    </row>
    <row r="177">
      <c r="A177" s="337"/>
      <c r="B177" s="164"/>
      <c r="C177" s="350"/>
      <c r="D177" s="349"/>
      <c r="E177" s="337"/>
      <c r="F177" s="164"/>
      <c r="G177" s="337"/>
      <c r="H177" s="164"/>
      <c r="I177" s="343"/>
      <c r="J177" s="183"/>
      <c r="K177" s="343"/>
      <c r="L177" s="183"/>
      <c r="M177" s="343"/>
      <c r="N177" s="183"/>
      <c r="O177" s="337"/>
      <c r="P177" s="164"/>
      <c r="Q177" s="359"/>
      <c r="R177" s="220"/>
      <c r="S177" s="17"/>
      <c r="T177" s="17"/>
      <c r="U177" s="17"/>
      <c r="V177" s="17"/>
      <c r="W177" s="17"/>
      <c r="X177" s="17"/>
      <c r="Y177" s="17"/>
      <c r="Z177" s="17"/>
    </row>
    <row r="178">
      <c r="A178" s="337"/>
      <c r="B178" s="164"/>
      <c r="C178" s="350"/>
      <c r="D178" s="349"/>
      <c r="E178" s="337"/>
      <c r="F178" s="164"/>
      <c r="G178" s="337"/>
      <c r="H178" s="164"/>
      <c r="I178" s="343"/>
      <c r="J178" s="183"/>
      <c r="K178" s="343"/>
      <c r="L178" s="183"/>
      <c r="M178" s="343"/>
      <c r="N178" s="183"/>
      <c r="O178" s="337"/>
      <c r="P178" s="164"/>
      <c r="Q178" s="359"/>
      <c r="R178" s="220"/>
      <c r="S178" s="17"/>
      <c r="T178" s="17"/>
      <c r="U178" s="17"/>
      <c r="V178" s="17"/>
      <c r="W178" s="17"/>
      <c r="X178" s="17"/>
      <c r="Y178" s="17"/>
      <c r="Z178" s="17"/>
    </row>
    <row r="179">
      <c r="A179" s="337"/>
      <c r="B179" s="164"/>
      <c r="C179" s="350"/>
      <c r="D179" s="349"/>
      <c r="E179" s="337"/>
      <c r="F179" s="164"/>
      <c r="G179" s="337"/>
      <c r="H179" s="164"/>
      <c r="I179" s="343"/>
      <c r="J179" s="183"/>
      <c r="K179" s="343"/>
      <c r="L179" s="183"/>
      <c r="M179" s="343"/>
      <c r="N179" s="183"/>
      <c r="O179" s="337"/>
      <c r="P179" s="164"/>
      <c r="Q179" s="359"/>
      <c r="R179" s="220"/>
      <c r="S179" s="17"/>
      <c r="T179" s="17"/>
      <c r="U179" s="17"/>
      <c r="V179" s="17"/>
      <c r="W179" s="17"/>
      <c r="X179" s="17"/>
      <c r="Y179" s="17"/>
      <c r="Z179" s="17"/>
    </row>
    <row r="180">
      <c r="A180" s="337"/>
      <c r="B180" s="164"/>
      <c r="C180" s="350"/>
      <c r="D180" s="349"/>
      <c r="E180" s="337"/>
      <c r="F180" s="164"/>
      <c r="G180" s="337"/>
      <c r="H180" s="164"/>
      <c r="I180" s="343"/>
      <c r="J180" s="183"/>
      <c r="K180" s="343"/>
      <c r="L180" s="183"/>
      <c r="M180" s="343"/>
      <c r="N180" s="183"/>
      <c r="O180" s="337"/>
      <c r="P180" s="164"/>
      <c r="Q180" s="359"/>
      <c r="R180" s="220"/>
      <c r="S180" s="17"/>
      <c r="T180" s="17"/>
      <c r="U180" s="17"/>
      <c r="V180" s="17"/>
      <c r="W180" s="17"/>
      <c r="X180" s="17"/>
      <c r="Y180" s="17"/>
      <c r="Z180" s="17"/>
    </row>
    <row r="181">
      <c r="A181" s="337"/>
      <c r="B181" s="164"/>
      <c r="C181" s="350"/>
      <c r="D181" s="349"/>
      <c r="E181" s="337"/>
      <c r="F181" s="164"/>
      <c r="G181" s="337"/>
      <c r="H181" s="164"/>
      <c r="I181" s="343"/>
      <c r="J181" s="183"/>
      <c r="K181" s="343"/>
      <c r="L181" s="183"/>
      <c r="M181" s="343"/>
      <c r="N181" s="183"/>
      <c r="O181" s="337"/>
      <c r="P181" s="164"/>
      <c r="Q181" s="359"/>
      <c r="R181" s="220"/>
      <c r="S181" s="17"/>
      <c r="T181" s="17"/>
      <c r="U181" s="17"/>
      <c r="V181" s="17"/>
      <c r="W181" s="17"/>
      <c r="X181" s="17"/>
      <c r="Y181" s="17"/>
      <c r="Z181" s="17"/>
    </row>
    <row r="182">
      <c r="A182" s="337"/>
      <c r="B182" s="164"/>
      <c r="C182" s="350"/>
      <c r="D182" s="349"/>
      <c r="E182" s="337"/>
      <c r="F182" s="164"/>
      <c r="G182" s="337"/>
      <c r="H182" s="164"/>
      <c r="I182" s="343"/>
      <c r="J182" s="183"/>
      <c r="K182" s="343"/>
      <c r="L182" s="183"/>
      <c r="M182" s="343"/>
      <c r="N182" s="183"/>
      <c r="O182" s="337"/>
      <c r="P182" s="164"/>
      <c r="Q182" s="359"/>
      <c r="R182" s="220"/>
      <c r="S182" s="17"/>
      <c r="T182" s="17"/>
      <c r="U182" s="17"/>
      <c r="V182" s="17"/>
      <c r="W182" s="17"/>
      <c r="X182" s="17"/>
      <c r="Y182" s="17"/>
      <c r="Z182" s="17"/>
    </row>
    <row r="183">
      <c r="A183" s="337"/>
      <c r="B183" s="164"/>
      <c r="C183" s="350"/>
      <c r="D183" s="349"/>
      <c r="E183" s="337"/>
      <c r="F183" s="164"/>
      <c r="G183" s="337"/>
      <c r="H183" s="164"/>
      <c r="I183" s="343"/>
      <c r="J183" s="183"/>
      <c r="K183" s="343"/>
      <c r="L183" s="183"/>
      <c r="M183" s="343"/>
      <c r="N183" s="183"/>
      <c r="O183" s="337"/>
      <c r="P183" s="164"/>
      <c r="Q183" s="359"/>
      <c r="R183" s="220"/>
      <c r="S183" s="17"/>
      <c r="T183" s="17"/>
      <c r="U183" s="17"/>
      <c r="V183" s="17"/>
      <c r="W183" s="17"/>
      <c r="X183" s="17"/>
      <c r="Y183" s="17"/>
      <c r="Z183" s="17"/>
    </row>
    <row r="184">
      <c r="A184" s="337"/>
      <c r="B184" s="164"/>
      <c r="C184" s="350"/>
      <c r="D184" s="349"/>
      <c r="E184" s="337"/>
      <c r="F184" s="164"/>
      <c r="G184" s="337"/>
      <c r="H184" s="164"/>
      <c r="I184" s="343"/>
      <c r="J184" s="183"/>
      <c r="K184" s="343"/>
      <c r="L184" s="183"/>
      <c r="M184" s="343"/>
      <c r="N184" s="183"/>
      <c r="O184" s="337"/>
      <c r="P184" s="164"/>
      <c r="Q184" s="359"/>
      <c r="R184" s="220"/>
      <c r="S184" s="17"/>
      <c r="T184" s="17"/>
      <c r="U184" s="17"/>
      <c r="V184" s="17"/>
      <c r="W184" s="17"/>
      <c r="X184" s="17"/>
      <c r="Y184" s="17"/>
      <c r="Z184" s="17"/>
    </row>
    <row r="185">
      <c r="A185" s="337"/>
      <c r="B185" s="164"/>
      <c r="C185" s="350"/>
      <c r="D185" s="349"/>
      <c r="E185" s="337"/>
      <c r="F185" s="164"/>
      <c r="G185" s="337"/>
      <c r="H185" s="164"/>
      <c r="I185" s="343"/>
      <c r="J185" s="183"/>
      <c r="K185" s="343"/>
      <c r="L185" s="183"/>
      <c r="M185" s="343"/>
      <c r="N185" s="183"/>
      <c r="O185" s="337"/>
      <c r="P185" s="164"/>
      <c r="Q185" s="359"/>
      <c r="R185" s="220"/>
      <c r="S185" s="17"/>
      <c r="T185" s="17"/>
      <c r="U185" s="17"/>
      <c r="V185" s="17"/>
      <c r="W185" s="17"/>
      <c r="X185" s="17"/>
      <c r="Y185" s="17"/>
      <c r="Z185" s="17"/>
    </row>
    <row r="186">
      <c r="A186" s="337"/>
      <c r="B186" s="164"/>
      <c r="C186" s="350"/>
      <c r="D186" s="349"/>
      <c r="E186" s="337"/>
      <c r="F186" s="164"/>
      <c r="G186" s="337"/>
      <c r="H186" s="164"/>
      <c r="I186" s="343"/>
      <c r="J186" s="183"/>
      <c r="K186" s="343"/>
      <c r="L186" s="183"/>
      <c r="M186" s="343"/>
      <c r="N186" s="183"/>
      <c r="O186" s="337"/>
      <c r="P186" s="164"/>
      <c r="Q186" s="359"/>
      <c r="R186" s="220"/>
      <c r="S186" s="17"/>
      <c r="T186" s="17"/>
      <c r="U186" s="17"/>
      <c r="V186" s="17"/>
      <c r="W186" s="17"/>
      <c r="X186" s="17"/>
      <c r="Y186" s="17"/>
      <c r="Z186" s="17"/>
    </row>
    <row r="187">
      <c r="A187" s="337"/>
      <c r="B187" s="164"/>
      <c r="C187" s="350"/>
      <c r="D187" s="349"/>
      <c r="E187" s="337"/>
      <c r="F187" s="164"/>
      <c r="G187" s="337"/>
      <c r="H187" s="164"/>
      <c r="I187" s="343"/>
      <c r="J187" s="183"/>
      <c r="K187" s="343"/>
      <c r="L187" s="183"/>
      <c r="M187" s="343"/>
      <c r="N187" s="183"/>
      <c r="O187" s="337"/>
      <c r="P187" s="164"/>
      <c r="Q187" s="359"/>
      <c r="R187" s="220"/>
      <c r="S187" s="17"/>
      <c r="T187" s="17"/>
      <c r="U187" s="17"/>
      <c r="V187" s="17"/>
      <c r="W187" s="17"/>
      <c r="X187" s="17"/>
      <c r="Y187" s="17"/>
      <c r="Z187" s="17"/>
    </row>
    <row r="188">
      <c r="A188" s="337"/>
      <c r="B188" s="164"/>
      <c r="C188" s="350"/>
      <c r="D188" s="349"/>
      <c r="E188" s="337"/>
      <c r="F188" s="164"/>
      <c r="G188" s="337"/>
      <c r="H188" s="164"/>
      <c r="I188" s="343"/>
      <c r="J188" s="183"/>
      <c r="K188" s="343"/>
      <c r="L188" s="183"/>
      <c r="M188" s="343"/>
      <c r="N188" s="183"/>
      <c r="O188" s="337"/>
      <c r="P188" s="164"/>
      <c r="Q188" s="359"/>
      <c r="R188" s="220"/>
      <c r="S188" s="17"/>
      <c r="T188" s="17"/>
      <c r="U188" s="17"/>
      <c r="V188" s="17"/>
      <c r="W188" s="17"/>
      <c r="X188" s="17"/>
      <c r="Y188" s="17"/>
      <c r="Z188" s="17"/>
    </row>
    <row r="189">
      <c r="A189" s="337"/>
      <c r="B189" s="164"/>
      <c r="C189" s="350"/>
      <c r="D189" s="349"/>
      <c r="E189" s="337"/>
      <c r="F189" s="164"/>
      <c r="G189" s="337"/>
      <c r="H189" s="164"/>
      <c r="I189" s="343"/>
      <c r="J189" s="183"/>
      <c r="K189" s="343"/>
      <c r="L189" s="183"/>
      <c r="M189" s="343"/>
      <c r="N189" s="183"/>
      <c r="O189" s="337"/>
      <c r="P189" s="164"/>
      <c r="Q189" s="359"/>
      <c r="R189" s="220"/>
      <c r="S189" s="17"/>
      <c r="T189" s="17"/>
      <c r="U189" s="17"/>
      <c r="V189" s="17"/>
      <c r="W189" s="17"/>
      <c r="X189" s="17"/>
      <c r="Y189" s="17"/>
      <c r="Z189" s="17"/>
    </row>
    <row r="190">
      <c r="A190" s="337"/>
      <c r="B190" s="164"/>
      <c r="C190" s="350"/>
      <c r="D190" s="349"/>
      <c r="E190" s="337"/>
      <c r="F190" s="164"/>
      <c r="G190" s="337"/>
      <c r="H190" s="164"/>
      <c r="I190" s="343"/>
      <c r="J190" s="183"/>
      <c r="K190" s="343"/>
      <c r="L190" s="183"/>
      <c r="M190" s="343"/>
      <c r="N190" s="183"/>
      <c r="O190" s="337"/>
      <c r="P190" s="164"/>
      <c r="Q190" s="359"/>
      <c r="R190" s="220"/>
      <c r="S190" s="17"/>
      <c r="T190" s="17"/>
      <c r="U190" s="17"/>
      <c r="V190" s="17"/>
      <c r="W190" s="17"/>
      <c r="X190" s="17"/>
      <c r="Y190" s="17"/>
      <c r="Z190" s="17"/>
    </row>
    <row r="191">
      <c r="A191" s="337"/>
      <c r="B191" s="164"/>
      <c r="C191" s="350"/>
      <c r="D191" s="349"/>
      <c r="E191" s="337"/>
      <c r="F191" s="164"/>
      <c r="G191" s="337"/>
      <c r="H191" s="164"/>
      <c r="I191" s="343"/>
      <c r="J191" s="183"/>
      <c r="K191" s="343"/>
      <c r="L191" s="183"/>
      <c r="M191" s="343"/>
      <c r="N191" s="183"/>
      <c r="O191" s="337"/>
      <c r="P191" s="164"/>
      <c r="Q191" s="359"/>
      <c r="R191" s="220"/>
      <c r="S191" s="17"/>
      <c r="T191" s="17"/>
      <c r="U191" s="17"/>
      <c r="V191" s="17"/>
      <c r="W191" s="17"/>
      <c r="X191" s="17"/>
      <c r="Y191" s="17"/>
      <c r="Z191" s="17"/>
    </row>
    <row r="192">
      <c r="A192" s="337"/>
      <c r="B192" s="164"/>
      <c r="C192" s="350"/>
      <c r="D192" s="349"/>
      <c r="E192" s="337"/>
      <c r="F192" s="164"/>
      <c r="G192" s="337"/>
      <c r="H192" s="164"/>
      <c r="I192" s="343"/>
      <c r="J192" s="183"/>
      <c r="K192" s="343"/>
      <c r="L192" s="183"/>
      <c r="M192" s="343"/>
      <c r="N192" s="183"/>
      <c r="O192" s="337"/>
      <c r="P192" s="164"/>
      <c r="Q192" s="359"/>
      <c r="R192" s="220"/>
      <c r="S192" s="17"/>
      <c r="T192" s="17"/>
      <c r="U192" s="17"/>
      <c r="V192" s="17"/>
      <c r="W192" s="17"/>
      <c r="X192" s="17"/>
      <c r="Y192" s="17"/>
      <c r="Z192" s="17"/>
    </row>
    <row r="193">
      <c r="A193" s="337"/>
      <c r="B193" s="164"/>
      <c r="C193" s="350"/>
      <c r="D193" s="349"/>
      <c r="E193" s="337"/>
      <c r="F193" s="164"/>
      <c r="G193" s="337"/>
      <c r="H193" s="164"/>
      <c r="I193" s="343"/>
      <c r="J193" s="183"/>
      <c r="K193" s="343"/>
      <c r="L193" s="183"/>
      <c r="M193" s="343"/>
      <c r="N193" s="183"/>
      <c r="O193" s="337"/>
      <c r="P193" s="164"/>
      <c r="Q193" s="359"/>
      <c r="R193" s="220"/>
      <c r="S193" s="17"/>
      <c r="T193" s="17"/>
      <c r="U193" s="17"/>
      <c r="V193" s="17"/>
      <c r="W193" s="17"/>
      <c r="X193" s="17"/>
      <c r="Y193" s="17"/>
      <c r="Z193" s="17"/>
    </row>
    <row r="194">
      <c r="A194" s="337"/>
      <c r="B194" s="164"/>
      <c r="C194" s="350"/>
      <c r="D194" s="349"/>
      <c r="E194" s="337"/>
      <c r="F194" s="164"/>
      <c r="G194" s="337"/>
      <c r="H194" s="164"/>
      <c r="I194" s="343"/>
      <c r="J194" s="183"/>
      <c r="K194" s="343"/>
      <c r="L194" s="183"/>
      <c r="M194" s="343"/>
      <c r="N194" s="183"/>
      <c r="O194" s="337"/>
      <c r="P194" s="164"/>
      <c r="Q194" s="359"/>
      <c r="R194" s="220"/>
      <c r="S194" s="17"/>
      <c r="T194" s="17"/>
      <c r="U194" s="17"/>
      <c r="V194" s="17"/>
      <c r="W194" s="17"/>
      <c r="X194" s="17"/>
      <c r="Y194" s="17"/>
      <c r="Z194" s="17"/>
    </row>
    <row r="195">
      <c r="A195" s="337"/>
      <c r="B195" s="164"/>
      <c r="C195" s="350"/>
      <c r="D195" s="349"/>
      <c r="E195" s="337"/>
      <c r="F195" s="164"/>
      <c r="G195" s="337"/>
      <c r="H195" s="164"/>
      <c r="I195" s="343"/>
      <c r="J195" s="183"/>
      <c r="K195" s="343"/>
      <c r="L195" s="183"/>
      <c r="M195" s="343"/>
      <c r="N195" s="183"/>
      <c r="O195" s="337"/>
      <c r="P195" s="164"/>
      <c r="Q195" s="359"/>
      <c r="R195" s="220"/>
      <c r="S195" s="17"/>
      <c r="T195" s="17"/>
      <c r="U195" s="17"/>
      <c r="V195" s="17"/>
      <c r="W195" s="17"/>
      <c r="X195" s="17"/>
      <c r="Y195" s="17"/>
      <c r="Z195" s="17"/>
    </row>
    <row r="196">
      <c r="A196" s="337"/>
      <c r="B196" s="164"/>
      <c r="C196" s="350"/>
      <c r="D196" s="349"/>
      <c r="E196" s="337"/>
      <c r="F196" s="164"/>
      <c r="G196" s="337"/>
      <c r="H196" s="164"/>
      <c r="I196" s="343"/>
      <c r="J196" s="183"/>
      <c r="K196" s="343"/>
      <c r="L196" s="183"/>
      <c r="M196" s="343"/>
      <c r="N196" s="183"/>
      <c r="O196" s="337"/>
      <c r="P196" s="164"/>
      <c r="Q196" s="359"/>
      <c r="R196" s="220"/>
      <c r="S196" s="17"/>
      <c r="T196" s="17"/>
      <c r="U196" s="17"/>
      <c r="V196" s="17"/>
      <c r="W196" s="17"/>
      <c r="X196" s="17"/>
      <c r="Y196" s="17"/>
      <c r="Z196" s="17"/>
    </row>
    <row r="197">
      <c r="A197" s="337"/>
      <c r="B197" s="164"/>
      <c r="C197" s="350"/>
      <c r="D197" s="349"/>
      <c r="E197" s="337"/>
      <c r="F197" s="164"/>
      <c r="G197" s="337"/>
      <c r="H197" s="164"/>
      <c r="I197" s="343"/>
      <c r="J197" s="183"/>
      <c r="K197" s="343"/>
      <c r="L197" s="183"/>
      <c r="M197" s="343"/>
      <c r="N197" s="183"/>
      <c r="O197" s="337"/>
      <c r="P197" s="164"/>
      <c r="Q197" s="359"/>
      <c r="R197" s="220"/>
      <c r="S197" s="17"/>
      <c r="T197" s="17"/>
      <c r="U197" s="17"/>
      <c r="V197" s="17"/>
      <c r="W197" s="17"/>
      <c r="X197" s="17"/>
      <c r="Y197" s="17"/>
      <c r="Z197" s="17"/>
    </row>
    <row r="198">
      <c r="A198" s="337"/>
      <c r="B198" s="164"/>
      <c r="C198" s="350"/>
      <c r="D198" s="349"/>
      <c r="E198" s="337"/>
      <c r="F198" s="164"/>
      <c r="G198" s="337"/>
      <c r="H198" s="164"/>
      <c r="I198" s="343"/>
      <c r="J198" s="183"/>
      <c r="K198" s="343"/>
      <c r="L198" s="183"/>
      <c r="M198" s="343"/>
      <c r="N198" s="183"/>
      <c r="O198" s="337"/>
      <c r="P198" s="164"/>
      <c r="Q198" s="359"/>
      <c r="R198" s="220"/>
      <c r="S198" s="17"/>
      <c r="T198" s="17"/>
      <c r="U198" s="17"/>
      <c r="V198" s="17"/>
      <c r="W198" s="17"/>
      <c r="X198" s="17"/>
      <c r="Y198" s="17"/>
      <c r="Z198" s="17"/>
    </row>
    <row r="199">
      <c r="A199" s="337"/>
      <c r="B199" s="164"/>
      <c r="C199" s="350"/>
      <c r="D199" s="349"/>
      <c r="E199" s="337"/>
      <c r="F199" s="164"/>
      <c r="G199" s="337"/>
      <c r="H199" s="164"/>
      <c r="I199" s="343"/>
      <c r="J199" s="183"/>
      <c r="K199" s="343"/>
      <c r="L199" s="183"/>
      <c r="M199" s="343"/>
      <c r="N199" s="183"/>
      <c r="O199" s="337"/>
      <c r="P199" s="164"/>
      <c r="Q199" s="359"/>
      <c r="R199" s="220"/>
      <c r="S199" s="17"/>
      <c r="T199" s="17"/>
      <c r="U199" s="17"/>
      <c r="V199" s="17"/>
      <c r="W199" s="17"/>
      <c r="X199" s="17"/>
      <c r="Y199" s="17"/>
      <c r="Z199" s="17"/>
    </row>
    <row r="200">
      <c r="A200" s="337"/>
      <c r="B200" s="164"/>
      <c r="C200" s="350"/>
      <c r="D200" s="349"/>
      <c r="E200" s="337"/>
      <c r="F200" s="164"/>
      <c r="G200" s="337"/>
      <c r="H200" s="164"/>
      <c r="I200" s="343"/>
      <c r="J200" s="183"/>
      <c r="K200" s="343"/>
      <c r="L200" s="183"/>
      <c r="M200" s="343"/>
      <c r="N200" s="183"/>
      <c r="O200" s="337"/>
      <c r="P200" s="164"/>
      <c r="Q200" s="359"/>
      <c r="R200" s="220"/>
      <c r="S200" s="17"/>
      <c r="T200" s="17"/>
      <c r="U200" s="17"/>
      <c r="V200" s="17"/>
      <c r="W200" s="17"/>
      <c r="X200" s="17"/>
      <c r="Y200" s="17"/>
      <c r="Z200" s="17"/>
    </row>
    <row r="201">
      <c r="A201" s="337"/>
      <c r="B201" s="164"/>
      <c r="C201" s="350"/>
      <c r="D201" s="349"/>
      <c r="E201" s="337"/>
      <c r="F201" s="164"/>
      <c r="G201" s="337"/>
      <c r="H201" s="164"/>
      <c r="I201" s="343"/>
      <c r="J201" s="183"/>
      <c r="K201" s="343"/>
      <c r="L201" s="183"/>
      <c r="M201" s="343"/>
      <c r="N201" s="183"/>
      <c r="O201" s="337"/>
      <c r="P201" s="164"/>
      <c r="Q201" s="359"/>
      <c r="R201" s="220"/>
      <c r="S201" s="17"/>
      <c r="T201" s="17"/>
      <c r="U201" s="17"/>
      <c r="V201" s="17"/>
      <c r="W201" s="17"/>
      <c r="X201" s="17"/>
      <c r="Y201" s="17"/>
      <c r="Z201" s="17"/>
    </row>
    <row r="202">
      <c r="A202" s="337"/>
      <c r="B202" s="164"/>
      <c r="C202" s="350"/>
      <c r="D202" s="349"/>
      <c r="E202" s="337"/>
      <c r="F202" s="164"/>
      <c r="G202" s="337"/>
      <c r="H202" s="164"/>
      <c r="I202" s="343"/>
      <c r="J202" s="183"/>
      <c r="K202" s="343"/>
      <c r="L202" s="183"/>
      <c r="M202" s="343"/>
      <c r="N202" s="183"/>
      <c r="O202" s="337"/>
      <c r="P202" s="164"/>
      <c r="Q202" s="359"/>
      <c r="R202" s="220"/>
      <c r="S202" s="17"/>
      <c r="T202" s="17"/>
      <c r="U202" s="17"/>
      <c r="V202" s="17"/>
      <c r="W202" s="17"/>
      <c r="X202" s="17"/>
      <c r="Y202" s="17"/>
      <c r="Z202" s="17"/>
    </row>
    <row r="203">
      <c r="A203" s="337"/>
      <c r="B203" s="164"/>
      <c r="C203" s="350"/>
      <c r="D203" s="349"/>
      <c r="E203" s="337"/>
      <c r="F203" s="164"/>
      <c r="G203" s="337"/>
      <c r="H203" s="164"/>
      <c r="I203" s="343"/>
      <c r="J203" s="183"/>
      <c r="K203" s="343"/>
      <c r="L203" s="183"/>
      <c r="M203" s="343"/>
      <c r="N203" s="183"/>
      <c r="O203" s="337"/>
      <c r="P203" s="164"/>
      <c r="Q203" s="359"/>
      <c r="R203" s="220"/>
      <c r="S203" s="17"/>
      <c r="T203" s="17"/>
      <c r="U203" s="17"/>
      <c r="V203" s="17"/>
      <c r="W203" s="17"/>
      <c r="X203" s="17"/>
      <c r="Y203" s="17"/>
      <c r="Z203" s="17"/>
    </row>
    <row r="204">
      <c r="A204" s="337"/>
      <c r="B204" s="164"/>
      <c r="C204" s="350"/>
      <c r="D204" s="349"/>
      <c r="E204" s="337"/>
      <c r="F204" s="164"/>
      <c r="G204" s="337"/>
      <c r="H204" s="164"/>
      <c r="I204" s="343"/>
      <c r="J204" s="183"/>
      <c r="K204" s="343"/>
      <c r="L204" s="183"/>
      <c r="M204" s="343"/>
      <c r="N204" s="183"/>
      <c r="O204" s="337"/>
      <c r="P204" s="164"/>
      <c r="Q204" s="359"/>
      <c r="R204" s="220"/>
      <c r="S204" s="17"/>
      <c r="T204" s="17"/>
      <c r="U204" s="17"/>
      <c r="V204" s="17"/>
      <c r="W204" s="17"/>
      <c r="X204" s="17"/>
      <c r="Y204" s="17"/>
      <c r="Z204" s="17"/>
    </row>
    <row r="205">
      <c r="A205" s="337"/>
      <c r="B205" s="164"/>
      <c r="C205" s="350"/>
      <c r="D205" s="349"/>
      <c r="E205" s="337"/>
      <c r="F205" s="164"/>
      <c r="G205" s="337"/>
      <c r="H205" s="164"/>
      <c r="I205" s="343"/>
      <c r="J205" s="183"/>
      <c r="K205" s="343"/>
      <c r="L205" s="183"/>
      <c r="M205" s="343"/>
      <c r="N205" s="183"/>
      <c r="O205" s="337"/>
      <c r="P205" s="164"/>
      <c r="Q205" s="359"/>
      <c r="R205" s="220"/>
      <c r="S205" s="17"/>
      <c r="T205" s="17"/>
      <c r="U205" s="17"/>
      <c r="V205" s="17"/>
      <c r="W205" s="17"/>
      <c r="X205" s="17"/>
      <c r="Y205" s="17"/>
      <c r="Z205" s="17"/>
    </row>
    <row r="206">
      <c r="A206" s="337"/>
      <c r="B206" s="164"/>
      <c r="C206" s="350"/>
      <c r="D206" s="349"/>
      <c r="E206" s="337"/>
      <c r="F206" s="164"/>
      <c r="G206" s="337"/>
      <c r="H206" s="164"/>
      <c r="I206" s="343"/>
      <c r="J206" s="183"/>
      <c r="K206" s="343"/>
      <c r="L206" s="183"/>
      <c r="M206" s="343"/>
      <c r="N206" s="183"/>
      <c r="O206" s="337"/>
      <c r="P206" s="164"/>
      <c r="Q206" s="359"/>
      <c r="R206" s="220"/>
      <c r="S206" s="17"/>
      <c r="T206" s="17"/>
      <c r="U206" s="17"/>
      <c r="V206" s="17"/>
      <c r="W206" s="17"/>
      <c r="X206" s="17"/>
      <c r="Y206" s="17"/>
      <c r="Z206" s="17"/>
    </row>
    <row r="207">
      <c r="A207" s="337"/>
      <c r="B207" s="164"/>
      <c r="C207" s="350"/>
      <c r="D207" s="349"/>
      <c r="E207" s="337"/>
      <c r="F207" s="164"/>
      <c r="G207" s="337"/>
      <c r="H207" s="164"/>
      <c r="I207" s="343"/>
      <c r="J207" s="183"/>
      <c r="K207" s="343"/>
      <c r="L207" s="183"/>
      <c r="M207" s="343"/>
      <c r="N207" s="183"/>
      <c r="O207" s="337"/>
      <c r="P207" s="164"/>
      <c r="Q207" s="359"/>
      <c r="R207" s="220"/>
      <c r="S207" s="17"/>
      <c r="T207" s="17"/>
      <c r="U207" s="17"/>
      <c r="V207" s="17"/>
      <c r="W207" s="17"/>
      <c r="X207" s="17"/>
      <c r="Y207" s="17"/>
      <c r="Z207" s="17"/>
    </row>
    <row r="208">
      <c r="A208" s="337"/>
      <c r="B208" s="164"/>
      <c r="C208" s="350"/>
      <c r="D208" s="349"/>
      <c r="E208" s="337"/>
      <c r="F208" s="164"/>
      <c r="G208" s="337"/>
      <c r="H208" s="164"/>
      <c r="I208" s="343"/>
      <c r="J208" s="183"/>
      <c r="K208" s="343"/>
      <c r="L208" s="183"/>
      <c r="M208" s="343"/>
      <c r="N208" s="183"/>
      <c r="O208" s="337"/>
      <c r="P208" s="164"/>
      <c r="Q208" s="359"/>
      <c r="R208" s="220"/>
      <c r="S208" s="17"/>
      <c r="T208" s="17"/>
      <c r="U208" s="17"/>
      <c r="V208" s="17"/>
      <c r="W208" s="17"/>
      <c r="X208" s="17"/>
      <c r="Y208" s="17"/>
      <c r="Z208" s="17"/>
    </row>
    <row r="209">
      <c r="A209" s="337"/>
      <c r="B209" s="164"/>
      <c r="C209" s="350"/>
      <c r="D209" s="349"/>
      <c r="E209" s="337"/>
      <c r="F209" s="164"/>
      <c r="G209" s="337"/>
      <c r="H209" s="164"/>
      <c r="I209" s="343"/>
      <c r="J209" s="183"/>
      <c r="K209" s="343"/>
      <c r="L209" s="183"/>
      <c r="M209" s="343"/>
      <c r="N209" s="183"/>
      <c r="O209" s="337"/>
      <c r="P209" s="164"/>
      <c r="Q209" s="359"/>
      <c r="R209" s="220"/>
      <c r="S209" s="17"/>
      <c r="T209" s="17"/>
      <c r="U209" s="17"/>
      <c r="V209" s="17"/>
      <c r="W209" s="17"/>
      <c r="X209" s="17"/>
      <c r="Y209" s="17"/>
      <c r="Z209" s="17"/>
    </row>
    <row r="210">
      <c r="A210" s="337"/>
      <c r="B210" s="164"/>
      <c r="C210" s="350"/>
      <c r="D210" s="349"/>
      <c r="E210" s="337"/>
      <c r="F210" s="164"/>
      <c r="G210" s="337"/>
      <c r="H210" s="164"/>
      <c r="I210" s="343"/>
      <c r="J210" s="183"/>
      <c r="K210" s="343"/>
      <c r="L210" s="183"/>
      <c r="M210" s="343"/>
      <c r="N210" s="183"/>
      <c r="O210" s="337"/>
      <c r="P210" s="164"/>
      <c r="Q210" s="359"/>
      <c r="R210" s="220"/>
      <c r="S210" s="17"/>
      <c r="T210" s="17"/>
      <c r="U210" s="17"/>
      <c r="V210" s="17"/>
      <c r="W210" s="17"/>
      <c r="X210" s="17"/>
      <c r="Y210" s="17"/>
      <c r="Z210" s="17"/>
    </row>
    <row r="211">
      <c r="A211" s="337"/>
      <c r="B211" s="164"/>
      <c r="C211" s="350"/>
      <c r="D211" s="349"/>
      <c r="E211" s="337"/>
      <c r="F211" s="164"/>
      <c r="G211" s="337"/>
      <c r="H211" s="164"/>
      <c r="I211" s="343"/>
      <c r="J211" s="183"/>
      <c r="K211" s="343"/>
      <c r="L211" s="183"/>
      <c r="M211" s="343"/>
      <c r="N211" s="183"/>
      <c r="O211" s="337"/>
      <c r="P211" s="164"/>
      <c r="Q211" s="359"/>
      <c r="R211" s="220"/>
      <c r="S211" s="17"/>
      <c r="T211" s="17"/>
      <c r="U211" s="17"/>
      <c r="V211" s="17"/>
      <c r="W211" s="17"/>
      <c r="X211" s="17"/>
      <c r="Y211" s="17"/>
      <c r="Z211" s="17"/>
    </row>
    <row r="212">
      <c r="A212" s="337"/>
      <c r="B212" s="164"/>
      <c r="C212" s="350"/>
      <c r="D212" s="349"/>
      <c r="E212" s="337"/>
      <c r="F212" s="164"/>
      <c r="G212" s="337"/>
      <c r="H212" s="164"/>
      <c r="I212" s="343"/>
      <c r="J212" s="183"/>
      <c r="K212" s="343"/>
      <c r="L212" s="183"/>
      <c r="M212" s="343"/>
      <c r="N212" s="183"/>
      <c r="O212" s="337"/>
      <c r="P212" s="164"/>
      <c r="Q212" s="359"/>
      <c r="R212" s="220"/>
      <c r="S212" s="17"/>
      <c r="T212" s="17"/>
      <c r="U212" s="17"/>
      <c r="V212" s="17"/>
      <c r="W212" s="17"/>
      <c r="X212" s="17"/>
      <c r="Y212" s="17"/>
      <c r="Z212" s="17"/>
    </row>
    <row r="213">
      <c r="A213" s="337"/>
      <c r="B213" s="164"/>
      <c r="C213" s="350"/>
      <c r="D213" s="349"/>
      <c r="E213" s="337"/>
      <c r="F213" s="164"/>
      <c r="G213" s="337"/>
      <c r="H213" s="164"/>
      <c r="I213" s="343"/>
      <c r="J213" s="183"/>
      <c r="K213" s="343"/>
      <c r="L213" s="183"/>
      <c r="M213" s="343"/>
      <c r="N213" s="183"/>
      <c r="O213" s="337"/>
      <c r="P213" s="164"/>
      <c r="Q213" s="359"/>
      <c r="R213" s="220"/>
      <c r="S213" s="17"/>
      <c r="T213" s="17"/>
      <c r="U213" s="17"/>
      <c r="V213" s="17"/>
      <c r="W213" s="17"/>
      <c r="X213" s="17"/>
      <c r="Y213" s="17"/>
      <c r="Z213" s="17"/>
    </row>
    <row r="214">
      <c r="A214" s="337"/>
      <c r="B214" s="164"/>
      <c r="C214" s="350"/>
      <c r="D214" s="349"/>
      <c r="E214" s="337"/>
      <c r="F214" s="164"/>
      <c r="G214" s="337"/>
      <c r="H214" s="164"/>
      <c r="I214" s="343"/>
      <c r="J214" s="183"/>
      <c r="K214" s="343"/>
      <c r="L214" s="183"/>
      <c r="M214" s="343"/>
      <c r="N214" s="183"/>
      <c r="O214" s="337"/>
      <c r="P214" s="164"/>
      <c r="Q214" s="359"/>
      <c r="R214" s="220"/>
      <c r="S214" s="17"/>
      <c r="T214" s="17"/>
      <c r="U214" s="17"/>
      <c r="V214" s="17"/>
      <c r="W214" s="17"/>
      <c r="X214" s="17"/>
      <c r="Y214" s="17"/>
      <c r="Z214" s="17"/>
    </row>
    <row r="215">
      <c r="A215" s="337"/>
      <c r="B215" s="164"/>
      <c r="C215" s="350"/>
      <c r="D215" s="349"/>
      <c r="E215" s="337"/>
      <c r="F215" s="164"/>
      <c r="G215" s="337"/>
      <c r="H215" s="164"/>
      <c r="I215" s="343"/>
      <c r="J215" s="183"/>
      <c r="K215" s="343"/>
      <c r="L215" s="183"/>
      <c r="M215" s="343"/>
      <c r="N215" s="183"/>
      <c r="O215" s="337"/>
      <c r="P215" s="164"/>
      <c r="Q215" s="359"/>
      <c r="R215" s="220"/>
      <c r="S215" s="17"/>
      <c r="T215" s="17"/>
      <c r="U215" s="17"/>
      <c r="V215" s="17"/>
      <c r="W215" s="17"/>
      <c r="X215" s="17"/>
      <c r="Y215" s="17"/>
      <c r="Z215" s="17"/>
    </row>
    <row r="216">
      <c r="A216" s="337"/>
      <c r="B216" s="164"/>
      <c r="C216" s="350"/>
      <c r="D216" s="349"/>
      <c r="E216" s="337"/>
      <c r="F216" s="164"/>
      <c r="G216" s="337"/>
      <c r="H216" s="164"/>
      <c r="I216" s="343"/>
      <c r="J216" s="183"/>
      <c r="K216" s="343"/>
      <c r="L216" s="183"/>
      <c r="M216" s="343"/>
      <c r="N216" s="183"/>
      <c r="O216" s="337"/>
      <c r="P216" s="164"/>
      <c r="Q216" s="359"/>
      <c r="R216" s="220"/>
      <c r="S216" s="17"/>
      <c r="T216" s="17"/>
      <c r="U216" s="17"/>
      <c r="V216" s="17"/>
      <c r="W216" s="17"/>
      <c r="X216" s="17"/>
      <c r="Y216" s="17"/>
      <c r="Z216" s="17"/>
    </row>
    <row r="217">
      <c r="A217" s="337"/>
      <c r="B217" s="164"/>
      <c r="C217" s="350"/>
      <c r="D217" s="349"/>
      <c r="E217" s="337"/>
      <c r="F217" s="164"/>
      <c r="G217" s="337"/>
      <c r="H217" s="164"/>
      <c r="I217" s="343"/>
      <c r="J217" s="183"/>
      <c r="K217" s="343"/>
      <c r="L217" s="183"/>
      <c r="M217" s="343"/>
      <c r="N217" s="183"/>
      <c r="O217" s="337"/>
      <c r="P217" s="164"/>
      <c r="Q217" s="359"/>
      <c r="R217" s="220"/>
      <c r="S217" s="17"/>
      <c r="T217" s="17"/>
      <c r="U217" s="17"/>
      <c r="V217" s="17"/>
      <c r="W217" s="17"/>
      <c r="X217" s="17"/>
      <c r="Y217" s="17"/>
      <c r="Z217" s="17"/>
    </row>
    <row r="218">
      <c r="A218" s="337"/>
      <c r="B218" s="164"/>
      <c r="C218" s="350"/>
      <c r="D218" s="349"/>
      <c r="E218" s="337"/>
      <c r="F218" s="164"/>
      <c r="G218" s="337"/>
      <c r="H218" s="164"/>
      <c r="I218" s="343"/>
      <c r="J218" s="183"/>
      <c r="K218" s="343"/>
      <c r="L218" s="183"/>
      <c r="M218" s="343"/>
      <c r="N218" s="183"/>
      <c r="O218" s="337"/>
      <c r="P218" s="164"/>
      <c r="Q218" s="359"/>
      <c r="R218" s="220"/>
      <c r="S218" s="17"/>
      <c r="T218" s="17"/>
      <c r="U218" s="17"/>
      <c r="V218" s="17"/>
      <c r="W218" s="17"/>
      <c r="X218" s="17"/>
      <c r="Y218" s="17"/>
      <c r="Z218" s="17"/>
    </row>
    <row r="219">
      <c r="A219" s="337"/>
      <c r="B219" s="164"/>
      <c r="C219" s="350"/>
      <c r="D219" s="349"/>
      <c r="E219" s="337"/>
      <c r="F219" s="164"/>
      <c r="G219" s="337"/>
      <c r="H219" s="164"/>
      <c r="I219" s="343"/>
      <c r="J219" s="183"/>
      <c r="K219" s="343"/>
      <c r="L219" s="183"/>
      <c r="M219" s="343"/>
      <c r="N219" s="183"/>
      <c r="O219" s="337"/>
      <c r="P219" s="164"/>
      <c r="Q219" s="359"/>
      <c r="R219" s="220"/>
      <c r="S219" s="17"/>
      <c r="T219" s="17"/>
      <c r="U219" s="17"/>
      <c r="V219" s="17"/>
      <c r="W219" s="17"/>
      <c r="X219" s="17"/>
      <c r="Y219" s="17"/>
      <c r="Z219" s="17"/>
    </row>
    <row r="220">
      <c r="A220" s="337"/>
      <c r="B220" s="164"/>
      <c r="C220" s="350"/>
      <c r="D220" s="349"/>
      <c r="E220" s="337"/>
      <c r="F220" s="164"/>
      <c r="G220" s="337"/>
      <c r="H220" s="164"/>
      <c r="I220" s="343"/>
      <c r="J220" s="183"/>
      <c r="K220" s="343"/>
      <c r="L220" s="183"/>
      <c r="M220" s="343"/>
      <c r="N220" s="183"/>
      <c r="O220" s="337"/>
      <c r="P220" s="164"/>
      <c r="Q220" s="359"/>
      <c r="R220" s="220"/>
      <c r="S220" s="17"/>
      <c r="T220" s="17"/>
      <c r="U220" s="17"/>
      <c r="V220" s="17"/>
      <c r="W220" s="17"/>
      <c r="X220" s="17"/>
      <c r="Y220" s="17"/>
      <c r="Z220" s="17"/>
    </row>
    <row r="221">
      <c r="A221" s="337"/>
      <c r="B221" s="164"/>
      <c r="C221" s="350"/>
      <c r="D221" s="349"/>
      <c r="E221" s="337"/>
      <c r="F221" s="164"/>
      <c r="G221" s="337"/>
      <c r="H221" s="164"/>
      <c r="I221" s="343"/>
      <c r="J221" s="183"/>
      <c r="K221" s="343"/>
      <c r="L221" s="183"/>
      <c r="M221" s="343"/>
      <c r="N221" s="183"/>
      <c r="O221" s="337"/>
      <c r="P221" s="164"/>
      <c r="Q221" s="359"/>
      <c r="R221" s="220"/>
      <c r="S221" s="17"/>
      <c r="T221" s="17"/>
      <c r="U221" s="17"/>
      <c r="V221" s="17"/>
      <c r="W221" s="17"/>
      <c r="X221" s="17"/>
      <c r="Y221" s="17"/>
      <c r="Z221" s="17"/>
    </row>
    <row r="222">
      <c r="A222" s="337"/>
      <c r="B222" s="164"/>
      <c r="C222" s="350"/>
      <c r="D222" s="349"/>
      <c r="E222" s="337"/>
      <c r="F222" s="164"/>
      <c r="G222" s="337"/>
      <c r="H222" s="164"/>
      <c r="I222" s="343"/>
      <c r="J222" s="183"/>
      <c r="K222" s="343"/>
      <c r="L222" s="183"/>
      <c r="M222" s="343"/>
      <c r="N222" s="183"/>
      <c r="O222" s="337"/>
      <c r="P222" s="164"/>
      <c r="Q222" s="359"/>
      <c r="R222" s="220"/>
      <c r="S222" s="17"/>
      <c r="T222" s="17"/>
      <c r="U222" s="17"/>
      <c r="V222" s="17"/>
      <c r="W222" s="17"/>
      <c r="X222" s="17"/>
      <c r="Y222" s="17"/>
      <c r="Z222" s="17"/>
    </row>
    <row r="223">
      <c r="A223" s="337"/>
      <c r="B223" s="164"/>
      <c r="C223" s="350"/>
      <c r="D223" s="349"/>
      <c r="E223" s="337"/>
      <c r="F223" s="164"/>
      <c r="G223" s="337"/>
      <c r="H223" s="164"/>
      <c r="I223" s="343"/>
      <c r="J223" s="183"/>
      <c r="K223" s="343"/>
      <c r="L223" s="183"/>
      <c r="M223" s="343"/>
      <c r="N223" s="183"/>
      <c r="O223" s="337"/>
      <c r="P223" s="164"/>
      <c r="Q223" s="359"/>
      <c r="R223" s="220"/>
      <c r="S223" s="17"/>
      <c r="T223" s="17"/>
      <c r="U223" s="17"/>
      <c r="V223" s="17"/>
      <c r="W223" s="17"/>
      <c r="X223" s="17"/>
      <c r="Y223" s="17"/>
      <c r="Z223" s="17"/>
    </row>
    <row r="224">
      <c r="A224" s="337"/>
      <c r="B224" s="164"/>
      <c r="C224" s="350"/>
      <c r="D224" s="349"/>
      <c r="E224" s="337"/>
      <c r="F224" s="164"/>
      <c r="G224" s="337"/>
      <c r="H224" s="164"/>
      <c r="I224" s="343"/>
      <c r="J224" s="183"/>
      <c r="K224" s="343"/>
      <c r="L224" s="183"/>
      <c r="M224" s="343"/>
      <c r="N224" s="183"/>
      <c r="O224" s="337"/>
      <c r="P224" s="164"/>
      <c r="Q224" s="359"/>
      <c r="R224" s="220"/>
      <c r="S224" s="17"/>
      <c r="T224" s="17"/>
      <c r="U224" s="17"/>
      <c r="V224" s="17"/>
      <c r="W224" s="17"/>
      <c r="X224" s="17"/>
      <c r="Y224" s="17"/>
      <c r="Z224" s="17"/>
    </row>
    <row r="225">
      <c r="A225" s="337"/>
      <c r="B225" s="164"/>
      <c r="C225" s="350"/>
      <c r="D225" s="349"/>
      <c r="E225" s="337"/>
      <c r="F225" s="164"/>
      <c r="G225" s="337"/>
      <c r="H225" s="164"/>
      <c r="I225" s="343"/>
      <c r="J225" s="183"/>
      <c r="K225" s="343"/>
      <c r="L225" s="183"/>
      <c r="M225" s="343"/>
      <c r="N225" s="183"/>
      <c r="O225" s="337"/>
      <c r="P225" s="164"/>
      <c r="Q225" s="359"/>
      <c r="R225" s="220"/>
      <c r="S225" s="17"/>
      <c r="T225" s="17"/>
      <c r="U225" s="17"/>
      <c r="V225" s="17"/>
      <c r="W225" s="17"/>
      <c r="X225" s="17"/>
      <c r="Y225" s="17"/>
      <c r="Z225" s="17"/>
    </row>
    <row r="226">
      <c r="A226" s="337"/>
      <c r="B226" s="164"/>
      <c r="C226" s="350"/>
      <c r="D226" s="349"/>
      <c r="E226" s="337"/>
      <c r="F226" s="164"/>
      <c r="G226" s="337"/>
      <c r="H226" s="164"/>
      <c r="I226" s="343"/>
      <c r="J226" s="183"/>
      <c r="K226" s="343"/>
      <c r="L226" s="183"/>
      <c r="M226" s="343"/>
      <c r="N226" s="183"/>
      <c r="O226" s="337"/>
      <c r="P226" s="164"/>
      <c r="Q226" s="359"/>
      <c r="R226" s="220"/>
      <c r="S226" s="17"/>
      <c r="T226" s="17"/>
      <c r="U226" s="17"/>
      <c r="V226" s="17"/>
      <c r="W226" s="17"/>
      <c r="X226" s="17"/>
      <c r="Y226" s="17"/>
      <c r="Z226" s="17"/>
    </row>
    <row r="227">
      <c r="A227" s="337"/>
      <c r="B227" s="164"/>
      <c r="C227" s="350"/>
      <c r="D227" s="349"/>
      <c r="E227" s="337"/>
      <c r="F227" s="164"/>
      <c r="G227" s="337"/>
      <c r="H227" s="164"/>
      <c r="I227" s="343"/>
      <c r="J227" s="183"/>
      <c r="K227" s="343"/>
      <c r="L227" s="183"/>
      <c r="M227" s="343"/>
      <c r="N227" s="183"/>
      <c r="O227" s="337"/>
      <c r="P227" s="164"/>
      <c r="Q227" s="359"/>
      <c r="R227" s="220"/>
      <c r="S227" s="17"/>
      <c r="T227" s="17"/>
      <c r="U227" s="17"/>
      <c r="V227" s="17"/>
      <c r="W227" s="17"/>
      <c r="X227" s="17"/>
      <c r="Y227" s="17"/>
      <c r="Z227" s="17"/>
    </row>
    <row r="228">
      <c r="A228" s="337"/>
      <c r="B228" s="164"/>
      <c r="C228" s="350"/>
      <c r="D228" s="349"/>
      <c r="E228" s="337"/>
      <c r="F228" s="164"/>
      <c r="G228" s="337"/>
      <c r="H228" s="164"/>
      <c r="I228" s="343"/>
      <c r="J228" s="183"/>
      <c r="K228" s="343"/>
      <c r="L228" s="183"/>
      <c r="M228" s="343"/>
      <c r="N228" s="183"/>
      <c r="O228" s="337"/>
      <c r="P228" s="164"/>
      <c r="Q228" s="359"/>
      <c r="R228" s="220"/>
      <c r="S228" s="17"/>
      <c r="T228" s="17"/>
      <c r="U228" s="17"/>
      <c r="V228" s="17"/>
      <c r="W228" s="17"/>
      <c r="X228" s="17"/>
      <c r="Y228" s="17"/>
      <c r="Z228" s="17"/>
    </row>
    <row r="229">
      <c r="A229" s="337"/>
      <c r="B229" s="164"/>
      <c r="C229" s="350"/>
      <c r="D229" s="349"/>
      <c r="E229" s="337"/>
      <c r="F229" s="164"/>
      <c r="G229" s="337"/>
      <c r="H229" s="164"/>
      <c r="I229" s="343"/>
      <c r="J229" s="183"/>
      <c r="K229" s="343"/>
      <c r="L229" s="183"/>
      <c r="M229" s="343"/>
      <c r="N229" s="183"/>
      <c r="O229" s="337"/>
      <c r="P229" s="164"/>
      <c r="Q229" s="359"/>
      <c r="R229" s="220"/>
      <c r="S229" s="17"/>
      <c r="T229" s="17"/>
      <c r="U229" s="17"/>
      <c r="V229" s="17"/>
      <c r="W229" s="17"/>
      <c r="X229" s="17"/>
      <c r="Y229" s="17"/>
      <c r="Z229" s="17"/>
    </row>
    <row r="230">
      <c r="A230" s="337"/>
      <c r="B230" s="164"/>
      <c r="C230" s="350"/>
      <c r="D230" s="349"/>
      <c r="E230" s="337"/>
      <c r="F230" s="164"/>
      <c r="G230" s="337"/>
      <c r="H230" s="164"/>
      <c r="I230" s="343"/>
      <c r="J230" s="183"/>
      <c r="K230" s="343"/>
      <c r="L230" s="183"/>
      <c r="M230" s="343"/>
      <c r="N230" s="183"/>
      <c r="O230" s="337"/>
      <c r="P230" s="164"/>
      <c r="Q230" s="359"/>
      <c r="R230" s="220"/>
      <c r="S230" s="17"/>
      <c r="T230" s="17"/>
      <c r="U230" s="17"/>
      <c r="V230" s="17"/>
      <c r="W230" s="17"/>
      <c r="X230" s="17"/>
      <c r="Y230" s="17"/>
      <c r="Z230" s="17"/>
    </row>
    <row r="231">
      <c r="A231" s="337"/>
      <c r="B231" s="164"/>
      <c r="C231" s="350"/>
      <c r="D231" s="349"/>
      <c r="E231" s="337"/>
      <c r="F231" s="164"/>
      <c r="G231" s="337"/>
      <c r="H231" s="164"/>
      <c r="I231" s="343"/>
      <c r="J231" s="183"/>
      <c r="K231" s="343"/>
      <c r="L231" s="183"/>
      <c r="M231" s="343"/>
      <c r="N231" s="183"/>
      <c r="O231" s="337"/>
      <c r="P231" s="164"/>
      <c r="Q231" s="359"/>
      <c r="R231" s="220"/>
      <c r="S231" s="17"/>
      <c r="T231" s="17"/>
      <c r="U231" s="17"/>
      <c r="V231" s="17"/>
      <c r="W231" s="17"/>
      <c r="X231" s="17"/>
      <c r="Y231" s="17"/>
      <c r="Z231" s="17"/>
    </row>
    <row r="232">
      <c r="A232" s="337"/>
      <c r="B232" s="164"/>
      <c r="C232" s="350"/>
      <c r="D232" s="349"/>
      <c r="E232" s="337"/>
      <c r="F232" s="164"/>
      <c r="G232" s="337"/>
      <c r="H232" s="164"/>
      <c r="I232" s="343"/>
      <c r="J232" s="183"/>
      <c r="K232" s="343"/>
      <c r="L232" s="183"/>
      <c r="M232" s="343"/>
      <c r="N232" s="183"/>
      <c r="O232" s="337"/>
      <c r="P232" s="164"/>
      <c r="Q232" s="359"/>
      <c r="R232" s="220"/>
      <c r="S232" s="17"/>
      <c r="T232" s="17"/>
      <c r="U232" s="17"/>
      <c r="V232" s="17"/>
      <c r="W232" s="17"/>
      <c r="X232" s="17"/>
      <c r="Y232" s="17"/>
      <c r="Z232" s="17"/>
    </row>
    <row r="233">
      <c r="A233" s="337"/>
      <c r="B233" s="164"/>
      <c r="C233" s="350"/>
      <c r="D233" s="349"/>
      <c r="E233" s="337"/>
      <c r="F233" s="164"/>
      <c r="G233" s="337"/>
      <c r="H233" s="164"/>
      <c r="I233" s="343"/>
      <c r="J233" s="183"/>
      <c r="K233" s="343"/>
      <c r="L233" s="183"/>
      <c r="M233" s="343"/>
      <c r="N233" s="183"/>
      <c r="O233" s="337"/>
      <c r="P233" s="164"/>
      <c r="Q233" s="359"/>
      <c r="R233" s="220"/>
      <c r="S233" s="17"/>
      <c r="T233" s="17"/>
      <c r="U233" s="17"/>
      <c r="V233" s="17"/>
      <c r="W233" s="17"/>
      <c r="X233" s="17"/>
      <c r="Y233" s="17"/>
      <c r="Z233" s="17"/>
    </row>
    <row r="234">
      <c r="A234" s="337"/>
      <c r="B234" s="164"/>
      <c r="C234" s="350"/>
      <c r="D234" s="349"/>
      <c r="E234" s="337"/>
      <c r="F234" s="164"/>
      <c r="G234" s="337"/>
      <c r="H234" s="164"/>
      <c r="I234" s="343"/>
      <c r="J234" s="183"/>
      <c r="K234" s="343"/>
      <c r="L234" s="183"/>
      <c r="M234" s="343"/>
      <c r="N234" s="183"/>
      <c r="O234" s="337"/>
      <c r="P234" s="164"/>
      <c r="Q234" s="359"/>
      <c r="R234" s="220"/>
      <c r="S234" s="17"/>
      <c r="T234" s="17"/>
      <c r="U234" s="17"/>
      <c r="V234" s="17"/>
      <c r="W234" s="17"/>
      <c r="X234" s="17"/>
      <c r="Y234" s="17"/>
      <c r="Z234" s="17"/>
    </row>
    <row r="235">
      <c r="A235" s="337"/>
      <c r="B235" s="164"/>
      <c r="C235" s="350"/>
      <c r="D235" s="349"/>
      <c r="E235" s="337"/>
      <c r="F235" s="164"/>
      <c r="G235" s="337"/>
      <c r="H235" s="164"/>
      <c r="I235" s="343"/>
      <c r="J235" s="183"/>
      <c r="K235" s="343"/>
      <c r="L235" s="183"/>
      <c r="M235" s="343"/>
      <c r="N235" s="183"/>
      <c r="O235" s="337"/>
      <c r="P235" s="164"/>
      <c r="Q235" s="359"/>
      <c r="R235" s="220"/>
      <c r="S235" s="17"/>
      <c r="T235" s="17"/>
      <c r="U235" s="17"/>
      <c r="V235" s="17"/>
      <c r="W235" s="17"/>
      <c r="X235" s="17"/>
      <c r="Y235" s="17"/>
      <c r="Z235" s="17"/>
    </row>
    <row r="236">
      <c r="A236" s="337"/>
      <c r="B236" s="164"/>
      <c r="C236" s="350"/>
      <c r="D236" s="349"/>
      <c r="E236" s="337"/>
      <c r="F236" s="164"/>
      <c r="G236" s="337"/>
      <c r="H236" s="164"/>
      <c r="I236" s="343"/>
      <c r="J236" s="183"/>
      <c r="K236" s="343"/>
      <c r="L236" s="183"/>
      <c r="M236" s="343"/>
      <c r="N236" s="183"/>
      <c r="O236" s="337"/>
      <c r="P236" s="164"/>
      <c r="Q236" s="359"/>
      <c r="R236" s="220"/>
      <c r="S236" s="17"/>
      <c r="T236" s="17"/>
      <c r="U236" s="17"/>
      <c r="V236" s="17"/>
      <c r="W236" s="17"/>
      <c r="X236" s="17"/>
      <c r="Y236" s="17"/>
      <c r="Z236" s="17"/>
    </row>
    <row r="237">
      <c r="A237" s="337"/>
      <c r="B237" s="164"/>
      <c r="C237" s="350"/>
      <c r="D237" s="349"/>
      <c r="E237" s="337"/>
      <c r="F237" s="164"/>
      <c r="G237" s="337"/>
      <c r="H237" s="164"/>
      <c r="I237" s="343"/>
      <c r="J237" s="183"/>
      <c r="K237" s="343"/>
      <c r="L237" s="183"/>
      <c r="M237" s="343"/>
      <c r="N237" s="183"/>
      <c r="O237" s="337"/>
      <c r="P237" s="164"/>
      <c r="Q237" s="359"/>
      <c r="R237" s="220"/>
      <c r="S237" s="17"/>
      <c r="T237" s="17"/>
      <c r="U237" s="17"/>
      <c r="V237" s="17"/>
      <c r="W237" s="17"/>
      <c r="X237" s="17"/>
      <c r="Y237" s="17"/>
      <c r="Z237" s="17"/>
    </row>
    <row r="238">
      <c r="A238" s="337"/>
      <c r="B238" s="164"/>
      <c r="C238" s="350"/>
      <c r="D238" s="349"/>
      <c r="E238" s="337"/>
      <c r="F238" s="164"/>
      <c r="G238" s="337"/>
      <c r="H238" s="164"/>
      <c r="I238" s="343"/>
      <c r="J238" s="183"/>
      <c r="K238" s="343"/>
      <c r="L238" s="183"/>
      <c r="M238" s="343"/>
      <c r="N238" s="183"/>
      <c r="O238" s="337"/>
      <c r="P238" s="164"/>
      <c r="Q238" s="359"/>
      <c r="R238" s="220"/>
      <c r="S238" s="17"/>
      <c r="T238" s="17"/>
      <c r="U238" s="17"/>
      <c r="V238" s="17"/>
      <c r="W238" s="17"/>
      <c r="X238" s="17"/>
      <c r="Y238" s="17"/>
      <c r="Z238" s="17"/>
    </row>
    <row r="239">
      <c r="A239" s="337"/>
      <c r="B239" s="164"/>
      <c r="C239" s="350"/>
      <c r="D239" s="349"/>
      <c r="E239" s="337"/>
      <c r="F239" s="164"/>
      <c r="G239" s="337"/>
      <c r="H239" s="164"/>
      <c r="I239" s="343"/>
      <c r="J239" s="183"/>
      <c r="K239" s="343"/>
      <c r="L239" s="183"/>
      <c r="M239" s="343"/>
      <c r="N239" s="183"/>
      <c r="O239" s="337"/>
      <c r="P239" s="164"/>
      <c r="Q239" s="359"/>
      <c r="R239" s="220"/>
      <c r="S239" s="17"/>
      <c r="T239" s="17"/>
      <c r="U239" s="17"/>
      <c r="V239" s="17"/>
      <c r="W239" s="17"/>
      <c r="X239" s="17"/>
      <c r="Y239" s="17"/>
      <c r="Z239" s="17"/>
    </row>
    <row r="240">
      <c r="A240" s="337"/>
      <c r="B240" s="164"/>
      <c r="C240" s="350"/>
      <c r="D240" s="349"/>
      <c r="E240" s="337"/>
      <c r="F240" s="164"/>
      <c r="G240" s="337"/>
      <c r="H240" s="164"/>
      <c r="I240" s="343"/>
      <c r="J240" s="183"/>
      <c r="K240" s="343"/>
      <c r="L240" s="183"/>
      <c r="M240" s="343"/>
      <c r="N240" s="183"/>
      <c r="O240" s="337"/>
      <c r="P240" s="164"/>
      <c r="Q240" s="359"/>
      <c r="R240" s="220"/>
      <c r="S240" s="17"/>
      <c r="T240" s="17"/>
      <c r="U240" s="17"/>
      <c r="V240" s="17"/>
      <c r="W240" s="17"/>
      <c r="X240" s="17"/>
      <c r="Y240" s="17"/>
      <c r="Z240" s="17"/>
    </row>
    <row r="241">
      <c r="A241" s="337"/>
      <c r="B241" s="164"/>
      <c r="C241" s="350"/>
      <c r="D241" s="349"/>
      <c r="E241" s="337"/>
      <c r="F241" s="164"/>
      <c r="G241" s="337"/>
      <c r="H241" s="164"/>
      <c r="I241" s="343"/>
      <c r="J241" s="183"/>
      <c r="K241" s="343"/>
      <c r="L241" s="183"/>
      <c r="M241" s="343"/>
      <c r="N241" s="183"/>
      <c r="O241" s="337"/>
      <c r="P241" s="164"/>
      <c r="Q241" s="359"/>
      <c r="R241" s="220"/>
      <c r="S241" s="17"/>
      <c r="T241" s="17"/>
      <c r="U241" s="17"/>
      <c r="V241" s="17"/>
      <c r="W241" s="17"/>
      <c r="X241" s="17"/>
      <c r="Y241" s="17"/>
      <c r="Z241" s="17"/>
    </row>
    <row r="242">
      <c r="A242" s="337"/>
      <c r="B242" s="164"/>
      <c r="C242" s="350"/>
      <c r="D242" s="349"/>
      <c r="E242" s="337"/>
      <c r="F242" s="164"/>
      <c r="G242" s="337"/>
      <c r="H242" s="164"/>
      <c r="I242" s="343"/>
      <c r="J242" s="183"/>
      <c r="K242" s="343"/>
      <c r="L242" s="183"/>
      <c r="M242" s="343"/>
      <c r="N242" s="183"/>
      <c r="O242" s="337"/>
      <c r="P242" s="164"/>
      <c r="Q242" s="359"/>
      <c r="R242" s="220"/>
      <c r="S242" s="17"/>
      <c r="T242" s="17"/>
      <c r="U242" s="17"/>
      <c r="V242" s="17"/>
      <c r="W242" s="17"/>
      <c r="X242" s="17"/>
      <c r="Y242" s="17"/>
      <c r="Z242" s="17"/>
    </row>
    <row r="243">
      <c r="A243" s="337"/>
      <c r="B243" s="164"/>
      <c r="C243" s="350"/>
      <c r="D243" s="349"/>
      <c r="E243" s="337"/>
      <c r="F243" s="164"/>
      <c r="G243" s="337"/>
      <c r="H243" s="164"/>
      <c r="I243" s="343"/>
      <c r="J243" s="183"/>
      <c r="K243" s="343"/>
      <c r="L243" s="183"/>
      <c r="M243" s="343"/>
      <c r="N243" s="183"/>
      <c r="O243" s="337"/>
      <c r="P243" s="164"/>
      <c r="Q243" s="359"/>
      <c r="R243" s="220"/>
      <c r="S243" s="17"/>
      <c r="T243" s="17"/>
      <c r="U243" s="17"/>
      <c r="V243" s="17"/>
      <c r="W243" s="17"/>
      <c r="X243" s="17"/>
      <c r="Y243" s="17"/>
      <c r="Z243" s="17"/>
    </row>
    <row r="244">
      <c r="A244" s="337"/>
      <c r="B244" s="164"/>
      <c r="C244" s="350"/>
      <c r="D244" s="349"/>
      <c r="E244" s="337"/>
      <c r="F244" s="164"/>
      <c r="G244" s="337"/>
      <c r="H244" s="164"/>
      <c r="I244" s="343"/>
      <c r="J244" s="183"/>
      <c r="K244" s="343"/>
      <c r="L244" s="183"/>
      <c r="M244" s="343"/>
      <c r="N244" s="183"/>
      <c r="O244" s="337"/>
      <c r="P244" s="164"/>
      <c r="Q244" s="359"/>
      <c r="R244" s="220"/>
      <c r="S244" s="17"/>
      <c r="T244" s="17"/>
      <c r="U244" s="17"/>
      <c r="V244" s="17"/>
      <c r="W244" s="17"/>
      <c r="X244" s="17"/>
      <c r="Y244" s="17"/>
      <c r="Z244" s="17"/>
    </row>
    <row r="245">
      <c r="A245" s="337"/>
      <c r="B245" s="164"/>
      <c r="C245" s="350"/>
      <c r="D245" s="349"/>
      <c r="E245" s="337"/>
      <c r="F245" s="164"/>
      <c r="G245" s="337"/>
      <c r="H245" s="164"/>
      <c r="I245" s="343"/>
      <c r="J245" s="183"/>
      <c r="K245" s="343"/>
      <c r="L245" s="183"/>
      <c r="M245" s="343"/>
      <c r="N245" s="183"/>
      <c r="O245" s="337"/>
      <c r="P245" s="164"/>
      <c r="Q245" s="359"/>
      <c r="R245" s="220"/>
      <c r="S245" s="17"/>
      <c r="T245" s="17"/>
      <c r="U245" s="17"/>
      <c r="V245" s="17"/>
      <c r="W245" s="17"/>
      <c r="X245" s="17"/>
      <c r="Y245" s="17"/>
      <c r="Z245" s="17"/>
    </row>
    <row r="246">
      <c r="A246" s="337"/>
      <c r="B246" s="164"/>
      <c r="C246" s="350"/>
      <c r="D246" s="349"/>
      <c r="E246" s="337"/>
      <c r="F246" s="164"/>
      <c r="G246" s="337"/>
      <c r="H246" s="164"/>
      <c r="I246" s="343"/>
      <c r="J246" s="183"/>
      <c r="K246" s="343"/>
      <c r="L246" s="183"/>
      <c r="M246" s="343"/>
      <c r="N246" s="183"/>
      <c r="O246" s="337"/>
      <c r="P246" s="164"/>
      <c r="Q246" s="359"/>
      <c r="R246" s="220"/>
      <c r="S246" s="17"/>
      <c r="T246" s="17"/>
      <c r="U246" s="17"/>
      <c r="V246" s="17"/>
      <c r="W246" s="17"/>
      <c r="X246" s="17"/>
      <c r="Y246" s="17"/>
      <c r="Z246" s="17"/>
    </row>
    <row r="247">
      <c r="A247" s="337"/>
      <c r="B247" s="164"/>
      <c r="C247" s="350"/>
      <c r="D247" s="349"/>
      <c r="E247" s="337"/>
      <c r="F247" s="164"/>
      <c r="G247" s="337"/>
      <c r="H247" s="164"/>
      <c r="I247" s="343"/>
      <c r="J247" s="183"/>
      <c r="K247" s="343"/>
      <c r="L247" s="183"/>
      <c r="M247" s="343"/>
      <c r="N247" s="183"/>
      <c r="O247" s="337"/>
      <c r="P247" s="164"/>
      <c r="Q247" s="359"/>
      <c r="R247" s="220"/>
      <c r="S247" s="17"/>
      <c r="T247" s="17"/>
      <c r="U247" s="17"/>
      <c r="V247" s="17"/>
      <c r="W247" s="17"/>
      <c r="X247" s="17"/>
      <c r="Y247" s="17"/>
      <c r="Z247" s="17"/>
    </row>
    <row r="248">
      <c r="A248" s="337"/>
      <c r="B248" s="164"/>
      <c r="C248" s="350"/>
      <c r="D248" s="349"/>
      <c r="E248" s="337"/>
      <c r="F248" s="164"/>
      <c r="G248" s="337"/>
      <c r="H248" s="164"/>
      <c r="I248" s="343"/>
      <c r="J248" s="183"/>
      <c r="K248" s="343"/>
      <c r="L248" s="183"/>
      <c r="M248" s="343"/>
      <c r="N248" s="183"/>
      <c r="O248" s="337"/>
      <c r="P248" s="164"/>
      <c r="Q248" s="359"/>
      <c r="R248" s="220"/>
      <c r="S248" s="17"/>
      <c r="T248" s="17"/>
      <c r="U248" s="17"/>
      <c r="V248" s="17"/>
      <c r="W248" s="17"/>
      <c r="X248" s="17"/>
      <c r="Y248" s="17"/>
      <c r="Z248" s="17"/>
    </row>
    <row r="249">
      <c r="A249" s="337"/>
      <c r="B249" s="164"/>
      <c r="C249" s="350"/>
      <c r="D249" s="349"/>
      <c r="E249" s="337"/>
      <c r="F249" s="164"/>
      <c r="G249" s="337"/>
      <c r="H249" s="164"/>
      <c r="I249" s="343"/>
      <c r="J249" s="183"/>
      <c r="K249" s="343"/>
      <c r="L249" s="183"/>
      <c r="M249" s="343"/>
      <c r="N249" s="183"/>
      <c r="O249" s="337"/>
      <c r="P249" s="164"/>
      <c r="Q249" s="359"/>
      <c r="R249" s="220"/>
      <c r="S249" s="17"/>
      <c r="T249" s="17"/>
      <c r="U249" s="17"/>
      <c r="V249" s="17"/>
      <c r="W249" s="17"/>
      <c r="X249" s="17"/>
      <c r="Y249" s="17"/>
      <c r="Z249" s="17"/>
    </row>
    <row r="250">
      <c r="A250" s="337"/>
      <c r="B250" s="164"/>
      <c r="C250" s="350"/>
      <c r="D250" s="349"/>
      <c r="E250" s="337"/>
      <c r="F250" s="164"/>
      <c r="G250" s="337"/>
      <c r="H250" s="164"/>
      <c r="I250" s="343"/>
      <c r="J250" s="183"/>
      <c r="K250" s="343"/>
      <c r="L250" s="183"/>
      <c r="M250" s="343"/>
      <c r="N250" s="183"/>
      <c r="O250" s="337"/>
      <c r="P250" s="164"/>
      <c r="Q250" s="359"/>
      <c r="R250" s="220"/>
      <c r="S250" s="17"/>
      <c r="T250" s="17"/>
      <c r="U250" s="17"/>
      <c r="V250" s="17"/>
      <c r="W250" s="17"/>
      <c r="X250" s="17"/>
      <c r="Y250" s="17"/>
      <c r="Z250" s="17"/>
    </row>
    <row r="251">
      <c r="A251" s="337"/>
      <c r="B251" s="164"/>
      <c r="C251" s="350"/>
      <c r="D251" s="349"/>
      <c r="E251" s="337"/>
      <c r="F251" s="164"/>
      <c r="G251" s="337"/>
      <c r="H251" s="164"/>
      <c r="I251" s="343"/>
      <c r="J251" s="183"/>
      <c r="K251" s="343"/>
      <c r="L251" s="183"/>
      <c r="M251" s="343"/>
      <c r="N251" s="183"/>
      <c r="O251" s="337"/>
      <c r="P251" s="164"/>
      <c r="Q251" s="359"/>
      <c r="R251" s="220"/>
      <c r="S251" s="17"/>
      <c r="T251" s="17"/>
      <c r="U251" s="17"/>
      <c r="V251" s="17"/>
      <c r="W251" s="17"/>
      <c r="X251" s="17"/>
      <c r="Y251" s="17"/>
      <c r="Z251" s="17"/>
    </row>
    <row r="252">
      <c r="A252" s="337"/>
      <c r="B252" s="164"/>
      <c r="C252" s="350"/>
      <c r="D252" s="349"/>
      <c r="E252" s="337"/>
      <c r="F252" s="164"/>
      <c r="G252" s="337"/>
      <c r="H252" s="164"/>
      <c r="I252" s="343"/>
      <c r="J252" s="183"/>
      <c r="K252" s="343"/>
      <c r="L252" s="183"/>
      <c r="M252" s="343"/>
      <c r="N252" s="183"/>
      <c r="O252" s="337"/>
      <c r="P252" s="164"/>
      <c r="Q252" s="359"/>
      <c r="R252" s="220"/>
      <c r="S252" s="17"/>
      <c r="T252" s="17"/>
      <c r="U252" s="17"/>
      <c r="V252" s="17"/>
      <c r="W252" s="17"/>
      <c r="X252" s="17"/>
      <c r="Y252" s="17"/>
      <c r="Z252" s="17"/>
    </row>
    <row r="253">
      <c r="A253" s="337"/>
      <c r="B253" s="164"/>
      <c r="C253" s="350"/>
      <c r="D253" s="349"/>
      <c r="E253" s="337"/>
      <c r="F253" s="164"/>
      <c r="G253" s="337"/>
      <c r="H253" s="164"/>
      <c r="I253" s="343"/>
      <c r="J253" s="183"/>
      <c r="K253" s="343"/>
      <c r="L253" s="183"/>
      <c r="M253" s="343"/>
      <c r="N253" s="183"/>
      <c r="O253" s="337"/>
      <c r="P253" s="164"/>
      <c r="Q253" s="359"/>
      <c r="R253" s="220"/>
      <c r="S253" s="17"/>
      <c r="T253" s="17"/>
      <c r="U253" s="17"/>
      <c r="V253" s="17"/>
      <c r="W253" s="17"/>
      <c r="X253" s="17"/>
      <c r="Y253" s="17"/>
      <c r="Z253" s="17"/>
    </row>
    <row r="254">
      <c r="A254" s="337"/>
      <c r="B254" s="164"/>
      <c r="C254" s="350"/>
      <c r="D254" s="349"/>
      <c r="E254" s="337"/>
      <c r="F254" s="164"/>
      <c r="G254" s="337"/>
      <c r="H254" s="164"/>
      <c r="I254" s="343"/>
      <c r="J254" s="183"/>
      <c r="K254" s="343"/>
      <c r="L254" s="183"/>
      <c r="M254" s="343"/>
      <c r="N254" s="183"/>
      <c r="O254" s="337"/>
      <c r="P254" s="164"/>
      <c r="Q254" s="359"/>
      <c r="R254" s="220"/>
      <c r="S254" s="17"/>
      <c r="T254" s="17"/>
      <c r="U254" s="17"/>
      <c r="V254" s="17"/>
      <c r="W254" s="17"/>
      <c r="X254" s="17"/>
      <c r="Y254" s="17"/>
      <c r="Z254" s="17"/>
    </row>
    <row r="255">
      <c r="A255" s="337"/>
      <c r="B255" s="164"/>
      <c r="C255" s="350"/>
      <c r="D255" s="349"/>
      <c r="E255" s="337"/>
      <c r="F255" s="164"/>
      <c r="G255" s="337"/>
      <c r="H255" s="164"/>
      <c r="I255" s="343"/>
      <c r="J255" s="183"/>
      <c r="K255" s="343"/>
      <c r="L255" s="183"/>
      <c r="M255" s="343"/>
      <c r="N255" s="183"/>
      <c r="O255" s="337"/>
      <c r="P255" s="164"/>
      <c r="Q255" s="359"/>
      <c r="R255" s="220"/>
      <c r="S255" s="17"/>
      <c r="T255" s="17"/>
      <c r="U255" s="17"/>
      <c r="V255" s="17"/>
      <c r="W255" s="17"/>
      <c r="X255" s="17"/>
      <c r="Y255" s="17"/>
      <c r="Z255" s="17"/>
    </row>
    <row r="256">
      <c r="A256" s="337"/>
      <c r="B256" s="164"/>
      <c r="C256" s="350"/>
      <c r="D256" s="349"/>
      <c r="E256" s="337"/>
      <c r="F256" s="164"/>
      <c r="G256" s="337"/>
      <c r="H256" s="164"/>
      <c r="I256" s="343"/>
      <c r="J256" s="183"/>
      <c r="K256" s="343"/>
      <c r="L256" s="183"/>
      <c r="M256" s="343"/>
      <c r="N256" s="183"/>
      <c r="O256" s="337"/>
      <c r="P256" s="164"/>
      <c r="Q256" s="359"/>
      <c r="R256" s="220"/>
      <c r="S256" s="17"/>
      <c r="T256" s="17"/>
      <c r="U256" s="17"/>
      <c r="V256" s="17"/>
      <c r="W256" s="17"/>
      <c r="X256" s="17"/>
      <c r="Y256" s="17"/>
      <c r="Z256" s="17"/>
    </row>
    <row r="257">
      <c r="A257" s="337"/>
      <c r="B257" s="164"/>
      <c r="C257" s="350"/>
      <c r="D257" s="349"/>
      <c r="E257" s="337"/>
      <c r="F257" s="164"/>
      <c r="G257" s="337"/>
      <c r="H257" s="164"/>
      <c r="I257" s="343"/>
      <c r="J257" s="183"/>
      <c r="K257" s="343"/>
      <c r="L257" s="183"/>
      <c r="M257" s="343"/>
      <c r="N257" s="183"/>
      <c r="O257" s="337"/>
      <c r="P257" s="164"/>
      <c r="Q257" s="359"/>
      <c r="R257" s="220"/>
      <c r="S257" s="17"/>
      <c r="T257" s="17"/>
      <c r="U257" s="17"/>
      <c r="V257" s="17"/>
      <c r="W257" s="17"/>
      <c r="X257" s="17"/>
      <c r="Y257" s="17"/>
      <c r="Z257" s="17"/>
    </row>
    <row r="258">
      <c r="A258" s="337"/>
      <c r="B258" s="164"/>
      <c r="C258" s="350"/>
      <c r="D258" s="349"/>
      <c r="E258" s="337"/>
      <c r="F258" s="164"/>
      <c r="G258" s="337"/>
      <c r="H258" s="164"/>
      <c r="I258" s="343"/>
      <c r="J258" s="183"/>
      <c r="K258" s="343"/>
      <c r="L258" s="183"/>
      <c r="M258" s="343"/>
      <c r="N258" s="183"/>
      <c r="O258" s="337"/>
      <c r="P258" s="164"/>
      <c r="Q258" s="359"/>
      <c r="R258" s="220"/>
      <c r="S258" s="17"/>
      <c r="T258" s="17"/>
      <c r="U258" s="17"/>
      <c r="V258" s="17"/>
      <c r="W258" s="17"/>
      <c r="X258" s="17"/>
      <c r="Y258" s="17"/>
      <c r="Z258" s="17"/>
    </row>
    <row r="259">
      <c r="A259" s="337"/>
      <c r="B259" s="164"/>
      <c r="C259" s="350"/>
      <c r="D259" s="349"/>
      <c r="E259" s="337"/>
      <c r="F259" s="164"/>
      <c r="G259" s="337"/>
      <c r="H259" s="164"/>
      <c r="I259" s="343"/>
      <c r="J259" s="183"/>
      <c r="K259" s="343"/>
      <c r="L259" s="183"/>
      <c r="M259" s="343"/>
      <c r="N259" s="183"/>
      <c r="O259" s="337"/>
      <c r="P259" s="164"/>
      <c r="Q259" s="359"/>
      <c r="R259" s="220"/>
      <c r="S259" s="17"/>
      <c r="T259" s="17"/>
      <c r="U259" s="17"/>
      <c r="V259" s="17"/>
      <c r="W259" s="17"/>
      <c r="X259" s="17"/>
      <c r="Y259" s="17"/>
      <c r="Z259" s="17"/>
    </row>
    <row r="260">
      <c r="A260" s="337"/>
      <c r="B260" s="164"/>
      <c r="C260" s="350"/>
      <c r="D260" s="349"/>
      <c r="E260" s="337"/>
      <c r="F260" s="164"/>
      <c r="G260" s="337"/>
      <c r="H260" s="164"/>
      <c r="I260" s="343"/>
      <c r="J260" s="183"/>
      <c r="K260" s="343"/>
      <c r="L260" s="183"/>
      <c r="M260" s="343"/>
      <c r="N260" s="183"/>
      <c r="O260" s="337"/>
      <c r="P260" s="164"/>
      <c r="Q260" s="359"/>
      <c r="R260" s="220"/>
      <c r="S260" s="17"/>
      <c r="T260" s="17"/>
      <c r="U260" s="17"/>
      <c r="V260" s="17"/>
      <c r="W260" s="17"/>
      <c r="X260" s="17"/>
      <c r="Y260" s="17"/>
      <c r="Z260" s="17"/>
    </row>
    <row r="261">
      <c r="A261" s="337"/>
      <c r="B261" s="164"/>
      <c r="C261" s="350"/>
      <c r="D261" s="349"/>
      <c r="E261" s="337"/>
      <c r="F261" s="164"/>
      <c r="G261" s="337"/>
      <c r="H261" s="164"/>
      <c r="I261" s="343"/>
      <c r="J261" s="183"/>
      <c r="K261" s="343"/>
      <c r="L261" s="183"/>
      <c r="M261" s="343"/>
      <c r="N261" s="183"/>
      <c r="O261" s="337"/>
      <c r="P261" s="164"/>
      <c r="Q261" s="359"/>
      <c r="R261" s="220"/>
      <c r="S261" s="17"/>
      <c r="T261" s="17"/>
      <c r="U261" s="17"/>
      <c r="V261" s="17"/>
      <c r="W261" s="17"/>
      <c r="X261" s="17"/>
      <c r="Y261" s="17"/>
      <c r="Z261" s="17"/>
    </row>
    <row r="262">
      <c r="A262" s="337"/>
      <c r="B262" s="164"/>
      <c r="C262" s="350"/>
      <c r="D262" s="349"/>
      <c r="E262" s="337"/>
      <c r="F262" s="164"/>
      <c r="G262" s="337"/>
      <c r="H262" s="164"/>
      <c r="I262" s="343"/>
      <c r="J262" s="183"/>
      <c r="K262" s="343"/>
      <c r="L262" s="183"/>
      <c r="M262" s="343"/>
      <c r="N262" s="183"/>
      <c r="O262" s="337"/>
      <c r="P262" s="164"/>
      <c r="Q262" s="359"/>
      <c r="R262" s="220"/>
      <c r="S262" s="17"/>
      <c r="T262" s="17"/>
      <c r="U262" s="17"/>
      <c r="V262" s="17"/>
      <c r="W262" s="17"/>
      <c r="X262" s="17"/>
      <c r="Y262" s="17"/>
      <c r="Z262" s="17"/>
    </row>
    <row r="263">
      <c r="A263" s="337"/>
      <c r="B263" s="164"/>
      <c r="C263" s="350"/>
      <c r="D263" s="349"/>
      <c r="E263" s="337"/>
      <c r="F263" s="164"/>
      <c r="G263" s="337"/>
      <c r="H263" s="164"/>
      <c r="I263" s="343"/>
      <c r="J263" s="183"/>
      <c r="K263" s="343"/>
      <c r="L263" s="183"/>
      <c r="M263" s="343"/>
      <c r="N263" s="183"/>
      <c r="O263" s="337"/>
      <c r="P263" s="164"/>
      <c r="Q263" s="359"/>
      <c r="R263" s="220"/>
      <c r="S263" s="17"/>
      <c r="T263" s="17"/>
      <c r="U263" s="17"/>
      <c r="V263" s="17"/>
      <c r="W263" s="17"/>
      <c r="X263" s="17"/>
      <c r="Y263" s="17"/>
      <c r="Z263" s="17"/>
    </row>
    <row r="264">
      <c r="A264" s="337"/>
      <c r="B264" s="164"/>
      <c r="C264" s="350"/>
      <c r="D264" s="349"/>
      <c r="E264" s="337"/>
      <c r="F264" s="164"/>
      <c r="G264" s="337"/>
      <c r="H264" s="164"/>
      <c r="I264" s="343"/>
      <c r="J264" s="183"/>
      <c r="K264" s="343"/>
      <c r="L264" s="183"/>
      <c r="M264" s="343"/>
      <c r="N264" s="183"/>
      <c r="O264" s="337"/>
      <c r="P264" s="164"/>
      <c r="Q264" s="359"/>
      <c r="R264" s="220"/>
      <c r="S264" s="17"/>
      <c r="T264" s="17"/>
      <c r="U264" s="17"/>
      <c r="V264" s="17"/>
      <c r="W264" s="17"/>
      <c r="X264" s="17"/>
      <c r="Y264" s="17"/>
      <c r="Z264" s="17"/>
    </row>
    <row r="265">
      <c r="A265" s="337"/>
      <c r="B265" s="164"/>
      <c r="C265" s="350"/>
      <c r="D265" s="349"/>
      <c r="E265" s="337"/>
      <c r="F265" s="164"/>
      <c r="G265" s="337"/>
      <c r="H265" s="164"/>
      <c r="I265" s="343"/>
      <c r="J265" s="183"/>
      <c r="K265" s="343"/>
      <c r="L265" s="183"/>
      <c r="M265" s="343"/>
      <c r="N265" s="183"/>
      <c r="O265" s="337"/>
      <c r="P265" s="164"/>
      <c r="Q265" s="359"/>
      <c r="R265" s="220"/>
      <c r="S265" s="17"/>
      <c r="T265" s="17"/>
      <c r="U265" s="17"/>
      <c r="V265" s="17"/>
      <c r="W265" s="17"/>
      <c r="X265" s="17"/>
      <c r="Y265" s="17"/>
      <c r="Z265" s="17"/>
    </row>
    <row r="266">
      <c r="A266" s="337"/>
      <c r="B266" s="164"/>
      <c r="C266" s="350"/>
      <c r="D266" s="349"/>
      <c r="E266" s="337"/>
      <c r="F266" s="164"/>
      <c r="G266" s="337"/>
      <c r="H266" s="164"/>
      <c r="I266" s="343"/>
      <c r="J266" s="183"/>
      <c r="K266" s="343"/>
      <c r="L266" s="183"/>
      <c r="M266" s="343"/>
      <c r="N266" s="183"/>
      <c r="O266" s="337"/>
      <c r="P266" s="164"/>
      <c r="Q266" s="359"/>
      <c r="R266" s="220"/>
      <c r="S266" s="17"/>
      <c r="T266" s="17"/>
      <c r="U266" s="17"/>
      <c r="V266" s="17"/>
      <c r="W266" s="17"/>
      <c r="X266" s="17"/>
      <c r="Y266" s="17"/>
      <c r="Z266" s="17"/>
    </row>
    <row r="267">
      <c r="A267" s="337"/>
      <c r="B267" s="164"/>
      <c r="C267" s="350"/>
      <c r="D267" s="349"/>
      <c r="E267" s="337"/>
      <c r="F267" s="164"/>
      <c r="G267" s="337"/>
      <c r="H267" s="164"/>
      <c r="I267" s="343"/>
      <c r="J267" s="183"/>
      <c r="K267" s="343"/>
      <c r="L267" s="183"/>
      <c r="M267" s="343"/>
      <c r="N267" s="183"/>
      <c r="O267" s="337"/>
      <c r="P267" s="164"/>
      <c r="Q267" s="359"/>
      <c r="R267" s="220"/>
      <c r="S267" s="17"/>
      <c r="T267" s="17"/>
      <c r="U267" s="17"/>
      <c r="V267" s="17"/>
      <c r="W267" s="17"/>
      <c r="X267" s="17"/>
      <c r="Y267" s="17"/>
      <c r="Z267" s="17"/>
    </row>
    <row r="268">
      <c r="A268" s="337"/>
      <c r="B268" s="164"/>
      <c r="C268" s="350"/>
      <c r="D268" s="349"/>
      <c r="E268" s="337"/>
      <c r="F268" s="164"/>
      <c r="G268" s="337"/>
      <c r="H268" s="164"/>
      <c r="I268" s="343"/>
      <c r="J268" s="183"/>
      <c r="K268" s="343"/>
      <c r="L268" s="183"/>
      <c r="M268" s="343"/>
      <c r="N268" s="183"/>
      <c r="O268" s="337"/>
      <c r="P268" s="164"/>
      <c r="Q268" s="359"/>
      <c r="R268" s="220"/>
      <c r="S268" s="17"/>
      <c r="T268" s="17"/>
      <c r="U268" s="17"/>
      <c r="V268" s="17"/>
      <c r="W268" s="17"/>
      <c r="X268" s="17"/>
      <c r="Y268" s="17"/>
      <c r="Z268" s="17"/>
    </row>
    <row r="269">
      <c r="A269" s="337"/>
      <c r="B269" s="164"/>
      <c r="C269" s="350"/>
      <c r="D269" s="349"/>
      <c r="E269" s="337"/>
      <c r="F269" s="164"/>
      <c r="G269" s="337"/>
      <c r="H269" s="164"/>
      <c r="I269" s="343"/>
      <c r="J269" s="183"/>
      <c r="K269" s="343"/>
      <c r="L269" s="183"/>
      <c r="M269" s="343"/>
      <c r="N269" s="183"/>
      <c r="O269" s="337"/>
      <c r="P269" s="164"/>
      <c r="Q269" s="359"/>
      <c r="R269" s="220"/>
      <c r="S269" s="17"/>
      <c r="T269" s="17"/>
      <c r="U269" s="17"/>
      <c r="V269" s="17"/>
      <c r="W269" s="17"/>
      <c r="X269" s="17"/>
      <c r="Y269" s="17"/>
      <c r="Z269" s="17"/>
    </row>
    <row r="270">
      <c r="A270" s="337"/>
      <c r="B270" s="164"/>
      <c r="C270" s="350"/>
      <c r="D270" s="349"/>
      <c r="E270" s="337"/>
      <c r="F270" s="164"/>
      <c r="G270" s="337"/>
      <c r="H270" s="164"/>
      <c r="I270" s="343"/>
      <c r="J270" s="183"/>
      <c r="K270" s="343"/>
      <c r="L270" s="183"/>
      <c r="M270" s="343"/>
      <c r="N270" s="183"/>
      <c r="O270" s="337"/>
      <c r="P270" s="164"/>
      <c r="Q270" s="359"/>
      <c r="R270" s="220"/>
      <c r="S270" s="17"/>
      <c r="T270" s="17"/>
      <c r="U270" s="17"/>
      <c r="V270" s="17"/>
      <c r="W270" s="17"/>
      <c r="X270" s="17"/>
      <c r="Y270" s="17"/>
      <c r="Z270" s="17"/>
    </row>
    <row r="271">
      <c r="A271" s="337"/>
      <c r="B271" s="164"/>
      <c r="C271" s="350"/>
      <c r="D271" s="349"/>
      <c r="E271" s="337"/>
      <c r="F271" s="164"/>
      <c r="G271" s="337"/>
      <c r="H271" s="164"/>
      <c r="I271" s="343"/>
      <c r="J271" s="183"/>
      <c r="K271" s="343"/>
      <c r="L271" s="183"/>
      <c r="M271" s="343"/>
      <c r="N271" s="183"/>
      <c r="O271" s="337"/>
      <c r="P271" s="164"/>
      <c r="Q271" s="359"/>
      <c r="R271" s="220"/>
      <c r="S271" s="17"/>
      <c r="T271" s="17"/>
      <c r="U271" s="17"/>
      <c r="V271" s="17"/>
      <c r="W271" s="17"/>
      <c r="X271" s="17"/>
      <c r="Y271" s="17"/>
      <c r="Z271" s="17"/>
    </row>
    <row r="272">
      <c r="A272" s="337"/>
      <c r="B272" s="164"/>
      <c r="C272" s="350"/>
      <c r="D272" s="349"/>
      <c r="E272" s="337"/>
      <c r="F272" s="164"/>
      <c r="G272" s="337"/>
      <c r="H272" s="164"/>
      <c r="I272" s="343"/>
      <c r="J272" s="183"/>
      <c r="K272" s="343"/>
      <c r="L272" s="183"/>
      <c r="M272" s="343"/>
      <c r="N272" s="183"/>
      <c r="O272" s="337"/>
      <c r="P272" s="164"/>
      <c r="Q272" s="359"/>
      <c r="R272" s="220"/>
      <c r="S272" s="17"/>
      <c r="T272" s="17"/>
      <c r="U272" s="17"/>
      <c r="V272" s="17"/>
      <c r="W272" s="17"/>
      <c r="X272" s="17"/>
      <c r="Y272" s="17"/>
      <c r="Z272" s="17"/>
    </row>
    <row r="273">
      <c r="A273" s="337"/>
      <c r="B273" s="164"/>
      <c r="C273" s="350"/>
      <c r="D273" s="349"/>
      <c r="E273" s="337"/>
      <c r="F273" s="164"/>
      <c r="G273" s="337"/>
      <c r="H273" s="164"/>
      <c r="I273" s="343"/>
      <c r="J273" s="183"/>
      <c r="K273" s="343"/>
      <c r="L273" s="183"/>
      <c r="M273" s="343"/>
      <c r="N273" s="183"/>
      <c r="O273" s="337"/>
      <c r="P273" s="164"/>
      <c r="Q273" s="359"/>
      <c r="R273" s="220"/>
      <c r="S273" s="17"/>
      <c r="T273" s="17"/>
      <c r="U273" s="17"/>
      <c r="V273" s="17"/>
      <c r="W273" s="17"/>
      <c r="X273" s="17"/>
      <c r="Y273" s="17"/>
      <c r="Z273" s="17"/>
    </row>
    <row r="274">
      <c r="A274" s="337"/>
      <c r="B274" s="164"/>
      <c r="C274" s="350"/>
      <c r="D274" s="349"/>
      <c r="E274" s="337"/>
      <c r="F274" s="164"/>
      <c r="G274" s="337"/>
      <c r="H274" s="164"/>
      <c r="I274" s="343"/>
      <c r="J274" s="183"/>
      <c r="K274" s="343"/>
      <c r="L274" s="183"/>
      <c r="M274" s="343"/>
      <c r="N274" s="183"/>
      <c r="O274" s="337"/>
      <c r="P274" s="164"/>
      <c r="Q274" s="359"/>
      <c r="R274" s="220"/>
      <c r="S274" s="17"/>
      <c r="T274" s="17"/>
      <c r="U274" s="17"/>
      <c r="V274" s="17"/>
      <c r="W274" s="17"/>
      <c r="X274" s="17"/>
      <c r="Y274" s="17"/>
      <c r="Z274" s="17"/>
    </row>
    <row r="275">
      <c r="A275" s="337"/>
      <c r="B275" s="164"/>
      <c r="C275" s="350"/>
      <c r="D275" s="349"/>
      <c r="E275" s="337"/>
      <c r="F275" s="164"/>
      <c r="G275" s="337"/>
      <c r="H275" s="164"/>
      <c r="I275" s="343"/>
      <c r="J275" s="183"/>
      <c r="K275" s="343"/>
      <c r="L275" s="183"/>
      <c r="M275" s="343"/>
      <c r="N275" s="183"/>
      <c r="O275" s="337"/>
      <c r="P275" s="164"/>
      <c r="Q275" s="359"/>
      <c r="R275" s="220"/>
      <c r="S275" s="17"/>
      <c r="T275" s="17"/>
      <c r="U275" s="17"/>
      <c r="V275" s="17"/>
      <c r="W275" s="17"/>
      <c r="X275" s="17"/>
      <c r="Y275" s="17"/>
      <c r="Z275" s="17"/>
    </row>
    <row r="276">
      <c r="A276" s="337"/>
      <c r="B276" s="164"/>
      <c r="C276" s="350"/>
      <c r="D276" s="349"/>
      <c r="E276" s="337"/>
      <c r="F276" s="164"/>
      <c r="G276" s="337"/>
      <c r="H276" s="164"/>
      <c r="I276" s="343"/>
      <c r="J276" s="183"/>
      <c r="K276" s="343"/>
      <c r="L276" s="183"/>
      <c r="M276" s="343"/>
      <c r="N276" s="183"/>
      <c r="O276" s="337"/>
      <c r="P276" s="164"/>
      <c r="Q276" s="359"/>
      <c r="R276" s="220"/>
      <c r="S276" s="17"/>
      <c r="T276" s="17"/>
      <c r="U276" s="17"/>
      <c r="V276" s="17"/>
      <c r="W276" s="17"/>
      <c r="X276" s="17"/>
      <c r="Y276" s="17"/>
      <c r="Z276" s="17"/>
    </row>
    <row r="277">
      <c r="A277" s="337"/>
      <c r="B277" s="164"/>
      <c r="C277" s="350"/>
      <c r="D277" s="349"/>
      <c r="E277" s="337"/>
      <c r="F277" s="164"/>
      <c r="G277" s="337"/>
      <c r="H277" s="164"/>
      <c r="I277" s="343"/>
      <c r="J277" s="183"/>
      <c r="K277" s="343"/>
      <c r="L277" s="183"/>
      <c r="M277" s="343"/>
      <c r="N277" s="183"/>
      <c r="O277" s="337"/>
      <c r="P277" s="164"/>
      <c r="Q277" s="359"/>
      <c r="R277" s="220"/>
      <c r="S277" s="17"/>
      <c r="T277" s="17"/>
      <c r="U277" s="17"/>
      <c r="V277" s="17"/>
      <c r="W277" s="17"/>
      <c r="X277" s="17"/>
      <c r="Y277" s="17"/>
      <c r="Z277" s="17"/>
    </row>
    <row r="278">
      <c r="A278" s="337"/>
      <c r="B278" s="164"/>
      <c r="C278" s="350"/>
      <c r="D278" s="349"/>
      <c r="E278" s="337"/>
      <c r="F278" s="164"/>
      <c r="G278" s="337"/>
      <c r="H278" s="164"/>
      <c r="I278" s="343"/>
      <c r="J278" s="183"/>
      <c r="K278" s="343"/>
      <c r="L278" s="183"/>
      <c r="M278" s="343"/>
      <c r="N278" s="183"/>
      <c r="O278" s="337"/>
      <c r="P278" s="164"/>
      <c r="Q278" s="359"/>
      <c r="R278" s="220"/>
      <c r="S278" s="17"/>
      <c r="T278" s="17"/>
      <c r="U278" s="17"/>
      <c r="V278" s="17"/>
      <c r="W278" s="17"/>
      <c r="X278" s="17"/>
      <c r="Y278" s="17"/>
      <c r="Z278" s="17"/>
    </row>
    <row r="279">
      <c r="A279" s="337"/>
      <c r="B279" s="164"/>
      <c r="C279" s="350"/>
      <c r="D279" s="349"/>
      <c r="E279" s="337"/>
      <c r="F279" s="164"/>
      <c r="G279" s="337"/>
      <c r="H279" s="164"/>
      <c r="I279" s="343"/>
      <c r="J279" s="183"/>
      <c r="K279" s="343"/>
      <c r="L279" s="183"/>
      <c r="M279" s="343"/>
      <c r="N279" s="183"/>
      <c r="O279" s="337"/>
      <c r="P279" s="164"/>
      <c r="Q279" s="359"/>
      <c r="R279" s="220"/>
      <c r="S279" s="17"/>
      <c r="T279" s="17"/>
      <c r="U279" s="17"/>
      <c r="V279" s="17"/>
      <c r="W279" s="17"/>
      <c r="X279" s="17"/>
      <c r="Y279" s="17"/>
      <c r="Z279" s="17"/>
    </row>
    <row r="280">
      <c r="A280" s="337"/>
      <c r="B280" s="164"/>
      <c r="C280" s="350"/>
      <c r="D280" s="349"/>
      <c r="E280" s="337"/>
      <c r="F280" s="164"/>
      <c r="G280" s="337"/>
      <c r="H280" s="164"/>
      <c r="I280" s="343"/>
      <c r="J280" s="183"/>
      <c r="K280" s="343"/>
      <c r="L280" s="183"/>
      <c r="M280" s="343"/>
      <c r="N280" s="183"/>
      <c r="O280" s="337"/>
      <c r="P280" s="164"/>
      <c r="Q280" s="359"/>
      <c r="R280" s="220"/>
      <c r="S280" s="17"/>
      <c r="T280" s="17"/>
      <c r="U280" s="17"/>
      <c r="V280" s="17"/>
      <c r="W280" s="17"/>
      <c r="X280" s="17"/>
      <c r="Y280" s="17"/>
      <c r="Z280" s="17"/>
    </row>
    <row r="281">
      <c r="A281" s="337"/>
      <c r="B281" s="164"/>
      <c r="C281" s="350"/>
      <c r="D281" s="349"/>
      <c r="E281" s="337"/>
      <c r="F281" s="164"/>
      <c r="G281" s="337"/>
      <c r="H281" s="164"/>
      <c r="I281" s="343"/>
      <c r="J281" s="183"/>
      <c r="K281" s="343"/>
      <c r="L281" s="183"/>
      <c r="M281" s="343"/>
      <c r="N281" s="183"/>
      <c r="O281" s="337"/>
      <c r="P281" s="164"/>
      <c r="Q281" s="359"/>
      <c r="R281" s="220"/>
      <c r="S281" s="17"/>
      <c r="T281" s="17"/>
      <c r="U281" s="17"/>
      <c r="V281" s="17"/>
      <c r="W281" s="17"/>
      <c r="X281" s="17"/>
      <c r="Y281" s="17"/>
      <c r="Z281" s="17"/>
    </row>
    <row r="282">
      <c r="A282" s="337"/>
      <c r="B282" s="164"/>
      <c r="C282" s="350"/>
      <c r="D282" s="349"/>
      <c r="E282" s="337"/>
      <c r="F282" s="164"/>
      <c r="G282" s="337"/>
      <c r="H282" s="164"/>
      <c r="I282" s="343"/>
      <c r="J282" s="183"/>
      <c r="K282" s="343"/>
      <c r="L282" s="183"/>
      <c r="M282" s="343"/>
      <c r="N282" s="183"/>
      <c r="O282" s="337"/>
      <c r="P282" s="164"/>
      <c r="Q282" s="359"/>
      <c r="R282" s="220"/>
      <c r="S282" s="17"/>
      <c r="T282" s="17"/>
      <c r="U282" s="17"/>
      <c r="V282" s="17"/>
      <c r="W282" s="17"/>
      <c r="X282" s="17"/>
      <c r="Y282" s="17"/>
      <c r="Z282" s="17"/>
    </row>
    <row r="283">
      <c r="A283" s="337"/>
      <c r="B283" s="164"/>
      <c r="C283" s="350"/>
      <c r="D283" s="349"/>
      <c r="E283" s="337"/>
      <c r="F283" s="164"/>
      <c r="G283" s="337"/>
      <c r="H283" s="164"/>
      <c r="I283" s="343"/>
      <c r="J283" s="183"/>
      <c r="K283" s="343"/>
      <c r="L283" s="183"/>
      <c r="M283" s="343"/>
      <c r="N283" s="183"/>
      <c r="O283" s="337"/>
      <c r="P283" s="164"/>
      <c r="Q283" s="359"/>
      <c r="R283" s="220"/>
      <c r="S283" s="17"/>
      <c r="T283" s="17"/>
      <c r="U283" s="17"/>
      <c r="V283" s="17"/>
      <c r="W283" s="17"/>
      <c r="X283" s="17"/>
      <c r="Y283" s="17"/>
      <c r="Z283" s="17"/>
    </row>
    <row r="284">
      <c r="A284" s="337"/>
      <c r="B284" s="164"/>
      <c r="C284" s="350"/>
      <c r="D284" s="349"/>
      <c r="E284" s="337"/>
      <c r="F284" s="164"/>
      <c r="G284" s="337"/>
      <c r="H284" s="164"/>
      <c r="I284" s="343"/>
      <c r="J284" s="183"/>
      <c r="K284" s="343"/>
      <c r="L284" s="183"/>
      <c r="M284" s="343"/>
      <c r="N284" s="183"/>
      <c r="O284" s="337"/>
      <c r="P284" s="164"/>
      <c r="Q284" s="359"/>
      <c r="R284" s="220"/>
      <c r="S284" s="17"/>
      <c r="T284" s="17"/>
      <c r="U284" s="17"/>
      <c r="V284" s="17"/>
      <c r="W284" s="17"/>
      <c r="X284" s="17"/>
      <c r="Y284" s="17"/>
      <c r="Z284" s="17"/>
    </row>
    <row r="285">
      <c r="A285" s="337"/>
      <c r="B285" s="164"/>
      <c r="C285" s="350"/>
      <c r="D285" s="349"/>
      <c r="E285" s="337"/>
      <c r="F285" s="164"/>
      <c r="G285" s="337"/>
      <c r="H285" s="164"/>
      <c r="I285" s="343"/>
      <c r="J285" s="183"/>
      <c r="K285" s="343"/>
      <c r="L285" s="183"/>
      <c r="M285" s="343"/>
      <c r="N285" s="183"/>
      <c r="O285" s="337"/>
      <c r="P285" s="164"/>
      <c r="Q285" s="359"/>
      <c r="R285" s="220"/>
      <c r="S285" s="17"/>
      <c r="T285" s="17"/>
      <c r="U285" s="17"/>
      <c r="V285" s="17"/>
      <c r="W285" s="17"/>
      <c r="X285" s="17"/>
      <c r="Y285" s="17"/>
      <c r="Z285" s="17"/>
    </row>
    <row r="286">
      <c r="A286" s="337"/>
      <c r="B286" s="164"/>
      <c r="C286" s="350"/>
      <c r="D286" s="349"/>
      <c r="E286" s="337"/>
      <c r="F286" s="164"/>
      <c r="G286" s="337"/>
      <c r="H286" s="164"/>
      <c r="I286" s="343"/>
      <c r="J286" s="183"/>
      <c r="K286" s="343"/>
      <c r="L286" s="183"/>
      <c r="M286" s="343"/>
      <c r="N286" s="183"/>
      <c r="O286" s="337"/>
      <c r="P286" s="164"/>
      <c r="Q286" s="359"/>
      <c r="R286" s="220"/>
      <c r="S286" s="17"/>
      <c r="T286" s="17"/>
      <c r="U286" s="17"/>
      <c r="V286" s="17"/>
      <c r="W286" s="17"/>
      <c r="X286" s="17"/>
      <c r="Y286" s="17"/>
      <c r="Z286" s="17"/>
    </row>
    <row r="287">
      <c r="A287" s="337"/>
      <c r="B287" s="164"/>
      <c r="C287" s="350"/>
      <c r="D287" s="349"/>
      <c r="E287" s="337"/>
      <c r="F287" s="164"/>
      <c r="G287" s="337"/>
      <c r="H287" s="164"/>
      <c r="I287" s="343"/>
      <c r="J287" s="183"/>
      <c r="K287" s="343"/>
      <c r="L287" s="183"/>
      <c r="M287" s="343"/>
      <c r="N287" s="183"/>
      <c r="O287" s="337"/>
      <c r="P287" s="164"/>
      <c r="Q287" s="359"/>
      <c r="R287" s="220"/>
      <c r="S287" s="17"/>
      <c r="T287" s="17"/>
      <c r="U287" s="17"/>
      <c r="V287" s="17"/>
      <c r="W287" s="17"/>
      <c r="X287" s="17"/>
      <c r="Y287" s="17"/>
      <c r="Z287" s="17"/>
    </row>
    <row r="288">
      <c r="A288" s="337"/>
      <c r="B288" s="164"/>
      <c r="C288" s="350"/>
      <c r="D288" s="349"/>
      <c r="E288" s="337"/>
      <c r="F288" s="164"/>
      <c r="G288" s="337"/>
      <c r="H288" s="164"/>
      <c r="I288" s="343"/>
      <c r="J288" s="183"/>
      <c r="K288" s="343"/>
      <c r="L288" s="183"/>
      <c r="M288" s="343"/>
      <c r="N288" s="183"/>
      <c r="O288" s="337"/>
      <c r="P288" s="164"/>
      <c r="Q288" s="359"/>
      <c r="R288" s="220"/>
      <c r="S288" s="17"/>
      <c r="T288" s="17"/>
      <c r="U288" s="17"/>
      <c r="V288" s="17"/>
      <c r="W288" s="17"/>
      <c r="X288" s="17"/>
      <c r="Y288" s="17"/>
      <c r="Z288" s="17"/>
    </row>
    <row r="289">
      <c r="A289" s="337"/>
      <c r="B289" s="164"/>
      <c r="C289" s="350"/>
      <c r="D289" s="349"/>
      <c r="E289" s="337"/>
      <c r="F289" s="164"/>
      <c r="G289" s="337"/>
      <c r="H289" s="164"/>
      <c r="I289" s="343"/>
      <c r="J289" s="183"/>
      <c r="K289" s="343"/>
      <c r="L289" s="183"/>
      <c r="M289" s="343"/>
      <c r="N289" s="183"/>
      <c r="O289" s="337"/>
      <c r="P289" s="164"/>
      <c r="Q289" s="359"/>
      <c r="R289" s="220"/>
      <c r="S289" s="17"/>
      <c r="T289" s="17"/>
      <c r="U289" s="17"/>
      <c r="V289" s="17"/>
      <c r="W289" s="17"/>
      <c r="X289" s="17"/>
      <c r="Y289" s="17"/>
      <c r="Z289" s="17"/>
    </row>
    <row r="290">
      <c r="A290" s="337"/>
      <c r="B290" s="164"/>
      <c r="C290" s="350"/>
      <c r="D290" s="349"/>
      <c r="E290" s="337"/>
      <c r="F290" s="164"/>
      <c r="G290" s="337"/>
      <c r="H290" s="164"/>
      <c r="I290" s="343"/>
      <c r="J290" s="183"/>
      <c r="K290" s="343"/>
      <c r="L290" s="183"/>
      <c r="M290" s="343"/>
      <c r="N290" s="183"/>
      <c r="O290" s="337"/>
      <c r="P290" s="164"/>
      <c r="Q290" s="359"/>
      <c r="R290" s="220"/>
      <c r="S290" s="17"/>
      <c r="T290" s="17"/>
      <c r="U290" s="17"/>
      <c r="V290" s="17"/>
      <c r="W290" s="17"/>
      <c r="X290" s="17"/>
      <c r="Y290" s="17"/>
      <c r="Z290" s="17"/>
    </row>
    <row r="291">
      <c r="A291" s="337"/>
      <c r="B291" s="164"/>
      <c r="C291" s="350"/>
      <c r="D291" s="349"/>
      <c r="E291" s="337"/>
      <c r="F291" s="164"/>
      <c r="G291" s="337"/>
      <c r="H291" s="164"/>
      <c r="I291" s="343"/>
      <c r="J291" s="183"/>
      <c r="K291" s="343"/>
      <c r="L291" s="183"/>
      <c r="M291" s="343"/>
      <c r="N291" s="183"/>
      <c r="O291" s="337"/>
      <c r="P291" s="164"/>
      <c r="Q291" s="359"/>
      <c r="R291" s="220"/>
      <c r="S291" s="17"/>
      <c r="T291" s="17"/>
      <c r="U291" s="17"/>
      <c r="V291" s="17"/>
      <c r="W291" s="17"/>
      <c r="X291" s="17"/>
      <c r="Y291" s="17"/>
      <c r="Z291" s="17"/>
    </row>
    <row r="292">
      <c r="A292" s="337"/>
      <c r="B292" s="164"/>
      <c r="C292" s="350"/>
      <c r="D292" s="349"/>
      <c r="E292" s="337"/>
      <c r="F292" s="164"/>
      <c r="G292" s="337"/>
      <c r="H292" s="164"/>
      <c r="I292" s="343"/>
      <c r="J292" s="183"/>
      <c r="K292" s="343"/>
      <c r="L292" s="183"/>
      <c r="M292" s="343"/>
      <c r="N292" s="183"/>
      <c r="O292" s="337"/>
      <c r="P292" s="164"/>
      <c r="Q292" s="359"/>
      <c r="R292" s="220"/>
      <c r="S292" s="17"/>
      <c r="T292" s="17"/>
      <c r="U292" s="17"/>
      <c r="V292" s="17"/>
      <c r="W292" s="17"/>
      <c r="X292" s="17"/>
      <c r="Y292" s="17"/>
      <c r="Z292" s="17"/>
    </row>
    <row r="293">
      <c r="A293" s="337"/>
      <c r="B293" s="164"/>
      <c r="C293" s="350"/>
      <c r="D293" s="349"/>
      <c r="E293" s="337"/>
      <c r="F293" s="164"/>
      <c r="G293" s="337"/>
      <c r="H293" s="164"/>
      <c r="I293" s="343"/>
      <c r="J293" s="183"/>
      <c r="K293" s="343"/>
      <c r="L293" s="183"/>
      <c r="M293" s="343"/>
      <c r="N293" s="183"/>
      <c r="O293" s="337"/>
      <c r="P293" s="164"/>
      <c r="Q293" s="359"/>
      <c r="R293" s="220"/>
      <c r="S293" s="17"/>
      <c r="T293" s="17"/>
      <c r="U293" s="17"/>
      <c r="V293" s="17"/>
      <c r="W293" s="17"/>
      <c r="X293" s="17"/>
      <c r="Y293" s="17"/>
      <c r="Z293" s="17"/>
    </row>
    <row r="294">
      <c r="A294" s="337"/>
      <c r="B294" s="164"/>
      <c r="C294" s="350"/>
      <c r="D294" s="349"/>
      <c r="E294" s="337"/>
      <c r="F294" s="164"/>
      <c r="G294" s="337"/>
      <c r="H294" s="164"/>
      <c r="I294" s="343"/>
      <c r="J294" s="183"/>
      <c r="K294" s="343"/>
      <c r="L294" s="183"/>
      <c r="M294" s="343"/>
      <c r="N294" s="183"/>
      <c r="O294" s="337"/>
      <c r="P294" s="164"/>
      <c r="Q294" s="359"/>
      <c r="R294" s="220"/>
      <c r="S294" s="17"/>
      <c r="T294" s="17"/>
      <c r="U294" s="17"/>
      <c r="V294" s="17"/>
      <c r="W294" s="17"/>
      <c r="X294" s="17"/>
      <c r="Y294" s="17"/>
      <c r="Z294" s="17"/>
    </row>
    <row r="295">
      <c r="A295" s="337"/>
      <c r="B295" s="164"/>
      <c r="C295" s="350"/>
      <c r="D295" s="349"/>
      <c r="E295" s="337"/>
      <c r="F295" s="164"/>
      <c r="G295" s="337"/>
      <c r="H295" s="164"/>
      <c r="I295" s="343"/>
      <c r="J295" s="183"/>
      <c r="K295" s="343"/>
      <c r="L295" s="183"/>
      <c r="M295" s="343"/>
      <c r="N295" s="183"/>
      <c r="O295" s="337"/>
      <c r="P295" s="164"/>
      <c r="Q295" s="359"/>
      <c r="R295" s="220"/>
      <c r="S295" s="17"/>
      <c r="T295" s="17"/>
      <c r="U295" s="17"/>
      <c r="V295" s="17"/>
      <c r="W295" s="17"/>
      <c r="X295" s="17"/>
      <c r="Y295" s="17"/>
      <c r="Z295" s="17"/>
    </row>
    <row r="296">
      <c r="A296" s="337"/>
      <c r="B296" s="164"/>
      <c r="C296" s="350"/>
      <c r="D296" s="349"/>
      <c r="E296" s="337"/>
      <c r="F296" s="164"/>
      <c r="G296" s="337"/>
      <c r="H296" s="164"/>
      <c r="I296" s="343"/>
      <c r="J296" s="183"/>
      <c r="K296" s="343"/>
      <c r="L296" s="183"/>
      <c r="M296" s="343"/>
      <c r="N296" s="183"/>
      <c r="O296" s="337"/>
      <c r="P296" s="164"/>
      <c r="Q296" s="359"/>
      <c r="R296" s="220"/>
      <c r="S296" s="17"/>
      <c r="T296" s="17"/>
      <c r="U296" s="17"/>
      <c r="V296" s="17"/>
      <c r="W296" s="17"/>
      <c r="X296" s="17"/>
      <c r="Y296" s="17"/>
      <c r="Z296" s="17"/>
    </row>
    <row r="297">
      <c r="A297" s="337"/>
      <c r="B297" s="164"/>
      <c r="C297" s="350"/>
      <c r="D297" s="349"/>
      <c r="E297" s="337"/>
      <c r="F297" s="164"/>
      <c r="G297" s="337"/>
      <c r="H297" s="164"/>
      <c r="I297" s="343"/>
      <c r="J297" s="183"/>
      <c r="K297" s="343"/>
      <c r="L297" s="183"/>
      <c r="M297" s="343"/>
      <c r="N297" s="183"/>
      <c r="O297" s="337"/>
      <c r="P297" s="164"/>
      <c r="Q297" s="359"/>
      <c r="R297" s="220"/>
      <c r="S297" s="17"/>
      <c r="T297" s="17"/>
      <c r="U297" s="17"/>
      <c r="V297" s="17"/>
      <c r="W297" s="17"/>
      <c r="X297" s="17"/>
      <c r="Y297" s="17"/>
      <c r="Z297" s="17"/>
    </row>
    <row r="298">
      <c r="A298" s="337"/>
      <c r="B298" s="164"/>
      <c r="C298" s="350"/>
      <c r="D298" s="349"/>
      <c r="E298" s="337"/>
      <c r="F298" s="164"/>
      <c r="G298" s="337"/>
      <c r="H298" s="164"/>
      <c r="I298" s="343"/>
      <c r="J298" s="183"/>
      <c r="K298" s="343"/>
      <c r="L298" s="183"/>
      <c r="M298" s="343"/>
      <c r="N298" s="183"/>
      <c r="O298" s="337"/>
      <c r="P298" s="164"/>
      <c r="Q298" s="359"/>
      <c r="R298" s="220"/>
      <c r="S298" s="17"/>
      <c r="T298" s="17"/>
      <c r="U298" s="17"/>
      <c r="V298" s="17"/>
      <c r="W298" s="17"/>
      <c r="X298" s="17"/>
      <c r="Y298" s="17"/>
      <c r="Z298" s="17"/>
    </row>
    <row r="299">
      <c r="A299" s="337"/>
      <c r="B299" s="164"/>
      <c r="C299" s="350"/>
      <c r="D299" s="349"/>
      <c r="E299" s="337"/>
      <c r="F299" s="164"/>
      <c r="G299" s="337"/>
      <c r="H299" s="164"/>
      <c r="I299" s="343"/>
      <c r="J299" s="183"/>
      <c r="K299" s="343"/>
      <c r="L299" s="183"/>
      <c r="M299" s="343"/>
      <c r="N299" s="183"/>
      <c r="O299" s="337"/>
      <c r="P299" s="164"/>
      <c r="Q299" s="359"/>
      <c r="R299" s="220"/>
      <c r="S299" s="17"/>
      <c r="T299" s="17"/>
      <c r="U299" s="17"/>
      <c r="V299" s="17"/>
      <c r="W299" s="17"/>
      <c r="X299" s="17"/>
      <c r="Y299" s="17"/>
      <c r="Z299" s="17"/>
    </row>
    <row r="300">
      <c r="A300" s="337"/>
      <c r="B300" s="164"/>
      <c r="C300" s="350"/>
      <c r="D300" s="349"/>
      <c r="E300" s="337"/>
      <c r="F300" s="164"/>
      <c r="G300" s="337"/>
      <c r="H300" s="164"/>
      <c r="I300" s="343"/>
      <c r="J300" s="183"/>
      <c r="K300" s="343"/>
      <c r="L300" s="183"/>
      <c r="M300" s="343"/>
      <c r="N300" s="183"/>
      <c r="O300" s="337"/>
      <c r="P300" s="164"/>
      <c r="Q300" s="359"/>
      <c r="R300" s="220"/>
      <c r="S300" s="17"/>
      <c r="T300" s="17"/>
      <c r="U300" s="17"/>
      <c r="V300" s="17"/>
      <c r="W300" s="17"/>
      <c r="X300" s="17"/>
      <c r="Y300" s="17"/>
      <c r="Z300" s="17"/>
    </row>
    <row r="301">
      <c r="A301" s="337"/>
      <c r="B301" s="164"/>
      <c r="C301" s="350"/>
      <c r="D301" s="349"/>
      <c r="E301" s="337"/>
      <c r="F301" s="164"/>
      <c r="G301" s="337"/>
      <c r="H301" s="164"/>
      <c r="I301" s="343"/>
      <c r="J301" s="183"/>
      <c r="K301" s="343"/>
      <c r="L301" s="183"/>
      <c r="M301" s="343"/>
      <c r="N301" s="183"/>
      <c r="O301" s="337"/>
      <c r="P301" s="164"/>
      <c r="Q301" s="359"/>
      <c r="R301" s="220"/>
      <c r="S301" s="17"/>
      <c r="T301" s="17"/>
      <c r="U301" s="17"/>
      <c r="V301" s="17"/>
      <c r="W301" s="17"/>
      <c r="X301" s="17"/>
      <c r="Y301" s="17"/>
      <c r="Z301" s="17"/>
    </row>
    <row r="302">
      <c r="A302" s="337"/>
      <c r="B302" s="164"/>
      <c r="C302" s="350"/>
      <c r="D302" s="349"/>
      <c r="E302" s="337"/>
      <c r="F302" s="164"/>
      <c r="G302" s="337"/>
      <c r="H302" s="164"/>
      <c r="I302" s="343"/>
      <c r="J302" s="183"/>
      <c r="K302" s="343"/>
      <c r="L302" s="183"/>
      <c r="M302" s="343"/>
      <c r="N302" s="183"/>
      <c r="O302" s="337"/>
      <c r="P302" s="164"/>
      <c r="Q302" s="359"/>
      <c r="R302" s="220"/>
      <c r="S302" s="17"/>
      <c r="T302" s="17"/>
      <c r="U302" s="17"/>
      <c r="V302" s="17"/>
      <c r="W302" s="17"/>
      <c r="X302" s="17"/>
      <c r="Y302" s="17"/>
      <c r="Z302" s="17"/>
    </row>
    <row r="303">
      <c r="A303" s="337"/>
      <c r="B303" s="164"/>
      <c r="C303" s="350"/>
      <c r="D303" s="349"/>
      <c r="E303" s="337"/>
      <c r="F303" s="164"/>
      <c r="G303" s="337"/>
      <c r="H303" s="164"/>
      <c r="I303" s="343"/>
      <c r="J303" s="183"/>
      <c r="K303" s="343"/>
      <c r="L303" s="183"/>
      <c r="M303" s="343"/>
      <c r="N303" s="183"/>
      <c r="O303" s="337"/>
      <c r="P303" s="164"/>
      <c r="Q303" s="359"/>
      <c r="R303" s="220"/>
      <c r="S303" s="17"/>
      <c r="T303" s="17"/>
      <c r="U303" s="17"/>
      <c r="V303" s="17"/>
      <c r="W303" s="17"/>
      <c r="X303" s="17"/>
      <c r="Y303" s="17"/>
      <c r="Z303" s="17"/>
    </row>
    <row r="304">
      <c r="A304" s="337"/>
      <c r="B304" s="164"/>
      <c r="C304" s="350"/>
      <c r="D304" s="349"/>
      <c r="E304" s="337"/>
      <c r="F304" s="164"/>
      <c r="G304" s="337"/>
      <c r="H304" s="164"/>
      <c r="I304" s="343"/>
      <c r="J304" s="183"/>
      <c r="K304" s="343"/>
      <c r="L304" s="183"/>
      <c r="M304" s="343"/>
      <c r="N304" s="183"/>
      <c r="O304" s="337"/>
      <c r="P304" s="164"/>
      <c r="Q304" s="359"/>
      <c r="R304" s="220"/>
      <c r="S304" s="17"/>
      <c r="T304" s="17"/>
      <c r="U304" s="17"/>
      <c r="V304" s="17"/>
      <c r="W304" s="17"/>
      <c r="X304" s="17"/>
      <c r="Y304" s="17"/>
      <c r="Z304" s="17"/>
    </row>
    <row r="305">
      <c r="A305" s="337"/>
      <c r="B305" s="164"/>
      <c r="C305" s="350"/>
      <c r="D305" s="349"/>
      <c r="E305" s="337"/>
      <c r="F305" s="164"/>
      <c r="G305" s="337"/>
      <c r="H305" s="164"/>
      <c r="I305" s="343"/>
      <c r="J305" s="183"/>
      <c r="K305" s="343"/>
      <c r="L305" s="183"/>
      <c r="M305" s="343"/>
      <c r="N305" s="183"/>
      <c r="O305" s="337"/>
      <c r="P305" s="164"/>
      <c r="Q305" s="359"/>
      <c r="R305" s="220"/>
      <c r="S305" s="17"/>
      <c r="T305" s="17"/>
      <c r="U305" s="17"/>
      <c r="V305" s="17"/>
      <c r="W305" s="17"/>
      <c r="X305" s="17"/>
      <c r="Y305" s="17"/>
      <c r="Z305" s="17"/>
    </row>
    <row r="306">
      <c r="A306" s="337"/>
      <c r="B306" s="164"/>
      <c r="C306" s="350"/>
      <c r="D306" s="349"/>
      <c r="E306" s="337"/>
      <c r="F306" s="164"/>
      <c r="G306" s="337"/>
      <c r="H306" s="164"/>
      <c r="I306" s="343"/>
      <c r="J306" s="183"/>
      <c r="K306" s="343"/>
      <c r="L306" s="183"/>
      <c r="M306" s="343"/>
      <c r="N306" s="183"/>
      <c r="O306" s="337"/>
      <c r="P306" s="164"/>
      <c r="Q306" s="359"/>
      <c r="R306" s="220"/>
      <c r="S306" s="17"/>
      <c r="T306" s="17"/>
      <c r="U306" s="17"/>
      <c r="V306" s="17"/>
      <c r="W306" s="17"/>
      <c r="X306" s="17"/>
      <c r="Y306" s="17"/>
      <c r="Z306" s="17"/>
    </row>
    <row r="307">
      <c r="A307" s="337"/>
      <c r="B307" s="164"/>
      <c r="C307" s="350"/>
      <c r="D307" s="349"/>
      <c r="E307" s="337"/>
      <c r="F307" s="164"/>
      <c r="G307" s="337"/>
      <c r="H307" s="164"/>
      <c r="I307" s="343"/>
      <c r="J307" s="183"/>
      <c r="K307" s="343"/>
      <c r="L307" s="183"/>
      <c r="M307" s="343"/>
      <c r="N307" s="183"/>
      <c r="O307" s="337"/>
      <c r="P307" s="164"/>
      <c r="Q307" s="359"/>
      <c r="R307" s="220"/>
      <c r="S307" s="17"/>
      <c r="T307" s="17"/>
      <c r="U307" s="17"/>
      <c r="V307" s="17"/>
      <c r="W307" s="17"/>
      <c r="X307" s="17"/>
      <c r="Y307" s="17"/>
      <c r="Z307" s="17"/>
    </row>
    <row r="308">
      <c r="A308" s="337"/>
      <c r="B308" s="164"/>
      <c r="C308" s="350"/>
      <c r="D308" s="349"/>
      <c r="E308" s="337"/>
      <c r="F308" s="164"/>
      <c r="G308" s="337"/>
      <c r="H308" s="164"/>
      <c r="I308" s="343"/>
      <c r="J308" s="183"/>
      <c r="K308" s="343"/>
      <c r="L308" s="183"/>
      <c r="M308" s="343"/>
      <c r="N308" s="183"/>
      <c r="O308" s="337"/>
      <c r="P308" s="164"/>
      <c r="Q308" s="359"/>
      <c r="R308" s="220"/>
      <c r="S308" s="17"/>
      <c r="T308" s="17"/>
      <c r="U308" s="17"/>
      <c r="V308" s="17"/>
      <c r="W308" s="17"/>
      <c r="X308" s="17"/>
      <c r="Y308" s="17"/>
      <c r="Z308" s="17"/>
    </row>
    <row r="309">
      <c r="A309" s="337"/>
      <c r="B309" s="164"/>
      <c r="C309" s="350"/>
      <c r="D309" s="349"/>
      <c r="E309" s="337"/>
      <c r="F309" s="164"/>
      <c r="G309" s="337"/>
      <c r="H309" s="164"/>
      <c r="I309" s="343"/>
      <c r="J309" s="183"/>
      <c r="K309" s="343"/>
      <c r="L309" s="183"/>
      <c r="M309" s="343"/>
      <c r="N309" s="183"/>
      <c r="O309" s="337"/>
      <c r="P309" s="164"/>
      <c r="Q309" s="359"/>
      <c r="R309" s="220"/>
      <c r="S309" s="17"/>
      <c r="T309" s="17"/>
      <c r="U309" s="17"/>
      <c r="V309" s="17"/>
      <c r="W309" s="17"/>
      <c r="X309" s="17"/>
      <c r="Y309" s="17"/>
      <c r="Z309" s="17"/>
    </row>
    <row r="310">
      <c r="A310" s="337"/>
      <c r="B310" s="164"/>
      <c r="C310" s="350"/>
      <c r="D310" s="349"/>
      <c r="E310" s="337"/>
      <c r="F310" s="164"/>
      <c r="G310" s="337"/>
      <c r="H310" s="164"/>
      <c r="I310" s="343"/>
      <c r="J310" s="183"/>
      <c r="K310" s="343"/>
      <c r="L310" s="183"/>
      <c r="M310" s="343"/>
      <c r="N310" s="183"/>
      <c r="O310" s="337"/>
      <c r="P310" s="164"/>
      <c r="Q310" s="359"/>
      <c r="R310" s="220"/>
      <c r="S310" s="17"/>
      <c r="T310" s="17"/>
      <c r="U310" s="17"/>
      <c r="V310" s="17"/>
      <c r="W310" s="17"/>
      <c r="X310" s="17"/>
      <c r="Y310" s="17"/>
      <c r="Z310" s="17"/>
    </row>
    <row r="311">
      <c r="A311" s="337"/>
      <c r="B311" s="164"/>
      <c r="C311" s="350"/>
      <c r="D311" s="349"/>
      <c r="E311" s="337"/>
      <c r="F311" s="164"/>
      <c r="G311" s="337"/>
      <c r="H311" s="164"/>
      <c r="I311" s="343"/>
      <c r="J311" s="183"/>
      <c r="K311" s="343"/>
      <c r="L311" s="183"/>
      <c r="M311" s="343"/>
      <c r="N311" s="183"/>
      <c r="O311" s="337"/>
      <c r="P311" s="164"/>
      <c r="Q311" s="359"/>
      <c r="R311" s="220"/>
      <c r="S311" s="17"/>
      <c r="T311" s="17"/>
      <c r="U311" s="17"/>
      <c r="V311" s="17"/>
      <c r="W311" s="17"/>
      <c r="X311" s="17"/>
      <c r="Y311" s="17"/>
      <c r="Z311" s="17"/>
    </row>
    <row r="312">
      <c r="A312" s="337"/>
      <c r="B312" s="164"/>
      <c r="C312" s="350"/>
      <c r="D312" s="349"/>
      <c r="E312" s="337"/>
      <c r="F312" s="164"/>
      <c r="G312" s="337"/>
      <c r="H312" s="164"/>
      <c r="I312" s="343"/>
      <c r="J312" s="183"/>
      <c r="K312" s="343"/>
      <c r="L312" s="183"/>
      <c r="M312" s="343"/>
      <c r="N312" s="183"/>
      <c r="O312" s="337"/>
      <c r="P312" s="164"/>
      <c r="Q312" s="359"/>
      <c r="R312" s="220"/>
      <c r="S312" s="17"/>
      <c r="T312" s="17"/>
      <c r="U312" s="17"/>
      <c r="V312" s="17"/>
      <c r="W312" s="17"/>
      <c r="X312" s="17"/>
      <c r="Y312" s="17"/>
      <c r="Z312" s="17"/>
    </row>
    <row r="313">
      <c r="A313" s="337"/>
      <c r="B313" s="164"/>
      <c r="C313" s="350"/>
      <c r="D313" s="349"/>
      <c r="E313" s="337"/>
      <c r="F313" s="164"/>
      <c r="G313" s="337"/>
      <c r="H313" s="164"/>
      <c r="I313" s="343"/>
      <c r="J313" s="183"/>
      <c r="K313" s="343"/>
      <c r="L313" s="183"/>
      <c r="M313" s="343"/>
      <c r="N313" s="183"/>
      <c r="O313" s="337"/>
      <c r="P313" s="164"/>
      <c r="Q313" s="359"/>
      <c r="R313" s="220"/>
      <c r="S313" s="17"/>
      <c r="T313" s="17"/>
      <c r="U313" s="17"/>
      <c r="V313" s="17"/>
      <c r="W313" s="17"/>
      <c r="X313" s="17"/>
      <c r="Y313" s="17"/>
      <c r="Z313" s="17"/>
    </row>
    <row r="314">
      <c r="A314" s="337"/>
      <c r="B314" s="164"/>
      <c r="C314" s="350"/>
      <c r="D314" s="349"/>
      <c r="E314" s="337"/>
      <c r="F314" s="164"/>
      <c r="G314" s="337"/>
      <c r="H314" s="164"/>
      <c r="I314" s="343"/>
      <c r="J314" s="183"/>
      <c r="K314" s="343"/>
      <c r="L314" s="183"/>
      <c r="M314" s="343"/>
      <c r="N314" s="183"/>
      <c r="O314" s="337"/>
      <c r="P314" s="164"/>
      <c r="Q314" s="359"/>
      <c r="R314" s="220"/>
      <c r="S314" s="17"/>
      <c r="T314" s="17"/>
      <c r="U314" s="17"/>
      <c r="V314" s="17"/>
      <c r="W314" s="17"/>
      <c r="X314" s="17"/>
      <c r="Y314" s="17"/>
      <c r="Z314" s="17"/>
    </row>
    <row r="315">
      <c r="A315" s="337"/>
      <c r="B315" s="164"/>
      <c r="C315" s="350"/>
      <c r="D315" s="349"/>
      <c r="E315" s="337"/>
      <c r="F315" s="164"/>
      <c r="G315" s="337"/>
      <c r="H315" s="164"/>
      <c r="I315" s="343"/>
      <c r="J315" s="183"/>
      <c r="K315" s="343"/>
      <c r="L315" s="183"/>
      <c r="M315" s="343"/>
      <c r="N315" s="183"/>
      <c r="O315" s="337"/>
      <c r="P315" s="164"/>
      <c r="Q315" s="359"/>
      <c r="R315" s="220"/>
      <c r="S315" s="17"/>
      <c r="T315" s="17"/>
      <c r="U315" s="17"/>
      <c r="V315" s="17"/>
      <c r="W315" s="17"/>
      <c r="X315" s="17"/>
      <c r="Y315" s="17"/>
      <c r="Z315" s="17"/>
    </row>
    <row r="316">
      <c r="A316" s="337"/>
      <c r="B316" s="164"/>
      <c r="C316" s="350"/>
      <c r="D316" s="349"/>
      <c r="E316" s="337"/>
      <c r="F316" s="164"/>
      <c r="G316" s="337"/>
      <c r="H316" s="164"/>
      <c r="I316" s="343"/>
      <c r="J316" s="183"/>
      <c r="K316" s="343"/>
      <c r="L316" s="183"/>
      <c r="M316" s="343"/>
      <c r="N316" s="183"/>
      <c r="O316" s="337"/>
      <c r="P316" s="164"/>
      <c r="Q316" s="359"/>
      <c r="R316" s="220"/>
      <c r="S316" s="17"/>
      <c r="T316" s="17"/>
      <c r="U316" s="17"/>
      <c r="V316" s="17"/>
      <c r="W316" s="17"/>
      <c r="X316" s="17"/>
      <c r="Y316" s="17"/>
      <c r="Z316" s="17"/>
    </row>
    <row r="317">
      <c r="A317" s="337"/>
      <c r="B317" s="164"/>
      <c r="C317" s="350"/>
      <c r="D317" s="349"/>
      <c r="E317" s="337"/>
      <c r="F317" s="164"/>
      <c r="G317" s="337"/>
      <c r="H317" s="164"/>
      <c r="I317" s="343"/>
      <c r="J317" s="183"/>
      <c r="K317" s="343"/>
      <c r="L317" s="183"/>
      <c r="M317" s="343"/>
      <c r="N317" s="183"/>
      <c r="O317" s="337"/>
      <c r="P317" s="164"/>
      <c r="Q317" s="359"/>
      <c r="R317" s="220"/>
      <c r="S317" s="17"/>
      <c r="T317" s="17"/>
      <c r="U317" s="17"/>
      <c r="V317" s="17"/>
      <c r="W317" s="17"/>
      <c r="X317" s="17"/>
      <c r="Y317" s="17"/>
      <c r="Z317" s="17"/>
    </row>
    <row r="318">
      <c r="A318" s="337"/>
      <c r="B318" s="164"/>
      <c r="C318" s="350"/>
      <c r="D318" s="349"/>
      <c r="E318" s="337"/>
      <c r="F318" s="164"/>
      <c r="G318" s="337"/>
      <c r="H318" s="164"/>
      <c r="I318" s="343"/>
      <c r="J318" s="183"/>
      <c r="K318" s="343"/>
      <c r="L318" s="183"/>
      <c r="M318" s="343"/>
      <c r="N318" s="183"/>
      <c r="O318" s="337"/>
      <c r="P318" s="164"/>
      <c r="Q318" s="359"/>
      <c r="R318" s="220"/>
      <c r="S318" s="17"/>
      <c r="T318" s="17"/>
      <c r="U318" s="17"/>
      <c r="V318" s="17"/>
      <c r="W318" s="17"/>
      <c r="X318" s="17"/>
      <c r="Y318" s="17"/>
      <c r="Z318" s="17"/>
    </row>
    <row r="319">
      <c r="A319" s="337"/>
      <c r="B319" s="164"/>
      <c r="C319" s="350"/>
      <c r="D319" s="349"/>
      <c r="E319" s="337"/>
      <c r="F319" s="164"/>
      <c r="G319" s="337"/>
      <c r="H319" s="164"/>
      <c r="I319" s="343"/>
      <c r="J319" s="183"/>
      <c r="K319" s="343"/>
      <c r="L319" s="183"/>
      <c r="M319" s="343"/>
      <c r="N319" s="183"/>
      <c r="O319" s="337"/>
      <c r="P319" s="164"/>
      <c r="Q319" s="359"/>
      <c r="R319" s="220"/>
      <c r="S319" s="17"/>
      <c r="T319" s="17"/>
      <c r="U319" s="17"/>
      <c r="V319" s="17"/>
      <c r="W319" s="17"/>
      <c r="X319" s="17"/>
      <c r="Y319" s="17"/>
      <c r="Z319" s="17"/>
    </row>
    <row r="320">
      <c r="A320" s="337"/>
      <c r="B320" s="164"/>
      <c r="C320" s="350"/>
      <c r="D320" s="349"/>
      <c r="E320" s="337"/>
      <c r="F320" s="164"/>
      <c r="G320" s="337"/>
      <c r="H320" s="164"/>
      <c r="I320" s="343"/>
      <c r="J320" s="183"/>
      <c r="K320" s="343"/>
      <c r="L320" s="183"/>
      <c r="M320" s="343"/>
      <c r="N320" s="183"/>
      <c r="O320" s="337"/>
      <c r="P320" s="164"/>
      <c r="Q320" s="359"/>
      <c r="R320" s="220"/>
      <c r="S320" s="17"/>
      <c r="T320" s="17"/>
      <c r="U320" s="17"/>
      <c r="V320" s="17"/>
      <c r="W320" s="17"/>
      <c r="X320" s="17"/>
      <c r="Y320" s="17"/>
      <c r="Z320" s="17"/>
    </row>
    <row r="321">
      <c r="A321" s="337"/>
      <c r="B321" s="164"/>
      <c r="C321" s="350"/>
      <c r="D321" s="349"/>
      <c r="E321" s="337"/>
      <c r="F321" s="164"/>
      <c r="G321" s="337"/>
      <c r="H321" s="164"/>
      <c r="I321" s="343"/>
      <c r="J321" s="183"/>
      <c r="K321" s="343"/>
      <c r="L321" s="183"/>
      <c r="M321" s="343"/>
      <c r="N321" s="183"/>
      <c r="O321" s="337"/>
      <c r="P321" s="164"/>
      <c r="Q321" s="359"/>
      <c r="R321" s="220"/>
      <c r="S321" s="17"/>
      <c r="T321" s="17"/>
      <c r="U321" s="17"/>
      <c r="V321" s="17"/>
      <c r="W321" s="17"/>
      <c r="X321" s="17"/>
      <c r="Y321" s="17"/>
      <c r="Z321" s="17"/>
    </row>
    <row r="322">
      <c r="A322" s="337"/>
      <c r="B322" s="164"/>
      <c r="C322" s="350"/>
      <c r="D322" s="349"/>
      <c r="E322" s="337"/>
      <c r="F322" s="164"/>
      <c r="G322" s="337"/>
      <c r="H322" s="164"/>
      <c r="I322" s="343"/>
      <c r="J322" s="183"/>
      <c r="K322" s="343"/>
      <c r="L322" s="183"/>
      <c r="M322" s="343"/>
      <c r="N322" s="183"/>
      <c r="O322" s="337"/>
      <c r="P322" s="164"/>
      <c r="Q322" s="359"/>
      <c r="R322" s="220"/>
      <c r="S322" s="17"/>
      <c r="T322" s="17"/>
      <c r="U322" s="17"/>
      <c r="V322" s="17"/>
      <c r="W322" s="17"/>
      <c r="X322" s="17"/>
      <c r="Y322" s="17"/>
      <c r="Z322" s="17"/>
    </row>
    <row r="323">
      <c r="A323" s="337"/>
      <c r="B323" s="164"/>
      <c r="C323" s="350"/>
      <c r="D323" s="349"/>
      <c r="E323" s="337"/>
      <c r="F323" s="164"/>
      <c r="G323" s="337"/>
      <c r="H323" s="164"/>
      <c r="I323" s="343"/>
      <c r="J323" s="183"/>
      <c r="K323" s="343"/>
      <c r="L323" s="183"/>
      <c r="M323" s="343"/>
      <c r="N323" s="183"/>
      <c r="O323" s="337"/>
      <c r="P323" s="164"/>
      <c r="Q323" s="359"/>
      <c r="R323" s="220"/>
      <c r="S323" s="17"/>
      <c r="T323" s="17"/>
      <c r="U323" s="17"/>
      <c r="V323" s="17"/>
      <c r="W323" s="17"/>
      <c r="X323" s="17"/>
      <c r="Y323" s="17"/>
      <c r="Z323" s="17"/>
    </row>
    <row r="324">
      <c r="A324" s="337"/>
      <c r="B324" s="164"/>
      <c r="C324" s="350"/>
      <c r="D324" s="349"/>
      <c r="E324" s="337"/>
      <c r="F324" s="164"/>
      <c r="G324" s="337"/>
      <c r="H324" s="164"/>
      <c r="I324" s="343"/>
      <c r="J324" s="183"/>
      <c r="K324" s="343"/>
      <c r="L324" s="183"/>
      <c r="M324" s="343"/>
      <c r="N324" s="183"/>
      <c r="O324" s="337"/>
      <c r="P324" s="164"/>
      <c r="Q324" s="359"/>
      <c r="R324" s="220"/>
      <c r="S324" s="17"/>
      <c r="T324" s="17"/>
      <c r="U324" s="17"/>
      <c r="V324" s="17"/>
      <c r="W324" s="17"/>
      <c r="X324" s="17"/>
      <c r="Y324" s="17"/>
      <c r="Z324" s="17"/>
    </row>
    <row r="325">
      <c r="A325" s="337"/>
      <c r="B325" s="164"/>
      <c r="C325" s="350"/>
      <c r="D325" s="349"/>
      <c r="E325" s="337"/>
      <c r="F325" s="164"/>
      <c r="G325" s="337"/>
      <c r="H325" s="164"/>
      <c r="I325" s="343"/>
      <c r="J325" s="183"/>
      <c r="K325" s="343"/>
      <c r="L325" s="183"/>
      <c r="M325" s="343"/>
      <c r="N325" s="183"/>
      <c r="O325" s="337"/>
      <c r="P325" s="164"/>
      <c r="Q325" s="359"/>
      <c r="R325" s="220"/>
      <c r="S325" s="17"/>
      <c r="T325" s="17"/>
      <c r="U325" s="17"/>
      <c r="V325" s="17"/>
      <c r="W325" s="17"/>
      <c r="X325" s="17"/>
      <c r="Y325" s="17"/>
      <c r="Z325" s="17"/>
    </row>
    <row r="326">
      <c r="A326" s="337"/>
      <c r="B326" s="164"/>
      <c r="C326" s="350"/>
      <c r="D326" s="349"/>
      <c r="E326" s="337"/>
      <c r="F326" s="164"/>
      <c r="G326" s="337"/>
      <c r="H326" s="164"/>
      <c r="I326" s="343"/>
      <c r="J326" s="183"/>
      <c r="K326" s="343"/>
      <c r="L326" s="183"/>
      <c r="M326" s="343"/>
      <c r="N326" s="183"/>
      <c r="O326" s="337"/>
      <c r="P326" s="164"/>
      <c r="Q326" s="359"/>
      <c r="R326" s="220"/>
      <c r="S326" s="17"/>
      <c r="T326" s="17"/>
      <c r="U326" s="17"/>
      <c r="V326" s="17"/>
      <c r="W326" s="17"/>
      <c r="X326" s="17"/>
      <c r="Y326" s="17"/>
      <c r="Z326" s="17"/>
    </row>
    <row r="327">
      <c r="A327" s="337"/>
      <c r="B327" s="164"/>
      <c r="C327" s="350"/>
      <c r="D327" s="349"/>
      <c r="E327" s="337"/>
      <c r="F327" s="164"/>
      <c r="G327" s="337"/>
      <c r="H327" s="164"/>
      <c r="I327" s="343"/>
      <c r="J327" s="183"/>
      <c r="K327" s="343"/>
      <c r="L327" s="183"/>
      <c r="M327" s="343"/>
      <c r="N327" s="183"/>
      <c r="O327" s="337"/>
      <c r="P327" s="164"/>
      <c r="Q327" s="359"/>
      <c r="R327" s="220"/>
      <c r="S327" s="17"/>
      <c r="T327" s="17"/>
      <c r="U327" s="17"/>
      <c r="V327" s="17"/>
      <c r="W327" s="17"/>
      <c r="X327" s="17"/>
      <c r="Y327" s="17"/>
      <c r="Z327" s="17"/>
    </row>
    <row r="328">
      <c r="A328" s="337"/>
      <c r="B328" s="164"/>
      <c r="C328" s="350"/>
      <c r="D328" s="349"/>
      <c r="E328" s="337"/>
      <c r="F328" s="164"/>
      <c r="G328" s="337"/>
      <c r="H328" s="164"/>
      <c r="I328" s="343"/>
      <c r="J328" s="183"/>
      <c r="K328" s="343"/>
      <c r="L328" s="183"/>
      <c r="M328" s="343"/>
      <c r="N328" s="183"/>
      <c r="O328" s="337"/>
      <c r="P328" s="164"/>
      <c r="Q328" s="359"/>
      <c r="R328" s="220"/>
      <c r="S328" s="17"/>
      <c r="T328" s="17"/>
      <c r="U328" s="17"/>
      <c r="V328" s="17"/>
      <c r="W328" s="17"/>
      <c r="X328" s="17"/>
      <c r="Y328" s="17"/>
      <c r="Z328" s="17"/>
    </row>
    <row r="329">
      <c r="A329" s="337"/>
      <c r="B329" s="164"/>
      <c r="C329" s="350"/>
      <c r="D329" s="349"/>
      <c r="E329" s="337"/>
      <c r="F329" s="164"/>
      <c r="G329" s="337"/>
      <c r="H329" s="164"/>
      <c r="I329" s="343"/>
      <c r="J329" s="183"/>
      <c r="K329" s="343"/>
      <c r="L329" s="183"/>
      <c r="M329" s="343"/>
      <c r="N329" s="183"/>
      <c r="O329" s="337"/>
      <c r="P329" s="164"/>
      <c r="Q329" s="359"/>
      <c r="R329" s="220"/>
      <c r="S329" s="17"/>
      <c r="T329" s="17"/>
      <c r="U329" s="17"/>
      <c r="V329" s="17"/>
      <c r="W329" s="17"/>
      <c r="X329" s="17"/>
      <c r="Y329" s="17"/>
      <c r="Z329" s="17"/>
    </row>
    <row r="330">
      <c r="A330" s="337"/>
      <c r="B330" s="164"/>
      <c r="C330" s="350"/>
      <c r="D330" s="349"/>
      <c r="E330" s="337"/>
      <c r="F330" s="164"/>
      <c r="G330" s="337"/>
      <c r="H330" s="164"/>
      <c r="I330" s="343"/>
      <c r="J330" s="183"/>
      <c r="K330" s="343"/>
      <c r="L330" s="183"/>
      <c r="M330" s="343"/>
      <c r="N330" s="183"/>
      <c r="O330" s="337"/>
      <c r="P330" s="164"/>
      <c r="Q330" s="359"/>
      <c r="R330" s="220"/>
      <c r="S330" s="17"/>
      <c r="T330" s="17"/>
      <c r="U330" s="17"/>
      <c r="V330" s="17"/>
      <c r="W330" s="17"/>
      <c r="X330" s="17"/>
      <c r="Y330" s="17"/>
      <c r="Z330" s="17"/>
    </row>
    <row r="331">
      <c r="A331" s="337"/>
      <c r="B331" s="164"/>
      <c r="C331" s="350"/>
      <c r="D331" s="349"/>
      <c r="E331" s="337"/>
      <c r="F331" s="164"/>
      <c r="G331" s="337"/>
      <c r="H331" s="164"/>
      <c r="I331" s="343"/>
      <c r="J331" s="183"/>
      <c r="K331" s="343"/>
      <c r="L331" s="183"/>
      <c r="M331" s="343"/>
      <c r="N331" s="183"/>
      <c r="O331" s="337"/>
      <c r="P331" s="164"/>
      <c r="Q331" s="359"/>
      <c r="R331" s="220"/>
      <c r="S331" s="17"/>
      <c r="T331" s="17"/>
      <c r="U331" s="17"/>
      <c r="V331" s="17"/>
      <c r="W331" s="17"/>
      <c r="X331" s="17"/>
      <c r="Y331" s="17"/>
      <c r="Z331" s="17"/>
    </row>
    <row r="332">
      <c r="A332" s="337"/>
      <c r="B332" s="164"/>
      <c r="C332" s="350"/>
      <c r="D332" s="349"/>
      <c r="E332" s="337"/>
      <c r="F332" s="164"/>
      <c r="G332" s="337"/>
      <c r="H332" s="164"/>
      <c r="I332" s="343"/>
      <c r="J332" s="183"/>
      <c r="K332" s="343"/>
      <c r="L332" s="183"/>
      <c r="M332" s="343"/>
      <c r="N332" s="183"/>
      <c r="O332" s="337"/>
      <c r="P332" s="164"/>
      <c r="Q332" s="359"/>
      <c r="R332" s="220"/>
      <c r="S332" s="17"/>
      <c r="T332" s="17"/>
      <c r="U332" s="17"/>
      <c r="V332" s="17"/>
      <c r="W332" s="17"/>
      <c r="X332" s="17"/>
      <c r="Y332" s="17"/>
      <c r="Z332" s="17"/>
    </row>
    <row r="333">
      <c r="A333" s="337"/>
      <c r="B333" s="164"/>
      <c r="C333" s="350"/>
      <c r="D333" s="349"/>
      <c r="E333" s="337"/>
      <c r="F333" s="164"/>
      <c r="G333" s="337"/>
      <c r="H333" s="164"/>
      <c r="I333" s="343"/>
      <c r="J333" s="183"/>
      <c r="K333" s="343"/>
      <c r="L333" s="183"/>
      <c r="M333" s="343"/>
      <c r="N333" s="183"/>
      <c r="O333" s="337"/>
      <c r="P333" s="164"/>
      <c r="Q333" s="359"/>
      <c r="R333" s="220"/>
      <c r="S333" s="17"/>
      <c r="T333" s="17"/>
      <c r="U333" s="17"/>
      <c r="V333" s="17"/>
      <c r="W333" s="17"/>
      <c r="X333" s="17"/>
      <c r="Y333" s="17"/>
      <c r="Z333" s="17"/>
    </row>
    <row r="334">
      <c r="A334" s="337"/>
      <c r="B334" s="164"/>
      <c r="C334" s="350"/>
      <c r="D334" s="349"/>
      <c r="E334" s="337"/>
      <c r="F334" s="164"/>
      <c r="G334" s="337"/>
      <c r="H334" s="164"/>
      <c r="I334" s="343"/>
      <c r="J334" s="183"/>
      <c r="K334" s="343"/>
      <c r="L334" s="183"/>
      <c r="M334" s="343"/>
      <c r="N334" s="183"/>
      <c r="O334" s="337"/>
      <c r="P334" s="164"/>
      <c r="Q334" s="359"/>
      <c r="R334" s="220"/>
      <c r="S334" s="17"/>
      <c r="T334" s="17"/>
      <c r="U334" s="17"/>
      <c r="V334" s="17"/>
      <c r="W334" s="17"/>
      <c r="X334" s="17"/>
      <c r="Y334" s="17"/>
      <c r="Z334" s="17"/>
    </row>
    <row r="335">
      <c r="A335" s="337"/>
      <c r="B335" s="164"/>
      <c r="C335" s="350"/>
      <c r="D335" s="349"/>
      <c r="E335" s="337"/>
      <c r="F335" s="164"/>
      <c r="G335" s="337"/>
      <c r="H335" s="164"/>
      <c r="I335" s="343"/>
      <c r="J335" s="183"/>
      <c r="K335" s="343"/>
      <c r="L335" s="183"/>
      <c r="M335" s="343"/>
      <c r="N335" s="183"/>
      <c r="O335" s="337"/>
      <c r="P335" s="164"/>
      <c r="Q335" s="359"/>
      <c r="R335" s="220"/>
      <c r="S335" s="17"/>
      <c r="T335" s="17"/>
      <c r="U335" s="17"/>
      <c r="V335" s="17"/>
      <c r="W335" s="17"/>
      <c r="X335" s="17"/>
      <c r="Y335" s="17"/>
      <c r="Z335" s="17"/>
    </row>
    <row r="336">
      <c r="A336" s="337"/>
      <c r="B336" s="164"/>
      <c r="C336" s="350"/>
      <c r="D336" s="349"/>
      <c r="E336" s="337"/>
      <c r="F336" s="164"/>
      <c r="G336" s="337"/>
      <c r="H336" s="164"/>
      <c r="I336" s="343"/>
      <c r="J336" s="183"/>
      <c r="K336" s="343"/>
      <c r="L336" s="183"/>
      <c r="M336" s="343"/>
      <c r="N336" s="183"/>
      <c r="O336" s="337"/>
      <c r="P336" s="164"/>
      <c r="Q336" s="359"/>
      <c r="R336" s="220"/>
      <c r="S336" s="17"/>
      <c r="T336" s="17"/>
      <c r="U336" s="17"/>
      <c r="V336" s="17"/>
      <c r="W336" s="17"/>
      <c r="X336" s="17"/>
      <c r="Y336" s="17"/>
      <c r="Z336" s="17"/>
    </row>
    <row r="337">
      <c r="A337" s="337"/>
      <c r="B337" s="164"/>
      <c r="C337" s="350"/>
      <c r="D337" s="349"/>
      <c r="E337" s="337"/>
      <c r="F337" s="164"/>
      <c r="G337" s="337"/>
      <c r="H337" s="164"/>
      <c r="I337" s="343"/>
      <c r="J337" s="183"/>
      <c r="K337" s="343"/>
      <c r="L337" s="183"/>
      <c r="M337" s="343"/>
      <c r="N337" s="183"/>
      <c r="O337" s="337"/>
      <c r="P337" s="164"/>
      <c r="Q337" s="359"/>
      <c r="R337" s="220"/>
      <c r="S337" s="17"/>
      <c r="T337" s="17"/>
      <c r="U337" s="17"/>
      <c r="V337" s="17"/>
      <c r="W337" s="17"/>
      <c r="X337" s="17"/>
      <c r="Y337" s="17"/>
      <c r="Z337" s="17"/>
    </row>
    <row r="338">
      <c r="A338" s="337"/>
      <c r="B338" s="164"/>
      <c r="C338" s="350"/>
      <c r="D338" s="349"/>
      <c r="E338" s="337"/>
      <c r="F338" s="164"/>
      <c r="G338" s="337"/>
      <c r="H338" s="164"/>
      <c r="I338" s="343"/>
      <c r="J338" s="183"/>
      <c r="K338" s="343"/>
      <c r="L338" s="183"/>
      <c r="M338" s="343"/>
      <c r="N338" s="183"/>
      <c r="O338" s="337"/>
      <c r="P338" s="164"/>
      <c r="Q338" s="359"/>
      <c r="R338" s="220"/>
      <c r="S338" s="17"/>
      <c r="T338" s="17"/>
      <c r="U338" s="17"/>
      <c r="V338" s="17"/>
      <c r="W338" s="17"/>
      <c r="X338" s="17"/>
      <c r="Y338" s="17"/>
      <c r="Z338" s="17"/>
    </row>
    <row r="339">
      <c r="A339" s="337"/>
      <c r="B339" s="164"/>
      <c r="C339" s="350"/>
      <c r="D339" s="349"/>
      <c r="E339" s="337"/>
      <c r="F339" s="164"/>
      <c r="G339" s="337"/>
      <c r="H339" s="164"/>
      <c r="I339" s="343"/>
      <c r="J339" s="183"/>
      <c r="K339" s="343"/>
      <c r="L339" s="183"/>
      <c r="M339" s="343"/>
      <c r="N339" s="183"/>
      <c r="O339" s="337"/>
      <c r="P339" s="164"/>
      <c r="Q339" s="359"/>
      <c r="R339" s="220"/>
      <c r="S339" s="17"/>
      <c r="T339" s="17"/>
      <c r="U339" s="17"/>
      <c r="V339" s="17"/>
      <c r="W339" s="17"/>
      <c r="X339" s="17"/>
      <c r="Y339" s="17"/>
      <c r="Z339" s="17"/>
    </row>
    <row r="340">
      <c r="A340" s="337"/>
      <c r="B340" s="164"/>
      <c r="C340" s="350"/>
      <c r="D340" s="349"/>
      <c r="E340" s="337"/>
      <c r="F340" s="164"/>
      <c r="G340" s="337"/>
      <c r="H340" s="164"/>
      <c r="I340" s="343"/>
      <c r="J340" s="183"/>
      <c r="K340" s="343"/>
      <c r="L340" s="183"/>
      <c r="M340" s="343"/>
      <c r="N340" s="183"/>
      <c r="O340" s="337"/>
      <c r="P340" s="164"/>
      <c r="Q340" s="359"/>
      <c r="R340" s="220"/>
      <c r="S340" s="17"/>
      <c r="T340" s="17"/>
      <c r="U340" s="17"/>
      <c r="V340" s="17"/>
      <c r="W340" s="17"/>
      <c r="X340" s="17"/>
      <c r="Y340" s="17"/>
      <c r="Z340" s="17"/>
    </row>
    <row r="341">
      <c r="A341" s="337"/>
      <c r="B341" s="164"/>
      <c r="C341" s="350"/>
      <c r="D341" s="349"/>
      <c r="E341" s="337"/>
      <c r="F341" s="164"/>
      <c r="G341" s="337"/>
      <c r="H341" s="164"/>
      <c r="I341" s="343"/>
      <c r="J341" s="183"/>
      <c r="K341" s="343"/>
      <c r="L341" s="183"/>
      <c r="M341" s="343"/>
      <c r="N341" s="183"/>
      <c r="O341" s="337"/>
      <c r="P341" s="164"/>
      <c r="Q341" s="359"/>
      <c r="R341" s="220"/>
      <c r="S341" s="17"/>
      <c r="T341" s="17"/>
      <c r="U341" s="17"/>
      <c r="V341" s="17"/>
      <c r="W341" s="17"/>
      <c r="X341" s="17"/>
      <c r="Y341" s="17"/>
      <c r="Z341" s="17"/>
    </row>
    <row r="342">
      <c r="A342" s="337"/>
      <c r="B342" s="164"/>
      <c r="C342" s="350"/>
      <c r="D342" s="349"/>
      <c r="E342" s="337"/>
      <c r="F342" s="164"/>
      <c r="G342" s="337"/>
      <c r="H342" s="164"/>
      <c r="I342" s="343"/>
      <c r="J342" s="183"/>
      <c r="K342" s="343"/>
      <c r="L342" s="183"/>
      <c r="M342" s="343"/>
      <c r="N342" s="183"/>
      <c r="O342" s="337"/>
      <c r="P342" s="164"/>
      <c r="Q342" s="359"/>
      <c r="R342" s="220"/>
      <c r="S342" s="17"/>
      <c r="T342" s="17"/>
      <c r="U342" s="17"/>
      <c r="V342" s="17"/>
      <c r="W342" s="17"/>
      <c r="X342" s="17"/>
      <c r="Y342" s="17"/>
      <c r="Z342" s="17"/>
    </row>
    <row r="343">
      <c r="A343" s="337"/>
      <c r="B343" s="164"/>
      <c r="C343" s="350"/>
      <c r="D343" s="349"/>
      <c r="E343" s="337"/>
      <c r="F343" s="164"/>
      <c r="G343" s="337"/>
      <c r="H343" s="164"/>
      <c r="I343" s="343"/>
      <c r="J343" s="183"/>
      <c r="K343" s="343"/>
      <c r="L343" s="183"/>
      <c r="M343" s="343"/>
      <c r="N343" s="183"/>
      <c r="O343" s="337"/>
      <c r="P343" s="164"/>
      <c r="Q343" s="359"/>
      <c r="R343" s="220"/>
      <c r="S343" s="17"/>
      <c r="T343" s="17"/>
      <c r="U343" s="17"/>
      <c r="V343" s="17"/>
      <c r="W343" s="17"/>
      <c r="X343" s="17"/>
      <c r="Y343" s="17"/>
      <c r="Z343" s="17"/>
    </row>
    <row r="344">
      <c r="A344" s="337"/>
      <c r="B344" s="164"/>
      <c r="C344" s="350"/>
      <c r="D344" s="349"/>
      <c r="E344" s="337"/>
      <c r="F344" s="164"/>
      <c r="G344" s="337"/>
      <c r="H344" s="164"/>
      <c r="I344" s="343"/>
      <c r="J344" s="183"/>
      <c r="K344" s="343"/>
      <c r="L344" s="183"/>
      <c r="M344" s="343"/>
      <c r="N344" s="183"/>
      <c r="O344" s="337"/>
      <c r="P344" s="164"/>
      <c r="Q344" s="359"/>
      <c r="R344" s="220"/>
      <c r="S344" s="17"/>
      <c r="T344" s="17"/>
      <c r="U344" s="17"/>
      <c r="V344" s="17"/>
      <c r="W344" s="17"/>
      <c r="X344" s="17"/>
      <c r="Y344" s="17"/>
      <c r="Z344" s="17"/>
    </row>
    <row r="345">
      <c r="A345" s="337"/>
      <c r="B345" s="164"/>
      <c r="C345" s="350"/>
      <c r="D345" s="349"/>
      <c r="E345" s="337"/>
      <c r="F345" s="164"/>
      <c r="G345" s="337"/>
      <c r="H345" s="164"/>
      <c r="I345" s="343"/>
      <c r="J345" s="183"/>
      <c r="K345" s="343"/>
      <c r="L345" s="183"/>
      <c r="M345" s="343"/>
      <c r="N345" s="183"/>
      <c r="O345" s="337"/>
      <c r="P345" s="164"/>
      <c r="Q345" s="359"/>
      <c r="R345" s="220"/>
      <c r="S345" s="17"/>
      <c r="T345" s="17"/>
      <c r="U345" s="17"/>
      <c r="V345" s="17"/>
      <c r="W345" s="17"/>
      <c r="X345" s="17"/>
      <c r="Y345" s="17"/>
      <c r="Z345" s="17"/>
    </row>
    <row r="346">
      <c r="A346" s="337"/>
      <c r="B346" s="164"/>
      <c r="C346" s="350"/>
      <c r="D346" s="349"/>
      <c r="E346" s="337"/>
      <c r="F346" s="164"/>
      <c r="G346" s="337"/>
      <c r="H346" s="164"/>
      <c r="I346" s="343"/>
      <c r="J346" s="183"/>
      <c r="K346" s="343"/>
      <c r="L346" s="183"/>
      <c r="M346" s="343"/>
      <c r="N346" s="183"/>
      <c r="O346" s="337"/>
      <c r="P346" s="164"/>
      <c r="Q346" s="359"/>
      <c r="R346" s="220"/>
      <c r="S346" s="17"/>
      <c r="T346" s="17"/>
      <c r="U346" s="17"/>
      <c r="V346" s="17"/>
      <c r="W346" s="17"/>
      <c r="X346" s="17"/>
      <c r="Y346" s="17"/>
      <c r="Z346" s="17"/>
    </row>
    <row r="347">
      <c r="A347" s="337"/>
      <c r="B347" s="164"/>
      <c r="C347" s="350"/>
      <c r="D347" s="349"/>
      <c r="E347" s="337"/>
      <c r="F347" s="164"/>
      <c r="G347" s="337"/>
      <c r="H347" s="164"/>
      <c r="I347" s="343"/>
      <c r="J347" s="183"/>
      <c r="K347" s="343"/>
      <c r="L347" s="183"/>
      <c r="M347" s="343"/>
      <c r="N347" s="183"/>
      <c r="O347" s="337"/>
      <c r="P347" s="164"/>
      <c r="Q347" s="359"/>
      <c r="R347" s="220"/>
      <c r="S347" s="17"/>
      <c r="T347" s="17"/>
      <c r="U347" s="17"/>
      <c r="V347" s="17"/>
      <c r="W347" s="17"/>
      <c r="X347" s="17"/>
      <c r="Y347" s="17"/>
      <c r="Z347" s="17"/>
    </row>
    <row r="348">
      <c r="A348" s="337"/>
      <c r="B348" s="164"/>
      <c r="C348" s="350"/>
      <c r="D348" s="349"/>
      <c r="E348" s="337"/>
      <c r="F348" s="164"/>
      <c r="G348" s="337"/>
      <c r="H348" s="164"/>
      <c r="I348" s="343"/>
      <c r="J348" s="183"/>
      <c r="K348" s="343"/>
      <c r="L348" s="183"/>
      <c r="M348" s="343"/>
      <c r="N348" s="183"/>
      <c r="O348" s="337"/>
      <c r="P348" s="164"/>
      <c r="Q348" s="359"/>
      <c r="R348" s="220"/>
      <c r="S348" s="17"/>
      <c r="T348" s="17"/>
      <c r="U348" s="17"/>
      <c r="V348" s="17"/>
      <c r="W348" s="17"/>
      <c r="X348" s="17"/>
      <c r="Y348" s="17"/>
      <c r="Z348" s="17"/>
    </row>
    <row r="349">
      <c r="A349" s="337"/>
      <c r="B349" s="164"/>
      <c r="C349" s="350"/>
      <c r="D349" s="349"/>
      <c r="E349" s="337"/>
      <c r="F349" s="164"/>
      <c r="G349" s="337"/>
      <c r="H349" s="164"/>
      <c r="I349" s="343"/>
      <c r="J349" s="183"/>
      <c r="K349" s="343"/>
      <c r="L349" s="183"/>
      <c r="M349" s="343"/>
      <c r="N349" s="183"/>
      <c r="O349" s="337"/>
      <c r="P349" s="164"/>
      <c r="Q349" s="359"/>
      <c r="R349" s="220"/>
      <c r="S349" s="17"/>
      <c r="T349" s="17"/>
      <c r="U349" s="17"/>
      <c r="V349" s="17"/>
      <c r="W349" s="17"/>
      <c r="X349" s="17"/>
      <c r="Y349" s="17"/>
      <c r="Z349" s="17"/>
    </row>
    <row r="350">
      <c r="A350" s="337"/>
      <c r="B350" s="164"/>
      <c r="C350" s="350"/>
      <c r="D350" s="349"/>
      <c r="E350" s="337"/>
      <c r="F350" s="164"/>
      <c r="G350" s="337"/>
      <c r="H350" s="164"/>
      <c r="I350" s="343"/>
      <c r="J350" s="183"/>
      <c r="K350" s="343"/>
      <c r="L350" s="183"/>
      <c r="M350" s="343"/>
      <c r="N350" s="183"/>
      <c r="O350" s="337"/>
      <c r="P350" s="164"/>
      <c r="Q350" s="359"/>
      <c r="R350" s="220"/>
      <c r="S350" s="17"/>
      <c r="T350" s="17"/>
      <c r="U350" s="17"/>
      <c r="V350" s="17"/>
      <c r="W350" s="17"/>
      <c r="X350" s="17"/>
      <c r="Y350" s="17"/>
      <c r="Z350" s="17"/>
    </row>
    <row r="351">
      <c r="A351" s="337"/>
      <c r="B351" s="164"/>
      <c r="C351" s="350"/>
      <c r="D351" s="349"/>
      <c r="E351" s="337"/>
      <c r="F351" s="164"/>
      <c r="G351" s="337"/>
      <c r="H351" s="164"/>
      <c r="I351" s="343"/>
      <c r="J351" s="183"/>
      <c r="K351" s="343"/>
      <c r="L351" s="183"/>
      <c r="M351" s="343"/>
      <c r="N351" s="183"/>
      <c r="O351" s="337"/>
      <c r="P351" s="164"/>
      <c r="Q351" s="359"/>
      <c r="R351" s="220"/>
      <c r="S351" s="17"/>
      <c r="T351" s="17"/>
      <c r="U351" s="17"/>
      <c r="V351" s="17"/>
      <c r="W351" s="17"/>
      <c r="X351" s="17"/>
      <c r="Y351" s="17"/>
      <c r="Z351" s="17"/>
    </row>
    <row r="352">
      <c r="A352" s="337"/>
      <c r="B352" s="164"/>
      <c r="C352" s="350"/>
      <c r="D352" s="349"/>
      <c r="E352" s="337"/>
      <c r="F352" s="164"/>
      <c r="G352" s="337"/>
      <c r="H352" s="164"/>
      <c r="I352" s="343"/>
      <c r="J352" s="183"/>
      <c r="K352" s="343"/>
      <c r="L352" s="183"/>
      <c r="M352" s="343"/>
      <c r="N352" s="183"/>
      <c r="O352" s="337"/>
      <c r="P352" s="164"/>
      <c r="Q352" s="359"/>
      <c r="R352" s="220"/>
      <c r="S352" s="17"/>
      <c r="T352" s="17"/>
      <c r="U352" s="17"/>
      <c r="V352" s="17"/>
      <c r="W352" s="17"/>
      <c r="X352" s="17"/>
      <c r="Y352" s="17"/>
      <c r="Z352" s="17"/>
    </row>
    <row r="353">
      <c r="A353" s="337"/>
      <c r="B353" s="164"/>
      <c r="C353" s="350"/>
      <c r="D353" s="349"/>
      <c r="E353" s="337"/>
      <c r="F353" s="164"/>
      <c r="G353" s="337"/>
      <c r="H353" s="164"/>
      <c r="I353" s="343"/>
      <c r="J353" s="183"/>
      <c r="K353" s="343"/>
      <c r="L353" s="183"/>
      <c r="M353" s="343"/>
      <c r="N353" s="183"/>
      <c r="O353" s="337"/>
      <c r="P353" s="164"/>
      <c r="Q353" s="359"/>
      <c r="R353" s="220"/>
      <c r="S353" s="17"/>
      <c r="T353" s="17"/>
      <c r="U353" s="17"/>
      <c r="V353" s="17"/>
      <c r="W353" s="17"/>
      <c r="X353" s="17"/>
      <c r="Y353" s="17"/>
      <c r="Z353" s="17"/>
    </row>
    <row r="354">
      <c r="A354" s="337"/>
      <c r="B354" s="164"/>
      <c r="C354" s="350"/>
      <c r="D354" s="349"/>
      <c r="E354" s="337"/>
      <c r="F354" s="164"/>
      <c r="G354" s="337"/>
      <c r="H354" s="164"/>
      <c r="I354" s="343"/>
      <c r="J354" s="183"/>
      <c r="K354" s="343"/>
      <c r="L354" s="183"/>
      <c r="M354" s="343"/>
      <c r="N354" s="183"/>
      <c r="O354" s="337"/>
      <c r="P354" s="164"/>
      <c r="Q354" s="359"/>
      <c r="R354" s="220"/>
      <c r="S354" s="17"/>
      <c r="T354" s="17"/>
      <c r="U354" s="17"/>
      <c r="V354" s="17"/>
      <c r="W354" s="17"/>
      <c r="X354" s="17"/>
      <c r="Y354" s="17"/>
      <c r="Z354" s="17"/>
    </row>
    <row r="355">
      <c r="A355" s="337"/>
      <c r="B355" s="164"/>
      <c r="C355" s="350"/>
      <c r="D355" s="349"/>
      <c r="E355" s="337"/>
      <c r="F355" s="164"/>
      <c r="G355" s="337"/>
      <c r="H355" s="164"/>
      <c r="I355" s="343"/>
      <c r="J355" s="183"/>
      <c r="K355" s="343"/>
      <c r="L355" s="183"/>
      <c r="M355" s="343"/>
      <c r="N355" s="183"/>
      <c r="O355" s="337"/>
      <c r="P355" s="164"/>
      <c r="Q355" s="359"/>
      <c r="R355" s="220"/>
      <c r="S355" s="17"/>
      <c r="T355" s="17"/>
      <c r="U355" s="17"/>
      <c r="V355" s="17"/>
      <c r="W355" s="17"/>
      <c r="X355" s="17"/>
      <c r="Y355" s="17"/>
      <c r="Z355" s="17"/>
    </row>
    <row r="356">
      <c r="A356" s="337"/>
      <c r="B356" s="164"/>
      <c r="C356" s="350"/>
      <c r="D356" s="349"/>
      <c r="E356" s="337"/>
      <c r="F356" s="164"/>
      <c r="G356" s="337"/>
      <c r="H356" s="164"/>
      <c r="I356" s="343"/>
      <c r="J356" s="183"/>
      <c r="K356" s="343"/>
      <c r="L356" s="183"/>
      <c r="M356" s="343"/>
      <c r="N356" s="183"/>
      <c r="O356" s="337"/>
      <c r="P356" s="164"/>
      <c r="Q356" s="359"/>
      <c r="R356" s="220"/>
      <c r="S356" s="17"/>
      <c r="T356" s="17"/>
      <c r="U356" s="17"/>
      <c r="V356" s="17"/>
      <c r="W356" s="17"/>
      <c r="X356" s="17"/>
      <c r="Y356" s="17"/>
      <c r="Z356" s="17"/>
    </row>
    <row r="357">
      <c r="A357" s="337"/>
      <c r="B357" s="164"/>
      <c r="C357" s="350"/>
      <c r="D357" s="349"/>
      <c r="E357" s="337"/>
      <c r="F357" s="164"/>
      <c r="G357" s="337"/>
      <c r="H357" s="164"/>
      <c r="I357" s="343"/>
      <c r="J357" s="183"/>
      <c r="K357" s="343"/>
      <c r="L357" s="183"/>
      <c r="M357" s="343"/>
      <c r="N357" s="183"/>
      <c r="O357" s="337"/>
      <c r="P357" s="164"/>
      <c r="Q357" s="359"/>
      <c r="R357" s="220"/>
      <c r="S357" s="17"/>
      <c r="T357" s="17"/>
      <c r="U357" s="17"/>
      <c r="V357" s="17"/>
      <c r="W357" s="17"/>
      <c r="X357" s="17"/>
      <c r="Y357" s="17"/>
      <c r="Z357" s="17"/>
    </row>
    <row r="358">
      <c r="A358" s="337"/>
      <c r="B358" s="164"/>
      <c r="C358" s="350"/>
      <c r="D358" s="349"/>
      <c r="E358" s="337"/>
      <c r="F358" s="164"/>
      <c r="G358" s="337"/>
      <c r="H358" s="164"/>
      <c r="I358" s="343"/>
      <c r="J358" s="183"/>
      <c r="K358" s="343"/>
      <c r="L358" s="183"/>
      <c r="M358" s="343"/>
      <c r="N358" s="183"/>
      <c r="O358" s="337"/>
      <c r="P358" s="164"/>
      <c r="Q358" s="359"/>
      <c r="R358" s="220"/>
      <c r="S358" s="17"/>
      <c r="T358" s="17"/>
      <c r="U358" s="17"/>
      <c r="V358" s="17"/>
      <c r="W358" s="17"/>
      <c r="X358" s="17"/>
      <c r="Y358" s="17"/>
      <c r="Z358" s="17"/>
    </row>
    <row r="359">
      <c r="A359" s="337"/>
      <c r="B359" s="164"/>
      <c r="C359" s="350"/>
      <c r="D359" s="349"/>
      <c r="E359" s="337"/>
      <c r="F359" s="164"/>
      <c r="G359" s="337"/>
      <c r="H359" s="164"/>
      <c r="I359" s="343"/>
      <c r="J359" s="183"/>
      <c r="K359" s="343"/>
      <c r="L359" s="183"/>
      <c r="M359" s="343"/>
      <c r="N359" s="183"/>
      <c r="O359" s="337"/>
      <c r="P359" s="164"/>
      <c r="Q359" s="359"/>
      <c r="R359" s="220"/>
      <c r="S359" s="17"/>
      <c r="T359" s="17"/>
      <c r="U359" s="17"/>
      <c r="V359" s="17"/>
      <c r="W359" s="17"/>
      <c r="X359" s="17"/>
      <c r="Y359" s="17"/>
      <c r="Z359" s="17"/>
    </row>
    <row r="360">
      <c r="A360" s="337"/>
      <c r="B360" s="164"/>
      <c r="C360" s="350"/>
      <c r="D360" s="349"/>
      <c r="E360" s="337"/>
      <c r="F360" s="164"/>
      <c r="G360" s="337"/>
      <c r="H360" s="164"/>
      <c r="I360" s="343"/>
      <c r="J360" s="183"/>
      <c r="K360" s="343"/>
      <c r="L360" s="183"/>
      <c r="M360" s="343"/>
      <c r="N360" s="183"/>
      <c r="O360" s="337"/>
      <c r="P360" s="164"/>
      <c r="Q360" s="359"/>
      <c r="R360" s="220"/>
      <c r="S360" s="17"/>
      <c r="T360" s="17"/>
      <c r="U360" s="17"/>
      <c r="V360" s="17"/>
      <c r="W360" s="17"/>
      <c r="X360" s="17"/>
      <c r="Y360" s="17"/>
      <c r="Z360" s="17"/>
    </row>
    <row r="361">
      <c r="A361" s="337"/>
      <c r="B361" s="164"/>
      <c r="C361" s="350"/>
      <c r="D361" s="349"/>
      <c r="E361" s="337"/>
      <c r="F361" s="164"/>
      <c r="G361" s="337"/>
      <c r="H361" s="164"/>
      <c r="I361" s="343"/>
      <c r="J361" s="183"/>
      <c r="K361" s="343"/>
      <c r="L361" s="183"/>
      <c r="M361" s="343"/>
      <c r="N361" s="183"/>
      <c r="O361" s="337"/>
      <c r="P361" s="164"/>
      <c r="Q361" s="359"/>
      <c r="R361" s="220"/>
      <c r="S361" s="17"/>
      <c r="T361" s="17"/>
      <c r="U361" s="17"/>
      <c r="V361" s="17"/>
      <c r="W361" s="17"/>
      <c r="X361" s="17"/>
      <c r="Y361" s="17"/>
      <c r="Z361" s="17"/>
    </row>
    <row r="362">
      <c r="A362" s="337"/>
      <c r="B362" s="164"/>
      <c r="C362" s="350"/>
      <c r="D362" s="349"/>
      <c r="E362" s="337"/>
      <c r="F362" s="164"/>
      <c r="G362" s="337"/>
      <c r="H362" s="164"/>
      <c r="I362" s="343"/>
      <c r="J362" s="183"/>
      <c r="K362" s="343"/>
      <c r="L362" s="183"/>
      <c r="M362" s="343"/>
      <c r="N362" s="183"/>
      <c r="O362" s="337"/>
      <c r="P362" s="164"/>
      <c r="Q362" s="359"/>
      <c r="R362" s="220"/>
      <c r="S362" s="17"/>
      <c r="T362" s="17"/>
      <c r="U362" s="17"/>
      <c r="V362" s="17"/>
      <c r="W362" s="17"/>
      <c r="X362" s="17"/>
      <c r="Y362" s="17"/>
      <c r="Z362" s="17"/>
    </row>
    <row r="363">
      <c r="A363" s="337"/>
      <c r="B363" s="164"/>
      <c r="C363" s="350"/>
      <c r="D363" s="349"/>
      <c r="E363" s="337"/>
      <c r="F363" s="164"/>
      <c r="G363" s="337"/>
      <c r="H363" s="164"/>
      <c r="I363" s="343"/>
      <c r="J363" s="183"/>
      <c r="K363" s="343"/>
      <c r="L363" s="183"/>
      <c r="M363" s="343"/>
      <c r="N363" s="183"/>
      <c r="O363" s="337"/>
      <c r="P363" s="164"/>
      <c r="Q363" s="359"/>
      <c r="R363" s="220"/>
      <c r="S363" s="17"/>
      <c r="T363" s="17"/>
      <c r="U363" s="17"/>
      <c r="V363" s="17"/>
      <c r="W363" s="17"/>
      <c r="X363" s="17"/>
      <c r="Y363" s="17"/>
      <c r="Z363" s="17"/>
    </row>
    <row r="364">
      <c r="A364" s="337"/>
      <c r="B364" s="164"/>
      <c r="C364" s="350"/>
      <c r="D364" s="349"/>
      <c r="E364" s="337"/>
      <c r="F364" s="164"/>
      <c r="G364" s="337"/>
      <c r="H364" s="164"/>
      <c r="I364" s="343"/>
      <c r="J364" s="183"/>
      <c r="K364" s="343"/>
      <c r="L364" s="183"/>
      <c r="M364" s="343"/>
      <c r="N364" s="183"/>
      <c r="O364" s="337"/>
      <c r="P364" s="164"/>
      <c r="Q364" s="359"/>
      <c r="R364" s="220"/>
      <c r="S364" s="17"/>
      <c r="T364" s="17"/>
      <c r="U364" s="17"/>
      <c r="V364" s="17"/>
      <c r="W364" s="17"/>
      <c r="X364" s="17"/>
      <c r="Y364" s="17"/>
      <c r="Z364" s="17"/>
    </row>
    <row r="365">
      <c r="A365" s="337"/>
      <c r="B365" s="164"/>
      <c r="C365" s="350"/>
      <c r="D365" s="349"/>
      <c r="E365" s="337"/>
      <c r="F365" s="164"/>
      <c r="G365" s="337"/>
      <c r="H365" s="164"/>
      <c r="I365" s="343"/>
      <c r="J365" s="183"/>
      <c r="K365" s="343"/>
      <c r="L365" s="183"/>
      <c r="M365" s="343"/>
      <c r="N365" s="183"/>
      <c r="O365" s="337"/>
      <c r="P365" s="164"/>
      <c r="Q365" s="359"/>
      <c r="R365" s="220"/>
      <c r="S365" s="17"/>
      <c r="T365" s="17"/>
      <c r="U365" s="17"/>
      <c r="V365" s="17"/>
      <c r="W365" s="17"/>
      <c r="X365" s="17"/>
      <c r="Y365" s="17"/>
      <c r="Z365" s="17"/>
    </row>
    <row r="366">
      <c r="A366" s="337"/>
      <c r="B366" s="164"/>
      <c r="C366" s="350"/>
      <c r="D366" s="349"/>
      <c r="E366" s="337"/>
      <c r="F366" s="164"/>
      <c r="G366" s="337"/>
      <c r="H366" s="164"/>
      <c r="I366" s="343"/>
      <c r="J366" s="183"/>
      <c r="K366" s="343"/>
      <c r="L366" s="183"/>
      <c r="M366" s="343"/>
      <c r="N366" s="183"/>
      <c r="O366" s="337"/>
      <c r="P366" s="164"/>
      <c r="Q366" s="359"/>
      <c r="R366" s="220"/>
      <c r="S366" s="17"/>
      <c r="T366" s="17"/>
      <c r="U366" s="17"/>
      <c r="V366" s="17"/>
      <c r="W366" s="17"/>
      <c r="X366" s="17"/>
      <c r="Y366" s="17"/>
      <c r="Z366" s="17"/>
    </row>
    <row r="367">
      <c r="A367" s="337"/>
      <c r="B367" s="164"/>
      <c r="C367" s="350"/>
      <c r="D367" s="349"/>
      <c r="E367" s="337"/>
      <c r="F367" s="164"/>
      <c r="G367" s="337"/>
      <c r="H367" s="164"/>
      <c r="I367" s="343"/>
      <c r="J367" s="183"/>
      <c r="K367" s="343"/>
      <c r="L367" s="183"/>
      <c r="M367" s="343"/>
      <c r="N367" s="183"/>
      <c r="O367" s="337"/>
      <c r="P367" s="164"/>
      <c r="Q367" s="359"/>
      <c r="R367" s="220"/>
      <c r="S367" s="17"/>
      <c r="T367" s="17"/>
      <c r="U367" s="17"/>
      <c r="V367" s="17"/>
      <c r="W367" s="17"/>
      <c r="X367" s="17"/>
      <c r="Y367" s="17"/>
      <c r="Z367" s="17"/>
    </row>
    <row r="368">
      <c r="A368" s="337"/>
      <c r="B368" s="164"/>
      <c r="C368" s="350"/>
      <c r="D368" s="349"/>
      <c r="E368" s="337"/>
      <c r="F368" s="164"/>
      <c r="G368" s="337"/>
      <c r="H368" s="164"/>
      <c r="I368" s="343"/>
      <c r="J368" s="183"/>
      <c r="K368" s="343"/>
      <c r="L368" s="183"/>
      <c r="M368" s="343"/>
      <c r="N368" s="183"/>
      <c r="O368" s="337"/>
      <c r="P368" s="164"/>
      <c r="Q368" s="359"/>
      <c r="R368" s="220"/>
      <c r="S368" s="17"/>
      <c r="T368" s="17"/>
      <c r="U368" s="17"/>
      <c r="V368" s="17"/>
      <c r="W368" s="17"/>
      <c r="X368" s="17"/>
      <c r="Y368" s="17"/>
      <c r="Z368" s="17"/>
    </row>
    <row r="369">
      <c r="A369" s="337"/>
      <c r="B369" s="164"/>
      <c r="C369" s="350"/>
      <c r="D369" s="349"/>
      <c r="E369" s="337"/>
      <c r="F369" s="164"/>
      <c r="G369" s="337"/>
      <c r="H369" s="164"/>
      <c r="I369" s="343"/>
      <c r="J369" s="183"/>
      <c r="K369" s="343"/>
      <c r="L369" s="183"/>
      <c r="M369" s="343"/>
      <c r="N369" s="183"/>
      <c r="O369" s="337"/>
      <c r="P369" s="164"/>
      <c r="Q369" s="359"/>
      <c r="R369" s="220"/>
      <c r="S369" s="17"/>
      <c r="T369" s="17"/>
      <c r="U369" s="17"/>
      <c r="V369" s="17"/>
      <c r="W369" s="17"/>
      <c r="X369" s="17"/>
      <c r="Y369" s="17"/>
      <c r="Z369" s="17"/>
    </row>
    <row r="370">
      <c r="A370" s="337"/>
      <c r="B370" s="164"/>
      <c r="C370" s="350"/>
      <c r="D370" s="349"/>
      <c r="E370" s="337"/>
      <c r="F370" s="164"/>
      <c r="G370" s="337"/>
      <c r="H370" s="164"/>
      <c r="I370" s="343"/>
      <c r="J370" s="183"/>
      <c r="K370" s="343"/>
      <c r="L370" s="183"/>
      <c r="M370" s="343"/>
      <c r="N370" s="183"/>
      <c r="O370" s="337"/>
      <c r="P370" s="164"/>
      <c r="Q370" s="359"/>
      <c r="R370" s="220"/>
      <c r="S370" s="17"/>
      <c r="T370" s="17"/>
      <c r="U370" s="17"/>
      <c r="V370" s="17"/>
      <c r="W370" s="17"/>
      <c r="X370" s="17"/>
      <c r="Y370" s="17"/>
      <c r="Z370" s="17"/>
    </row>
    <row r="371">
      <c r="A371" s="337"/>
      <c r="B371" s="164"/>
      <c r="C371" s="350"/>
      <c r="D371" s="349"/>
      <c r="E371" s="337"/>
      <c r="F371" s="164"/>
      <c r="G371" s="337"/>
      <c r="H371" s="164"/>
      <c r="I371" s="343"/>
      <c r="J371" s="183"/>
      <c r="K371" s="343"/>
      <c r="L371" s="183"/>
      <c r="M371" s="343"/>
      <c r="N371" s="183"/>
      <c r="O371" s="337"/>
      <c r="P371" s="164"/>
      <c r="Q371" s="359"/>
      <c r="R371" s="220"/>
      <c r="S371" s="17"/>
      <c r="T371" s="17"/>
      <c r="U371" s="17"/>
      <c r="V371" s="17"/>
      <c r="W371" s="17"/>
      <c r="X371" s="17"/>
      <c r="Y371" s="17"/>
      <c r="Z371" s="17"/>
    </row>
    <row r="372">
      <c r="A372" s="337"/>
      <c r="B372" s="164"/>
      <c r="C372" s="350"/>
      <c r="D372" s="349"/>
      <c r="E372" s="337"/>
      <c r="F372" s="164"/>
      <c r="G372" s="337"/>
      <c r="H372" s="164"/>
      <c r="I372" s="343"/>
      <c r="J372" s="183"/>
      <c r="K372" s="343"/>
      <c r="L372" s="183"/>
      <c r="M372" s="343"/>
      <c r="N372" s="183"/>
      <c r="O372" s="337"/>
      <c r="P372" s="164"/>
      <c r="Q372" s="359"/>
      <c r="R372" s="220"/>
      <c r="S372" s="17"/>
      <c r="T372" s="17"/>
      <c r="U372" s="17"/>
      <c r="V372" s="17"/>
      <c r="W372" s="17"/>
      <c r="X372" s="17"/>
      <c r="Y372" s="17"/>
      <c r="Z372" s="17"/>
    </row>
    <row r="373">
      <c r="A373" s="337"/>
      <c r="B373" s="164"/>
      <c r="C373" s="350"/>
      <c r="D373" s="349"/>
      <c r="E373" s="337"/>
      <c r="F373" s="164"/>
      <c r="G373" s="337"/>
      <c r="H373" s="164"/>
      <c r="I373" s="343"/>
      <c r="J373" s="183"/>
      <c r="K373" s="343"/>
      <c r="L373" s="183"/>
      <c r="M373" s="343"/>
      <c r="N373" s="183"/>
      <c r="O373" s="337"/>
      <c r="P373" s="164"/>
      <c r="Q373" s="359"/>
      <c r="R373" s="220"/>
      <c r="S373" s="17"/>
      <c r="T373" s="17"/>
      <c r="U373" s="17"/>
      <c r="V373" s="17"/>
      <c r="W373" s="17"/>
      <c r="X373" s="17"/>
      <c r="Y373" s="17"/>
      <c r="Z373" s="17"/>
    </row>
    <row r="374">
      <c r="A374" s="337"/>
      <c r="B374" s="164"/>
      <c r="C374" s="350"/>
      <c r="D374" s="349"/>
      <c r="E374" s="337"/>
      <c r="F374" s="164"/>
      <c r="G374" s="337"/>
      <c r="H374" s="164"/>
      <c r="I374" s="343"/>
      <c r="J374" s="183"/>
      <c r="K374" s="343"/>
      <c r="L374" s="183"/>
      <c r="M374" s="343"/>
      <c r="N374" s="183"/>
      <c r="O374" s="337"/>
      <c r="P374" s="164"/>
      <c r="Q374" s="359"/>
      <c r="R374" s="220"/>
      <c r="S374" s="17"/>
      <c r="T374" s="17"/>
      <c r="U374" s="17"/>
      <c r="V374" s="17"/>
      <c r="W374" s="17"/>
      <c r="X374" s="17"/>
      <c r="Y374" s="17"/>
      <c r="Z374" s="17"/>
    </row>
    <row r="375">
      <c r="A375" s="337"/>
      <c r="B375" s="164"/>
      <c r="C375" s="350"/>
      <c r="D375" s="349"/>
      <c r="E375" s="337"/>
      <c r="F375" s="164"/>
      <c r="G375" s="337"/>
      <c r="H375" s="164"/>
      <c r="I375" s="343"/>
      <c r="J375" s="183"/>
      <c r="K375" s="343"/>
      <c r="L375" s="183"/>
      <c r="M375" s="343"/>
      <c r="N375" s="183"/>
      <c r="O375" s="337"/>
      <c r="P375" s="164"/>
      <c r="Q375" s="359"/>
      <c r="R375" s="220"/>
      <c r="S375" s="17"/>
      <c r="T375" s="17"/>
      <c r="U375" s="17"/>
      <c r="V375" s="17"/>
      <c r="W375" s="17"/>
      <c r="X375" s="17"/>
      <c r="Y375" s="17"/>
      <c r="Z375" s="17"/>
    </row>
    <row r="376">
      <c r="A376" s="337"/>
      <c r="B376" s="164"/>
      <c r="C376" s="350"/>
      <c r="D376" s="349"/>
      <c r="E376" s="337"/>
      <c r="F376" s="164"/>
      <c r="G376" s="337"/>
      <c r="H376" s="164"/>
      <c r="I376" s="343"/>
      <c r="J376" s="183"/>
      <c r="K376" s="343"/>
      <c r="L376" s="183"/>
      <c r="M376" s="343"/>
      <c r="N376" s="183"/>
      <c r="O376" s="337"/>
      <c r="P376" s="164"/>
      <c r="Q376" s="359"/>
      <c r="R376" s="220"/>
      <c r="S376" s="17"/>
      <c r="T376" s="17"/>
      <c r="U376" s="17"/>
      <c r="V376" s="17"/>
      <c r="W376" s="17"/>
      <c r="X376" s="17"/>
      <c r="Y376" s="17"/>
      <c r="Z376" s="17"/>
    </row>
    <row r="377">
      <c r="A377" s="337"/>
      <c r="B377" s="164"/>
      <c r="C377" s="350"/>
      <c r="D377" s="349"/>
      <c r="E377" s="337"/>
      <c r="F377" s="164"/>
      <c r="G377" s="337"/>
      <c r="H377" s="164"/>
      <c r="I377" s="343"/>
      <c r="J377" s="183"/>
      <c r="K377" s="343"/>
      <c r="L377" s="183"/>
      <c r="M377" s="343"/>
      <c r="N377" s="183"/>
      <c r="O377" s="337"/>
      <c r="P377" s="164"/>
      <c r="Q377" s="359"/>
      <c r="R377" s="220"/>
      <c r="S377" s="17"/>
      <c r="T377" s="17"/>
      <c r="U377" s="17"/>
      <c r="V377" s="17"/>
      <c r="W377" s="17"/>
      <c r="X377" s="17"/>
      <c r="Y377" s="17"/>
      <c r="Z377" s="17"/>
    </row>
    <row r="378">
      <c r="A378" s="337"/>
      <c r="B378" s="164"/>
      <c r="C378" s="350"/>
      <c r="D378" s="349"/>
      <c r="E378" s="337"/>
      <c r="F378" s="164"/>
      <c r="G378" s="337"/>
      <c r="H378" s="164"/>
      <c r="I378" s="343"/>
      <c r="J378" s="183"/>
      <c r="K378" s="343"/>
      <c r="L378" s="183"/>
      <c r="M378" s="343"/>
      <c r="N378" s="183"/>
      <c r="O378" s="337"/>
      <c r="P378" s="164"/>
      <c r="Q378" s="359"/>
      <c r="R378" s="220"/>
      <c r="S378" s="17"/>
      <c r="T378" s="17"/>
      <c r="U378" s="17"/>
      <c r="V378" s="17"/>
      <c r="W378" s="17"/>
      <c r="X378" s="17"/>
      <c r="Y378" s="17"/>
      <c r="Z378" s="17"/>
    </row>
    <row r="379">
      <c r="A379" s="337"/>
      <c r="B379" s="164"/>
      <c r="C379" s="350"/>
      <c r="D379" s="349"/>
      <c r="E379" s="337"/>
      <c r="F379" s="164"/>
      <c r="G379" s="337"/>
      <c r="H379" s="164"/>
      <c r="I379" s="343"/>
      <c r="J379" s="183"/>
      <c r="K379" s="343"/>
      <c r="L379" s="183"/>
      <c r="M379" s="343"/>
      <c r="N379" s="183"/>
      <c r="O379" s="337"/>
      <c r="P379" s="164"/>
      <c r="Q379" s="359"/>
      <c r="R379" s="220"/>
      <c r="S379" s="17"/>
      <c r="T379" s="17"/>
      <c r="U379" s="17"/>
      <c r="V379" s="17"/>
      <c r="W379" s="17"/>
      <c r="X379" s="17"/>
      <c r="Y379" s="17"/>
      <c r="Z379" s="17"/>
    </row>
    <row r="380">
      <c r="A380" s="337"/>
      <c r="B380" s="164"/>
      <c r="C380" s="350"/>
      <c r="D380" s="349"/>
      <c r="E380" s="337"/>
      <c r="F380" s="164"/>
      <c r="G380" s="337"/>
      <c r="H380" s="164"/>
      <c r="I380" s="343"/>
      <c r="J380" s="183"/>
      <c r="K380" s="343"/>
      <c r="L380" s="183"/>
      <c r="M380" s="343"/>
      <c r="N380" s="183"/>
      <c r="O380" s="337"/>
      <c r="P380" s="164"/>
      <c r="Q380" s="359"/>
      <c r="R380" s="220"/>
      <c r="S380" s="17"/>
      <c r="T380" s="17"/>
      <c r="U380" s="17"/>
      <c r="V380" s="17"/>
      <c r="W380" s="17"/>
      <c r="X380" s="17"/>
      <c r="Y380" s="17"/>
      <c r="Z380" s="17"/>
    </row>
    <row r="381">
      <c r="A381" s="337"/>
      <c r="B381" s="164"/>
      <c r="C381" s="350"/>
      <c r="D381" s="349"/>
      <c r="E381" s="337"/>
      <c r="F381" s="164"/>
      <c r="G381" s="337"/>
      <c r="H381" s="164"/>
      <c r="I381" s="343"/>
      <c r="J381" s="183"/>
      <c r="K381" s="343"/>
      <c r="L381" s="183"/>
      <c r="M381" s="343"/>
      <c r="N381" s="183"/>
      <c r="O381" s="337"/>
      <c r="P381" s="164"/>
      <c r="Q381" s="359"/>
      <c r="R381" s="220"/>
      <c r="S381" s="17"/>
      <c r="T381" s="17"/>
      <c r="U381" s="17"/>
      <c r="V381" s="17"/>
      <c r="W381" s="17"/>
      <c r="X381" s="17"/>
      <c r="Y381" s="17"/>
      <c r="Z381" s="17"/>
    </row>
    <row r="382">
      <c r="A382" s="337"/>
      <c r="B382" s="164"/>
      <c r="C382" s="350"/>
      <c r="D382" s="349"/>
      <c r="E382" s="337"/>
      <c r="F382" s="164"/>
      <c r="G382" s="337"/>
      <c r="H382" s="164"/>
      <c r="I382" s="343"/>
      <c r="J382" s="183"/>
      <c r="K382" s="343"/>
      <c r="L382" s="183"/>
      <c r="M382" s="343"/>
      <c r="N382" s="183"/>
      <c r="O382" s="337"/>
      <c r="P382" s="164"/>
      <c r="Q382" s="359"/>
      <c r="R382" s="220"/>
      <c r="S382" s="17"/>
      <c r="T382" s="17"/>
      <c r="U382" s="17"/>
      <c r="V382" s="17"/>
      <c r="W382" s="17"/>
      <c r="X382" s="17"/>
      <c r="Y382" s="17"/>
      <c r="Z382" s="17"/>
    </row>
    <row r="383">
      <c r="A383" s="337"/>
      <c r="B383" s="164"/>
      <c r="C383" s="350"/>
      <c r="D383" s="349"/>
      <c r="E383" s="337"/>
      <c r="F383" s="164"/>
      <c r="G383" s="337"/>
      <c r="H383" s="164"/>
      <c r="I383" s="343"/>
      <c r="J383" s="183"/>
      <c r="K383" s="343"/>
      <c r="L383" s="183"/>
      <c r="M383" s="343"/>
      <c r="N383" s="183"/>
      <c r="O383" s="337"/>
      <c r="P383" s="164"/>
      <c r="Q383" s="359"/>
      <c r="R383" s="220"/>
      <c r="S383" s="17"/>
      <c r="T383" s="17"/>
      <c r="U383" s="17"/>
      <c r="V383" s="17"/>
      <c r="W383" s="17"/>
      <c r="X383" s="17"/>
      <c r="Y383" s="17"/>
      <c r="Z383" s="17"/>
    </row>
    <row r="384">
      <c r="A384" s="337"/>
      <c r="B384" s="164"/>
      <c r="C384" s="350"/>
      <c r="D384" s="349"/>
      <c r="E384" s="337"/>
      <c r="F384" s="164"/>
      <c r="G384" s="337"/>
      <c r="H384" s="164"/>
      <c r="I384" s="343"/>
      <c r="J384" s="183"/>
      <c r="K384" s="343"/>
      <c r="L384" s="183"/>
      <c r="M384" s="343"/>
      <c r="N384" s="183"/>
      <c r="O384" s="337"/>
      <c r="P384" s="164"/>
      <c r="Q384" s="359"/>
      <c r="R384" s="220"/>
      <c r="S384" s="17"/>
      <c r="T384" s="17"/>
      <c r="U384" s="17"/>
      <c r="V384" s="17"/>
      <c r="W384" s="17"/>
      <c r="X384" s="17"/>
      <c r="Y384" s="17"/>
      <c r="Z384" s="17"/>
    </row>
    <row r="385">
      <c r="A385" s="337"/>
      <c r="B385" s="164"/>
      <c r="C385" s="350"/>
      <c r="D385" s="349"/>
      <c r="E385" s="337"/>
      <c r="F385" s="164"/>
      <c r="G385" s="337"/>
      <c r="H385" s="164"/>
      <c r="I385" s="343"/>
      <c r="J385" s="183"/>
      <c r="K385" s="343"/>
      <c r="L385" s="183"/>
      <c r="M385" s="343"/>
      <c r="N385" s="183"/>
      <c r="O385" s="337"/>
      <c r="P385" s="164"/>
      <c r="Q385" s="359"/>
      <c r="R385" s="220"/>
      <c r="S385" s="17"/>
      <c r="T385" s="17"/>
      <c r="U385" s="17"/>
      <c r="V385" s="17"/>
      <c r="W385" s="17"/>
      <c r="X385" s="17"/>
      <c r="Y385" s="17"/>
      <c r="Z385" s="17"/>
    </row>
    <row r="386">
      <c r="A386" s="337"/>
      <c r="B386" s="164"/>
      <c r="C386" s="350"/>
      <c r="D386" s="349"/>
      <c r="E386" s="337"/>
      <c r="F386" s="164"/>
      <c r="G386" s="337"/>
      <c r="H386" s="164"/>
      <c r="I386" s="343"/>
      <c r="J386" s="183"/>
      <c r="K386" s="343"/>
      <c r="L386" s="183"/>
      <c r="M386" s="343"/>
      <c r="N386" s="183"/>
      <c r="O386" s="337"/>
      <c r="P386" s="164"/>
      <c r="Q386" s="359"/>
      <c r="R386" s="220"/>
      <c r="S386" s="17"/>
      <c r="T386" s="17"/>
      <c r="U386" s="17"/>
      <c r="V386" s="17"/>
      <c r="W386" s="17"/>
      <c r="X386" s="17"/>
      <c r="Y386" s="17"/>
      <c r="Z386" s="17"/>
    </row>
    <row r="387">
      <c r="A387" s="337"/>
      <c r="B387" s="164"/>
      <c r="C387" s="350"/>
      <c r="D387" s="349"/>
      <c r="E387" s="337"/>
      <c r="F387" s="164"/>
      <c r="G387" s="337"/>
      <c r="H387" s="164"/>
      <c r="I387" s="343"/>
      <c r="J387" s="183"/>
      <c r="K387" s="343"/>
      <c r="L387" s="183"/>
      <c r="M387" s="343"/>
      <c r="N387" s="183"/>
      <c r="O387" s="337"/>
      <c r="P387" s="164"/>
      <c r="Q387" s="359"/>
      <c r="R387" s="220"/>
      <c r="S387" s="17"/>
      <c r="T387" s="17"/>
      <c r="U387" s="17"/>
      <c r="V387" s="17"/>
      <c r="W387" s="17"/>
      <c r="X387" s="17"/>
      <c r="Y387" s="17"/>
      <c r="Z387" s="17"/>
    </row>
    <row r="388">
      <c r="A388" s="337"/>
      <c r="B388" s="164"/>
      <c r="C388" s="350"/>
      <c r="D388" s="349"/>
      <c r="E388" s="337"/>
      <c r="F388" s="164"/>
      <c r="G388" s="337"/>
      <c r="H388" s="164"/>
      <c r="I388" s="343"/>
      <c r="J388" s="183"/>
      <c r="K388" s="343"/>
      <c r="L388" s="183"/>
      <c r="M388" s="343"/>
      <c r="N388" s="183"/>
      <c r="O388" s="337"/>
      <c r="P388" s="164"/>
      <c r="Q388" s="359"/>
      <c r="R388" s="220"/>
      <c r="S388" s="17"/>
      <c r="T388" s="17"/>
      <c r="U388" s="17"/>
      <c r="V388" s="17"/>
      <c r="W388" s="17"/>
      <c r="X388" s="17"/>
      <c r="Y388" s="17"/>
      <c r="Z388" s="17"/>
    </row>
    <row r="389">
      <c r="A389" s="337"/>
      <c r="B389" s="164"/>
      <c r="C389" s="350"/>
      <c r="D389" s="349"/>
      <c r="E389" s="337"/>
      <c r="F389" s="164"/>
      <c r="G389" s="337"/>
      <c r="H389" s="164"/>
      <c r="I389" s="343"/>
      <c r="J389" s="183"/>
      <c r="K389" s="343"/>
      <c r="L389" s="183"/>
      <c r="M389" s="343"/>
      <c r="N389" s="183"/>
      <c r="O389" s="337"/>
      <c r="P389" s="164"/>
      <c r="Q389" s="359"/>
      <c r="R389" s="220"/>
      <c r="S389" s="17"/>
      <c r="T389" s="17"/>
      <c r="U389" s="17"/>
      <c r="V389" s="17"/>
      <c r="W389" s="17"/>
      <c r="X389" s="17"/>
      <c r="Y389" s="17"/>
      <c r="Z389" s="17"/>
    </row>
    <row r="390">
      <c r="A390" s="337"/>
      <c r="B390" s="164"/>
      <c r="C390" s="350"/>
      <c r="D390" s="349"/>
      <c r="E390" s="337"/>
      <c r="F390" s="164"/>
      <c r="G390" s="337"/>
      <c r="H390" s="164"/>
      <c r="I390" s="343"/>
      <c r="J390" s="183"/>
      <c r="K390" s="343"/>
      <c r="L390" s="183"/>
      <c r="M390" s="343"/>
      <c r="N390" s="183"/>
      <c r="O390" s="337"/>
      <c r="P390" s="164"/>
      <c r="Q390" s="359"/>
      <c r="R390" s="220"/>
      <c r="S390" s="17"/>
      <c r="T390" s="17"/>
      <c r="U390" s="17"/>
      <c r="V390" s="17"/>
      <c r="W390" s="17"/>
      <c r="X390" s="17"/>
      <c r="Y390" s="17"/>
      <c r="Z390" s="17"/>
    </row>
    <row r="391">
      <c r="A391" s="337"/>
      <c r="B391" s="164"/>
      <c r="C391" s="350"/>
      <c r="D391" s="349"/>
      <c r="E391" s="337"/>
      <c r="F391" s="164"/>
      <c r="G391" s="337"/>
      <c r="H391" s="164"/>
      <c r="I391" s="343"/>
      <c r="J391" s="183"/>
      <c r="K391" s="343"/>
      <c r="L391" s="183"/>
      <c r="M391" s="343"/>
      <c r="N391" s="183"/>
      <c r="O391" s="337"/>
      <c r="P391" s="164"/>
      <c r="Q391" s="359"/>
      <c r="R391" s="220"/>
      <c r="S391" s="17"/>
      <c r="T391" s="17"/>
      <c r="U391" s="17"/>
      <c r="V391" s="17"/>
      <c r="W391" s="17"/>
      <c r="X391" s="17"/>
      <c r="Y391" s="17"/>
      <c r="Z391" s="17"/>
    </row>
    <row r="392">
      <c r="A392" s="337"/>
      <c r="B392" s="164"/>
      <c r="C392" s="350"/>
      <c r="D392" s="349"/>
      <c r="E392" s="337"/>
      <c r="F392" s="164"/>
      <c r="G392" s="337"/>
      <c r="H392" s="164"/>
      <c r="I392" s="343"/>
      <c r="J392" s="183"/>
      <c r="K392" s="343"/>
      <c r="L392" s="183"/>
      <c r="M392" s="343"/>
      <c r="N392" s="183"/>
      <c r="O392" s="337"/>
      <c r="P392" s="164"/>
      <c r="Q392" s="359"/>
      <c r="R392" s="220"/>
      <c r="S392" s="17"/>
      <c r="T392" s="17"/>
      <c r="U392" s="17"/>
      <c r="V392" s="17"/>
      <c r="W392" s="17"/>
      <c r="X392" s="17"/>
      <c r="Y392" s="17"/>
      <c r="Z392" s="17"/>
    </row>
    <row r="393">
      <c r="A393" s="337"/>
      <c r="B393" s="164"/>
      <c r="C393" s="350"/>
      <c r="D393" s="349"/>
      <c r="E393" s="337"/>
      <c r="F393" s="164"/>
      <c r="G393" s="337"/>
      <c r="H393" s="164"/>
      <c r="I393" s="343"/>
      <c r="J393" s="183"/>
      <c r="K393" s="343"/>
      <c r="L393" s="183"/>
      <c r="M393" s="343"/>
      <c r="N393" s="183"/>
      <c r="O393" s="337"/>
      <c r="P393" s="164"/>
      <c r="Q393" s="359"/>
      <c r="R393" s="220"/>
      <c r="S393" s="17"/>
      <c r="T393" s="17"/>
      <c r="U393" s="17"/>
      <c r="V393" s="17"/>
      <c r="W393" s="17"/>
      <c r="X393" s="17"/>
      <c r="Y393" s="17"/>
      <c r="Z393" s="17"/>
    </row>
    <row r="394">
      <c r="A394" s="337"/>
      <c r="B394" s="164"/>
      <c r="C394" s="350"/>
      <c r="D394" s="349"/>
      <c r="E394" s="337"/>
      <c r="F394" s="164"/>
      <c r="G394" s="337"/>
      <c r="H394" s="164"/>
      <c r="I394" s="343"/>
      <c r="J394" s="183"/>
      <c r="K394" s="343"/>
      <c r="L394" s="183"/>
      <c r="M394" s="343"/>
      <c r="N394" s="183"/>
      <c r="O394" s="337"/>
      <c r="P394" s="164"/>
      <c r="Q394" s="359"/>
      <c r="R394" s="220"/>
      <c r="S394" s="17"/>
      <c r="T394" s="17"/>
      <c r="U394" s="17"/>
      <c r="V394" s="17"/>
      <c r="W394" s="17"/>
      <c r="X394" s="17"/>
      <c r="Y394" s="17"/>
      <c r="Z394" s="17"/>
    </row>
    <row r="395">
      <c r="A395" s="337"/>
      <c r="B395" s="164"/>
      <c r="C395" s="350"/>
      <c r="D395" s="349"/>
      <c r="E395" s="337"/>
      <c r="F395" s="164"/>
      <c r="G395" s="337"/>
      <c r="H395" s="164"/>
      <c r="I395" s="343"/>
      <c r="J395" s="183"/>
      <c r="K395" s="343"/>
      <c r="L395" s="183"/>
      <c r="M395" s="343"/>
      <c r="N395" s="183"/>
      <c r="O395" s="337"/>
      <c r="P395" s="164"/>
      <c r="Q395" s="359"/>
      <c r="R395" s="220"/>
      <c r="S395" s="17"/>
      <c r="T395" s="17"/>
      <c r="U395" s="17"/>
      <c r="V395" s="17"/>
      <c r="W395" s="17"/>
      <c r="X395" s="17"/>
      <c r="Y395" s="17"/>
      <c r="Z395" s="17"/>
    </row>
    <row r="396">
      <c r="A396" s="337"/>
      <c r="B396" s="164"/>
      <c r="C396" s="350"/>
      <c r="D396" s="349"/>
      <c r="E396" s="337"/>
      <c r="F396" s="164"/>
      <c r="G396" s="337"/>
      <c r="H396" s="164"/>
      <c r="I396" s="343"/>
      <c r="J396" s="183"/>
      <c r="K396" s="343"/>
      <c r="L396" s="183"/>
      <c r="M396" s="343"/>
      <c r="N396" s="183"/>
      <c r="O396" s="337"/>
      <c r="P396" s="164"/>
      <c r="Q396" s="359"/>
      <c r="R396" s="220"/>
      <c r="S396" s="17"/>
      <c r="T396" s="17"/>
      <c r="U396" s="17"/>
      <c r="V396" s="17"/>
      <c r="W396" s="17"/>
      <c r="X396" s="17"/>
      <c r="Y396" s="17"/>
      <c r="Z396" s="17"/>
    </row>
    <row r="397">
      <c r="A397" s="337"/>
      <c r="B397" s="164"/>
      <c r="C397" s="350"/>
      <c r="D397" s="349"/>
      <c r="E397" s="337"/>
      <c r="F397" s="164"/>
      <c r="G397" s="337"/>
      <c r="H397" s="164"/>
      <c r="I397" s="343"/>
      <c r="J397" s="183"/>
      <c r="K397" s="343"/>
      <c r="L397" s="183"/>
      <c r="M397" s="343"/>
      <c r="N397" s="183"/>
      <c r="O397" s="337"/>
      <c r="P397" s="164"/>
      <c r="Q397" s="359"/>
      <c r="R397" s="220"/>
      <c r="S397" s="17"/>
      <c r="T397" s="17"/>
      <c r="U397" s="17"/>
      <c r="V397" s="17"/>
      <c r="W397" s="17"/>
      <c r="X397" s="17"/>
      <c r="Y397" s="17"/>
      <c r="Z397" s="17"/>
    </row>
    <row r="398">
      <c r="A398" s="337"/>
      <c r="B398" s="164"/>
      <c r="C398" s="350"/>
      <c r="D398" s="349"/>
      <c r="E398" s="337"/>
      <c r="F398" s="164"/>
      <c r="G398" s="337"/>
      <c r="H398" s="164"/>
      <c r="I398" s="343"/>
      <c r="J398" s="183"/>
      <c r="K398" s="343"/>
      <c r="L398" s="183"/>
      <c r="M398" s="343"/>
      <c r="N398" s="183"/>
      <c r="O398" s="337"/>
      <c r="P398" s="164"/>
      <c r="Q398" s="359"/>
      <c r="R398" s="220"/>
      <c r="S398" s="17"/>
      <c r="T398" s="17"/>
      <c r="U398" s="17"/>
      <c r="V398" s="17"/>
      <c r="W398" s="17"/>
      <c r="X398" s="17"/>
      <c r="Y398" s="17"/>
      <c r="Z398" s="17"/>
    </row>
    <row r="399">
      <c r="A399" s="337"/>
      <c r="B399" s="164"/>
      <c r="C399" s="350"/>
      <c r="D399" s="349"/>
      <c r="E399" s="337"/>
      <c r="F399" s="164"/>
      <c r="G399" s="337"/>
      <c r="H399" s="164"/>
      <c r="I399" s="343"/>
      <c r="J399" s="183"/>
      <c r="K399" s="343"/>
      <c r="L399" s="183"/>
      <c r="M399" s="343"/>
      <c r="N399" s="183"/>
      <c r="O399" s="337"/>
      <c r="P399" s="164"/>
      <c r="Q399" s="359"/>
      <c r="R399" s="220"/>
      <c r="S399" s="17"/>
      <c r="T399" s="17"/>
      <c r="U399" s="17"/>
      <c r="V399" s="17"/>
      <c r="W399" s="17"/>
      <c r="X399" s="17"/>
      <c r="Y399" s="17"/>
      <c r="Z399" s="17"/>
    </row>
    <row r="400">
      <c r="A400" s="337"/>
      <c r="B400" s="164"/>
      <c r="C400" s="350"/>
      <c r="D400" s="349"/>
      <c r="E400" s="337"/>
      <c r="F400" s="164"/>
      <c r="G400" s="337"/>
      <c r="H400" s="164"/>
      <c r="I400" s="343"/>
      <c r="J400" s="183"/>
      <c r="K400" s="343"/>
      <c r="L400" s="183"/>
      <c r="M400" s="343"/>
      <c r="N400" s="183"/>
      <c r="O400" s="337"/>
      <c r="P400" s="164"/>
      <c r="Q400" s="359"/>
      <c r="R400" s="220"/>
      <c r="S400" s="17"/>
      <c r="T400" s="17"/>
      <c r="U400" s="17"/>
      <c r="V400" s="17"/>
      <c r="W400" s="17"/>
      <c r="X400" s="17"/>
      <c r="Y400" s="17"/>
      <c r="Z400" s="17"/>
    </row>
    <row r="401">
      <c r="A401" s="337"/>
      <c r="B401" s="164"/>
      <c r="C401" s="350"/>
      <c r="D401" s="349"/>
      <c r="E401" s="337"/>
      <c r="F401" s="164"/>
      <c r="G401" s="337"/>
      <c r="H401" s="164"/>
      <c r="I401" s="343"/>
      <c r="J401" s="183"/>
      <c r="K401" s="343"/>
      <c r="L401" s="183"/>
      <c r="M401" s="343"/>
      <c r="N401" s="183"/>
      <c r="O401" s="337"/>
      <c r="P401" s="164"/>
      <c r="Q401" s="359"/>
      <c r="R401" s="220"/>
      <c r="S401" s="17"/>
      <c r="T401" s="17"/>
      <c r="U401" s="17"/>
      <c r="V401" s="17"/>
      <c r="W401" s="17"/>
      <c r="X401" s="17"/>
      <c r="Y401" s="17"/>
      <c r="Z401" s="17"/>
    </row>
    <row r="402">
      <c r="A402" s="337"/>
      <c r="B402" s="164"/>
      <c r="C402" s="350"/>
      <c r="D402" s="349"/>
      <c r="E402" s="337"/>
      <c r="F402" s="164"/>
      <c r="G402" s="337"/>
      <c r="H402" s="164"/>
      <c r="I402" s="343"/>
      <c r="J402" s="183"/>
      <c r="K402" s="343"/>
      <c r="L402" s="183"/>
      <c r="M402" s="343"/>
      <c r="N402" s="183"/>
      <c r="O402" s="337"/>
      <c r="P402" s="164"/>
      <c r="Q402" s="359"/>
      <c r="R402" s="220"/>
      <c r="S402" s="17"/>
      <c r="T402" s="17"/>
      <c r="U402" s="17"/>
      <c r="V402" s="17"/>
      <c r="W402" s="17"/>
      <c r="X402" s="17"/>
      <c r="Y402" s="17"/>
      <c r="Z402" s="17"/>
    </row>
    <row r="403">
      <c r="A403" s="337"/>
      <c r="B403" s="164"/>
      <c r="C403" s="350"/>
      <c r="D403" s="349"/>
      <c r="E403" s="337"/>
      <c r="F403" s="164"/>
      <c r="G403" s="337"/>
      <c r="H403" s="164"/>
      <c r="I403" s="343"/>
      <c r="J403" s="183"/>
      <c r="K403" s="343"/>
      <c r="L403" s="183"/>
      <c r="M403" s="343"/>
      <c r="N403" s="183"/>
      <c r="O403" s="337"/>
      <c r="P403" s="164"/>
      <c r="Q403" s="359"/>
      <c r="R403" s="220"/>
      <c r="S403" s="17"/>
      <c r="T403" s="17"/>
      <c r="U403" s="17"/>
      <c r="V403" s="17"/>
      <c r="W403" s="17"/>
      <c r="X403" s="17"/>
      <c r="Y403" s="17"/>
      <c r="Z403" s="17"/>
    </row>
    <row r="404">
      <c r="A404" s="337"/>
      <c r="B404" s="164"/>
      <c r="C404" s="350"/>
      <c r="D404" s="349"/>
      <c r="E404" s="337"/>
      <c r="F404" s="164"/>
      <c r="G404" s="337"/>
      <c r="H404" s="164"/>
      <c r="I404" s="343"/>
      <c r="J404" s="183"/>
      <c r="K404" s="343"/>
      <c r="L404" s="183"/>
      <c r="M404" s="343"/>
      <c r="N404" s="183"/>
      <c r="O404" s="337"/>
      <c r="P404" s="164"/>
      <c r="Q404" s="359"/>
      <c r="R404" s="220"/>
      <c r="S404" s="17"/>
      <c r="T404" s="17"/>
      <c r="U404" s="17"/>
      <c r="V404" s="17"/>
      <c r="W404" s="17"/>
      <c r="X404" s="17"/>
      <c r="Y404" s="17"/>
      <c r="Z404" s="17"/>
    </row>
    <row r="405">
      <c r="A405" s="337"/>
      <c r="B405" s="164"/>
      <c r="C405" s="350"/>
      <c r="D405" s="349"/>
      <c r="E405" s="337"/>
      <c r="F405" s="164"/>
      <c r="G405" s="337"/>
      <c r="H405" s="164"/>
      <c r="I405" s="343"/>
      <c r="J405" s="183"/>
      <c r="K405" s="343"/>
      <c r="L405" s="183"/>
      <c r="M405" s="343"/>
      <c r="N405" s="183"/>
      <c r="O405" s="337"/>
      <c r="P405" s="164"/>
      <c r="Q405" s="359"/>
      <c r="R405" s="220"/>
      <c r="S405" s="17"/>
      <c r="T405" s="17"/>
      <c r="U405" s="17"/>
      <c r="V405" s="17"/>
      <c r="W405" s="17"/>
      <c r="X405" s="17"/>
      <c r="Y405" s="17"/>
      <c r="Z405" s="17"/>
    </row>
    <row r="406">
      <c r="A406" s="337"/>
      <c r="B406" s="164"/>
      <c r="C406" s="350"/>
      <c r="D406" s="349"/>
      <c r="E406" s="337"/>
      <c r="F406" s="164"/>
      <c r="G406" s="337"/>
      <c r="H406" s="164"/>
      <c r="I406" s="343"/>
      <c r="J406" s="183"/>
      <c r="K406" s="343"/>
      <c r="L406" s="183"/>
      <c r="M406" s="343"/>
      <c r="N406" s="183"/>
      <c r="O406" s="337"/>
      <c r="P406" s="164"/>
      <c r="Q406" s="359"/>
      <c r="R406" s="220"/>
      <c r="S406" s="17"/>
      <c r="T406" s="17"/>
      <c r="U406" s="17"/>
      <c r="V406" s="17"/>
      <c r="W406" s="17"/>
      <c r="X406" s="17"/>
      <c r="Y406" s="17"/>
      <c r="Z406" s="17"/>
    </row>
    <row r="407">
      <c r="A407" s="337"/>
      <c r="B407" s="164"/>
      <c r="C407" s="350"/>
      <c r="D407" s="349"/>
      <c r="E407" s="337"/>
      <c r="F407" s="164"/>
      <c r="G407" s="337"/>
      <c r="H407" s="164"/>
      <c r="I407" s="343"/>
      <c r="J407" s="183"/>
      <c r="K407" s="343"/>
      <c r="L407" s="183"/>
      <c r="M407" s="343"/>
      <c r="N407" s="183"/>
      <c r="O407" s="337"/>
      <c r="P407" s="164"/>
      <c r="Q407" s="359"/>
      <c r="R407" s="220"/>
      <c r="S407" s="17"/>
      <c r="T407" s="17"/>
      <c r="U407" s="17"/>
      <c r="V407" s="17"/>
      <c r="W407" s="17"/>
      <c r="X407" s="17"/>
      <c r="Y407" s="17"/>
      <c r="Z407" s="17"/>
    </row>
    <row r="408">
      <c r="A408" s="337"/>
      <c r="B408" s="164"/>
      <c r="C408" s="350"/>
      <c r="D408" s="349"/>
      <c r="E408" s="337"/>
      <c r="F408" s="164"/>
      <c r="G408" s="337"/>
      <c r="H408" s="164"/>
      <c r="I408" s="343"/>
      <c r="J408" s="183"/>
      <c r="K408" s="343"/>
      <c r="L408" s="183"/>
      <c r="M408" s="343"/>
      <c r="N408" s="183"/>
      <c r="O408" s="337"/>
      <c r="P408" s="164"/>
      <c r="Q408" s="359"/>
      <c r="R408" s="220"/>
      <c r="S408" s="17"/>
      <c r="T408" s="17"/>
      <c r="U408" s="17"/>
      <c r="V408" s="17"/>
      <c r="W408" s="17"/>
      <c r="X408" s="17"/>
      <c r="Y408" s="17"/>
      <c r="Z408" s="17"/>
    </row>
    <row r="409">
      <c r="A409" s="337"/>
      <c r="B409" s="164"/>
      <c r="C409" s="350"/>
      <c r="D409" s="349"/>
      <c r="E409" s="337"/>
      <c r="F409" s="164"/>
      <c r="G409" s="337"/>
      <c r="H409" s="164"/>
      <c r="I409" s="343"/>
      <c r="J409" s="183"/>
      <c r="K409" s="343"/>
      <c r="L409" s="183"/>
      <c r="M409" s="343"/>
      <c r="N409" s="183"/>
      <c r="O409" s="337"/>
      <c r="P409" s="164"/>
      <c r="Q409" s="359"/>
      <c r="R409" s="220"/>
      <c r="S409" s="17"/>
      <c r="T409" s="17"/>
      <c r="U409" s="17"/>
      <c r="V409" s="17"/>
      <c r="W409" s="17"/>
      <c r="X409" s="17"/>
      <c r="Y409" s="17"/>
      <c r="Z409" s="17"/>
    </row>
    <row r="410">
      <c r="A410" s="337"/>
      <c r="B410" s="164"/>
      <c r="C410" s="350"/>
      <c r="D410" s="349"/>
      <c r="E410" s="337"/>
      <c r="F410" s="164"/>
      <c r="G410" s="337"/>
      <c r="H410" s="164"/>
      <c r="I410" s="343"/>
      <c r="J410" s="183"/>
      <c r="K410" s="343"/>
      <c r="L410" s="183"/>
      <c r="M410" s="343"/>
      <c r="N410" s="183"/>
      <c r="O410" s="337"/>
      <c r="P410" s="164"/>
      <c r="Q410" s="359"/>
      <c r="R410" s="220"/>
      <c r="S410" s="17"/>
      <c r="T410" s="17"/>
      <c r="U410" s="17"/>
      <c r="V410" s="17"/>
      <c r="W410" s="17"/>
      <c r="X410" s="17"/>
      <c r="Y410" s="17"/>
      <c r="Z410" s="17"/>
    </row>
    <row r="411">
      <c r="A411" s="337"/>
      <c r="B411" s="164"/>
      <c r="C411" s="350"/>
      <c r="D411" s="349"/>
      <c r="E411" s="337"/>
      <c r="F411" s="164"/>
      <c r="G411" s="337"/>
      <c r="H411" s="164"/>
      <c r="I411" s="343"/>
      <c r="J411" s="183"/>
      <c r="K411" s="343"/>
      <c r="L411" s="183"/>
      <c r="M411" s="343"/>
      <c r="N411" s="183"/>
      <c r="O411" s="337"/>
      <c r="P411" s="164"/>
      <c r="Q411" s="359"/>
      <c r="R411" s="220"/>
      <c r="S411" s="17"/>
      <c r="T411" s="17"/>
      <c r="U411" s="17"/>
      <c r="V411" s="17"/>
      <c r="W411" s="17"/>
      <c r="X411" s="17"/>
      <c r="Y411" s="17"/>
      <c r="Z411" s="17"/>
    </row>
    <row r="412">
      <c r="A412" s="337"/>
      <c r="B412" s="164"/>
      <c r="C412" s="350"/>
      <c r="D412" s="349"/>
      <c r="E412" s="337"/>
      <c r="F412" s="164"/>
      <c r="G412" s="337"/>
      <c r="H412" s="164"/>
      <c r="I412" s="343"/>
      <c r="J412" s="183"/>
      <c r="K412" s="343"/>
      <c r="L412" s="183"/>
      <c r="M412" s="343"/>
      <c r="N412" s="183"/>
      <c r="O412" s="337"/>
      <c r="P412" s="164"/>
      <c r="Q412" s="359"/>
      <c r="R412" s="220"/>
      <c r="S412" s="17"/>
      <c r="T412" s="17"/>
      <c r="U412" s="17"/>
      <c r="V412" s="17"/>
      <c r="W412" s="17"/>
      <c r="X412" s="17"/>
      <c r="Y412" s="17"/>
      <c r="Z412" s="17"/>
    </row>
    <row r="413">
      <c r="A413" s="337"/>
      <c r="B413" s="164"/>
      <c r="C413" s="350"/>
      <c r="D413" s="349"/>
      <c r="E413" s="337"/>
      <c r="F413" s="164"/>
      <c r="G413" s="337"/>
      <c r="H413" s="164"/>
      <c r="I413" s="343"/>
      <c r="J413" s="183"/>
      <c r="K413" s="343"/>
      <c r="L413" s="183"/>
      <c r="M413" s="343"/>
      <c r="N413" s="183"/>
      <c r="O413" s="337"/>
      <c r="P413" s="164"/>
      <c r="Q413" s="359"/>
      <c r="R413" s="220"/>
      <c r="S413" s="17"/>
      <c r="T413" s="17"/>
      <c r="U413" s="17"/>
      <c r="V413" s="17"/>
      <c r="W413" s="17"/>
      <c r="X413" s="17"/>
      <c r="Y413" s="17"/>
      <c r="Z413" s="17"/>
    </row>
    <row r="414">
      <c r="A414" s="337"/>
      <c r="B414" s="164"/>
      <c r="C414" s="350"/>
      <c r="D414" s="349"/>
      <c r="E414" s="337"/>
      <c r="F414" s="164"/>
      <c r="G414" s="337"/>
      <c r="H414" s="164"/>
      <c r="I414" s="343"/>
      <c r="J414" s="183"/>
      <c r="K414" s="343"/>
      <c r="L414" s="183"/>
      <c r="M414" s="343"/>
      <c r="N414" s="183"/>
      <c r="O414" s="337"/>
      <c r="P414" s="164"/>
      <c r="Q414" s="359"/>
      <c r="R414" s="220"/>
      <c r="S414" s="17"/>
      <c r="T414" s="17"/>
      <c r="U414" s="17"/>
      <c r="V414" s="17"/>
      <c r="W414" s="17"/>
      <c r="X414" s="17"/>
      <c r="Y414" s="17"/>
      <c r="Z414" s="17"/>
    </row>
    <row r="415">
      <c r="A415" s="337"/>
      <c r="B415" s="164"/>
      <c r="C415" s="350"/>
      <c r="D415" s="349"/>
      <c r="E415" s="337"/>
      <c r="F415" s="164"/>
      <c r="G415" s="337"/>
      <c r="H415" s="164"/>
      <c r="I415" s="343"/>
      <c r="J415" s="183"/>
      <c r="K415" s="343"/>
      <c r="L415" s="183"/>
      <c r="M415" s="343"/>
      <c r="N415" s="183"/>
      <c r="O415" s="337"/>
      <c r="P415" s="164"/>
      <c r="Q415" s="359"/>
      <c r="R415" s="220"/>
      <c r="S415" s="17"/>
      <c r="T415" s="17"/>
      <c r="U415" s="17"/>
      <c r="V415" s="17"/>
      <c r="W415" s="17"/>
      <c r="X415" s="17"/>
      <c r="Y415" s="17"/>
      <c r="Z415" s="17"/>
    </row>
    <row r="416">
      <c r="A416" s="337"/>
      <c r="B416" s="164"/>
      <c r="C416" s="350"/>
      <c r="D416" s="349"/>
      <c r="E416" s="337"/>
      <c r="F416" s="164"/>
      <c r="G416" s="337"/>
      <c r="H416" s="164"/>
      <c r="I416" s="343"/>
      <c r="J416" s="183"/>
      <c r="K416" s="343"/>
      <c r="L416" s="183"/>
      <c r="M416" s="343"/>
      <c r="N416" s="183"/>
      <c r="O416" s="337"/>
      <c r="P416" s="164"/>
      <c r="Q416" s="359"/>
      <c r="R416" s="220"/>
      <c r="S416" s="17"/>
      <c r="T416" s="17"/>
      <c r="U416" s="17"/>
      <c r="V416" s="17"/>
      <c r="W416" s="17"/>
      <c r="X416" s="17"/>
      <c r="Y416" s="17"/>
      <c r="Z416" s="17"/>
    </row>
    <row r="417">
      <c r="A417" s="337"/>
      <c r="B417" s="164"/>
      <c r="C417" s="350"/>
      <c r="D417" s="349"/>
      <c r="E417" s="337"/>
      <c r="F417" s="164"/>
      <c r="G417" s="337"/>
      <c r="H417" s="164"/>
      <c r="I417" s="343"/>
      <c r="J417" s="183"/>
      <c r="K417" s="343"/>
      <c r="L417" s="183"/>
      <c r="M417" s="343"/>
      <c r="N417" s="183"/>
      <c r="O417" s="337"/>
      <c r="P417" s="164"/>
      <c r="Q417" s="359"/>
      <c r="R417" s="220"/>
      <c r="S417" s="17"/>
      <c r="T417" s="17"/>
      <c r="U417" s="17"/>
      <c r="V417" s="17"/>
      <c r="W417" s="17"/>
      <c r="X417" s="17"/>
      <c r="Y417" s="17"/>
      <c r="Z417" s="17"/>
    </row>
    <row r="418">
      <c r="A418" s="337"/>
      <c r="B418" s="164"/>
      <c r="C418" s="350"/>
      <c r="D418" s="349"/>
      <c r="E418" s="337"/>
      <c r="F418" s="164"/>
      <c r="G418" s="337"/>
      <c r="H418" s="164"/>
      <c r="I418" s="343"/>
      <c r="J418" s="183"/>
      <c r="K418" s="343"/>
      <c r="L418" s="183"/>
      <c r="M418" s="343"/>
      <c r="N418" s="183"/>
      <c r="O418" s="337"/>
      <c r="P418" s="164"/>
      <c r="Q418" s="359"/>
      <c r="R418" s="220"/>
      <c r="S418" s="17"/>
      <c r="T418" s="17"/>
      <c r="U418" s="17"/>
      <c r="V418" s="17"/>
      <c r="W418" s="17"/>
      <c r="X418" s="17"/>
      <c r="Y418" s="17"/>
      <c r="Z418" s="17"/>
    </row>
    <row r="419">
      <c r="A419" s="337"/>
      <c r="B419" s="164"/>
      <c r="C419" s="350"/>
      <c r="D419" s="349"/>
      <c r="E419" s="337"/>
      <c r="F419" s="164"/>
      <c r="G419" s="337"/>
      <c r="H419" s="164"/>
      <c r="I419" s="343"/>
      <c r="J419" s="183"/>
      <c r="K419" s="343"/>
      <c r="L419" s="183"/>
      <c r="M419" s="343"/>
      <c r="N419" s="183"/>
      <c r="O419" s="337"/>
      <c r="P419" s="164"/>
      <c r="Q419" s="359"/>
      <c r="R419" s="220"/>
      <c r="S419" s="17"/>
      <c r="T419" s="17"/>
      <c r="U419" s="17"/>
      <c r="V419" s="17"/>
      <c r="W419" s="17"/>
      <c r="X419" s="17"/>
      <c r="Y419" s="17"/>
      <c r="Z419" s="17"/>
    </row>
    <row r="420">
      <c r="A420" s="337"/>
      <c r="B420" s="164"/>
      <c r="C420" s="350"/>
      <c r="D420" s="349"/>
      <c r="E420" s="337"/>
      <c r="F420" s="164"/>
      <c r="G420" s="337"/>
      <c r="H420" s="164"/>
      <c r="I420" s="343"/>
      <c r="J420" s="183"/>
      <c r="K420" s="343"/>
      <c r="L420" s="183"/>
      <c r="M420" s="343"/>
      <c r="N420" s="183"/>
      <c r="O420" s="337"/>
      <c r="P420" s="164"/>
      <c r="Q420" s="359"/>
      <c r="R420" s="220"/>
      <c r="S420" s="17"/>
      <c r="T420" s="17"/>
      <c r="U420" s="17"/>
      <c r="V420" s="17"/>
      <c r="W420" s="17"/>
      <c r="X420" s="17"/>
      <c r="Y420" s="17"/>
      <c r="Z420" s="17"/>
    </row>
    <row r="421">
      <c r="A421" s="337"/>
      <c r="B421" s="164"/>
      <c r="C421" s="350"/>
      <c r="D421" s="349"/>
      <c r="E421" s="337"/>
      <c r="F421" s="164"/>
      <c r="G421" s="337"/>
      <c r="H421" s="164"/>
      <c r="I421" s="343"/>
      <c r="J421" s="183"/>
      <c r="K421" s="343"/>
      <c r="L421" s="183"/>
      <c r="M421" s="343"/>
      <c r="N421" s="183"/>
      <c r="O421" s="337"/>
      <c r="P421" s="164"/>
      <c r="Q421" s="359"/>
      <c r="R421" s="220"/>
      <c r="S421" s="17"/>
      <c r="T421" s="17"/>
      <c r="U421" s="17"/>
      <c r="V421" s="17"/>
      <c r="W421" s="17"/>
      <c r="X421" s="17"/>
      <c r="Y421" s="17"/>
      <c r="Z421" s="17"/>
    </row>
    <row r="422">
      <c r="A422" s="337"/>
      <c r="B422" s="164"/>
      <c r="C422" s="350"/>
      <c r="D422" s="349"/>
      <c r="E422" s="337"/>
      <c r="F422" s="164"/>
      <c r="G422" s="337"/>
      <c r="H422" s="164"/>
      <c r="I422" s="343"/>
      <c r="J422" s="183"/>
      <c r="K422" s="343"/>
      <c r="L422" s="183"/>
      <c r="M422" s="343"/>
      <c r="N422" s="183"/>
      <c r="O422" s="337"/>
      <c r="P422" s="164"/>
      <c r="Q422" s="359"/>
      <c r="R422" s="220"/>
      <c r="S422" s="17"/>
      <c r="T422" s="17"/>
      <c r="U422" s="17"/>
      <c r="V422" s="17"/>
      <c r="W422" s="17"/>
      <c r="X422" s="17"/>
      <c r="Y422" s="17"/>
      <c r="Z422" s="17"/>
    </row>
    <row r="423">
      <c r="A423" s="337"/>
      <c r="B423" s="164"/>
      <c r="C423" s="350"/>
      <c r="D423" s="349"/>
      <c r="E423" s="337"/>
      <c r="F423" s="164"/>
      <c r="G423" s="337"/>
      <c r="H423" s="164"/>
      <c r="I423" s="343"/>
      <c r="J423" s="183"/>
      <c r="K423" s="343"/>
      <c r="L423" s="183"/>
      <c r="M423" s="343"/>
      <c r="N423" s="183"/>
      <c r="O423" s="337"/>
      <c r="P423" s="164"/>
      <c r="Q423" s="359"/>
      <c r="R423" s="220"/>
      <c r="S423" s="17"/>
      <c r="T423" s="17"/>
      <c r="U423" s="17"/>
      <c r="V423" s="17"/>
      <c r="W423" s="17"/>
      <c r="X423" s="17"/>
      <c r="Y423" s="17"/>
      <c r="Z423" s="17"/>
    </row>
    <row r="424">
      <c r="A424" s="337"/>
      <c r="B424" s="164"/>
      <c r="C424" s="350"/>
      <c r="D424" s="349"/>
      <c r="E424" s="337"/>
      <c r="F424" s="164"/>
      <c r="G424" s="337"/>
      <c r="H424" s="164"/>
      <c r="I424" s="343"/>
      <c r="J424" s="183"/>
      <c r="K424" s="343"/>
      <c r="L424" s="183"/>
      <c r="M424" s="343"/>
      <c r="N424" s="183"/>
      <c r="O424" s="337"/>
      <c r="P424" s="164"/>
      <c r="Q424" s="359"/>
      <c r="R424" s="220"/>
      <c r="S424" s="17"/>
      <c r="T424" s="17"/>
      <c r="U424" s="17"/>
      <c r="V424" s="17"/>
      <c r="W424" s="17"/>
      <c r="X424" s="17"/>
      <c r="Y424" s="17"/>
      <c r="Z424" s="17"/>
    </row>
    <row r="425">
      <c r="A425" s="337"/>
      <c r="B425" s="164"/>
      <c r="C425" s="350"/>
      <c r="D425" s="349"/>
      <c r="E425" s="337"/>
      <c r="F425" s="164"/>
      <c r="G425" s="337"/>
      <c r="H425" s="164"/>
      <c r="I425" s="343"/>
      <c r="J425" s="183"/>
      <c r="K425" s="343"/>
      <c r="L425" s="183"/>
      <c r="M425" s="343"/>
      <c r="N425" s="183"/>
      <c r="O425" s="337"/>
      <c r="P425" s="164"/>
      <c r="Q425" s="359"/>
      <c r="R425" s="220"/>
      <c r="S425" s="17"/>
      <c r="T425" s="17"/>
      <c r="U425" s="17"/>
      <c r="V425" s="17"/>
      <c r="W425" s="17"/>
      <c r="X425" s="17"/>
      <c r="Y425" s="17"/>
      <c r="Z425" s="17"/>
    </row>
    <row r="426">
      <c r="A426" s="337"/>
      <c r="B426" s="164"/>
      <c r="C426" s="350"/>
      <c r="D426" s="349"/>
      <c r="E426" s="337"/>
      <c r="F426" s="164"/>
      <c r="G426" s="337"/>
      <c r="H426" s="164"/>
      <c r="I426" s="343"/>
      <c r="J426" s="183"/>
      <c r="K426" s="343"/>
      <c r="L426" s="183"/>
      <c r="M426" s="343"/>
      <c r="N426" s="183"/>
      <c r="O426" s="337"/>
      <c r="P426" s="164"/>
      <c r="Q426" s="359"/>
      <c r="R426" s="220"/>
      <c r="S426" s="17"/>
      <c r="T426" s="17"/>
      <c r="U426" s="17"/>
      <c r="V426" s="17"/>
      <c r="W426" s="17"/>
      <c r="X426" s="17"/>
      <c r="Y426" s="17"/>
      <c r="Z426" s="17"/>
    </row>
    <row r="427">
      <c r="A427" s="337"/>
      <c r="B427" s="164"/>
      <c r="C427" s="350"/>
      <c r="D427" s="349"/>
      <c r="E427" s="337"/>
      <c r="F427" s="164"/>
      <c r="G427" s="337"/>
      <c r="H427" s="164"/>
      <c r="I427" s="343"/>
      <c r="J427" s="183"/>
      <c r="K427" s="343"/>
      <c r="L427" s="183"/>
      <c r="M427" s="343"/>
      <c r="N427" s="183"/>
      <c r="O427" s="337"/>
      <c r="P427" s="164"/>
      <c r="Q427" s="359"/>
      <c r="R427" s="220"/>
      <c r="S427" s="17"/>
      <c r="T427" s="17"/>
      <c r="U427" s="17"/>
      <c r="V427" s="17"/>
      <c r="W427" s="17"/>
      <c r="X427" s="17"/>
      <c r="Y427" s="17"/>
      <c r="Z427" s="17"/>
    </row>
    <row r="428">
      <c r="A428" s="337"/>
      <c r="B428" s="164"/>
      <c r="C428" s="350"/>
      <c r="D428" s="349"/>
      <c r="E428" s="337"/>
      <c r="F428" s="164"/>
      <c r="G428" s="337"/>
      <c r="H428" s="164"/>
      <c r="I428" s="343"/>
      <c r="J428" s="183"/>
      <c r="K428" s="343"/>
      <c r="L428" s="183"/>
      <c r="M428" s="343"/>
      <c r="N428" s="183"/>
      <c r="O428" s="337"/>
      <c r="P428" s="164"/>
      <c r="Q428" s="359"/>
      <c r="R428" s="220"/>
      <c r="S428" s="17"/>
      <c r="T428" s="17"/>
      <c r="U428" s="17"/>
      <c r="V428" s="17"/>
      <c r="W428" s="17"/>
      <c r="X428" s="17"/>
      <c r="Y428" s="17"/>
      <c r="Z428" s="17"/>
    </row>
    <row r="429">
      <c r="A429" s="337"/>
      <c r="B429" s="164"/>
      <c r="C429" s="350"/>
      <c r="D429" s="349"/>
      <c r="E429" s="337"/>
      <c r="F429" s="164"/>
      <c r="G429" s="337"/>
      <c r="H429" s="164"/>
      <c r="I429" s="343"/>
      <c r="J429" s="183"/>
      <c r="K429" s="343"/>
      <c r="L429" s="183"/>
      <c r="M429" s="343"/>
      <c r="N429" s="183"/>
      <c r="O429" s="337"/>
      <c r="P429" s="164"/>
      <c r="Q429" s="359"/>
      <c r="R429" s="220"/>
      <c r="S429" s="17"/>
      <c r="T429" s="17"/>
      <c r="U429" s="17"/>
      <c r="V429" s="17"/>
      <c r="W429" s="17"/>
      <c r="X429" s="17"/>
      <c r="Y429" s="17"/>
      <c r="Z429" s="17"/>
    </row>
    <row r="430">
      <c r="A430" s="337"/>
      <c r="B430" s="164"/>
      <c r="C430" s="350"/>
      <c r="D430" s="349"/>
      <c r="E430" s="337"/>
      <c r="F430" s="164"/>
      <c r="G430" s="337"/>
      <c r="H430" s="164"/>
      <c r="I430" s="343"/>
      <c r="J430" s="183"/>
      <c r="K430" s="343"/>
      <c r="L430" s="183"/>
      <c r="M430" s="343"/>
      <c r="N430" s="183"/>
      <c r="O430" s="337"/>
      <c r="P430" s="164"/>
      <c r="Q430" s="359"/>
      <c r="R430" s="220"/>
      <c r="S430" s="17"/>
      <c r="T430" s="17"/>
      <c r="U430" s="17"/>
      <c r="V430" s="17"/>
      <c r="W430" s="17"/>
      <c r="X430" s="17"/>
      <c r="Y430" s="17"/>
      <c r="Z430" s="17"/>
    </row>
    <row r="431">
      <c r="A431" s="337"/>
      <c r="B431" s="164"/>
      <c r="C431" s="350"/>
      <c r="D431" s="349"/>
      <c r="E431" s="337"/>
      <c r="F431" s="164"/>
      <c r="G431" s="337"/>
      <c r="H431" s="164"/>
      <c r="I431" s="343"/>
      <c r="J431" s="183"/>
      <c r="K431" s="343"/>
      <c r="L431" s="183"/>
      <c r="M431" s="343"/>
      <c r="N431" s="183"/>
      <c r="O431" s="337"/>
      <c r="P431" s="164"/>
      <c r="Q431" s="359"/>
      <c r="R431" s="220"/>
      <c r="S431" s="17"/>
      <c r="T431" s="17"/>
      <c r="U431" s="17"/>
      <c r="V431" s="17"/>
      <c r="W431" s="17"/>
      <c r="X431" s="17"/>
      <c r="Y431" s="17"/>
      <c r="Z431" s="17"/>
    </row>
    <row r="432">
      <c r="A432" s="337"/>
      <c r="B432" s="164"/>
      <c r="C432" s="350"/>
      <c r="D432" s="349"/>
      <c r="E432" s="337"/>
      <c r="F432" s="164"/>
      <c r="G432" s="337"/>
      <c r="H432" s="164"/>
      <c r="I432" s="343"/>
      <c r="J432" s="183"/>
      <c r="K432" s="343"/>
      <c r="L432" s="183"/>
      <c r="M432" s="343"/>
      <c r="N432" s="183"/>
      <c r="O432" s="337"/>
      <c r="P432" s="164"/>
      <c r="Q432" s="359"/>
      <c r="R432" s="220"/>
      <c r="S432" s="17"/>
      <c r="T432" s="17"/>
      <c r="U432" s="17"/>
      <c r="V432" s="17"/>
      <c r="W432" s="17"/>
      <c r="X432" s="17"/>
      <c r="Y432" s="17"/>
      <c r="Z432" s="17"/>
    </row>
    <row r="433">
      <c r="A433" s="337"/>
      <c r="B433" s="164"/>
      <c r="C433" s="350"/>
      <c r="D433" s="349"/>
      <c r="E433" s="337"/>
      <c r="F433" s="164"/>
      <c r="G433" s="337"/>
      <c r="H433" s="164"/>
      <c r="I433" s="343"/>
      <c r="J433" s="183"/>
      <c r="K433" s="343"/>
      <c r="L433" s="183"/>
      <c r="M433" s="343"/>
      <c r="N433" s="183"/>
      <c r="O433" s="337"/>
      <c r="P433" s="164"/>
      <c r="Q433" s="359"/>
      <c r="R433" s="220"/>
      <c r="S433" s="17"/>
      <c r="T433" s="17"/>
      <c r="U433" s="17"/>
      <c r="V433" s="17"/>
      <c r="W433" s="17"/>
      <c r="X433" s="17"/>
      <c r="Y433" s="17"/>
      <c r="Z433" s="17"/>
    </row>
    <row r="434">
      <c r="A434" s="337"/>
      <c r="B434" s="164"/>
      <c r="C434" s="350"/>
      <c r="D434" s="349"/>
      <c r="E434" s="337"/>
      <c r="F434" s="164"/>
      <c r="G434" s="337"/>
      <c r="H434" s="164"/>
      <c r="I434" s="343"/>
      <c r="J434" s="183"/>
      <c r="K434" s="343"/>
      <c r="L434" s="183"/>
      <c r="M434" s="343"/>
      <c r="N434" s="183"/>
      <c r="O434" s="337"/>
      <c r="P434" s="164"/>
      <c r="Q434" s="359"/>
      <c r="R434" s="220"/>
      <c r="S434" s="17"/>
      <c r="T434" s="17"/>
      <c r="U434" s="17"/>
      <c r="V434" s="17"/>
      <c r="W434" s="17"/>
      <c r="X434" s="17"/>
      <c r="Y434" s="17"/>
      <c r="Z434" s="17"/>
    </row>
    <row r="435">
      <c r="A435" s="337"/>
      <c r="B435" s="164"/>
      <c r="C435" s="350"/>
      <c r="D435" s="349"/>
      <c r="E435" s="337"/>
      <c r="F435" s="164"/>
      <c r="G435" s="337"/>
      <c r="H435" s="164"/>
      <c r="I435" s="343"/>
      <c r="J435" s="183"/>
      <c r="K435" s="343"/>
      <c r="L435" s="183"/>
      <c r="M435" s="343"/>
      <c r="N435" s="183"/>
      <c r="O435" s="337"/>
      <c r="P435" s="164"/>
      <c r="Q435" s="359"/>
      <c r="R435" s="220"/>
      <c r="S435" s="17"/>
      <c r="T435" s="17"/>
      <c r="U435" s="17"/>
      <c r="V435" s="17"/>
      <c r="W435" s="17"/>
      <c r="X435" s="17"/>
      <c r="Y435" s="17"/>
      <c r="Z435" s="17"/>
    </row>
    <row r="436">
      <c r="A436" s="337"/>
      <c r="B436" s="164"/>
      <c r="C436" s="350"/>
      <c r="D436" s="349"/>
      <c r="E436" s="337"/>
      <c r="F436" s="164"/>
      <c r="G436" s="337"/>
      <c r="H436" s="164"/>
      <c r="I436" s="343"/>
      <c r="J436" s="183"/>
      <c r="K436" s="343"/>
      <c r="L436" s="183"/>
      <c r="M436" s="343"/>
      <c r="N436" s="183"/>
      <c r="O436" s="337"/>
      <c r="P436" s="164"/>
      <c r="Q436" s="359"/>
      <c r="R436" s="220"/>
      <c r="S436" s="17"/>
      <c r="T436" s="17"/>
      <c r="U436" s="17"/>
      <c r="V436" s="17"/>
      <c r="W436" s="17"/>
      <c r="X436" s="17"/>
      <c r="Y436" s="17"/>
      <c r="Z436" s="17"/>
    </row>
    <row r="437">
      <c r="A437" s="337"/>
      <c r="B437" s="164"/>
      <c r="C437" s="350"/>
      <c r="D437" s="349"/>
      <c r="E437" s="337"/>
      <c r="F437" s="164"/>
      <c r="G437" s="337"/>
      <c r="H437" s="164"/>
      <c r="I437" s="343"/>
      <c r="J437" s="183"/>
      <c r="K437" s="343"/>
      <c r="L437" s="183"/>
      <c r="M437" s="343"/>
      <c r="N437" s="183"/>
      <c r="O437" s="337"/>
      <c r="P437" s="164"/>
      <c r="Q437" s="359"/>
      <c r="R437" s="220"/>
      <c r="S437" s="17"/>
      <c r="T437" s="17"/>
      <c r="U437" s="17"/>
      <c r="V437" s="17"/>
      <c r="W437" s="17"/>
      <c r="X437" s="17"/>
      <c r="Y437" s="17"/>
      <c r="Z437" s="17"/>
    </row>
    <row r="438">
      <c r="A438" s="337"/>
      <c r="B438" s="164"/>
      <c r="C438" s="350"/>
      <c r="D438" s="349"/>
      <c r="E438" s="337"/>
      <c r="F438" s="164"/>
      <c r="G438" s="337"/>
      <c r="H438" s="164"/>
      <c r="I438" s="343"/>
      <c r="J438" s="183"/>
      <c r="K438" s="343"/>
      <c r="L438" s="183"/>
      <c r="M438" s="343"/>
      <c r="N438" s="183"/>
      <c r="O438" s="337"/>
      <c r="P438" s="164"/>
      <c r="Q438" s="359"/>
      <c r="R438" s="220"/>
      <c r="S438" s="17"/>
      <c r="T438" s="17"/>
      <c r="U438" s="17"/>
      <c r="V438" s="17"/>
      <c r="W438" s="17"/>
      <c r="X438" s="17"/>
      <c r="Y438" s="17"/>
      <c r="Z438" s="17"/>
    </row>
    <row r="439">
      <c r="A439" s="337"/>
      <c r="B439" s="164"/>
      <c r="C439" s="350"/>
      <c r="D439" s="349"/>
      <c r="E439" s="337"/>
      <c r="F439" s="164"/>
      <c r="G439" s="337"/>
      <c r="H439" s="164"/>
      <c r="I439" s="343"/>
      <c r="J439" s="183"/>
      <c r="K439" s="343"/>
      <c r="L439" s="183"/>
      <c r="M439" s="343"/>
      <c r="N439" s="183"/>
      <c r="O439" s="337"/>
      <c r="P439" s="164"/>
      <c r="Q439" s="359"/>
      <c r="R439" s="220"/>
      <c r="S439" s="17"/>
      <c r="T439" s="17"/>
      <c r="U439" s="17"/>
      <c r="V439" s="17"/>
      <c r="W439" s="17"/>
      <c r="X439" s="17"/>
      <c r="Y439" s="17"/>
      <c r="Z439" s="17"/>
    </row>
    <row r="440">
      <c r="A440" s="337"/>
      <c r="B440" s="164"/>
      <c r="C440" s="350"/>
      <c r="D440" s="349"/>
      <c r="E440" s="337"/>
      <c r="F440" s="164"/>
      <c r="G440" s="337"/>
      <c r="H440" s="164"/>
      <c r="I440" s="343"/>
      <c r="J440" s="183"/>
      <c r="K440" s="343"/>
      <c r="L440" s="183"/>
      <c r="M440" s="343"/>
      <c r="N440" s="183"/>
      <c r="O440" s="337"/>
      <c r="P440" s="164"/>
      <c r="Q440" s="359"/>
      <c r="R440" s="220"/>
      <c r="S440" s="17"/>
      <c r="T440" s="17"/>
      <c r="U440" s="17"/>
      <c r="V440" s="17"/>
      <c r="W440" s="17"/>
      <c r="X440" s="17"/>
      <c r="Y440" s="17"/>
      <c r="Z440" s="17"/>
    </row>
    <row r="441">
      <c r="A441" s="337"/>
      <c r="B441" s="164"/>
      <c r="C441" s="350"/>
      <c r="D441" s="349"/>
      <c r="E441" s="337"/>
      <c r="F441" s="164"/>
      <c r="G441" s="337"/>
      <c r="H441" s="164"/>
      <c r="I441" s="343"/>
      <c r="J441" s="183"/>
      <c r="K441" s="343"/>
      <c r="L441" s="183"/>
      <c r="M441" s="343"/>
      <c r="N441" s="183"/>
      <c r="O441" s="337"/>
      <c r="P441" s="164"/>
      <c r="Q441" s="359"/>
      <c r="R441" s="220"/>
      <c r="S441" s="17"/>
      <c r="T441" s="17"/>
      <c r="U441" s="17"/>
      <c r="V441" s="17"/>
      <c r="W441" s="17"/>
      <c r="X441" s="17"/>
      <c r="Y441" s="17"/>
      <c r="Z441" s="17"/>
    </row>
    <row r="442">
      <c r="A442" s="337"/>
      <c r="B442" s="164"/>
      <c r="C442" s="350"/>
      <c r="D442" s="349"/>
      <c r="E442" s="337"/>
      <c r="F442" s="164"/>
      <c r="G442" s="337"/>
      <c r="H442" s="164"/>
      <c r="I442" s="343"/>
      <c r="J442" s="183"/>
      <c r="K442" s="343"/>
      <c r="L442" s="183"/>
      <c r="M442" s="343"/>
      <c r="N442" s="183"/>
      <c r="O442" s="337"/>
      <c r="P442" s="164"/>
      <c r="Q442" s="359"/>
      <c r="R442" s="220"/>
      <c r="S442" s="17"/>
      <c r="T442" s="17"/>
      <c r="U442" s="17"/>
      <c r="V442" s="17"/>
      <c r="W442" s="17"/>
      <c r="X442" s="17"/>
      <c r="Y442" s="17"/>
      <c r="Z442" s="17"/>
    </row>
    <row r="443">
      <c r="A443" s="337"/>
      <c r="B443" s="164"/>
      <c r="C443" s="350"/>
      <c r="D443" s="349"/>
      <c r="E443" s="337"/>
      <c r="F443" s="164"/>
      <c r="G443" s="337"/>
      <c r="H443" s="164"/>
      <c r="I443" s="343"/>
      <c r="J443" s="183"/>
      <c r="K443" s="343"/>
      <c r="L443" s="183"/>
      <c r="M443" s="343"/>
      <c r="N443" s="183"/>
      <c r="O443" s="337"/>
      <c r="P443" s="164"/>
      <c r="Q443" s="359"/>
      <c r="R443" s="220"/>
      <c r="S443" s="17"/>
      <c r="T443" s="17"/>
      <c r="U443" s="17"/>
      <c r="V443" s="17"/>
      <c r="W443" s="17"/>
      <c r="X443" s="17"/>
      <c r="Y443" s="17"/>
      <c r="Z443" s="17"/>
    </row>
    <row r="444">
      <c r="A444" s="337"/>
      <c r="B444" s="164"/>
      <c r="C444" s="350"/>
      <c r="D444" s="349"/>
      <c r="E444" s="337"/>
      <c r="F444" s="164"/>
      <c r="G444" s="337"/>
      <c r="H444" s="164"/>
      <c r="I444" s="343"/>
      <c r="J444" s="183"/>
      <c r="K444" s="343"/>
      <c r="L444" s="183"/>
      <c r="M444" s="343"/>
      <c r="N444" s="183"/>
      <c r="O444" s="337"/>
      <c r="P444" s="164"/>
      <c r="Q444" s="359"/>
      <c r="R444" s="220"/>
      <c r="S444" s="17"/>
      <c r="T444" s="17"/>
      <c r="U444" s="17"/>
      <c r="V444" s="17"/>
      <c r="W444" s="17"/>
      <c r="X444" s="17"/>
      <c r="Y444" s="17"/>
      <c r="Z444" s="17"/>
    </row>
    <row r="445">
      <c r="A445" s="337"/>
      <c r="B445" s="164"/>
      <c r="C445" s="350"/>
      <c r="D445" s="349"/>
      <c r="E445" s="337"/>
      <c r="F445" s="164"/>
      <c r="G445" s="337"/>
      <c r="H445" s="164"/>
      <c r="I445" s="343"/>
      <c r="J445" s="183"/>
      <c r="K445" s="343"/>
      <c r="L445" s="183"/>
      <c r="M445" s="343"/>
      <c r="N445" s="183"/>
      <c r="O445" s="337"/>
      <c r="P445" s="164"/>
      <c r="Q445" s="359"/>
      <c r="R445" s="220"/>
      <c r="S445" s="17"/>
      <c r="T445" s="17"/>
      <c r="U445" s="17"/>
      <c r="V445" s="17"/>
      <c r="W445" s="17"/>
      <c r="X445" s="17"/>
      <c r="Y445" s="17"/>
      <c r="Z445" s="17"/>
    </row>
    <row r="446">
      <c r="A446" s="337"/>
      <c r="B446" s="164"/>
      <c r="C446" s="350"/>
      <c r="D446" s="349"/>
      <c r="E446" s="337"/>
      <c r="F446" s="164"/>
      <c r="G446" s="337"/>
      <c r="H446" s="164"/>
      <c r="I446" s="343"/>
      <c r="J446" s="183"/>
      <c r="K446" s="343"/>
      <c r="L446" s="183"/>
      <c r="M446" s="343"/>
      <c r="N446" s="183"/>
      <c r="O446" s="337"/>
      <c r="P446" s="164"/>
      <c r="Q446" s="359"/>
      <c r="R446" s="220"/>
      <c r="S446" s="17"/>
      <c r="T446" s="17"/>
      <c r="U446" s="17"/>
      <c r="V446" s="17"/>
      <c r="W446" s="17"/>
      <c r="X446" s="17"/>
      <c r="Y446" s="17"/>
      <c r="Z446" s="17"/>
    </row>
    <row r="447">
      <c r="A447" s="337"/>
      <c r="B447" s="164"/>
      <c r="C447" s="350"/>
      <c r="D447" s="349"/>
      <c r="E447" s="337"/>
      <c r="F447" s="164"/>
      <c r="G447" s="337"/>
      <c r="H447" s="164"/>
      <c r="I447" s="343"/>
      <c r="J447" s="183"/>
      <c r="K447" s="343"/>
      <c r="L447" s="183"/>
      <c r="M447" s="343"/>
      <c r="N447" s="183"/>
      <c r="O447" s="337"/>
      <c r="P447" s="164"/>
      <c r="Q447" s="359"/>
      <c r="R447" s="220"/>
      <c r="S447" s="17"/>
      <c r="T447" s="17"/>
      <c r="U447" s="17"/>
      <c r="V447" s="17"/>
      <c r="W447" s="17"/>
      <c r="X447" s="17"/>
      <c r="Y447" s="17"/>
      <c r="Z447" s="17"/>
    </row>
    <row r="448">
      <c r="A448" s="337"/>
      <c r="B448" s="164"/>
      <c r="C448" s="350"/>
      <c r="D448" s="349"/>
      <c r="E448" s="337"/>
      <c r="F448" s="164"/>
      <c r="G448" s="337"/>
      <c r="H448" s="164"/>
      <c r="I448" s="343"/>
      <c r="J448" s="183"/>
      <c r="K448" s="343"/>
      <c r="L448" s="183"/>
      <c r="M448" s="343"/>
      <c r="N448" s="183"/>
      <c r="O448" s="337"/>
      <c r="P448" s="164"/>
      <c r="Q448" s="359"/>
      <c r="R448" s="220"/>
      <c r="S448" s="17"/>
      <c r="T448" s="17"/>
      <c r="U448" s="17"/>
      <c r="V448" s="17"/>
      <c r="W448" s="17"/>
      <c r="X448" s="17"/>
      <c r="Y448" s="17"/>
      <c r="Z448" s="17"/>
    </row>
    <row r="449">
      <c r="A449" s="337"/>
      <c r="B449" s="164"/>
      <c r="C449" s="350"/>
      <c r="D449" s="349"/>
      <c r="E449" s="337"/>
      <c r="F449" s="164"/>
      <c r="G449" s="337"/>
      <c r="H449" s="164"/>
      <c r="I449" s="343"/>
      <c r="J449" s="183"/>
      <c r="K449" s="343"/>
      <c r="L449" s="183"/>
      <c r="M449" s="343"/>
      <c r="N449" s="183"/>
      <c r="O449" s="337"/>
      <c r="P449" s="164"/>
      <c r="Q449" s="359"/>
      <c r="R449" s="220"/>
      <c r="S449" s="17"/>
      <c r="T449" s="17"/>
      <c r="U449" s="17"/>
      <c r="V449" s="17"/>
      <c r="W449" s="17"/>
      <c r="X449" s="17"/>
      <c r="Y449" s="17"/>
      <c r="Z449" s="17"/>
    </row>
    <row r="450">
      <c r="A450" s="337"/>
      <c r="B450" s="164"/>
      <c r="C450" s="350"/>
      <c r="D450" s="349"/>
      <c r="E450" s="337"/>
      <c r="F450" s="164"/>
      <c r="G450" s="337"/>
      <c r="H450" s="164"/>
      <c r="I450" s="343"/>
      <c r="J450" s="183"/>
      <c r="K450" s="343"/>
      <c r="L450" s="183"/>
      <c r="M450" s="343"/>
      <c r="N450" s="183"/>
      <c r="O450" s="337"/>
      <c r="P450" s="164"/>
      <c r="Q450" s="359"/>
      <c r="R450" s="220"/>
      <c r="S450" s="17"/>
      <c r="T450" s="17"/>
      <c r="U450" s="17"/>
      <c r="V450" s="17"/>
      <c r="W450" s="17"/>
      <c r="X450" s="17"/>
      <c r="Y450" s="17"/>
      <c r="Z450" s="17"/>
    </row>
    <row r="451">
      <c r="A451" s="337"/>
      <c r="B451" s="164"/>
      <c r="C451" s="350"/>
      <c r="D451" s="349"/>
      <c r="E451" s="337"/>
      <c r="F451" s="164"/>
      <c r="G451" s="337"/>
      <c r="H451" s="164"/>
      <c r="I451" s="343"/>
      <c r="J451" s="183"/>
      <c r="K451" s="343"/>
      <c r="L451" s="183"/>
      <c r="M451" s="343"/>
      <c r="N451" s="183"/>
      <c r="O451" s="337"/>
      <c r="P451" s="164"/>
      <c r="Q451" s="359"/>
      <c r="R451" s="220"/>
      <c r="S451" s="17"/>
      <c r="T451" s="17"/>
      <c r="U451" s="17"/>
      <c r="V451" s="17"/>
      <c r="W451" s="17"/>
      <c r="X451" s="17"/>
      <c r="Y451" s="17"/>
      <c r="Z451" s="17"/>
    </row>
    <row r="452">
      <c r="A452" s="337"/>
      <c r="B452" s="164"/>
      <c r="C452" s="350"/>
      <c r="D452" s="349"/>
      <c r="E452" s="337"/>
      <c r="F452" s="164"/>
      <c r="G452" s="337"/>
      <c r="H452" s="164"/>
      <c r="I452" s="343"/>
      <c r="J452" s="183"/>
      <c r="K452" s="343"/>
      <c r="L452" s="183"/>
      <c r="M452" s="343"/>
      <c r="N452" s="183"/>
      <c r="O452" s="337"/>
      <c r="P452" s="164"/>
      <c r="Q452" s="359"/>
      <c r="R452" s="220"/>
      <c r="S452" s="17"/>
      <c r="T452" s="17"/>
      <c r="U452" s="17"/>
      <c r="V452" s="17"/>
      <c r="W452" s="17"/>
      <c r="X452" s="17"/>
      <c r="Y452" s="17"/>
      <c r="Z452" s="17"/>
    </row>
    <row r="453">
      <c r="A453" s="337"/>
      <c r="B453" s="164"/>
      <c r="C453" s="350"/>
      <c r="D453" s="349"/>
      <c r="E453" s="337"/>
      <c r="F453" s="164"/>
      <c r="G453" s="337"/>
      <c r="H453" s="164"/>
      <c r="I453" s="343"/>
      <c r="J453" s="183"/>
      <c r="K453" s="343"/>
      <c r="L453" s="183"/>
      <c r="M453" s="343"/>
      <c r="N453" s="183"/>
      <c r="O453" s="337"/>
      <c r="P453" s="164"/>
      <c r="Q453" s="359"/>
      <c r="R453" s="220"/>
      <c r="S453" s="17"/>
      <c r="T453" s="17"/>
      <c r="U453" s="17"/>
      <c r="V453" s="17"/>
      <c r="W453" s="17"/>
      <c r="X453" s="17"/>
      <c r="Y453" s="17"/>
      <c r="Z453" s="17"/>
    </row>
    <row r="454">
      <c r="A454" s="337"/>
      <c r="B454" s="164"/>
      <c r="C454" s="350"/>
      <c r="D454" s="349"/>
      <c r="E454" s="337"/>
      <c r="F454" s="164"/>
      <c r="G454" s="337"/>
      <c r="H454" s="164"/>
      <c r="I454" s="343"/>
      <c r="J454" s="183"/>
      <c r="K454" s="343"/>
      <c r="L454" s="183"/>
      <c r="M454" s="343"/>
      <c r="N454" s="183"/>
      <c r="O454" s="337"/>
      <c r="P454" s="164"/>
      <c r="Q454" s="359"/>
      <c r="R454" s="220"/>
      <c r="S454" s="17"/>
      <c r="T454" s="17"/>
      <c r="U454" s="17"/>
      <c r="V454" s="17"/>
      <c r="W454" s="17"/>
      <c r="X454" s="17"/>
      <c r="Y454" s="17"/>
      <c r="Z454" s="17"/>
    </row>
    <row r="455">
      <c r="A455" s="337"/>
      <c r="B455" s="164"/>
      <c r="C455" s="350"/>
      <c r="D455" s="349"/>
      <c r="E455" s="337"/>
      <c r="F455" s="164"/>
      <c r="G455" s="337"/>
      <c r="H455" s="164"/>
      <c r="I455" s="343"/>
      <c r="J455" s="183"/>
      <c r="K455" s="343"/>
      <c r="L455" s="183"/>
      <c r="M455" s="343"/>
      <c r="N455" s="183"/>
      <c r="O455" s="337"/>
      <c r="P455" s="164"/>
      <c r="Q455" s="359"/>
      <c r="R455" s="220"/>
      <c r="S455" s="17"/>
      <c r="T455" s="17"/>
      <c r="U455" s="17"/>
      <c r="V455" s="17"/>
      <c r="W455" s="17"/>
      <c r="X455" s="17"/>
      <c r="Y455" s="17"/>
      <c r="Z455" s="17"/>
    </row>
    <row r="456">
      <c r="A456" s="337"/>
      <c r="B456" s="164"/>
      <c r="C456" s="350"/>
      <c r="D456" s="349"/>
      <c r="E456" s="337"/>
      <c r="F456" s="164"/>
      <c r="G456" s="337"/>
      <c r="H456" s="164"/>
      <c r="I456" s="343"/>
      <c r="J456" s="183"/>
      <c r="K456" s="343"/>
      <c r="L456" s="183"/>
      <c r="M456" s="343"/>
      <c r="N456" s="183"/>
      <c r="O456" s="337"/>
      <c r="P456" s="164"/>
      <c r="Q456" s="359"/>
      <c r="R456" s="220"/>
      <c r="S456" s="17"/>
      <c r="T456" s="17"/>
      <c r="U456" s="17"/>
      <c r="V456" s="17"/>
      <c r="W456" s="17"/>
      <c r="X456" s="17"/>
      <c r="Y456" s="17"/>
      <c r="Z456" s="17"/>
    </row>
    <row r="457">
      <c r="A457" s="337"/>
      <c r="B457" s="164"/>
      <c r="C457" s="350"/>
      <c r="D457" s="349"/>
      <c r="E457" s="337"/>
      <c r="F457" s="164"/>
      <c r="G457" s="337"/>
      <c r="H457" s="164"/>
      <c r="I457" s="343"/>
      <c r="J457" s="183"/>
      <c r="K457" s="343"/>
      <c r="L457" s="183"/>
      <c r="M457" s="343"/>
      <c r="N457" s="183"/>
      <c r="O457" s="337"/>
      <c r="P457" s="164"/>
      <c r="Q457" s="359"/>
      <c r="R457" s="220"/>
      <c r="S457" s="17"/>
      <c r="T457" s="17"/>
      <c r="U457" s="17"/>
      <c r="V457" s="17"/>
      <c r="W457" s="17"/>
      <c r="X457" s="17"/>
      <c r="Y457" s="17"/>
      <c r="Z457" s="17"/>
    </row>
    <row r="458">
      <c r="A458" s="337"/>
      <c r="B458" s="164"/>
      <c r="C458" s="350"/>
      <c r="D458" s="349"/>
      <c r="E458" s="337"/>
      <c r="F458" s="164"/>
      <c r="G458" s="337"/>
      <c r="H458" s="164"/>
      <c r="I458" s="343"/>
      <c r="J458" s="183"/>
      <c r="K458" s="343"/>
      <c r="L458" s="183"/>
      <c r="M458" s="343"/>
      <c r="N458" s="183"/>
      <c r="O458" s="337"/>
      <c r="P458" s="164"/>
      <c r="Q458" s="359"/>
      <c r="R458" s="220"/>
      <c r="S458" s="17"/>
      <c r="T458" s="17"/>
      <c r="U458" s="17"/>
      <c r="V458" s="17"/>
      <c r="W458" s="17"/>
      <c r="X458" s="17"/>
      <c r="Y458" s="17"/>
      <c r="Z458" s="17"/>
    </row>
    <row r="459">
      <c r="A459" s="337"/>
      <c r="B459" s="164"/>
      <c r="C459" s="350"/>
      <c r="D459" s="349"/>
      <c r="E459" s="337"/>
      <c r="F459" s="164"/>
      <c r="G459" s="337"/>
      <c r="H459" s="164"/>
      <c r="I459" s="343"/>
      <c r="J459" s="183"/>
      <c r="K459" s="343"/>
      <c r="L459" s="183"/>
      <c r="M459" s="343"/>
      <c r="N459" s="183"/>
      <c r="O459" s="337"/>
      <c r="P459" s="164"/>
      <c r="Q459" s="359"/>
      <c r="R459" s="220"/>
      <c r="S459" s="17"/>
      <c r="T459" s="17"/>
      <c r="U459" s="17"/>
      <c r="V459" s="17"/>
      <c r="W459" s="17"/>
      <c r="X459" s="17"/>
      <c r="Y459" s="17"/>
      <c r="Z459" s="17"/>
    </row>
    <row r="460">
      <c r="A460" s="337"/>
      <c r="B460" s="164"/>
      <c r="C460" s="350"/>
      <c r="D460" s="349"/>
      <c r="E460" s="337"/>
      <c r="F460" s="164"/>
      <c r="G460" s="337"/>
      <c r="H460" s="164"/>
      <c r="I460" s="343"/>
      <c r="J460" s="183"/>
      <c r="K460" s="343"/>
      <c r="L460" s="183"/>
      <c r="M460" s="343"/>
      <c r="N460" s="183"/>
      <c r="O460" s="337"/>
      <c r="P460" s="164"/>
      <c r="Q460" s="359"/>
      <c r="R460" s="220"/>
      <c r="S460" s="17"/>
      <c r="T460" s="17"/>
      <c r="U460" s="17"/>
      <c r="V460" s="17"/>
      <c r="W460" s="17"/>
      <c r="X460" s="17"/>
      <c r="Y460" s="17"/>
      <c r="Z460" s="17"/>
    </row>
    <row r="461">
      <c r="A461" s="337"/>
      <c r="B461" s="164"/>
      <c r="C461" s="350"/>
      <c r="D461" s="349"/>
      <c r="E461" s="337"/>
      <c r="F461" s="164"/>
      <c r="G461" s="337"/>
      <c r="H461" s="164"/>
      <c r="I461" s="343"/>
      <c r="J461" s="183"/>
      <c r="K461" s="343"/>
      <c r="L461" s="183"/>
      <c r="M461" s="343"/>
      <c r="N461" s="183"/>
      <c r="O461" s="337"/>
      <c r="P461" s="164"/>
      <c r="Q461" s="359"/>
      <c r="R461" s="220"/>
      <c r="S461" s="17"/>
      <c r="T461" s="17"/>
      <c r="U461" s="17"/>
      <c r="V461" s="17"/>
      <c r="W461" s="17"/>
      <c r="X461" s="17"/>
      <c r="Y461" s="17"/>
      <c r="Z461" s="17"/>
    </row>
    <row r="462">
      <c r="A462" s="337"/>
      <c r="B462" s="164"/>
      <c r="C462" s="350"/>
      <c r="D462" s="349"/>
      <c r="E462" s="337"/>
      <c r="F462" s="164"/>
      <c r="G462" s="337"/>
      <c r="H462" s="164"/>
      <c r="I462" s="343"/>
      <c r="J462" s="183"/>
      <c r="K462" s="343"/>
      <c r="L462" s="183"/>
      <c r="M462" s="343"/>
      <c r="N462" s="183"/>
      <c r="O462" s="337"/>
      <c r="P462" s="164"/>
      <c r="Q462" s="359"/>
      <c r="R462" s="220"/>
      <c r="S462" s="17"/>
      <c r="T462" s="17"/>
      <c r="U462" s="17"/>
      <c r="V462" s="17"/>
      <c r="W462" s="17"/>
      <c r="X462" s="17"/>
      <c r="Y462" s="17"/>
      <c r="Z462" s="17"/>
    </row>
    <row r="463">
      <c r="A463" s="337"/>
      <c r="B463" s="164"/>
      <c r="C463" s="350"/>
      <c r="D463" s="349"/>
      <c r="E463" s="337"/>
      <c r="F463" s="164"/>
      <c r="G463" s="337"/>
      <c r="H463" s="164"/>
      <c r="I463" s="343"/>
      <c r="J463" s="183"/>
      <c r="K463" s="343"/>
      <c r="L463" s="183"/>
      <c r="M463" s="343"/>
      <c r="N463" s="183"/>
      <c r="O463" s="337"/>
      <c r="P463" s="164"/>
      <c r="Q463" s="359"/>
      <c r="R463" s="220"/>
      <c r="S463" s="17"/>
      <c r="T463" s="17"/>
      <c r="U463" s="17"/>
      <c r="V463" s="17"/>
      <c r="W463" s="17"/>
      <c r="X463" s="17"/>
      <c r="Y463" s="17"/>
      <c r="Z463" s="17"/>
    </row>
    <row r="464">
      <c r="A464" s="337"/>
      <c r="B464" s="164"/>
      <c r="C464" s="350"/>
      <c r="D464" s="349"/>
      <c r="E464" s="337"/>
      <c r="F464" s="164"/>
      <c r="G464" s="337"/>
      <c r="H464" s="164"/>
      <c r="I464" s="343"/>
      <c r="J464" s="183"/>
      <c r="K464" s="343"/>
      <c r="L464" s="183"/>
      <c r="M464" s="343"/>
      <c r="N464" s="183"/>
      <c r="O464" s="337"/>
      <c r="P464" s="164"/>
      <c r="Q464" s="359"/>
      <c r="R464" s="220"/>
      <c r="S464" s="17"/>
      <c r="T464" s="17"/>
      <c r="U464" s="17"/>
      <c r="V464" s="17"/>
      <c r="W464" s="17"/>
      <c r="X464" s="17"/>
      <c r="Y464" s="17"/>
      <c r="Z464" s="17"/>
    </row>
    <row r="465">
      <c r="A465" s="337"/>
      <c r="B465" s="164"/>
      <c r="C465" s="350"/>
      <c r="D465" s="349"/>
      <c r="E465" s="337"/>
      <c r="F465" s="164"/>
      <c r="G465" s="337"/>
      <c r="H465" s="164"/>
      <c r="I465" s="343"/>
      <c r="J465" s="183"/>
      <c r="K465" s="343"/>
      <c r="L465" s="183"/>
      <c r="M465" s="343"/>
      <c r="N465" s="183"/>
      <c r="O465" s="337"/>
      <c r="P465" s="164"/>
      <c r="Q465" s="359"/>
      <c r="R465" s="220"/>
      <c r="S465" s="17"/>
      <c r="T465" s="17"/>
      <c r="U465" s="17"/>
      <c r="V465" s="17"/>
      <c r="W465" s="17"/>
      <c r="X465" s="17"/>
      <c r="Y465" s="17"/>
      <c r="Z465" s="17"/>
    </row>
    <row r="466">
      <c r="A466" s="337"/>
      <c r="B466" s="164"/>
      <c r="C466" s="350"/>
      <c r="D466" s="349"/>
      <c r="E466" s="337"/>
      <c r="F466" s="164"/>
      <c r="G466" s="337"/>
      <c r="H466" s="164"/>
      <c r="I466" s="343"/>
      <c r="J466" s="183"/>
      <c r="K466" s="343"/>
      <c r="L466" s="183"/>
      <c r="M466" s="343"/>
      <c r="N466" s="183"/>
      <c r="O466" s="337"/>
      <c r="P466" s="164"/>
      <c r="Q466" s="359"/>
      <c r="R466" s="220"/>
      <c r="S466" s="17"/>
      <c r="T466" s="17"/>
      <c r="U466" s="17"/>
      <c r="V466" s="17"/>
      <c r="W466" s="17"/>
      <c r="X466" s="17"/>
      <c r="Y466" s="17"/>
      <c r="Z466" s="17"/>
    </row>
    <row r="467">
      <c r="A467" s="337"/>
      <c r="B467" s="164"/>
      <c r="C467" s="350"/>
      <c r="D467" s="349"/>
      <c r="E467" s="337"/>
      <c r="F467" s="164"/>
      <c r="G467" s="337"/>
      <c r="H467" s="164"/>
      <c r="I467" s="343"/>
      <c r="J467" s="183"/>
      <c r="K467" s="343"/>
      <c r="L467" s="183"/>
      <c r="M467" s="343"/>
      <c r="N467" s="183"/>
      <c r="O467" s="337"/>
      <c r="P467" s="164"/>
      <c r="Q467" s="359"/>
      <c r="R467" s="220"/>
      <c r="S467" s="17"/>
      <c r="T467" s="17"/>
      <c r="U467" s="17"/>
      <c r="V467" s="17"/>
      <c r="W467" s="17"/>
      <c r="X467" s="17"/>
      <c r="Y467" s="17"/>
      <c r="Z467" s="17"/>
    </row>
    <row r="468">
      <c r="A468" s="337"/>
      <c r="B468" s="164"/>
      <c r="C468" s="350"/>
      <c r="D468" s="349"/>
      <c r="E468" s="337"/>
      <c r="F468" s="164"/>
      <c r="G468" s="337"/>
      <c r="H468" s="164"/>
      <c r="I468" s="343"/>
      <c r="J468" s="183"/>
      <c r="K468" s="343"/>
      <c r="L468" s="183"/>
      <c r="M468" s="343"/>
      <c r="N468" s="183"/>
      <c r="O468" s="337"/>
      <c r="P468" s="164"/>
      <c r="Q468" s="359"/>
      <c r="R468" s="220"/>
      <c r="S468" s="17"/>
      <c r="T468" s="17"/>
      <c r="U468" s="17"/>
      <c r="V468" s="17"/>
      <c r="W468" s="17"/>
      <c r="X468" s="17"/>
      <c r="Y468" s="17"/>
      <c r="Z468" s="17"/>
    </row>
    <row r="469">
      <c r="A469" s="337"/>
      <c r="B469" s="164"/>
      <c r="C469" s="350"/>
      <c r="D469" s="349"/>
      <c r="E469" s="337"/>
      <c r="F469" s="164"/>
      <c r="G469" s="337"/>
      <c r="H469" s="164"/>
      <c r="I469" s="343"/>
      <c r="J469" s="183"/>
      <c r="K469" s="343"/>
      <c r="L469" s="183"/>
      <c r="M469" s="343"/>
      <c r="N469" s="183"/>
      <c r="O469" s="337"/>
      <c r="P469" s="164"/>
      <c r="Q469" s="359"/>
      <c r="R469" s="220"/>
      <c r="S469" s="17"/>
      <c r="T469" s="17"/>
      <c r="U469" s="17"/>
      <c r="V469" s="17"/>
      <c r="W469" s="17"/>
      <c r="X469" s="17"/>
      <c r="Y469" s="17"/>
      <c r="Z469" s="17"/>
    </row>
    <row r="470">
      <c r="A470" s="337"/>
      <c r="B470" s="164"/>
      <c r="C470" s="350"/>
      <c r="D470" s="349"/>
      <c r="E470" s="337"/>
      <c r="F470" s="164"/>
      <c r="G470" s="337"/>
      <c r="H470" s="164"/>
      <c r="I470" s="343"/>
      <c r="J470" s="183"/>
      <c r="K470" s="343"/>
      <c r="L470" s="183"/>
      <c r="M470" s="343"/>
      <c r="N470" s="183"/>
      <c r="O470" s="337"/>
      <c r="P470" s="164"/>
      <c r="Q470" s="359"/>
      <c r="R470" s="220"/>
      <c r="S470" s="17"/>
      <c r="T470" s="17"/>
      <c r="U470" s="17"/>
      <c r="V470" s="17"/>
      <c r="W470" s="17"/>
      <c r="X470" s="17"/>
      <c r="Y470" s="17"/>
      <c r="Z470" s="17"/>
    </row>
    <row r="471">
      <c r="A471" s="337"/>
      <c r="B471" s="164"/>
      <c r="C471" s="350"/>
      <c r="D471" s="349"/>
      <c r="E471" s="337"/>
      <c r="F471" s="164"/>
      <c r="G471" s="337"/>
      <c r="H471" s="164"/>
      <c r="I471" s="343"/>
      <c r="J471" s="183"/>
      <c r="K471" s="343"/>
      <c r="L471" s="183"/>
      <c r="M471" s="343"/>
      <c r="N471" s="183"/>
      <c r="O471" s="337"/>
      <c r="P471" s="164"/>
      <c r="Q471" s="359"/>
      <c r="R471" s="220"/>
      <c r="S471" s="17"/>
      <c r="T471" s="17"/>
      <c r="U471" s="17"/>
      <c r="V471" s="17"/>
      <c r="W471" s="17"/>
      <c r="X471" s="17"/>
      <c r="Y471" s="17"/>
      <c r="Z471" s="17"/>
    </row>
    <row r="472">
      <c r="A472" s="337"/>
      <c r="B472" s="164"/>
      <c r="C472" s="350"/>
      <c r="D472" s="349"/>
      <c r="E472" s="337"/>
      <c r="F472" s="164"/>
      <c r="G472" s="337"/>
      <c r="H472" s="164"/>
      <c r="I472" s="343"/>
      <c r="J472" s="183"/>
      <c r="K472" s="343"/>
      <c r="L472" s="183"/>
      <c r="M472" s="343"/>
      <c r="N472" s="183"/>
      <c r="O472" s="337"/>
      <c r="P472" s="164"/>
      <c r="Q472" s="359"/>
      <c r="R472" s="220"/>
      <c r="S472" s="17"/>
      <c r="T472" s="17"/>
      <c r="U472" s="17"/>
      <c r="V472" s="17"/>
      <c r="W472" s="17"/>
      <c r="X472" s="17"/>
      <c r="Y472" s="17"/>
      <c r="Z472" s="17"/>
    </row>
    <row r="473">
      <c r="A473" s="337"/>
      <c r="B473" s="164"/>
      <c r="C473" s="350"/>
      <c r="D473" s="349"/>
      <c r="E473" s="337"/>
      <c r="F473" s="164"/>
      <c r="G473" s="337"/>
      <c r="H473" s="164"/>
      <c r="I473" s="343"/>
      <c r="J473" s="183"/>
      <c r="K473" s="343"/>
      <c r="L473" s="183"/>
      <c r="M473" s="343"/>
      <c r="N473" s="183"/>
      <c r="O473" s="337"/>
      <c r="P473" s="164"/>
      <c r="Q473" s="359"/>
      <c r="R473" s="220"/>
      <c r="S473" s="17"/>
      <c r="T473" s="17"/>
      <c r="U473" s="17"/>
      <c r="V473" s="17"/>
      <c r="W473" s="17"/>
      <c r="X473" s="17"/>
      <c r="Y473" s="17"/>
      <c r="Z473" s="17"/>
    </row>
    <row r="474">
      <c r="A474" s="337"/>
      <c r="B474" s="164"/>
      <c r="C474" s="350"/>
      <c r="D474" s="349"/>
      <c r="E474" s="337"/>
      <c r="F474" s="164"/>
      <c r="G474" s="337"/>
      <c r="H474" s="164"/>
      <c r="I474" s="343"/>
      <c r="J474" s="183"/>
      <c r="K474" s="343"/>
      <c r="L474" s="183"/>
      <c r="M474" s="343"/>
      <c r="N474" s="183"/>
      <c r="O474" s="337"/>
      <c r="P474" s="164"/>
      <c r="Q474" s="359"/>
      <c r="R474" s="220"/>
      <c r="S474" s="17"/>
      <c r="T474" s="17"/>
      <c r="U474" s="17"/>
      <c r="V474" s="17"/>
      <c r="W474" s="17"/>
      <c r="X474" s="17"/>
      <c r="Y474" s="17"/>
      <c r="Z474" s="17"/>
    </row>
    <row r="475">
      <c r="A475" s="337"/>
      <c r="B475" s="164"/>
      <c r="C475" s="350"/>
      <c r="D475" s="349"/>
      <c r="E475" s="337"/>
      <c r="F475" s="164"/>
      <c r="G475" s="337"/>
      <c r="H475" s="164"/>
      <c r="I475" s="343"/>
      <c r="J475" s="183"/>
      <c r="K475" s="343"/>
      <c r="L475" s="183"/>
      <c r="M475" s="343"/>
      <c r="N475" s="183"/>
      <c r="O475" s="337"/>
      <c r="P475" s="164"/>
      <c r="Q475" s="359"/>
      <c r="R475" s="220"/>
      <c r="S475" s="17"/>
      <c r="T475" s="17"/>
      <c r="U475" s="17"/>
      <c r="V475" s="17"/>
      <c r="W475" s="17"/>
      <c r="X475" s="17"/>
      <c r="Y475" s="17"/>
      <c r="Z475" s="17"/>
    </row>
    <row r="476">
      <c r="A476" s="337"/>
      <c r="B476" s="164"/>
      <c r="C476" s="350"/>
      <c r="D476" s="349"/>
      <c r="E476" s="337"/>
      <c r="F476" s="164"/>
      <c r="G476" s="337"/>
      <c r="H476" s="164"/>
      <c r="I476" s="343"/>
      <c r="J476" s="183"/>
      <c r="K476" s="343"/>
      <c r="L476" s="183"/>
      <c r="M476" s="343"/>
      <c r="N476" s="183"/>
      <c r="O476" s="337"/>
      <c r="P476" s="164"/>
      <c r="Q476" s="359"/>
      <c r="R476" s="220"/>
      <c r="S476" s="17"/>
      <c r="T476" s="17"/>
      <c r="U476" s="17"/>
      <c r="V476" s="17"/>
      <c r="W476" s="17"/>
      <c r="X476" s="17"/>
      <c r="Y476" s="17"/>
      <c r="Z476" s="17"/>
    </row>
    <row r="477">
      <c r="A477" s="337"/>
      <c r="B477" s="164"/>
      <c r="C477" s="350"/>
      <c r="D477" s="349"/>
      <c r="E477" s="337"/>
      <c r="F477" s="164"/>
      <c r="G477" s="337"/>
      <c r="H477" s="164"/>
      <c r="I477" s="343"/>
      <c r="J477" s="183"/>
      <c r="K477" s="343"/>
      <c r="L477" s="183"/>
      <c r="M477" s="343"/>
      <c r="N477" s="183"/>
      <c r="O477" s="337"/>
      <c r="P477" s="164"/>
      <c r="Q477" s="359"/>
      <c r="R477" s="220"/>
      <c r="S477" s="17"/>
      <c r="T477" s="17"/>
      <c r="U477" s="17"/>
      <c r="V477" s="17"/>
      <c r="W477" s="17"/>
      <c r="X477" s="17"/>
      <c r="Y477" s="17"/>
      <c r="Z477" s="17"/>
    </row>
    <row r="478">
      <c r="A478" s="337"/>
      <c r="B478" s="164"/>
      <c r="C478" s="350"/>
      <c r="D478" s="349"/>
      <c r="E478" s="337"/>
      <c r="F478" s="164"/>
      <c r="G478" s="337"/>
      <c r="H478" s="164"/>
      <c r="I478" s="343"/>
      <c r="J478" s="183"/>
      <c r="K478" s="343"/>
      <c r="L478" s="183"/>
      <c r="M478" s="343"/>
      <c r="N478" s="183"/>
      <c r="O478" s="337"/>
      <c r="P478" s="164"/>
      <c r="Q478" s="359"/>
      <c r="R478" s="220"/>
      <c r="S478" s="17"/>
      <c r="T478" s="17"/>
      <c r="U478" s="17"/>
      <c r="V478" s="17"/>
      <c r="W478" s="17"/>
      <c r="X478" s="17"/>
      <c r="Y478" s="17"/>
      <c r="Z478" s="17"/>
    </row>
    <row r="479">
      <c r="A479" s="337"/>
      <c r="B479" s="164"/>
      <c r="C479" s="350"/>
      <c r="D479" s="349"/>
      <c r="E479" s="337"/>
      <c r="F479" s="164"/>
      <c r="G479" s="337"/>
      <c r="H479" s="164"/>
      <c r="I479" s="343"/>
      <c r="J479" s="183"/>
      <c r="K479" s="343"/>
      <c r="L479" s="183"/>
      <c r="M479" s="343"/>
      <c r="N479" s="183"/>
      <c r="O479" s="337"/>
      <c r="P479" s="164"/>
      <c r="Q479" s="359"/>
      <c r="R479" s="220"/>
      <c r="S479" s="17"/>
      <c r="T479" s="17"/>
      <c r="U479" s="17"/>
      <c r="V479" s="17"/>
      <c r="W479" s="17"/>
      <c r="X479" s="17"/>
      <c r="Y479" s="17"/>
      <c r="Z479" s="17"/>
    </row>
    <row r="480">
      <c r="A480" s="337"/>
      <c r="B480" s="164"/>
      <c r="C480" s="350"/>
      <c r="D480" s="349"/>
      <c r="E480" s="337"/>
      <c r="F480" s="164"/>
      <c r="G480" s="337"/>
      <c r="H480" s="164"/>
      <c r="I480" s="343"/>
      <c r="J480" s="183"/>
      <c r="K480" s="343"/>
      <c r="L480" s="183"/>
      <c r="M480" s="343"/>
      <c r="N480" s="183"/>
      <c r="O480" s="337"/>
      <c r="P480" s="164"/>
      <c r="Q480" s="359"/>
      <c r="R480" s="220"/>
      <c r="S480" s="17"/>
      <c r="T480" s="17"/>
      <c r="U480" s="17"/>
      <c r="V480" s="17"/>
      <c r="W480" s="17"/>
      <c r="X480" s="17"/>
      <c r="Y480" s="17"/>
      <c r="Z480" s="17"/>
    </row>
    <row r="481">
      <c r="A481" s="337"/>
      <c r="B481" s="164"/>
      <c r="C481" s="350"/>
      <c r="D481" s="349"/>
      <c r="E481" s="337"/>
      <c r="F481" s="164"/>
      <c r="G481" s="337"/>
      <c r="H481" s="164"/>
      <c r="I481" s="343"/>
      <c r="J481" s="183"/>
      <c r="K481" s="343"/>
      <c r="L481" s="183"/>
      <c r="M481" s="343"/>
      <c r="N481" s="183"/>
      <c r="O481" s="337"/>
      <c r="P481" s="164"/>
      <c r="Q481" s="359"/>
      <c r="R481" s="220"/>
      <c r="S481" s="17"/>
      <c r="T481" s="17"/>
      <c r="U481" s="17"/>
      <c r="V481" s="17"/>
      <c r="W481" s="17"/>
      <c r="X481" s="17"/>
      <c r="Y481" s="17"/>
      <c r="Z481" s="17"/>
    </row>
    <row r="482">
      <c r="A482" s="337"/>
      <c r="B482" s="164"/>
      <c r="C482" s="350"/>
      <c r="D482" s="349"/>
      <c r="E482" s="337"/>
      <c r="F482" s="164"/>
      <c r="G482" s="337"/>
      <c r="H482" s="164"/>
      <c r="I482" s="343"/>
      <c r="J482" s="183"/>
      <c r="K482" s="343"/>
      <c r="L482" s="183"/>
      <c r="M482" s="343"/>
      <c r="N482" s="183"/>
      <c r="O482" s="337"/>
      <c r="P482" s="164"/>
      <c r="Q482" s="359"/>
      <c r="R482" s="220"/>
      <c r="S482" s="17"/>
      <c r="T482" s="17"/>
      <c r="U482" s="17"/>
      <c r="V482" s="17"/>
      <c r="W482" s="17"/>
      <c r="X482" s="17"/>
      <c r="Y482" s="17"/>
      <c r="Z482" s="17"/>
    </row>
    <row r="483">
      <c r="A483" s="337"/>
      <c r="B483" s="164"/>
      <c r="C483" s="350"/>
      <c r="D483" s="349"/>
      <c r="E483" s="337"/>
      <c r="F483" s="164"/>
      <c r="G483" s="337"/>
      <c r="H483" s="164"/>
      <c r="I483" s="343"/>
      <c r="J483" s="183"/>
      <c r="K483" s="343"/>
      <c r="L483" s="183"/>
      <c r="M483" s="343"/>
      <c r="N483" s="183"/>
      <c r="O483" s="337"/>
      <c r="P483" s="164"/>
      <c r="Q483" s="359"/>
      <c r="R483" s="220"/>
      <c r="S483" s="17"/>
      <c r="T483" s="17"/>
      <c r="U483" s="17"/>
      <c r="V483" s="17"/>
      <c r="W483" s="17"/>
      <c r="X483" s="17"/>
      <c r="Y483" s="17"/>
      <c r="Z483" s="17"/>
    </row>
    <row r="484">
      <c r="A484" s="337"/>
      <c r="B484" s="164"/>
      <c r="C484" s="350"/>
      <c r="D484" s="349"/>
      <c r="E484" s="337"/>
      <c r="F484" s="164"/>
      <c r="G484" s="337"/>
      <c r="H484" s="164"/>
      <c r="I484" s="343"/>
      <c r="J484" s="183"/>
      <c r="K484" s="343"/>
      <c r="L484" s="183"/>
      <c r="M484" s="343"/>
      <c r="N484" s="183"/>
      <c r="O484" s="337"/>
      <c r="P484" s="164"/>
      <c r="Q484" s="359"/>
      <c r="R484" s="220"/>
      <c r="S484" s="17"/>
      <c r="T484" s="17"/>
      <c r="U484" s="17"/>
      <c r="V484" s="17"/>
      <c r="W484" s="17"/>
      <c r="X484" s="17"/>
      <c r="Y484" s="17"/>
      <c r="Z484" s="17"/>
    </row>
    <row r="485">
      <c r="A485" s="337"/>
      <c r="B485" s="164"/>
      <c r="C485" s="350"/>
      <c r="D485" s="349"/>
      <c r="E485" s="337"/>
      <c r="F485" s="164"/>
      <c r="G485" s="337"/>
      <c r="H485" s="164"/>
      <c r="I485" s="343"/>
      <c r="J485" s="183"/>
      <c r="K485" s="343"/>
      <c r="L485" s="183"/>
      <c r="M485" s="343"/>
      <c r="N485" s="183"/>
      <c r="O485" s="337"/>
      <c r="P485" s="164"/>
      <c r="Q485" s="359"/>
      <c r="R485" s="220"/>
      <c r="S485" s="17"/>
      <c r="T485" s="17"/>
      <c r="U485" s="17"/>
      <c r="V485" s="17"/>
      <c r="W485" s="17"/>
      <c r="X485" s="17"/>
      <c r="Y485" s="17"/>
      <c r="Z485" s="17"/>
    </row>
    <row r="486">
      <c r="A486" s="337"/>
      <c r="B486" s="164"/>
      <c r="C486" s="350"/>
      <c r="D486" s="349"/>
      <c r="E486" s="337"/>
      <c r="F486" s="164"/>
      <c r="G486" s="337"/>
      <c r="H486" s="164"/>
      <c r="I486" s="343"/>
      <c r="J486" s="183"/>
      <c r="K486" s="343"/>
      <c r="L486" s="183"/>
      <c r="M486" s="343"/>
      <c r="N486" s="183"/>
      <c r="O486" s="337"/>
      <c r="P486" s="164"/>
      <c r="Q486" s="359"/>
      <c r="R486" s="220"/>
      <c r="S486" s="17"/>
      <c r="T486" s="17"/>
      <c r="U486" s="17"/>
      <c r="V486" s="17"/>
      <c r="W486" s="17"/>
      <c r="X486" s="17"/>
      <c r="Y486" s="17"/>
      <c r="Z486" s="17"/>
    </row>
    <row r="487">
      <c r="A487" s="337"/>
      <c r="B487" s="164"/>
      <c r="C487" s="350"/>
      <c r="D487" s="349"/>
      <c r="E487" s="337"/>
      <c r="F487" s="164"/>
      <c r="G487" s="337"/>
      <c r="H487" s="164"/>
      <c r="I487" s="343"/>
      <c r="J487" s="183"/>
      <c r="K487" s="343"/>
      <c r="L487" s="183"/>
      <c r="M487" s="343"/>
      <c r="N487" s="183"/>
      <c r="O487" s="337"/>
      <c r="P487" s="164"/>
      <c r="Q487" s="359"/>
      <c r="R487" s="220"/>
      <c r="S487" s="17"/>
      <c r="T487" s="17"/>
      <c r="U487" s="17"/>
      <c r="V487" s="17"/>
      <c r="W487" s="17"/>
      <c r="X487" s="17"/>
      <c r="Y487" s="17"/>
      <c r="Z487" s="17"/>
    </row>
    <row r="488">
      <c r="A488" s="337"/>
      <c r="B488" s="164"/>
      <c r="C488" s="350"/>
      <c r="D488" s="349"/>
      <c r="E488" s="337"/>
      <c r="F488" s="164"/>
      <c r="G488" s="337"/>
      <c r="H488" s="164"/>
      <c r="I488" s="343"/>
      <c r="J488" s="183"/>
      <c r="K488" s="343"/>
      <c r="L488" s="183"/>
      <c r="M488" s="343"/>
      <c r="N488" s="183"/>
      <c r="O488" s="337"/>
      <c r="P488" s="164"/>
      <c r="Q488" s="359"/>
      <c r="R488" s="220"/>
      <c r="S488" s="17"/>
      <c r="T488" s="17"/>
      <c r="U488" s="17"/>
      <c r="V488" s="17"/>
      <c r="W488" s="17"/>
      <c r="X488" s="17"/>
      <c r="Y488" s="17"/>
      <c r="Z488" s="17"/>
    </row>
    <row r="489">
      <c r="A489" s="337"/>
      <c r="B489" s="164"/>
      <c r="C489" s="350"/>
      <c r="D489" s="349"/>
      <c r="E489" s="337"/>
      <c r="F489" s="164"/>
      <c r="G489" s="337"/>
      <c r="H489" s="164"/>
      <c r="I489" s="343"/>
      <c r="J489" s="183"/>
      <c r="K489" s="343"/>
      <c r="L489" s="183"/>
      <c r="M489" s="343"/>
      <c r="N489" s="183"/>
      <c r="O489" s="337"/>
      <c r="P489" s="164"/>
      <c r="Q489" s="359"/>
      <c r="R489" s="220"/>
      <c r="S489" s="17"/>
      <c r="T489" s="17"/>
      <c r="U489" s="17"/>
      <c r="V489" s="17"/>
      <c r="W489" s="17"/>
      <c r="X489" s="17"/>
      <c r="Y489" s="17"/>
      <c r="Z489" s="17"/>
    </row>
    <row r="490">
      <c r="A490" s="337"/>
      <c r="B490" s="164"/>
      <c r="C490" s="350"/>
      <c r="D490" s="349"/>
      <c r="E490" s="337"/>
      <c r="F490" s="164"/>
      <c r="G490" s="337"/>
      <c r="H490" s="164"/>
      <c r="I490" s="343"/>
      <c r="J490" s="183"/>
      <c r="K490" s="343"/>
      <c r="L490" s="183"/>
      <c r="M490" s="343"/>
      <c r="N490" s="183"/>
      <c r="O490" s="337"/>
      <c r="P490" s="164"/>
      <c r="Q490" s="359"/>
      <c r="R490" s="220"/>
      <c r="S490" s="17"/>
      <c r="T490" s="17"/>
      <c r="U490" s="17"/>
      <c r="V490" s="17"/>
      <c r="W490" s="17"/>
      <c r="X490" s="17"/>
      <c r="Y490" s="17"/>
      <c r="Z490" s="17"/>
    </row>
    <row r="491">
      <c r="A491" s="337"/>
      <c r="B491" s="164"/>
      <c r="C491" s="350"/>
      <c r="D491" s="349"/>
      <c r="E491" s="337"/>
      <c r="F491" s="164"/>
      <c r="G491" s="337"/>
      <c r="H491" s="164"/>
      <c r="I491" s="343"/>
      <c r="J491" s="183"/>
      <c r="K491" s="343"/>
      <c r="L491" s="183"/>
      <c r="M491" s="343"/>
      <c r="N491" s="183"/>
      <c r="O491" s="337"/>
      <c r="P491" s="164"/>
      <c r="Q491" s="359"/>
      <c r="R491" s="220"/>
      <c r="S491" s="17"/>
      <c r="T491" s="17"/>
      <c r="U491" s="17"/>
      <c r="V491" s="17"/>
      <c r="W491" s="17"/>
      <c r="X491" s="17"/>
      <c r="Y491" s="17"/>
      <c r="Z491" s="17"/>
    </row>
    <row r="492">
      <c r="A492" s="337"/>
      <c r="B492" s="164"/>
      <c r="C492" s="350"/>
      <c r="D492" s="349"/>
      <c r="E492" s="337"/>
      <c r="F492" s="164"/>
      <c r="G492" s="337"/>
      <c r="H492" s="164"/>
      <c r="I492" s="343"/>
      <c r="J492" s="183"/>
      <c r="K492" s="343"/>
      <c r="L492" s="183"/>
      <c r="M492" s="343"/>
      <c r="N492" s="183"/>
      <c r="O492" s="337"/>
      <c r="P492" s="164"/>
      <c r="Q492" s="359"/>
      <c r="R492" s="220"/>
      <c r="S492" s="17"/>
      <c r="T492" s="17"/>
      <c r="U492" s="17"/>
      <c r="V492" s="17"/>
      <c r="W492" s="17"/>
      <c r="X492" s="17"/>
      <c r="Y492" s="17"/>
      <c r="Z492" s="17"/>
    </row>
    <row r="493">
      <c r="A493" s="337"/>
      <c r="B493" s="164"/>
      <c r="C493" s="350"/>
      <c r="D493" s="349"/>
      <c r="E493" s="337"/>
      <c r="F493" s="164"/>
      <c r="G493" s="337"/>
      <c r="H493" s="164"/>
      <c r="I493" s="343"/>
      <c r="J493" s="183"/>
      <c r="K493" s="343"/>
      <c r="L493" s="183"/>
      <c r="M493" s="343"/>
      <c r="N493" s="183"/>
      <c r="O493" s="337"/>
      <c r="P493" s="164"/>
      <c r="Q493" s="359"/>
      <c r="R493" s="220"/>
      <c r="S493" s="17"/>
      <c r="T493" s="17"/>
      <c r="U493" s="17"/>
      <c r="V493" s="17"/>
      <c r="W493" s="17"/>
      <c r="X493" s="17"/>
      <c r="Y493" s="17"/>
      <c r="Z493" s="17"/>
    </row>
    <row r="494">
      <c r="A494" s="337"/>
      <c r="B494" s="164"/>
      <c r="C494" s="350"/>
      <c r="D494" s="349"/>
      <c r="E494" s="337"/>
      <c r="F494" s="164"/>
      <c r="G494" s="337"/>
      <c r="H494" s="164"/>
      <c r="I494" s="343"/>
      <c r="J494" s="183"/>
      <c r="K494" s="343"/>
      <c r="L494" s="183"/>
      <c r="M494" s="343"/>
      <c r="N494" s="183"/>
      <c r="O494" s="337"/>
      <c r="P494" s="164"/>
      <c r="Q494" s="359"/>
      <c r="R494" s="220"/>
      <c r="S494" s="17"/>
      <c r="T494" s="17"/>
      <c r="U494" s="17"/>
      <c r="V494" s="17"/>
      <c r="W494" s="17"/>
      <c r="X494" s="17"/>
      <c r="Y494" s="17"/>
      <c r="Z494" s="17"/>
    </row>
    <row r="495">
      <c r="A495" s="337"/>
      <c r="B495" s="164"/>
      <c r="C495" s="350"/>
      <c r="D495" s="349"/>
      <c r="E495" s="337"/>
      <c r="F495" s="164"/>
      <c r="G495" s="337"/>
      <c r="H495" s="164"/>
      <c r="I495" s="343"/>
      <c r="J495" s="183"/>
      <c r="K495" s="343"/>
      <c r="L495" s="183"/>
      <c r="M495" s="343"/>
      <c r="N495" s="183"/>
      <c r="O495" s="337"/>
      <c r="P495" s="164"/>
      <c r="Q495" s="359"/>
      <c r="R495" s="220"/>
      <c r="S495" s="17"/>
      <c r="T495" s="17"/>
      <c r="U495" s="17"/>
      <c r="V495" s="17"/>
      <c r="W495" s="17"/>
      <c r="X495" s="17"/>
      <c r="Y495" s="17"/>
      <c r="Z495" s="17"/>
    </row>
    <row r="496">
      <c r="A496" s="337"/>
      <c r="B496" s="164"/>
      <c r="C496" s="350"/>
      <c r="D496" s="349"/>
      <c r="E496" s="337"/>
      <c r="F496" s="164"/>
      <c r="G496" s="337"/>
      <c r="H496" s="164"/>
      <c r="I496" s="343"/>
      <c r="J496" s="183"/>
      <c r="K496" s="343"/>
      <c r="L496" s="183"/>
      <c r="M496" s="343"/>
      <c r="N496" s="183"/>
      <c r="O496" s="337"/>
      <c r="P496" s="164"/>
      <c r="Q496" s="359"/>
      <c r="R496" s="220"/>
      <c r="S496" s="17"/>
      <c r="T496" s="17"/>
      <c r="U496" s="17"/>
      <c r="V496" s="17"/>
      <c r="W496" s="17"/>
      <c r="X496" s="17"/>
      <c r="Y496" s="17"/>
      <c r="Z496" s="17"/>
    </row>
    <row r="497">
      <c r="A497" s="337"/>
      <c r="B497" s="164"/>
      <c r="C497" s="350"/>
      <c r="D497" s="349"/>
      <c r="E497" s="337"/>
      <c r="F497" s="164"/>
      <c r="G497" s="337"/>
      <c r="H497" s="164"/>
      <c r="I497" s="343"/>
      <c r="J497" s="183"/>
      <c r="K497" s="343"/>
      <c r="L497" s="183"/>
      <c r="M497" s="343"/>
      <c r="N497" s="183"/>
      <c r="O497" s="337"/>
      <c r="P497" s="164"/>
      <c r="Q497" s="359"/>
      <c r="R497" s="220"/>
      <c r="S497" s="17"/>
      <c r="T497" s="17"/>
      <c r="U497" s="17"/>
      <c r="V497" s="17"/>
      <c r="W497" s="17"/>
      <c r="X497" s="17"/>
      <c r="Y497" s="17"/>
      <c r="Z497" s="17"/>
    </row>
    <row r="498">
      <c r="A498" s="337"/>
      <c r="B498" s="164"/>
      <c r="C498" s="350"/>
      <c r="D498" s="349"/>
      <c r="E498" s="337"/>
      <c r="F498" s="164"/>
      <c r="G498" s="337"/>
      <c r="H498" s="164"/>
      <c r="I498" s="343"/>
      <c r="J498" s="183"/>
      <c r="K498" s="343"/>
      <c r="L498" s="183"/>
      <c r="M498" s="343"/>
      <c r="N498" s="183"/>
      <c r="O498" s="337"/>
      <c r="P498" s="164"/>
      <c r="Q498" s="359"/>
      <c r="R498" s="220"/>
      <c r="S498" s="17"/>
      <c r="T498" s="17"/>
      <c r="U498" s="17"/>
      <c r="V498" s="17"/>
      <c r="W498" s="17"/>
      <c r="X498" s="17"/>
      <c r="Y498" s="17"/>
      <c r="Z498" s="17"/>
    </row>
    <row r="499">
      <c r="A499" s="337"/>
      <c r="B499" s="164"/>
      <c r="C499" s="350"/>
      <c r="D499" s="349"/>
      <c r="E499" s="337"/>
      <c r="F499" s="164"/>
      <c r="G499" s="337"/>
      <c r="H499" s="164"/>
      <c r="I499" s="343"/>
      <c r="J499" s="183"/>
      <c r="K499" s="343"/>
      <c r="L499" s="183"/>
      <c r="M499" s="343"/>
      <c r="N499" s="183"/>
      <c r="O499" s="337"/>
      <c r="P499" s="164"/>
      <c r="Q499" s="359"/>
      <c r="R499" s="220"/>
      <c r="S499" s="17"/>
      <c r="T499" s="17"/>
      <c r="U499" s="17"/>
      <c r="V499" s="17"/>
      <c r="W499" s="17"/>
      <c r="X499" s="17"/>
      <c r="Y499" s="17"/>
      <c r="Z499" s="17"/>
    </row>
    <row r="500">
      <c r="A500" s="337"/>
      <c r="B500" s="164"/>
      <c r="C500" s="350"/>
      <c r="D500" s="349"/>
      <c r="E500" s="337"/>
      <c r="F500" s="164"/>
      <c r="G500" s="337"/>
      <c r="H500" s="164"/>
      <c r="I500" s="343"/>
      <c r="J500" s="183"/>
      <c r="K500" s="343"/>
      <c r="L500" s="183"/>
      <c r="M500" s="343"/>
      <c r="N500" s="183"/>
      <c r="O500" s="337"/>
      <c r="P500" s="164"/>
      <c r="Q500" s="359"/>
      <c r="R500" s="220"/>
      <c r="S500" s="17"/>
      <c r="T500" s="17"/>
      <c r="U500" s="17"/>
      <c r="V500" s="17"/>
      <c r="W500" s="17"/>
      <c r="X500" s="17"/>
      <c r="Y500" s="17"/>
      <c r="Z500" s="17"/>
    </row>
    <row r="501">
      <c r="A501" s="337"/>
      <c r="B501" s="164"/>
      <c r="C501" s="350"/>
      <c r="D501" s="349"/>
      <c r="E501" s="337"/>
      <c r="F501" s="164"/>
      <c r="G501" s="337"/>
      <c r="H501" s="164"/>
      <c r="I501" s="343"/>
      <c r="J501" s="183"/>
      <c r="K501" s="343"/>
      <c r="L501" s="183"/>
      <c r="M501" s="343"/>
      <c r="N501" s="183"/>
      <c r="O501" s="337"/>
      <c r="P501" s="164"/>
      <c r="Q501" s="359"/>
      <c r="R501" s="220"/>
      <c r="S501" s="17"/>
      <c r="T501" s="17"/>
      <c r="U501" s="17"/>
      <c r="V501" s="17"/>
      <c r="W501" s="17"/>
      <c r="X501" s="17"/>
      <c r="Y501" s="17"/>
      <c r="Z501" s="17"/>
    </row>
    <row r="502">
      <c r="A502" s="337"/>
      <c r="B502" s="164"/>
      <c r="C502" s="350"/>
      <c r="D502" s="349"/>
      <c r="E502" s="337"/>
      <c r="F502" s="164"/>
      <c r="G502" s="337"/>
      <c r="H502" s="164"/>
      <c r="I502" s="343"/>
      <c r="J502" s="183"/>
      <c r="K502" s="343"/>
      <c r="L502" s="183"/>
      <c r="M502" s="343"/>
      <c r="N502" s="183"/>
      <c r="O502" s="337"/>
      <c r="P502" s="164"/>
      <c r="Q502" s="359"/>
      <c r="R502" s="220"/>
      <c r="S502" s="17"/>
      <c r="T502" s="17"/>
      <c r="U502" s="17"/>
      <c r="V502" s="17"/>
      <c r="W502" s="17"/>
      <c r="X502" s="17"/>
      <c r="Y502" s="17"/>
      <c r="Z502" s="17"/>
    </row>
    <row r="503">
      <c r="A503" s="337"/>
      <c r="B503" s="164"/>
      <c r="C503" s="350"/>
      <c r="D503" s="349"/>
      <c r="E503" s="337"/>
      <c r="F503" s="164"/>
      <c r="G503" s="337"/>
      <c r="H503" s="164"/>
      <c r="I503" s="343"/>
      <c r="J503" s="183"/>
      <c r="K503" s="343"/>
      <c r="L503" s="183"/>
      <c r="M503" s="343"/>
      <c r="N503" s="183"/>
      <c r="O503" s="337"/>
      <c r="P503" s="164"/>
      <c r="Q503" s="359"/>
      <c r="R503" s="220"/>
      <c r="S503" s="17"/>
      <c r="T503" s="17"/>
      <c r="U503" s="17"/>
      <c r="V503" s="17"/>
      <c r="W503" s="17"/>
      <c r="X503" s="17"/>
      <c r="Y503" s="17"/>
      <c r="Z503" s="17"/>
    </row>
    <row r="504">
      <c r="A504" s="337"/>
      <c r="B504" s="164"/>
      <c r="C504" s="350"/>
      <c r="D504" s="349"/>
      <c r="E504" s="337"/>
      <c r="F504" s="164"/>
      <c r="G504" s="337"/>
      <c r="H504" s="164"/>
      <c r="I504" s="343"/>
      <c r="J504" s="183"/>
      <c r="K504" s="343"/>
      <c r="L504" s="183"/>
      <c r="M504" s="343"/>
      <c r="N504" s="183"/>
      <c r="O504" s="337"/>
      <c r="P504" s="164"/>
      <c r="Q504" s="359"/>
      <c r="R504" s="220"/>
      <c r="S504" s="17"/>
      <c r="T504" s="17"/>
      <c r="U504" s="17"/>
      <c r="V504" s="17"/>
      <c r="W504" s="17"/>
      <c r="X504" s="17"/>
      <c r="Y504" s="17"/>
      <c r="Z504" s="17"/>
    </row>
    <row r="505">
      <c r="A505" s="337"/>
      <c r="B505" s="164"/>
      <c r="C505" s="350"/>
      <c r="D505" s="349"/>
      <c r="E505" s="337"/>
      <c r="F505" s="164"/>
      <c r="G505" s="337"/>
      <c r="H505" s="164"/>
      <c r="I505" s="343"/>
      <c r="J505" s="183"/>
      <c r="K505" s="343"/>
      <c r="L505" s="183"/>
      <c r="M505" s="343"/>
      <c r="N505" s="183"/>
      <c r="O505" s="337"/>
      <c r="P505" s="164"/>
      <c r="Q505" s="359"/>
      <c r="R505" s="220"/>
      <c r="S505" s="17"/>
      <c r="T505" s="17"/>
      <c r="U505" s="17"/>
      <c r="V505" s="17"/>
      <c r="W505" s="17"/>
      <c r="X505" s="17"/>
      <c r="Y505" s="17"/>
      <c r="Z505" s="17"/>
    </row>
    <row r="506">
      <c r="A506" s="337"/>
      <c r="B506" s="164"/>
      <c r="C506" s="350"/>
      <c r="D506" s="349"/>
      <c r="E506" s="337"/>
      <c r="F506" s="164"/>
      <c r="G506" s="337"/>
      <c r="H506" s="164"/>
      <c r="I506" s="343"/>
      <c r="J506" s="183"/>
      <c r="K506" s="343"/>
      <c r="L506" s="183"/>
      <c r="M506" s="343"/>
      <c r="N506" s="183"/>
      <c r="O506" s="337"/>
      <c r="P506" s="164"/>
      <c r="Q506" s="359"/>
      <c r="R506" s="220"/>
      <c r="S506" s="17"/>
      <c r="T506" s="17"/>
      <c r="U506" s="17"/>
      <c r="V506" s="17"/>
      <c r="W506" s="17"/>
      <c r="X506" s="17"/>
      <c r="Y506" s="17"/>
      <c r="Z506" s="17"/>
    </row>
    <row r="507">
      <c r="A507" s="337"/>
      <c r="B507" s="164"/>
      <c r="C507" s="350"/>
      <c r="D507" s="349"/>
      <c r="E507" s="337"/>
      <c r="F507" s="164"/>
      <c r="G507" s="337"/>
      <c r="H507" s="164"/>
      <c r="I507" s="343"/>
      <c r="J507" s="183"/>
      <c r="K507" s="343"/>
      <c r="L507" s="183"/>
      <c r="M507" s="343"/>
      <c r="N507" s="183"/>
      <c r="O507" s="337"/>
      <c r="P507" s="164"/>
      <c r="Q507" s="359"/>
      <c r="R507" s="220"/>
      <c r="S507" s="17"/>
      <c r="T507" s="17"/>
      <c r="U507" s="17"/>
      <c r="V507" s="17"/>
      <c r="W507" s="17"/>
      <c r="X507" s="17"/>
      <c r="Y507" s="17"/>
      <c r="Z507" s="17"/>
    </row>
    <row r="508">
      <c r="A508" s="337"/>
      <c r="B508" s="164"/>
      <c r="C508" s="350"/>
      <c r="D508" s="349"/>
      <c r="E508" s="337"/>
      <c r="F508" s="164"/>
      <c r="G508" s="337"/>
      <c r="H508" s="164"/>
      <c r="I508" s="343"/>
      <c r="J508" s="183"/>
      <c r="K508" s="343"/>
      <c r="L508" s="183"/>
      <c r="M508" s="343"/>
      <c r="N508" s="183"/>
      <c r="O508" s="337"/>
      <c r="P508" s="164"/>
      <c r="Q508" s="359"/>
      <c r="R508" s="220"/>
      <c r="S508" s="17"/>
      <c r="T508" s="17"/>
      <c r="U508" s="17"/>
      <c r="V508" s="17"/>
      <c r="W508" s="17"/>
      <c r="X508" s="17"/>
      <c r="Y508" s="17"/>
      <c r="Z508" s="17"/>
    </row>
    <row r="509">
      <c r="A509" s="337"/>
      <c r="B509" s="164"/>
      <c r="C509" s="350"/>
      <c r="D509" s="349"/>
      <c r="E509" s="337"/>
      <c r="F509" s="164"/>
      <c r="G509" s="337"/>
      <c r="H509" s="164"/>
      <c r="I509" s="343"/>
      <c r="J509" s="183"/>
      <c r="K509" s="343"/>
      <c r="L509" s="183"/>
      <c r="M509" s="343"/>
      <c r="N509" s="183"/>
      <c r="O509" s="337"/>
      <c r="P509" s="164"/>
      <c r="Q509" s="359"/>
      <c r="R509" s="220"/>
      <c r="S509" s="17"/>
      <c r="T509" s="17"/>
      <c r="U509" s="17"/>
      <c r="V509" s="17"/>
      <c r="W509" s="17"/>
      <c r="X509" s="17"/>
      <c r="Y509" s="17"/>
      <c r="Z509" s="17"/>
    </row>
    <row r="510">
      <c r="A510" s="337"/>
      <c r="B510" s="164"/>
      <c r="C510" s="350"/>
      <c r="D510" s="349"/>
      <c r="E510" s="337"/>
      <c r="F510" s="164"/>
      <c r="G510" s="337"/>
      <c r="H510" s="164"/>
      <c r="I510" s="343"/>
      <c r="J510" s="183"/>
      <c r="K510" s="343"/>
      <c r="L510" s="183"/>
      <c r="M510" s="343"/>
      <c r="N510" s="183"/>
      <c r="O510" s="337"/>
      <c r="P510" s="164"/>
      <c r="Q510" s="359"/>
      <c r="R510" s="220"/>
      <c r="S510" s="17"/>
      <c r="T510" s="17"/>
      <c r="U510" s="17"/>
      <c r="V510" s="17"/>
      <c r="W510" s="17"/>
      <c r="X510" s="17"/>
      <c r="Y510" s="17"/>
      <c r="Z510" s="17"/>
    </row>
    <row r="511">
      <c r="A511" s="337"/>
      <c r="B511" s="164"/>
      <c r="C511" s="350"/>
      <c r="D511" s="349"/>
      <c r="E511" s="337"/>
      <c r="F511" s="164"/>
      <c r="G511" s="337"/>
      <c r="H511" s="164"/>
      <c r="I511" s="343"/>
      <c r="J511" s="183"/>
      <c r="K511" s="343"/>
      <c r="L511" s="183"/>
      <c r="M511" s="343"/>
      <c r="N511" s="183"/>
      <c r="O511" s="337"/>
      <c r="P511" s="164"/>
      <c r="Q511" s="359"/>
      <c r="R511" s="220"/>
      <c r="S511" s="17"/>
      <c r="T511" s="17"/>
      <c r="U511" s="17"/>
      <c r="V511" s="17"/>
      <c r="W511" s="17"/>
      <c r="X511" s="17"/>
      <c r="Y511" s="17"/>
      <c r="Z511" s="17"/>
    </row>
    <row r="512">
      <c r="A512" s="337"/>
      <c r="B512" s="164"/>
      <c r="C512" s="350"/>
      <c r="D512" s="349"/>
      <c r="E512" s="337"/>
      <c r="F512" s="164"/>
      <c r="G512" s="337"/>
      <c r="H512" s="164"/>
      <c r="I512" s="343"/>
      <c r="J512" s="183"/>
      <c r="K512" s="343"/>
      <c r="L512" s="183"/>
      <c r="M512" s="343"/>
      <c r="N512" s="183"/>
      <c r="O512" s="337"/>
      <c r="P512" s="164"/>
      <c r="Q512" s="359"/>
      <c r="R512" s="220"/>
      <c r="S512" s="17"/>
      <c r="T512" s="17"/>
      <c r="U512" s="17"/>
      <c r="V512" s="17"/>
      <c r="W512" s="17"/>
      <c r="X512" s="17"/>
      <c r="Y512" s="17"/>
      <c r="Z512" s="17"/>
    </row>
    <row r="513">
      <c r="A513" s="337"/>
      <c r="B513" s="164"/>
      <c r="C513" s="350"/>
      <c r="D513" s="349"/>
      <c r="E513" s="337"/>
      <c r="F513" s="164"/>
      <c r="G513" s="337"/>
      <c r="H513" s="164"/>
      <c r="I513" s="343"/>
      <c r="J513" s="183"/>
      <c r="K513" s="343"/>
      <c r="L513" s="183"/>
      <c r="M513" s="343"/>
      <c r="N513" s="183"/>
      <c r="O513" s="337"/>
      <c r="P513" s="164"/>
      <c r="Q513" s="201"/>
      <c r="R513" s="220"/>
      <c r="S513" s="17"/>
      <c r="T513" s="17"/>
      <c r="U513" s="17"/>
      <c r="V513" s="17"/>
      <c r="W513" s="17"/>
      <c r="X513" s="17"/>
      <c r="Y513" s="17"/>
      <c r="Z513" s="17"/>
    </row>
    <row r="514">
      <c r="A514" s="337"/>
      <c r="B514" s="164"/>
      <c r="C514" s="350"/>
      <c r="D514" s="349"/>
      <c r="E514" s="337"/>
      <c r="F514" s="164"/>
      <c r="G514" s="337"/>
      <c r="H514" s="164"/>
      <c r="I514" s="343"/>
      <c r="J514" s="183"/>
      <c r="K514" s="343"/>
      <c r="L514" s="183"/>
      <c r="M514" s="343"/>
      <c r="N514" s="183"/>
      <c r="O514" s="337"/>
      <c r="P514" s="164"/>
      <c r="Q514" s="201"/>
      <c r="R514" s="220"/>
      <c r="S514" s="17"/>
      <c r="T514" s="17"/>
      <c r="U514" s="17"/>
      <c r="V514" s="17"/>
      <c r="W514" s="17"/>
      <c r="X514" s="17"/>
      <c r="Y514" s="17"/>
      <c r="Z514" s="17"/>
    </row>
    <row r="515">
      <c r="A515" s="337"/>
      <c r="B515" s="164"/>
      <c r="C515" s="350"/>
      <c r="D515" s="349"/>
      <c r="E515" s="337"/>
      <c r="F515" s="164"/>
      <c r="G515" s="337"/>
      <c r="H515" s="164"/>
      <c r="I515" s="343"/>
      <c r="J515" s="183"/>
      <c r="K515" s="343"/>
      <c r="L515" s="183"/>
      <c r="M515" s="343"/>
      <c r="N515" s="183"/>
      <c r="O515" s="337"/>
      <c r="P515" s="164"/>
      <c r="Q515" s="201"/>
      <c r="R515" s="220"/>
      <c r="S515" s="17"/>
      <c r="T515" s="17"/>
      <c r="U515" s="17"/>
      <c r="V515" s="17"/>
      <c r="W515" s="17"/>
      <c r="X515" s="17"/>
      <c r="Y515" s="17"/>
      <c r="Z515" s="17"/>
    </row>
    <row r="516">
      <c r="A516" s="337"/>
      <c r="B516" s="164"/>
      <c r="C516" s="350"/>
      <c r="D516" s="349"/>
      <c r="E516" s="337"/>
      <c r="F516" s="164"/>
      <c r="G516" s="337"/>
      <c r="H516" s="164"/>
      <c r="I516" s="343"/>
      <c r="J516" s="183"/>
      <c r="K516" s="343"/>
      <c r="L516" s="183"/>
      <c r="M516" s="343"/>
      <c r="N516" s="183"/>
      <c r="O516" s="337"/>
      <c r="P516" s="164"/>
      <c r="Q516" s="201"/>
      <c r="R516" s="220"/>
      <c r="S516" s="17"/>
      <c r="T516" s="17"/>
      <c r="U516" s="17"/>
      <c r="V516" s="17"/>
      <c r="W516" s="17"/>
      <c r="X516" s="17"/>
      <c r="Y516" s="17"/>
      <c r="Z516" s="17"/>
    </row>
    <row r="517">
      <c r="A517" s="337"/>
      <c r="B517" s="164"/>
      <c r="C517" s="350"/>
      <c r="D517" s="349"/>
      <c r="E517" s="337"/>
      <c r="F517" s="164"/>
      <c r="G517" s="337"/>
      <c r="H517" s="164"/>
      <c r="I517" s="343"/>
      <c r="J517" s="183"/>
      <c r="K517" s="343"/>
      <c r="L517" s="183"/>
      <c r="M517" s="343"/>
      <c r="N517" s="183"/>
      <c r="O517" s="337"/>
      <c r="P517" s="164"/>
      <c r="Q517" s="201"/>
      <c r="R517" s="220"/>
      <c r="S517" s="17"/>
      <c r="T517" s="17"/>
      <c r="U517" s="17"/>
      <c r="V517" s="17"/>
      <c r="W517" s="17"/>
      <c r="X517" s="17"/>
      <c r="Y517" s="17"/>
      <c r="Z517" s="17"/>
    </row>
    <row r="518">
      <c r="A518" s="337"/>
      <c r="B518" s="164"/>
      <c r="C518" s="350"/>
      <c r="D518" s="349"/>
      <c r="E518" s="337"/>
      <c r="F518" s="164"/>
      <c r="G518" s="337"/>
      <c r="H518" s="164"/>
      <c r="I518" s="343"/>
      <c r="J518" s="183"/>
      <c r="K518" s="343"/>
      <c r="L518" s="183"/>
      <c r="M518" s="343"/>
      <c r="N518" s="183"/>
      <c r="O518" s="337"/>
      <c r="P518" s="164"/>
      <c r="Q518" s="201"/>
      <c r="R518" s="220"/>
      <c r="S518" s="17"/>
      <c r="T518" s="17"/>
      <c r="U518" s="17"/>
      <c r="V518" s="17"/>
      <c r="W518" s="17"/>
      <c r="X518" s="17"/>
      <c r="Y518" s="17"/>
      <c r="Z518" s="17"/>
    </row>
    <row r="519">
      <c r="A519" s="337"/>
      <c r="B519" s="164"/>
      <c r="C519" s="350"/>
      <c r="D519" s="349"/>
      <c r="E519" s="337"/>
      <c r="F519" s="164"/>
      <c r="G519" s="337"/>
      <c r="H519" s="164"/>
      <c r="I519" s="343"/>
      <c r="J519" s="183"/>
      <c r="K519" s="343"/>
      <c r="L519" s="183"/>
      <c r="M519" s="343"/>
      <c r="N519" s="183"/>
      <c r="O519" s="337"/>
      <c r="P519" s="164"/>
      <c r="Q519" s="201"/>
      <c r="R519" s="220"/>
      <c r="S519" s="17"/>
      <c r="T519" s="17"/>
      <c r="U519" s="17"/>
      <c r="V519" s="17"/>
      <c r="W519" s="17"/>
      <c r="X519" s="17"/>
      <c r="Y519" s="17"/>
      <c r="Z519" s="17"/>
    </row>
    <row r="520">
      <c r="A520" s="337"/>
      <c r="B520" s="164"/>
      <c r="C520" s="350"/>
      <c r="D520" s="349"/>
      <c r="E520" s="337"/>
      <c r="F520" s="164"/>
      <c r="G520" s="337"/>
      <c r="H520" s="164"/>
      <c r="I520" s="343"/>
      <c r="J520" s="183"/>
      <c r="K520" s="343"/>
      <c r="L520" s="183"/>
      <c r="M520" s="343"/>
      <c r="N520" s="183"/>
      <c r="O520" s="337"/>
      <c r="P520" s="164"/>
      <c r="Q520" s="201"/>
      <c r="R520" s="220"/>
      <c r="S520" s="17"/>
      <c r="T520" s="17"/>
      <c r="U520" s="17"/>
      <c r="V520" s="17"/>
      <c r="W520" s="17"/>
      <c r="X520" s="17"/>
      <c r="Y520" s="17"/>
      <c r="Z520" s="17"/>
    </row>
    <row r="521">
      <c r="A521" s="337"/>
      <c r="B521" s="164"/>
      <c r="C521" s="350"/>
      <c r="D521" s="349"/>
      <c r="E521" s="337"/>
      <c r="F521" s="164"/>
      <c r="G521" s="337"/>
      <c r="H521" s="164"/>
      <c r="I521" s="343"/>
      <c r="J521" s="183"/>
      <c r="K521" s="343"/>
      <c r="L521" s="183"/>
      <c r="M521" s="343"/>
      <c r="N521" s="183"/>
      <c r="O521" s="337"/>
      <c r="P521" s="164"/>
      <c r="Q521" s="201"/>
      <c r="R521" s="220"/>
      <c r="S521" s="17"/>
      <c r="T521" s="17"/>
      <c r="U521" s="17"/>
      <c r="V521" s="17"/>
      <c r="W521" s="17"/>
      <c r="X521" s="17"/>
      <c r="Y521" s="17"/>
      <c r="Z521" s="17"/>
    </row>
    <row r="522">
      <c r="A522" s="337"/>
      <c r="B522" s="164"/>
      <c r="C522" s="350"/>
      <c r="D522" s="349"/>
      <c r="E522" s="337"/>
      <c r="F522" s="164"/>
      <c r="G522" s="337"/>
      <c r="H522" s="164"/>
      <c r="I522" s="343"/>
      <c r="J522" s="183"/>
      <c r="K522" s="343"/>
      <c r="L522" s="183"/>
      <c r="M522" s="343"/>
      <c r="N522" s="183"/>
      <c r="O522" s="337"/>
      <c r="P522" s="164"/>
      <c r="Q522" s="201"/>
      <c r="R522" s="220"/>
      <c r="S522" s="17"/>
      <c r="T522" s="17"/>
      <c r="U522" s="17"/>
      <c r="V522" s="17"/>
      <c r="W522" s="17"/>
      <c r="X522" s="17"/>
      <c r="Y522" s="17"/>
      <c r="Z522" s="17"/>
    </row>
    <row r="523">
      <c r="A523" s="337"/>
      <c r="B523" s="164"/>
      <c r="C523" s="350"/>
      <c r="D523" s="349"/>
      <c r="E523" s="337"/>
      <c r="F523" s="164"/>
      <c r="G523" s="337"/>
      <c r="H523" s="164"/>
      <c r="I523" s="343"/>
      <c r="J523" s="183"/>
      <c r="K523" s="343"/>
      <c r="L523" s="183"/>
      <c r="M523" s="343"/>
      <c r="N523" s="183"/>
      <c r="O523" s="337"/>
      <c r="P523" s="164"/>
      <c r="Q523" s="201"/>
      <c r="R523" s="220"/>
      <c r="S523" s="17"/>
      <c r="T523" s="17"/>
      <c r="U523" s="17"/>
      <c r="V523" s="17"/>
      <c r="W523" s="17"/>
      <c r="X523" s="17"/>
      <c r="Y523" s="17"/>
      <c r="Z523" s="17"/>
    </row>
    <row r="524">
      <c r="A524" s="337"/>
      <c r="B524" s="164"/>
      <c r="C524" s="350"/>
      <c r="D524" s="349"/>
      <c r="E524" s="337"/>
      <c r="F524" s="164"/>
      <c r="G524" s="337"/>
      <c r="H524" s="164"/>
      <c r="I524" s="343"/>
      <c r="J524" s="183"/>
      <c r="K524" s="343"/>
      <c r="L524" s="183"/>
      <c r="M524" s="343"/>
      <c r="N524" s="183"/>
      <c r="O524" s="337"/>
      <c r="P524" s="164"/>
      <c r="Q524" s="201"/>
      <c r="R524" s="220"/>
      <c r="S524" s="17"/>
      <c r="T524" s="17"/>
      <c r="U524" s="17"/>
      <c r="V524" s="17"/>
      <c r="W524" s="17"/>
      <c r="X524" s="17"/>
      <c r="Y524" s="17"/>
      <c r="Z524" s="17"/>
    </row>
    <row r="525">
      <c r="A525" s="337"/>
      <c r="B525" s="164"/>
      <c r="C525" s="350"/>
      <c r="D525" s="349"/>
      <c r="E525" s="337"/>
      <c r="F525" s="164"/>
      <c r="G525" s="337"/>
      <c r="H525" s="164"/>
      <c r="I525" s="343"/>
      <c r="J525" s="183"/>
      <c r="K525" s="343"/>
      <c r="L525" s="183"/>
      <c r="M525" s="343"/>
      <c r="N525" s="183"/>
      <c r="O525" s="337"/>
      <c r="P525" s="164"/>
      <c r="Q525" s="201"/>
      <c r="R525" s="220"/>
      <c r="S525" s="17"/>
      <c r="T525" s="17"/>
      <c r="U525" s="17"/>
      <c r="V525" s="17"/>
      <c r="W525" s="17"/>
      <c r="X525" s="17"/>
      <c r="Y525" s="17"/>
      <c r="Z525" s="17"/>
    </row>
    <row r="526">
      <c r="A526" s="337"/>
      <c r="B526" s="164"/>
      <c r="C526" s="350"/>
      <c r="D526" s="349"/>
      <c r="E526" s="337"/>
      <c r="F526" s="164"/>
      <c r="G526" s="337"/>
      <c r="H526" s="164"/>
      <c r="I526" s="343"/>
      <c r="J526" s="183"/>
      <c r="K526" s="343"/>
      <c r="L526" s="183"/>
      <c r="M526" s="343"/>
      <c r="N526" s="183"/>
      <c r="O526" s="337"/>
      <c r="P526" s="164"/>
      <c r="Q526" s="201"/>
      <c r="R526" s="220"/>
      <c r="S526" s="17"/>
      <c r="T526" s="17"/>
      <c r="U526" s="17"/>
      <c r="V526" s="17"/>
      <c r="W526" s="17"/>
      <c r="X526" s="17"/>
      <c r="Y526" s="17"/>
      <c r="Z526" s="17"/>
    </row>
    <row r="527">
      <c r="A527" s="337"/>
      <c r="B527" s="164"/>
      <c r="C527" s="350"/>
      <c r="D527" s="349"/>
      <c r="E527" s="337"/>
      <c r="F527" s="164"/>
      <c r="G527" s="337"/>
      <c r="H527" s="164"/>
      <c r="I527" s="343"/>
      <c r="J527" s="183"/>
      <c r="K527" s="343"/>
      <c r="L527" s="183"/>
      <c r="M527" s="343"/>
      <c r="N527" s="183"/>
      <c r="O527" s="337"/>
      <c r="P527" s="164"/>
      <c r="Q527" s="201"/>
      <c r="R527" s="220"/>
      <c r="S527" s="17"/>
      <c r="T527" s="17"/>
      <c r="U527" s="17"/>
      <c r="V527" s="17"/>
      <c r="W527" s="17"/>
      <c r="X527" s="17"/>
      <c r="Y527" s="17"/>
      <c r="Z527" s="17"/>
    </row>
    <row r="528">
      <c r="A528" s="337"/>
      <c r="B528" s="164"/>
      <c r="C528" s="350"/>
      <c r="D528" s="349"/>
      <c r="E528" s="337"/>
      <c r="F528" s="164"/>
      <c r="G528" s="337"/>
      <c r="H528" s="164"/>
      <c r="I528" s="343"/>
      <c r="J528" s="183"/>
      <c r="K528" s="343"/>
      <c r="L528" s="183"/>
      <c r="M528" s="343"/>
      <c r="N528" s="183"/>
      <c r="O528" s="337"/>
      <c r="P528" s="164"/>
      <c r="Q528" s="201"/>
      <c r="R528" s="220"/>
      <c r="S528" s="17"/>
      <c r="T528" s="17"/>
      <c r="U528" s="17"/>
      <c r="V528" s="17"/>
      <c r="W528" s="17"/>
      <c r="X528" s="17"/>
      <c r="Y528" s="17"/>
      <c r="Z528" s="17"/>
    </row>
    <row r="529">
      <c r="A529" s="337"/>
      <c r="B529" s="164"/>
      <c r="C529" s="350"/>
      <c r="D529" s="349"/>
      <c r="E529" s="337"/>
      <c r="F529" s="164"/>
      <c r="G529" s="337"/>
      <c r="H529" s="164"/>
      <c r="I529" s="343"/>
      <c r="J529" s="183"/>
      <c r="K529" s="343"/>
      <c r="L529" s="183"/>
      <c r="M529" s="343"/>
      <c r="N529" s="183"/>
      <c r="O529" s="337"/>
      <c r="P529" s="164"/>
      <c r="Q529" s="201"/>
      <c r="R529" s="220"/>
      <c r="S529" s="17"/>
      <c r="T529" s="17"/>
      <c r="U529" s="17"/>
      <c r="V529" s="17"/>
      <c r="W529" s="17"/>
      <c r="X529" s="17"/>
      <c r="Y529" s="17"/>
      <c r="Z529" s="17"/>
    </row>
    <row r="530">
      <c r="A530" s="337"/>
      <c r="B530" s="164"/>
      <c r="C530" s="350"/>
      <c r="D530" s="349"/>
      <c r="E530" s="337"/>
      <c r="F530" s="164"/>
      <c r="G530" s="337"/>
      <c r="H530" s="164"/>
      <c r="I530" s="343"/>
      <c r="J530" s="183"/>
      <c r="K530" s="343"/>
      <c r="L530" s="183"/>
      <c r="M530" s="343"/>
      <c r="N530" s="183"/>
      <c r="O530" s="337"/>
      <c r="P530" s="164"/>
      <c r="Q530" s="201"/>
      <c r="R530" s="220"/>
      <c r="S530" s="17"/>
      <c r="T530" s="17"/>
      <c r="U530" s="17"/>
      <c r="V530" s="17"/>
      <c r="W530" s="17"/>
      <c r="X530" s="17"/>
      <c r="Y530" s="17"/>
      <c r="Z530" s="17"/>
    </row>
    <row r="531">
      <c r="A531" s="337"/>
      <c r="B531" s="164"/>
      <c r="C531" s="350"/>
      <c r="D531" s="349"/>
      <c r="E531" s="337"/>
      <c r="F531" s="164"/>
      <c r="G531" s="337"/>
      <c r="H531" s="164"/>
      <c r="I531" s="343"/>
      <c r="J531" s="183"/>
      <c r="K531" s="343"/>
      <c r="L531" s="183"/>
      <c r="M531" s="343"/>
      <c r="N531" s="183"/>
      <c r="O531" s="337"/>
      <c r="P531" s="164"/>
      <c r="Q531" s="201"/>
      <c r="R531" s="201"/>
      <c r="S531" s="17"/>
      <c r="T531" s="17"/>
      <c r="U531" s="17"/>
      <c r="V531" s="17"/>
      <c r="W531" s="17"/>
      <c r="X531" s="17"/>
      <c r="Y531" s="17"/>
      <c r="Z531" s="17"/>
    </row>
    <row r="532">
      <c r="A532" s="337"/>
      <c r="B532" s="164"/>
      <c r="C532" s="350"/>
      <c r="D532" s="349"/>
      <c r="E532" s="337"/>
      <c r="F532" s="164"/>
      <c r="G532" s="337"/>
      <c r="H532" s="164"/>
      <c r="I532" s="343"/>
      <c r="J532" s="183"/>
      <c r="K532" s="343"/>
      <c r="L532" s="183"/>
      <c r="M532" s="343"/>
      <c r="N532" s="183"/>
      <c r="O532" s="337"/>
      <c r="P532" s="164"/>
      <c r="Q532" s="201"/>
      <c r="R532" s="201"/>
      <c r="S532" s="17"/>
      <c r="T532" s="17"/>
      <c r="U532" s="17"/>
      <c r="V532" s="17"/>
      <c r="W532" s="17"/>
      <c r="X532" s="17"/>
      <c r="Y532" s="17"/>
      <c r="Z532" s="17"/>
    </row>
    <row r="533">
      <c r="A533" s="337"/>
      <c r="B533" s="164"/>
      <c r="C533" s="350"/>
      <c r="D533" s="349"/>
      <c r="E533" s="337"/>
      <c r="F533" s="164"/>
      <c r="G533" s="337"/>
      <c r="H533" s="164"/>
      <c r="I533" s="343"/>
      <c r="J533" s="183"/>
      <c r="K533" s="343"/>
      <c r="L533" s="183"/>
      <c r="M533" s="343"/>
      <c r="N533" s="183"/>
      <c r="O533" s="337"/>
      <c r="P533" s="164"/>
      <c r="Q533" s="201"/>
      <c r="R533" s="201"/>
      <c r="S533" s="17"/>
      <c r="T533" s="17"/>
      <c r="U533" s="17"/>
      <c r="V533" s="17"/>
      <c r="W533" s="17"/>
      <c r="X533" s="17"/>
      <c r="Y533" s="17"/>
      <c r="Z533" s="17"/>
    </row>
    <row r="534">
      <c r="A534" s="337"/>
      <c r="B534" s="164"/>
      <c r="C534" s="350"/>
      <c r="D534" s="349"/>
      <c r="E534" s="337"/>
      <c r="F534" s="164"/>
      <c r="G534" s="337"/>
      <c r="H534" s="164"/>
      <c r="I534" s="343"/>
      <c r="J534" s="183"/>
      <c r="K534" s="343"/>
      <c r="L534" s="183"/>
      <c r="M534" s="343"/>
      <c r="N534" s="183"/>
      <c r="O534" s="337"/>
      <c r="P534" s="164"/>
      <c r="Q534" s="201"/>
      <c r="R534" s="201"/>
      <c r="S534" s="17"/>
      <c r="T534" s="17"/>
      <c r="U534" s="17"/>
      <c r="V534" s="17"/>
      <c r="W534" s="17"/>
      <c r="X534" s="17"/>
      <c r="Y534" s="17"/>
      <c r="Z534" s="17"/>
    </row>
    <row r="535">
      <c r="A535" s="337"/>
      <c r="B535" s="164"/>
      <c r="C535" s="350"/>
      <c r="D535" s="349"/>
      <c r="E535" s="337"/>
      <c r="F535" s="164"/>
      <c r="G535" s="337"/>
      <c r="H535" s="164"/>
      <c r="I535" s="343"/>
      <c r="J535" s="183"/>
      <c r="K535" s="343"/>
      <c r="L535" s="183"/>
      <c r="M535" s="343"/>
      <c r="N535" s="183"/>
      <c r="O535" s="337"/>
      <c r="P535" s="164"/>
      <c r="Q535" s="201"/>
      <c r="R535" s="201"/>
      <c r="S535" s="17"/>
      <c r="T535" s="17"/>
      <c r="U535" s="17"/>
      <c r="V535" s="17"/>
      <c r="W535" s="17"/>
      <c r="X535" s="17"/>
      <c r="Y535" s="17"/>
      <c r="Z535" s="17"/>
    </row>
    <row r="536">
      <c r="A536" s="337"/>
      <c r="B536" s="164"/>
      <c r="C536" s="350"/>
      <c r="D536" s="349"/>
      <c r="E536" s="337"/>
      <c r="F536" s="164"/>
      <c r="G536" s="337"/>
      <c r="H536" s="164"/>
      <c r="I536" s="343"/>
      <c r="J536" s="183"/>
      <c r="K536" s="343"/>
      <c r="L536" s="183"/>
      <c r="M536" s="343"/>
      <c r="N536" s="183"/>
      <c r="O536" s="337"/>
      <c r="P536" s="164"/>
      <c r="Q536" s="201"/>
      <c r="R536" s="201"/>
      <c r="S536" s="17"/>
      <c r="T536" s="17"/>
      <c r="U536" s="17"/>
      <c r="V536" s="17"/>
      <c r="W536" s="17"/>
      <c r="X536" s="17"/>
      <c r="Y536" s="17"/>
      <c r="Z536" s="17"/>
    </row>
    <row r="537">
      <c r="A537" s="337"/>
      <c r="B537" s="164"/>
      <c r="C537" s="350"/>
      <c r="D537" s="349"/>
      <c r="E537" s="337"/>
      <c r="F537" s="164"/>
      <c r="G537" s="337"/>
      <c r="H537" s="164"/>
      <c r="I537" s="343"/>
      <c r="J537" s="183"/>
      <c r="K537" s="343"/>
      <c r="L537" s="183"/>
      <c r="M537" s="343"/>
      <c r="N537" s="183"/>
      <c r="O537" s="337"/>
      <c r="P537" s="164"/>
      <c r="Q537" s="201"/>
      <c r="R537" s="201"/>
      <c r="S537" s="17"/>
      <c r="T537" s="17"/>
      <c r="U537" s="17"/>
      <c r="V537" s="17"/>
      <c r="W537" s="17"/>
      <c r="X537" s="17"/>
      <c r="Y537" s="17"/>
      <c r="Z537" s="17"/>
    </row>
    <row r="538">
      <c r="A538" s="337"/>
      <c r="B538" s="164"/>
      <c r="C538" s="350"/>
      <c r="D538" s="349"/>
      <c r="E538" s="337"/>
      <c r="F538" s="164"/>
      <c r="G538" s="337"/>
      <c r="H538" s="164"/>
      <c r="I538" s="343"/>
      <c r="J538" s="183"/>
      <c r="K538" s="343"/>
      <c r="L538" s="183"/>
      <c r="M538" s="343"/>
      <c r="N538" s="183"/>
      <c r="O538" s="337"/>
      <c r="P538" s="164"/>
      <c r="Q538" s="201"/>
      <c r="R538" s="201"/>
      <c r="S538" s="17"/>
      <c r="T538" s="17"/>
      <c r="U538" s="17"/>
      <c r="V538" s="17"/>
      <c r="W538" s="17"/>
      <c r="X538" s="17"/>
      <c r="Y538" s="17"/>
      <c r="Z538" s="17"/>
    </row>
    <row r="539">
      <c r="A539" s="337"/>
      <c r="B539" s="164"/>
      <c r="C539" s="350"/>
      <c r="D539" s="349"/>
      <c r="E539" s="337"/>
      <c r="F539" s="164"/>
      <c r="G539" s="337"/>
      <c r="H539" s="164"/>
      <c r="I539" s="343"/>
      <c r="J539" s="183"/>
      <c r="K539" s="343"/>
      <c r="L539" s="183"/>
      <c r="M539" s="343"/>
      <c r="N539" s="183"/>
      <c r="O539" s="337"/>
      <c r="P539" s="164"/>
      <c r="Q539" s="201"/>
      <c r="R539" s="201"/>
      <c r="S539" s="17"/>
      <c r="T539" s="17"/>
      <c r="U539" s="17"/>
      <c r="V539" s="17"/>
      <c r="W539" s="17"/>
      <c r="X539" s="17"/>
      <c r="Y539" s="17"/>
      <c r="Z539" s="17"/>
    </row>
    <row r="540">
      <c r="A540" s="337"/>
      <c r="B540" s="164"/>
      <c r="C540" s="350"/>
      <c r="D540" s="349"/>
      <c r="E540" s="337"/>
      <c r="F540" s="164"/>
      <c r="G540" s="337"/>
      <c r="H540" s="164"/>
      <c r="I540" s="343"/>
      <c r="J540" s="183"/>
      <c r="K540" s="343"/>
      <c r="L540" s="183"/>
      <c r="M540" s="343"/>
      <c r="N540" s="183"/>
      <c r="O540" s="337"/>
      <c r="P540" s="164"/>
      <c r="Q540" s="201"/>
      <c r="R540" s="201"/>
      <c r="S540" s="17"/>
      <c r="T540" s="17"/>
      <c r="U540" s="17"/>
      <c r="V540" s="17"/>
      <c r="W540" s="17"/>
      <c r="X540" s="17"/>
      <c r="Y540" s="17"/>
      <c r="Z540" s="17"/>
    </row>
    <row r="541">
      <c r="A541" s="337"/>
      <c r="B541" s="164"/>
      <c r="C541" s="350"/>
      <c r="D541" s="349"/>
      <c r="E541" s="337"/>
      <c r="F541" s="164"/>
      <c r="G541" s="337"/>
      <c r="H541" s="164"/>
      <c r="I541" s="343"/>
      <c r="J541" s="183"/>
      <c r="K541" s="343"/>
      <c r="L541" s="183"/>
      <c r="M541" s="343"/>
      <c r="N541" s="183"/>
      <c r="O541" s="337"/>
      <c r="P541" s="164"/>
      <c r="Q541" s="201"/>
      <c r="R541" s="201"/>
      <c r="S541" s="17"/>
      <c r="T541" s="17"/>
      <c r="U541" s="17"/>
      <c r="V541" s="17"/>
      <c r="W541" s="17"/>
      <c r="X541" s="17"/>
      <c r="Y541" s="17"/>
      <c r="Z541" s="17"/>
    </row>
    <row r="542">
      <c r="A542" s="337"/>
      <c r="B542" s="164"/>
      <c r="C542" s="350"/>
      <c r="D542" s="349"/>
      <c r="E542" s="337"/>
      <c r="F542" s="164"/>
      <c r="G542" s="337"/>
      <c r="H542" s="164"/>
      <c r="I542" s="343"/>
      <c r="J542" s="183"/>
      <c r="K542" s="343"/>
      <c r="L542" s="183"/>
      <c r="M542" s="343"/>
      <c r="N542" s="183"/>
      <c r="O542" s="337"/>
      <c r="P542" s="164"/>
      <c r="Q542" s="201"/>
      <c r="R542" s="201"/>
      <c r="S542" s="17"/>
      <c r="T542" s="17"/>
      <c r="U542" s="17"/>
      <c r="V542" s="17"/>
      <c r="W542" s="17"/>
      <c r="X542" s="17"/>
      <c r="Y542" s="17"/>
      <c r="Z542" s="17"/>
    </row>
    <row r="543">
      <c r="A543" s="337"/>
      <c r="B543" s="164"/>
      <c r="C543" s="350"/>
      <c r="D543" s="349"/>
      <c r="E543" s="337"/>
      <c r="F543" s="164"/>
      <c r="G543" s="337"/>
      <c r="H543" s="164"/>
      <c r="I543" s="343"/>
      <c r="J543" s="183"/>
      <c r="K543" s="343"/>
      <c r="L543" s="183"/>
      <c r="M543" s="343"/>
      <c r="N543" s="183"/>
      <c r="O543" s="337"/>
      <c r="P543" s="164"/>
      <c r="Q543" s="201"/>
      <c r="R543" s="201"/>
      <c r="S543" s="17"/>
      <c r="T543" s="17"/>
      <c r="U543" s="17"/>
      <c r="V543" s="17"/>
      <c r="W543" s="17"/>
      <c r="X543" s="17"/>
      <c r="Y543" s="17"/>
      <c r="Z543" s="17"/>
    </row>
    <row r="544">
      <c r="A544" s="337"/>
      <c r="B544" s="164"/>
      <c r="C544" s="350"/>
      <c r="D544" s="349"/>
      <c r="E544" s="337"/>
      <c r="F544" s="164"/>
      <c r="G544" s="337"/>
      <c r="H544" s="164"/>
      <c r="I544" s="343"/>
      <c r="J544" s="183"/>
      <c r="K544" s="343"/>
      <c r="L544" s="183"/>
      <c r="M544" s="343"/>
      <c r="N544" s="183"/>
      <c r="O544" s="337"/>
      <c r="P544" s="164"/>
      <c r="Q544" s="201"/>
      <c r="R544" s="201"/>
      <c r="S544" s="17"/>
      <c r="T544" s="17"/>
      <c r="U544" s="17"/>
      <c r="V544" s="17"/>
      <c r="W544" s="17"/>
      <c r="X544" s="17"/>
      <c r="Y544" s="17"/>
      <c r="Z544" s="17"/>
    </row>
    <row r="545">
      <c r="A545" s="337"/>
      <c r="B545" s="164"/>
      <c r="C545" s="350"/>
      <c r="D545" s="349"/>
      <c r="E545" s="337"/>
      <c r="F545" s="164"/>
      <c r="G545" s="337"/>
      <c r="H545" s="164"/>
      <c r="I545" s="343"/>
      <c r="J545" s="183"/>
      <c r="K545" s="343"/>
      <c r="L545" s="183"/>
      <c r="M545" s="343"/>
      <c r="N545" s="183"/>
      <c r="O545" s="337"/>
      <c r="P545" s="164"/>
      <c r="Q545" s="201"/>
      <c r="R545" s="201"/>
      <c r="S545" s="17"/>
      <c r="T545" s="17"/>
      <c r="U545" s="17"/>
      <c r="V545" s="17"/>
      <c r="W545" s="17"/>
      <c r="X545" s="17"/>
      <c r="Y545" s="17"/>
      <c r="Z545" s="17"/>
    </row>
    <row r="546">
      <c r="A546" s="337"/>
      <c r="B546" s="164"/>
      <c r="C546" s="350"/>
      <c r="D546" s="349"/>
      <c r="E546" s="337"/>
      <c r="F546" s="164"/>
      <c r="G546" s="337"/>
      <c r="H546" s="164"/>
      <c r="I546" s="343"/>
      <c r="J546" s="183"/>
      <c r="K546" s="343"/>
      <c r="L546" s="183"/>
      <c r="M546" s="343"/>
      <c r="N546" s="183"/>
      <c r="O546" s="337"/>
      <c r="P546" s="164"/>
      <c r="Q546" s="201"/>
      <c r="R546" s="201"/>
      <c r="S546" s="17"/>
      <c r="T546" s="17"/>
      <c r="U546" s="17"/>
      <c r="V546" s="17"/>
      <c r="W546" s="17"/>
      <c r="X546" s="17"/>
      <c r="Y546" s="17"/>
      <c r="Z546" s="17"/>
    </row>
    <row r="547">
      <c r="A547" s="337"/>
      <c r="B547" s="164"/>
      <c r="C547" s="350"/>
      <c r="D547" s="349"/>
      <c r="E547" s="337"/>
      <c r="F547" s="164"/>
      <c r="G547" s="337"/>
      <c r="H547" s="164"/>
      <c r="I547" s="343"/>
      <c r="J547" s="183"/>
      <c r="K547" s="343"/>
      <c r="L547" s="183"/>
      <c r="M547" s="343"/>
      <c r="N547" s="183"/>
      <c r="O547" s="337"/>
      <c r="P547" s="164"/>
      <c r="Q547" s="201"/>
      <c r="R547" s="201"/>
      <c r="S547" s="17"/>
      <c r="T547" s="17"/>
      <c r="U547" s="17"/>
      <c r="V547" s="17"/>
      <c r="W547" s="17"/>
      <c r="X547" s="17"/>
      <c r="Y547" s="17"/>
      <c r="Z547" s="17"/>
    </row>
    <row r="548">
      <c r="A548" s="337"/>
      <c r="B548" s="164"/>
      <c r="C548" s="350"/>
      <c r="D548" s="349"/>
      <c r="E548" s="337"/>
      <c r="F548" s="164"/>
      <c r="G548" s="337"/>
      <c r="H548" s="164"/>
      <c r="I548" s="343"/>
      <c r="J548" s="183"/>
      <c r="K548" s="343"/>
      <c r="L548" s="183"/>
      <c r="M548" s="343"/>
      <c r="N548" s="183"/>
      <c r="O548" s="337"/>
      <c r="P548" s="164"/>
      <c r="Q548" s="201"/>
      <c r="R548" s="201"/>
      <c r="S548" s="17"/>
      <c r="T548" s="17"/>
      <c r="U548" s="17"/>
      <c r="V548" s="17"/>
      <c r="W548" s="17"/>
      <c r="X548" s="17"/>
      <c r="Y548" s="17"/>
      <c r="Z548" s="17"/>
    </row>
    <row r="549">
      <c r="A549" s="337"/>
      <c r="B549" s="164"/>
      <c r="C549" s="350"/>
      <c r="D549" s="349"/>
      <c r="E549" s="337"/>
      <c r="F549" s="164"/>
      <c r="G549" s="337"/>
      <c r="H549" s="164"/>
      <c r="I549" s="343"/>
      <c r="J549" s="183"/>
      <c r="K549" s="343"/>
      <c r="L549" s="183"/>
      <c r="M549" s="343"/>
      <c r="N549" s="183"/>
      <c r="O549" s="337"/>
      <c r="P549" s="164"/>
      <c r="Q549" s="201"/>
      <c r="R549" s="201"/>
      <c r="S549" s="17"/>
      <c r="T549" s="17"/>
      <c r="U549" s="17"/>
      <c r="V549" s="17"/>
      <c r="W549" s="17"/>
      <c r="X549" s="17"/>
      <c r="Y549" s="17"/>
      <c r="Z549" s="17"/>
    </row>
    <row r="550">
      <c r="A550" s="337"/>
      <c r="B550" s="164"/>
      <c r="C550" s="350"/>
      <c r="D550" s="349"/>
      <c r="E550" s="337"/>
      <c r="F550" s="164"/>
      <c r="G550" s="337"/>
      <c r="H550" s="164"/>
      <c r="I550" s="343"/>
      <c r="J550" s="183"/>
      <c r="K550" s="343"/>
      <c r="L550" s="183"/>
      <c r="M550" s="343"/>
      <c r="N550" s="183"/>
      <c r="O550" s="337"/>
      <c r="P550" s="164"/>
      <c r="Q550" s="201"/>
      <c r="R550" s="201"/>
      <c r="S550" s="17"/>
      <c r="T550" s="17"/>
      <c r="U550" s="17"/>
      <c r="V550" s="17"/>
      <c r="W550" s="17"/>
      <c r="X550" s="17"/>
      <c r="Y550" s="17"/>
      <c r="Z550" s="17"/>
    </row>
    <row r="551">
      <c r="A551" s="337"/>
      <c r="B551" s="164"/>
      <c r="C551" s="350"/>
      <c r="D551" s="349"/>
      <c r="E551" s="337"/>
      <c r="F551" s="164"/>
      <c r="G551" s="337"/>
      <c r="H551" s="164"/>
      <c r="I551" s="343"/>
      <c r="J551" s="183"/>
      <c r="K551" s="343"/>
      <c r="L551" s="183"/>
      <c r="M551" s="343"/>
      <c r="N551" s="183"/>
      <c r="O551" s="337"/>
      <c r="P551" s="164"/>
      <c r="Q551" s="201"/>
      <c r="R551" s="201"/>
      <c r="S551" s="17"/>
      <c r="T551" s="17"/>
      <c r="U551" s="17"/>
      <c r="V551" s="17"/>
      <c r="W551" s="17"/>
      <c r="X551" s="17"/>
      <c r="Y551" s="17"/>
      <c r="Z551" s="17"/>
    </row>
    <row r="552">
      <c r="A552" s="337"/>
      <c r="B552" s="164"/>
      <c r="C552" s="350"/>
      <c r="D552" s="349"/>
      <c r="E552" s="337"/>
      <c r="F552" s="164"/>
      <c r="G552" s="337"/>
      <c r="H552" s="164"/>
      <c r="I552" s="343"/>
      <c r="J552" s="183"/>
      <c r="K552" s="343"/>
      <c r="L552" s="183"/>
      <c r="M552" s="343"/>
      <c r="N552" s="183"/>
      <c r="O552" s="337"/>
      <c r="P552" s="164"/>
      <c r="Q552" s="201"/>
      <c r="R552" s="201"/>
      <c r="S552" s="17"/>
      <c r="T552" s="17"/>
      <c r="U552" s="17"/>
      <c r="V552" s="17"/>
      <c r="W552" s="17"/>
      <c r="X552" s="17"/>
      <c r="Y552" s="17"/>
      <c r="Z552" s="17"/>
    </row>
    <row r="553">
      <c r="A553" s="337"/>
      <c r="B553" s="164"/>
      <c r="C553" s="350"/>
      <c r="D553" s="349"/>
      <c r="E553" s="337"/>
      <c r="F553" s="164"/>
      <c r="G553" s="337"/>
      <c r="H553" s="164"/>
      <c r="I553" s="343"/>
      <c r="J553" s="183"/>
      <c r="K553" s="343"/>
      <c r="L553" s="183"/>
      <c r="M553" s="343"/>
      <c r="N553" s="183"/>
      <c r="O553" s="337"/>
      <c r="P553" s="164"/>
      <c r="Q553" s="201"/>
      <c r="R553" s="201"/>
      <c r="S553" s="17"/>
      <c r="T553" s="17"/>
      <c r="U553" s="17"/>
      <c r="V553" s="17"/>
      <c r="W553" s="17"/>
      <c r="X553" s="17"/>
      <c r="Y553" s="17"/>
      <c r="Z553" s="17"/>
    </row>
    <row r="554">
      <c r="A554" s="337"/>
      <c r="B554" s="164"/>
      <c r="C554" s="350"/>
      <c r="D554" s="349"/>
      <c r="E554" s="337"/>
      <c r="F554" s="164"/>
      <c r="G554" s="337"/>
      <c r="H554" s="164"/>
      <c r="I554" s="343"/>
      <c r="J554" s="183"/>
      <c r="K554" s="343"/>
      <c r="L554" s="183"/>
      <c r="M554" s="343"/>
      <c r="N554" s="183"/>
      <c r="O554" s="337"/>
      <c r="P554" s="164"/>
      <c r="Q554" s="201"/>
      <c r="R554" s="201"/>
      <c r="S554" s="17"/>
      <c r="T554" s="17"/>
      <c r="U554" s="17"/>
      <c r="V554" s="17"/>
      <c r="W554" s="17"/>
      <c r="X554" s="17"/>
      <c r="Y554" s="17"/>
      <c r="Z554" s="17"/>
    </row>
    <row r="555">
      <c r="A555" s="337"/>
      <c r="B555" s="164"/>
      <c r="C555" s="350"/>
      <c r="D555" s="349"/>
      <c r="E555" s="337"/>
      <c r="F555" s="164"/>
      <c r="G555" s="337"/>
      <c r="H555" s="164"/>
      <c r="I555" s="343"/>
      <c r="J555" s="183"/>
      <c r="K555" s="343"/>
      <c r="L555" s="183"/>
      <c r="M555" s="343"/>
      <c r="N555" s="183"/>
      <c r="O555" s="337"/>
      <c r="P555" s="164"/>
      <c r="Q555" s="201"/>
      <c r="R555" s="201"/>
      <c r="S555" s="17"/>
      <c r="T555" s="17"/>
      <c r="U555" s="17"/>
      <c r="V555" s="17"/>
      <c r="W555" s="17"/>
      <c r="X555" s="17"/>
      <c r="Y555" s="17"/>
      <c r="Z555" s="17"/>
    </row>
    <row r="556">
      <c r="A556" s="337"/>
      <c r="B556" s="164"/>
      <c r="C556" s="350"/>
      <c r="D556" s="349"/>
      <c r="E556" s="337"/>
      <c r="F556" s="164"/>
      <c r="G556" s="337"/>
      <c r="H556" s="164"/>
      <c r="I556" s="343"/>
      <c r="J556" s="183"/>
      <c r="K556" s="343"/>
      <c r="L556" s="183"/>
      <c r="M556" s="343"/>
      <c r="N556" s="183"/>
      <c r="O556" s="337"/>
      <c r="P556" s="164"/>
      <c r="Q556" s="201"/>
      <c r="R556" s="201"/>
      <c r="S556" s="17"/>
      <c r="T556" s="17"/>
      <c r="U556" s="17"/>
      <c r="V556" s="17"/>
      <c r="W556" s="17"/>
      <c r="X556" s="17"/>
      <c r="Y556" s="17"/>
      <c r="Z556" s="17"/>
    </row>
    <row r="557">
      <c r="A557" s="337"/>
      <c r="B557" s="164"/>
      <c r="C557" s="350"/>
      <c r="D557" s="349"/>
      <c r="E557" s="337"/>
      <c r="F557" s="164"/>
      <c r="G557" s="337"/>
      <c r="H557" s="164"/>
      <c r="I557" s="343"/>
      <c r="J557" s="183"/>
      <c r="K557" s="343"/>
      <c r="L557" s="183"/>
      <c r="M557" s="343"/>
      <c r="N557" s="183"/>
      <c r="O557" s="337"/>
      <c r="P557" s="164"/>
      <c r="Q557" s="201"/>
      <c r="R557" s="201"/>
      <c r="S557" s="17"/>
      <c r="T557" s="17"/>
      <c r="U557" s="17"/>
      <c r="V557" s="17"/>
      <c r="W557" s="17"/>
      <c r="X557" s="17"/>
      <c r="Y557" s="17"/>
      <c r="Z557" s="17"/>
    </row>
    <row r="558">
      <c r="A558" s="337"/>
      <c r="B558" s="164"/>
      <c r="C558" s="350"/>
      <c r="D558" s="349"/>
      <c r="E558" s="337"/>
      <c r="F558" s="164"/>
      <c r="G558" s="337"/>
      <c r="H558" s="164"/>
      <c r="I558" s="343"/>
      <c r="J558" s="183"/>
      <c r="K558" s="343"/>
      <c r="L558" s="183"/>
      <c r="M558" s="343"/>
      <c r="N558" s="183"/>
      <c r="O558" s="337"/>
      <c r="P558" s="164"/>
      <c r="Q558" s="201"/>
      <c r="R558" s="201"/>
      <c r="S558" s="17"/>
      <c r="T558" s="17"/>
      <c r="U558" s="17"/>
      <c r="V558" s="17"/>
      <c r="W558" s="17"/>
      <c r="X558" s="17"/>
      <c r="Y558" s="17"/>
      <c r="Z558" s="17"/>
    </row>
    <row r="559">
      <c r="A559" s="337"/>
      <c r="B559" s="164"/>
      <c r="C559" s="350"/>
      <c r="D559" s="349"/>
      <c r="E559" s="337"/>
      <c r="F559" s="164"/>
      <c r="G559" s="337"/>
      <c r="H559" s="164"/>
      <c r="I559" s="343"/>
      <c r="J559" s="183"/>
      <c r="K559" s="343"/>
      <c r="L559" s="183"/>
      <c r="M559" s="343"/>
      <c r="N559" s="183"/>
      <c r="O559" s="337"/>
      <c r="P559" s="164"/>
      <c r="Q559" s="201"/>
      <c r="R559" s="201"/>
      <c r="S559" s="17"/>
      <c r="T559" s="17"/>
      <c r="U559" s="17"/>
      <c r="V559" s="17"/>
      <c r="W559" s="17"/>
      <c r="X559" s="17"/>
      <c r="Y559" s="17"/>
      <c r="Z559" s="17"/>
    </row>
    <row r="560">
      <c r="A560" s="337"/>
      <c r="B560" s="164"/>
      <c r="C560" s="350"/>
      <c r="D560" s="349"/>
      <c r="E560" s="337"/>
      <c r="F560" s="164"/>
      <c r="G560" s="337"/>
      <c r="H560" s="164"/>
      <c r="I560" s="343"/>
      <c r="J560" s="183"/>
      <c r="K560" s="343"/>
      <c r="L560" s="183"/>
      <c r="M560" s="343"/>
      <c r="N560" s="183"/>
      <c r="O560" s="337"/>
      <c r="P560" s="164"/>
      <c r="Q560" s="201"/>
      <c r="R560" s="201"/>
      <c r="S560" s="17"/>
      <c r="T560" s="17"/>
      <c r="U560" s="17"/>
      <c r="V560" s="17"/>
      <c r="W560" s="17"/>
      <c r="X560" s="17"/>
      <c r="Y560" s="17"/>
      <c r="Z560" s="17"/>
    </row>
    <row r="561">
      <c r="A561" s="337"/>
      <c r="B561" s="164"/>
      <c r="C561" s="350"/>
      <c r="D561" s="349"/>
      <c r="E561" s="337"/>
      <c r="F561" s="164"/>
      <c r="G561" s="337"/>
      <c r="H561" s="164"/>
      <c r="I561" s="343"/>
      <c r="J561" s="183"/>
      <c r="K561" s="343"/>
      <c r="L561" s="183"/>
      <c r="M561" s="343"/>
      <c r="N561" s="183"/>
      <c r="O561" s="337"/>
      <c r="P561" s="164"/>
      <c r="Q561" s="201"/>
      <c r="R561" s="201"/>
      <c r="S561" s="17"/>
      <c r="T561" s="17"/>
      <c r="U561" s="17"/>
      <c r="V561" s="17"/>
      <c r="W561" s="17"/>
      <c r="X561" s="17"/>
      <c r="Y561" s="17"/>
      <c r="Z561" s="17"/>
    </row>
    <row r="562">
      <c r="A562" s="337"/>
      <c r="B562" s="164"/>
      <c r="C562" s="350"/>
      <c r="D562" s="349"/>
      <c r="E562" s="337"/>
      <c r="F562" s="164"/>
      <c r="G562" s="337"/>
      <c r="H562" s="164"/>
      <c r="I562" s="343"/>
      <c r="J562" s="183"/>
      <c r="K562" s="343"/>
      <c r="L562" s="183"/>
      <c r="M562" s="343"/>
      <c r="N562" s="183"/>
      <c r="O562" s="337"/>
      <c r="P562" s="164"/>
      <c r="Q562" s="201"/>
      <c r="R562" s="201"/>
      <c r="S562" s="17"/>
      <c r="T562" s="17"/>
      <c r="U562" s="17"/>
      <c r="V562" s="17"/>
      <c r="W562" s="17"/>
      <c r="X562" s="17"/>
      <c r="Y562" s="17"/>
      <c r="Z562" s="17"/>
    </row>
    <row r="563">
      <c r="A563" s="337"/>
      <c r="B563" s="164"/>
      <c r="C563" s="350"/>
      <c r="D563" s="349"/>
      <c r="E563" s="337"/>
      <c r="F563" s="164"/>
      <c r="G563" s="337"/>
      <c r="H563" s="164"/>
      <c r="I563" s="343"/>
      <c r="J563" s="183"/>
      <c r="K563" s="343"/>
      <c r="L563" s="183"/>
      <c r="M563" s="343"/>
      <c r="N563" s="183"/>
      <c r="O563" s="337"/>
      <c r="P563" s="164"/>
      <c r="Q563" s="201"/>
      <c r="R563" s="201"/>
      <c r="S563" s="17"/>
      <c r="T563" s="17"/>
      <c r="U563" s="17"/>
      <c r="V563" s="17"/>
      <c r="W563" s="17"/>
      <c r="X563" s="17"/>
      <c r="Y563" s="17"/>
      <c r="Z563" s="17"/>
    </row>
    <row r="564">
      <c r="A564" s="337"/>
      <c r="B564" s="164"/>
      <c r="C564" s="350"/>
      <c r="D564" s="349"/>
      <c r="E564" s="337"/>
      <c r="F564" s="164"/>
      <c r="G564" s="337"/>
      <c r="H564" s="164"/>
      <c r="I564" s="343"/>
      <c r="J564" s="183"/>
      <c r="K564" s="343"/>
      <c r="L564" s="183"/>
      <c r="M564" s="343"/>
      <c r="N564" s="183"/>
      <c r="O564" s="337"/>
      <c r="P564" s="164"/>
      <c r="Q564" s="201"/>
      <c r="R564" s="201"/>
      <c r="S564" s="17"/>
      <c r="T564" s="17"/>
      <c r="U564" s="17"/>
      <c r="V564" s="17"/>
      <c r="W564" s="17"/>
      <c r="X564" s="17"/>
      <c r="Y564" s="17"/>
      <c r="Z564" s="17"/>
    </row>
    <row r="565">
      <c r="A565" s="337"/>
      <c r="B565" s="164"/>
      <c r="C565" s="350"/>
      <c r="D565" s="349"/>
      <c r="E565" s="337"/>
      <c r="F565" s="164"/>
      <c r="G565" s="337"/>
      <c r="H565" s="164"/>
      <c r="I565" s="343"/>
      <c r="J565" s="183"/>
      <c r="K565" s="343"/>
      <c r="L565" s="183"/>
      <c r="M565" s="343"/>
      <c r="N565" s="183"/>
      <c r="O565" s="337"/>
      <c r="P565" s="164"/>
      <c r="Q565" s="201"/>
      <c r="R565" s="201"/>
      <c r="S565" s="17"/>
      <c r="T565" s="17"/>
      <c r="U565" s="17"/>
      <c r="V565" s="17"/>
      <c r="W565" s="17"/>
      <c r="X565" s="17"/>
      <c r="Y565" s="17"/>
      <c r="Z565" s="17"/>
    </row>
    <row r="566">
      <c r="A566" s="337"/>
      <c r="B566" s="164"/>
      <c r="C566" s="350"/>
      <c r="D566" s="349"/>
      <c r="E566" s="337"/>
      <c r="F566" s="164"/>
      <c r="G566" s="337"/>
      <c r="H566" s="164"/>
      <c r="I566" s="343"/>
      <c r="J566" s="183"/>
      <c r="K566" s="343"/>
      <c r="L566" s="183"/>
      <c r="M566" s="343"/>
      <c r="N566" s="183"/>
      <c r="O566" s="337"/>
      <c r="P566" s="164"/>
      <c r="Q566" s="201"/>
      <c r="R566" s="201"/>
      <c r="S566" s="17"/>
      <c r="T566" s="17"/>
      <c r="U566" s="17"/>
      <c r="V566" s="17"/>
      <c r="W566" s="17"/>
      <c r="X566" s="17"/>
      <c r="Y566" s="17"/>
      <c r="Z566" s="17"/>
    </row>
    <row r="567">
      <c r="A567" s="337"/>
      <c r="B567" s="164"/>
      <c r="C567" s="350"/>
      <c r="D567" s="349"/>
      <c r="E567" s="337"/>
      <c r="F567" s="164"/>
      <c r="G567" s="337"/>
      <c r="H567" s="164"/>
      <c r="I567" s="343"/>
      <c r="J567" s="183"/>
      <c r="K567" s="343"/>
      <c r="L567" s="183"/>
      <c r="M567" s="343"/>
      <c r="N567" s="183"/>
      <c r="O567" s="337"/>
      <c r="P567" s="164"/>
      <c r="Q567" s="201"/>
      <c r="R567" s="201"/>
      <c r="S567" s="17"/>
      <c r="T567" s="17"/>
      <c r="U567" s="17"/>
      <c r="V567" s="17"/>
      <c r="W567" s="17"/>
      <c r="X567" s="17"/>
      <c r="Y567" s="17"/>
      <c r="Z567" s="17"/>
    </row>
    <row r="568">
      <c r="A568" s="337"/>
      <c r="B568" s="164"/>
      <c r="C568" s="350"/>
      <c r="D568" s="349"/>
      <c r="E568" s="337"/>
      <c r="F568" s="164"/>
      <c r="G568" s="337"/>
      <c r="H568" s="164"/>
      <c r="I568" s="343"/>
      <c r="J568" s="183"/>
      <c r="K568" s="343"/>
      <c r="L568" s="183"/>
      <c r="M568" s="343"/>
      <c r="N568" s="183"/>
      <c r="O568" s="337"/>
      <c r="P568" s="164"/>
      <c r="Q568" s="201"/>
      <c r="R568" s="201"/>
      <c r="S568" s="17"/>
      <c r="T568" s="17"/>
      <c r="U568" s="17"/>
      <c r="V568" s="17"/>
      <c r="W568" s="17"/>
      <c r="X568" s="17"/>
      <c r="Y568" s="17"/>
      <c r="Z568" s="17"/>
    </row>
    <row r="569">
      <c r="A569" s="337"/>
      <c r="B569" s="164"/>
      <c r="C569" s="350"/>
      <c r="D569" s="349"/>
      <c r="E569" s="337"/>
      <c r="F569" s="164"/>
      <c r="G569" s="337"/>
      <c r="H569" s="164"/>
      <c r="I569" s="343"/>
      <c r="J569" s="183"/>
      <c r="K569" s="343"/>
      <c r="L569" s="183"/>
      <c r="M569" s="343"/>
      <c r="N569" s="183"/>
      <c r="O569" s="337"/>
      <c r="P569" s="164"/>
      <c r="Q569" s="201"/>
      <c r="R569" s="201"/>
      <c r="S569" s="17"/>
      <c r="T569" s="17"/>
      <c r="U569" s="17"/>
      <c r="V569" s="17"/>
      <c r="W569" s="17"/>
      <c r="X569" s="17"/>
      <c r="Y569" s="17"/>
      <c r="Z569" s="17"/>
    </row>
    <row r="570">
      <c r="A570" s="337"/>
      <c r="B570" s="164"/>
      <c r="C570" s="350"/>
      <c r="D570" s="349"/>
      <c r="E570" s="337"/>
      <c r="F570" s="164"/>
      <c r="G570" s="337"/>
      <c r="H570" s="164"/>
      <c r="I570" s="343"/>
      <c r="J570" s="183"/>
      <c r="K570" s="343"/>
      <c r="L570" s="183"/>
      <c r="M570" s="343"/>
      <c r="N570" s="183"/>
      <c r="O570" s="337"/>
      <c r="P570" s="164"/>
      <c r="Q570" s="201"/>
      <c r="R570" s="201"/>
      <c r="S570" s="17"/>
      <c r="T570" s="17"/>
      <c r="U570" s="17"/>
      <c r="V570" s="17"/>
      <c r="W570" s="17"/>
      <c r="X570" s="17"/>
      <c r="Y570" s="17"/>
      <c r="Z570" s="17"/>
    </row>
    <row r="571">
      <c r="A571" s="337"/>
      <c r="B571" s="164"/>
      <c r="C571" s="350"/>
      <c r="D571" s="349"/>
      <c r="E571" s="337"/>
      <c r="F571" s="164"/>
      <c r="G571" s="337"/>
      <c r="H571" s="164"/>
      <c r="I571" s="343"/>
      <c r="J571" s="183"/>
      <c r="K571" s="343"/>
      <c r="L571" s="183"/>
      <c r="M571" s="343"/>
      <c r="N571" s="183"/>
      <c r="O571" s="337"/>
      <c r="P571" s="164"/>
      <c r="Q571" s="201"/>
      <c r="R571" s="201"/>
      <c r="S571" s="17"/>
      <c r="T571" s="17"/>
      <c r="U571" s="17"/>
      <c r="V571" s="17"/>
      <c r="W571" s="17"/>
      <c r="X571" s="17"/>
      <c r="Y571" s="17"/>
      <c r="Z571" s="17"/>
    </row>
    <row r="572">
      <c r="A572" s="337"/>
      <c r="B572" s="164"/>
      <c r="C572" s="350"/>
      <c r="D572" s="349"/>
      <c r="E572" s="337"/>
      <c r="F572" s="164"/>
      <c r="G572" s="337"/>
      <c r="H572" s="164"/>
      <c r="I572" s="343"/>
      <c r="J572" s="183"/>
      <c r="K572" s="343"/>
      <c r="L572" s="183"/>
      <c r="M572" s="343"/>
      <c r="N572" s="183"/>
      <c r="O572" s="337"/>
      <c r="P572" s="164"/>
      <c r="Q572" s="201"/>
      <c r="R572" s="201"/>
      <c r="S572" s="17"/>
      <c r="T572" s="17"/>
      <c r="U572" s="17"/>
      <c r="V572" s="17"/>
      <c r="W572" s="17"/>
      <c r="X572" s="17"/>
      <c r="Y572" s="17"/>
      <c r="Z572" s="17"/>
    </row>
    <row r="573">
      <c r="A573" s="337"/>
      <c r="B573" s="164"/>
      <c r="C573" s="350"/>
      <c r="D573" s="349"/>
      <c r="E573" s="337"/>
      <c r="F573" s="164"/>
      <c r="G573" s="337"/>
      <c r="H573" s="164"/>
      <c r="I573" s="343"/>
      <c r="J573" s="183"/>
      <c r="K573" s="343"/>
      <c r="L573" s="183"/>
      <c r="M573" s="343"/>
      <c r="N573" s="183"/>
      <c r="O573" s="337"/>
      <c r="P573" s="164"/>
      <c r="Q573" s="201"/>
      <c r="R573" s="201"/>
      <c r="S573" s="17"/>
      <c r="T573" s="17"/>
      <c r="U573" s="17"/>
      <c r="V573" s="17"/>
      <c r="W573" s="17"/>
      <c r="X573" s="17"/>
      <c r="Y573" s="17"/>
      <c r="Z573" s="17"/>
    </row>
    <row r="574">
      <c r="A574" s="337"/>
      <c r="B574" s="164"/>
      <c r="C574" s="350"/>
      <c r="D574" s="349"/>
      <c r="E574" s="337"/>
      <c r="F574" s="164"/>
      <c r="G574" s="337"/>
      <c r="H574" s="164"/>
      <c r="I574" s="343"/>
      <c r="J574" s="183"/>
      <c r="K574" s="343"/>
      <c r="L574" s="183"/>
      <c r="M574" s="343"/>
      <c r="N574" s="183"/>
      <c r="O574" s="337"/>
      <c r="P574" s="164"/>
      <c r="Q574" s="201"/>
      <c r="R574" s="201"/>
      <c r="S574" s="17"/>
      <c r="T574" s="17"/>
      <c r="U574" s="17"/>
      <c r="V574" s="17"/>
      <c r="W574" s="17"/>
      <c r="X574" s="17"/>
      <c r="Y574" s="17"/>
      <c r="Z574" s="17"/>
    </row>
    <row r="575">
      <c r="A575" s="337"/>
      <c r="B575" s="164"/>
      <c r="C575" s="350"/>
      <c r="D575" s="349"/>
      <c r="E575" s="337"/>
      <c r="F575" s="164"/>
      <c r="G575" s="337"/>
      <c r="H575" s="164"/>
      <c r="I575" s="343"/>
      <c r="J575" s="183"/>
      <c r="K575" s="343"/>
      <c r="L575" s="183"/>
      <c r="M575" s="343"/>
      <c r="N575" s="183"/>
      <c r="O575" s="337"/>
      <c r="P575" s="164"/>
      <c r="Q575" s="201"/>
      <c r="R575" s="201"/>
      <c r="S575" s="17"/>
      <c r="T575" s="17"/>
      <c r="U575" s="17"/>
      <c r="V575" s="17"/>
      <c r="W575" s="17"/>
      <c r="X575" s="17"/>
      <c r="Y575" s="17"/>
      <c r="Z575" s="17"/>
    </row>
    <row r="576">
      <c r="A576" s="337"/>
      <c r="B576" s="164"/>
      <c r="C576" s="350"/>
      <c r="D576" s="349"/>
      <c r="E576" s="337"/>
      <c r="F576" s="164"/>
      <c r="G576" s="337"/>
      <c r="H576" s="164"/>
      <c r="I576" s="343"/>
      <c r="J576" s="183"/>
      <c r="K576" s="343"/>
      <c r="L576" s="183"/>
      <c r="M576" s="343"/>
      <c r="N576" s="183"/>
      <c r="O576" s="337"/>
      <c r="P576" s="164"/>
      <c r="Q576" s="201"/>
      <c r="R576" s="201"/>
      <c r="S576" s="17"/>
      <c r="T576" s="17"/>
      <c r="U576" s="17"/>
      <c r="V576" s="17"/>
      <c r="W576" s="17"/>
      <c r="X576" s="17"/>
      <c r="Y576" s="17"/>
      <c r="Z576" s="17"/>
    </row>
    <row r="577">
      <c r="A577" s="337"/>
      <c r="B577" s="164"/>
      <c r="C577" s="350"/>
      <c r="D577" s="349"/>
      <c r="E577" s="337"/>
      <c r="F577" s="164"/>
      <c r="G577" s="337"/>
      <c r="H577" s="164"/>
      <c r="I577" s="343"/>
      <c r="J577" s="183"/>
      <c r="K577" s="343"/>
      <c r="L577" s="183"/>
      <c r="M577" s="343"/>
      <c r="N577" s="183"/>
      <c r="O577" s="337"/>
      <c r="P577" s="164"/>
      <c r="Q577" s="201"/>
      <c r="R577" s="201"/>
      <c r="S577" s="17"/>
      <c r="T577" s="17"/>
      <c r="U577" s="17"/>
      <c r="V577" s="17"/>
      <c r="W577" s="17"/>
      <c r="X577" s="17"/>
      <c r="Y577" s="17"/>
      <c r="Z577" s="17"/>
    </row>
    <row r="578">
      <c r="A578" s="337"/>
      <c r="B578" s="164"/>
      <c r="C578" s="350"/>
      <c r="D578" s="349"/>
      <c r="E578" s="337"/>
      <c r="F578" s="164"/>
      <c r="G578" s="337"/>
      <c r="H578" s="164"/>
      <c r="I578" s="343"/>
      <c r="J578" s="183"/>
      <c r="K578" s="343"/>
      <c r="L578" s="183"/>
      <c r="M578" s="343"/>
      <c r="N578" s="183"/>
      <c r="O578" s="337"/>
      <c r="P578" s="164"/>
      <c r="Q578" s="201"/>
      <c r="R578" s="201"/>
      <c r="S578" s="17"/>
      <c r="T578" s="17"/>
      <c r="U578" s="17"/>
      <c r="V578" s="17"/>
      <c r="W578" s="17"/>
      <c r="X578" s="17"/>
      <c r="Y578" s="17"/>
      <c r="Z578" s="17"/>
    </row>
    <row r="579">
      <c r="A579" s="337"/>
      <c r="B579" s="164"/>
      <c r="C579" s="350"/>
      <c r="D579" s="349"/>
      <c r="E579" s="337"/>
      <c r="F579" s="164"/>
      <c r="G579" s="337"/>
      <c r="H579" s="164"/>
      <c r="I579" s="343"/>
      <c r="J579" s="183"/>
      <c r="K579" s="343"/>
      <c r="L579" s="183"/>
      <c r="M579" s="343"/>
      <c r="N579" s="183"/>
      <c r="O579" s="337"/>
      <c r="P579" s="164"/>
      <c r="Q579" s="201"/>
      <c r="R579" s="201"/>
      <c r="S579" s="17"/>
      <c r="T579" s="17"/>
      <c r="U579" s="17"/>
      <c r="V579" s="17"/>
      <c r="W579" s="17"/>
      <c r="X579" s="17"/>
      <c r="Y579" s="17"/>
      <c r="Z579" s="17"/>
    </row>
    <row r="580">
      <c r="A580" s="337"/>
      <c r="B580" s="164"/>
      <c r="C580" s="350"/>
      <c r="D580" s="349"/>
      <c r="E580" s="337"/>
      <c r="F580" s="164"/>
      <c r="G580" s="337"/>
      <c r="H580" s="164"/>
      <c r="I580" s="343"/>
      <c r="J580" s="183"/>
      <c r="K580" s="343"/>
      <c r="L580" s="183"/>
      <c r="M580" s="343"/>
      <c r="N580" s="183"/>
      <c r="O580" s="337"/>
      <c r="P580" s="164"/>
      <c r="Q580" s="201"/>
      <c r="R580" s="201"/>
      <c r="S580" s="17"/>
      <c r="T580" s="17"/>
      <c r="U580" s="17"/>
      <c r="V580" s="17"/>
      <c r="W580" s="17"/>
      <c r="X580" s="17"/>
      <c r="Y580" s="17"/>
      <c r="Z580" s="17"/>
    </row>
    <row r="581">
      <c r="A581" s="337"/>
      <c r="B581" s="164"/>
      <c r="C581" s="350"/>
      <c r="D581" s="349"/>
      <c r="E581" s="337"/>
      <c r="F581" s="164"/>
      <c r="G581" s="337"/>
      <c r="H581" s="164"/>
      <c r="I581" s="343"/>
      <c r="J581" s="183"/>
      <c r="K581" s="343"/>
      <c r="L581" s="183"/>
      <c r="M581" s="343"/>
      <c r="N581" s="183"/>
      <c r="O581" s="337"/>
      <c r="P581" s="164"/>
      <c r="Q581" s="201"/>
      <c r="R581" s="201"/>
      <c r="S581" s="17"/>
      <c r="T581" s="17"/>
      <c r="U581" s="17"/>
      <c r="V581" s="17"/>
      <c r="W581" s="17"/>
      <c r="X581" s="17"/>
      <c r="Y581" s="17"/>
      <c r="Z581" s="17"/>
    </row>
    <row r="582">
      <c r="A582" s="337"/>
      <c r="B582" s="164"/>
      <c r="C582" s="350"/>
      <c r="D582" s="349"/>
      <c r="E582" s="337"/>
      <c r="F582" s="164"/>
      <c r="G582" s="337"/>
      <c r="H582" s="164"/>
      <c r="I582" s="343"/>
      <c r="J582" s="183"/>
      <c r="K582" s="343"/>
      <c r="L582" s="183"/>
      <c r="M582" s="343"/>
      <c r="N582" s="183"/>
      <c r="O582" s="337"/>
      <c r="P582" s="164"/>
      <c r="Q582" s="201"/>
      <c r="R582" s="201"/>
      <c r="S582" s="17"/>
      <c r="T582" s="17"/>
      <c r="U582" s="17"/>
      <c r="V582" s="17"/>
      <c r="W582" s="17"/>
      <c r="X582" s="17"/>
      <c r="Y582" s="17"/>
      <c r="Z582" s="17"/>
    </row>
    <row r="583">
      <c r="A583" s="337"/>
      <c r="B583" s="164"/>
      <c r="C583" s="350"/>
      <c r="D583" s="349"/>
      <c r="E583" s="337"/>
      <c r="F583" s="164"/>
      <c r="G583" s="337"/>
      <c r="H583" s="164"/>
      <c r="I583" s="343"/>
      <c r="J583" s="183"/>
      <c r="K583" s="343"/>
      <c r="L583" s="183"/>
      <c r="M583" s="343"/>
      <c r="N583" s="183"/>
      <c r="O583" s="337"/>
      <c r="P583" s="164"/>
      <c r="Q583" s="201"/>
      <c r="R583" s="201"/>
      <c r="S583" s="17"/>
      <c r="T583" s="17"/>
      <c r="U583" s="17"/>
      <c r="V583" s="17"/>
      <c r="W583" s="17"/>
      <c r="X583" s="17"/>
      <c r="Y583" s="17"/>
      <c r="Z583" s="17"/>
    </row>
    <row r="584">
      <c r="A584" s="337"/>
      <c r="B584" s="164"/>
      <c r="C584" s="350"/>
      <c r="D584" s="349"/>
      <c r="E584" s="337"/>
      <c r="F584" s="164"/>
      <c r="G584" s="337"/>
      <c r="H584" s="164"/>
      <c r="I584" s="343"/>
      <c r="J584" s="183"/>
      <c r="K584" s="343"/>
      <c r="L584" s="183"/>
      <c r="M584" s="343"/>
      <c r="N584" s="183"/>
      <c r="O584" s="337"/>
      <c r="P584" s="164"/>
      <c r="Q584" s="201"/>
      <c r="R584" s="201"/>
      <c r="S584" s="17"/>
      <c r="T584" s="17"/>
      <c r="U584" s="17"/>
      <c r="V584" s="17"/>
      <c r="W584" s="17"/>
      <c r="X584" s="17"/>
      <c r="Y584" s="17"/>
      <c r="Z584" s="17"/>
    </row>
    <row r="585">
      <c r="A585" s="337"/>
      <c r="B585" s="164"/>
      <c r="C585" s="350"/>
      <c r="D585" s="349"/>
      <c r="E585" s="337"/>
      <c r="F585" s="164"/>
      <c r="G585" s="337"/>
      <c r="H585" s="164"/>
      <c r="I585" s="343"/>
      <c r="J585" s="183"/>
      <c r="K585" s="343"/>
      <c r="L585" s="183"/>
      <c r="M585" s="343"/>
      <c r="N585" s="183"/>
      <c r="O585" s="337"/>
      <c r="P585" s="164"/>
      <c r="Q585" s="201"/>
      <c r="R585" s="201"/>
      <c r="S585" s="17"/>
      <c r="T585" s="17"/>
      <c r="U585" s="17"/>
      <c r="V585" s="17"/>
      <c r="W585" s="17"/>
      <c r="X585" s="17"/>
      <c r="Y585" s="17"/>
      <c r="Z585" s="17"/>
    </row>
    <row r="586">
      <c r="A586" s="337"/>
      <c r="B586" s="164"/>
      <c r="C586" s="350"/>
      <c r="D586" s="349"/>
      <c r="E586" s="337"/>
      <c r="F586" s="164"/>
      <c r="G586" s="337"/>
      <c r="H586" s="164"/>
      <c r="I586" s="343"/>
      <c r="J586" s="183"/>
      <c r="K586" s="343"/>
      <c r="L586" s="183"/>
      <c r="M586" s="343"/>
      <c r="N586" s="183"/>
      <c r="O586" s="337"/>
      <c r="P586" s="164"/>
      <c r="Q586" s="201"/>
      <c r="R586" s="201"/>
      <c r="S586" s="17"/>
      <c r="T586" s="17"/>
      <c r="U586" s="17"/>
      <c r="V586" s="17"/>
      <c r="W586" s="17"/>
      <c r="X586" s="17"/>
      <c r="Y586" s="17"/>
      <c r="Z586" s="17"/>
    </row>
    <row r="587">
      <c r="A587" s="337"/>
      <c r="B587" s="164"/>
      <c r="C587" s="350"/>
      <c r="D587" s="349"/>
      <c r="E587" s="337"/>
      <c r="F587" s="164"/>
      <c r="G587" s="337"/>
      <c r="H587" s="164"/>
      <c r="I587" s="343"/>
      <c r="J587" s="183"/>
      <c r="K587" s="343"/>
      <c r="L587" s="183"/>
      <c r="M587" s="343"/>
      <c r="N587" s="183"/>
      <c r="O587" s="337"/>
      <c r="P587" s="164"/>
      <c r="Q587" s="201"/>
      <c r="R587" s="201"/>
      <c r="S587" s="17"/>
      <c r="T587" s="17"/>
      <c r="U587" s="17"/>
      <c r="V587" s="17"/>
      <c r="W587" s="17"/>
      <c r="X587" s="17"/>
      <c r="Y587" s="17"/>
      <c r="Z587" s="17"/>
    </row>
    <row r="588">
      <c r="A588" s="337"/>
      <c r="B588" s="164"/>
      <c r="C588" s="350"/>
      <c r="D588" s="349"/>
      <c r="E588" s="337"/>
      <c r="F588" s="164"/>
      <c r="G588" s="337"/>
      <c r="H588" s="164"/>
      <c r="I588" s="343"/>
      <c r="J588" s="183"/>
      <c r="K588" s="343"/>
      <c r="L588" s="183"/>
      <c r="M588" s="343"/>
      <c r="N588" s="183"/>
      <c r="O588" s="337"/>
      <c r="P588" s="164"/>
      <c r="Q588" s="201"/>
      <c r="R588" s="201"/>
      <c r="S588" s="17"/>
      <c r="T588" s="17"/>
      <c r="U588" s="17"/>
      <c r="V588" s="17"/>
      <c r="W588" s="17"/>
      <c r="X588" s="17"/>
      <c r="Y588" s="17"/>
      <c r="Z588" s="17"/>
    </row>
    <row r="589">
      <c r="A589" s="337"/>
      <c r="B589" s="164"/>
      <c r="C589" s="350"/>
      <c r="D589" s="349"/>
      <c r="E589" s="337"/>
      <c r="F589" s="164"/>
      <c r="G589" s="337"/>
      <c r="H589" s="164"/>
      <c r="I589" s="343"/>
      <c r="J589" s="183"/>
      <c r="K589" s="343"/>
      <c r="L589" s="183"/>
      <c r="M589" s="343"/>
      <c r="N589" s="183"/>
      <c r="O589" s="337"/>
      <c r="P589" s="164"/>
      <c r="Q589" s="201"/>
      <c r="R589" s="201"/>
      <c r="S589" s="17"/>
      <c r="T589" s="17"/>
      <c r="U589" s="17"/>
      <c r="V589" s="17"/>
      <c r="W589" s="17"/>
      <c r="X589" s="17"/>
      <c r="Y589" s="17"/>
      <c r="Z589" s="17"/>
    </row>
    <row r="590">
      <c r="A590" s="337"/>
      <c r="B590" s="164"/>
      <c r="C590" s="350"/>
      <c r="D590" s="349"/>
      <c r="E590" s="337"/>
      <c r="F590" s="164"/>
      <c r="G590" s="337"/>
      <c r="H590" s="164"/>
      <c r="I590" s="343"/>
      <c r="J590" s="183"/>
      <c r="K590" s="343"/>
      <c r="L590" s="183"/>
      <c r="M590" s="343"/>
      <c r="N590" s="183"/>
      <c r="O590" s="337"/>
      <c r="P590" s="164"/>
      <c r="Q590" s="201"/>
      <c r="R590" s="201"/>
      <c r="S590" s="17"/>
      <c r="T590" s="17"/>
      <c r="U590" s="17"/>
      <c r="V590" s="17"/>
      <c r="W590" s="17"/>
      <c r="X590" s="17"/>
      <c r="Y590" s="17"/>
      <c r="Z590" s="17"/>
    </row>
    <row r="591">
      <c r="A591" s="337"/>
      <c r="B591" s="164"/>
      <c r="C591" s="350"/>
      <c r="D591" s="349"/>
      <c r="E591" s="337"/>
      <c r="F591" s="164"/>
      <c r="G591" s="337"/>
      <c r="H591" s="164"/>
      <c r="I591" s="343"/>
      <c r="J591" s="183"/>
      <c r="K591" s="343"/>
      <c r="L591" s="183"/>
      <c r="M591" s="343"/>
      <c r="N591" s="183"/>
      <c r="O591" s="337"/>
      <c r="P591" s="164"/>
      <c r="Q591" s="201"/>
      <c r="R591" s="201"/>
      <c r="S591" s="17"/>
      <c r="T591" s="17"/>
      <c r="U591" s="17"/>
      <c r="V591" s="17"/>
      <c r="W591" s="17"/>
      <c r="X591" s="17"/>
      <c r="Y591" s="17"/>
      <c r="Z591" s="17"/>
    </row>
    <row r="592">
      <c r="A592" s="337"/>
      <c r="B592" s="164"/>
      <c r="C592" s="350"/>
      <c r="D592" s="349"/>
      <c r="E592" s="337"/>
      <c r="F592" s="164"/>
      <c r="G592" s="337"/>
      <c r="H592" s="164"/>
      <c r="I592" s="343"/>
      <c r="J592" s="183"/>
      <c r="K592" s="343"/>
      <c r="L592" s="183"/>
      <c r="M592" s="343"/>
      <c r="N592" s="183"/>
      <c r="O592" s="337"/>
      <c r="P592" s="164"/>
      <c r="Q592" s="201"/>
      <c r="R592" s="201"/>
      <c r="S592" s="17"/>
      <c r="T592" s="17"/>
      <c r="U592" s="17"/>
      <c r="V592" s="17"/>
      <c r="W592" s="17"/>
      <c r="X592" s="17"/>
      <c r="Y592" s="17"/>
      <c r="Z592" s="17"/>
    </row>
    <row r="593">
      <c r="A593" s="337"/>
      <c r="B593" s="164"/>
      <c r="C593" s="350"/>
      <c r="D593" s="349"/>
      <c r="E593" s="337"/>
      <c r="F593" s="164"/>
      <c r="G593" s="337"/>
      <c r="H593" s="164"/>
      <c r="I593" s="343"/>
      <c r="J593" s="183"/>
      <c r="K593" s="343"/>
      <c r="L593" s="183"/>
      <c r="M593" s="343"/>
      <c r="N593" s="183"/>
      <c r="O593" s="337"/>
      <c r="P593" s="164"/>
      <c r="Q593" s="201"/>
      <c r="R593" s="201"/>
      <c r="S593" s="17"/>
      <c r="T593" s="17"/>
      <c r="U593" s="17"/>
      <c r="V593" s="17"/>
      <c r="W593" s="17"/>
      <c r="X593" s="17"/>
      <c r="Y593" s="17"/>
      <c r="Z593" s="17"/>
    </row>
    <row r="594">
      <c r="A594" s="337"/>
      <c r="B594" s="164"/>
      <c r="C594" s="350"/>
      <c r="D594" s="349"/>
      <c r="E594" s="337"/>
      <c r="F594" s="164"/>
      <c r="G594" s="337"/>
      <c r="H594" s="164"/>
      <c r="I594" s="343"/>
      <c r="J594" s="183"/>
      <c r="K594" s="343"/>
      <c r="L594" s="183"/>
      <c r="M594" s="343"/>
      <c r="N594" s="183"/>
      <c r="O594" s="337"/>
      <c r="P594" s="164"/>
      <c r="Q594" s="201"/>
      <c r="R594" s="201"/>
      <c r="S594" s="17"/>
      <c r="T594" s="17"/>
      <c r="U594" s="17"/>
      <c r="V594" s="17"/>
      <c r="W594" s="17"/>
      <c r="X594" s="17"/>
      <c r="Y594" s="17"/>
      <c r="Z594" s="17"/>
    </row>
    <row r="595">
      <c r="A595" s="337"/>
      <c r="B595" s="164"/>
      <c r="C595" s="350"/>
      <c r="D595" s="349"/>
      <c r="E595" s="337"/>
      <c r="F595" s="164"/>
      <c r="G595" s="337"/>
      <c r="H595" s="164"/>
      <c r="I595" s="343"/>
      <c r="J595" s="183"/>
      <c r="K595" s="343"/>
      <c r="L595" s="183"/>
      <c r="M595" s="343"/>
      <c r="N595" s="183"/>
      <c r="O595" s="337"/>
      <c r="P595" s="164"/>
      <c r="Q595" s="201"/>
      <c r="R595" s="201"/>
      <c r="S595" s="17"/>
      <c r="T595" s="17"/>
      <c r="U595" s="17"/>
      <c r="V595" s="17"/>
      <c r="W595" s="17"/>
      <c r="X595" s="17"/>
      <c r="Y595" s="17"/>
      <c r="Z595" s="17"/>
    </row>
    <row r="596">
      <c r="A596" s="337"/>
      <c r="B596" s="164"/>
      <c r="C596" s="350"/>
      <c r="D596" s="349"/>
      <c r="E596" s="337"/>
      <c r="F596" s="164"/>
      <c r="G596" s="337"/>
      <c r="H596" s="164"/>
      <c r="I596" s="343"/>
      <c r="J596" s="183"/>
      <c r="K596" s="343"/>
      <c r="L596" s="183"/>
      <c r="M596" s="343"/>
      <c r="N596" s="183"/>
      <c r="O596" s="337"/>
      <c r="P596" s="164"/>
      <c r="Q596" s="201"/>
      <c r="R596" s="201"/>
      <c r="S596" s="17"/>
      <c r="T596" s="17"/>
      <c r="U596" s="17"/>
      <c r="V596" s="17"/>
      <c r="W596" s="17"/>
      <c r="X596" s="17"/>
      <c r="Y596" s="17"/>
      <c r="Z596" s="17"/>
    </row>
    <row r="597">
      <c r="A597" s="337"/>
      <c r="B597" s="164"/>
      <c r="C597" s="350"/>
      <c r="D597" s="349"/>
      <c r="E597" s="337"/>
      <c r="F597" s="164"/>
      <c r="G597" s="337"/>
      <c r="H597" s="164"/>
      <c r="I597" s="343"/>
      <c r="J597" s="183"/>
      <c r="K597" s="343"/>
      <c r="L597" s="183"/>
      <c r="M597" s="343"/>
      <c r="N597" s="183"/>
      <c r="O597" s="337"/>
      <c r="P597" s="164"/>
      <c r="Q597" s="201"/>
      <c r="R597" s="201"/>
      <c r="S597" s="17"/>
      <c r="T597" s="17"/>
      <c r="U597" s="17"/>
      <c r="V597" s="17"/>
      <c r="W597" s="17"/>
      <c r="X597" s="17"/>
      <c r="Y597" s="17"/>
      <c r="Z597" s="17"/>
    </row>
    <row r="598">
      <c r="A598" s="337"/>
      <c r="B598" s="164"/>
      <c r="C598" s="350"/>
      <c r="D598" s="349"/>
      <c r="E598" s="337"/>
      <c r="F598" s="164"/>
      <c r="G598" s="337"/>
      <c r="H598" s="164"/>
      <c r="I598" s="343"/>
      <c r="J598" s="183"/>
      <c r="K598" s="343"/>
      <c r="L598" s="183"/>
      <c r="M598" s="343"/>
      <c r="N598" s="183"/>
      <c r="O598" s="337"/>
      <c r="P598" s="164"/>
      <c r="Q598" s="201"/>
      <c r="R598" s="201"/>
      <c r="S598" s="17"/>
      <c r="T598" s="17"/>
      <c r="U598" s="17"/>
      <c r="V598" s="17"/>
      <c r="W598" s="17"/>
      <c r="X598" s="17"/>
      <c r="Y598" s="17"/>
      <c r="Z598" s="17"/>
    </row>
    <row r="599">
      <c r="A599" s="337"/>
      <c r="B599" s="164"/>
      <c r="C599" s="350"/>
      <c r="D599" s="349"/>
      <c r="E599" s="337"/>
      <c r="F599" s="164"/>
      <c r="G599" s="337"/>
      <c r="H599" s="164"/>
      <c r="I599" s="343"/>
      <c r="J599" s="183"/>
      <c r="K599" s="343"/>
      <c r="L599" s="183"/>
      <c r="M599" s="343"/>
      <c r="N599" s="183"/>
      <c r="O599" s="337"/>
      <c r="P599" s="164"/>
      <c r="Q599" s="201"/>
      <c r="R599" s="201"/>
      <c r="S599" s="17"/>
      <c r="T599" s="17"/>
      <c r="U599" s="17"/>
      <c r="V599" s="17"/>
      <c r="W599" s="17"/>
      <c r="X599" s="17"/>
      <c r="Y599" s="17"/>
      <c r="Z599" s="17"/>
    </row>
    <row r="600">
      <c r="A600" s="337"/>
      <c r="B600" s="164"/>
      <c r="C600" s="350"/>
      <c r="D600" s="349"/>
      <c r="E600" s="337"/>
      <c r="F600" s="164"/>
      <c r="G600" s="337"/>
      <c r="H600" s="164"/>
      <c r="I600" s="343"/>
      <c r="J600" s="183"/>
      <c r="K600" s="343"/>
      <c r="L600" s="183"/>
      <c r="M600" s="343"/>
      <c r="N600" s="183"/>
      <c r="O600" s="337"/>
      <c r="P600" s="164"/>
      <c r="Q600" s="201"/>
      <c r="R600" s="201"/>
      <c r="S600" s="17"/>
      <c r="T600" s="17"/>
      <c r="U600" s="17"/>
      <c r="V600" s="17"/>
      <c r="W600" s="17"/>
      <c r="X600" s="17"/>
      <c r="Y600" s="17"/>
      <c r="Z600" s="17"/>
    </row>
    <row r="601">
      <c r="A601" s="337"/>
      <c r="B601" s="164"/>
      <c r="C601" s="350"/>
      <c r="D601" s="349"/>
      <c r="E601" s="337"/>
      <c r="F601" s="164"/>
      <c r="G601" s="337"/>
      <c r="H601" s="164"/>
      <c r="I601" s="343"/>
      <c r="J601" s="183"/>
      <c r="K601" s="343"/>
      <c r="L601" s="183"/>
      <c r="M601" s="343"/>
      <c r="N601" s="183"/>
      <c r="O601" s="337"/>
      <c r="P601" s="164"/>
      <c r="Q601" s="201"/>
      <c r="R601" s="201"/>
      <c r="S601" s="17"/>
      <c r="T601" s="17"/>
      <c r="U601" s="17"/>
      <c r="V601" s="17"/>
      <c r="W601" s="17"/>
      <c r="X601" s="17"/>
      <c r="Y601" s="17"/>
      <c r="Z601" s="17"/>
    </row>
    <row r="602">
      <c r="A602" s="337"/>
      <c r="B602" s="164"/>
      <c r="C602" s="350"/>
      <c r="D602" s="349"/>
      <c r="E602" s="337"/>
      <c r="F602" s="164"/>
      <c r="G602" s="337"/>
      <c r="H602" s="164"/>
      <c r="I602" s="343"/>
      <c r="J602" s="183"/>
      <c r="K602" s="343"/>
      <c r="L602" s="183"/>
      <c r="M602" s="343"/>
      <c r="N602" s="183"/>
      <c r="O602" s="337"/>
      <c r="P602" s="164"/>
      <c r="Q602" s="201"/>
      <c r="R602" s="201"/>
      <c r="S602" s="17"/>
      <c r="T602" s="17"/>
      <c r="U602" s="17"/>
      <c r="V602" s="17"/>
      <c r="W602" s="17"/>
      <c r="X602" s="17"/>
      <c r="Y602" s="17"/>
      <c r="Z602" s="17"/>
    </row>
    <row r="603">
      <c r="A603" s="337"/>
      <c r="B603" s="164"/>
      <c r="C603" s="350"/>
      <c r="D603" s="349"/>
      <c r="E603" s="337"/>
      <c r="F603" s="164"/>
      <c r="G603" s="337"/>
      <c r="H603" s="164"/>
      <c r="I603" s="343"/>
      <c r="J603" s="183"/>
      <c r="K603" s="343"/>
      <c r="L603" s="183"/>
      <c r="M603" s="343"/>
      <c r="N603" s="183"/>
      <c r="O603" s="337"/>
      <c r="P603" s="164"/>
      <c r="Q603" s="201"/>
      <c r="R603" s="201"/>
      <c r="S603" s="17"/>
      <c r="T603" s="17"/>
      <c r="U603" s="17"/>
      <c r="V603" s="17"/>
      <c r="W603" s="17"/>
      <c r="X603" s="17"/>
      <c r="Y603" s="17"/>
      <c r="Z603" s="17"/>
    </row>
    <row r="604">
      <c r="A604" s="337"/>
      <c r="B604" s="164"/>
      <c r="C604" s="350"/>
      <c r="D604" s="349"/>
      <c r="E604" s="337"/>
      <c r="F604" s="164"/>
      <c r="G604" s="337"/>
      <c r="H604" s="164"/>
      <c r="I604" s="343"/>
      <c r="J604" s="183"/>
      <c r="K604" s="343"/>
      <c r="L604" s="183"/>
      <c r="M604" s="343"/>
      <c r="N604" s="183"/>
      <c r="O604" s="337"/>
      <c r="P604" s="164"/>
      <c r="Q604" s="201"/>
      <c r="R604" s="201"/>
      <c r="S604" s="17"/>
      <c r="T604" s="17"/>
      <c r="U604" s="17"/>
      <c r="V604" s="17"/>
      <c r="W604" s="17"/>
      <c r="X604" s="17"/>
      <c r="Y604" s="17"/>
      <c r="Z604" s="17"/>
    </row>
    <row r="605">
      <c r="A605" s="337"/>
      <c r="B605" s="164"/>
      <c r="C605" s="350"/>
      <c r="D605" s="349"/>
      <c r="E605" s="337"/>
      <c r="F605" s="164"/>
      <c r="G605" s="337"/>
      <c r="H605" s="164"/>
      <c r="I605" s="343"/>
      <c r="J605" s="183"/>
      <c r="K605" s="343"/>
      <c r="L605" s="183"/>
      <c r="M605" s="343"/>
      <c r="N605" s="183"/>
      <c r="O605" s="337"/>
      <c r="P605" s="164"/>
      <c r="Q605" s="201"/>
      <c r="R605" s="201"/>
      <c r="S605" s="17"/>
      <c r="T605" s="17"/>
      <c r="U605" s="17"/>
      <c r="V605" s="17"/>
      <c r="W605" s="17"/>
      <c r="X605" s="17"/>
      <c r="Y605" s="17"/>
      <c r="Z605" s="17"/>
    </row>
    <row r="606">
      <c r="A606" s="337"/>
      <c r="B606" s="164"/>
      <c r="C606" s="350"/>
      <c r="D606" s="349"/>
      <c r="E606" s="337"/>
      <c r="F606" s="164"/>
      <c r="G606" s="337"/>
      <c r="H606" s="164"/>
      <c r="I606" s="343"/>
      <c r="J606" s="183"/>
      <c r="K606" s="343"/>
      <c r="L606" s="183"/>
      <c r="M606" s="343"/>
      <c r="N606" s="183"/>
      <c r="O606" s="337"/>
      <c r="P606" s="164"/>
      <c r="Q606" s="201"/>
      <c r="R606" s="201"/>
      <c r="S606" s="17"/>
      <c r="T606" s="17"/>
      <c r="U606" s="17"/>
      <c r="V606" s="17"/>
      <c r="W606" s="17"/>
      <c r="X606" s="17"/>
      <c r="Y606" s="17"/>
      <c r="Z606" s="17"/>
    </row>
    <row r="607">
      <c r="A607" s="337"/>
      <c r="B607" s="164"/>
      <c r="C607" s="350"/>
      <c r="D607" s="349"/>
      <c r="E607" s="337"/>
      <c r="F607" s="164"/>
      <c r="G607" s="337"/>
      <c r="H607" s="164"/>
      <c r="I607" s="343"/>
      <c r="J607" s="183"/>
      <c r="K607" s="343"/>
      <c r="L607" s="183"/>
      <c r="M607" s="343"/>
      <c r="N607" s="183"/>
      <c r="O607" s="337"/>
      <c r="P607" s="164"/>
      <c r="Q607" s="201"/>
      <c r="R607" s="201"/>
      <c r="S607" s="17"/>
      <c r="T607" s="17"/>
      <c r="U607" s="17"/>
      <c r="V607" s="17"/>
      <c r="W607" s="17"/>
      <c r="X607" s="17"/>
      <c r="Y607" s="17"/>
      <c r="Z607" s="17"/>
    </row>
    <row r="608">
      <c r="A608" s="337"/>
      <c r="B608" s="164"/>
      <c r="C608" s="350"/>
      <c r="D608" s="349"/>
      <c r="E608" s="337"/>
      <c r="F608" s="164"/>
      <c r="G608" s="337"/>
      <c r="H608" s="164"/>
      <c r="I608" s="343"/>
      <c r="J608" s="183"/>
      <c r="K608" s="343"/>
      <c r="L608" s="183"/>
      <c r="M608" s="343"/>
      <c r="N608" s="183"/>
      <c r="O608" s="337"/>
      <c r="P608" s="164"/>
      <c r="Q608" s="201"/>
      <c r="R608" s="201"/>
      <c r="S608" s="17"/>
      <c r="T608" s="17"/>
      <c r="U608" s="17"/>
      <c r="V608" s="17"/>
      <c r="W608" s="17"/>
      <c r="X608" s="17"/>
      <c r="Y608" s="17"/>
      <c r="Z608" s="17"/>
    </row>
    <row r="609">
      <c r="A609" s="337"/>
      <c r="B609" s="164"/>
      <c r="C609" s="350"/>
      <c r="D609" s="349"/>
      <c r="E609" s="337"/>
      <c r="F609" s="164"/>
      <c r="G609" s="337"/>
      <c r="H609" s="164"/>
      <c r="I609" s="343"/>
      <c r="J609" s="183"/>
      <c r="K609" s="343"/>
      <c r="L609" s="183"/>
      <c r="M609" s="343"/>
      <c r="N609" s="183"/>
      <c r="O609" s="337"/>
      <c r="P609" s="164"/>
      <c r="Q609" s="201"/>
      <c r="R609" s="201"/>
      <c r="S609" s="17"/>
      <c r="T609" s="17"/>
      <c r="U609" s="17"/>
      <c r="V609" s="17"/>
      <c r="W609" s="17"/>
      <c r="X609" s="17"/>
      <c r="Y609" s="17"/>
      <c r="Z609" s="17"/>
    </row>
    <row r="610">
      <c r="A610" s="337"/>
      <c r="B610" s="164"/>
      <c r="C610" s="350"/>
      <c r="D610" s="349"/>
      <c r="E610" s="337"/>
      <c r="F610" s="164"/>
      <c r="G610" s="337"/>
      <c r="H610" s="164"/>
      <c r="I610" s="343"/>
      <c r="J610" s="183"/>
      <c r="K610" s="343"/>
      <c r="L610" s="183"/>
      <c r="M610" s="343"/>
      <c r="N610" s="183"/>
      <c r="O610" s="337"/>
      <c r="P610" s="164"/>
      <c r="Q610" s="201"/>
      <c r="R610" s="201"/>
      <c r="S610" s="17"/>
      <c r="T610" s="17"/>
      <c r="U610" s="17"/>
      <c r="V610" s="17"/>
      <c r="W610" s="17"/>
      <c r="X610" s="17"/>
      <c r="Y610" s="17"/>
      <c r="Z610" s="17"/>
    </row>
    <row r="611">
      <c r="A611" s="337"/>
      <c r="B611" s="164"/>
      <c r="C611" s="350"/>
      <c r="D611" s="349"/>
      <c r="E611" s="337"/>
      <c r="F611" s="164"/>
      <c r="G611" s="337"/>
      <c r="H611" s="164"/>
      <c r="I611" s="343"/>
      <c r="J611" s="183"/>
      <c r="K611" s="343"/>
      <c r="L611" s="183"/>
      <c r="M611" s="343"/>
      <c r="N611" s="183"/>
      <c r="O611" s="337"/>
      <c r="P611" s="164"/>
      <c r="Q611" s="201"/>
      <c r="R611" s="201"/>
      <c r="S611" s="17"/>
      <c r="T611" s="17"/>
      <c r="U611" s="17"/>
      <c r="V611" s="17"/>
      <c r="W611" s="17"/>
      <c r="X611" s="17"/>
      <c r="Y611" s="17"/>
      <c r="Z611" s="17"/>
    </row>
    <row r="612">
      <c r="A612" s="337"/>
      <c r="B612" s="164"/>
      <c r="C612" s="350"/>
      <c r="D612" s="349"/>
      <c r="E612" s="337"/>
      <c r="F612" s="164"/>
      <c r="G612" s="337"/>
      <c r="H612" s="164"/>
      <c r="I612" s="343"/>
      <c r="J612" s="183"/>
      <c r="K612" s="343"/>
      <c r="L612" s="183"/>
      <c r="M612" s="343"/>
      <c r="N612" s="183"/>
      <c r="O612" s="337"/>
      <c r="P612" s="164"/>
      <c r="Q612" s="201"/>
      <c r="R612" s="201"/>
      <c r="S612" s="17"/>
      <c r="T612" s="17"/>
      <c r="U612" s="17"/>
      <c r="V612" s="17"/>
      <c r="W612" s="17"/>
      <c r="X612" s="17"/>
      <c r="Y612" s="17"/>
      <c r="Z612" s="17"/>
    </row>
    <row r="613">
      <c r="A613" s="337"/>
      <c r="B613" s="164"/>
      <c r="C613" s="350"/>
      <c r="D613" s="349"/>
      <c r="E613" s="337"/>
      <c r="F613" s="164"/>
      <c r="G613" s="337"/>
      <c r="H613" s="164"/>
      <c r="I613" s="343"/>
      <c r="J613" s="183"/>
      <c r="K613" s="343"/>
      <c r="L613" s="183"/>
      <c r="M613" s="343"/>
      <c r="N613" s="183"/>
      <c r="O613" s="337"/>
      <c r="P613" s="164"/>
      <c r="Q613" s="201"/>
      <c r="R613" s="201"/>
      <c r="S613" s="17"/>
      <c r="T613" s="17"/>
      <c r="U613" s="17"/>
      <c r="V613" s="17"/>
      <c r="W613" s="17"/>
      <c r="X613" s="17"/>
      <c r="Y613" s="17"/>
      <c r="Z613" s="17"/>
    </row>
    <row r="614">
      <c r="A614" s="337"/>
      <c r="B614" s="164"/>
      <c r="C614" s="350"/>
      <c r="D614" s="349"/>
      <c r="E614" s="337"/>
      <c r="F614" s="164"/>
      <c r="G614" s="337"/>
      <c r="H614" s="164"/>
      <c r="I614" s="343"/>
      <c r="J614" s="183"/>
      <c r="K614" s="343"/>
      <c r="L614" s="183"/>
      <c r="M614" s="343"/>
      <c r="N614" s="183"/>
      <c r="O614" s="337"/>
      <c r="P614" s="164"/>
      <c r="Q614" s="201"/>
      <c r="R614" s="201"/>
      <c r="S614" s="17"/>
      <c r="T614" s="17"/>
      <c r="U614" s="17"/>
      <c r="V614" s="17"/>
      <c r="W614" s="17"/>
      <c r="X614" s="17"/>
      <c r="Y614" s="17"/>
      <c r="Z614" s="17"/>
    </row>
    <row r="615">
      <c r="A615" s="337"/>
      <c r="B615" s="164"/>
      <c r="C615" s="350"/>
      <c r="D615" s="349"/>
      <c r="E615" s="337"/>
      <c r="F615" s="164"/>
      <c r="G615" s="337"/>
      <c r="H615" s="164"/>
      <c r="I615" s="343"/>
      <c r="J615" s="183"/>
      <c r="K615" s="343"/>
      <c r="L615" s="183"/>
      <c r="M615" s="343"/>
      <c r="N615" s="183"/>
      <c r="O615" s="337"/>
      <c r="P615" s="164"/>
      <c r="Q615" s="201"/>
      <c r="R615" s="201"/>
      <c r="S615" s="17"/>
      <c r="T615" s="17"/>
      <c r="U615" s="17"/>
      <c r="V615" s="17"/>
      <c r="W615" s="17"/>
      <c r="X615" s="17"/>
      <c r="Y615" s="17"/>
      <c r="Z615" s="17"/>
    </row>
    <row r="616">
      <c r="A616" s="337"/>
      <c r="B616" s="164"/>
      <c r="C616" s="350"/>
      <c r="D616" s="349"/>
      <c r="E616" s="337"/>
      <c r="F616" s="164"/>
      <c r="G616" s="337"/>
      <c r="H616" s="164"/>
      <c r="I616" s="343"/>
      <c r="J616" s="183"/>
      <c r="K616" s="343"/>
      <c r="L616" s="183"/>
      <c r="M616" s="343"/>
      <c r="N616" s="183"/>
      <c r="O616" s="337"/>
      <c r="P616" s="164"/>
      <c r="Q616" s="201"/>
      <c r="R616" s="201"/>
      <c r="S616" s="17"/>
      <c r="T616" s="17"/>
      <c r="U616" s="17"/>
      <c r="V616" s="17"/>
      <c r="W616" s="17"/>
      <c r="X616" s="17"/>
      <c r="Y616" s="17"/>
      <c r="Z616" s="17"/>
    </row>
    <row r="617">
      <c r="A617" s="337"/>
      <c r="B617" s="164"/>
      <c r="C617" s="350"/>
      <c r="D617" s="349"/>
      <c r="E617" s="337"/>
      <c r="F617" s="164"/>
      <c r="G617" s="337"/>
      <c r="H617" s="164"/>
      <c r="I617" s="343"/>
      <c r="J617" s="183"/>
      <c r="K617" s="343"/>
      <c r="L617" s="183"/>
      <c r="M617" s="343"/>
      <c r="N617" s="183"/>
      <c r="O617" s="337"/>
      <c r="P617" s="164"/>
      <c r="Q617" s="201"/>
      <c r="R617" s="201"/>
      <c r="S617" s="17"/>
      <c r="T617" s="17"/>
      <c r="U617" s="17"/>
      <c r="V617" s="17"/>
      <c r="W617" s="17"/>
      <c r="X617" s="17"/>
      <c r="Y617" s="17"/>
      <c r="Z617" s="17"/>
    </row>
    <row r="618">
      <c r="A618" s="337"/>
      <c r="B618" s="164"/>
      <c r="C618" s="350"/>
      <c r="D618" s="349"/>
      <c r="E618" s="337"/>
      <c r="F618" s="164"/>
      <c r="G618" s="337"/>
      <c r="H618" s="164"/>
      <c r="I618" s="343"/>
      <c r="J618" s="183"/>
      <c r="K618" s="343"/>
      <c r="L618" s="183"/>
      <c r="M618" s="343"/>
      <c r="N618" s="183"/>
      <c r="O618" s="337"/>
      <c r="P618" s="164"/>
      <c r="Q618" s="201"/>
      <c r="R618" s="201"/>
      <c r="S618" s="17"/>
      <c r="T618" s="17"/>
      <c r="U618" s="17"/>
      <c r="V618" s="17"/>
      <c r="W618" s="17"/>
      <c r="X618" s="17"/>
      <c r="Y618" s="17"/>
      <c r="Z618" s="17"/>
    </row>
    <row r="619">
      <c r="A619" s="337"/>
      <c r="B619" s="164"/>
      <c r="C619" s="350"/>
      <c r="D619" s="349"/>
      <c r="E619" s="337"/>
      <c r="F619" s="164"/>
      <c r="G619" s="337"/>
      <c r="H619" s="164"/>
      <c r="I619" s="343"/>
      <c r="J619" s="183"/>
      <c r="K619" s="343"/>
      <c r="L619" s="183"/>
      <c r="M619" s="343"/>
      <c r="N619" s="183"/>
      <c r="O619" s="337"/>
      <c r="P619" s="164"/>
      <c r="Q619" s="201"/>
      <c r="R619" s="201"/>
      <c r="S619" s="17"/>
      <c r="T619" s="17"/>
      <c r="U619" s="17"/>
      <c r="V619" s="17"/>
      <c r="W619" s="17"/>
      <c r="X619" s="17"/>
      <c r="Y619" s="17"/>
      <c r="Z619" s="17"/>
    </row>
    <row r="620">
      <c r="A620" s="337"/>
      <c r="B620" s="164"/>
      <c r="C620" s="350"/>
      <c r="D620" s="349"/>
      <c r="E620" s="337"/>
      <c r="F620" s="164"/>
      <c r="G620" s="337"/>
      <c r="H620" s="164"/>
      <c r="I620" s="343"/>
      <c r="J620" s="183"/>
      <c r="K620" s="343"/>
      <c r="L620" s="183"/>
      <c r="M620" s="343"/>
      <c r="N620" s="183"/>
      <c r="O620" s="337"/>
      <c r="P620" s="164"/>
      <c r="Q620" s="201"/>
      <c r="R620" s="201"/>
      <c r="S620" s="17"/>
      <c r="T620" s="17"/>
      <c r="U620" s="17"/>
      <c r="V620" s="17"/>
      <c r="W620" s="17"/>
      <c r="X620" s="17"/>
      <c r="Y620" s="17"/>
      <c r="Z620" s="17"/>
    </row>
    <row r="621">
      <c r="A621" s="337"/>
      <c r="B621" s="164"/>
      <c r="C621" s="350"/>
      <c r="D621" s="349"/>
      <c r="E621" s="337"/>
      <c r="F621" s="164"/>
      <c r="G621" s="337"/>
      <c r="H621" s="164"/>
      <c r="I621" s="343"/>
      <c r="J621" s="183"/>
      <c r="K621" s="343"/>
      <c r="L621" s="183"/>
      <c r="M621" s="343"/>
      <c r="N621" s="183"/>
      <c r="O621" s="337"/>
      <c r="P621" s="164"/>
      <c r="Q621" s="201"/>
      <c r="R621" s="201"/>
      <c r="S621" s="17"/>
      <c r="T621" s="17"/>
      <c r="U621" s="17"/>
      <c r="V621" s="17"/>
      <c r="W621" s="17"/>
      <c r="X621" s="17"/>
      <c r="Y621" s="17"/>
      <c r="Z621" s="17"/>
    </row>
    <row r="622">
      <c r="A622" s="337"/>
      <c r="B622" s="164"/>
      <c r="C622" s="350"/>
      <c r="D622" s="349"/>
      <c r="E622" s="337"/>
      <c r="F622" s="164"/>
      <c r="G622" s="337"/>
      <c r="H622" s="164"/>
      <c r="I622" s="343"/>
      <c r="J622" s="183"/>
      <c r="K622" s="343"/>
      <c r="L622" s="183"/>
      <c r="M622" s="343"/>
      <c r="N622" s="183"/>
      <c r="O622" s="337"/>
      <c r="P622" s="164"/>
      <c r="Q622" s="201"/>
      <c r="R622" s="201"/>
      <c r="S622" s="17"/>
      <c r="T622" s="17"/>
      <c r="U622" s="17"/>
      <c r="V622" s="17"/>
      <c r="W622" s="17"/>
      <c r="X622" s="17"/>
      <c r="Y622" s="17"/>
      <c r="Z622" s="17"/>
    </row>
    <row r="623">
      <c r="A623" s="337"/>
      <c r="B623" s="164"/>
      <c r="C623" s="350"/>
      <c r="D623" s="349"/>
      <c r="E623" s="337"/>
      <c r="F623" s="164"/>
      <c r="G623" s="337"/>
      <c r="H623" s="164"/>
      <c r="I623" s="343"/>
      <c r="J623" s="183"/>
      <c r="K623" s="343"/>
      <c r="L623" s="183"/>
      <c r="M623" s="343"/>
      <c r="N623" s="183"/>
      <c r="O623" s="337"/>
      <c r="P623" s="164"/>
      <c r="Q623" s="201"/>
      <c r="R623" s="201"/>
      <c r="S623" s="17"/>
      <c r="T623" s="17"/>
      <c r="U623" s="17"/>
      <c r="V623" s="17"/>
      <c r="W623" s="17"/>
      <c r="X623" s="17"/>
      <c r="Y623" s="17"/>
      <c r="Z623" s="17"/>
    </row>
    <row r="624">
      <c r="A624" s="337"/>
      <c r="B624" s="164"/>
      <c r="C624" s="350"/>
      <c r="D624" s="349"/>
      <c r="E624" s="337"/>
      <c r="F624" s="164"/>
      <c r="G624" s="337"/>
      <c r="H624" s="164"/>
      <c r="I624" s="343"/>
      <c r="J624" s="183"/>
      <c r="K624" s="343"/>
      <c r="L624" s="183"/>
      <c r="M624" s="343"/>
      <c r="N624" s="183"/>
      <c r="O624" s="337"/>
      <c r="P624" s="164"/>
      <c r="Q624" s="201"/>
      <c r="R624" s="201"/>
      <c r="S624" s="17"/>
      <c r="T624" s="17"/>
      <c r="U624" s="17"/>
      <c r="V624" s="17"/>
      <c r="W624" s="17"/>
      <c r="X624" s="17"/>
      <c r="Y624" s="17"/>
      <c r="Z624" s="17"/>
    </row>
    <row r="625">
      <c r="A625" s="337"/>
      <c r="B625" s="164"/>
      <c r="C625" s="350"/>
      <c r="D625" s="349"/>
      <c r="E625" s="337"/>
      <c r="F625" s="164"/>
      <c r="G625" s="337"/>
      <c r="H625" s="164"/>
      <c r="I625" s="343"/>
      <c r="J625" s="183"/>
      <c r="K625" s="343"/>
      <c r="L625" s="183"/>
      <c r="M625" s="343"/>
      <c r="N625" s="183"/>
      <c r="O625" s="337"/>
      <c r="P625" s="164"/>
      <c r="Q625" s="201"/>
      <c r="R625" s="201"/>
      <c r="S625" s="17"/>
      <c r="T625" s="17"/>
      <c r="U625" s="17"/>
      <c r="V625" s="17"/>
      <c r="W625" s="17"/>
      <c r="X625" s="17"/>
      <c r="Y625" s="17"/>
      <c r="Z625" s="17"/>
    </row>
    <row r="626">
      <c r="A626" s="337"/>
      <c r="B626" s="164"/>
      <c r="C626" s="350"/>
      <c r="D626" s="349"/>
      <c r="E626" s="337"/>
      <c r="F626" s="164"/>
      <c r="G626" s="337"/>
      <c r="H626" s="164"/>
      <c r="I626" s="343"/>
      <c r="J626" s="183"/>
      <c r="K626" s="343"/>
      <c r="L626" s="183"/>
      <c r="M626" s="343"/>
      <c r="N626" s="183"/>
      <c r="O626" s="337"/>
      <c r="P626" s="164"/>
      <c r="Q626" s="201"/>
      <c r="R626" s="201"/>
      <c r="S626" s="17"/>
      <c r="T626" s="17"/>
      <c r="U626" s="17"/>
      <c r="V626" s="17"/>
      <c r="W626" s="17"/>
      <c r="X626" s="17"/>
      <c r="Y626" s="17"/>
      <c r="Z626" s="17"/>
    </row>
    <row r="627">
      <c r="A627" s="337"/>
      <c r="B627" s="164"/>
      <c r="C627" s="350"/>
      <c r="D627" s="349"/>
      <c r="E627" s="337"/>
      <c r="F627" s="164"/>
      <c r="G627" s="337"/>
      <c r="H627" s="164"/>
      <c r="I627" s="343"/>
      <c r="J627" s="183"/>
      <c r="K627" s="343"/>
      <c r="L627" s="183"/>
      <c r="M627" s="343"/>
      <c r="N627" s="183"/>
      <c r="O627" s="337"/>
      <c r="P627" s="164"/>
      <c r="Q627" s="201"/>
      <c r="R627" s="201"/>
      <c r="S627" s="17"/>
      <c r="T627" s="17"/>
      <c r="U627" s="17"/>
      <c r="V627" s="17"/>
      <c r="W627" s="17"/>
      <c r="X627" s="17"/>
      <c r="Y627" s="17"/>
      <c r="Z627" s="17"/>
    </row>
    <row r="628">
      <c r="A628" s="337"/>
      <c r="B628" s="164"/>
      <c r="C628" s="350"/>
      <c r="D628" s="349"/>
      <c r="E628" s="337"/>
      <c r="F628" s="164"/>
      <c r="G628" s="337"/>
      <c r="H628" s="164"/>
      <c r="I628" s="343"/>
      <c r="J628" s="183"/>
      <c r="K628" s="343"/>
      <c r="L628" s="183"/>
      <c r="M628" s="343"/>
      <c r="N628" s="183"/>
      <c r="O628" s="337"/>
      <c r="P628" s="164"/>
      <c r="Q628" s="201"/>
      <c r="R628" s="201"/>
      <c r="S628" s="17"/>
      <c r="T628" s="17"/>
      <c r="U628" s="17"/>
      <c r="V628" s="17"/>
      <c r="W628" s="17"/>
      <c r="X628" s="17"/>
      <c r="Y628" s="17"/>
      <c r="Z628" s="17"/>
    </row>
    <row r="629">
      <c r="A629" s="337"/>
      <c r="B629" s="164"/>
      <c r="C629" s="350"/>
      <c r="D629" s="349"/>
      <c r="E629" s="337"/>
      <c r="F629" s="164"/>
      <c r="G629" s="337"/>
      <c r="H629" s="164"/>
      <c r="I629" s="343"/>
      <c r="J629" s="183"/>
      <c r="K629" s="343"/>
      <c r="L629" s="183"/>
      <c r="M629" s="343"/>
      <c r="N629" s="183"/>
      <c r="O629" s="337"/>
      <c r="P629" s="164"/>
      <c r="Q629" s="201"/>
      <c r="R629" s="201"/>
      <c r="S629" s="17"/>
      <c r="T629" s="17"/>
      <c r="U629" s="17"/>
      <c r="V629" s="17"/>
      <c r="W629" s="17"/>
      <c r="X629" s="17"/>
      <c r="Y629" s="17"/>
      <c r="Z629" s="17"/>
    </row>
    <row r="630">
      <c r="A630" s="337"/>
      <c r="B630" s="164"/>
      <c r="C630" s="350"/>
      <c r="D630" s="349"/>
      <c r="E630" s="337"/>
      <c r="F630" s="164"/>
      <c r="G630" s="337"/>
      <c r="H630" s="164"/>
      <c r="I630" s="343"/>
      <c r="J630" s="183"/>
      <c r="K630" s="343"/>
      <c r="L630" s="183"/>
      <c r="M630" s="343"/>
      <c r="N630" s="183"/>
      <c r="O630" s="337"/>
      <c r="P630" s="164"/>
      <c r="Q630" s="201"/>
      <c r="R630" s="201"/>
      <c r="S630" s="17"/>
      <c r="T630" s="17"/>
      <c r="U630" s="17"/>
      <c r="V630" s="17"/>
      <c r="W630" s="17"/>
      <c r="X630" s="17"/>
      <c r="Y630" s="17"/>
      <c r="Z630" s="17"/>
    </row>
    <row r="631">
      <c r="A631" s="337"/>
      <c r="B631" s="164"/>
      <c r="C631" s="350"/>
      <c r="D631" s="349"/>
      <c r="E631" s="337"/>
      <c r="F631" s="164"/>
      <c r="G631" s="337"/>
      <c r="H631" s="164"/>
      <c r="I631" s="343"/>
      <c r="J631" s="183"/>
      <c r="K631" s="343"/>
      <c r="L631" s="183"/>
      <c r="M631" s="343"/>
      <c r="N631" s="183"/>
      <c r="O631" s="337"/>
      <c r="P631" s="164"/>
      <c r="Q631" s="201"/>
      <c r="R631" s="201"/>
      <c r="S631" s="17"/>
      <c r="T631" s="17"/>
      <c r="U631" s="17"/>
      <c r="V631" s="17"/>
      <c r="W631" s="17"/>
      <c r="X631" s="17"/>
      <c r="Y631" s="17"/>
      <c r="Z631" s="17"/>
    </row>
    <row r="632">
      <c r="A632" s="337"/>
      <c r="B632" s="164"/>
      <c r="C632" s="350"/>
      <c r="D632" s="349"/>
      <c r="E632" s="337"/>
      <c r="F632" s="164"/>
      <c r="G632" s="337"/>
      <c r="H632" s="164"/>
      <c r="I632" s="343"/>
      <c r="J632" s="183"/>
      <c r="K632" s="343"/>
      <c r="L632" s="183"/>
      <c r="M632" s="343"/>
      <c r="N632" s="183"/>
      <c r="O632" s="337"/>
      <c r="P632" s="164"/>
      <c r="Q632" s="201"/>
      <c r="R632" s="201"/>
      <c r="S632" s="17"/>
      <c r="T632" s="17"/>
      <c r="U632" s="17"/>
      <c r="V632" s="17"/>
      <c r="W632" s="17"/>
      <c r="X632" s="17"/>
      <c r="Y632" s="17"/>
      <c r="Z632" s="17"/>
    </row>
    <row r="633">
      <c r="A633" s="337"/>
      <c r="B633" s="164"/>
      <c r="C633" s="350"/>
      <c r="D633" s="349"/>
      <c r="E633" s="337"/>
      <c r="F633" s="164"/>
      <c r="G633" s="337"/>
      <c r="H633" s="164"/>
      <c r="I633" s="343"/>
      <c r="J633" s="183"/>
      <c r="K633" s="343"/>
      <c r="L633" s="183"/>
      <c r="M633" s="343"/>
      <c r="N633" s="183"/>
      <c r="O633" s="337"/>
      <c r="P633" s="164"/>
      <c r="Q633" s="201"/>
      <c r="R633" s="201"/>
      <c r="S633" s="17"/>
      <c r="T633" s="17"/>
      <c r="U633" s="17"/>
      <c r="V633" s="17"/>
      <c r="W633" s="17"/>
      <c r="X633" s="17"/>
      <c r="Y633" s="17"/>
      <c r="Z633" s="17"/>
    </row>
    <row r="634">
      <c r="A634" s="337"/>
      <c r="B634" s="164"/>
      <c r="C634" s="350"/>
      <c r="D634" s="349"/>
      <c r="E634" s="337"/>
      <c r="F634" s="164"/>
      <c r="G634" s="337"/>
      <c r="H634" s="164"/>
      <c r="I634" s="343"/>
      <c r="J634" s="183"/>
      <c r="K634" s="343"/>
      <c r="L634" s="183"/>
      <c r="M634" s="343"/>
      <c r="N634" s="183"/>
      <c r="O634" s="337"/>
      <c r="P634" s="164"/>
      <c r="Q634" s="201"/>
      <c r="R634" s="201"/>
      <c r="S634" s="17"/>
      <c r="T634" s="17"/>
      <c r="U634" s="17"/>
      <c r="V634" s="17"/>
      <c r="W634" s="17"/>
      <c r="X634" s="17"/>
      <c r="Y634" s="17"/>
      <c r="Z634" s="17"/>
    </row>
    <row r="635">
      <c r="A635" s="337"/>
      <c r="B635" s="164"/>
      <c r="C635" s="350"/>
      <c r="D635" s="349"/>
      <c r="E635" s="337"/>
      <c r="F635" s="164"/>
      <c r="G635" s="337"/>
      <c r="H635" s="164"/>
      <c r="I635" s="343"/>
      <c r="J635" s="183"/>
      <c r="K635" s="343"/>
      <c r="L635" s="183"/>
      <c r="M635" s="343"/>
      <c r="N635" s="183"/>
      <c r="O635" s="337"/>
      <c r="P635" s="164"/>
      <c r="Q635" s="201"/>
      <c r="R635" s="201"/>
      <c r="S635" s="17"/>
      <c r="T635" s="17"/>
      <c r="U635" s="17"/>
      <c r="V635" s="17"/>
      <c r="W635" s="17"/>
      <c r="X635" s="17"/>
      <c r="Y635" s="17"/>
      <c r="Z635" s="17"/>
    </row>
    <row r="636">
      <c r="A636" s="337"/>
      <c r="B636" s="164"/>
      <c r="C636" s="350"/>
      <c r="D636" s="349"/>
      <c r="E636" s="337"/>
      <c r="F636" s="164"/>
      <c r="G636" s="337"/>
      <c r="H636" s="164"/>
      <c r="I636" s="343"/>
      <c r="J636" s="183"/>
      <c r="K636" s="343"/>
      <c r="L636" s="183"/>
      <c r="M636" s="343"/>
      <c r="N636" s="183"/>
      <c r="O636" s="337"/>
      <c r="P636" s="164"/>
      <c r="Q636" s="201"/>
      <c r="R636" s="201"/>
      <c r="S636" s="17"/>
      <c r="T636" s="17"/>
      <c r="U636" s="17"/>
      <c r="V636" s="17"/>
      <c r="W636" s="17"/>
      <c r="X636" s="17"/>
      <c r="Y636" s="17"/>
      <c r="Z636" s="17"/>
    </row>
    <row r="637">
      <c r="A637" s="337"/>
      <c r="B637" s="164"/>
      <c r="C637" s="350"/>
      <c r="D637" s="349"/>
      <c r="E637" s="337"/>
      <c r="F637" s="164"/>
      <c r="G637" s="337"/>
      <c r="H637" s="164"/>
      <c r="I637" s="343"/>
      <c r="J637" s="183"/>
      <c r="K637" s="343"/>
      <c r="L637" s="183"/>
      <c r="M637" s="343"/>
      <c r="N637" s="183"/>
      <c r="O637" s="337"/>
      <c r="P637" s="164"/>
      <c r="Q637" s="201"/>
      <c r="R637" s="201"/>
      <c r="S637" s="17"/>
      <c r="T637" s="17"/>
      <c r="U637" s="17"/>
      <c r="V637" s="17"/>
      <c r="W637" s="17"/>
      <c r="X637" s="17"/>
      <c r="Y637" s="17"/>
      <c r="Z637" s="17"/>
    </row>
    <row r="638">
      <c r="A638" s="337"/>
      <c r="B638" s="164"/>
      <c r="C638" s="350"/>
      <c r="D638" s="349"/>
      <c r="E638" s="337"/>
      <c r="F638" s="164"/>
      <c r="G638" s="337"/>
      <c r="H638" s="164"/>
      <c r="I638" s="343"/>
      <c r="J638" s="183"/>
      <c r="K638" s="343"/>
      <c r="L638" s="183"/>
      <c r="M638" s="343"/>
      <c r="N638" s="183"/>
      <c r="O638" s="337"/>
      <c r="P638" s="164"/>
      <c r="Q638" s="201"/>
      <c r="R638" s="201"/>
      <c r="S638" s="17"/>
      <c r="T638" s="17"/>
      <c r="U638" s="17"/>
      <c r="V638" s="17"/>
      <c r="W638" s="17"/>
      <c r="X638" s="17"/>
      <c r="Y638" s="17"/>
      <c r="Z638" s="17"/>
    </row>
    <row r="639">
      <c r="A639" s="337"/>
      <c r="B639" s="164"/>
      <c r="C639" s="350"/>
      <c r="D639" s="349"/>
      <c r="E639" s="337"/>
      <c r="F639" s="164"/>
      <c r="G639" s="337"/>
      <c r="H639" s="164"/>
      <c r="I639" s="343"/>
      <c r="J639" s="183"/>
      <c r="K639" s="343"/>
      <c r="L639" s="183"/>
      <c r="M639" s="343"/>
      <c r="N639" s="183"/>
      <c r="O639" s="337"/>
      <c r="P639" s="164"/>
      <c r="Q639" s="201"/>
      <c r="R639" s="201"/>
      <c r="S639" s="17"/>
      <c r="T639" s="17"/>
      <c r="U639" s="17"/>
      <c r="V639" s="17"/>
      <c r="W639" s="17"/>
      <c r="X639" s="17"/>
      <c r="Y639" s="17"/>
      <c r="Z639" s="17"/>
    </row>
    <row r="640">
      <c r="A640" s="337"/>
      <c r="B640" s="164"/>
      <c r="C640" s="350"/>
      <c r="D640" s="349"/>
      <c r="E640" s="337"/>
      <c r="F640" s="164"/>
      <c r="G640" s="337"/>
      <c r="H640" s="164"/>
      <c r="I640" s="343"/>
      <c r="J640" s="183"/>
      <c r="K640" s="343"/>
      <c r="L640" s="183"/>
      <c r="M640" s="343"/>
      <c r="N640" s="183"/>
      <c r="O640" s="337"/>
      <c r="P640" s="164"/>
      <c r="Q640" s="201"/>
      <c r="R640" s="201"/>
      <c r="S640" s="17"/>
      <c r="T640" s="17"/>
      <c r="U640" s="17"/>
      <c r="V640" s="17"/>
      <c r="W640" s="17"/>
      <c r="X640" s="17"/>
      <c r="Y640" s="17"/>
      <c r="Z640" s="17"/>
    </row>
    <row r="641">
      <c r="A641" s="337"/>
      <c r="B641" s="164"/>
      <c r="C641" s="350"/>
      <c r="D641" s="349"/>
      <c r="E641" s="337"/>
      <c r="F641" s="164"/>
      <c r="G641" s="337"/>
      <c r="H641" s="164"/>
      <c r="I641" s="343"/>
      <c r="J641" s="183"/>
      <c r="K641" s="343"/>
      <c r="L641" s="183"/>
      <c r="M641" s="343"/>
      <c r="N641" s="183"/>
      <c r="O641" s="337"/>
      <c r="P641" s="164"/>
      <c r="Q641" s="201"/>
      <c r="R641" s="201"/>
      <c r="S641" s="17"/>
      <c r="T641" s="17"/>
      <c r="U641" s="17"/>
      <c r="V641" s="17"/>
      <c r="W641" s="17"/>
      <c r="X641" s="17"/>
      <c r="Y641" s="17"/>
      <c r="Z641" s="17"/>
    </row>
    <row r="642">
      <c r="A642" s="337"/>
      <c r="B642" s="164"/>
      <c r="C642" s="350"/>
      <c r="D642" s="349"/>
      <c r="E642" s="337"/>
      <c r="F642" s="164"/>
      <c r="G642" s="337"/>
      <c r="H642" s="164"/>
      <c r="I642" s="343"/>
      <c r="J642" s="183"/>
      <c r="K642" s="343"/>
      <c r="L642" s="183"/>
      <c r="M642" s="343"/>
      <c r="N642" s="183"/>
      <c r="O642" s="337"/>
      <c r="P642" s="164"/>
      <c r="Q642" s="201"/>
      <c r="R642" s="201"/>
      <c r="S642" s="17"/>
      <c r="T642" s="17"/>
      <c r="U642" s="17"/>
      <c r="V642" s="17"/>
      <c r="W642" s="17"/>
      <c r="X642" s="17"/>
      <c r="Y642" s="17"/>
      <c r="Z642" s="17"/>
    </row>
    <row r="643">
      <c r="A643" s="337"/>
      <c r="B643" s="164"/>
      <c r="C643" s="350"/>
      <c r="D643" s="349"/>
      <c r="E643" s="337"/>
      <c r="F643" s="164"/>
      <c r="G643" s="337"/>
      <c r="H643" s="164"/>
      <c r="I643" s="343"/>
      <c r="J643" s="183"/>
      <c r="K643" s="343"/>
      <c r="L643" s="183"/>
      <c r="M643" s="343"/>
      <c r="N643" s="183"/>
      <c r="O643" s="337"/>
      <c r="P643" s="164"/>
      <c r="Q643" s="201"/>
      <c r="R643" s="201"/>
      <c r="S643" s="17"/>
      <c r="T643" s="17"/>
      <c r="U643" s="17"/>
      <c r="V643" s="17"/>
      <c r="W643" s="17"/>
      <c r="X643" s="17"/>
      <c r="Y643" s="17"/>
      <c r="Z643" s="17"/>
    </row>
    <row r="644">
      <c r="A644" s="337"/>
      <c r="B644" s="164"/>
      <c r="C644" s="350"/>
      <c r="D644" s="349"/>
      <c r="E644" s="337"/>
      <c r="F644" s="164"/>
      <c r="G644" s="337"/>
      <c r="H644" s="164"/>
      <c r="I644" s="343"/>
      <c r="J644" s="183"/>
      <c r="K644" s="343"/>
      <c r="L644" s="183"/>
      <c r="M644" s="343"/>
      <c r="N644" s="183"/>
      <c r="O644" s="337"/>
      <c r="P644" s="164"/>
      <c r="Q644" s="201"/>
      <c r="R644" s="201"/>
      <c r="S644" s="17"/>
      <c r="T644" s="17"/>
      <c r="U644" s="17"/>
      <c r="V644" s="17"/>
      <c r="W644" s="17"/>
      <c r="X644" s="17"/>
      <c r="Y644" s="17"/>
      <c r="Z644" s="17"/>
    </row>
    <row r="645">
      <c r="A645" s="337"/>
      <c r="B645" s="164"/>
      <c r="C645" s="350"/>
      <c r="D645" s="349"/>
      <c r="E645" s="337"/>
      <c r="F645" s="164"/>
      <c r="G645" s="337"/>
      <c r="H645" s="164"/>
      <c r="I645" s="343"/>
      <c r="J645" s="183"/>
      <c r="K645" s="343"/>
      <c r="L645" s="183"/>
      <c r="M645" s="343"/>
      <c r="N645" s="183"/>
      <c r="O645" s="337"/>
      <c r="P645" s="164"/>
      <c r="Q645" s="201"/>
      <c r="R645" s="201"/>
      <c r="S645" s="17"/>
      <c r="T645" s="17"/>
      <c r="U645" s="17"/>
      <c r="V645" s="17"/>
      <c r="W645" s="17"/>
      <c r="X645" s="17"/>
      <c r="Y645" s="17"/>
      <c r="Z645" s="17"/>
    </row>
    <row r="646">
      <c r="A646" s="337"/>
      <c r="B646" s="164"/>
      <c r="C646" s="350"/>
      <c r="D646" s="349"/>
      <c r="E646" s="337"/>
      <c r="F646" s="164"/>
      <c r="G646" s="337"/>
      <c r="H646" s="164"/>
      <c r="I646" s="343"/>
      <c r="J646" s="183"/>
      <c r="K646" s="343"/>
      <c r="L646" s="183"/>
      <c r="M646" s="343"/>
      <c r="N646" s="183"/>
      <c r="O646" s="337"/>
      <c r="P646" s="164"/>
      <c r="Q646" s="201"/>
      <c r="R646" s="201"/>
      <c r="S646" s="17"/>
      <c r="T646" s="17"/>
      <c r="U646" s="17"/>
      <c r="V646" s="17"/>
      <c r="W646" s="17"/>
      <c r="X646" s="17"/>
      <c r="Y646" s="17"/>
      <c r="Z646" s="17"/>
    </row>
    <row r="647">
      <c r="A647" s="337"/>
      <c r="B647" s="164"/>
      <c r="C647" s="350"/>
      <c r="D647" s="349"/>
      <c r="E647" s="337"/>
      <c r="F647" s="164"/>
      <c r="G647" s="337"/>
      <c r="H647" s="164"/>
      <c r="I647" s="343"/>
      <c r="J647" s="183"/>
      <c r="K647" s="343"/>
      <c r="L647" s="183"/>
      <c r="M647" s="343"/>
      <c r="N647" s="183"/>
      <c r="O647" s="337"/>
      <c r="P647" s="164"/>
      <c r="Q647" s="201"/>
      <c r="R647" s="201"/>
      <c r="S647" s="17"/>
      <c r="T647" s="17"/>
      <c r="U647" s="17"/>
      <c r="V647" s="17"/>
      <c r="W647" s="17"/>
      <c r="X647" s="17"/>
      <c r="Y647" s="17"/>
      <c r="Z647" s="17"/>
    </row>
    <row r="648">
      <c r="A648" s="337"/>
      <c r="B648" s="164"/>
      <c r="C648" s="350"/>
      <c r="D648" s="349"/>
      <c r="E648" s="337"/>
      <c r="F648" s="164"/>
      <c r="G648" s="337"/>
      <c r="H648" s="164"/>
      <c r="I648" s="343"/>
      <c r="J648" s="183"/>
      <c r="K648" s="343"/>
      <c r="L648" s="183"/>
      <c r="M648" s="343"/>
      <c r="N648" s="183"/>
      <c r="O648" s="337"/>
      <c r="P648" s="164"/>
      <c r="Q648" s="201"/>
      <c r="R648" s="201"/>
      <c r="S648" s="17"/>
      <c r="T648" s="17"/>
      <c r="U648" s="17"/>
      <c r="V648" s="17"/>
      <c r="W648" s="17"/>
      <c r="X648" s="17"/>
      <c r="Y648" s="17"/>
      <c r="Z648" s="17"/>
    </row>
    <row r="649">
      <c r="A649" s="337"/>
      <c r="B649" s="164"/>
      <c r="C649" s="350"/>
      <c r="D649" s="349"/>
      <c r="E649" s="337"/>
      <c r="F649" s="164"/>
      <c r="G649" s="337"/>
      <c r="H649" s="164"/>
      <c r="I649" s="343"/>
      <c r="J649" s="183"/>
      <c r="K649" s="343"/>
      <c r="L649" s="183"/>
      <c r="M649" s="343"/>
      <c r="N649" s="183"/>
      <c r="O649" s="337"/>
      <c r="P649" s="164"/>
      <c r="Q649" s="201"/>
      <c r="R649" s="201"/>
      <c r="S649" s="17"/>
      <c r="T649" s="17"/>
      <c r="U649" s="17"/>
      <c r="V649" s="17"/>
      <c r="W649" s="17"/>
      <c r="X649" s="17"/>
      <c r="Y649" s="17"/>
      <c r="Z649" s="17"/>
    </row>
    <row r="650">
      <c r="A650" s="337"/>
      <c r="B650" s="164"/>
      <c r="C650" s="350"/>
      <c r="D650" s="349"/>
      <c r="E650" s="337"/>
      <c r="F650" s="164"/>
      <c r="G650" s="337"/>
      <c r="H650" s="164"/>
      <c r="I650" s="343"/>
      <c r="J650" s="183"/>
      <c r="K650" s="343"/>
      <c r="L650" s="183"/>
      <c r="M650" s="343"/>
      <c r="N650" s="183"/>
      <c r="O650" s="337"/>
      <c r="P650" s="164"/>
      <c r="Q650" s="201"/>
      <c r="R650" s="201"/>
      <c r="S650" s="17"/>
      <c r="T650" s="17"/>
      <c r="U650" s="17"/>
      <c r="V650" s="17"/>
      <c r="W650" s="17"/>
      <c r="X650" s="17"/>
      <c r="Y650" s="17"/>
      <c r="Z650" s="17"/>
    </row>
    <row r="651">
      <c r="A651" s="337"/>
      <c r="B651" s="164"/>
      <c r="C651" s="350"/>
      <c r="D651" s="349"/>
      <c r="E651" s="337"/>
      <c r="F651" s="164"/>
      <c r="G651" s="337"/>
      <c r="H651" s="164"/>
      <c r="I651" s="343"/>
      <c r="J651" s="183"/>
      <c r="K651" s="343"/>
      <c r="L651" s="183"/>
      <c r="M651" s="343"/>
      <c r="N651" s="183"/>
      <c r="O651" s="337"/>
      <c r="P651" s="164"/>
      <c r="Q651" s="201"/>
      <c r="R651" s="201"/>
      <c r="S651" s="17"/>
      <c r="T651" s="17"/>
      <c r="U651" s="17"/>
      <c r="V651" s="17"/>
      <c r="W651" s="17"/>
      <c r="X651" s="17"/>
      <c r="Y651" s="17"/>
      <c r="Z651" s="17"/>
    </row>
    <row r="652">
      <c r="A652" s="337"/>
      <c r="B652" s="164"/>
      <c r="C652" s="350"/>
      <c r="D652" s="349"/>
      <c r="E652" s="337"/>
      <c r="F652" s="164"/>
      <c r="G652" s="337"/>
      <c r="H652" s="164"/>
      <c r="I652" s="343"/>
      <c r="J652" s="183"/>
      <c r="K652" s="343"/>
      <c r="L652" s="183"/>
      <c r="M652" s="343"/>
      <c r="N652" s="183"/>
      <c r="O652" s="337"/>
      <c r="P652" s="164"/>
      <c r="Q652" s="201"/>
      <c r="R652" s="201"/>
      <c r="S652" s="17"/>
      <c r="T652" s="17"/>
      <c r="U652" s="17"/>
      <c r="V652" s="17"/>
      <c r="W652" s="17"/>
      <c r="X652" s="17"/>
      <c r="Y652" s="17"/>
      <c r="Z652" s="17"/>
    </row>
    <row r="653">
      <c r="A653" s="337"/>
      <c r="B653" s="164"/>
      <c r="C653" s="350"/>
      <c r="D653" s="349"/>
      <c r="E653" s="337"/>
      <c r="F653" s="164"/>
      <c r="G653" s="337"/>
      <c r="H653" s="164"/>
      <c r="I653" s="343"/>
      <c r="J653" s="183"/>
      <c r="K653" s="343"/>
      <c r="L653" s="183"/>
      <c r="M653" s="343"/>
      <c r="N653" s="183"/>
      <c r="O653" s="337"/>
      <c r="P653" s="164"/>
      <c r="Q653" s="201"/>
      <c r="R653" s="201"/>
      <c r="S653" s="17"/>
      <c r="T653" s="17"/>
      <c r="U653" s="17"/>
      <c r="V653" s="17"/>
      <c r="W653" s="17"/>
      <c r="X653" s="17"/>
      <c r="Y653" s="17"/>
      <c r="Z653" s="17"/>
    </row>
    <row r="654">
      <c r="A654" s="337"/>
      <c r="B654" s="164"/>
      <c r="C654" s="350"/>
      <c r="D654" s="349"/>
      <c r="E654" s="337"/>
      <c r="F654" s="164"/>
      <c r="G654" s="337"/>
      <c r="H654" s="164"/>
      <c r="I654" s="343"/>
      <c r="J654" s="183"/>
      <c r="K654" s="343"/>
      <c r="L654" s="183"/>
      <c r="M654" s="343"/>
      <c r="N654" s="183"/>
      <c r="O654" s="337"/>
      <c r="P654" s="164"/>
      <c r="Q654" s="201"/>
      <c r="R654" s="201"/>
      <c r="S654" s="17"/>
      <c r="T654" s="17"/>
      <c r="U654" s="17"/>
      <c r="V654" s="17"/>
      <c r="W654" s="17"/>
      <c r="X654" s="17"/>
      <c r="Y654" s="17"/>
      <c r="Z654" s="17"/>
    </row>
    <row r="655">
      <c r="A655" s="337"/>
      <c r="B655" s="164"/>
      <c r="C655" s="350"/>
      <c r="D655" s="349"/>
      <c r="E655" s="337"/>
      <c r="F655" s="164"/>
      <c r="G655" s="337"/>
      <c r="H655" s="164"/>
      <c r="I655" s="343"/>
      <c r="J655" s="183"/>
      <c r="K655" s="343"/>
      <c r="L655" s="183"/>
      <c r="M655" s="343"/>
      <c r="N655" s="183"/>
      <c r="O655" s="337"/>
      <c r="P655" s="164"/>
      <c r="Q655" s="201"/>
      <c r="R655" s="201"/>
      <c r="S655" s="17"/>
      <c r="T655" s="17"/>
      <c r="U655" s="17"/>
      <c r="V655" s="17"/>
      <c r="W655" s="17"/>
      <c r="X655" s="17"/>
      <c r="Y655" s="17"/>
      <c r="Z655" s="17"/>
    </row>
    <row r="656">
      <c r="A656" s="337"/>
      <c r="B656" s="164"/>
      <c r="C656" s="350"/>
      <c r="D656" s="349"/>
      <c r="E656" s="337"/>
      <c r="F656" s="164"/>
      <c r="G656" s="337"/>
      <c r="H656" s="164"/>
      <c r="I656" s="343"/>
      <c r="J656" s="183"/>
      <c r="K656" s="343"/>
      <c r="L656" s="183"/>
      <c r="M656" s="343"/>
      <c r="N656" s="183"/>
      <c r="O656" s="337"/>
      <c r="P656" s="164"/>
      <c r="Q656" s="201"/>
      <c r="R656" s="201"/>
      <c r="S656" s="17"/>
      <c r="T656" s="17"/>
      <c r="U656" s="17"/>
      <c r="V656" s="17"/>
      <c r="W656" s="17"/>
      <c r="X656" s="17"/>
      <c r="Y656" s="17"/>
      <c r="Z656" s="17"/>
    </row>
    <row r="657">
      <c r="A657" s="337"/>
      <c r="B657" s="164"/>
      <c r="C657" s="350"/>
      <c r="D657" s="349"/>
      <c r="E657" s="337"/>
      <c r="F657" s="164"/>
      <c r="G657" s="337"/>
      <c r="H657" s="164"/>
      <c r="I657" s="343"/>
      <c r="J657" s="183"/>
      <c r="K657" s="343"/>
      <c r="L657" s="183"/>
      <c r="M657" s="343"/>
      <c r="N657" s="183"/>
      <c r="O657" s="337"/>
      <c r="P657" s="164"/>
      <c r="Q657" s="201"/>
      <c r="R657" s="201"/>
      <c r="S657" s="17"/>
      <c r="T657" s="17"/>
      <c r="U657" s="17"/>
      <c r="V657" s="17"/>
      <c r="W657" s="17"/>
      <c r="X657" s="17"/>
      <c r="Y657" s="17"/>
      <c r="Z657" s="17"/>
    </row>
    <row r="658">
      <c r="A658" s="337"/>
      <c r="B658" s="164"/>
      <c r="C658" s="350"/>
      <c r="D658" s="349"/>
      <c r="E658" s="337"/>
      <c r="F658" s="164"/>
      <c r="G658" s="337"/>
      <c r="H658" s="164"/>
      <c r="I658" s="343"/>
      <c r="J658" s="183"/>
      <c r="K658" s="343"/>
      <c r="L658" s="183"/>
      <c r="M658" s="343"/>
      <c r="N658" s="183"/>
      <c r="O658" s="337"/>
      <c r="P658" s="164"/>
      <c r="Q658" s="201"/>
      <c r="R658" s="201"/>
      <c r="S658" s="17"/>
      <c r="T658" s="17"/>
      <c r="U658" s="17"/>
      <c r="V658" s="17"/>
      <c r="W658" s="17"/>
      <c r="X658" s="17"/>
      <c r="Y658" s="17"/>
      <c r="Z658" s="17"/>
    </row>
    <row r="659">
      <c r="A659" s="337"/>
      <c r="B659" s="164"/>
      <c r="C659" s="350"/>
      <c r="D659" s="349"/>
      <c r="E659" s="337"/>
      <c r="F659" s="164"/>
      <c r="G659" s="337"/>
      <c r="H659" s="164"/>
      <c r="I659" s="343"/>
      <c r="J659" s="183"/>
      <c r="K659" s="343"/>
      <c r="L659" s="183"/>
      <c r="M659" s="343"/>
      <c r="N659" s="183"/>
      <c r="O659" s="337"/>
      <c r="P659" s="164"/>
      <c r="Q659" s="201"/>
      <c r="R659" s="201"/>
      <c r="S659" s="17"/>
      <c r="T659" s="17"/>
      <c r="U659" s="17"/>
      <c r="V659" s="17"/>
      <c r="W659" s="17"/>
      <c r="X659" s="17"/>
      <c r="Y659" s="17"/>
      <c r="Z659" s="17"/>
    </row>
    <row r="660">
      <c r="A660" s="337"/>
      <c r="B660" s="164"/>
      <c r="C660" s="350"/>
      <c r="D660" s="349"/>
      <c r="E660" s="337"/>
      <c r="F660" s="164"/>
      <c r="G660" s="337"/>
      <c r="H660" s="164"/>
      <c r="I660" s="343"/>
      <c r="J660" s="183"/>
      <c r="K660" s="343"/>
      <c r="L660" s="183"/>
      <c r="M660" s="343"/>
      <c r="N660" s="183"/>
      <c r="O660" s="337"/>
      <c r="P660" s="164"/>
      <c r="Q660" s="201"/>
      <c r="R660" s="201"/>
      <c r="S660" s="17"/>
      <c r="T660" s="17"/>
      <c r="U660" s="17"/>
      <c r="V660" s="17"/>
      <c r="W660" s="17"/>
      <c r="X660" s="17"/>
      <c r="Y660" s="17"/>
      <c r="Z660" s="17"/>
    </row>
    <row r="661">
      <c r="A661" s="337"/>
      <c r="B661" s="164"/>
      <c r="C661" s="350"/>
      <c r="D661" s="349"/>
      <c r="E661" s="337"/>
      <c r="F661" s="164"/>
      <c r="G661" s="337"/>
      <c r="H661" s="164"/>
      <c r="I661" s="343"/>
      <c r="J661" s="183"/>
      <c r="K661" s="343"/>
      <c r="L661" s="183"/>
      <c r="M661" s="343"/>
      <c r="N661" s="183"/>
      <c r="O661" s="337"/>
      <c r="P661" s="164"/>
      <c r="Q661" s="201"/>
      <c r="R661" s="201"/>
      <c r="S661" s="17"/>
      <c r="T661" s="17"/>
      <c r="U661" s="17"/>
      <c r="V661" s="17"/>
      <c r="W661" s="17"/>
      <c r="X661" s="17"/>
      <c r="Y661" s="17"/>
      <c r="Z661" s="17"/>
    </row>
    <row r="662">
      <c r="A662" s="337"/>
      <c r="B662" s="164"/>
      <c r="C662" s="350"/>
      <c r="D662" s="349"/>
      <c r="E662" s="337"/>
      <c r="F662" s="164"/>
      <c r="G662" s="337"/>
      <c r="H662" s="164"/>
      <c r="I662" s="343"/>
      <c r="J662" s="183"/>
      <c r="K662" s="343"/>
      <c r="L662" s="183"/>
      <c r="M662" s="343"/>
      <c r="N662" s="183"/>
      <c r="O662" s="337"/>
      <c r="P662" s="164"/>
      <c r="Q662" s="201"/>
      <c r="R662" s="201"/>
      <c r="S662" s="17"/>
      <c r="T662" s="17"/>
      <c r="U662" s="17"/>
      <c r="V662" s="17"/>
      <c r="W662" s="17"/>
      <c r="X662" s="17"/>
      <c r="Y662" s="17"/>
      <c r="Z662" s="17"/>
    </row>
    <row r="663">
      <c r="A663" s="337"/>
      <c r="B663" s="164"/>
      <c r="C663" s="350"/>
      <c r="D663" s="349"/>
      <c r="E663" s="337"/>
      <c r="F663" s="164"/>
      <c r="G663" s="337"/>
      <c r="H663" s="164"/>
      <c r="I663" s="343"/>
      <c r="J663" s="183"/>
      <c r="K663" s="343"/>
      <c r="L663" s="183"/>
      <c r="M663" s="343"/>
      <c r="N663" s="183"/>
      <c r="O663" s="337"/>
      <c r="P663" s="164"/>
      <c r="Q663" s="201"/>
      <c r="R663" s="201"/>
      <c r="S663" s="17"/>
      <c r="T663" s="17"/>
      <c r="U663" s="17"/>
      <c r="V663" s="17"/>
      <c r="W663" s="17"/>
      <c r="X663" s="17"/>
      <c r="Y663" s="17"/>
      <c r="Z663" s="17"/>
    </row>
    <row r="664">
      <c r="A664" s="337"/>
      <c r="B664" s="164"/>
      <c r="C664" s="350"/>
      <c r="D664" s="349"/>
      <c r="E664" s="337"/>
      <c r="F664" s="164"/>
      <c r="G664" s="337"/>
      <c r="H664" s="164"/>
      <c r="I664" s="343"/>
      <c r="J664" s="183"/>
      <c r="K664" s="343"/>
      <c r="L664" s="183"/>
      <c r="M664" s="343"/>
      <c r="N664" s="183"/>
      <c r="O664" s="337"/>
      <c r="P664" s="164"/>
      <c r="Q664" s="201"/>
      <c r="R664" s="201"/>
      <c r="S664" s="17"/>
      <c r="T664" s="17"/>
      <c r="U664" s="17"/>
      <c r="V664" s="17"/>
      <c r="W664" s="17"/>
      <c r="X664" s="17"/>
      <c r="Y664" s="17"/>
      <c r="Z664" s="17"/>
    </row>
    <row r="665">
      <c r="A665" s="337"/>
      <c r="B665" s="164"/>
      <c r="C665" s="350"/>
      <c r="D665" s="349"/>
      <c r="E665" s="337"/>
      <c r="F665" s="164"/>
      <c r="G665" s="337"/>
      <c r="H665" s="164"/>
      <c r="I665" s="343"/>
      <c r="J665" s="183"/>
      <c r="K665" s="343"/>
      <c r="L665" s="183"/>
      <c r="M665" s="343"/>
      <c r="N665" s="183"/>
      <c r="O665" s="337"/>
      <c r="P665" s="164"/>
      <c r="Q665" s="201"/>
      <c r="R665" s="201"/>
      <c r="S665" s="17"/>
      <c r="T665" s="17"/>
      <c r="U665" s="17"/>
      <c r="V665" s="17"/>
      <c r="W665" s="17"/>
      <c r="X665" s="17"/>
      <c r="Y665" s="17"/>
      <c r="Z665" s="17"/>
    </row>
    <row r="666">
      <c r="A666" s="337"/>
      <c r="B666" s="164"/>
      <c r="C666" s="350"/>
      <c r="D666" s="349"/>
      <c r="E666" s="337"/>
      <c r="F666" s="164"/>
      <c r="G666" s="337"/>
      <c r="H666" s="164"/>
      <c r="I666" s="343"/>
      <c r="J666" s="183"/>
      <c r="K666" s="343"/>
      <c r="L666" s="183"/>
      <c r="M666" s="343"/>
      <c r="N666" s="183"/>
      <c r="O666" s="337"/>
      <c r="P666" s="164"/>
      <c r="Q666" s="201"/>
      <c r="R666" s="201"/>
      <c r="S666" s="17"/>
      <c r="T666" s="17"/>
      <c r="U666" s="17"/>
      <c r="V666" s="17"/>
      <c r="W666" s="17"/>
      <c r="X666" s="17"/>
      <c r="Y666" s="17"/>
      <c r="Z666" s="17"/>
    </row>
    <row r="667">
      <c r="A667" s="337"/>
      <c r="B667" s="164"/>
      <c r="C667" s="350"/>
      <c r="D667" s="349"/>
      <c r="E667" s="337"/>
      <c r="F667" s="164"/>
      <c r="G667" s="337"/>
      <c r="H667" s="164"/>
      <c r="I667" s="343"/>
      <c r="J667" s="183"/>
      <c r="K667" s="343"/>
      <c r="L667" s="183"/>
      <c r="M667" s="343"/>
      <c r="N667" s="183"/>
      <c r="O667" s="337"/>
      <c r="P667" s="164"/>
      <c r="Q667" s="201"/>
      <c r="R667" s="201"/>
      <c r="S667" s="17"/>
      <c r="T667" s="17"/>
      <c r="U667" s="17"/>
      <c r="V667" s="17"/>
      <c r="W667" s="17"/>
      <c r="X667" s="17"/>
      <c r="Y667" s="17"/>
      <c r="Z667" s="17"/>
    </row>
    <row r="668">
      <c r="A668" s="337"/>
      <c r="B668" s="164"/>
      <c r="C668" s="350"/>
      <c r="D668" s="349"/>
      <c r="E668" s="337"/>
      <c r="F668" s="164"/>
      <c r="G668" s="337"/>
      <c r="H668" s="164"/>
      <c r="I668" s="343"/>
      <c r="J668" s="183"/>
      <c r="K668" s="343"/>
      <c r="L668" s="183"/>
      <c r="M668" s="343"/>
      <c r="N668" s="183"/>
      <c r="O668" s="337"/>
      <c r="P668" s="164"/>
      <c r="Q668" s="201"/>
      <c r="R668" s="201"/>
      <c r="S668" s="17"/>
      <c r="T668" s="17"/>
      <c r="U668" s="17"/>
      <c r="V668" s="17"/>
      <c r="W668" s="17"/>
      <c r="X668" s="17"/>
      <c r="Y668" s="17"/>
      <c r="Z668" s="17"/>
    </row>
    <row r="669">
      <c r="A669" s="337"/>
      <c r="B669" s="164"/>
      <c r="C669" s="350"/>
      <c r="D669" s="349"/>
      <c r="E669" s="337"/>
      <c r="F669" s="164"/>
      <c r="G669" s="337"/>
      <c r="H669" s="164"/>
      <c r="I669" s="343"/>
      <c r="J669" s="183"/>
      <c r="K669" s="343"/>
      <c r="L669" s="183"/>
      <c r="M669" s="343"/>
      <c r="N669" s="183"/>
      <c r="O669" s="337"/>
      <c r="P669" s="164"/>
      <c r="Q669" s="201"/>
      <c r="R669" s="201"/>
      <c r="S669" s="17"/>
      <c r="T669" s="17"/>
      <c r="U669" s="17"/>
      <c r="V669" s="17"/>
      <c r="W669" s="17"/>
      <c r="X669" s="17"/>
      <c r="Y669" s="17"/>
      <c r="Z669" s="17"/>
    </row>
    <row r="670">
      <c r="A670" s="337"/>
      <c r="B670" s="164"/>
      <c r="C670" s="350"/>
      <c r="D670" s="349"/>
      <c r="E670" s="337"/>
      <c r="F670" s="164"/>
      <c r="G670" s="337"/>
      <c r="H670" s="164"/>
      <c r="I670" s="343"/>
      <c r="J670" s="183"/>
      <c r="K670" s="343"/>
      <c r="L670" s="183"/>
      <c r="M670" s="343"/>
      <c r="N670" s="183"/>
      <c r="O670" s="337"/>
      <c r="P670" s="164"/>
      <c r="Q670" s="201"/>
      <c r="R670" s="201"/>
      <c r="S670" s="17"/>
      <c r="T670" s="17"/>
      <c r="U670" s="17"/>
      <c r="V670" s="17"/>
      <c r="W670" s="17"/>
      <c r="X670" s="17"/>
      <c r="Y670" s="17"/>
      <c r="Z670" s="17"/>
    </row>
    <row r="671">
      <c r="A671" s="337"/>
      <c r="B671" s="164"/>
      <c r="C671" s="350"/>
      <c r="D671" s="349"/>
      <c r="E671" s="337"/>
      <c r="F671" s="164"/>
      <c r="G671" s="337"/>
      <c r="H671" s="164"/>
      <c r="I671" s="343"/>
      <c r="J671" s="183"/>
      <c r="K671" s="343"/>
      <c r="L671" s="183"/>
      <c r="M671" s="343"/>
      <c r="N671" s="183"/>
      <c r="O671" s="337"/>
      <c r="P671" s="164"/>
      <c r="Q671" s="201"/>
      <c r="R671" s="201"/>
      <c r="S671" s="17"/>
      <c r="T671" s="17"/>
      <c r="U671" s="17"/>
      <c r="V671" s="17"/>
      <c r="W671" s="17"/>
      <c r="X671" s="17"/>
      <c r="Y671" s="17"/>
      <c r="Z671" s="17"/>
    </row>
    <row r="672">
      <c r="A672" s="337"/>
      <c r="B672" s="164"/>
      <c r="C672" s="350"/>
      <c r="D672" s="349"/>
      <c r="E672" s="337"/>
      <c r="F672" s="164"/>
      <c r="G672" s="337"/>
      <c r="H672" s="164"/>
      <c r="I672" s="343"/>
      <c r="J672" s="183"/>
      <c r="K672" s="343"/>
      <c r="L672" s="183"/>
      <c r="M672" s="343"/>
      <c r="N672" s="183"/>
      <c r="O672" s="337"/>
      <c r="P672" s="164"/>
      <c r="Q672" s="201"/>
      <c r="R672" s="201"/>
      <c r="S672" s="17"/>
      <c r="T672" s="17"/>
      <c r="U672" s="17"/>
      <c r="V672" s="17"/>
      <c r="W672" s="17"/>
      <c r="X672" s="17"/>
      <c r="Y672" s="17"/>
      <c r="Z672" s="17"/>
    </row>
    <row r="673">
      <c r="A673" s="337"/>
      <c r="B673" s="164"/>
      <c r="C673" s="350"/>
      <c r="D673" s="349"/>
      <c r="E673" s="337"/>
      <c r="F673" s="164"/>
      <c r="G673" s="337"/>
      <c r="H673" s="164"/>
      <c r="I673" s="343"/>
      <c r="J673" s="183"/>
      <c r="K673" s="343"/>
      <c r="L673" s="183"/>
      <c r="M673" s="343"/>
      <c r="N673" s="183"/>
      <c r="O673" s="337"/>
      <c r="P673" s="164"/>
      <c r="Q673" s="201"/>
      <c r="R673" s="201"/>
      <c r="S673" s="17"/>
      <c r="T673" s="17"/>
      <c r="U673" s="17"/>
      <c r="V673" s="17"/>
      <c r="W673" s="17"/>
      <c r="X673" s="17"/>
      <c r="Y673" s="17"/>
      <c r="Z673" s="17"/>
    </row>
    <row r="674">
      <c r="A674" s="337"/>
      <c r="B674" s="164"/>
      <c r="C674" s="350"/>
      <c r="D674" s="349"/>
      <c r="E674" s="337"/>
      <c r="F674" s="164"/>
      <c r="G674" s="337"/>
      <c r="H674" s="164"/>
      <c r="I674" s="343"/>
      <c r="J674" s="183"/>
      <c r="K674" s="343"/>
      <c r="L674" s="183"/>
      <c r="M674" s="343"/>
      <c r="N674" s="183"/>
      <c r="O674" s="337"/>
      <c r="P674" s="164"/>
      <c r="Q674" s="201"/>
      <c r="R674" s="201"/>
      <c r="S674" s="17"/>
      <c r="T674" s="17"/>
      <c r="U674" s="17"/>
      <c r="V674" s="17"/>
      <c r="W674" s="17"/>
      <c r="X674" s="17"/>
      <c r="Y674" s="17"/>
      <c r="Z674" s="17"/>
    </row>
    <row r="675">
      <c r="A675" s="337"/>
      <c r="B675" s="164"/>
      <c r="C675" s="350"/>
      <c r="D675" s="349"/>
      <c r="E675" s="337"/>
      <c r="F675" s="164"/>
      <c r="G675" s="337"/>
      <c r="H675" s="164"/>
      <c r="I675" s="343"/>
      <c r="J675" s="183"/>
      <c r="K675" s="343"/>
      <c r="L675" s="183"/>
      <c r="M675" s="343"/>
      <c r="N675" s="183"/>
      <c r="O675" s="337"/>
      <c r="P675" s="164"/>
      <c r="Q675" s="201"/>
      <c r="R675" s="201"/>
      <c r="S675" s="17"/>
      <c r="T675" s="17"/>
      <c r="U675" s="17"/>
      <c r="V675" s="17"/>
      <c r="W675" s="17"/>
      <c r="X675" s="17"/>
      <c r="Y675" s="17"/>
      <c r="Z675" s="17"/>
    </row>
    <row r="676">
      <c r="A676" s="337"/>
      <c r="B676" s="164"/>
      <c r="C676" s="350"/>
      <c r="D676" s="349"/>
      <c r="E676" s="337"/>
      <c r="F676" s="164"/>
      <c r="G676" s="337"/>
      <c r="H676" s="164"/>
      <c r="I676" s="343"/>
      <c r="J676" s="183"/>
      <c r="K676" s="343"/>
      <c r="L676" s="183"/>
      <c r="M676" s="343"/>
      <c r="N676" s="183"/>
      <c r="O676" s="337"/>
      <c r="P676" s="164"/>
      <c r="Q676" s="201"/>
      <c r="R676" s="201"/>
      <c r="S676" s="17"/>
      <c r="T676" s="17"/>
      <c r="U676" s="17"/>
      <c r="V676" s="17"/>
      <c r="W676" s="17"/>
      <c r="X676" s="17"/>
      <c r="Y676" s="17"/>
      <c r="Z676" s="17"/>
    </row>
    <row r="677">
      <c r="A677" s="337"/>
      <c r="B677" s="164"/>
      <c r="C677" s="350"/>
      <c r="D677" s="349"/>
      <c r="E677" s="337"/>
      <c r="F677" s="164"/>
      <c r="G677" s="337"/>
      <c r="H677" s="164"/>
      <c r="I677" s="343"/>
      <c r="J677" s="183"/>
      <c r="K677" s="343"/>
      <c r="L677" s="183"/>
      <c r="M677" s="343"/>
      <c r="N677" s="183"/>
      <c r="O677" s="337"/>
      <c r="P677" s="164"/>
      <c r="Q677" s="201"/>
      <c r="R677" s="201"/>
      <c r="S677" s="17"/>
      <c r="T677" s="17"/>
      <c r="U677" s="17"/>
      <c r="V677" s="17"/>
      <c r="W677" s="17"/>
      <c r="X677" s="17"/>
      <c r="Y677" s="17"/>
      <c r="Z677" s="17"/>
    </row>
    <row r="678">
      <c r="A678" s="337"/>
      <c r="B678" s="164"/>
      <c r="C678" s="350"/>
      <c r="D678" s="349"/>
      <c r="E678" s="337"/>
      <c r="F678" s="164"/>
      <c r="G678" s="337"/>
      <c r="H678" s="164"/>
      <c r="I678" s="343"/>
      <c r="J678" s="183"/>
      <c r="K678" s="343"/>
      <c r="L678" s="183"/>
      <c r="M678" s="343"/>
      <c r="N678" s="183"/>
      <c r="O678" s="337"/>
      <c r="P678" s="164"/>
      <c r="Q678" s="201"/>
      <c r="R678" s="201"/>
      <c r="S678" s="17"/>
      <c r="T678" s="17"/>
      <c r="U678" s="17"/>
      <c r="V678" s="17"/>
      <c r="W678" s="17"/>
      <c r="X678" s="17"/>
      <c r="Y678" s="17"/>
      <c r="Z678" s="17"/>
    </row>
    <row r="679">
      <c r="A679" s="337"/>
      <c r="B679" s="164"/>
      <c r="C679" s="350"/>
      <c r="D679" s="349"/>
      <c r="E679" s="337"/>
      <c r="F679" s="164"/>
      <c r="G679" s="337"/>
      <c r="H679" s="164"/>
      <c r="I679" s="343"/>
      <c r="J679" s="183"/>
      <c r="K679" s="343"/>
      <c r="L679" s="183"/>
      <c r="M679" s="343"/>
      <c r="N679" s="183"/>
      <c r="O679" s="337"/>
      <c r="P679" s="164"/>
      <c r="Q679" s="201"/>
      <c r="R679" s="201"/>
      <c r="S679" s="17"/>
      <c r="T679" s="17"/>
      <c r="U679" s="17"/>
      <c r="V679" s="17"/>
      <c r="W679" s="17"/>
      <c r="X679" s="17"/>
      <c r="Y679" s="17"/>
      <c r="Z679" s="17"/>
    </row>
    <row r="680">
      <c r="A680" s="337"/>
      <c r="B680" s="164"/>
      <c r="C680" s="350"/>
      <c r="D680" s="349"/>
      <c r="E680" s="337"/>
      <c r="F680" s="164"/>
      <c r="G680" s="337"/>
      <c r="H680" s="164"/>
      <c r="I680" s="343"/>
      <c r="J680" s="183"/>
      <c r="K680" s="343"/>
      <c r="L680" s="183"/>
      <c r="M680" s="343"/>
      <c r="N680" s="183"/>
      <c r="O680" s="337"/>
      <c r="P680" s="164"/>
      <c r="Q680" s="201"/>
      <c r="R680" s="201"/>
      <c r="S680" s="17"/>
      <c r="T680" s="17"/>
      <c r="U680" s="17"/>
      <c r="V680" s="17"/>
      <c r="W680" s="17"/>
      <c r="X680" s="17"/>
      <c r="Y680" s="17"/>
      <c r="Z680" s="17"/>
    </row>
    <row r="681">
      <c r="A681" s="337"/>
      <c r="B681" s="164"/>
      <c r="C681" s="350"/>
      <c r="D681" s="349"/>
      <c r="E681" s="337"/>
      <c r="F681" s="164"/>
      <c r="G681" s="337"/>
      <c r="H681" s="164"/>
      <c r="I681" s="343"/>
      <c r="J681" s="183"/>
      <c r="K681" s="343"/>
      <c r="L681" s="183"/>
      <c r="M681" s="343"/>
      <c r="N681" s="183"/>
      <c r="O681" s="337"/>
      <c r="P681" s="164"/>
      <c r="Q681" s="201"/>
      <c r="R681" s="201"/>
      <c r="S681" s="17"/>
      <c r="T681" s="17"/>
      <c r="U681" s="17"/>
      <c r="V681" s="17"/>
      <c r="W681" s="17"/>
      <c r="X681" s="17"/>
      <c r="Y681" s="17"/>
      <c r="Z681" s="17"/>
    </row>
    <row r="682">
      <c r="A682" s="337"/>
      <c r="B682" s="164"/>
      <c r="C682" s="350"/>
      <c r="D682" s="349"/>
      <c r="E682" s="337"/>
      <c r="F682" s="164"/>
      <c r="G682" s="337"/>
      <c r="H682" s="164"/>
      <c r="I682" s="343"/>
      <c r="J682" s="183"/>
      <c r="K682" s="343"/>
      <c r="L682" s="183"/>
      <c r="M682" s="343"/>
      <c r="N682" s="183"/>
      <c r="O682" s="337"/>
      <c r="P682" s="164"/>
      <c r="Q682" s="201"/>
      <c r="R682" s="201"/>
      <c r="S682" s="17"/>
      <c r="T682" s="17"/>
      <c r="U682" s="17"/>
      <c r="V682" s="17"/>
      <c r="W682" s="17"/>
      <c r="X682" s="17"/>
      <c r="Y682" s="17"/>
      <c r="Z682" s="17"/>
    </row>
    <row r="683">
      <c r="A683" s="337"/>
      <c r="B683" s="164"/>
      <c r="C683" s="350"/>
      <c r="D683" s="349"/>
      <c r="E683" s="337"/>
      <c r="F683" s="164"/>
      <c r="G683" s="337"/>
      <c r="H683" s="164"/>
      <c r="I683" s="343"/>
      <c r="J683" s="183"/>
      <c r="K683" s="343"/>
      <c r="L683" s="183"/>
      <c r="M683" s="343"/>
      <c r="N683" s="183"/>
      <c r="O683" s="337"/>
      <c r="P683" s="164"/>
      <c r="Q683" s="201"/>
      <c r="R683" s="201"/>
      <c r="S683" s="17"/>
      <c r="T683" s="17"/>
      <c r="U683" s="17"/>
      <c r="V683" s="17"/>
      <c r="W683" s="17"/>
      <c r="X683" s="17"/>
      <c r="Y683" s="17"/>
      <c r="Z683" s="17"/>
    </row>
    <row r="684">
      <c r="A684" s="337"/>
      <c r="B684" s="164"/>
      <c r="C684" s="350"/>
      <c r="D684" s="349"/>
      <c r="E684" s="337"/>
      <c r="F684" s="164"/>
      <c r="G684" s="337"/>
      <c r="H684" s="164"/>
      <c r="I684" s="343"/>
      <c r="J684" s="183"/>
      <c r="K684" s="343"/>
      <c r="L684" s="183"/>
      <c r="M684" s="343"/>
      <c r="N684" s="183"/>
      <c r="O684" s="337"/>
      <c r="P684" s="164"/>
      <c r="Q684" s="201"/>
      <c r="R684" s="201"/>
      <c r="S684" s="17"/>
      <c r="T684" s="17"/>
      <c r="U684" s="17"/>
      <c r="V684" s="17"/>
      <c r="W684" s="17"/>
      <c r="X684" s="17"/>
      <c r="Y684" s="17"/>
      <c r="Z684" s="17"/>
    </row>
    <row r="685">
      <c r="A685" s="337"/>
      <c r="B685" s="164"/>
      <c r="C685" s="350"/>
      <c r="D685" s="349"/>
      <c r="E685" s="337"/>
      <c r="F685" s="164"/>
      <c r="G685" s="337"/>
      <c r="H685" s="164"/>
      <c r="I685" s="343"/>
      <c r="J685" s="183"/>
      <c r="K685" s="343"/>
      <c r="L685" s="183"/>
      <c r="M685" s="343"/>
      <c r="N685" s="183"/>
      <c r="O685" s="337"/>
      <c r="P685" s="164"/>
      <c r="Q685" s="201"/>
      <c r="R685" s="201"/>
      <c r="S685" s="17"/>
      <c r="T685" s="17"/>
      <c r="U685" s="17"/>
      <c r="V685" s="17"/>
      <c r="W685" s="17"/>
      <c r="X685" s="17"/>
      <c r="Y685" s="17"/>
      <c r="Z685" s="17"/>
    </row>
    <row r="686">
      <c r="A686" s="337"/>
      <c r="B686" s="164"/>
      <c r="C686" s="350"/>
      <c r="D686" s="349"/>
      <c r="E686" s="337"/>
      <c r="F686" s="164"/>
      <c r="G686" s="337"/>
      <c r="H686" s="164"/>
      <c r="I686" s="343"/>
      <c r="J686" s="183"/>
      <c r="K686" s="343"/>
      <c r="L686" s="183"/>
      <c r="M686" s="343"/>
      <c r="N686" s="183"/>
      <c r="O686" s="337"/>
      <c r="P686" s="164"/>
      <c r="Q686" s="201"/>
      <c r="R686" s="201"/>
      <c r="S686" s="17"/>
      <c r="T686" s="17"/>
      <c r="U686" s="17"/>
      <c r="V686" s="17"/>
      <c r="W686" s="17"/>
      <c r="X686" s="17"/>
      <c r="Y686" s="17"/>
      <c r="Z686" s="17"/>
    </row>
    <row r="687">
      <c r="A687" s="337"/>
      <c r="B687" s="164"/>
      <c r="C687" s="350"/>
      <c r="D687" s="349"/>
      <c r="E687" s="337"/>
      <c r="F687" s="164"/>
      <c r="G687" s="337"/>
      <c r="H687" s="164"/>
      <c r="I687" s="343"/>
      <c r="J687" s="183"/>
      <c r="K687" s="343"/>
      <c r="L687" s="183"/>
      <c r="M687" s="343"/>
      <c r="N687" s="183"/>
      <c r="O687" s="337"/>
      <c r="P687" s="164"/>
      <c r="Q687" s="201"/>
      <c r="R687" s="201"/>
      <c r="S687" s="17"/>
      <c r="T687" s="17"/>
      <c r="U687" s="17"/>
      <c r="V687" s="17"/>
      <c r="W687" s="17"/>
      <c r="X687" s="17"/>
      <c r="Y687" s="17"/>
      <c r="Z687" s="17"/>
    </row>
    <row r="688">
      <c r="A688" s="337"/>
      <c r="B688" s="164"/>
      <c r="C688" s="350"/>
      <c r="D688" s="349"/>
      <c r="E688" s="337"/>
      <c r="F688" s="164"/>
      <c r="G688" s="337"/>
      <c r="H688" s="164"/>
      <c r="I688" s="343"/>
      <c r="J688" s="183"/>
      <c r="K688" s="343"/>
      <c r="L688" s="183"/>
      <c r="M688" s="343"/>
      <c r="N688" s="183"/>
      <c r="O688" s="337"/>
      <c r="P688" s="164"/>
      <c r="Q688" s="201"/>
      <c r="R688" s="201"/>
      <c r="S688" s="17"/>
      <c r="T688" s="17"/>
      <c r="U688" s="17"/>
      <c r="V688" s="17"/>
      <c r="W688" s="17"/>
      <c r="X688" s="17"/>
      <c r="Y688" s="17"/>
      <c r="Z688" s="17"/>
    </row>
    <row r="689">
      <c r="A689" s="337"/>
      <c r="B689" s="164"/>
      <c r="C689" s="350"/>
      <c r="D689" s="349"/>
      <c r="E689" s="337"/>
      <c r="F689" s="164"/>
      <c r="G689" s="337"/>
      <c r="H689" s="164"/>
      <c r="I689" s="343"/>
      <c r="J689" s="183"/>
      <c r="K689" s="343"/>
      <c r="L689" s="183"/>
      <c r="M689" s="343"/>
      <c r="N689" s="183"/>
      <c r="O689" s="337"/>
      <c r="P689" s="164"/>
      <c r="Q689" s="201"/>
      <c r="R689" s="201"/>
      <c r="S689" s="17"/>
      <c r="T689" s="17"/>
      <c r="U689" s="17"/>
      <c r="V689" s="17"/>
      <c r="W689" s="17"/>
      <c r="X689" s="17"/>
      <c r="Y689" s="17"/>
      <c r="Z689" s="17"/>
    </row>
    <row r="690">
      <c r="A690" s="337"/>
      <c r="B690" s="164"/>
      <c r="C690" s="350"/>
      <c r="D690" s="349"/>
      <c r="E690" s="337"/>
      <c r="F690" s="164"/>
      <c r="G690" s="337"/>
      <c r="H690" s="164"/>
      <c r="I690" s="343"/>
      <c r="J690" s="183"/>
      <c r="K690" s="343"/>
      <c r="L690" s="183"/>
      <c r="M690" s="343"/>
      <c r="N690" s="183"/>
      <c r="O690" s="337"/>
      <c r="P690" s="164"/>
      <c r="Q690" s="201"/>
      <c r="R690" s="201"/>
      <c r="S690" s="17"/>
      <c r="T690" s="17"/>
      <c r="U690" s="17"/>
      <c r="V690" s="17"/>
      <c r="W690" s="17"/>
      <c r="X690" s="17"/>
      <c r="Y690" s="17"/>
      <c r="Z690" s="17"/>
    </row>
    <row r="691">
      <c r="A691" s="337"/>
      <c r="B691" s="164"/>
      <c r="C691" s="350"/>
      <c r="D691" s="349"/>
      <c r="E691" s="337"/>
      <c r="F691" s="164"/>
      <c r="G691" s="337"/>
      <c r="H691" s="164"/>
      <c r="I691" s="343"/>
      <c r="J691" s="183"/>
      <c r="K691" s="343"/>
      <c r="L691" s="183"/>
      <c r="M691" s="343"/>
      <c r="N691" s="183"/>
      <c r="O691" s="337"/>
      <c r="P691" s="164"/>
      <c r="Q691" s="201"/>
      <c r="R691" s="201"/>
      <c r="S691" s="17"/>
      <c r="T691" s="17"/>
      <c r="U691" s="17"/>
      <c r="V691" s="17"/>
      <c r="W691" s="17"/>
      <c r="X691" s="17"/>
      <c r="Y691" s="17"/>
      <c r="Z691" s="17"/>
    </row>
    <row r="692">
      <c r="A692" s="337"/>
      <c r="B692" s="164"/>
      <c r="C692" s="350"/>
      <c r="D692" s="349"/>
      <c r="E692" s="337"/>
      <c r="F692" s="164"/>
      <c r="G692" s="337"/>
      <c r="H692" s="164"/>
      <c r="I692" s="343"/>
      <c r="J692" s="183"/>
      <c r="K692" s="343"/>
      <c r="L692" s="183"/>
      <c r="M692" s="343"/>
      <c r="N692" s="183"/>
      <c r="O692" s="337"/>
      <c r="P692" s="164"/>
      <c r="Q692" s="201"/>
      <c r="R692" s="201"/>
      <c r="S692" s="17"/>
      <c r="T692" s="17"/>
      <c r="U692" s="17"/>
      <c r="V692" s="17"/>
      <c r="W692" s="17"/>
      <c r="X692" s="17"/>
      <c r="Y692" s="17"/>
      <c r="Z692" s="17"/>
    </row>
    <row r="693">
      <c r="A693" s="337"/>
      <c r="B693" s="164"/>
      <c r="C693" s="350"/>
      <c r="D693" s="349"/>
      <c r="E693" s="337"/>
      <c r="F693" s="164"/>
      <c r="G693" s="337"/>
      <c r="H693" s="164"/>
      <c r="I693" s="343"/>
      <c r="J693" s="183"/>
      <c r="K693" s="343"/>
      <c r="L693" s="183"/>
      <c r="M693" s="343"/>
      <c r="N693" s="183"/>
      <c r="O693" s="337"/>
      <c r="P693" s="164"/>
      <c r="Q693" s="201"/>
      <c r="R693" s="201"/>
      <c r="S693" s="17"/>
      <c r="T693" s="17"/>
      <c r="U693" s="17"/>
      <c r="V693" s="17"/>
      <c r="W693" s="17"/>
      <c r="X693" s="17"/>
      <c r="Y693" s="17"/>
      <c r="Z693" s="17"/>
    </row>
    <row r="694">
      <c r="A694" s="337"/>
      <c r="B694" s="164"/>
      <c r="C694" s="350"/>
      <c r="D694" s="349"/>
      <c r="E694" s="337"/>
      <c r="F694" s="164"/>
      <c r="G694" s="337"/>
      <c r="H694" s="164"/>
      <c r="I694" s="343"/>
      <c r="J694" s="183"/>
      <c r="K694" s="343"/>
      <c r="L694" s="183"/>
      <c r="M694" s="343"/>
      <c r="N694" s="183"/>
      <c r="O694" s="337"/>
      <c r="P694" s="164"/>
      <c r="Q694" s="201"/>
      <c r="R694" s="201"/>
      <c r="S694" s="17"/>
      <c r="T694" s="17"/>
      <c r="U694" s="17"/>
      <c r="V694" s="17"/>
      <c r="W694" s="17"/>
      <c r="X694" s="17"/>
      <c r="Y694" s="17"/>
      <c r="Z694" s="17"/>
    </row>
    <row r="695">
      <c r="A695" s="337"/>
      <c r="B695" s="164"/>
      <c r="C695" s="350"/>
      <c r="D695" s="349"/>
      <c r="E695" s="337"/>
      <c r="F695" s="164"/>
      <c r="G695" s="337"/>
      <c r="H695" s="164"/>
      <c r="I695" s="343"/>
      <c r="J695" s="183"/>
      <c r="K695" s="343"/>
      <c r="L695" s="183"/>
      <c r="M695" s="343"/>
      <c r="N695" s="183"/>
      <c r="O695" s="337"/>
      <c r="P695" s="164"/>
      <c r="Q695" s="201"/>
      <c r="R695" s="201"/>
      <c r="S695" s="17"/>
      <c r="T695" s="17"/>
      <c r="U695" s="17"/>
      <c r="V695" s="17"/>
      <c r="W695" s="17"/>
      <c r="X695" s="17"/>
      <c r="Y695" s="17"/>
      <c r="Z695" s="17"/>
    </row>
    <row r="696">
      <c r="A696" s="337"/>
      <c r="B696" s="164"/>
      <c r="C696" s="350"/>
      <c r="D696" s="349"/>
      <c r="E696" s="337"/>
      <c r="F696" s="164"/>
      <c r="G696" s="337"/>
      <c r="H696" s="164"/>
      <c r="I696" s="343"/>
      <c r="J696" s="183"/>
      <c r="K696" s="343"/>
      <c r="L696" s="183"/>
      <c r="M696" s="343"/>
      <c r="N696" s="183"/>
      <c r="O696" s="337"/>
      <c r="P696" s="164"/>
      <c r="Q696" s="201"/>
      <c r="R696" s="201"/>
      <c r="S696" s="17"/>
      <c r="T696" s="17"/>
      <c r="U696" s="17"/>
      <c r="V696" s="17"/>
      <c r="W696" s="17"/>
      <c r="X696" s="17"/>
      <c r="Y696" s="17"/>
      <c r="Z696" s="17"/>
    </row>
    <row r="697">
      <c r="A697" s="337"/>
      <c r="B697" s="164"/>
      <c r="C697" s="350"/>
      <c r="D697" s="349"/>
      <c r="E697" s="337"/>
      <c r="F697" s="164"/>
      <c r="G697" s="337"/>
      <c r="H697" s="164"/>
      <c r="I697" s="343"/>
      <c r="J697" s="183"/>
      <c r="K697" s="343"/>
      <c r="L697" s="183"/>
      <c r="M697" s="343"/>
      <c r="N697" s="183"/>
      <c r="O697" s="337"/>
      <c r="P697" s="164"/>
      <c r="Q697" s="201"/>
      <c r="R697" s="201"/>
      <c r="S697" s="17"/>
      <c r="T697" s="17"/>
      <c r="U697" s="17"/>
      <c r="V697" s="17"/>
      <c r="W697" s="17"/>
      <c r="X697" s="17"/>
      <c r="Y697" s="17"/>
      <c r="Z697" s="17"/>
    </row>
    <row r="698">
      <c r="A698" s="337"/>
      <c r="B698" s="164"/>
      <c r="C698" s="350"/>
      <c r="D698" s="349"/>
      <c r="E698" s="337"/>
      <c r="F698" s="164"/>
      <c r="G698" s="337"/>
      <c r="H698" s="164"/>
      <c r="I698" s="343"/>
      <c r="J698" s="183"/>
      <c r="K698" s="343"/>
      <c r="L698" s="183"/>
      <c r="M698" s="343"/>
      <c r="N698" s="183"/>
      <c r="O698" s="337"/>
      <c r="P698" s="164"/>
      <c r="Q698" s="201"/>
      <c r="R698" s="201"/>
      <c r="S698" s="17"/>
      <c r="T698" s="17"/>
      <c r="U698" s="17"/>
      <c r="V698" s="17"/>
      <c r="W698" s="17"/>
      <c r="X698" s="17"/>
      <c r="Y698" s="17"/>
      <c r="Z698" s="17"/>
    </row>
    <row r="699">
      <c r="A699" s="337"/>
      <c r="B699" s="164"/>
      <c r="C699" s="350"/>
      <c r="D699" s="349"/>
      <c r="E699" s="337"/>
      <c r="F699" s="164"/>
      <c r="G699" s="337"/>
      <c r="H699" s="164"/>
      <c r="I699" s="343"/>
      <c r="J699" s="183"/>
      <c r="K699" s="343"/>
      <c r="L699" s="183"/>
      <c r="M699" s="343"/>
      <c r="N699" s="183"/>
      <c r="O699" s="337"/>
      <c r="P699" s="164"/>
      <c r="Q699" s="201"/>
      <c r="R699" s="201"/>
      <c r="S699" s="17"/>
      <c r="T699" s="17"/>
      <c r="U699" s="17"/>
      <c r="V699" s="17"/>
      <c r="W699" s="17"/>
      <c r="X699" s="17"/>
      <c r="Y699" s="17"/>
      <c r="Z699" s="17"/>
    </row>
    <row r="700">
      <c r="A700" s="337"/>
      <c r="B700" s="164"/>
      <c r="C700" s="350"/>
      <c r="D700" s="349"/>
      <c r="E700" s="337"/>
      <c r="F700" s="164"/>
      <c r="G700" s="337"/>
      <c r="H700" s="164"/>
      <c r="I700" s="343"/>
      <c r="J700" s="183"/>
      <c r="K700" s="343"/>
      <c r="L700" s="183"/>
      <c r="M700" s="343"/>
      <c r="N700" s="183"/>
      <c r="O700" s="337"/>
      <c r="P700" s="164"/>
      <c r="Q700" s="201"/>
      <c r="R700" s="201"/>
      <c r="S700" s="17"/>
      <c r="T700" s="17"/>
      <c r="U700" s="17"/>
      <c r="V700" s="17"/>
      <c r="W700" s="17"/>
      <c r="X700" s="17"/>
      <c r="Y700" s="17"/>
      <c r="Z700" s="17"/>
    </row>
    <row r="701">
      <c r="A701" s="337"/>
      <c r="B701" s="164"/>
      <c r="C701" s="350"/>
      <c r="D701" s="349"/>
      <c r="E701" s="337"/>
      <c r="F701" s="164"/>
      <c r="G701" s="337"/>
      <c r="H701" s="164"/>
      <c r="I701" s="343"/>
      <c r="J701" s="183"/>
      <c r="K701" s="343"/>
      <c r="L701" s="183"/>
      <c r="M701" s="343"/>
      <c r="N701" s="183"/>
      <c r="O701" s="337"/>
      <c r="P701" s="164"/>
      <c r="Q701" s="201"/>
      <c r="R701" s="201"/>
      <c r="S701" s="17"/>
      <c r="T701" s="17"/>
      <c r="U701" s="17"/>
      <c r="V701" s="17"/>
      <c r="W701" s="17"/>
      <c r="X701" s="17"/>
      <c r="Y701" s="17"/>
      <c r="Z701" s="17"/>
    </row>
    <row r="702">
      <c r="A702" s="337"/>
      <c r="B702" s="164"/>
      <c r="C702" s="350"/>
      <c r="D702" s="349"/>
      <c r="E702" s="337"/>
      <c r="F702" s="164"/>
      <c r="G702" s="337"/>
      <c r="H702" s="164"/>
      <c r="I702" s="343"/>
      <c r="J702" s="183"/>
      <c r="K702" s="343"/>
      <c r="L702" s="183"/>
      <c r="M702" s="343"/>
      <c r="N702" s="183"/>
      <c r="O702" s="337"/>
      <c r="P702" s="164"/>
      <c r="Q702" s="201"/>
      <c r="R702" s="201"/>
      <c r="S702" s="17"/>
      <c r="T702" s="17"/>
      <c r="U702" s="17"/>
      <c r="V702" s="17"/>
      <c r="W702" s="17"/>
      <c r="X702" s="17"/>
      <c r="Y702" s="17"/>
      <c r="Z702" s="17"/>
    </row>
    <row r="703">
      <c r="A703" s="337"/>
      <c r="B703" s="164"/>
      <c r="C703" s="350"/>
      <c r="D703" s="349"/>
      <c r="E703" s="337"/>
      <c r="F703" s="164"/>
      <c r="G703" s="337"/>
      <c r="H703" s="164"/>
      <c r="I703" s="343"/>
      <c r="J703" s="183"/>
      <c r="K703" s="343"/>
      <c r="L703" s="183"/>
      <c r="M703" s="343"/>
      <c r="N703" s="183"/>
      <c r="O703" s="337"/>
      <c r="P703" s="164"/>
      <c r="Q703" s="201"/>
      <c r="R703" s="201"/>
      <c r="S703" s="17"/>
      <c r="T703" s="17"/>
      <c r="U703" s="17"/>
      <c r="V703" s="17"/>
      <c r="W703" s="17"/>
      <c r="X703" s="17"/>
      <c r="Y703" s="17"/>
      <c r="Z703" s="17"/>
    </row>
    <row r="704">
      <c r="A704" s="337"/>
      <c r="B704" s="164"/>
      <c r="C704" s="350"/>
      <c r="D704" s="349"/>
      <c r="E704" s="337"/>
      <c r="F704" s="164"/>
      <c r="G704" s="337"/>
      <c r="H704" s="164"/>
      <c r="I704" s="343"/>
      <c r="J704" s="183"/>
      <c r="K704" s="343"/>
      <c r="L704" s="183"/>
      <c r="M704" s="343"/>
      <c r="N704" s="183"/>
      <c r="O704" s="337"/>
      <c r="P704" s="164"/>
      <c r="Q704" s="201"/>
      <c r="R704" s="201"/>
      <c r="S704" s="17"/>
      <c r="T704" s="17"/>
      <c r="U704" s="17"/>
      <c r="V704" s="17"/>
      <c r="W704" s="17"/>
      <c r="X704" s="17"/>
      <c r="Y704" s="17"/>
      <c r="Z704" s="17"/>
    </row>
    <row r="705">
      <c r="A705" s="337"/>
      <c r="B705" s="164"/>
      <c r="C705" s="350"/>
      <c r="D705" s="349"/>
      <c r="E705" s="337"/>
      <c r="F705" s="164"/>
      <c r="G705" s="337"/>
      <c r="H705" s="164"/>
      <c r="I705" s="343"/>
      <c r="J705" s="183"/>
      <c r="K705" s="343"/>
      <c r="L705" s="183"/>
      <c r="M705" s="343"/>
      <c r="N705" s="183"/>
      <c r="O705" s="337"/>
      <c r="P705" s="164"/>
      <c r="Q705" s="201"/>
      <c r="R705" s="201"/>
      <c r="S705" s="17"/>
      <c r="T705" s="17"/>
      <c r="U705" s="17"/>
      <c r="V705" s="17"/>
      <c r="W705" s="17"/>
      <c r="X705" s="17"/>
      <c r="Y705" s="17"/>
      <c r="Z705" s="17"/>
    </row>
    <row r="706">
      <c r="A706" s="337"/>
      <c r="B706" s="164"/>
      <c r="C706" s="350"/>
      <c r="D706" s="349"/>
      <c r="E706" s="337"/>
      <c r="F706" s="164"/>
      <c r="G706" s="337"/>
      <c r="H706" s="164"/>
      <c r="I706" s="343"/>
      <c r="J706" s="183"/>
      <c r="K706" s="343"/>
      <c r="L706" s="183"/>
      <c r="M706" s="343"/>
      <c r="N706" s="183"/>
      <c r="O706" s="337"/>
      <c r="P706" s="164"/>
      <c r="Q706" s="201"/>
      <c r="R706" s="201"/>
      <c r="S706" s="17"/>
      <c r="T706" s="17"/>
      <c r="U706" s="17"/>
      <c r="V706" s="17"/>
      <c r="W706" s="17"/>
      <c r="X706" s="17"/>
      <c r="Y706" s="17"/>
      <c r="Z706" s="17"/>
    </row>
    <row r="707">
      <c r="A707" s="337"/>
      <c r="B707" s="164"/>
      <c r="C707" s="350"/>
      <c r="D707" s="349"/>
      <c r="E707" s="337"/>
      <c r="F707" s="164"/>
      <c r="G707" s="337"/>
      <c r="H707" s="164"/>
      <c r="I707" s="343"/>
      <c r="J707" s="183"/>
      <c r="K707" s="343"/>
      <c r="L707" s="183"/>
      <c r="M707" s="343"/>
      <c r="N707" s="183"/>
      <c r="O707" s="337"/>
      <c r="P707" s="164"/>
      <c r="Q707" s="201"/>
      <c r="R707" s="201"/>
      <c r="S707" s="17"/>
      <c r="T707" s="17"/>
      <c r="U707" s="17"/>
      <c r="V707" s="17"/>
      <c r="W707" s="17"/>
      <c r="X707" s="17"/>
      <c r="Y707" s="17"/>
      <c r="Z707" s="17"/>
    </row>
    <row r="708">
      <c r="A708" s="337"/>
      <c r="B708" s="164"/>
      <c r="C708" s="350"/>
      <c r="D708" s="349"/>
      <c r="E708" s="337"/>
      <c r="F708" s="164"/>
      <c r="G708" s="337"/>
      <c r="H708" s="164"/>
      <c r="I708" s="343"/>
      <c r="J708" s="183"/>
      <c r="K708" s="343"/>
      <c r="L708" s="183"/>
      <c r="M708" s="343"/>
      <c r="N708" s="183"/>
      <c r="O708" s="337"/>
      <c r="P708" s="164"/>
      <c r="Q708" s="201"/>
      <c r="R708" s="201"/>
      <c r="S708" s="17"/>
      <c r="T708" s="17"/>
      <c r="U708" s="17"/>
      <c r="V708" s="17"/>
      <c r="W708" s="17"/>
      <c r="X708" s="17"/>
      <c r="Y708" s="17"/>
      <c r="Z708" s="17"/>
    </row>
    <row r="709">
      <c r="A709" s="337"/>
      <c r="B709" s="164"/>
      <c r="C709" s="350"/>
      <c r="D709" s="349"/>
      <c r="E709" s="337"/>
      <c r="F709" s="164"/>
      <c r="G709" s="337"/>
      <c r="H709" s="164"/>
      <c r="I709" s="343"/>
      <c r="J709" s="183"/>
      <c r="K709" s="343"/>
      <c r="L709" s="183"/>
      <c r="M709" s="343"/>
      <c r="N709" s="183"/>
      <c r="O709" s="337"/>
      <c r="P709" s="164"/>
      <c r="Q709" s="201"/>
      <c r="R709" s="201"/>
      <c r="S709" s="17"/>
      <c r="T709" s="17"/>
      <c r="U709" s="17"/>
      <c r="V709" s="17"/>
      <c r="W709" s="17"/>
      <c r="X709" s="17"/>
      <c r="Y709" s="17"/>
      <c r="Z709" s="17"/>
    </row>
    <row r="710">
      <c r="A710" s="337"/>
      <c r="B710" s="164"/>
      <c r="C710" s="350"/>
      <c r="D710" s="349"/>
      <c r="E710" s="337"/>
      <c r="F710" s="164"/>
      <c r="G710" s="337"/>
      <c r="H710" s="164"/>
      <c r="I710" s="343"/>
      <c r="J710" s="183"/>
      <c r="K710" s="343"/>
      <c r="L710" s="183"/>
      <c r="M710" s="343"/>
      <c r="N710" s="183"/>
      <c r="O710" s="337"/>
      <c r="P710" s="164"/>
      <c r="Q710" s="201"/>
      <c r="R710" s="201"/>
      <c r="S710" s="17"/>
      <c r="T710" s="17"/>
      <c r="U710" s="17"/>
      <c r="V710" s="17"/>
      <c r="W710" s="17"/>
      <c r="X710" s="17"/>
      <c r="Y710" s="17"/>
      <c r="Z710" s="17"/>
    </row>
    <row r="711">
      <c r="A711" s="337"/>
      <c r="B711" s="164"/>
      <c r="C711" s="350"/>
      <c r="D711" s="349"/>
      <c r="E711" s="337"/>
      <c r="F711" s="164"/>
      <c r="G711" s="337"/>
      <c r="H711" s="164"/>
      <c r="I711" s="343"/>
      <c r="J711" s="183"/>
      <c r="K711" s="343"/>
      <c r="L711" s="183"/>
      <c r="M711" s="343"/>
      <c r="N711" s="183"/>
      <c r="O711" s="337"/>
      <c r="P711" s="164"/>
      <c r="Q711" s="201"/>
      <c r="R711" s="201"/>
      <c r="S711" s="17"/>
      <c r="T711" s="17"/>
      <c r="U711" s="17"/>
      <c r="V711" s="17"/>
      <c r="W711" s="17"/>
      <c r="X711" s="17"/>
      <c r="Y711" s="17"/>
      <c r="Z711" s="17"/>
    </row>
    <row r="712">
      <c r="A712" s="337"/>
      <c r="B712" s="164"/>
      <c r="C712" s="350"/>
      <c r="D712" s="349"/>
      <c r="E712" s="337"/>
      <c r="F712" s="164"/>
      <c r="G712" s="337"/>
      <c r="H712" s="164"/>
      <c r="I712" s="343"/>
      <c r="J712" s="183"/>
      <c r="K712" s="343"/>
      <c r="L712" s="183"/>
      <c r="M712" s="343"/>
      <c r="N712" s="183"/>
      <c r="O712" s="337"/>
      <c r="P712" s="164"/>
      <c r="Q712" s="201"/>
      <c r="R712" s="201"/>
      <c r="S712" s="17"/>
      <c r="T712" s="17"/>
      <c r="U712" s="17"/>
      <c r="V712" s="17"/>
      <c r="W712" s="17"/>
      <c r="X712" s="17"/>
      <c r="Y712" s="17"/>
      <c r="Z712" s="17"/>
    </row>
    <row r="713">
      <c r="A713" s="337"/>
      <c r="B713" s="164"/>
      <c r="C713" s="350"/>
      <c r="D713" s="349"/>
      <c r="E713" s="337"/>
      <c r="F713" s="164"/>
      <c r="G713" s="337"/>
      <c r="H713" s="164"/>
      <c r="I713" s="343"/>
      <c r="J713" s="183"/>
      <c r="K713" s="343"/>
      <c r="L713" s="183"/>
      <c r="M713" s="343"/>
      <c r="N713" s="183"/>
      <c r="O713" s="337"/>
      <c r="P713" s="164"/>
      <c r="Q713" s="201"/>
      <c r="R713" s="201"/>
      <c r="S713" s="17"/>
      <c r="T713" s="17"/>
      <c r="U713" s="17"/>
      <c r="V713" s="17"/>
      <c r="W713" s="17"/>
      <c r="X713" s="17"/>
      <c r="Y713" s="17"/>
      <c r="Z713" s="17"/>
    </row>
    <row r="714">
      <c r="A714" s="337"/>
      <c r="B714" s="164"/>
      <c r="C714" s="350"/>
      <c r="D714" s="349"/>
      <c r="E714" s="337"/>
      <c r="F714" s="164"/>
      <c r="G714" s="337"/>
      <c r="H714" s="164"/>
      <c r="I714" s="343"/>
      <c r="J714" s="183"/>
      <c r="K714" s="343"/>
      <c r="L714" s="183"/>
      <c r="M714" s="343"/>
      <c r="N714" s="183"/>
      <c r="O714" s="337"/>
      <c r="P714" s="164"/>
      <c r="Q714" s="201"/>
      <c r="R714" s="201"/>
      <c r="S714" s="17"/>
      <c r="T714" s="17"/>
      <c r="U714" s="17"/>
      <c r="V714" s="17"/>
      <c r="W714" s="17"/>
      <c r="X714" s="17"/>
      <c r="Y714" s="17"/>
      <c r="Z714" s="17"/>
    </row>
    <row r="715">
      <c r="A715" s="337"/>
      <c r="B715" s="164"/>
      <c r="C715" s="350"/>
      <c r="D715" s="349"/>
      <c r="E715" s="337"/>
      <c r="F715" s="164"/>
      <c r="G715" s="337"/>
      <c r="H715" s="164"/>
      <c r="I715" s="343"/>
      <c r="J715" s="183"/>
      <c r="K715" s="343"/>
      <c r="L715" s="183"/>
      <c r="M715" s="343"/>
      <c r="N715" s="183"/>
      <c r="O715" s="337"/>
      <c r="P715" s="164"/>
      <c r="Q715" s="201"/>
      <c r="R715" s="201"/>
      <c r="S715" s="17"/>
      <c r="T715" s="17"/>
      <c r="U715" s="17"/>
      <c r="V715" s="17"/>
      <c r="W715" s="17"/>
      <c r="X715" s="17"/>
      <c r="Y715" s="17"/>
      <c r="Z715" s="17"/>
    </row>
    <row r="716">
      <c r="A716" s="337"/>
      <c r="B716" s="164"/>
      <c r="C716" s="350"/>
      <c r="D716" s="349"/>
      <c r="E716" s="337"/>
      <c r="F716" s="164"/>
      <c r="G716" s="337"/>
      <c r="H716" s="164"/>
      <c r="I716" s="343"/>
      <c r="J716" s="183"/>
      <c r="K716" s="343"/>
      <c r="L716" s="183"/>
      <c r="M716" s="343"/>
      <c r="N716" s="183"/>
      <c r="O716" s="337"/>
      <c r="P716" s="164"/>
      <c r="Q716" s="201"/>
      <c r="R716" s="201"/>
      <c r="S716" s="17"/>
      <c r="T716" s="17"/>
      <c r="U716" s="17"/>
      <c r="V716" s="17"/>
      <c r="W716" s="17"/>
      <c r="X716" s="17"/>
      <c r="Y716" s="17"/>
      <c r="Z716" s="17"/>
    </row>
    <row r="717">
      <c r="A717" s="337"/>
      <c r="B717" s="164"/>
      <c r="C717" s="350"/>
      <c r="D717" s="349"/>
      <c r="E717" s="337"/>
      <c r="F717" s="164"/>
      <c r="G717" s="337"/>
      <c r="H717" s="164"/>
      <c r="I717" s="343"/>
      <c r="J717" s="183"/>
      <c r="K717" s="343"/>
      <c r="L717" s="183"/>
      <c r="M717" s="343"/>
      <c r="N717" s="183"/>
      <c r="O717" s="337"/>
      <c r="P717" s="164"/>
      <c r="Q717" s="201"/>
      <c r="R717" s="201"/>
      <c r="S717" s="17"/>
      <c r="T717" s="17"/>
      <c r="U717" s="17"/>
      <c r="V717" s="17"/>
      <c r="W717" s="17"/>
      <c r="X717" s="17"/>
      <c r="Y717" s="17"/>
      <c r="Z717" s="17"/>
    </row>
    <row r="718">
      <c r="A718" s="337"/>
      <c r="B718" s="164"/>
      <c r="C718" s="350"/>
      <c r="D718" s="349"/>
      <c r="E718" s="337"/>
      <c r="F718" s="164"/>
      <c r="G718" s="337"/>
      <c r="H718" s="164"/>
      <c r="I718" s="343"/>
      <c r="J718" s="183"/>
      <c r="K718" s="343"/>
      <c r="L718" s="183"/>
      <c r="M718" s="343"/>
      <c r="N718" s="183"/>
      <c r="O718" s="337"/>
      <c r="P718" s="164"/>
      <c r="Q718" s="201"/>
      <c r="R718" s="201"/>
      <c r="S718" s="17"/>
      <c r="T718" s="17"/>
      <c r="U718" s="17"/>
      <c r="V718" s="17"/>
      <c r="W718" s="17"/>
      <c r="X718" s="17"/>
      <c r="Y718" s="17"/>
      <c r="Z718" s="17"/>
    </row>
    <row r="719">
      <c r="A719" s="337"/>
      <c r="B719" s="164"/>
      <c r="C719" s="350"/>
      <c r="D719" s="349"/>
      <c r="E719" s="337"/>
      <c r="F719" s="164"/>
      <c r="G719" s="337"/>
      <c r="H719" s="164"/>
      <c r="I719" s="343"/>
      <c r="J719" s="183"/>
      <c r="K719" s="343"/>
      <c r="L719" s="183"/>
      <c r="M719" s="343"/>
      <c r="N719" s="183"/>
      <c r="O719" s="337"/>
      <c r="P719" s="164"/>
      <c r="Q719" s="201"/>
      <c r="R719" s="201"/>
      <c r="S719" s="17"/>
      <c r="T719" s="17"/>
      <c r="U719" s="17"/>
      <c r="V719" s="17"/>
      <c r="W719" s="17"/>
      <c r="X719" s="17"/>
      <c r="Y719" s="17"/>
      <c r="Z719" s="17"/>
    </row>
    <row r="720">
      <c r="A720" s="337"/>
      <c r="B720" s="164"/>
      <c r="C720" s="350"/>
      <c r="D720" s="349"/>
      <c r="E720" s="337"/>
      <c r="F720" s="164"/>
      <c r="G720" s="337"/>
      <c r="H720" s="164"/>
      <c r="I720" s="343"/>
      <c r="J720" s="183"/>
      <c r="K720" s="343"/>
      <c r="L720" s="183"/>
      <c r="M720" s="343"/>
      <c r="N720" s="183"/>
      <c r="O720" s="337"/>
      <c r="P720" s="164"/>
      <c r="Q720" s="201"/>
      <c r="R720" s="201"/>
      <c r="S720" s="17"/>
      <c r="T720" s="17"/>
      <c r="U720" s="17"/>
      <c r="V720" s="17"/>
      <c r="W720" s="17"/>
      <c r="X720" s="17"/>
      <c r="Y720" s="17"/>
      <c r="Z720" s="17"/>
    </row>
    <row r="721">
      <c r="A721" s="337"/>
      <c r="B721" s="164"/>
      <c r="C721" s="350"/>
      <c r="D721" s="349"/>
      <c r="E721" s="337"/>
      <c r="F721" s="164"/>
      <c r="G721" s="337"/>
      <c r="H721" s="164"/>
      <c r="I721" s="343"/>
      <c r="J721" s="183"/>
      <c r="K721" s="343"/>
      <c r="L721" s="183"/>
      <c r="M721" s="343"/>
      <c r="N721" s="183"/>
      <c r="O721" s="337"/>
      <c r="P721" s="164"/>
      <c r="Q721" s="201"/>
      <c r="R721" s="201"/>
      <c r="S721" s="17"/>
      <c r="T721" s="17"/>
      <c r="U721" s="17"/>
      <c r="V721" s="17"/>
      <c r="W721" s="17"/>
      <c r="X721" s="17"/>
      <c r="Y721" s="17"/>
      <c r="Z721" s="17"/>
    </row>
    <row r="722">
      <c r="A722" s="337"/>
      <c r="B722" s="164"/>
      <c r="C722" s="350"/>
      <c r="D722" s="349"/>
      <c r="E722" s="337"/>
      <c r="F722" s="164"/>
      <c r="G722" s="337"/>
      <c r="H722" s="164"/>
      <c r="I722" s="343"/>
      <c r="J722" s="183"/>
      <c r="K722" s="343"/>
      <c r="L722" s="183"/>
      <c r="M722" s="343"/>
      <c r="N722" s="183"/>
      <c r="O722" s="337"/>
      <c r="P722" s="164"/>
      <c r="Q722" s="201"/>
      <c r="R722" s="201"/>
      <c r="S722" s="17"/>
      <c r="T722" s="17"/>
      <c r="U722" s="17"/>
      <c r="V722" s="17"/>
      <c r="W722" s="17"/>
      <c r="X722" s="17"/>
      <c r="Y722" s="17"/>
      <c r="Z722" s="17"/>
    </row>
    <row r="723">
      <c r="A723" s="337"/>
      <c r="B723" s="164"/>
      <c r="C723" s="350"/>
      <c r="D723" s="349"/>
      <c r="E723" s="337"/>
      <c r="F723" s="164"/>
      <c r="G723" s="337"/>
      <c r="H723" s="164"/>
      <c r="I723" s="343"/>
      <c r="J723" s="183"/>
      <c r="K723" s="343"/>
      <c r="L723" s="183"/>
      <c r="M723" s="343"/>
      <c r="N723" s="183"/>
      <c r="O723" s="337"/>
      <c r="P723" s="164"/>
      <c r="Q723" s="201"/>
      <c r="R723" s="201"/>
      <c r="S723" s="17"/>
      <c r="T723" s="17"/>
      <c r="U723" s="17"/>
      <c r="V723" s="17"/>
      <c r="W723" s="17"/>
      <c r="X723" s="17"/>
      <c r="Y723" s="17"/>
      <c r="Z723" s="17"/>
    </row>
    <row r="724">
      <c r="A724" s="337"/>
      <c r="B724" s="164"/>
      <c r="C724" s="350"/>
      <c r="D724" s="349"/>
      <c r="E724" s="337"/>
      <c r="F724" s="164"/>
      <c r="G724" s="337"/>
      <c r="H724" s="164"/>
      <c r="I724" s="343"/>
      <c r="J724" s="183"/>
      <c r="K724" s="343"/>
      <c r="L724" s="183"/>
      <c r="M724" s="343"/>
      <c r="N724" s="183"/>
      <c r="O724" s="337"/>
      <c r="P724" s="164"/>
      <c r="Q724" s="201"/>
      <c r="R724" s="201"/>
      <c r="S724" s="17"/>
      <c r="T724" s="17"/>
      <c r="U724" s="17"/>
      <c r="V724" s="17"/>
      <c r="W724" s="17"/>
      <c r="X724" s="17"/>
      <c r="Y724" s="17"/>
      <c r="Z724" s="17"/>
    </row>
    <row r="725">
      <c r="A725" s="337"/>
      <c r="B725" s="164"/>
      <c r="C725" s="350"/>
      <c r="D725" s="349"/>
      <c r="E725" s="337"/>
      <c r="F725" s="164"/>
      <c r="G725" s="337"/>
      <c r="H725" s="164"/>
      <c r="I725" s="343"/>
      <c r="J725" s="183"/>
      <c r="K725" s="343"/>
      <c r="L725" s="183"/>
      <c r="M725" s="343"/>
      <c r="N725" s="183"/>
      <c r="O725" s="337"/>
      <c r="P725" s="164"/>
      <c r="Q725" s="201"/>
      <c r="R725" s="201"/>
      <c r="S725" s="17"/>
      <c r="T725" s="17"/>
      <c r="U725" s="17"/>
      <c r="V725" s="17"/>
      <c r="W725" s="17"/>
      <c r="X725" s="17"/>
      <c r="Y725" s="17"/>
      <c r="Z725" s="17"/>
    </row>
    <row r="726">
      <c r="A726" s="337"/>
      <c r="B726" s="164"/>
      <c r="C726" s="350"/>
      <c r="D726" s="349"/>
      <c r="E726" s="337"/>
      <c r="F726" s="164"/>
      <c r="G726" s="337"/>
      <c r="H726" s="164"/>
      <c r="I726" s="343"/>
      <c r="J726" s="183"/>
      <c r="K726" s="343"/>
      <c r="L726" s="183"/>
      <c r="M726" s="343"/>
      <c r="N726" s="183"/>
      <c r="O726" s="337"/>
      <c r="P726" s="164"/>
      <c r="Q726" s="201"/>
      <c r="R726" s="201"/>
      <c r="S726" s="17"/>
      <c r="T726" s="17"/>
      <c r="U726" s="17"/>
      <c r="V726" s="17"/>
      <c r="W726" s="17"/>
      <c r="X726" s="17"/>
      <c r="Y726" s="17"/>
      <c r="Z726" s="17"/>
    </row>
    <row r="727">
      <c r="A727" s="337"/>
      <c r="B727" s="164"/>
      <c r="C727" s="350"/>
      <c r="D727" s="349"/>
      <c r="E727" s="337"/>
      <c r="F727" s="164"/>
      <c r="G727" s="337"/>
      <c r="H727" s="164"/>
      <c r="I727" s="343"/>
      <c r="J727" s="183"/>
      <c r="K727" s="343"/>
      <c r="L727" s="183"/>
      <c r="M727" s="343"/>
      <c r="N727" s="183"/>
      <c r="O727" s="337"/>
      <c r="P727" s="164"/>
      <c r="Q727" s="201"/>
      <c r="R727" s="201"/>
      <c r="S727" s="17"/>
      <c r="T727" s="17"/>
      <c r="U727" s="17"/>
      <c r="V727" s="17"/>
      <c r="W727" s="17"/>
      <c r="X727" s="17"/>
      <c r="Y727" s="17"/>
      <c r="Z727" s="17"/>
    </row>
    <row r="728">
      <c r="A728" s="337"/>
      <c r="B728" s="164"/>
      <c r="C728" s="350"/>
      <c r="D728" s="349"/>
      <c r="E728" s="337"/>
      <c r="F728" s="164"/>
      <c r="G728" s="337"/>
      <c r="H728" s="164"/>
      <c r="I728" s="343"/>
      <c r="J728" s="183"/>
      <c r="K728" s="343"/>
      <c r="L728" s="183"/>
      <c r="M728" s="343"/>
      <c r="N728" s="183"/>
      <c r="O728" s="337"/>
      <c r="P728" s="164"/>
      <c r="Q728" s="201"/>
      <c r="R728" s="201"/>
      <c r="S728" s="17"/>
      <c r="T728" s="17"/>
      <c r="U728" s="17"/>
      <c r="V728" s="17"/>
      <c r="W728" s="17"/>
      <c r="X728" s="17"/>
      <c r="Y728" s="17"/>
      <c r="Z728" s="17"/>
    </row>
    <row r="729">
      <c r="A729" s="337"/>
      <c r="B729" s="164"/>
      <c r="C729" s="350"/>
      <c r="D729" s="349"/>
      <c r="E729" s="337"/>
      <c r="F729" s="164"/>
      <c r="G729" s="337"/>
      <c r="H729" s="164"/>
      <c r="I729" s="343"/>
      <c r="J729" s="183"/>
      <c r="K729" s="343"/>
      <c r="L729" s="183"/>
      <c r="M729" s="343"/>
      <c r="N729" s="183"/>
      <c r="O729" s="337"/>
      <c r="P729" s="164"/>
      <c r="Q729" s="201"/>
      <c r="R729" s="201"/>
      <c r="S729" s="17"/>
      <c r="T729" s="17"/>
      <c r="U729" s="17"/>
      <c r="V729" s="17"/>
      <c r="W729" s="17"/>
      <c r="X729" s="17"/>
      <c r="Y729" s="17"/>
      <c r="Z729" s="17"/>
    </row>
    <row r="730">
      <c r="A730" s="337"/>
      <c r="B730" s="164"/>
      <c r="C730" s="350"/>
      <c r="D730" s="349"/>
      <c r="E730" s="337"/>
      <c r="F730" s="164"/>
      <c r="G730" s="337"/>
      <c r="H730" s="164"/>
      <c r="I730" s="343"/>
      <c r="J730" s="183"/>
      <c r="K730" s="343"/>
      <c r="L730" s="183"/>
      <c r="M730" s="343"/>
      <c r="N730" s="183"/>
      <c r="O730" s="337"/>
      <c r="P730" s="164"/>
      <c r="Q730" s="201"/>
      <c r="R730" s="201"/>
      <c r="S730" s="17"/>
      <c r="T730" s="17"/>
      <c r="U730" s="17"/>
      <c r="V730" s="17"/>
      <c r="W730" s="17"/>
      <c r="X730" s="17"/>
      <c r="Y730" s="17"/>
      <c r="Z730" s="17"/>
    </row>
    <row r="731">
      <c r="A731" s="337"/>
      <c r="B731" s="164"/>
      <c r="C731" s="350"/>
      <c r="D731" s="349"/>
      <c r="E731" s="337"/>
      <c r="F731" s="164"/>
      <c r="G731" s="337"/>
      <c r="H731" s="164"/>
      <c r="I731" s="343"/>
      <c r="J731" s="183"/>
      <c r="K731" s="343"/>
      <c r="L731" s="183"/>
      <c r="M731" s="343"/>
      <c r="N731" s="183"/>
      <c r="O731" s="337"/>
      <c r="P731" s="164"/>
      <c r="Q731" s="201"/>
      <c r="R731" s="201"/>
      <c r="S731" s="17"/>
      <c r="T731" s="17"/>
      <c r="U731" s="17"/>
      <c r="V731" s="17"/>
      <c r="W731" s="17"/>
      <c r="X731" s="17"/>
      <c r="Y731" s="17"/>
      <c r="Z731" s="17"/>
    </row>
    <row r="732">
      <c r="A732" s="337"/>
      <c r="B732" s="164"/>
      <c r="C732" s="350"/>
      <c r="D732" s="349"/>
      <c r="E732" s="337"/>
      <c r="F732" s="164"/>
      <c r="G732" s="337"/>
      <c r="H732" s="164"/>
      <c r="I732" s="343"/>
      <c r="J732" s="183"/>
      <c r="K732" s="343"/>
      <c r="L732" s="183"/>
      <c r="M732" s="343"/>
      <c r="N732" s="183"/>
      <c r="O732" s="337"/>
      <c r="P732" s="164"/>
      <c r="Q732" s="201"/>
      <c r="R732" s="201"/>
      <c r="S732" s="17"/>
      <c r="T732" s="17"/>
      <c r="U732" s="17"/>
      <c r="V732" s="17"/>
      <c r="W732" s="17"/>
      <c r="X732" s="17"/>
      <c r="Y732" s="17"/>
      <c r="Z732" s="17"/>
    </row>
    <row r="733">
      <c r="A733" s="337"/>
      <c r="B733" s="164"/>
      <c r="C733" s="350"/>
      <c r="D733" s="349"/>
      <c r="E733" s="337"/>
      <c r="F733" s="164"/>
      <c r="G733" s="337"/>
      <c r="H733" s="164"/>
      <c r="I733" s="343"/>
      <c r="J733" s="183"/>
      <c r="K733" s="343"/>
      <c r="L733" s="183"/>
      <c r="M733" s="343"/>
      <c r="N733" s="183"/>
      <c r="O733" s="337"/>
      <c r="P733" s="164"/>
      <c r="Q733" s="201"/>
      <c r="R733" s="201"/>
      <c r="S733" s="17"/>
      <c r="T733" s="17"/>
      <c r="U733" s="17"/>
      <c r="V733" s="17"/>
      <c r="W733" s="17"/>
      <c r="X733" s="17"/>
      <c r="Y733" s="17"/>
      <c r="Z733" s="17"/>
    </row>
    <row r="734">
      <c r="A734" s="337"/>
      <c r="B734" s="164"/>
      <c r="C734" s="350"/>
      <c r="D734" s="349"/>
      <c r="E734" s="337"/>
      <c r="F734" s="164"/>
      <c r="G734" s="337"/>
      <c r="H734" s="164"/>
      <c r="I734" s="343"/>
      <c r="J734" s="183"/>
      <c r="K734" s="343"/>
      <c r="L734" s="183"/>
      <c r="M734" s="343"/>
      <c r="N734" s="183"/>
      <c r="O734" s="337"/>
      <c r="P734" s="164"/>
      <c r="Q734" s="201"/>
      <c r="R734" s="201"/>
      <c r="S734" s="17"/>
      <c r="T734" s="17"/>
      <c r="U734" s="17"/>
      <c r="V734" s="17"/>
      <c r="W734" s="17"/>
      <c r="X734" s="17"/>
      <c r="Y734" s="17"/>
      <c r="Z734" s="17"/>
    </row>
    <row r="735">
      <c r="A735" s="337"/>
      <c r="B735" s="164"/>
      <c r="C735" s="350"/>
      <c r="D735" s="349"/>
      <c r="E735" s="337"/>
      <c r="F735" s="164"/>
      <c r="G735" s="337"/>
      <c r="H735" s="164"/>
      <c r="I735" s="343"/>
      <c r="J735" s="183"/>
      <c r="K735" s="343"/>
      <c r="L735" s="183"/>
      <c r="M735" s="343"/>
      <c r="N735" s="183"/>
      <c r="O735" s="337"/>
      <c r="P735" s="164"/>
      <c r="Q735" s="201"/>
      <c r="R735" s="201"/>
      <c r="S735" s="17"/>
      <c r="T735" s="17"/>
      <c r="U735" s="17"/>
      <c r="V735" s="17"/>
      <c r="W735" s="17"/>
      <c r="X735" s="17"/>
      <c r="Y735" s="17"/>
      <c r="Z735" s="17"/>
    </row>
    <row r="736">
      <c r="A736" s="337"/>
      <c r="B736" s="164"/>
      <c r="C736" s="350"/>
      <c r="D736" s="349"/>
      <c r="E736" s="337"/>
      <c r="F736" s="164"/>
      <c r="G736" s="337"/>
      <c r="H736" s="164"/>
      <c r="I736" s="343"/>
      <c r="J736" s="183"/>
      <c r="K736" s="343"/>
      <c r="L736" s="183"/>
      <c r="M736" s="343"/>
      <c r="N736" s="183"/>
      <c r="O736" s="337"/>
      <c r="P736" s="164"/>
      <c r="Q736" s="201"/>
      <c r="R736" s="201"/>
      <c r="S736" s="17"/>
      <c r="T736" s="17"/>
      <c r="U736" s="17"/>
      <c r="V736" s="17"/>
      <c r="W736" s="17"/>
      <c r="X736" s="17"/>
      <c r="Y736" s="17"/>
      <c r="Z736" s="17"/>
    </row>
    <row r="737">
      <c r="A737" s="337"/>
      <c r="B737" s="164"/>
      <c r="C737" s="350"/>
      <c r="D737" s="349"/>
      <c r="E737" s="337"/>
      <c r="F737" s="164"/>
      <c r="G737" s="337"/>
      <c r="H737" s="164"/>
      <c r="I737" s="343"/>
      <c r="J737" s="183"/>
      <c r="K737" s="343"/>
      <c r="L737" s="183"/>
      <c r="M737" s="343"/>
      <c r="N737" s="183"/>
      <c r="O737" s="337"/>
      <c r="P737" s="164"/>
      <c r="Q737" s="201"/>
      <c r="R737" s="201"/>
      <c r="S737" s="17"/>
      <c r="T737" s="17"/>
      <c r="U737" s="17"/>
      <c r="V737" s="17"/>
      <c r="W737" s="17"/>
      <c r="X737" s="17"/>
      <c r="Y737" s="17"/>
      <c r="Z737" s="17"/>
    </row>
    <row r="738">
      <c r="A738" s="337"/>
      <c r="B738" s="164"/>
      <c r="C738" s="350"/>
      <c r="D738" s="349"/>
      <c r="E738" s="337"/>
      <c r="F738" s="164"/>
      <c r="G738" s="337"/>
      <c r="H738" s="164"/>
      <c r="I738" s="343"/>
      <c r="J738" s="183"/>
      <c r="K738" s="343"/>
      <c r="L738" s="183"/>
      <c r="M738" s="343"/>
      <c r="N738" s="183"/>
      <c r="O738" s="337"/>
      <c r="P738" s="164"/>
      <c r="Q738" s="201"/>
      <c r="R738" s="201"/>
      <c r="S738" s="17"/>
      <c r="T738" s="17"/>
      <c r="U738" s="17"/>
      <c r="V738" s="17"/>
      <c r="W738" s="17"/>
      <c r="X738" s="17"/>
      <c r="Y738" s="17"/>
      <c r="Z738" s="17"/>
    </row>
    <row r="739">
      <c r="A739" s="337"/>
      <c r="B739" s="164"/>
      <c r="C739" s="350"/>
      <c r="D739" s="349"/>
      <c r="E739" s="337"/>
      <c r="F739" s="164"/>
      <c r="G739" s="337"/>
      <c r="H739" s="164"/>
      <c r="I739" s="343"/>
      <c r="J739" s="183"/>
      <c r="K739" s="343"/>
      <c r="L739" s="183"/>
      <c r="M739" s="343"/>
      <c r="N739" s="183"/>
      <c r="O739" s="337"/>
      <c r="P739" s="164"/>
      <c r="Q739" s="201"/>
      <c r="R739" s="201"/>
      <c r="S739" s="17"/>
      <c r="T739" s="17"/>
      <c r="U739" s="17"/>
      <c r="V739" s="17"/>
      <c r="W739" s="17"/>
      <c r="X739" s="17"/>
      <c r="Y739" s="17"/>
      <c r="Z739" s="17"/>
    </row>
    <row r="740">
      <c r="A740" s="337"/>
      <c r="B740" s="164"/>
      <c r="C740" s="350"/>
      <c r="D740" s="349"/>
      <c r="E740" s="337"/>
      <c r="F740" s="164"/>
      <c r="G740" s="337"/>
      <c r="H740" s="164"/>
      <c r="I740" s="343"/>
      <c r="J740" s="183"/>
      <c r="K740" s="343"/>
      <c r="L740" s="183"/>
      <c r="M740" s="343"/>
      <c r="N740" s="183"/>
      <c r="O740" s="337"/>
      <c r="P740" s="164"/>
      <c r="Q740" s="201"/>
      <c r="R740" s="201"/>
      <c r="S740" s="17"/>
      <c r="T740" s="17"/>
      <c r="U740" s="17"/>
      <c r="V740" s="17"/>
      <c r="W740" s="17"/>
      <c r="X740" s="17"/>
      <c r="Y740" s="17"/>
      <c r="Z740" s="17"/>
    </row>
    <row r="741">
      <c r="A741" s="337"/>
      <c r="B741" s="164"/>
      <c r="C741" s="350"/>
      <c r="D741" s="349"/>
      <c r="E741" s="337"/>
      <c r="F741" s="164"/>
      <c r="G741" s="337"/>
      <c r="H741" s="164"/>
      <c r="I741" s="343"/>
      <c r="J741" s="183"/>
      <c r="K741" s="343"/>
      <c r="L741" s="183"/>
      <c r="M741" s="343"/>
      <c r="N741" s="183"/>
      <c r="O741" s="337"/>
      <c r="P741" s="164"/>
      <c r="Q741" s="201"/>
      <c r="R741" s="201"/>
      <c r="S741" s="17"/>
      <c r="T741" s="17"/>
      <c r="U741" s="17"/>
      <c r="V741" s="17"/>
      <c r="W741" s="17"/>
      <c r="X741" s="17"/>
      <c r="Y741" s="17"/>
      <c r="Z741" s="17"/>
    </row>
    <row r="742">
      <c r="A742" s="337"/>
      <c r="B742" s="164"/>
      <c r="C742" s="350"/>
      <c r="D742" s="349"/>
      <c r="E742" s="337"/>
      <c r="F742" s="164"/>
      <c r="G742" s="337"/>
      <c r="H742" s="164"/>
      <c r="I742" s="343"/>
      <c r="J742" s="183"/>
      <c r="K742" s="343"/>
      <c r="L742" s="183"/>
      <c r="M742" s="343"/>
      <c r="N742" s="183"/>
      <c r="O742" s="337"/>
      <c r="P742" s="164"/>
      <c r="Q742" s="201"/>
      <c r="R742" s="201"/>
      <c r="S742" s="17"/>
      <c r="T742" s="17"/>
      <c r="U742" s="17"/>
      <c r="V742" s="17"/>
      <c r="W742" s="17"/>
      <c r="X742" s="17"/>
      <c r="Y742" s="17"/>
      <c r="Z742" s="17"/>
    </row>
    <row r="743">
      <c r="A743" s="337"/>
      <c r="B743" s="164"/>
      <c r="C743" s="350"/>
      <c r="D743" s="349"/>
      <c r="E743" s="337"/>
      <c r="F743" s="164"/>
      <c r="G743" s="337"/>
      <c r="H743" s="164"/>
      <c r="I743" s="343"/>
      <c r="J743" s="183"/>
      <c r="K743" s="343"/>
      <c r="L743" s="183"/>
      <c r="M743" s="343"/>
      <c r="N743" s="183"/>
      <c r="O743" s="337"/>
      <c r="P743" s="164"/>
      <c r="Q743" s="201"/>
      <c r="R743" s="201"/>
      <c r="S743" s="17"/>
      <c r="T743" s="17"/>
      <c r="U743" s="17"/>
      <c r="V743" s="17"/>
      <c r="W743" s="17"/>
      <c r="X743" s="17"/>
      <c r="Y743" s="17"/>
      <c r="Z743" s="17"/>
    </row>
    <row r="744">
      <c r="A744" s="337"/>
      <c r="B744" s="164"/>
      <c r="C744" s="350"/>
      <c r="D744" s="349"/>
      <c r="E744" s="337"/>
      <c r="F744" s="164"/>
      <c r="G744" s="337"/>
      <c r="H744" s="164"/>
      <c r="I744" s="343"/>
      <c r="J744" s="183"/>
      <c r="K744" s="343"/>
      <c r="L744" s="183"/>
      <c r="M744" s="343"/>
      <c r="N744" s="183"/>
      <c r="O744" s="337"/>
      <c r="P744" s="164"/>
      <c r="Q744" s="201"/>
      <c r="R744" s="201"/>
      <c r="S744" s="17"/>
      <c r="T744" s="17"/>
      <c r="U744" s="17"/>
      <c r="V744" s="17"/>
      <c r="W744" s="17"/>
      <c r="X744" s="17"/>
      <c r="Y744" s="17"/>
      <c r="Z744" s="17"/>
    </row>
    <row r="745">
      <c r="A745" s="337"/>
      <c r="B745" s="164"/>
      <c r="C745" s="350"/>
      <c r="D745" s="349"/>
      <c r="E745" s="337"/>
      <c r="F745" s="164"/>
      <c r="G745" s="337"/>
      <c r="H745" s="164"/>
      <c r="I745" s="343"/>
      <c r="J745" s="183"/>
      <c r="K745" s="343"/>
      <c r="L745" s="183"/>
      <c r="M745" s="343"/>
      <c r="N745" s="183"/>
      <c r="O745" s="337"/>
      <c r="P745" s="164"/>
      <c r="Q745" s="201"/>
      <c r="R745" s="201"/>
      <c r="S745" s="17"/>
      <c r="T745" s="17"/>
      <c r="U745" s="17"/>
      <c r="V745" s="17"/>
      <c r="W745" s="17"/>
      <c r="X745" s="17"/>
      <c r="Y745" s="17"/>
      <c r="Z745" s="17"/>
    </row>
    <row r="746">
      <c r="A746" s="337"/>
      <c r="B746" s="164"/>
      <c r="C746" s="350"/>
      <c r="D746" s="349"/>
      <c r="E746" s="337"/>
      <c r="F746" s="164"/>
      <c r="G746" s="337"/>
      <c r="H746" s="164"/>
      <c r="I746" s="343"/>
      <c r="J746" s="183"/>
      <c r="K746" s="343"/>
      <c r="L746" s="183"/>
      <c r="M746" s="343"/>
      <c r="N746" s="183"/>
      <c r="O746" s="337"/>
      <c r="P746" s="164"/>
      <c r="Q746" s="201"/>
      <c r="R746" s="201"/>
      <c r="S746" s="17"/>
      <c r="T746" s="17"/>
      <c r="U746" s="17"/>
      <c r="V746" s="17"/>
      <c r="W746" s="17"/>
      <c r="X746" s="17"/>
      <c r="Y746" s="17"/>
      <c r="Z746" s="17"/>
    </row>
    <row r="747">
      <c r="A747" s="337"/>
      <c r="B747" s="164"/>
      <c r="C747" s="350"/>
      <c r="D747" s="349"/>
      <c r="E747" s="337"/>
      <c r="F747" s="164"/>
      <c r="G747" s="337"/>
      <c r="H747" s="164"/>
      <c r="I747" s="343"/>
      <c r="J747" s="183"/>
      <c r="K747" s="343"/>
      <c r="L747" s="183"/>
      <c r="M747" s="343"/>
      <c r="N747" s="183"/>
      <c r="O747" s="337"/>
      <c r="P747" s="164"/>
      <c r="Q747" s="201"/>
      <c r="R747" s="201"/>
      <c r="S747" s="17"/>
      <c r="T747" s="17"/>
      <c r="U747" s="17"/>
      <c r="V747" s="17"/>
      <c r="W747" s="17"/>
      <c r="X747" s="17"/>
      <c r="Y747" s="17"/>
      <c r="Z747" s="17"/>
    </row>
    <row r="748">
      <c r="A748" s="337"/>
      <c r="B748" s="164"/>
      <c r="C748" s="350"/>
      <c r="D748" s="349"/>
      <c r="E748" s="337"/>
      <c r="F748" s="164"/>
      <c r="G748" s="337"/>
      <c r="H748" s="164"/>
      <c r="I748" s="343"/>
      <c r="J748" s="183"/>
      <c r="K748" s="343"/>
      <c r="L748" s="183"/>
      <c r="M748" s="343"/>
      <c r="N748" s="183"/>
      <c r="O748" s="337"/>
      <c r="P748" s="164"/>
      <c r="Q748" s="201"/>
      <c r="R748" s="201"/>
      <c r="S748" s="17"/>
      <c r="T748" s="17"/>
      <c r="U748" s="17"/>
      <c r="V748" s="17"/>
      <c r="W748" s="17"/>
      <c r="X748" s="17"/>
      <c r="Y748" s="17"/>
      <c r="Z748" s="17"/>
    </row>
    <row r="749">
      <c r="A749" s="337"/>
      <c r="B749" s="164"/>
      <c r="C749" s="350"/>
      <c r="D749" s="349"/>
      <c r="E749" s="337"/>
      <c r="F749" s="164"/>
      <c r="G749" s="337"/>
      <c r="H749" s="164"/>
      <c r="I749" s="343"/>
      <c r="J749" s="183"/>
      <c r="K749" s="343"/>
      <c r="L749" s="183"/>
      <c r="M749" s="343"/>
      <c r="N749" s="183"/>
      <c r="O749" s="337"/>
      <c r="P749" s="164"/>
      <c r="Q749" s="201"/>
      <c r="R749" s="201"/>
      <c r="S749" s="17"/>
      <c r="T749" s="17"/>
      <c r="U749" s="17"/>
      <c r="V749" s="17"/>
      <c r="W749" s="17"/>
      <c r="X749" s="17"/>
      <c r="Y749" s="17"/>
      <c r="Z749" s="17"/>
    </row>
    <row r="750">
      <c r="A750" s="337"/>
      <c r="B750" s="164"/>
      <c r="C750" s="350"/>
      <c r="D750" s="349"/>
      <c r="E750" s="337"/>
      <c r="F750" s="164"/>
      <c r="G750" s="337"/>
      <c r="H750" s="164"/>
      <c r="I750" s="343"/>
      <c r="J750" s="183"/>
      <c r="K750" s="343"/>
      <c r="L750" s="183"/>
      <c r="M750" s="343"/>
      <c r="N750" s="183"/>
      <c r="O750" s="337"/>
      <c r="P750" s="164"/>
      <c r="Q750" s="201"/>
      <c r="R750" s="201"/>
      <c r="S750" s="17"/>
      <c r="T750" s="17"/>
      <c r="U750" s="17"/>
      <c r="V750" s="17"/>
      <c r="W750" s="17"/>
      <c r="X750" s="17"/>
      <c r="Y750" s="17"/>
      <c r="Z750" s="17"/>
    </row>
    <row r="751">
      <c r="A751" s="337"/>
      <c r="B751" s="164"/>
      <c r="C751" s="350"/>
      <c r="D751" s="349"/>
      <c r="E751" s="337"/>
      <c r="F751" s="164"/>
      <c r="G751" s="337"/>
      <c r="H751" s="164"/>
      <c r="I751" s="343"/>
      <c r="J751" s="183"/>
      <c r="K751" s="343"/>
      <c r="L751" s="183"/>
      <c r="M751" s="343"/>
      <c r="N751" s="183"/>
      <c r="O751" s="337"/>
      <c r="P751" s="164"/>
      <c r="Q751" s="201"/>
      <c r="R751" s="201"/>
      <c r="S751" s="17"/>
      <c r="T751" s="17"/>
      <c r="U751" s="17"/>
      <c r="V751" s="17"/>
      <c r="W751" s="17"/>
      <c r="X751" s="17"/>
      <c r="Y751" s="17"/>
      <c r="Z751" s="17"/>
    </row>
    <row r="752">
      <c r="A752" s="337"/>
      <c r="B752" s="164"/>
      <c r="C752" s="350"/>
      <c r="D752" s="349"/>
      <c r="E752" s="337"/>
      <c r="F752" s="164"/>
      <c r="G752" s="337"/>
      <c r="H752" s="164"/>
      <c r="I752" s="343"/>
      <c r="J752" s="183"/>
      <c r="K752" s="343"/>
      <c r="L752" s="183"/>
      <c r="M752" s="343"/>
      <c r="N752" s="183"/>
      <c r="O752" s="337"/>
      <c r="P752" s="164"/>
      <c r="Q752" s="201"/>
      <c r="R752" s="201"/>
      <c r="S752" s="17"/>
      <c r="T752" s="17"/>
      <c r="U752" s="17"/>
      <c r="V752" s="17"/>
      <c r="W752" s="17"/>
      <c r="X752" s="17"/>
      <c r="Y752" s="17"/>
      <c r="Z752" s="17"/>
    </row>
    <row r="753">
      <c r="A753" s="337"/>
      <c r="B753" s="164"/>
      <c r="C753" s="350"/>
      <c r="D753" s="349"/>
      <c r="E753" s="337"/>
      <c r="F753" s="164"/>
      <c r="G753" s="337"/>
      <c r="H753" s="164"/>
      <c r="I753" s="343"/>
      <c r="J753" s="183"/>
      <c r="K753" s="343"/>
      <c r="L753" s="183"/>
      <c r="M753" s="343"/>
      <c r="N753" s="183"/>
      <c r="O753" s="337"/>
      <c r="P753" s="164"/>
      <c r="Q753" s="201"/>
      <c r="R753" s="201"/>
      <c r="S753" s="17"/>
      <c r="T753" s="17"/>
      <c r="U753" s="17"/>
      <c r="V753" s="17"/>
      <c r="W753" s="17"/>
      <c r="X753" s="17"/>
      <c r="Y753" s="17"/>
      <c r="Z753" s="17"/>
    </row>
    <row r="754">
      <c r="A754" s="337"/>
      <c r="B754" s="164"/>
      <c r="C754" s="350"/>
      <c r="D754" s="349"/>
      <c r="E754" s="337"/>
      <c r="F754" s="164"/>
      <c r="G754" s="337"/>
      <c r="H754" s="164"/>
      <c r="I754" s="343"/>
      <c r="J754" s="183"/>
      <c r="K754" s="343"/>
      <c r="L754" s="183"/>
      <c r="M754" s="343"/>
      <c r="N754" s="183"/>
      <c r="O754" s="337"/>
      <c r="P754" s="164"/>
      <c r="Q754" s="201"/>
      <c r="R754" s="201"/>
      <c r="S754" s="17"/>
      <c r="T754" s="17"/>
      <c r="U754" s="17"/>
      <c r="V754" s="17"/>
      <c r="W754" s="17"/>
      <c r="X754" s="17"/>
      <c r="Y754" s="17"/>
      <c r="Z754" s="17"/>
    </row>
    <row r="755">
      <c r="A755" s="337"/>
      <c r="B755" s="164"/>
      <c r="C755" s="350"/>
      <c r="D755" s="349"/>
      <c r="E755" s="337"/>
      <c r="F755" s="164"/>
      <c r="G755" s="337"/>
      <c r="H755" s="164"/>
      <c r="I755" s="343"/>
      <c r="J755" s="183"/>
      <c r="K755" s="343"/>
      <c r="L755" s="183"/>
      <c r="M755" s="343"/>
      <c r="N755" s="183"/>
      <c r="O755" s="337"/>
      <c r="P755" s="164"/>
      <c r="Q755" s="201"/>
      <c r="R755" s="201"/>
      <c r="S755" s="17"/>
      <c r="T755" s="17"/>
      <c r="U755" s="17"/>
      <c r="V755" s="17"/>
      <c r="W755" s="17"/>
      <c r="X755" s="17"/>
      <c r="Y755" s="17"/>
      <c r="Z755" s="17"/>
    </row>
    <row r="756">
      <c r="A756" s="337"/>
      <c r="B756" s="164"/>
      <c r="C756" s="350"/>
      <c r="D756" s="349"/>
      <c r="E756" s="337"/>
      <c r="F756" s="164"/>
      <c r="G756" s="337"/>
      <c r="H756" s="164"/>
      <c r="I756" s="343"/>
      <c r="J756" s="183"/>
      <c r="K756" s="343"/>
      <c r="L756" s="183"/>
      <c r="M756" s="343"/>
      <c r="N756" s="183"/>
      <c r="O756" s="337"/>
      <c r="P756" s="164"/>
      <c r="Q756" s="201"/>
      <c r="R756" s="201"/>
      <c r="S756" s="17"/>
      <c r="T756" s="17"/>
      <c r="U756" s="17"/>
      <c r="V756" s="17"/>
      <c r="W756" s="17"/>
      <c r="X756" s="17"/>
      <c r="Y756" s="17"/>
      <c r="Z756" s="17"/>
    </row>
    <row r="757">
      <c r="A757" s="337"/>
      <c r="B757" s="164"/>
      <c r="C757" s="350"/>
      <c r="D757" s="349"/>
      <c r="E757" s="337"/>
      <c r="F757" s="164"/>
      <c r="G757" s="337"/>
      <c r="H757" s="164"/>
      <c r="I757" s="343"/>
      <c r="J757" s="183"/>
      <c r="K757" s="343"/>
      <c r="L757" s="183"/>
      <c r="M757" s="343"/>
      <c r="N757" s="183"/>
      <c r="O757" s="337"/>
      <c r="P757" s="164"/>
      <c r="Q757" s="201"/>
      <c r="R757" s="201"/>
      <c r="S757" s="17"/>
      <c r="T757" s="17"/>
      <c r="U757" s="17"/>
      <c r="V757" s="17"/>
      <c r="W757" s="17"/>
      <c r="X757" s="17"/>
      <c r="Y757" s="17"/>
      <c r="Z757" s="17"/>
    </row>
    <row r="758">
      <c r="A758" s="337"/>
      <c r="B758" s="164"/>
      <c r="C758" s="350"/>
      <c r="D758" s="349"/>
      <c r="E758" s="337"/>
      <c r="F758" s="164"/>
      <c r="G758" s="337"/>
      <c r="H758" s="164"/>
      <c r="I758" s="343"/>
      <c r="J758" s="183"/>
      <c r="K758" s="343"/>
      <c r="L758" s="183"/>
      <c r="M758" s="343"/>
      <c r="N758" s="183"/>
      <c r="O758" s="337"/>
      <c r="P758" s="164"/>
      <c r="Q758" s="201"/>
      <c r="R758" s="201"/>
      <c r="S758" s="17"/>
      <c r="T758" s="17"/>
      <c r="U758" s="17"/>
      <c r="V758" s="17"/>
      <c r="W758" s="17"/>
      <c r="X758" s="17"/>
      <c r="Y758" s="17"/>
      <c r="Z758" s="17"/>
    </row>
    <row r="759">
      <c r="A759" s="337"/>
      <c r="B759" s="164"/>
      <c r="C759" s="350"/>
      <c r="D759" s="349"/>
      <c r="E759" s="337"/>
      <c r="F759" s="164"/>
      <c r="G759" s="337"/>
      <c r="H759" s="164"/>
      <c r="I759" s="343"/>
      <c r="J759" s="183"/>
      <c r="K759" s="343"/>
      <c r="L759" s="183"/>
      <c r="M759" s="343"/>
      <c r="N759" s="183"/>
      <c r="O759" s="337"/>
      <c r="P759" s="164"/>
      <c r="Q759" s="201"/>
      <c r="R759" s="201"/>
      <c r="S759" s="17"/>
      <c r="T759" s="17"/>
      <c r="U759" s="17"/>
      <c r="V759" s="17"/>
      <c r="W759" s="17"/>
      <c r="X759" s="17"/>
      <c r="Y759" s="17"/>
      <c r="Z759" s="17"/>
    </row>
    <row r="760">
      <c r="A760" s="337"/>
      <c r="B760" s="164"/>
      <c r="C760" s="350"/>
      <c r="D760" s="349"/>
      <c r="E760" s="337"/>
      <c r="F760" s="164"/>
      <c r="G760" s="337"/>
      <c r="H760" s="164"/>
      <c r="I760" s="343"/>
      <c r="J760" s="183"/>
      <c r="K760" s="343"/>
      <c r="L760" s="183"/>
      <c r="M760" s="343"/>
      <c r="N760" s="183"/>
      <c r="O760" s="337"/>
      <c r="P760" s="164"/>
      <c r="Q760" s="201"/>
      <c r="R760" s="201"/>
      <c r="S760" s="17"/>
      <c r="T760" s="17"/>
      <c r="U760" s="17"/>
      <c r="V760" s="17"/>
      <c r="W760" s="17"/>
      <c r="X760" s="17"/>
      <c r="Y760" s="17"/>
      <c r="Z760" s="17"/>
    </row>
    <row r="761">
      <c r="A761" s="337"/>
      <c r="B761" s="164"/>
      <c r="C761" s="350"/>
      <c r="D761" s="349"/>
      <c r="E761" s="337"/>
      <c r="F761" s="164"/>
      <c r="G761" s="337"/>
      <c r="H761" s="164"/>
      <c r="I761" s="343"/>
      <c r="J761" s="183"/>
      <c r="K761" s="343"/>
      <c r="L761" s="183"/>
      <c r="M761" s="343"/>
      <c r="N761" s="183"/>
      <c r="O761" s="337"/>
      <c r="P761" s="164"/>
      <c r="Q761" s="201"/>
      <c r="R761" s="201"/>
      <c r="S761" s="17"/>
      <c r="T761" s="17"/>
      <c r="U761" s="17"/>
      <c r="V761" s="17"/>
      <c r="W761" s="17"/>
      <c r="X761" s="17"/>
      <c r="Y761" s="17"/>
      <c r="Z761" s="17"/>
    </row>
    <row r="762">
      <c r="A762" s="337"/>
      <c r="B762" s="164"/>
      <c r="C762" s="350"/>
      <c r="D762" s="349"/>
      <c r="E762" s="337"/>
      <c r="F762" s="164"/>
      <c r="G762" s="337"/>
      <c r="H762" s="164"/>
      <c r="I762" s="343"/>
      <c r="J762" s="183"/>
      <c r="K762" s="343"/>
      <c r="L762" s="183"/>
      <c r="M762" s="343"/>
      <c r="N762" s="183"/>
      <c r="O762" s="337"/>
      <c r="P762" s="164"/>
      <c r="Q762" s="201"/>
      <c r="R762" s="201"/>
      <c r="S762" s="17"/>
      <c r="T762" s="17"/>
      <c r="U762" s="17"/>
      <c r="V762" s="17"/>
      <c r="W762" s="17"/>
      <c r="X762" s="17"/>
      <c r="Y762" s="17"/>
      <c r="Z762" s="17"/>
    </row>
    <row r="763">
      <c r="A763" s="337"/>
      <c r="B763" s="164"/>
      <c r="C763" s="350"/>
      <c r="D763" s="349"/>
      <c r="E763" s="337"/>
      <c r="F763" s="164"/>
      <c r="G763" s="337"/>
      <c r="H763" s="164"/>
      <c r="I763" s="343"/>
      <c r="J763" s="183"/>
      <c r="K763" s="343"/>
      <c r="L763" s="183"/>
      <c r="M763" s="343"/>
      <c r="N763" s="183"/>
      <c r="O763" s="337"/>
      <c r="P763" s="164"/>
      <c r="Q763" s="201"/>
      <c r="R763" s="201"/>
      <c r="S763" s="17"/>
      <c r="T763" s="17"/>
      <c r="U763" s="17"/>
      <c r="V763" s="17"/>
      <c r="W763" s="17"/>
      <c r="X763" s="17"/>
      <c r="Y763" s="17"/>
      <c r="Z763" s="17"/>
    </row>
    <row r="764">
      <c r="A764" s="337"/>
      <c r="B764" s="164"/>
      <c r="C764" s="350"/>
      <c r="D764" s="349"/>
      <c r="E764" s="337"/>
      <c r="F764" s="164"/>
      <c r="G764" s="337"/>
      <c r="H764" s="164"/>
      <c r="I764" s="343"/>
      <c r="J764" s="183"/>
      <c r="K764" s="343"/>
      <c r="L764" s="183"/>
      <c r="M764" s="343"/>
      <c r="N764" s="183"/>
      <c r="O764" s="337"/>
      <c r="P764" s="164"/>
      <c r="Q764" s="201"/>
      <c r="R764" s="201"/>
      <c r="S764" s="17"/>
      <c r="T764" s="17"/>
      <c r="U764" s="17"/>
      <c r="V764" s="17"/>
      <c r="W764" s="17"/>
      <c r="X764" s="17"/>
      <c r="Y764" s="17"/>
      <c r="Z764" s="17"/>
    </row>
    <row r="765">
      <c r="A765" s="337"/>
      <c r="B765" s="164"/>
      <c r="C765" s="350"/>
      <c r="D765" s="349"/>
      <c r="E765" s="337"/>
      <c r="F765" s="164"/>
      <c r="G765" s="337"/>
      <c r="H765" s="164"/>
      <c r="I765" s="343"/>
      <c r="J765" s="183"/>
      <c r="K765" s="343"/>
      <c r="L765" s="183"/>
      <c r="M765" s="343"/>
      <c r="N765" s="183"/>
      <c r="O765" s="337"/>
      <c r="P765" s="164"/>
      <c r="Q765" s="201"/>
      <c r="R765" s="201"/>
      <c r="S765" s="17"/>
      <c r="T765" s="17"/>
      <c r="U765" s="17"/>
      <c r="V765" s="17"/>
      <c r="W765" s="17"/>
      <c r="X765" s="17"/>
      <c r="Y765" s="17"/>
      <c r="Z765" s="17"/>
    </row>
    <row r="766">
      <c r="A766" s="337"/>
      <c r="B766" s="164"/>
      <c r="C766" s="350"/>
      <c r="D766" s="349"/>
      <c r="E766" s="337"/>
      <c r="F766" s="164"/>
      <c r="G766" s="337"/>
      <c r="H766" s="164"/>
      <c r="I766" s="343"/>
      <c r="J766" s="183"/>
      <c r="K766" s="343"/>
      <c r="L766" s="183"/>
      <c r="M766" s="343"/>
      <c r="N766" s="183"/>
      <c r="O766" s="337"/>
      <c r="P766" s="164"/>
      <c r="Q766" s="201"/>
      <c r="R766" s="201"/>
      <c r="S766" s="17"/>
      <c r="T766" s="17"/>
      <c r="U766" s="17"/>
      <c r="V766" s="17"/>
      <c r="W766" s="17"/>
      <c r="X766" s="17"/>
      <c r="Y766" s="17"/>
      <c r="Z766" s="17"/>
    </row>
    <row r="767">
      <c r="A767" s="337"/>
      <c r="B767" s="164"/>
      <c r="C767" s="350"/>
      <c r="D767" s="349"/>
      <c r="E767" s="337"/>
      <c r="F767" s="164"/>
      <c r="G767" s="337"/>
      <c r="H767" s="164"/>
      <c r="I767" s="343"/>
      <c r="J767" s="183"/>
      <c r="K767" s="343"/>
      <c r="L767" s="183"/>
      <c r="M767" s="343"/>
      <c r="N767" s="183"/>
      <c r="O767" s="337"/>
      <c r="P767" s="164"/>
      <c r="Q767" s="201"/>
      <c r="R767" s="201"/>
      <c r="S767" s="17"/>
      <c r="T767" s="17"/>
      <c r="U767" s="17"/>
      <c r="V767" s="17"/>
      <c r="W767" s="17"/>
      <c r="X767" s="17"/>
      <c r="Y767" s="17"/>
      <c r="Z767" s="17"/>
    </row>
    <row r="768">
      <c r="A768" s="337"/>
      <c r="B768" s="164"/>
      <c r="C768" s="350"/>
      <c r="D768" s="349"/>
      <c r="E768" s="337"/>
      <c r="F768" s="164"/>
      <c r="G768" s="337"/>
      <c r="H768" s="164"/>
      <c r="I768" s="343"/>
      <c r="J768" s="183"/>
      <c r="K768" s="343"/>
      <c r="L768" s="183"/>
      <c r="M768" s="343"/>
      <c r="N768" s="183"/>
      <c r="O768" s="337"/>
      <c r="P768" s="164"/>
      <c r="Q768" s="201"/>
      <c r="R768" s="201"/>
      <c r="S768" s="17"/>
      <c r="T768" s="17"/>
      <c r="U768" s="17"/>
      <c r="V768" s="17"/>
      <c r="W768" s="17"/>
      <c r="X768" s="17"/>
      <c r="Y768" s="17"/>
      <c r="Z768" s="17"/>
    </row>
    <row r="769">
      <c r="A769" s="337"/>
      <c r="B769" s="164"/>
      <c r="C769" s="350"/>
      <c r="D769" s="349"/>
      <c r="E769" s="337"/>
      <c r="F769" s="164"/>
      <c r="G769" s="337"/>
      <c r="H769" s="164"/>
      <c r="I769" s="343"/>
      <c r="J769" s="183"/>
      <c r="K769" s="343"/>
      <c r="L769" s="183"/>
      <c r="M769" s="343"/>
      <c r="N769" s="183"/>
      <c r="O769" s="337"/>
      <c r="P769" s="164"/>
      <c r="Q769" s="201"/>
      <c r="R769" s="201"/>
      <c r="S769" s="17"/>
      <c r="T769" s="17"/>
      <c r="U769" s="17"/>
      <c r="V769" s="17"/>
      <c r="W769" s="17"/>
      <c r="X769" s="17"/>
      <c r="Y769" s="17"/>
      <c r="Z769" s="17"/>
    </row>
    <row r="770">
      <c r="A770" s="337"/>
      <c r="B770" s="164"/>
      <c r="C770" s="350"/>
      <c r="D770" s="349"/>
      <c r="E770" s="337"/>
      <c r="F770" s="164"/>
      <c r="G770" s="337"/>
      <c r="H770" s="164"/>
      <c r="I770" s="343"/>
      <c r="J770" s="183"/>
      <c r="K770" s="343"/>
      <c r="L770" s="183"/>
      <c r="M770" s="343"/>
      <c r="N770" s="183"/>
      <c r="O770" s="337"/>
      <c r="P770" s="164"/>
      <c r="Q770" s="201"/>
      <c r="R770" s="201"/>
      <c r="S770" s="17"/>
      <c r="T770" s="17"/>
      <c r="U770" s="17"/>
      <c r="V770" s="17"/>
      <c r="W770" s="17"/>
      <c r="X770" s="17"/>
      <c r="Y770" s="17"/>
      <c r="Z770" s="17"/>
    </row>
    <row r="771">
      <c r="A771" s="337"/>
      <c r="B771" s="164"/>
      <c r="C771" s="350"/>
      <c r="D771" s="349"/>
      <c r="E771" s="337"/>
      <c r="F771" s="164"/>
      <c r="G771" s="337"/>
      <c r="H771" s="164"/>
      <c r="I771" s="343"/>
      <c r="J771" s="183"/>
      <c r="K771" s="343"/>
      <c r="L771" s="183"/>
      <c r="M771" s="343"/>
      <c r="N771" s="183"/>
      <c r="O771" s="337"/>
      <c r="P771" s="164"/>
      <c r="Q771" s="201"/>
      <c r="R771" s="201"/>
      <c r="S771" s="17"/>
      <c r="T771" s="17"/>
      <c r="U771" s="17"/>
      <c r="V771" s="17"/>
      <c r="W771" s="17"/>
      <c r="X771" s="17"/>
      <c r="Y771" s="17"/>
      <c r="Z771" s="17"/>
    </row>
    <row r="772">
      <c r="A772" s="337"/>
      <c r="B772" s="164"/>
      <c r="C772" s="350"/>
      <c r="D772" s="349"/>
      <c r="E772" s="337"/>
      <c r="F772" s="164"/>
      <c r="G772" s="337"/>
      <c r="H772" s="164"/>
      <c r="I772" s="343"/>
      <c r="J772" s="183"/>
      <c r="K772" s="343"/>
      <c r="L772" s="183"/>
      <c r="M772" s="343"/>
      <c r="N772" s="183"/>
      <c r="O772" s="337"/>
      <c r="P772" s="164"/>
      <c r="Q772" s="201"/>
      <c r="R772" s="201"/>
      <c r="S772" s="17"/>
      <c r="T772" s="17"/>
      <c r="U772" s="17"/>
      <c r="V772" s="17"/>
      <c r="W772" s="17"/>
      <c r="X772" s="17"/>
      <c r="Y772" s="17"/>
      <c r="Z772" s="17"/>
    </row>
    <row r="773">
      <c r="A773" s="337"/>
      <c r="B773" s="164"/>
      <c r="C773" s="350"/>
      <c r="D773" s="349"/>
      <c r="E773" s="337"/>
      <c r="F773" s="164"/>
      <c r="G773" s="337"/>
      <c r="H773" s="164"/>
      <c r="I773" s="343"/>
      <c r="J773" s="183"/>
      <c r="K773" s="343"/>
      <c r="L773" s="183"/>
      <c r="M773" s="343"/>
      <c r="N773" s="183"/>
      <c r="O773" s="337"/>
      <c r="P773" s="164"/>
      <c r="Q773" s="201"/>
      <c r="R773" s="201"/>
      <c r="S773" s="17"/>
      <c r="T773" s="17"/>
      <c r="U773" s="17"/>
      <c r="V773" s="17"/>
      <c r="W773" s="17"/>
      <c r="X773" s="17"/>
      <c r="Y773" s="17"/>
      <c r="Z773" s="17"/>
    </row>
    <row r="774">
      <c r="A774" s="337"/>
      <c r="B774" s="164"/>
      <c r="C774" s="350"/>
      <c r="D774" s="349"/>
      <c r="E774" s="337"/>
      <c r="F774" s="164"/>
      <c r="G774" s="337"/>
      <c r="H774" s="164"/>
      <c r="I774" s="343"/>
      <c r="J774" s="183"/>
      <c r="K774" s="343"/>
      <c r="L774" s="183"/>
      <c r="M774" s="343"/>
      <c r="N774" s="183"/>
      <c r="O774" s="337"/>
      <c r="P774" s="164"/>
      <c r="Q774" s="201"/>
      <c r="R774" s="201"/>
      <c r="S774" s="17"/>
      <c r="T774" s="17"/>
      <c r="U774" s="17"/>
      <c r="V774" s="17"/>
      <c r="W774" s="17"/>
      <c r="X774" s="17"/>
      <c r="Y774" s="17"/>
      <c r="Z774" s="17"/>
    </row>
    <row r="775">
      <c r="A775" s="337"/>
      <c r="B775" s="164"/>
      <c r="C775" s="350"/>
      <c r="D775" s="349"/>
      <c r="E775" s="337"/>
      <c r="F775" s="164"/>
      <c r="G775" s="337"/>
      <c r="H775" s="164"/>
      <c r="I775" s="343"/>
      <c r="J775" s="183"/>
      <c r="K775" s="343"/>
      <c r="L775" s="183"/>
      <c r="M775" s="343"/>
      <c r="N775" s="183"/>
      <c r="O775" s="337"/>
      <c r="P775" s="164"/>
      <c r="Q775" s="201"/>
      <c r="R775" s="201"/>
      <c r="S775" s="17"/>
      <c r="T775" s="17"/>
      <c r="U775" s="17"/>
      <c r="V775" s="17"/>
      <c r="W775" s="17"/>
      <c r="X775" s="17"/>
      <c r="Y775" s="17"/>
      <c r="Z775" s="17"/>
    </row>
    <row r="776">
      <c r="A776" s="337"/>
      <c r="B776" s="164"/>
      <c r="C776" s="350"/>
      <c r="D776" s="349"/>
      <c r="E776" s="337"/>
      <c r="F776" s="164"/>
      <c r="G776" s="337"/>
      <c r="H776" s="164"/>
      <c r="I776" s="343"/>
      <c r="J776" s="183"/>
      <c r="K776" s="343"/>
      <c r="L776" s="183"/>
      <c r="M776" s="343"/>
      <c r="N776" s="183"/>
      <c r="O776" s="337"/>
      <c r="P776" s="164"/>
      <c r="Q776" s="201"/>
      <c r="R776" s="201"/>
      <c r="S776" s="17"/>
      <c r="T776" s="17"/>
      <c r="U776" s="17"/>
      <c r="V776" s="17"/>
      <c r="W776" s="17"/>
      <c r="X776" s="17"/>
      <c r="Y776" s="17"/>
      <c r="Z776" s="17"/>
    </row>
    <row r="777">
      <c r="A777" s="337"/>
      <c r="B777" s="164"/>
      <c r="C777" s="350"/>
      <c r="D777" s="349"/>
      <c r="E777" s="337"/>
      <c r="F777" s="164"/>
      <c r="G777" s="337"/>
      <c r="H777" s="164"/>
      <c r="I777" s="343"/>
      <c r="J777" s="183"/>
      <c r="K777" s="343"/>
      <c r="L777" s="183"/>
      <c r="M777" s="343"/>
      <c r="N777" s="183"/>
      <c r="O777" s="337"/>
      <c r="P777" s="164"/>
      <c r="Q777" s="201"/>
      <c r="R777" s="201"/>
      <c r="S777" s="17"/>
      <c r="T777" s="17"/>
      <c r="U777" s="17"/>
      <c r="V777" s="17"/>
      <c r="W777" s="17"/>
      <c r="X777" s="17"/>
      <c r="Y777" s="17"/>
      <c r="Z777" s="17"/>
    </row>
    <row r="778">
      <c r="A778" s="337"/>
      <c r="B778" s="164"/>
      <c r="C778" s="350"/>
      <c r="D778" s="349"/>
      <c r="E778" s="337"/>
      <c r="F778" s="164"/>
      <c r="G778" s="337"/>
      <c r="H778" s="164"/>
      <c r="I778" s="343"/>
      <c r="J778" s="183"/>
      <c r="K778" s="343"/>
      <c r="L778" s="183"/>
      <c r="M778" s="343"/>
      <c r="N778" s="183"/>
      <c r="O778" s="337"/>
      <c r="P778" s="164"/>
      <c r="Q778" s="201"/>
      <c r="R778" s="201"/>
      <c r="S778" s="17"/>
      <c r="T778" s="17"/>
      <c r="U778" s="17"/>
      <c r="V778" s="17"/>
      <c r="W778" s="17"/>
      <c r="X778" s="17"/>
      <c r="Y778" s="17"/>
      <c r="Z778" s="17"/>
    </row>
    <row r="779">
      <c r="A779" s="337"/>
      <c r="B779" s="164"/>
      <c r="C779" s="350"/>
      <c r="D779" s="349"/>
      <c r="E779" s="337"/>
      <c r="F779" s="164"/>
      <c r="G779" s="337"/>
      <c r="H779" s="164"/>
      <c r="I779" s="343"/>
      <c r="J779" s="183"/>
      <c r="K779" s="343"/>
      <c r="L779" s="183"/>
      <c r="M779" s="343"/>
      <c r="N779" s="183"/>
      <c r="O779" s="337"/>
      <c r="P779" s="164"/>
      <c r="Q779" s="201"/>
      <c r="R779" s="201"/>
      <c r="S779" s="17"/>
      <c r="T779" s="17"/>
      <c r="U779" s="17"/>
      <c r="V779" s="17"/>
      <c r="W779" s="17"/>
      <c r="X779" s="17"/>
      <c r="Y779" s="17"/>
      <c r="Z779" s="17"/>
    </row>
    <row r="780">
      <c r="A780" s="337"/>
      <c r="B780" s="164"/>
      <c r="C780" s="350"/>
      <c r="D780" s="349"/>
      <c r="E780" s="337"/>
      <c r="F780" s="164"/>
      <c r="G780" s="337"/>
      <c r="H780" s="164"/>
      <c r="I780" s="343"/>
      <c r="J780" s="183"/>
      <c r="K780" s="343"/>
      <c r="L780" s="183"/>
      <c r="M780" s="343"/>
      <c r="N780" s="183"/>
      <c r="O780" s="337"/>
      <c r="P780" s="164"/>
      <c r="Q780" s="201"/>
      <c r="R780" s="201"/>
      <c r="S780" s="17"/>
      <c r="T780" s="17"/>
      <c r="U780" s="17"/>
      <c r="V780" s="17"/>
      <c r="W780" s="17"/>
      <c r="X780" s="17"/>
      <c r="Y780" s="17"/>
      <c r="Z780" s="17"/>
    </row>
    <row r="781">
      <c r="A781" s="337"/>
      <c r="B781" s="164"/>
      <c r="C781" s="350"/>
      <c r="D781" s="349"/>
      <c r="E781" s="337"/>
      <c r="F781" s="164"/>
      <c r="G781" s="337"/>
      <c r="H781" s="164"/>
      <c r="I781" s="343"/>
      <c r="J781" s="183"/>
      <c r="K781" s="343"/>
      <c r="L781" s="183"/>
      <c r="M781" s="343"/>
      <c r="N781" s="183"/>
      <c r="O781" s="337"/>
      <c r="P781" s="164"/>
      <c r="Q781" s="201"/>
      <c r="R781" s="201"/>
      <c r="S781" s="17"/>
      <c r="T781" s="17"/>
      <c r="U781" s="17"/>
      <c r="V781" s="17"/>
      <c r="W781" s="17"/>
      <c r="X781" s="17"/>
      <c r="Y781" s="17"/>
      <c r="Z781" s="17"/>
    </row>
    <row r="782">
      <c r="A782" s="337"/>
      <c r="B782" s="164"/>
      <c r="C782" s="350"/>
      <c r="D782" s="349"/>
      <c r="E782" s="337"/>
      <c r="F782" s="164"/>
      <c r="G782" s="337"/>
      <c r="H782" s="164"/>
      <c r="I782" s="343"/>
      <c r="J782" s="183"/>
      <c r="K782" s="343"/>
      <c r="L782" s="183"/>
      <c r="M782" s="343"/>
      <c r="N782" s="183"/>
      <c r="O782" s="337"/>
      <c r="P782" s="164"/>
      <c r="Q782" s="201"/>
      <c r="R782" s="201"/>
      <c r="S782" s="17"/>
      <c r="T782" s="17"/>
      <c r="U782" s="17"/>
      <c r="V782" s="17"/>
      <c r="W782" s="17"/>
      <c r="X782" s="17"/>
      <c r="Y782" s="17"/>
      <c r="Z782" s="17"/>
    </row>
    <row r="783">
      <c r="A783" s="337"/>
      <c r="B783" s="164"/>
      <c r="C783" s="350"/>
      <c r="D783" s="349"/>
      <c r="E783" s="337"/>
      <c r="F783" s="164"/>
      <c r="G783" s="337"/>
      <c r="H783" s="164"/>
      <c r="I783" s="343"/>
      <c r="J783" s="183"/>
      <c r="K783" s="343"/>
      <c r="L783" s="183"/>
      <c r="M783" s="343"/>
      <c r="N783" s="183"/>
      <c r="O783" s="337"/>
      <c r="P783" s="164"/>
      <c r="Q783" s="201"/>
      <c r="R783" s="201"/>
      <c r="S783" s="17"/>
      <c r="T783" s="17"/>
      <c r="U783" s="17"/>
      <c r="V783" s="17"/>
      <c r="W783" s="17"/>
      <c r="X783" s="17"/>
      <c r="Y783" s="17"/>
      <c r="Z783" s="17"/>
    </row>
    <row r="784">
      <c r="A784" s="337"/>
      <c r="B784" s="164"/>
      <c r="C784" s="350"/>
      <c r="D784" s="349"/>
      <c r="E784" s="337"/>
      <c r="F784" s="164"/>
      <c r="G784" s="337"/>
      <c r="H784" s="164"/>
      <c r="I784" s="343"/>
      <c r="J784" s="183"/>
      <c r="K784" s="343"/>
      <c r="L784" s="183"/>
      <c r="M784" s="343"/>
      <c r="N784" s="183"/>
      <c r="O784" s="337"/>
      <c r="P784" s="164"/>
      <c r="Q784" s="201"/>
      <c r="R784" s="201"/>
      <c r="S784" s="17"/>
      <c r="T784" s="17"/>
      <c r="U784" s="17"/>
      <c r="V784" s="17"/>
      <c r="W784" s="17"/>
      <c r="X784" s="17"/>
      <c r="Y784" s="17"/>
      <c r="Z784" s="17"/>
    </row>
    <row r="785">
      <c r="A785" s="337"/>
      <c r="B785" s="164"/>
      <c r="C785" s="350"/>
      <c r="D785" s="349"/>
      <c r="E785" s="337"/>
      <c r="F785" s="164"/>
      <c r="G785" s="337"/>
      <c r="H785" s="164"/>
      <c r="I785" s="343"/>
      <c r="J785" s="183"/>
      <c r="K785" s="343"/>
      <c r="L785" s="183"/>
      <c r="M785" s="343"/>
      <c r="N785" s="183"/>
      <c r="O785" s="337"/>
      <c r="P785" s="164"/>
      <c r="Q785" s="201"/>
      <c r="R785" s="201"/>
      <c r="S785" s="17"/>
      <c r="T785" s="17"/>
      <c r="U785" s="17"/>
      <c r="V785" s="17"/>
      <c r="W785" s="17"/>
      <c r="X785" s="17"/>
      <c r="Y785" s="17"/>
      <c r="Z785" s="17"/>
    </row>
    <row r="786">
      <c r="A786" s="337"/>
      <c r="B786" s="164"/>
      <c r="C786" s="350"/>
      <c r="D786" s="349"/>
      <c r="E786" s="337"/>
      <c r="F786" s="164"/>
      <c r="G786" s="337"/>
      <c r="H786" s="164"/>
      <c r="I786" s="343"/>
      <c r="J786" s="183"/>
      <c r="K786" s="343"/>
      <c r="L786" s="183"/>
      <c r="M786" s="343"/>
      <c r="N786" s="183"/>
      <c r="O786" s="337"/>
      <c r="P786" s="164"/>
      <c r="Q786" s="201"/>
      <c r="R786" s="201"/>
      <c r="S786" s="17"/>
      <c r="T786" s="17"/>
      <c r="U786" s="17"/>
      <c r="V786" s="17"/>
      <c r="W786" s="17"/>
      <c r="X786" s="17"/>
      <c r="Y786" s="17"/>
      <c r="Z786" s="17"/>
    </row>
    <row r="787">
      <c r="A787" s="337"/>
      <c r="B787" s="164"/>
      <c r="C787" s="350"/>
      <c r="D787" s="349"/>
      <c r="E787" s="337"/>
      <c r="F787" s="164"/>
      <c r="G787" s="337"/>
      <c r="H787" s="164"/>
      <c r="I787" s="343"/>
      <c r="J787" s="183"/>
      <c r="K787" s="343"/>
      <c r="L787" s="183"/>
      <c r="M787" s="343"/>
      <c r="N787" s="183"/>
      <c r="O787" s="337"/>
      <c r="P787" s="164"/>
      <c r="Q787" s="201"/>
      <c r="R787" s="201"/>
      <c r="S787" s="17"/>
      <c r="T787" s="17"/>
      <c r="U787" s="17"/>
      <c r="V787" s="17"/>
      <c r="W787" s="17"/>
      <c r="X787" s="17"/>
      <c r="Y787" s="17"/>
      <c r="Z787" s="17"/>
    </row>
    <row r="788">
      <c r="A788" s="337"/>
      <c r="B788" s="164"/>
      <c r="C788" s="350"/>
      <c r="D788" s="349"/>
      <c r="E788" s="337"/>
      <c r="F788" s="164"/>
      <c r="G788" s="337"/>
      <c r="H788" s="164"/>
      <c r="I788" s="343"/>
      <c r="J788" s="183"/>
      <c r="K788" s="343"/>
      <c r="L788" s="183"/>
      <c r="M788" s="343"/>
      <c r="N788" s="183"/>
      <c r="O788" s="337"/>
      <c r="P788" s="164"/>
      <c r="Q788" s="201"/>
      <c r="R788" s="201"/>
      <c r="S788" s="17"/>
      <c r="T788" s="17"/>
      <c r="U788" s="17"/>
      <c r="V788" s="17"/>
      <c r="W788" s="17"/>
      <c r="X788" s="17"/>
      <c r="Y788" s="17"/>
      <c r="Z788" s="17"/>
    </row>
    <row r="789">
      <c r="A789" s="337"/>
      <c r="B789" s="164"/>
      <c r="C789" s="350"/>
      <c r="D789" s="349"/>
      <c r="E789" s="337"/>
      <c r="F789" s="164"/>
      <c r="G789" s="337"/>
      <c r="H789" s="164"/>
      <c r="I789" s="343"/>
      <c r="J789" s="183"/>
      <c r="K789" s="343"/>
      <c r="L789" s="183"/>
      <c r="M789" s="343"/>
      <c r="N789" s="183"/>
      <c r="O789" s="337"/>
      <c r="P789" s="164"/>
      <c r="Q789" s="201"/>
      <c r="R789" s="201"/>
      <c r="S789" s="17"/>
      <c r="T789" s="17"/>
      <c r="U789" s="17"/>
      <c r="V789" s="17"/>
      <c r="W789" s="17"/>
      <c r="X789" s="17"/>
      <c r="Y789" s="17"/>
      <c r="Z789" s="17"/>
    </row>
    <row r="790">
      <c r="A790" s="337"/>
      <c r="B790" s="164"/>
      <c r="C790" s="350"/>
      <c r="D790" s="349"/>
      <c r="E790" s="337"/>
      <c r="F790" s="164"/>
      <c r="G790" s="337"/>
      <c r="H790" s="164"/>
      <c r="I790" s="343"/>
      <c r="J790" s="183"/>
      <c r="K790" s="343"/>
      <c r="L790" s="183"/>
      <c r="M790" s="343"/>
      <c r="N790" s="183"/>
      <c r="O790" s="337"/>
      <c r="P790" s="164"/>
      <c r="Q790" s="201"/>
      <c r="R790" s="201"/>
      <c r="S790" s="17"/>
      <c r="T790" s="17"/>
      <c r="U790" s="17"/>
      <c r="V790" s="17"/>
      <c r="W790" s="17"/>
      <c r="X790" s="17"/>
      <c r="Y790" s="17"/>
      <c r="Z790" s="17"/>
    </row>
    <row r="791">
      <c r="A791" s="337"/>
      <c r="B791" s="164"/>
      <c r="C791" s="350"/>
      <c r="D791" s="349"/>
      <c r="E791" s="337"/>
      <c r="F791" s="164"/>
      <c r="G791" s="337"/>
      <c r="H791" s="164"/>
      <c r="I791" s="343"/>
      <c r="J791" s="183"/>
      <c r="K791" s="343"/>
      <c r="L791" s="183"/>
      <c r="M791" s="343"/>
      <c r="N791" s="183"/>
      <c r="O791" s="337"/>
      <c r="P791" s="164"/>
      <c r="Q791" s="201"/>
      <c r="R791" s="201"/>
      <c r="S791" s="17"/>
      <c r="T791" s="17"/>
      <c r="U791" s="17"/>
      <c r="V791" s="17"/>
      <c r="W791" s="17"/>
      <c r="X791" s="17"/>
      <c r="Y791" s="17"/>
      <c r="Z791" s="17"/>
    </row>
    <row r="792">
      <c r="A792" s="337"/>
      <c r="B792" s="164"/>
      <c r="C792" s="350"/>
      <c r="D792" s="349"/>
      <c r="E792" s="337"/>
      <c r="F792" s="164"/>
      <c r="G792" s="337"/>
      <c r="H792" s="164"/>
      <c r="I792" s="343"/>
      <c r="J792" s="183"/>
      <c r="K792" s="343"/>
      <c r="L792" s="183"/>
      <c r="M792" s="343"/>
      <c r="N792" s="183"/>
      <c r="O792" s="337"/>
      <c r="P792" s="164"/>
      <c r="Q792" s="201"/>
      <c r="R792" s="201"/>
      <c r="S792" s="17"/>
      <c r="T792" s="17"/>
      <c r="U792" s="17"/>
      <c r="V792" s="17"/>
      <c r="W792" s="17"/>
      <c r="X792" s="17"/>
      <c r="Y792" s="17"/>
      <c r="Z792" s="17"/>
    </row>
    <row r="793">
      <c r="A793" s="337"/>
      <c r="B793" s="164"/>
      <c r="C793" s="350"/>
      <c r="D793" s="349"/>
      <c r="E793" s="337"/>
      <c r="F793" s="164"/>
      <c r="G793" s="337"/>
      <c r="H793" s="164"/>
      <c r="I793" s="343"/>
      <c r="J793" s="183"/>
      <c r="K793" s="343"/>
      <c r="L793" s="183"/>
      <c r="M793" s="343"/>
      <c r="N793" s="183"/>
      <c r="O793" s="337"/>
      <c r="P793" s="164"/>
      <c r="Q793" s="201"/>
      <c r="R793" s="201"/>
      <c r="S793" s="17"/>
      <c r="T793" s="17"/>
      <c r="U793" s="17"/>
      <c r="V793" s="17"/>
      <c r="W793" s="17"/>
      <c r="X793" s="17"/>
      <c r="Y793" s="17"/>
      <c r="Z793" s="17"/>
    </row>
    <row r="794">
      <c r="A794" s="337"/>
      <c r="B794" s="164"/>
      <c r="C794" s="350"/>
      <c r="D794" s="349"/>
      <c r="E794" s="337"/>
      <c r="F794" s="164"/>
      <c r="G794" s="337"/>
      <c r="H794" s="164"/>
      <c r="I794" s="343"/>
      <c r="J794" s="183"/>
      <c r="K794" s="343"/>
      <c r="L794" s="183"/>
      <c r="M794" s="343"/>
      <c r="N794" s="183"/>
      <c r="O794" s="337"/>
      <c r="P794" s="164"/>
      <c r="Q794" s="201"/>
      <c r="R794" s="201"/>
      <c r="S794" s="17"/>
      <c r="T794" s="17"/>
      <c r="U794" s="17"/>
      <c r="V794" s="17"/>
      <c r="W794" s="17"/>
      <c r="X794" s="17"/>
      <c r="Y794" s="17"/>
      <c r="Z794" s="17"/>
    </row>
    <row r="795">
      <c r="A795" s="337"/>
      <c r="B795" s="164"/>
      <c r="C795" s="350"/>
      <c r="D795" s="349"/>
      <c r="E795" s="337"/>
      <c r="F795" s="164"/>
      <c r="G795" s="337"/>
      <c r="H795" s="164"/>
      <c r="I795" s="343"/>
      <c r="J795" s="183"/>
      <c r="K795" s="343"/>
      <c r="L795" s="183"/>
      <c r="M795" s="343"/>
      <c r="N795" s="183"/>
      <c r="O795" s="337"/>
      <c r="P795" s="164"/>
      <c r="Q795" s="201"/>
      <c r="R795" s="201"/>
      <c r="S795" s="17"/>
      <c r="T795" s="17"/>
      <c r="U795" s="17"/>
      <c r="V795" s="17"/>
      <c r="W795" s="17"/>
      <c r="X795" s="17"/>
      <c r="Y795" s="17"/>
      <c r="Z795" s="17"/>
    </row>
    <row r="796">
      <c r="A796" s="337"/>
      <c r="B796" s="164"/>
      <c r="C796" s="350"/>
      <c r="D796" s="349"/>
      <c r="E796" s="337"/>
      <c r="F796" s="164"/>
      <c r="G796" s="337"/>
      <c r="H796" s="164"/>
      <c r="I796" s="343"/>
      <c r="J796" s="183"/>
      <c r="K796" s="343"/>
      <c r="L796" s="183"/>
      <c r="M796" s="343"/>
      <c r="N796" s="183"/>
      <c r="O796" s="337"/>
      <c r="P796" s="164"/>
      <c r="Q796" s="201"/>
      <c r="R796" s="201"/>
      <c r="S796" s="17"/>
      <c r="T796" s="17"/>
      <c r="U796" s="17"/>
      <c r="V796" s="17"/>
      <c r="W796" s="17"/>
      <c r="X796" s="17"/>
      <c r="Y796" s="17"/>
      <c r="Z796" s="17"/>
    </row>
    <row r="797">
      <c r="A797" s="337"/>
      <c r="B797" s="164"/>
      <c r="C797" s="350"/>
      <c r="D797" s="349"/>
      <c r="E797" s="337"/>
      <c r="F797" s="164"/>
      <c r="G797" s="337"/>
      <c r="H797" s="164"/>
      <c r="I797" s="343"/>
      <c r="J797" s="183"/>
      <c r="K797" s="343"/>
      <c r="L797" s="183"/>
      <c r="M797" s="343"/>
      <c r="N797" s="183"/>
      <c r="O797" s="337"/>
      <c r="P797" s="164"/>
      <c r="Q797" s="201"/>
      <c r="R797" s="201"/>
      <c r="S797" s="17"/>
      <c r="T797" s="17"/>
      <c r="U797" s="17"/>
      <c r="V797" s="17"/>
      <c r="W797" s="17"/>
      <c r="X797" s="17"/>
      <c r="Y797" s="17"/>
      <c r="Z797" s="17"/>
    </row>
    <row r="798">
      <c r="A798" s="337"/>
      <c r="B798" s="164"/>
      <c r="C798" s="350"/>
      <c r="D798" s="349"/>
      <c r="E798" s="337"/>
      <c r="F798" s="164"/>
      <c r="G798" s="337"/>
      <c r="H798" s="164"/>
      <c r="I798" s="343"/>
      <c r="J798" s="183"/>
      <c r="K798" s="343"/>
      <c r="L798" s="183"/>
      <c r="M798" s="343"/>
      <c r="N798" s="183"/>
      <c r="O798" s="337"/>
      <c r="P798" s="164"/>
      <c r="Q798" s="201"/>
      <c r="R798" s="201"/>
      <c r="S798" s="17"/>
      <c r="T798" s="17"/>
      <c r="U798" s="17"/>
      <c r="V798" s="17"/>
      <c r="W798" s="17"/>
      <c r="X798" s="17"/>
      <c r="Y798" s="17"/>
      <c r="Z798" s="17"/>
    </row>
    <row r="799">
      <c r="A799" s="337"/>
      <c r="B799" s="164"/>
      <c r="C799" s="350"/>
      <c r="D799" s="349"/>
      <c r="E799" s="337"/>
      <c r="F799" s="164"/>
      <c r="G799" s="337"/>
      <c r="H799" s="164"/>
      <c r="I799" s="343"/>
      <c r="J799" s="183"/>
      <c r="K799" s="343"/>
      <c r="L799" s="183"/>
      <c r="M799" s="343"/>
      <c r="N799" s="183"/>
      <c r="O799" s="337"/>
      <c r="P799" s="164"/>
      <c r="Q799" s="201"/>
      <c r="R799" s="201"/>
      <c r="S799" s="17"/>
      <c r="T799" s="17"/>
      <c r="U799" s="17"/>
      <c r="V799" s="17"/>
      <c r="W799" s="17"/>
      <c r="X799" s="17"/>
      <c r="Y799" s="17"/>
      <c r="Z799" s="17"/>
    </row>
    <row r="800">
      <c r="A800" s="337"/>
      <c r="B800" s="164"/>
      <c r="C800" s="350"/>
      <c r="D800" s="349"/>
      <c r="E800" s="337"/>
      <c r="F800" s="164"/>
      <c r="G800" s="337"/>
      <c r="H800" s="164"/>
      <c r="I800" s="343"/>
      <c r="J800" s="183"/>
      <c r="K800" s="343"/>
      <c r="L800" s="183"/>
      <c r="M800" s="343"/>
      <c r="N800" s="183"/>
      <c r="O800" s="337"/>
      <c r="P800" s="164"/>
      <c r="Q800" s="201"/>
      <c r="R800" s="201"/>
      <c r="S800" s="17"/>
      <c r="T800" s="17"/>
      <c r="U800" s="17"/>
      <c r="V800" s="17"/>
      <c r="W800" s="17"/>
      <c r="X800" s="17"/>
      <c r="Y800" s="17"/>
      <c r="Z800" s="17"/>
    </row>
    <row r="801">
      <c r="A801" s="337"/>
      <c r="B801" s="164"/>
      <c r="C801" s="350"/>
      <c r="D801" s="349"/>
      <c r="E801" s="337"/>
      <c r="F801" s="164"/>
      <c r="G801" s="337"/>
      <c r="H801" s="164"/>
      <c r="I801" s="343"/>
      <c r="J801" s="183"/>
      <c r="K801" s="343"/>
      <c r="L801" s="183"/>
      <c r="M801" s="343"/>
      <c r="N801" s="183"/>
      <c r="O801" s="337"/>
      <c r="P801" s="164"/>
      <c r="Q801" s="201"/>
      <c r="R801" s="201"/>
      <c r="S801" s="17"/>
      <c r="T801" s="17"/>
      <c r="U801" s="17"/>
      <c r="V801" s="17"/>
      <c r="W801" s="17"/>
      <c r="X801" s="17"/>
      <c r="Y801" s="17"/>
      <c r="Z801" s="17"/>
    </row>
    <row r="802">
      <c r="A802" s="337"/>
      <c r="B802" s="164"/>
      <c r="C802" s="350"/>
      <c r="D802" s="349"/>
      <c r="E802" s="337"/>
      <c r="F802" s="164"/>
      <c r="G802" s="337"/>
      <c r="H802" s="164"/>
      <c r="I802" s="343"/>
      <c r="J802" s="183"/>
      <c r="K802" s="343"/>
      <c r="L802" s="183"/>
      <c r="M802" s="343"/>
      <c r="N802" s="183"/>
      <c r="O802" s="337"/>
      <c r="P802" s="164"/>
      <c r="Q802" s="201"/>
      <c r="R802" s="201"/>
      <c r="S802" s="17"/>
      <c r="T802" s="17"/>
      <c r="U802" s="17"/>
      <c r="V802" s="17"/>
      <c r="W802" s="17"/>
      <c r="X802" s="17"/>
      <c r="Y802" s="17"/>
      <c r="Z802" s="17"/>
    </row>
    <row r="803">
      <c r="A803" s="337"/>
      <c r="B803" s="164"/>
      <c r="C803" s="350"/>
      <c r="D803" s="349"/>
      <c r="E803" s="337"/>
      <c r="F803" s="164"/>
      <c r="G803" s="337"/>
      <c r="H803" s="164"/>
      <c r="I803" s="343"/>
      <c r="J803" s="183"/>
      <c r="K803" s="343"/>
      <c r="L803" s="183"/>
      <c r="M803" s="343"/>
      <c r="N803" s="183"/>
      <c r="O803" s="337"/>
      <c r="P803" s="164"/>
      <c r="Q803" s="201"/>
      <c r="R803" s="201"/>
      <c r="S803" s="17"/>
      <c r="T803" s="17"/>
      <c r="U803" s="17"/>
      <c r="V803" s="17"/>
      <c r="W803" s="17"/>
      <c r="X803" s="17"/>
      <c r="Y803" s="17"/>
      <c r="Z803" s="17"/>
    </row>
    <row r="804">
      <c r="A804" s="337"/>
      <c r="B804" s="164"/>
      <c r="C804" s="350"/>
      <c r="D804" s="349"/>
      <c r="E804" s="337"/>
      <c r="F804" s="164"/>
      <c r="G804" s="337"/>
      <c r="H804" s="164"/>
      <c r="I804" s="343"/>
      <c r="J804" s="183"/>
      <c r="K804" s="343"/>
      <c r="L804" s="183"/>
      <c r="M804" s="343"/>
      <c r="N804" s="183"/>
      <c r="O804" s="337"/>
      <c r="P804" s="164"/>
      <c r="Q804" s="201"/>
      <c r="R804" s="201"/>
      <c r="S804" s="17"/>
      <c r="T804" s="17"/>
      <c r="U804" s="17"/>
      <c r="V804" s="17"/>
      <c r="W804" s="17"/>
      <c r="X804" s="17"/>
      <c r="Y804" s="17"/>
      <c r="Z804" s="17"/>
    </row>
    <row r="805">
      <c r="A805" s="337"/>
      <c r="B805" s="164"/>
      <c r="C805" s="350"/>
      <c r="D805" s="349"/>
      <c r="E805" s="337"/>
      <c r="F805" s="164"/>
      <c r="G805" s="337"/>
      <c r="H805" s="164"/>
      <c r="I805" s="343"/>
      <c r="J805" s="183"/>
      <c r="K805" s="343"/>
      <c r="L805" s="183"/>
      <c r="M805" s="343"/>
      <c r="N805" s="183"/>
      <c r="O805" s="337"/>
      <c r="P805" s="164"/>
      <c r="Q805" s="201"/>
      <c r="R805" s="201"/>
      <c r="S805" s="17"/>
      <c r="T805" s="17"/>
      <c r="U805" s="17"/>
      <c r="V805" s="17"/>
      <c r="W805" s="17"/>
      <c r="X805" s="17"/>
      <c r="Y805" s="17"/>
      <c r="Z805" s="17"/>
    </row>
    <row r="806">
      <c r="A806" s="337"/>
      <c r="B806" s="164"/>
      <c r="C806" s="350"/>
      <c r="D806" s="349"/>
      <c r="E806" s="337"/>
      <c r="F806" s="164"/>
      <c r="G806" s="337"/>
      <c r="H806" s="164"/>
      <c r="I806" s="343"/>
      <c r="J806" s="183"/>
      <c r="K806" s="343"/>
      <c r="L806" s="183"/>
      <c r="M806" s="343"/>
      <c r="N806" s="183"/>
      <c r="O806" s="337"/>
      <c r="P806" s="164"/>
      <c r="Q806" s="201"/>
      <c r="R806" s="201"/>
      <c r="S806" s="17"/>
      <c r="T806" s="17"/>
      <c r="U806" s="17"/>
      <c r="V806" s="17"/>
      <c r="W806" s="17"/>
      <c r="X806" s="17"/>
      <c r="Y806" s="17"/>
      <c r="Z806" s="17"/>
    </row>
    <row r="807">
      <c r="A807" s="337"/>
      <c r="B807" s="164"/>
      <c r="C807" s="350"/>
      <c r="D807" s="349"/>
      <c r="E807" s="337"/>
      <c r="F807" s="164"/>
      <c r="G807" s="337"/>
      <c r="H807" s="164"/>
      <c r="I807" s="343"/>
      <c r="J807" s="183"/>
      <c r="K807" s="343"/>
      <c r="L807" s="183"/>
      <c r="M807" s="343"/>
      <c r="N807" s="183"/>
      <c r="O807" s="337"/>
      <c r="P807" s="164"/>
      <c r="Q807" s="201"/>
      <c r="R807" s="201"/>
      <c r="S807" s="17"/>
      <c r="T807" s="17"/>
      <c r="U807" s="17"/>
      <c r="V807" s="17"/>
      <c r="W807" s="17"/>
      <c r="X807" s="17"/>
      <c r="Y807" s="17"/>
      <c r="Z807" s="17"/>
    </row>
    <row r="808">
      <c r="A808" s="337"/>
      <c r="B808" s="164"/>
      <c r="C808" s="350"/>
      <c r="D808" s="349"/>
      <c r="E808" s="337"/>
      <c r="F808" s="164"/>
      <c r="G808" s="337"/>
      <c r="H808" s="164"/>
      <c r="I808" s="343"/>
      <c r="J808" s="183"/>
      <c r="K808" s="343"/>
      <c r="L808" s="183"/>
      <c r="M808" s="343"/>
      <c r="N808" s="183"/>
      <c r="O808" s="337"/>
      <c r="P808" s="164"/>
      <c r="Q808" s="201"/>
      <c r="R808" s="201"/>
      <c r="S808" s="17"/>
      <c r="T808" s="17"/>
      <c r="U808" s="17"/>
      <c r="V808" s="17"/>
      <c r="W808" s="17"/>
      <c r="X808" s="17"/>
      <c r="Y808" s="17"/>
      <c r="Z808" s="17"/>
    </row>
    <row r="809">
      <c r="A809" s="337"/>
      <c r="B809" s="164"/>
      <c r="C809" s="350"/>
      <c r="D809" s="349"/>
      <c r="E809" s="337"/>
      <c r="F809" s="164"/>
      <c r="G809" s="337"/>
      <c r="H809" s="164"/>
      <c r="I809" s="343"/>
      <c r="J809" s="183"/>
      <c r="K809" s="343"/>
      <c r="L809" s="183"/>
      <c r="M809" s="343"/>
      <c r="N809" s="183"/>
      <c r="O809" s="337"/>
      <c r="P809" s="164"/>
      <c r="Q809" s="201"/>
      <c r="R809" s="201"/>
      <c r="S809" s="17"/>
      <c r="T809" s="17"/>
      <c r="U809" s="17"/>
      <c r="V809" s="17"/>
      <c r="W809" s="17"/>
      <c r="X809" s="17"/>
      <c r="Y809" s="17"/>
      <c r="Z809" s="17"/>
    </row>
    <row r="810">
      <c r="A810" s="337"/>
      <c r="B810" s="164"/>
      <c r="C810" s="350"/>
      <c r="D810" s="349"/>
      <c r="E810" s="337"/>
      <c r="F810" s="164"/>
      <c r="G810" s="337"/>
      <c r="H810" s="164"/>
      <c r="I810" s="343"/>
      <c r="J810" s="183"/>
      <c r="K810" s="343"/>
      <c r="L810" s="183"/>
      <c r="M810" s="343"/>
      <c r="N810" s="183"/>
      <c r="O810" s="337"/>
      <c r="P810" s="164"/>
      <c r="Q810" s="201"/>
      <c r="R810" s="201"/>
      <c r="S810" s="17"/>
      <c r="T810" s="17"/>
      <c r="U810" s="17"/>
      <c r="V810" s="17"/>
      <c r="W810" s="17"/>
      <c r="X810" s="17"/>
      <c r="Y810" s="17"/>
      <c r="Z810" s="17"/>
    </row>
    <row r="811">
      <c r="A811" s="337"/>
      <c r="B811" s="164"/>
      <c r="C811" s="350"/>
      <c r="D811" s="349"/>
      <c r="E811" s="337"/>
      <c r="F811" s="164"/>
      <c r="G811" s="337"/>
      <c r="H811" s="164"/>
      <c r="I811" s="343"/>
      <c r="J811" s="183"/>
      <c r="K811" s="343"/>
      <c r="L811" s="183"/>
      <c r="M811" s="343"/>
      <c r="N811" s="183"/>
      <c r="O811" s="337"/>
      <c r="P811" s="164"/>
      <c r="Q811" s="201"/>
      <c r="R811" s="201"/>
      <c r="S811" s="17"/>
      <c r="T811" s="17"/>
      <c r="U811" s="17"/>
      <c r="V811" s="17"/>
      <c r="W811" s="17"/>
      <c r="X811" s="17"/>
      <c r="Y811" s="17"/>
      <c r="Z811" s="17"/>
    </row>
    <row r="812">
      <c r="A812" s="337"/>
      <c r="B812" s="164"/>
      <c r="C812" s="350"/>
      <c r="D812" s="349"/>
      <c r="E812" s="337"/>
      <c r="F812" s="164"/>
      <c r="G812" s="337"/>
      <c r="H812" s="164"/>
      <c r="I812" s="343"/>
      <c r="J812" s="183"/>
      <c r="K812" s="343"/>
      <c r="L812" s="183"/>
      <c r="M812" s="343"/>
      <c r="N812" s="183"/>
      <c r="O812" s="337"/>
      <c r="P812" s="164"/>
      <c r="Q812" s="201"/>
      <c r="R812" s="201"/>
      <c r="S812" s="17"/>
      <c r="T812" s="17"/>
      <c r="U812" s="17"/>
      <c r="V812" s="17"/>
      <c r="W812" s="17"/>
      <c r="X812" s="17"/>
      <c r="Y812" s="17"/>
      <c r="Z812" s="17"/>
    </row>
    <row r="813">
      <c r="A813" s="337"/>
      <c r="B813" s="164"/>
      <c r="C813" s="350"/>
      <c r="D813" s="349"/>
      <c r="E813" s="337"/>
      <c r="F813" s="164"/>
      <c r="G813" s="337"/>
      <c r="H813" s="164"/>
      <c r="I813" s="343"/>
      <c r="J813" s="183"/>
      <c r="K813" s="343"/>
      <c r="L813" s="183"/>
      <c r="M813" s="343"/>
      <c r="N813" s="183"/>
      <c r="O813" s="337"/>
      <c r="P813" s="164"/>
      <c r="Q813" s="201"/>
      <c r="R813" s="201"/>
      <c r="S813" s="17"/>
      <c r="T813" s="17"/>
      <c r="U813" s="17"/>
      <c r="V813" s="17"/>
      <c r="W813" s="17"/>
      <c r="X813" s="17"/>
      <c r="Y813" s="17"/>
      <c r="Z813" s="17"/>
    </row>
    <row r="814">
      <c r="A814" s="337"/>
      <c r="B814" s="164"/>
      <c r="C814" s="350"/>
      <c r="D814" s="349"/>
      <c r="E814" s="337"/>
      <c r="F814" s="164"/>
      <c r="G814" s="337"/>
      <c r="H814" s="164"/>
      <c r="I814" s="343"/>
      <c r="J814" s="183"/>
      <c r="K814" s="343"/>
      <c r="L814" s="183"/>
      <c r="M814" s="343"/>
      <c r="N814" s="183"/>
      <c r="O814" s="337"/>
      <c r="P814" s="164"/>
      <c r="Q814" s="201"/>
      <c r="R814" s="201"/>
      <c r="S814" s="17"/>
      <c r="T814" s="17"/>
      <c r="U814" s="17"/>
      <c r="V814" s="17"/>
      <c r="W814" s="17"/>
      <c r="X814" s="17"/>
      <c r="Y814" s="17"/>
      <c r="Z814" s="17"/>
    </row>
    <row r="815">
      <c r="A815" s="337"/>
      <c r="B815" s="164"/>
      <c r="C815" s="350"/>
      <c r="D815" s="349"/>
      <c r="E815" s="337"/>
      <c r="F815" s="164"/>
      <c r="G815" s="337"/>
      <c r="H815" s="164"/>
      <c r="I815" s="343"/>
      <c r="J815" s="183"/>
      <c r="K815" s="343"/>
      <c r="L815" s="183"/>
      <c r="M815" s="343"/>
      <c r="N815" s="183"/>
      <c r="O815" s="337"/>
      <c r="P815" s="164"/>
      <c r="Q815" s="201"/>
      <c r="R815" s="201"/>
      <c r="S815" s="17"/>
      <c r="T815" s="17"/>
      <c r="U815" s="17"/>
      <c r="V815" s="17"/>
      <c r="W815" s="17"/>
      <c r="X815" s="17"/>
      <c r="Y815" s="17"/>
      <c r="Z815" s="17"/>
    </row>
    <row r="816">
      <c r="A816" s="337"/>
      <c r="B816" s="164"/>
      <c r="C816" s="350"/>
      <c r="D816" s="349"/>
      <c r="E816" s="337"/>
      <c r="F816" s="164"/>
      <c r="G816" s="337"/>
      <c r="H816" s="164"/>
      <c r="I816" s="343"/>
      <c r="J816" s="183"/>
      <c r="K816" s="343"/>
      <c r="L816" s="183"/>
      <c r="M816" s="343"/>
      <c r="N816" s="183"/>
      <c r="O816" s="337"/>
      <c r="P816" s="164"/>
      <c r="Q816" s="201"/>
      <c r="R816" s="201"/>
      <c r="S816" s="17"/>
      <c r="T816" s="17"/>
      <c r="U816" s="17"/>
      <c r="V816" s="17"/>
      <c r="W816" s="17"/>
      <c r="X816" s="17"/>
      <c r="Y816" s="17"/>
      <c r="Z816" s="17"/>
    </row>
    <row r="817">
      <c r="A817" s="337"/>
      <c r="B817" s="164"/>
      <c r="C817" s="350"/>
      <c r="D817" s="349"/>
      <c r="E817" s="337"/>
      <c r="F817" s="164"/>
      <c r="G817" s="337"/>
      <c r="H817" s="164"/>
      <c r="I817" s="343"/>
      <c r="J817" s="183"/>
      <c r="K817" s="343"/>
      <c r="L817" s="183"/>
      <c r="M817" s="343"/>
      <c r="N817" s="183"/>
      <c r="O817" s="337"/>
      <c r="P817" s="164"/>
      <c r="Q817" s="201"/>
      <c r="R817" s="201"/>
      <c r="S817" s="17"/>
      <c r="T817" s="17"/>
      <c r="U817" s="17"/>
      <c r="V817" s="17"/>
      <c r="W817" s="17"/>
      <c r="X817" s="17"/>
      <c r="Y817" s="17"/>
      <c r="Z817" s="17"/>
    </row>
    <row r="818">
      <c r="A818" s="337"/>
      <c r="B818" s="164"/>
      <c r="C818" s="350"/>
      <c r="D818" s="349"/>
      <c r="E818" s="337"/>
      <c r="F818" s="164"/>
      <c r="G818" s="337"/>
      <c r="H818" s="164"/>
      <c r="I818" s="343"/>
      <c r="J818" s="183"/>
      <c r="K818" s="343"/>
      <c r="L818" s="183"/>
      <c r="M818" s="343"/>
      <c r="N818" s="183"/>
      <c r="O818" s="337"/>
      <c r="P818" s="164"/>
      <c r="Q818" s="201"/>
      <c r="R818" s="201"/>
      <c r="S818" s="17"/>
      <c r="T818" s="17"/>
      <c r="U818" s="17"/>
      <c r="V818" s="17"/>
      <c r="W818" s="17"/>
      <c r="X818" s="17"/>
      <c r="Y818" s="17"/>
      <c r="Z818" s="17"/>
    </row>
    <row r="819">
      <c r="A819" s="337"/>
      <c r="B819" s="164"/>
      <c r="C819" s="350"/>
      <c r="D819" s="349"/>
      <c r="E819" s="337"/>
      <c r="F819" s="164"/>
      <c r="G819" s="337"/>
      <c r="H819" s="164"/>
      <c r="I819" s="343"/>
      <c r="J819" s="183"/>
      <c r="K819" s="343"/>
      <c r="L819" s="183"/>
      <c r="M819" s="343"/>
      <c r="N819" s="183"/>
      <c r="O819" s="337"/>
      <c r="P819" s="164"/>
      <c r="Q819" s="201"/>
      <c r="R819" s="201"/>
      <c r="S819" s="17"/>
      <c r="T819" s="17"/>
      <c r="U819" s="17"/>
      <c r="V819" s="17"/>
      <c r="W819" s="17"/>
      <c r="X819" s="17"/>
      <c r="Y819" s="17"/>
      <c r="Z819" s="17"/>
    </row>
    <row r="820">
      <c r="A820" s="337"/>
      <c r="B820" s="164"/>
      <c r="C820" s="350"/>
      <c r="D820" s="349"/>
      <c r="E820" s="337"/>
      <c r="F820" s="164"/>
      <c r="G820" s="337"/>
      <c r="H820" s="164"/>
      <c r="I820" s="343"/>
      <c r="J820" s="183"/>
      <c r="K820" s="343"/>
      <c r="L820" s="183"/>
      <c r="M820" s="343"/>
      <c r="N820" s="183"/>
      <c r="O820" s="337"/>
      <c r="P820" s="164"/>
      <c r="Q820" s="201"/>
      <c r="R820" s="201"/>
      <c r="S820" s="17"/>
      <c r="T820" s="17"/>
      <c r="U820" s="17"/>
      <c r="V820" s="17"/>
      <c r="W820" s="17"/>
      <c r="X820" s="17"/>
      <c r="Y820" s="17"/>
      <c r="Z820" s="17"/>
    </row>
    <row r="821">
      <c r="A821" s="337"/>
      <c r="B821" s="164"/>
      <c r="C821" s="350"/>
      <c r="D821" s="349"/>
      <c r="E821" s="337"/>
      <c r="F821" s="164"/>
      <c r="G821" s="337"/>
      <c r="H821" s="164"/>
      <c r="I821" s="343"/>
      <c r="J821" s="183"/>
      <c r="K821" s="343"/>
      <c r="L821" s="183"/>
      <c r="M821" s="343"/>
      <c r="N821" s="183"/>
      <c r="O821" s="337"/>
      <c r="P821" s="164"/>
      <c r="Q821" s="201"/>
      <c r="R821" s="201"/>
      <c r="S821" s="17"/>
      <c r="T821" s="17"/>
      <c r="U821" s="17"/>
      <c r="V821" s="17"/>
      <c r="W821" s="17"/>
      <c r="X821" s="17"/>
      <c r="Y821" s="17"/>
      <c r="Z821" s="17"/>
    </row>
    <row r="822">
      <c r="A822" s="337"/>
      <c r="B822" s="164"/>
      <c r="C822" s="350"/>
      <c r="D822" s="349"/>
      <c r="E822" s="337"/>
      <c r="F822" s="164"/>
      <c r="G822" s="337"/>
      <c r="H822" s="164"/>
      <c r="I822" s="343"/>
      <c r="J822" s="183"/>
      <c r="K822" s="343"/>
      <c r="L822" s="183"/>
      <c r="M822" s="343"/>
      <c r="N822" s="183"/>
      <c r="O822" s="337"/>
      <c r="P822" s="164"/>
      <c r="Q822" s="201"/>
      <c r="R822" s="201"/>
      <c r="S822" s="17"/>
      <c r="T822" s="17"/>
      <c r="U822" s="17"/>
      <c r="V822" s="17"/>
      <c r="W822" s="17"/>
      <c r="X822" s="17"/>
      <c r="Y822" s="17"/>
      <c r="Z822" s="17"/>
    </row>
    <row r="823">
      <c r="A823" s="337"/>
      <c r="B823" s="164"/>
      <c r="C823" s="350"/>
      <c r="D823" s="349"/>
      <c r="E823" s="337"/>
      <c r="F823" s="164"/>
      <c r="G823" s="337"/>
      <c r="H823" s="164"/>
      <c r="I823" s="343"/>
      <c r="J823" s="183"/>
      <c r="K823" s="343"/>
      <c r="L823" s="183"/>
      <c r="M823" s="343"/>
      <c r="N823" s="183"/>
      <c r="O823" s="337"/>
      <c r="P823" s="164"/>
      <c r="Q823" s="201"/>
      <c r="R823" s="201"/>
      <c r="S823" s="17"/>
      <c r="T823" s="17"/>
      <c r="U823" s="17"/>
      <c r="V823" s="17"/>
      <c r="W823" s="17"/>
      <c r="X823" s="17"/>
      <c r="Y823" s="17"/>
      <c r="Z823" s="17"/>
    </row>
    <row r="824">
      <c r="A824" s="337"/>
      <c r="B824" s="164"/>
      <c r="C824" s="350"/>
      <c r="D824" s="349"/>
      <c r="E824" s="337"/>
      <c r="F824" s="164"/>
      <c r="G824" s="337"/>
      <c r="H824" s="164"/>
      <c r="I824" s="343"/>
      <c r="J824" s="183"/>
      <c r="K824" s="343"/>
      <c r="L824" s="183"/>
      <c r="M824" s="343"/>
      <c r="N824" s="183"/>
      <c r="O824" s="337"/>
      <c r="P824" s="164"/>
      <c r="Q824" s="201"/>
      <c r="R824" s="201"/>
      <c r="S824" s="17"/>
      <c r="T824" s="17"/>
      <c r="U824" s="17"/>
      <c r="V824" s="17"/>
      <c r="W824" s="17"/>
      <c r="X824" s="17"/>
      <c r="Y824" s="17"/>
      <c r="Z824" s="17"/>
    </row>
    <row r="825">
      <c r="A825" s="337"/>
      <c r="B825" s="164"/>
      <c r="C825" s="350"/>
      <c r="D825" s="349"/>
      <c r="E825" s="337"/>
      <c r="F825" s="164"/>
      <c r="G825" s="337"/>
      <c r="H825" s="164"/>
      <c r="I825" s="343"/>
      <c r="J825" s="183"/>
      <c r="K825" s="343"/>
      <c r="L825" s="183"/>
      <c r="M825" s="343"/>
      <c r="N825" s="183"/>
      <c r="O825" s="337"/>
      <c r="P825" s="164"/>
      <c r="Q825" s="201"/>
      <c r="R825" s="201"/>
      <c r="S825" s="17"/>
      <c r="T825" s="17"/>
      <c r="U825" s="17"/>
      <c r="V825" s="17"/>
      <c r="W825" s="17"/>
      <c r="X825" s="17"/>
      <c r="Y825" s="17"/>
      <c r="Z825" s="17"/>
    </row>
    <row r="826">
      <c r="A826" s="337"/>
      <c r="B826" s="164"/>
      <c r="C826" s="350"/>
      <c r="D826" s="349"/>
      <c r="E826" s="337"/>
      <c r="F826" s="164"/>
      <c r="G826" s="337"/>
      <c r="H826" s="164"/>
      <c r="I826" s="343"/>
      <c r="J826" s="183"/>
      <c r="K826" s="343"/>
      <c r="L826" s="183"/>
      <c r="M826" s="343"/>
      <c r="N826" s="183"/>
      <c r="O826" s="337"/>
      <c r="P826" s="164"/>
      <c r="Q826" s="201"/>
      <c r="R826" s="201"/>
      <c r="S826" s="17"/>
      <c r="T826" s="17"/>
      <c r="U826" s="17"/>
      <c r="V826" s="17"/>
      <c r="W826" s="17"/>
      <c r="X826" s="17"/>
      <c r="Y826" s="17"/>
      <c r="Z826" s="17"/>
    </row>
    <row r="827">
      <c r="A827" s="337"/>
      <c r="B827" s="164"/>
      <c r="C827" s="350"/>
      <c r="D827" s="349"/>
      <c r="E827" s="337"/>
      <c r="F827" s="164"/>
      <c r="G827" s="337"/>
      <c r="H827" s="164"/>
      <c r="I827" s="343"/>
      <c r="J827" s="183"/>
      <c r="K827" s="343"/>
      <c r="L827" s="183"/>
      <c r="M827" s="343"/>
      <c r="N827" s="183"/>
      <c r="O827" s="337"/>
      <c r="P827" s="164"/>
      <c r="Q827" s="201"/>
      <c r="R827" s="201"/>
      <c r="S827" s="17"/>
      <c r="T827" s="17"/>
      <c r="U827" s="17"/>
      <c r="V827" s="17"/>
      <c r="W827" s="17"/>
      <c r="X827" s="17"/>
      <c r="Y827" s="17"/>
      <c r="Z827" s="17"/>
    </row>
    <row r="828">
      <c r="A828" s="337"/>
      <c r="B828" s="164"/>
      <c r="C828" s="350"/>
      <c r="D828" s="349"/>
      <c r="E828" s="337"/>
      <c r="F828" s="164"/>
      <c r="G828" s="337"/>
      <c r="H828" s="164"/>
      <c r="I828" s="343"/>
      <c r="J828" s="183"/>
      <c r="K828" s="343"/>
      <c r="L828" s="183"/>
      <c r="M828" s="343"/>
      <c r="N828" s="183"/>
      <c r="O828" s="337"/>
      <c r="P828" s="164"/>
      <c r="Q828" s="201"/>
      <c r="R828" s="201"/>
      <c r="S828" s="17"/>
      <c r="T828" s="17"/>
      <c r="U828" s="17"/>
      <c r="V828" s="17"/>
      <c r="W828" s="17"/>
      <c r="X828" s="17"/>
      <c r="Y828" s="17"/>
      <c r="Z828" s="17"/>
    </row>
    <row r="829">
      <c r="A829" s="337"/>
      <c r="B829" s="164"/>
      <c r="C829" s="350"/>
      <c r="D829" s="349"/>
      <c r="E829" s="337"/>
      <c r="F829" s="164"/>
      <c r="G829" s="337"/>
      <c r="H829" s="164"/>
      <c r="I829" s="343"/>
      <c r="J829" s="183"/>
      <c r="K829" s="343"/>
      <c r="L829" s="183"/>
      <c r="M829" s="343"/>
      <c r="N829" s="183"/>
      <c r="O829" s="337"/>
      <c r="P829" s="164"/>
      <c r="Q829" s="201"/>
      <c r="R829" s="201"/>
      <c r="S829" s="17"/>
      <c r="T829" s="17"/>
      <c r="U829" s="17"/>
      <c r="V829" s="17"/>
      <c r="W829" s="17"/>
      <c r="X829" s="17"/>
      <c r="Y829" s="17"/>
      <c r="Z829" s="17"/>
    </row>
    <row r="830">
      <c r="A830" s="337"/>
      <c r="B830" s="164"/>
      <c r="C830" s="350"/>
      <c r="D830" s="349"/>
      <c r="E830" s="337"/>
      <c r="F830" s="164"/>
      <c r="G830" s="337"/>
      <c r="H830" s="164"/>
      <c r="I830" s="343"/>
      <c r="J830" s="183"/>
      <c r="K830" s="343"/>
      <c r="L830" s="183"/>
      <c r="M830" s="343"/>
      <c r="N830" s="183"/>
      <c r="O830" s="337"/>
      <c r="P830" s="164"/>
      <c r="Q830" s="201"/>
      <c r="R830" s="201"/>
      <c r="S830" s="17"/>
      <c r="T830" s="17"/>
      <c r="U830" s="17"/>
      <c r="V830" s="17"/>
      <c r="W830" s="17"/>
      <c r="X830" s="17"/>
      <c r="Y830" s="17"/>
      <c r="Z830" s="17"/>
    </row>
    <row r="831">
      <c r="A831" s="337"/>
      <c r="B831" s="164"/>
      <c r="C831" s="350"/>
      <c r="D831" s="349"/>
      <c r="E831" s="337"/>
      <c r="F831" s="164"/>
      <c r="G831" s="337"/>
      <c r="H831" s="164"/>
      <c r="I831" s="343"/>
      <c r="J831" s="183"/>
      <c r="K831" s="343"/>
      <c r="L831" s="183"/>
      <c r="M831" s="343"/>
      <c r="N831" s="183"/>
      <c r="O831" s="337"/>
      <c r="P831" s="164"/>
      <c r="Q831" s="201"/>
      <c r="R831" s="201"/>
      <c r="S831" s="17"/>
      <c r="T831" s="17"/>
      <c r="U831" s="17"/>
      <c r="V831" s="17"/>
      <c r="W831" s="17"/>
      <c r="X831" s="17"/>
      <c r="Y831" s="17"/>
      <c r="Z831" s="17"/>
    </row>
    <row r="832">
      <c r="A832" s="337"/>
      <c r="B832" s="164"/>
      <c r="C832" s="350"/>
      <c r="D832" s="349"/>
      <c r="E832" s="337"/>
      <c r="F832" s="164"/>
      <c r="G832" s="337"/>
      <c r="H832" s="164"/>
      <c r="I832" s="343"/>
      <c r="J832" s="183"/>
      <c r="K832" s="343"/>
      <c r="L832" s="183"/>
      <c r="M832" s="343"/>
      <c r="N832" s="183"/>
      <c r="O832" s="337"/>
      <c r="P832" s="164"/>
      <c r="Q832" s="201"/>
      <c r="R832" s="201"/>
      <c r="S832" s="17"/>
      <c r="T832" s="17"/>
      <c r="U832" s="17"/>
      <c r="V832" s="17"/>
      <c r="W832" s="17"/>
      <c r="X832" s="17"/>
      <c r="Y832" s="17"/>
      <c r="Z832" s="17"/>
    </row>
    <row r="833">
      <c r="A833" s="337"/>
      <c r="B833" s="164"/>
      <c r="C833" s="350"/>
      <c r="D833" s="349"/>
      <c r="E833" s="337"/>
      <c r="F833" s="164"/>
      <c r="G833" s="337"/>
      <c r="H833" s="164"/>
      <c r="I833" s="343"/>
      <c r="J833" s="183"/>
      <c r="K833" s="343"/>
      <c r="L833" s="183"/>
      <c r="M833" s="343"/>
      <c r="N833" s="183"/>
      <c r="O833" s="337"/>
      <c r="P833" s="164"/>
      <c r="Q833" s="201"/>
      <c r="R833" s="201"/>
      <c r="S833" s="17"/>
      <c r="T833" s="17"/>
      <c r="U833" s="17"/>
      <c r="V833" s="17"/>
      <c r="W833" s="17"/>
      <c r="X833" s="17"/>
      <c r="Y833" s="17"/>
      <c r="Z833" s="17"/>
    </row>
    <row r="834">
      <c r="A834" s="337"/>
      <c r="B834" s="164"/>
      <c r="C834" s="350"/>
      <c r="D834" s="349"/>
      <c r="E834" s="337"/>
      <c r="F834" s="164"/>
      <c r="G834" s="337"/>
      <c r="H834" s="164"/>
      <c r="I834" s="343"/>
      <c r="J834" s="183"/>
      <c r="K834" s="343"/>
      <c r="L834" s="183"/>
      <c r="M834" s="343"/>
      <c r="N834" s="183"/>
      <c r="O834" s="337"/>
      <c r="P834" s="164"/>
      <c r="Q834" s="201"/>
      <c r="R834" s="201"/>
      <c r="S834" s="17"/>
      <c r="T834" s="17"/>
      <c r="U834" s="17"/>
      <c r="V834" s="17"/>
      <c r="W834" s="17"/>
      <c r="X834" s="17"/>
      <c r="Y834" s="17"/>
      <c r="Z834" s="17"/>
    </row>
    <row r="835">
      <c r="A835" s="337"/>
      <c r="B835" s="164"/>
      <c r="C835" s="350"/>
      <c r="D835" s="349"/>
      <c r="E835" s="337"/>
      <c r="F835" s="164"/>
      <c r="G835" s="337"/>
      <c r="H835" s="164"/>
      <c r="I835" s="343"/>
      <c r="J835" s="183"/>
      <c r="K835" s="343"/>
      <c r="L835" s="183"/>
      <c r="M835" s="343"/>
      <c r="N835" s="183"/>
      <c r="O835" s="337"/>
      <c r="P835" s="164"/>
      <c r="Q835" s="201"/>
      <c r="R835" s="201"/>
      <c r="S835" s="17"/>
      <c r="T835" s="17"/>
      <c r="U835" s="17"/>
      <c r="V835" s="17"/>
      <c r="W835" s="17"/>
      <c r="X835" s="17"/>
      <c r="Y835" s="17"/>
      <c r="Z835" s="17"/>
    </row>
    <row r="836">
      <c r="A836" s="337"/>
      <c r="B836" s="164"/>
      <c r="C836" s="350"/>
      <c r="D836" s="349"/>
      <c r="E836" s="337"/>
      <c r="F836" s="164"/>
      <c r="G836" s="337"/>
      <c r="H836" s="164"/>
      <c r="I836" s="343"/>
      <c r="J836" s="183"/>
      <c r="K836" s="343"/>
      <c r="L836" s="183"/>
      <c r="M836" s="343"/>
      <c r="N836" s="183"/>
      <c r="O836" s="337"/>
      <c r="P836" s="164"/>
      <c r="Q836" s="201"/>
      <c r="R836" s="201"/>
      <c r="S836" s="17"/>
      <c r="T836" s="17"/>
      <c r="U836" s="17"/>
      <c r="V836" s="17"/>
      <c r="W836" s="17"/>
      <c r="X836" s="17"/>
      <c r="Y836" s="17"/>
      <c r="Z836" s="17"/>
    </row>
    <row r="837">
      <c r="A837" s="337"/>
      <c r="B837" s="164"/>
      <c r="C837" s="350"/>
      <c r="D837" s="349"/>
      <c r="E837" s="337"/>
      <c r="F837" s="164"/>
      <c r="G837" s="337"/>
      <c r="H837" s="164"/>
      <c r="I837" s="343"/>
      <c r="J837" s="183"/>
      <c r="K837" s="343"/>
      <c r="L837" s="183"/>
      <c r="M837" s="343"/>
      <c r="N837" s="183"/>
      <c r="O837" s="337"/>
      <c r="P837" s="164"/>
      <c r="Q837" s="201"/>
      <c r="R837" s="201"/>
      <c r="S837" s="17"/>
      <c r="T837" s="17"/>
      <c r="U837" s="17"/>
      <c r="V837" s="17"/>
      <c r="W837" s="17"/>
      <c r="X837" s="17"/>
      <c r="Y837" s="17"/>
      <c r="Z837" s="17"/>
    </row>
    <row r="838">
      <c r="A838" s="337"/>
      <c r="B838" s="164"/>
      <c r="C838" s="350"/>
      <c r="D838" s="349"/>
      <c r="E838" s="337"/>
      <c r="F838" s="164"/>
      <c r="G838" s="337"/>
      <c r="H838" s="164"/>
      <c r="I838" s="343"/>
      <c r="J838" s="183"/>
      <c r="K838" s="343"/>
      <c r="L838" s="183"/>
      <c r="M838" s="343"/>
      <c r="N838" s="183"/>
      <c r="O838" s="337"/>
      <c r="P838" s="164"/>
      <c r="Q838" s="201"/>
      <c r="R838" s="201"/>
      <c r="S838" s="17"/>
      <c r="T838" s="17"/>
      <c r="U838" s="17"/>
      <c r="V838" s="17"/>
      <c r="W838" s="17"/>
      <c r="X838" s="17"/>
      <c r="Y838" s="17"/>
      <c r="Z838" s="17"/>
    </row>
    <row r="839">
      <c r="A839" s="337"/>
      <c r="B839" s="164"/>
      <c r="C839" s="350"/>
      <c r="D839" s="349"/>
      <c r="E839" s="337"/>
      <c r="F839" s="164"/>
      <c r="G839" s="337"/>
      <c r="H839" s="164"/>
      <c r="I839" s="343"/>
      <c r="J839" s="183"/>
      <c r="K839" s="343"/>
      <c r="L839" s="183"/>
      <c r="M839" s="343"/>
      <c r="N839" s="183"/>
      <c r="O839" s="337"/>
      <c r="P839" s="164"/>
      <c r="Q839" s="201"/>
      <c r="R839" s="201"/>
      <c r="S839" s="17"/>
      <c r="T839" s="17"/>
      <c r="U839" s="17"/>
      <c r="V839" s="17"/>
      <c r="W839" s="17"/>
      <c r="X839" s="17"/>
      <c r="Y839" s="17"/>
      <c r="Z839" s="17"/>
    </row>
    <row r="840">
      <c r="A840" s="337"/>
      <c r="B840" s="164"/>
      <c r="C840" s="350"/>
      <c r="D840" s="349"/>
      <c r="E840" s="337"/>
      <c r="F840" s="164"/>
      <c r="G840" s="337"/>
      <c r="H840" s="164"/>
      <c r="I840" s="343"/>
      <c r="J840" s="183"/>
      <c r="K840" s="343"/>
      <c r="L840" s="183"/>
      <c r="M840" s="343"/>
      <c r="N840" s="183"/>
      <c r="O840" s="337"/>
      <c r="P840" s="164"/>
      <c r="Q840" s="201"/>
      <c r="R840" s="201"/>
      <c r="S840" s="17"/>
      <c r="T840" s="17"/>
      <c r="U840" s="17"/>
      <c r="V840" s="17"/>
      <c r="W840" s="17"/>
      <c r="X840" s="17"/>
      <c r="Y840" s="17"/>
      <c r="Z840" s="17"/>
    </row>
    <row r="841">
      <c r="A841" s="337"/>
      <c r="B841" s="164"/>
      <c r="C841" s="350"/>
      <c r="D841" s="349"/>
      <c r="E841" s="337"/>
      <c r="F841" s="164"/>
      <c r="G841" s="337"/>
      <c r="H841" s="164"/>
      <c r="I841" s="343"/>
      <c r="J841" s="183"/>
      <c r="K841" s="343"/>
      <c r="L841" s="183"/>
      <c r="M841" s="343"/>
      <c r="N841" s="183"/>
      <c r="O841" s="337"/>
      <c r="P841" s="164"/>
      <c r="Q841" s="201"/>
      <c r="R841" s="201"/>
      <c r="S841" s="17"/>
      <c r="T841" s="17"/>
      <c r="U841" s="17"/>
      <c r="V841" s="17"/>
      <c r="W841" s="17"/>
      <c r="X841" s="17"/>
      <c r="Y841" s="17"/>
      <c r="Z841" s="17"/>
    </row>
    <row r="842">
      <c r="A842" s="337"/>
      <c r="B842" s="164"/>
      <c r="C842" s="350"/>
      <c r="D842" s="349"/>
      <c r="E842" s="337"/>
      <c r="F842" s="164"/>
      <c r="G842" s="337"/>
      <c r="H842" s="164"/>
      <c r="I842" s="343"/>
      <c r="J842" s="183"/>
      <c r="K842" s="343"/>
      <c r="L842" s="183"/>
      <c r="M842" s="343"/>
      <c r="N842" s="183"/>
      <c r="O842" s="337"/>
      <c r="P842" s="164"/>
      <c r="Q842" s="201"/>
      <c r="R842" s="201"/>
      <c r="S842" s="17"/>
      <c r="T842" s="17"/>
      <c r="U842" s="17"/>
      <c r="V842" s="17"/>
      <c r="W842" s="17"/>
      <c r="X842" s="17"/>
      <c r="Y842" s="17"/>
      <c r="Z842" s="17"/>
    </row>
    <row r="843">
      <c r="A843" s="337"/>
      <c r="B843" s="164"/>
      <c r="C843" s="350"/>
      <c r="D843" s="349"/>
      <c r="E843" s="337"/>
      <c r="F843" s="164"/>
      <c r="G843" s="337"/>
      <c r="H843" s="164"/>
      <c r="I843" s="343"/>
      <c r="J843" s="183"/>
      <c r="K843" s="343"/>
      <c r="L843" s="183"/>
      <c r="M843" s="343"/>
      <c r="N843" s="183"/>
      <c r="O843" s="337"/>
      <c r="P843" s="164"/>
      <c r="Q843" s="201"/>
      <c r="R843" s="201"/>
      <c r="S843" s="17"/>
      <c r="T843" s="17"/>
      <c r="U843" s="17"/>
      <c r="V843" s="17"/>
      <c r="W843" s="17"/>
      <c r="X843" s="17"/>
      <c r="Y843" s="17"/>
      <c r="Z843" s="17"/>
    </row>
    <row r="844">
      <c r="A844" s="337"/>
      <c r="B844" s="164"/>
      <c r="C844" s="350"/>
      <c r="D844" s="349"/>
      <c r="E844" s="337"/>
      <c r="F844" s="164"/>
      <c r="G844" s="337"/>
      <c r="H844" s="164"/>
      <c r="I844" s="343"/>
      <c r="J844" s="183"/>
      <c r="K844" s="343"/>
      <c r="L844" s="183"/>
      <c r="M844" s="343"/>
      <c r="N844" s="183"/>
      <c r="O844" s="337"/>
      <c r="P844" s="164"/>
      <c r="Q844" s="201"/>
      <c r="R844" s="201"/>
      <c r="S844" s="17"/>
      <c r="T844" s="17"/>
      <c r="U844" s="17"/>
      <c r="V844" s="17"/>
      <c r="W844" s="17"/>
      <c r="X844" s="17"/>
      <c r="Y844" s="17"/>
      <c r="Z844" s="17"/>
    </row>
    <row r="845">
      <c r="A845" s="337"/>
      <c r="B845" s="164"/>
      <c r="C845" s="350"/>
      <c r="D845" s="349"/>
      <c r="E845" s="337"/>
      <c r="F845" s="164"/>
      <c r="G845" s="337"/>
      <c r="H845" s="164"/>
      <c r="I845" s="343"/>
      <c r="J845" s="183"/>
      <c r="K845" s="343"/>
      <c r="L845" s="183"/>
      <c r="M845" s="343"/>
      <c r="N845" s="183"/>
      <c r="O845" s="337"/>
      <c r="P845" s="164"/>
      <c r="Q845" s="201"/>
      <c r="R845" s="201"/>
      <c r="S845" s="17"/>
      <c r="T845" s="17"/>
      <c r="U845" s="17"/>
      <c r="V845" s="17"/>
      <c r="W845" s="17"/>
      <c r="X845" s="17"/>
      <c r="Y845" s="17"/>
      <c r="Z845" s="17"/>
    </row>
    <row r="846">
      <c r="A846" s="337"/>
      <c r="B846" s="164"/>
      <c r="C846" s="350"/>
      <c r="D846" s="349"/>
      <c r="E846" s="337"/>
      <c r="F846" s="164"/>
      <c r="G846" s="337"/>
      <c r="H846" s="164"/>
      <c r="I846" s="343"/>
      <c r="J846" s="183"/>
      <c r="K846" s="343"/>
      <c r="L846" s="183"/>
      <c r="M846" s="343"/>
      <c r="N846" s="183"/>
      <c r="O846" s="337"/>
      <c r="P846" s="164"/>
      <c r="Q846" s="201"/>
      <c r="R846" s="201"/>
      <c r="S846" s="17"/>
      <c r="T846" s="17"/>
      <c r="U846" s="17"/>
      <c r="V846" s="17"/>
      <c r="W846" s="17"/>
      <c r="X846" s="17"/>
      <c r="Y846" s="17"/>
      <c r="Z846" s="17"/>
    </row>
    <row r="847">
      <c r="A847" s="337"/>
      <c r="B847" s="164"/>
      <c r="C847" s="350"/>
      <c r="D847" s="349"/>
      <c r="E847" s="337"/>
      <c r="F847" s="164"/>
      <c r="G847" s="337"/>
      <c r="H847" s="164"/>
      <c r="I847" s="343"/>
      <c r="J847" s="183"/>
      <c r="K847" s="343"/>
      <c r="L847" s="183"/>
      <c r="M847" s="343"/>
      <c r="N847" s="183"/>
      <c r="O847" s="337"/>
      <c r="P847" s="164"/>
      <c r="Q847" s="201"/>
      <c r="R847" s="201"/>
      <c r="S847" s="17"/>
      <c r="T847" s="17"/>
      <c r="U847" s="17"/>
      <c r="V847" s="17"/>
      <c r="W847" s="17"/>
      <c r="X847" s="17"/>
      <c r="Y847" s="17"/>
      <c r="Z847" s="17"/>
    </row>
    <row r="848">
      <c r="A848" s="337"/>
      <c r="B848" s="164"/>
      <c r="C848" s="350"/>
      <c r="D848" s="349"/>
      <c r="E848" s="337"/>
      <c r="F848" s="164"/>
      <c r="G848" s="337"/>
      <c r="H848" s="164"/>
      <c r="I848" s="343"/>
      <c r="J848" s="183"/>
      <c r="K848" s="343"/>
      <c r="L848" s="183"/>
      <c r="M848" s="343"/>
      <c r="N848" s="183"/>
      <c r="O848" s="337"/>
      <c r="P848" s="164"/>
      <c r="Q848" s="201"/>
      <c r="R848" s="201"/>
      <c r="S848" s="17"/>
      <c r="T848" s="17"/>
      <c r="U848" s="17"/>
      <c r="V848" s="17"/>
      <c r="W848" s="17"/>
      <c r="X848" s="17"/>
      <c r="Y848" s="17"/>
      <c r="Z848" s="17"/>
    </row>
    <row r="849">
      <c r="A849" s="337"/>
      <c r="B849" s="164"/>
      <c r="C849" s="350"/>
      <c r="D849" s="349"/>
      <c r="E849" s="337"/>
      <c r="F849" s="164"/>
      <c r="G849" s="337"/>
      <c r="H849" s="164"/>
      <c r="I849" s="343"/>
      <c r="J849" s="183"/>
      <c r="K849" s="343"/>
      <c r="L849" s="183"/>
      <c r="M849" s="343"/>
      <c r="N849" s="183"/>
      <c r="O849" s="337"/>
      <c r="P849" s="164"/>
      <c r="Q849" s="201"/>
      <c r="R849" s="201"/>
      <c r="S849" s="17"/>
      <c r="T849" s="17"/>
      <c r="U849" s="17"/>
      <c r="V849" s="17"/>
      <c r="W849" s="17"/>
      <c r="X849" s="17"/>
      <c r="Y849" s="17"/>
      <c r="Z849" s="17"/>
    </row>
    <row r="850">
      <c r="A850" s="337"/>
      <c r="B850" s="164"/>
      <c r="C850" s="350"/>
      <c r="D850" s="349"/>
      <c r="E850" s="337"/>
      <c r="F850" s="164"/>
      <c r="G850" s="337"/>
      <c r="H850" s="164"/>
      <c r="I850" s="343"/>
      <c r="J850" s="183"/>
      <c r="K850" s="343"/>
      <c r="L850" s="183"/>
      <c r="M850" s="343"/>
      <c r="N850" s="183"/>
      <c r="O850" s="337"/>
      <c r="P850" s="164"/>
      <c r="Q850" s="201"/>
      <c r="R850" s="201"/>
      <c r="S850" s="17"/>
      <c r="T850" s="17"/>
      <c r="U850" s="17"/>
      <c r="V850" s="17"/>
      <c r="W850" s="17"/>
      <c r="X850" s="17"/>
      <c r="Y850" s="17"/>
      <c r="Z850" s="17"/>
    </row>
    <row r="851">
      <c r="A851" s="337"/>
      <c r="B851" s="164"/>
      <c r="C851" s="350"/>
      <c r="D851" s="349"/>
      <c r="E851" s="337"/>
      <c r="F851" s="164"/>
      <c r="G851" s="337"/>
      <c r="H851" s="164"/>
      <c r="I851" s="343"/>
      <c r="J851" s="183"/>
      <c r="K851" s="343"/>
      <c r="L851" s="183"/>
      <c r="M851" s="343"/>
      <c r="N851" s="183"/>
      <c r="O851" s="337"/>
      <c r="P851" s="164"/>
      <c r="Q851" s="201"/>
      <c r="R851" s="201"/>
      <c r="S851" s="17"/>
      <c r="T851" s="17"/>
      <c r="U851" s="17"/>
      <c r="V851" s="17"/>
      <c r="W851" s="17"/>
      <c r="X851" s="17"/>
      <c r="Y851" s="17"/>
      <c r="Z851" s="17"/>
    </row>
    <row r="852">
      <c r="A852" s="337"/>
      <c r="B852" s="164"/>
      <c r="C852" s="350"/>
      <c r="D852" s="349"/>
      <c r="E852" s="337"/>
      <c r="F852" s="164"/>
      <c r="G852" s="337"/>
      <c r="H852" s="164"/>
      <c r="I852" s="343"/>
      <c r="J852" s="183"/>
      <c r="K852" s="343"/>
      <c r="L852" s="183"/>
      <c r="M852" s="343"/>
      <c r="N852" s="183"/>
      <c r="O852" s="337"/>
      <c r="P852" s="164"/>
      <c r="Q852" s="201"/>
      <c r="R852" s="201"/>
      <c r="S852" s="17"/>
      <c r="T852" s="17"/>
      <c r="U852" s="17"/>
      <c r="V852" s="17"/>
      <c r="W852" s="17"/>
      <c r="X852" s="17"/>
      <c r="Y852" s="17"/>
      <c r="Z852" s="17"/>
    </row>
    <row r="853">
      <c r="A853" s="337"/>
      <c r="B853" s="164"/>
      <c r="C853" s="350"/>
      <c r="D853" s="349"/>
      <c r="E853" s="337"/>
      <c r="F853" s="164"/>
      <c r="G853" s="337"/>
      <c r="H853" s="164"/>
      <c r="I853" s="343"/>
      <c r="J853" s="183"/>
      <c r="K853" s="343"/>
      <c r="L853" s="183"/>
      <c r="M853" s="343"/>
      <c r="N853" s="183"/>
      <c r="O853" s="337"/>
      <c r="P853" s="164"/>
      <c r="Q853" s="201"/>
      <c r="R853" s="201"/>
      <c r="S853" s="17"/>
      <c r="T853" s="17"/>
      <c r="U853" s="17"/>
      <c r="V853" s="17"/>
      <c r="W853" s="17"/>
      <c r="X853" s="17"/>
      <c r="Y853" s="17"/>
      <c r="Z853" s="17"/>
    </row>
    <row r="854">
      <c r="A854" s="337"/>
      <c r="B854" s="164"/>
      <c r="C854" s="350"/>
      <c r="D854" s="349"/>
      <c r="E854" s="337"/>
      <c r="F854" s="164"/>
      <c r="G854" s="337"/>
      <c r="H854" s="164"/>
      <c r="I854" s="343"/>
      <c r="J854" s="183"/>
      <c r="K854" s="343"/>
      <c r="L854" s="183"/>
      <c r="M854" s="343"/>
      <c r="N854" s="183"/>
      <c r="O854" s="337"/>
      <c r="P854" s="164"/>
      <c r="Q854" s="201"/>
      <c r="R854" s="201"/>
      <c r="S854" s="17"/>
      <c r="T854" s="17"/>
      <c r="U854" s="17"/>
      <c r="V854" s="17"/>
      <c r="W854" s="17"/>
      <c r="X854" s="17"/>
      <c r="Y854" s="17"/>
      <c r="Z854" s="17"/>
    </row>
    <row r="855">
      <c r="A855" s="337"/>
      <c r="B855" s="164"/>
      <c r="C855" s="350"/>
      <c r="D855" s="349"/>
      <c r="E855" s="337"/>
      <c r="F855" s="164"/>
      <c r="G855" s="337"/>
      <c r="H855" s="164"/>
      <c r="I855" s="343"/>
      <c r="J855" s="183"/>
      <c r="K855" s="343"/>
      <c r="L855" s="183"/>
      <c r="M855" s="343"/>
      <c r="N855" s="183"/>
      <c r="O855" s="337"/>
      <c r="P855" s="164"/>
      <c r="Q855" s="201"/>
      <c r="R855" s="201"/>
      <c r="S855" s="17"/>
      <c r="T855" s="17"/>
      <c r="U855" s="17"/>
      <c r="V855" s="17"/>
      <c r="W855" s="17"/>
      <c r="X855" s="17"/>
      <c r="Y855" s="17"/>
      <c r="Z855" s="17"/>
    </row>
    <row r="856">
      <c r="A856" s="337"/>
      <c r="B856" s="164"/>
      <c r="C856" s="350"/>
      <c r="D856" s="349"/>
      <c r="E856" s="337"/>
      <c r="F856" s="164"/>
      <c r="G856" s="337"/>
      <c r="H856" s="164"/>
      <c r="I856" s="343"/>
      <c r="J856" s="183"/>
      <c r="K856" s="343"/>
      <c r="L856" s="183"/>
      <c r="M856" s="343"/>
      <c r="N856" s="183"/>
      <c r="O856" s="337"/>
      <c r="P856" s="164"/>
      <c r="Q856" s="201"/>
      <c r="R856" s="201"/>
      <c r="S856" s="17"/>
      <c r="T856" s="17"/>
      <c r="U856" s="17"/>
      <c r="V856" s="17"/>
      <c r="W856" s="17"/>
      <c r="X856" s="17"/>
      <c r="Y856" s="17"/>
      <c r="Z856" s="17"/>
    </row>
    <row r="857">
      <c r="A857" s="337"/>
      <c r="B857" s="164"/>
      <c r="C857" s="350"/>
      <c r="D857" s="349"/>
      <c r="E857" s="337"/>
      <c r="F857" s="164"/>
      <c r="G857" s="337"/>
      <c r="H857" s="164"/>
      <c r="I857" s="343"/>
      <c r="J857" s="183"/>
      <c r="K857" s="343"/>
      <c r="L857" s="183"/>
      <c r="M857" s="343"/>
      <c r="N857" s="183"/>
      <c r="O857" s="337"/>
      <c r="P857" s="164"/>
      <c r="Q857" s="201"/>
      <c r="R857" s="201"/>
      <c r="S857" s="17"/>
      <c r="T857" s="17"/>
      <c r="U857" s="17"/>
      <c r="V857" s="17"/>
      <c r="W857" s="17"/>
      <c r="X857" s="17"/>
      <c r="Y857" s="17"/>
      <c r="Z857" s="17"/>
    </row>
    <row r="858">
      <c r="A858" s="337"/>
      <c r="B858" s="164"/>
      <c r="C858" s="350"/>
      <c r="D858" s="349"/>
      <c r="E858" s="337"/>
      <c r="F858" s="164"/>
      <c r="G858" s="337"/>
      <c r="H858" s="164"/>
      <c r="I858" s="343"/>
      <c r="J858" s="183"/>
      <c r="K858" s="343"/>
      <c r="L858" s="183"/>
      <c r="M858" s="343"/>
      <c r="N858" s="183"/>
      <c r="O858" s="337"/>
      <c r="P858" s="164"/>
      <c r="Q858" s="201"/>
      <c r="R858" s="201"/>
      <c r="S858" s="17"/>
      <c r="T858" s="17"/>
      <c r="U858" s="17"/>
      <c r="V858" s="17"/>
      <c r="W858" s="17"/>
      <c r="X858" s="17"/>
      <c r="Y858" s="17"/>
      <c r="Z858" s="17"/>
    </row>
    <row r="859">
      <c r="A859" s="337"/>
      <c r="B859" s="164"/>
      <c r="C859" s="350"/>
      <c r="D859" s="349"/>
      <c r="E859" s="337"/>
      <c r="F859" s="164"/>
      <c r="G859" s="337"/>
      <c r="H859" s="164"/>
      <c r="I859" s="343"/>
      <c r="J859" s="183"/>
      <c r="K859" s="343"/>
      <c r="L859" s="183"/>
      <c r="M859" s="343"/>
      <c r="N859" s="183"/>
      <c r="O859" s="337"/>
      <c r="P859" s="164"/>
      <c r="Q859" s="201"/>
      <c r="R859" s="201"/>
      <c r="S859" s="17"/>
      <c r="T859" s="17"/>
      <c r="U859" s="17"/>
      <c r="V859" s="17"/>
      <c r="W859" s="17"/>
      <c r="X859" s="17"/>
      <c r="Y859" s="17"/>
      <c r="Z859" s="17"/>
    </row>
    <row r="860">
      <c r="A860" s="337"/>
      <c r="B860" s="164"/>
      <c r="C860" s="350"/>
      <c r="D860" s="349"/>
      <c r="E860" s="337"/>
      <c r="F860" s="164"/>
      <c r="G860" s="337"/>
      <c r="H860" s="164"/>
      <c r="I860" s="343"/>
      <c r="J860" s="183"/>
      <c r="K860" s="343"/>
      <c r="L860" s="183"/>
      <c r="M860" s="343"/>
      <c r="N860" s="183"/>
      <c r="O860" s="337"/>
      <c r="P860" s="164"/>
      <c r="Q860" s="201"/>
      <c r="R860" s="201"/>
      <c r="S860" s="17"/>
      <c r="T860" s="17"/>
      <c r="U860" s="17"/>
      <c r="V860" s="17"/>
      <c r="W860" s="17"/>
      <c r="X860" s="17"/>
      <c r="Y860" s="17"/>
      <c r="Z860" s="17"/>
    </row>
    <row r="861">
      <c r="A861" s="337"/>
      <c r="B861" s="164"/>
      <c r="C861" s="350"/>
      <c r="D861" s="349"/>
      <c r="E861" s="337"/>
      <c r="F861" s="164"/>
      <c r="G861" s="337"/>
      <c r="H861" s="164"/>
      <c r="I861" s="343"/>
      <c r="J861" s="183"/>
      <c r="K861" s="343"/>
      <c r="L861" s="183"/>
      <c r="M861" s="343"/>
      <c r="N861" s="183"/>
      <c r="O861" s="337"/>
      <c r="P861" s="164"/>
      <c r="Q861" s="201"/>
      <c r="R861" s="201"/>
      <c r="S861" s="17"/>
      <c r="T861" s="17"/>
      <c r="U861" s="17"/>
      <c r="V861" s="17"/>
      <c r="W861" s="17"/>
      <c r="X861" s="17"/>
      <c r="Y861" s="17"/>
      <c r="Z861" s="17"/>
    </row>
    <row r="862">
      <c r="A862" s="337"/>
      <c r="B862" s="164"/>
      <c r="C862" s="350"/>
      <c r="D862" s="349"/>
      <c r="E862" s="337"/>
      <c r="F862" s="164"/>
      <c r="G862" s="337"/>
      <c r="H862" s="164"/>
      <c r="I862" s="343"/>
      <c r="J862" s="183"/>
      <c r="K862" s="343"/>
      <c r="L862" s="183"/>
      <c r="M862" s="343"/>
      <c r="N862" s="183"/>
      <c r="O862" s="337"/>
      <c r="P862" s="164"/>
      <c r="Q862" s="201"/>
      <c r="R862" s="201"/>
      <c r="S862" s="17"/>
      <c r="T862" s="17"/>
      <c r="U862" s="17"/>
      <c r="V862" s="17"/>
      <c r="W862" s="17"/>
      <c r="X862" s="17"/>
      <c r="Y862" s="17"/>
      <c r="Z862" s="17"/>
    </row>
    <row r="863">
      <c r="A863" s="337"/>
      <c r="B863" s="164"/>
      <c r="C863" s="350"/>
      <c r="D863" s="349"/>
      <c r="E863" s="337"/>
      <c r="F863" s="164"/>
      <c r="G863" s="337"/>
      <c r="H863" s="164"/>
      <c r="I863" s="343"/>
      <c r="J863" s="183"/>
      <c r="K863" s="343"/>
      <c r="L863" s="183"/>
      <c r="M863" s="343"/>
      <c r="N863" s="183"/>
      <c r="O863" s="337"/>
      <c r="P863" s="164"/>
      <c r="Q863" s="201"/>
      <c r="R863" s="201"/>
      <c r="S863" s="17"/>
      <c r="T863" s="17"/>
      <c r="U863" s="17"/>
      <c r="V863" s="17"/>
      <c r="W863" s="17"/>
      <c r="X863" s="17"/>
      <c r="Y863" s="17"/>
      <c r="Z863" s="17"/>
    </row>
    <row r="864">
      <c r="A864" s="337"/>
      <c r="B864" s="164"/>
      <c r="C864" s="350"/>
      <c r="D864" s="349"/>
      <c r="E864" s="337"/>
      <c r="F864" s="164"/>
      <c r="G864" s="337"/>
      <c r="H864" s="164"/>
      <c r="I864" s="343"/>
      <c r="J864" s="183"/>
      <c r="K864" s="343"/>
      <c r="L864" s="183"/>
      <c r="M864" s="343"/>
      <c r="N864" s="183"/>
      <c r="O864" s="337"/>
      <c r="P864" s="164"/>
      <c r="Q864" s="201"/>
      <c r="R864" s="201"/>
      <c r="S864" s="17"/>
      <c r="T864" s="17"/>
      <c r="U864" s="17"/>
      <c r="V864" s="17"/>
      <c r="W864" s="17"/>
      <c r="X864" s="17"/>
      <c r="Y864" s="17"/>
      <c r="Z864" s="17"/>
    </row>
    <row r="865">
      <c r="A865" s="337"/>
      <c r="B865" s="164"/>
      <c r="C865" s="350"/>
      <c r="D865" s="349"/>
      <c r="E865" s="337"/>
      <c r="F865" s="164"/>
      <c r="G865" s="337"/>
      <c r="H865" s="164"/>
      <c r="I865" s="343"/>
      <c r="J865" s="183"/>
      <c r="K865" s="343"/>
      <c r="L865" s="183"/>
      <c r="M865" s="343"/>
      <c r="N865" s="183"/>
      <c r="O865" s="337"/>
      <c r="P865" s="164"/>
      <c r="Q865" s="201"/>
      <c r="R865" s="201"/>
      <c r="S865" s="17"/>
      <c r="T865" s="17"/>
      <c r="U865" s="17"/>
      <c r="V865" s="17"/>
      <c r="W865" s="17"/>
      <c r="X865" s="17"/>
      <c r="Y865" s="17"/>
      <c r="Z865" s="17"/>
    </row>
    <row r="866">
      <c r="A866" s="337"/>
      <c r="B866" s="164"/>
      <c r="C866" s="350"/>
      <c r="D866" s="349"/>
      <c r="E866" s="337"/>
      <c r="F866" s="164"/>
      <c r="G866" s="337"/>
      <c r="H866" s="164"/>
      <c r="I866" s="343"/>
      <c r="J866" s="183"/>
      <c r="K866" s="343"/>
      <c r="L866" s="183"/>
      <c r="M866" s="343"/>
      <c r="N866" s="183"/>
      <c r="O866" s="337"/>
      <c r="P866" s="164"/>
      <c r="Q866" s="201"/>
      <c r="R866" s="201"/>
      <c r="S866" s="17"/>
      <c r="T866" s="17"/>
      <c r="U866" s="17"/>
      <c r="V866" s="17"/>
      <c r="W866" s="17"/>
      <c r="X866" s="17"/>
      <c r="Y866" s="17"/>
      <c r="Z866" s="17"/>
    </row>
    <row r="867">
      <c r="A867" s="337"/>
      <c r="B867" s="164"/>
      <c r="C867" s="350"/>
      <c r="D867" s="349"/>
      <c r="E867" s="337"/>
      <c r="F867" s="164"/>
      <c r="G867" s="337"/>
      <c r="H867" s="164"/>
      <c r="I867" s="343"/>
      <c r="J867" s="183"/>
      <c r="K867" s="343"/>
      <c r="L867" s="183"/>
      <c r="M867" s="343"/>
      <c r="N867" s="183"/>
      <c r="O867" s="337"/>
      <c r="P867" s="164"/>
      <c r="Q867" s="201"/>
      <c r="R867" s="201"/>
      <c r="S867" s="17"/>
      <c r="T867" s="17"/>
      <c r="U867" s="17"/>
      <c r="V867" s="17"/>
      <c r="W867" s="17"/>
      <c r="X867" s="17"/>
      <c r="Y867" s="17"/>
      <c r="Z867" s="17"/>
    </row>
    <row r="868">
      <c r="A868" s="337"/>
      <c r="B868" s="164"/>
      <c r="C868" s="350"/>
      <c r="D868" s="349"/>
      <c r="E868" s="337"/>
      <c r="F868" s="164"/>
      <c r="G868" s="337"/>
      <c r="H868" s="164"/>
      <c r="I868" s="343"/>
      <c r="J868" s="183"/>
      <c r="K868" s="343"/>
      <c r="L868" s="183"/>
      <c r="M868" s="343"/>
      <c r="N868" s="183"/>
      <c r="O868" s="337"/>
      <c r="P868" s="164"/>
      <c r="Q868" s="201"/>
      <c r="R868" s="201"/>
      <c r="S868" s="17"/>
      <c r="T868" s="17"/>
      <c r="U868" s="17"/>
      <c r="V868" s="17"/>
      <c r="W868" s="17"/>
      <c r="X868" s="17"/>
      <c r="Y868" s="17"/>
      <c r="Z868" s="17"/>
    </row>
    <row r="869">
      <c r="A869" s="337"/>
      <c r="B869" s="164"/>
      <c r="C869" s="350"/>
      <c r="D869" s="349"/>
      <c r="E869" s="337"/>
      <c r="F869" s="164"/>
      <c r="G869" s="337"/>
      <c r="H869" s="164"/>
      <c r="I869" s="343"/>
      <c r="J869" s="183"/>
      <c r="K869" s="343"/>
      <c r="L869" s="183"/>
      <c r="M869" s="343"/>
      <c r="N869" s="183"/>
      <c r="O869" s="337"/>
      <c r="P869" s="164"/>
      <c r="Q869" s="201"/>
      <c r="R869" s="201"/>
      <c r="S869" s="17"/>
      <c r="T869" s="17"/>
      <c r="U869" s="17"/>
      <c r="V869" s="17"/>
      <c r="W869" s="17"/>
      <c r="X869" s="17"/>
      <c r="Y869" s="17"/>
      <c r="Z869" s="17"/>
    </row>
    <row r="870">
      <c r="A870" s="337"/>
      <c r="B870" s="164"/>
      <c r="C870" s="350"/>
      <c r="D870" s="349"/>
      <c r="E870" s="337"/>
      <c r="F870" s="164"/>
      <c r="G870" s="337"/>
      <c r="H870" s="164"/>
      <c r="I870" s="343"/>
      <c r="J870" s="183"/>
      <c r="K870" s="343"/>
      <c r="L870" s="183"/>
      <c r="M870" s="343"/>
      <c r="N870" s="183"/>
      <c r="O870" s="337"/>
      <c r="P870" s="164"/>
      <c r="Q870" s="201"/>
      <c r="R870" s="201"/>
      <c r="S870" s="17"/>
      <c r="T870" s="17"/>
      <c r="U870" s="17"/>
      <c r="V870" s="17"/>
      <c r="W870" s="17"/>
      <c r="X870" s="17"/>
      <c r="Y870" s="17"/>
      <c r="Z870" s="17"/>
    </row>
    <row r="871">
      <c r="A871" s="337"/>
      <c r="B871" s="164"/>
      <c r="C871" s="350"/>
      <c r="D871" s="349"/>
      <c r="E871" s="337"/>
      <c r="F871" s="164"/>
      <c r="G871" s="337"/>
      <c r="H871" s="164"/>
      <c r="I871" s="343"/>
      <c r="J871" s="183"/>
      <c r="K871" s="343"/>
      <c r="L871" s="183"/>
      <c r="M871" s="343"/>
      <c r="N871" s="183"/>
      <c r="O871" s="337"/>
      <c r="P871" s="164"/>
      <c r="Q871" s="201"/>
      <c r="R871" s="201"/>
      <c r="S871" s="17"/>
      <c r="T871" s="17"/>
      <c r="U871" s="17"/>
      <c r="V871" s="17"/>
      <c r="W871" s="17"/>
      <c r="X871" s="17"/>
      <c r="Y871" s="17"/>
      <c r="Z871" s="17"/>
    </row>
    <row r="872">
      <c r="A872" s="337"/>
      <c r="B872" s="164"/>
      <c r="C872" s="350"/>
      <c r="D872" s="349"/>
      <c r="E872" s="337"/>
      <c r="F872" s="164"/>
      <c r="G872" s="337"/>
      <c r="H872" s="164"/>
      <c r="I872" s="343"/>
      <c r="J872" s="183"/>
      <c r="K872" s="343"/>
      <c r="L872" s="183"/>
      <c r="M872" s="343"/>
      <c r="N872" s="183"/>
      <c r="O872" s="337"/>
      <c r="P872" s="164"/>
      <c r="Q872" s="201"/>
      <c r="R872" s="201"/>
      <c r="S872" s="17"/>
      <c r="T872" s="17"/>
      <c r="U872" s="17"/>
      <c r="V872" s="17"/>
      <c r="W872" s="17"/>
      <c r="X872" s="17"/>
      <c r="Y872" s="17"/>
      <c r="Z872" s="17"/>
    </row>
    <row r="873">
      <c r="A873" s="337"/>
      <c r="B873" s="164"/>
      <c r="C873" s="350"/>
      <c r="D873" s="349"/>
      <c r="E873" s="337"/>
      <c r="F873" s="164"/>
      <c r="G873" s="337"/>
      <c r="H873" s="164"/>
      <c r="I873" s="343"/>
      <c r="J873" s="183"/>
      <c r="K873" s="343"/>
      <c r="L873" s="183"/>
      <c r="M873" s="343"/>
      <c r="N873" s="183"/>
      <c r="O873" s="337"/>
      <c r="P873" s="164"/>
      <c r="Q873" s="201"/>
      <c r="R873" s="201"/>
      <c r="S873" s="17"/>
      <c r="T873" s="17"/>
      <c r="U873" s="17"/>
      <c r="V873" s="17"/>
      <c r="W873" s="17"/>
      <c r="X873" s="17"/>
      <c r="Y873" s="17"/>
      <c r="Z873" s="17"/>
    </row>
    <row r="874">
      <c r="A874" s="337"/>
      <c r="B874" s="164"/>
      <c r="C874" s="350"/>
      <c r="D874" s="349"/>
      <c r="E874" s="337"/>
      <c r="F874" s="164"/>
      <c r="G874" s="337"/>
      <c r="H874" s="164"/>
      <c r="I874" s="343"/>
      <c r="J874" s="183"/>
      <c r="K874" s="343"/>
      <c r="L874" s="183"/>
      <c r="M874" s="343"/>
      <c r="N874" s="183"/>
      <c r="O874" s="337"/>
      <c r="P874" s="164"/>
      <c r="Q874" s="201"/>
      <c r="R874" s="201"/>
      <c r="S874" s="17"/>
      <c r="T874" s="17"/>
      <c r="U874" s="17"/>
      <c r="V874" s="17"/>
      <c r="W874" s="17"/>
      <c r="X874" s="17"/>
      <c r="Y874" s="17"/>
      <c r="Z874" s="17"/>
    </row>
    <row r="875">
      <c r="A875" s="337"/>
      <c r="B875" s="164"/>
      <c r="C875" s="350"/>
      <c r="D875" s="349"/>
      <c r="E875" s="337"/>
      <c r="F875" s="164"/>
      <c r="G875" s="337"/>
      <c r="H875" s="164"/>
      <c r="I875" s="343"/>
      <c r="J875" s="183"/>
      <c r="K875" s="343"/>
      <c r="L875" s="183"/>
      <c r="M875" s="343"/>
      <c r="N875" s="183"/>
      <c r="O875" s="337"/>
      <c r="P875" s="164"/>
      <c r="Q875" s="201"/>
      <c r="R875" s="201"/>
      <c r="S875" s="17"/>
      <c r="T875" s="17"/>
      <c r="U875" s="17"/>
      <c r="V875" s="17"/>
      <c r="W875" s="17"/>
      <c r="X875" s="17"/>
      <c r="Y875" s="17"/>
      <c r="Z875" s="17"/>
    </row>
    <row r="876">
      <c r="A876" s="337"/>
      <c r="B876" s="164"/>
      <c r="C876" s="350"/>
      <c r="D876" s="349"/>
      <c r="E876" s="337"/>
      <c r="F876" s="164"/>
      <c r="G876" s="337"/>
      <c r="H876" s="164"/>
      <c r="I876" s="343"/>
      <c r="J876" s="183"/>
      <c r="K876" s="343"/>
      <c r="L876" s="183"/>
      <c r="M876" s="343"/>
      <c r="N876" s="183"/>
      <c r="O876" s="337"/>
      <c r="P876" s="164"/>
      <c r="Q876" s="201"/>
      <c r="R876" s="201"/>
      <c r="S876" s="17"/>
      <c r="T876" s="17"/>
      <c r="U876" s="17"/>
      <c r="V876" s="17"/>
      <c r="W876" s="17"/>
      <c r="X876" s="17"/>
      <c r="Y876" s="17"/>
      <c r="Z876" s="17"/>
    </row>
    <row r="877">
      <c r="A877" s="337"/>
      <c r="B877" s="164"/>
      <c r="C877" s="350"/>
      <c r="D877" s="349"/>
      <c r="E877" s="337"/>
      <c r="F877" s="164"/>
      <c r="G877" s="337"/>
      <c r="H877" s="164"/>
      <c r="I877" s="343"/>
      <c r="J877" s="183"/>
      <c r="K877" s="343"/>
      <c r="L877" s="183"/>
      <c r="M877" s="343"/>
      <c r="N877" s="183"/>
      <c r="O877" s="337"/>
      <c r="P877" s="164"/>
      <c r="Q877" s="201"/>
      <c r="R877" s="201"/>
      <c r="S877" s="17"/>
      <c r="T877" s="17"/>
      <c r="U877" s="17"/>
      <c r="V877" s="17"/>
      <c r="W877" s="17"/>
      <c r="X877" s="17"/>
      <c r="Y877" s="17"/>
      <c r="Z877" s="17"/>
    </row>
    <row r="878">
      <c r="A878" s="337"/>
      <c r="B878" s="164"/>
      <c r="C878" s="350"/>
      <c r="D878" s="349"/>
      <c r="E878" s="337"/>
      <c r="F878" s="164"/>
      <c r="G878" s="337"/>
      <c r="H878" s="164"/>
      <c r="I878" s="343"/>
      <c r="J878" s="183"/>
      <c r="K878" s="343"/>
      <c r="L878" s="183"/>
      <c r="M878" s="343"/>
      <c r="N878" s="183"/>
      <c r="O878" s="337"/>
      <c r="P878" s="164"/>
      <c r="Q878" s="201"/>
      <c r="R878" s="201"/>
      <c r="S878" s="17"/>
      <c r="T878" s="17"/>
      <c r="U878" s="17"/>
      <c r="V878" s="17"/>
      <c r="W878" s="17"/>
      <c r="X878" s="17"/>
      <c r="Y878" s="17"/>
      <c r="Z878" s="17"/>
    </row>
    <row r="879">
      <c r="A879" s="337"/>
      <c r="B879" s="164"/>
      <c r="C879" s="350"/>
      <c r="D879" s="349"/>
      <c r="E879" s="337"/>
      <c r="F879" s="164"/>
      <c r="G879" s="337"/>
      <c r="H879" s="164"/>
      <c r="I879" s="343"/>
      <c r="J879" s="183"/>
      <c r="K879" s="343"/>
      <c r="L879" s="183"/>
      <c r="M879" s="343"/>
      <c r="N879" s="183"/>
      <c r="O879" s="337"/>
      <c r="P879" s="164"/>
      <c r="Q879" s="201"/>
      <c r="R879" s="201"/>
      <c r="S879" s="17"/>
      <c r="T879" s="17"/>
      <c r="U879" s="17"/>
      <c r="V879" s="17"/>
      <c r="W879" s="17"/>
      <c r="X879" s="17"/>
      <c r="Y879" s="17"/>
      <c r="Z879" s="17"/>
    </row>
    <row r="880">
      <c r="A880" s="337"/>
      <c r="B880" s="164"/>
      <c r="C880" s="350"/>
      <c r="D880" s="349"/>
      <c r="E880" s="337"/>
      <c r="F880" s="164"/>
      <c r="G880" s="337"/>
      <c r="H880" s="164"/>
      <c r="I880" s="343"/>
      <c r="J880" s="183"/>
      <c r="K880" s="343"/>
      <c r="L880" s="183"/>
      <c r="M880" s="343"/>
      <c r="N880" s="183"/>
      <c r="O880" s="337"/>
      <c r="P880" s="164"/>
      <c r="Q880" s="201"/>
      <c r="R880" s="201"/>
      <c r="S880" s="17"/>
      <c r="T880" s="17"/>
      <c r="U880" s="17"/>
      <c r="V880" s="17"/>
      <c r="W880" s="17"/>
      <c r="X880" s="17"/>
      <c r="Y880" s="17"/>
      <c r="Z880" s="17"/>
    </row>
    <row r="881">
      <c r="A881" s="337"/>
      <c r="B881" s="164"/>
      <c r="C881" s="350"/>
      <c r="D881" s="349"/>
      <c r="E881" s="337"/>
      <c r="F881" s="164"/>
      <c r="G881" s="337"/>
      <c r="H881" s="164"/>
      <c r="I881" s="343"/>
      <c r="J881" s="183"/>
      <c r="K881" s="343"/>
      <c r="L881" s="183"/>
      <c r="M881" s="343"/>
      <c r="N881" s="183"/>
      <c r="O881" s="337"/>
      <c r="P881" s="164"/>
      <c r="Q881" s="201"/>
      <c r="R881" s="201"/>
      <c r="S881" s="17"/>
      <c r="T881" s="17"/>
      <c r="U881" s="17"/>
      <c r="V881" s="17"/>
      <c r="W881" s="17"/>
      <c r="X881" s="17"/>
      <c r="Y881" s="17"/>
      <c r="Z881" s="17"/>
    </row>
    <row r="882">
      <c r="A882" s="337"/>
      <c r="B882" s="164"/>
      <c r="C882" s="350"/>
      <c r="D882" s="349"/>
      <c r="E882" s="337"/>
      <c r="F882" s="164"/>
      <c r="G882" s="337"/>
      <c r="H882" s="164"/>
      <c r="I882" s="343"/>
      <c r="J882" s="183"/>
      <c r="K882" s="343"/>
      <c r="L882" s="183"/>
      <c r="M882" s="343"/>
      <c r="N882" s="183"/>
      <c r="O882" s="337"/>
      <c r="P882" s="164"/>
      <c r="Q882" s="201"/>
      <c r="R882" s="201"/>
      <c r="S882" s="17"/>
      <c r="T882" s="17"/>
      <c r="U882" s="17"/>
      <c r="V882" s="17"/>
      <c r="W882" s="17"/>
      <c r="X882" s="17"/>
      <c r="Y882" s="17"/>
      <c r="Z882" s="17"/>
    </row>
    <row r="883">
      <c r="A883" s="337"/>
      <c r="B883" s="164"/>
      <c r="C883" s="350"/>
      <c r="D883" s="349"/>
      <c r="E883" s="337"/>
      <c r="F883" s="164"/>
      <c r="G883" s="337"/>
      <c r="H883" s="164"/>
      <c r="I883" s="343"/>
      <c r="J883" s="183"/>
      <c r="K883" s="343"/>
      <c r="L883" s="183"/>
      <c r="M883" s="343"/>
      <c r="N883" s="183"/>
      <c r="O883" s="337"/>
      <c r="P883" s="164"/>
      <c r="Q883" s="201"/>
      <c r="R883" s="201"/>
      <c r="S883" s="17"/>
      <c r="T883" s="17"/>
      <c r="U883" s="17"/>
      <c r="V883" s="17"/>
      <c r="W883" s="17"/>
      <c r="X883" s="17"/>
      <c r="Y883" s="17"/>
      <c r="Z883" s="17"/>
    </row>
    <row r="884">
      <c r="A884" s="337"/>
      <c r="B884" s="164"/>
      <c r="C884" s="350"/>
      <c r="D884" s="349"/>
      <c r="E884" s="337"/>
      <c r="F884" s="164"/>
      <c r="G884" s="337"/>
      <c r="H884" s="164"/>
      <c r="I884" s="343"/>
      <c r="J884" s="183"/>
      <c r="K884" s="343"/>
      <c r="L884" s="183"/>
      <c r="M884" s="343"/>
      <c r="N884" s="183"/>
      <c r="O884" s="337"/>
      <c r="P884" s="164"/>
      <c r="Q884" s="201"/>
      <c r="R884" s="201"/>
      <c r="S884" s="17"/>
      <c r="T884" s="17"/>
      <c r="U884" s="17"/>
      <c r="V884" s="17"/>
      <c r="W884" s="17"/>
      <c r="X884" s="17"/>
      <c r="Y884" s="17"/>
      <c r="Z884" s="17"/>
    </row>
    <row r="885">
      <c r="A885" s="337"/>
      <c r="B885" s="164"/>
      <c r="C885" s="350"/>
      <c r="D885" s="349"/>
      <c r="E885" s="337"/>
      <c r="F885" s="164"/>
      <c r="G885" s="337"/>
      <c r="H885" s="164"/>
      <c r="I885" s="343"/>
      <c r="J885" s="183"/>
      <c r="K885" s="343"/>
      <c r="L885" s="183"/>
      <c r="M885" s="343"/>
      <c r="N885" s="183"/>
      <c r="O885" s="337"/>
      <c r="P885" s="164"/>
      <c r="Q885" s="201"/>
      <c r="R885" s="201"/>
      <c r="S885" s="17"/>
      <c r="T885" s="17"/>
      <c r="U885" s="17"/>
      <c r="V885" s="17"/>
      <c r="W885" s="17"/>
      <c r="X885" s="17"/>
      <c r="Y885" s="17"/>
      <c r="Z885" s="17"/>
    </row>
    <row r="886">
      <c r="A886" s="337"/>
      <c r="B886" s="164"/>
      <c r="C886" s="350"/>
      <c r="D886" s="349"/>
      <c r="E886" s="337"/>
      <c r="F886" s="164"/>
      <c r="G886" s="337"/>
      <c r="H886" s="164"/>
      <c r="I886" s="343"/>
      <c r="J886" s="183"/>
      <c r="K886" s="343"/>
      <c r="L886" s="183"/>
      <c r="M886" s="343"/>
      <c r="N886" s="183"/>
      <c r="O886" s="337"/>
      <c r="P886" s="164"/>
      <c r="Q886" s="201"/>
      <c r="R886" s="201"/>
      <c r="S886" s="17"/>
      <c r="T886" s="17"/>
      <c r="U886" s="17"/>
      <c r="V886" s="17"/>
      <c r="W886" s="17"/>
      <c r="X886" s="17"/>
      <c r="Y886" s="17"/>
      <c r="Z886" s="17"/>
    </row>
    <row r="887">
      <c r="A887" s="337"/>
      <c r="B887" s="164"/>
      <c r="C887" s="350"/>
      <c r="D887" s="349"/>
      <c r="E887" s="337"/>
      <c r="F887" s="164"/>
      <c r="G887" s="337"/>
      <c r="H887" s="164"/>
      <c r="I887" s="343"/>
      <c r="J887" s="183"/>
      <c r="K887" s="343"/>
      <c r="L887" s="183"/>
      <c r="M887" s="343"/>
      <c r="N887" s="183"/>
      <c r="O887" s="337"/>
      <c r="P887" s="164"/>
      <c r="Q887" s="201"/>
      <c r="R887" s="201"/>
      <c r="S887" s="17"/>
      <c r="T887" s="17"/>
      <c r="U887" s="17"/>
      <c r="V887" s="17"/>
      <c r="W887" s="17"/>
      <c r="X887" s="17"/>
      <c r="Y887" s="17"/>
      <c r="Z887" s="17"/>
    </row>
    <row r="888">
      <c r="A888" s="337"/>
      <c r="B888" s="164"/>
      <c r="C888" s="350"/>
      <c r="D888" s="349"/>
      <c r="E888" s="337"/>
      <c r="F888" s="164"/>
      <c r="G888" s="337"/>
      <c r="H888" s="164"/>
      <c r="I888" s="343"/>
      <c r="J888" s="183"/>
      <c r="K888" s="343"/>
      <c r="L888" s="183"/>
      <c r="M888" s="343"/>
      <c r="N888" s="183"/>
      <c r="O888" s="337"/>
      <c r="P888" s="164"/>
      <c r="Q888" s="201"/>
      <c r="R888" s="201"/>
      <c r="S888" s="17"/>
      <c r="T888" s="17"/>
      <c r="U888" s="17"/>
      <c r="V888" s="17"/>
      <c r="W888" s="17"/>
      <c r="X888" s="17"/>
      <c r="Y888" s="17"/>
      <c r="Z888" s="17"/>
    </row>
    <row r="889">
      <c r="A889" s="337"/>
      <c r="B889" s="164"/>
      <c r="C889" s="350"/>
      <c r="D889" s="349"/>
      <c r="E889" s="337"/>
      <c r="F889" s="164"/>
      <c r="G889" s="337"/>
      <c r="H889" s="164"/>
      <c r="I889" s="343"/>
      <c r="J889" s="183"/>
      <c r="K889" s="343"/>
      <c r="L889" s="183"/>
      <c r="M889" s="343"/>
      <c r="N889" s="183"/>
      <c r="O889" s="337"/>
      <c r="P889" s="164"/>
      <c r="Q889" s="201"/>
      <c r="R889" s="201"/>
      <c r="S889" s="17"/>
      <c r="T889" s="17"/>
      <c r="U889" s="17"/>
      <c r="V889" s="17"/>
      <c r="W889" s="17"/>
      <c r="X889" s="17"/>
      <c r="Y889" s="17"/>
      <c r="Z889" s="17"/>
    </row>
    <row r="890">
      <c r="A890" s="337"/>
      <c r="B890" s="164"/>
      <c r="C890" s="350"/>
      <c r="D890" s="349"/>
      <c r="E890" s="337"/>
      <c r="F890" s="164"/>
      <c r="G890" s="337"/>
      <c r="H890" s="164"/>
      <c r="I890" s="343"/>
      <c r="J890" s="183"/>
      <c r="K890" s="343"/>
      <c r="L890" s="183"/>
      <c r="M890" s="343"/>
      <c r="N890" s="183"/>
      <c r="O890" s="337"/>
      <c r="P890" s="164"/>
      <c r="Q890" s="201"/>
      <c r="R890" s="201"/>
      <c r="S890" s="17"/>
      <c r="T890" s="17"/>
      <c r="U890" s="17"/>
      <c r="V890" s="17"/>
      <c r="W890" s="17"/>
      <c r="X890" s="17"/>
      <c r="Y890" s="17"/>
      <c r="Z890" s="17"/>
    </row>
    <row r="891">
      <c r="A891" s="337"/>
      <c r="B891" s="164"/>
      <c r="C891" s="350"/>
      <c r="D891" s="349"/>
      <c r="E891" s="337"/>
      <c r="F891" s="164"/>
      <c r="G891" s="337"/>
      <c r="H891" s="164"/>
      <c r="I891" s="343"/>
      <c r="J891" s="183"/>
      <c r="K891" s="343"/>
      <c r="L891" s="183"/>
      <c r="M891" s="343"/>
      <c r="N891" s="183"/>
      <c r="O891" s="337"/>
      <c r="P891" s="164"/>
      <c r="Q891" s="201"/>
      <c r="R891" s="201"/>
      <c r="S891" s="17"/>
      <c r="T891" s="17"/>
      <c r="U891" s="17"/>
      <c r="V891" s="17"/>
      <c r="W891" s="17"/>
      <c r="X891" s="17"/>
      <c r="Y891" s="17"/>
      <c r="Z891" s="17"/>
    </row>
    <row r="892">
      <c r="A892" s="337"/>
      <c r="B892" s="164"/>
      <c r="C892" s="350"/>
      <c r="D892" s="349"/>
      <c r="E892" s="337"/>
      <c r="F892" s="164"/>
      <c r="G892" s="337"/>
      <c r="H892" s="164"/>
      <c r="I892" s="343"/>
      <c r="J892" s="183"/>
      <c r="K892" s="343"/>
      <c r="L892" s="183"/>
      <c r="M892" s="343"/>
      <c r="N892" s="183"/>
      <c r="O892" s="337"/>
      <c r="P892" s="164"/>
      <c r="Q892" s="201"/>
      <c r="R892" s="201"/>
      <c r="S892" s="17"/>
      <c r="T892" s="17"/>
      <c r="U892" s="17"/>
      <c r="V892" s="17"/>
      <c r="W892" s="17"/>
      <c r="X892" s="17"/>
      <c r="Y892" s="17"/>
      <c r="Z892" s="17"/>
    </row>
    <row r="893">
      <c r="A893" s="337"/>
      <c r="B893" s="164"/>
      <c r="C893" s="350"/>
      <c r="D893" s="349"/>
      <c r="E893" s="337"/>
      <c r="F893" s="164"/>
      <c r="G893" s="337"/>
      <c r="H893" s="164"/>
      <c r="I893" s="343"/>
      <c r="J893" s="183"/>
      <c r="K893" s="343"/>
      <c r="L893" s="183"/>
      <c r="M893" s="343"/>
      <c r="N893" s="183"/>
      <c r="O893" s="337"/>
      <c r="P893" s="164"/>
      <c r="Q893" s="201"/>
      <c r="R893" s="201"/>
      <c r="S893" s="17"/>
      <c r="T893" s="17"/>
      <c r="U893" s="17"/>
      <c r="V893" s="17"/>
      <c r="W893" s="17"/>
      <c r="X893" s="17"/>
      <c r="Y893" s="17"/>
      <c r="Z893" s="17"/>
    </row>
    <row r="894">
      <c r="A894" s="337"/>
      <c r="B894" s="164"/>
      <c r="C894" s="350"/>
      <c r="D894" s="349"/>
      <c r="E894" s="337"/>
      <c r="F894" s="164"/>
      <c r="G894" s="337"/>
      <c r="H894" s="164"/>
      <c r="I894" s="343"/>
      <c r="J894" s="183"/>
      <c r="K894" s="343"/>
      <c r="L894" s="183"/>
      <c r="M894" s="343"/>
      <c r="N894" s="183"/>
      <c r="O894" s="337"/>
      <c r="P894" s="164"/>
      <c r="Q894" s="201"/>
      <c r="R894" s="201"/>
      <c r="S894" s="17"/>
      <c r="T894" s="17"/>
      <c r="U894" s="17"/>
      <c r="V894" s="17"/>
      <c r="W894" s="17"/>
      <c r="X894" s="17"/>
      <c r="Y894" s="17"/>
      <c r="Z894" s="17"/>
    </row>
    <row r="895">
      <c r="A895" s="337"/>
      <c r="B895" s="164"/>
      <c r="C895" s="350"/>
      <c r="D895" s="349"/>
      <c r="E895" s="337"/>
      <c r="F895" s="164"/>
      <c r="G895" s="337"/>
      <c r="H895" s="164"/>
      <c r="I895" s="343"/>
      <c r="J895" s="183"/>
      <c r="K895" s="343"/>
      <c r="L895" s="183"/>
      <c r="M895" s="343"/>
      <c r="N895" s="183"/>
      <c r="O895" s="337"/>
      <c r="P895" s="164"/>
      <c r="Q895" s="201"/>
      <c r="R895" s="201"/>
      <c r="S895" s="17"/>
      <c r="T895" s="17"/>
      <c r="U895" s="17"/>
      <c r="V895" s="17"/>
      <c r="W895" s="17"/>
      <c r="X895" s="17"/>
      <c r="Y895" s="17"/>
      <c r="Z895" s="17"/>
    </row>
    <row r="896">
      <c r="A896" s="337"/>
      <c r="B896" s="164"/>
      <c r="C896" s="350"/>
      <c r="D896" s="349"/>
      <c r="E896" s="337"/>
      <c r="F896" s="164"/>
      <c r="G896" s="337"/>
      <c r="H896" s="164"/>
      <c r="I896" s="343"/>
      <c r="J896" s="183"/>
      <c r="K896" s="343"/>
      <c r="L896" s="183"/>
      <c r="M896" s="343"/>
      <c r="N896" s="183"/>
      <c r="O896" s="337"/>
      <c r="P896" s="164"/>
      <c r="Q896" s="201"/>
      <c r="R896" s="201"/>
      <c r="S896" s="17"/>
      <c r="T896" s="17"/>
      <c r="U896" s="17"/>
      <c r="V896" s="17"/>
      <c r="W896" s="17"/>
      <c r="X896" s="17"/>
      <c r="Y896" s="17"/>
      <c r="Z896" s="17"/>
    </row>
    <row r="897">
      <c r="A897" s="337"/>
      <c r="B897" s="164"/>
      <c r="C897" s="350"/>
      <c r="D897" s="349"/>
      <c r="E897" s="337"/>
      <c r="F897" s="164"/>
      <c r="G897" s="337"/>
      <c r="H897" s="164"/>
      <c r="I897" s="343"/>
      <c r="J897" s="183"/>
      <c r="K897" s="343"/>
      <c r="L897" s="183"/>
      <c r="M897" s="343"/>
      <c r="N897" s="183"/>
      <c r="O897" s="337"/>
      <c r="P897" s="164"/>
      <c r="Q897" s="201"/>
      <c r="R897" s="201"/>
      <c r="S897" s="17"/>
      <c r="T897" s="17"/>
      <c r="U897" s="17"/>
      <c r="V897" s="17"/>
      <c r="W897" s="17"/>
      <c r="X897" s="17"/>
      <c r="Y897" s="17"/>
      <c r="Z897" s="17"/>
    </row>
    <row r="898">
      <c r="A898" s="337"/>
      <c r="B898" s="164"/>
      <c r="C898" s="350"/>
      <c r="D898" s="349"/>
      <c r="E898" s="337"/>
      <c r="F898" s="164"/>
      <c r="G898" s="337"/>
      <c r="H898" s="164"/>
      <c r="I898" s="343"/>
      <c r="J898" s="183"/>
      <c r="K898" s="343"/>
      <c r="L898" s="183"/>
      <c r="M898" s="343"/>
      <c r="N898" s="183"/>
      <c r="O898" s="337"/>
      <c r="P898" s="164"/>
      <c r="Q898" s="201"/>
      <c r="R898" s="201"/>
      <c r="S898" s="17"/>
      <c r="T898" s="17"/>
      <c r="U898" s="17"/>
      <c r="V898" s="17"/>
      <c r="W898" s="17"/>
      <c r="X898" s="17"/>
      <c r="Y898" s="17"/>
      <c r="Z898" s="17"/>
    </row>
    <row r="899">
      <c r="A899" s="337"/>
      <c r="B899" s="164"/>
      <c r="C899" s="350"/>
      <c r="D899" s="349"/>
      <c r="E899" s="337"/>
      <c r="F899" s="164"/>
      <c r="G899" s="337"/>
      <c r="H899" s="164"/>
      <c r="I899" s="343"/>
      <c r="J899" s="183"/>
      <c r="K899" s="343"/>
      <c r="L899" s="183"/>
      <c r="M899" s="343"/>
      <c r="N899" s="183"/>
      <c r="O899" s="337"/>
      <c r="P899" s="164"/>
      <c r="Q899" s="201"/>
      <c r="R899" s="201"/>
      <c r="S899" s="17"/>
      <c r="T899" s="17"/>
      <c r="U899" s="17"/>
      <c r="V899" s="17"/>
      <c r="W899" s="17"/>
      <c r="X899" s="17"/>
      <c r="Y899" s="17"/>
      <c r="Z899" s="17"/>
    </row>
    <row r="900">
      <c r="A900" s="337"/>
      <c r="B900" s="164"/>
      <c r="C900" s="350"/>
      <c r="D900" s="349"/>
      <c r="E900" s="337"/>
      <c r="F900" s="164"/>
      <c r="G900" s="337"/>
      <c r="H900" s="164"/>
      <c r="I900" s="343"/>
      <c r="J900" s="183"/>
      <c r="K900" s="343"/>
      <c r="L900" s="183"/>
      <c r="M900" s="343"/>
      <c r="N900" s="183"/>
      <c r="O900" s="337"/>
      <c r="P900" s="164"/>
      <c r="Q900" s="201"/>
      <c r="R900" s="201"/>
      <c r="S900" s="17"/>
      <c r="T900" s="17"/>
      <c r="U900" s="17"/>
      <c r="V900" s="17"/>
      <c r="W900" s="17"/>
      <c r="X900" s="17"/>
      <c r="Y900" s="17"/>
      <c r="Z900" s="17"/>
    </row>
    <row r="901">
      <c r="A901" s="337"/>
      <c r="B901" s="164"/>
      <c r="C901" s="350"/>
      <c r="D901" s="349"/>
      <c r="E901" s="337"/>
      <c r="F901" s="164"/>
      <c r="G901" s="337"/>
      <c r="H901" s="164"/>
      <c r="I901" s="343"/>
      <c r="J901" s="183"/>
      <c r="K901" s="343"/>
      <c r="L901" s="183"/>
      <c r="M901" s="343"/>
      <c r="N901" s="183"/>
      <c r="O901" s="337"/>
      <c r="P901" s="164"/>
      <c r="Q901" s="201"/>
      <c r="R901" s="201"/>
      <c r="S901" s="17"/>
      <c r="T901" s="17"/>
      <c r="U901" s="17"/>
      <c r="V901" s="17"/>
      <c r="W901" s="17"/>
      <c r="X901" s="17"/>
      <c r="Y901" s="17"/>
      <c r="Z901" s="17"/>
    </row>
    <row r="902">
      <c r="A902" s="337"/>
      <c r="B902" s="164"/>
      <c r="C902" s="350"/>
      <c r="D902" s="349"/>
      <c r="E902" s="337"/>
      <c r="F902" s="164"/>
      <c r="G902" s="337"/>
      <c r="H902" s="164"/>
      <c r="I902" s="343"/>
      <c r="J902" s="183"/>
      <c r="K902" s="343"/>
      <c r="L902" s="183"/>
      <c r="M902" s="343"/>
      <c r="N902" s="183"/>
      <c r="O902" s="337"/>
      <c r="P902" s="164"/>
      <c r="Q902" s="201"/>
      <c r="R902" s="201"/>
      <c r="S902" s="17"/>
      <c r="T902" s="17"/>
      <c r="U902" s="17"/>
      <c r="V902" s="17"/>
      <c r="W902" s="17"/>
      <c r="X902" s="17"/>
      <c r="Y902" s="17"/>
      <c r="Z902" s="17"/>
    </row>
    <row r="903">
      <c r="A903" s="337"/>
      <c r="B903" s="164"/>
      <c r="C903" s="350"/>
      <c r="D903" s="349"/>
      <c r="E903" s="337"/>
      <c r="F903" s="164"/>
      <c r="G903" s="337"/>
      <c r="H903" s="164"/>
      <c r="I903" s="343"/>
      <c r="J903" s="183"/>
      <c r="K903" s="343"/>
      <c r="L903" s="183"/>
      <c r="M903" s="343"/>
      <c r="N903" s="183"/>
      <c r="O903" s="337"/>
      <c r="P903" s="164"/>
      <c r="Q903" s="201"/>
      <c r="R903" s="201"/>
      <c r="S903" s="17"/>
      <c r="T903" s="17"/>
      <c r="U903" s="17"/>
      <c r="V903" s="17"/>
      <c r="W903" s="17"/>
      <c r="X903" s="17"/>
      <c r="Y903" s="17"/>
      <c r="Z903" s="17"/>
    </row>
    <row r="904">
      <c r="A904" s="337"/>
      <c r="B904" s="164"/>
      <c r="C904" s="350"/>
      <c r="D904" s="349"/>
      <c r="E904" s="337"/>
      <c r="F904" s="164"/>
      <c r="G904" s="337"/>
      <c r="H904" s="164"/>
      <c r="I904" s="343"/>
      <c r="J904" s="183"/>
      <c r="K904" s="343"/>
      <c r="L904" s="183"/>
      <c r="M904" s="343"/>
      <c r="N904" s="183"/>
      <c r="O904" s="337"/>
      <c r="P904" s="164"/>
      <c r="Q904" s="201"/>
      <c r="R904" s="201"/>
      <c r="S904" s="17"/>
      <c r="T904" s="17"/>
      <c r="U904" s="17"/>
      <c r="V904" s="17"/>
      <c r="W904" s="17"/>
      <c r="X904" s="17"/>
      <c r="Y904" s="17"/>
      <c r="Z904" s="17"/>
    </row>
    <row r="905">
      <c r="A905" s="337"/>
      <c r="B905" s="164"/>
      <c r="C905" s="350"/>
      <c r="D905" s="349"/>
      <c r="E905" s="337"/>
      <c r="F905" s="164"/>
      <c r="G905" s="337"/>
      <c r="H905" s="164"/>
      <c r="I905" s="343"/>
      <c r="J905" s="183"/>
      <c r="K905" s="343"/>
      <c r="L905" s="183"/>
      <c r="M905" s="343"/>
      <c r="N905" s="183"/>
      <c r="O905" s="337"/>
      <c r="P905" s="164"/>
      <c r="Q905" s="201"/>
      <c r="R905" s="201"/>
      <c r="S905" s="17"/>
      <c r="T905" s="17"/>
      <c r="U905" s="17"/>
      <c r="V905" s="17"/>
      <c r="W905" s="17"/>
      <c r="X905" s="17"/>
      <c r="Y905" s="17"/>
      <c r="Z905" s="17"/>
    </row>
    <row r="906">
      <c r="A906" s="337"/>
      <c r="B906" s="164"/>
      <c r="C906" s="350"/>
      <c r="D906" s="349"/>
      <c r="E906" s="337"/>
      <c r="F906" s="164"/>
      <c r="G906" s="337"/>
      <c r="H906" s="164"/>
      <c r="I906" s="343"/>
      <c r="J906" s="183"/>
      <c r="K906" s="343"/>
      <c r="L906" s="183"/>
      <c r="M906" s="343"/>
      <c r="N906" s="183"/>
      <c r="O906" s="337"/>
      <c r="P906" s="164"/>
      <c r="Q906" s="201"/>
      <c r="R906" s="201"/>
      <c r="S906" s="17"/>
      <c r="T906" s="17"/>
      <c r="U906" s="17"/>
      <c r="V906" s="17"/>
      <c r="W906" s="17"/>
      <c r="X906" s="17"/>
      <c r="Y906" s="17"/>
      <c r="Z906" s="17"/>
    </row>
    <row r="907">
      <c r="A907" s="337"/>
      <c r="B907" s="164"/>
      <c r="C907" s="350"/>
      <c r="D907" s="349"/>
      <c r="E907" s="337"/>
      <c r="F907" s="164"/>
      <c r="G907" s="337"/>
      <c r="H907" s="164"/>
      <c r="I907" s="343"/>
      <c r="J907" s="183"/>
      <c r="K907" s="343"/>
      <c r="L907" s="183"/>
      <c r="M907" s="343"/>
      <c r="N907" s="183"/>
      <c r="O907" s="337"/>
      <c r="P907" s="164"/>
      <c r="Q907" s="201"/>
      <c r="R907" s="201"/>
      <c r="S907" s="17"/>
      <c r="T907" s="17"/>
      <c r="U907" s="17"/>
      <c r="V907" s="17"/>
      <c r="W907" s="17"/>
      <c r="X907" s="17"/>
      <c r="Y907" s="17"/>
      <c r="Z907" s="17"/>
    </row>
    <row r="908">
      <c r="A908" s="337"/>
      <c r="B908" s="164"/>
      <c r="C908" s="350"/>
      <c r="D908" s="349"/>
      <c r="E908" s="337"/>
      <c r="F908" s="164"/>
      <c r="G908" s="337"/>
      <c r="H908" s="164"/>
      <c r="I908" s="343"/>
      <c r="J908" s="183"/>
      <c r="K908" s="343"/>
      <c r="L908" s="183"/>
      <c r="M908" s="343"/>
      <c r="N908" s="183"/>
      <c r="O908" s="337"/>
      <c r="P908" s="164"/>
      <c r="Q908" s="201"/>
      <c r="R908" s="201"/>
      <c r="S908" s="17"/>
      <c r="T908" s="17"/>
      <c r="U908" s="17"/>
      <c r="V908" s="17"/>
      <c r="W908" s="17"/>
      <c r="X908" s="17"/>
      <c r="Y908" s="17"/>
      <c r="Z908" s="17"/>
    </row>
    <row r="909">
      <c r="A909" s="337"/>
      <c r="B909" s="164"/>
      <c r="C909" s="350"/>
      <c r="D909" s="349"/>
      <c r="E909" s="337"/>
      <c r="F909" s="164"/>
      <c r="G909" s="337"/>
      <c r="H909" s="164"/>
      <c r="I909" s="343"/>
      <c r="J909" s="183"/>
      <c r="K909" s="343"/>
      <c r="L909" s="183"/>
      <c r="M909" s="343"/>
      <c r="N909" s="183"/>
      <c r="O909" s="337"/>
      <c r="P909" s="164"/>
      <c r="Q909" s="201"/>
      <c r="R909" s="201"/>
      <c r="S909" s="17"/>
      <c r="T909" s="17"/>
      <c r="U909" s="17"/>
      <c r="V909" s="17"/>
      <c r="W909" s="17"/>
      <c r="X909" s="17"/>
      <c r="Y909" s="17"/>
      <c r="Z909" s="17"/>
    </row>
    <row r="910">
      <c r="A910" s="337"/>
      <c r="B910" s="164"/>
      <c r="C910" s="350"/>
      <c r="D910" s="349"/>
      <c r="E910" s="337"/>
      <c r="F910" s="164"/>
      <c r="G910" s="337"/>
      <c r="H910" s="164"/>
      <c r="I910" s="343"/>
      <c r="J910" s="183"/>
      <c r="K910" s="343"/>
      <c r="L910" s="183"/>
      <c r="M910" s="343"/>
      <c r="N910" s="183"/>
      <c r="O910" s="337"/>
      <c r="P910" s="164"/>
      <c r="Q910" s="201"/>
      <c r="R910" s="201"/>
      <c r="S910" s="17"/>
      <c r="T910" s="17"/>
      <c r="U910" s="17"/>
      <c r="V910" s="17"/>
      <c r="W910" s="17"/>
      <c r="X910" s="17"/>
      <c r="Y910" s="17"/>
      <c r="Z910" s="17"/>
    </row>
    <row r="911">
      <c r="A911" s="337"/>
      <c r="B911" s="164"/>
      <c r="C911" s="350"/>
      <c r="D911" s="349"/>
      <c r="E911" s="337"/>
      <c r="F911" s="164"/>
      <c r="G911" s="337"/>
      <c r="H911" s="164"/>
      <c r="I911" s="343"/>
      <c r="J911" s="183"/>
      <c r="K911" s="343"/>
      <c r="L911" s="183"/>
      <c r="M911" s="343"/>
      <c r="N911" s="183"/>
      <c r="O911" s="337"/>
      <c r="P911" s="164"/>
      <c r="Q911" s="201"/>
      <c r="R911" s="201"/>
      <c r="S911" s="17"/>
      <c r="T911" s="17"/>
      <c r="U911" s="17"/>
      <c r="V911" s="17"/>
      <c r="W911" s="17"/>
      <c r="X911" s="17"/>
      <c r="Y911" s="17"/>
      <c r="Z911" s="17"/>
    </row>
    <row r="912">
      <c r="A912" s="337"/>
      <c r="B912" s="164"/>
      <c r="C912" s="350"/>
      <c r="D912" s="349"/>
      <c r="E912" s="337"/>
      <c r="F912" s="164"/>
      <c r="G912" s="337"/>
      <c r="H912" s="164"/>
      <c r="I912" s="343"/>
      <c r="J912" s="183"/>
      <c r="K912" s="343"/>
      <c r="L912" s="183"/>
      <c r="M912" s="343"/>
      <c r="N912" s="183"/>
      <c r="O912" s="337"/>
      <c r="P912" s="164"/>
      <c r="Q912" s="201"/>
      <c r="R912" s="201"/>
      <c r="S912" s="17"/>
      <c r="T912" s="17"/>
      <c r="U912" s="17"/>
      <c r="V912" s="17"/>
      <c r="W912" s="17"/>
      <c r="X912" s="17"/>
      <c r="Y912" s="17"/>
      <c r="Z912" s="17"/>
    </row>
    <row r="913">
      <c r="A913" s="337"/>
      <c r="B913" s="164"/>
      <c r="C913" s="350"/>
      <c r="D913" s="349"/>
      <c r="E913" s="337"/>
      <c r="F913" s="164"/>
      <c r="G913" s="337"/>
      <c r="H913" s="164"/>
      <c r="I913" s="343"/>
      <c r="J913" s="183"/>
      <c r="K913" s="343"/>
      <c r="L913" s="183"/>
      <c r="M913" s="343"/>
      <c r="N913" s="183"/>
      <c r="O913" s="337"/>
      <c r="P913" s="164"/>
      <c r="Q913" s="201"/>
      <c r="R913" s="201"/>
      <c r="S913" s="17"/>
      <c r="T913" s="17"/>
      <c r="U913" s="17"/>
      <c r="V913" s="17"/>
      <c r="W913" s="17"/>
      <c r="X913" s="17"/>
      <c r="Y913" s="17"/>
      <c r="Z913" s="17"/>
    </row>
    <row r="914">
      <c r="A914" s="337"/>
      <c r="B914" s="164"/>
      <c r="C914" s="350"/>
      <c r="D914" s="349"/>
      <c r="E914" s="337"/>
      <c r="F914" s="164"/>
      <c r="G914" s="337"/>
      <c r="H914" s="164"/>
      <c r="I914" s="343"/>
      <c r="J914" s="183"/>
      <c r="K914" s="343"/>
      <c r="L914" s="183"/>
      <c r="M914" s="343"/>
      <c r="N914" s="183"/>
      <c r="O914" s="337"/>
      <c r="P914" s="164"/>
      <c r="Q914" s="201"/>
      <c r="R914" s="201"/>
      <c r="S914" s="17"/>
      <c r="T914" s="17"/>
      <c r="U914" s="17"/>
      <c r="V914" s="17"/>
      <c r="W914" s="17"/>
      <c r="X914" s="17"/>
      <c r="Y914" s="17"/>
      <c r="Z914" s="17"/>
    </row>
    <row r="915">
      <c r="A915" s="337"/>
      <c r="B915" s="164"/>
      <c r="C915" s="350"/>
      <c r="D915" s="349"/>
      <c r="E915" s="337"/>
      <c r="F915" s="164"/>
      <c r="G915" s="337"/>
      <c r="H915" s="164"/>
      <c r="I915" s="343"/>
      <c r="J915" s="183"/>
      <c r="K915" s="343"/>
      <c r="L915" s="183"/>
      <c r="M915" s="343"/>
      <c r="N915" s="183"/>
      <c r="O915" s="337"/>
      <c r="P915" s="164"/>
      <c r="Q915" s="201"/>
      <c r="R915" s="201"/>
      <c r="S915" s="17"/>
      <c r="T915" s="17"/>
      <c r="U915" s="17"/>
      <c r="V915" s="17"/>
      <c r="W915" s="17"/>
      <c r="X915" s="17"/>
      <c r="Y915" s="17"/>
      <c r="Z915" s="17"/>
    </row>
    <row r="916">
      <c r="A916" s="337"/>
      <c r="B916" s="164"/>
      <c r="C916" s="350"/>
      <c r="D916" s="349"/>
      <c r="E916" s="337"/>
      <c r="F916" s="164"/>
      <c r="G916" s="337"/>
      <c r="H916" s="164"/>
      <c r="I916" s="343"/>
      <c r="J916" s="183"/>
      <c r="K916" s="343"/>
      <c r="L916" s="183"/>
      <c r="M916" s="343"/>
      <c r="N916" s="183"/>
      <c r="O916" s="337"/>
      <c r="P916" s="164"/>
      <c r="Q916" s="201"/>
      <c r="R916" s="201"/>
      <c r="S916" s="17"/>
      <c r="T916" s="17"/>
      <c r="U916" s="17"/>
      <c r="V916" s="17"/>
      <c r="W916" s="17"/>
      <c r="X916" s="17"/>
      <c r="Y916" s="17"/>
      <c r="Z916" s="17"/>
    </row>
    <row r="917">
      <c r="A917" s="337"/>
      <c r="B917" s="164"/>
      <c r="C917" s="350"/>
      <c r="D917" s="349"/>
      <c r="E917" s="337"/>
      <c r="F917" s="164"/>
      <c r="G917" s="337"/>
      <c r="H917" s="164"/>
      <c r="I917" s="343"/>
      <c r="J917" s="183"/>
      <c r="K917" s="343"/>
      <c r="L917" s="183"/>
      <c r="M917" s="343"/>
      <c r="N917" s="183"/>
      <c r="O917" s="337"/>
      <c r="P917" s="164"/>
      <c r="Q917" s="201"/>
      <c r="R917" s="201"/>
      <c r="S917" s="17"/>
      <c r="T917" s="17"/>
      <c r="U917" s="17"/>
      <c r="V917" s="17"/>
      <c r="W917" s="17"/>
      <c r="X917" s="17"/>
      <c r="Y917" s="17"/>
      <c r="Z917" s="17"/>
    </row>
    <row r="918">
      <c r="A918" s="337"/>
      <c r="B918" s="164"/>
      <c r="C918" s="350"/>
      <c r="D918" s="349"/>
      <c r="E918" s="337"/>
      <c r="F918" s="164"/>
      <c r="G918" s="337"/>
      <c r="H918" s="164"/>
      <c r="I918" s="343"/>
      <c r="J918" s="183"/>
      <c r="K918" s="343"/>
      <c r="L918" s="183"/>
      <c r="M918" s="343"/>
      <c r="N918" s="183"/>
      <c r="O918" s="337"/>
      <c r="P918" s="164"/>
      <c r="Q918" s="201"/>
      <c r="R918" s="201"/>
      <c r="S918" s="17"/>
      <c r="T918" s="17"/>
      <c r="U918" s="17"/>
      <c r="V918" s="17"/>
      <c r="W918" s="17"/>
      <c r="X918" s="17"/>
      <c r="Y918" s="17"/>
      <c r="Z918" s="17"/>
    </row>
    <row r="919">
      <c r="A919" s="337"/>
      <c r="B919" s="164"/>
      <c r="C919" s="350"/>
      <c r="D919" s="349"/>
      <c r="E919" s="337"/>
      <c r="F919" s="164"/>
      <c r="G919" s="337"/>
      <c r="H919" s="164"/>
      <c r="I919" s="343"/>
      <c r="J919" s="183"/>
      <c r="K919" s="343"/>
      <c r="L919" s="183"/>
      <c r="M919" s="343"/>
      <c r="N919" s="183"/>
      <c r="O919" s="337"/>
      <c r="P919" s="164"/>
      <c r="Q919" s="201"/>
      <c r="R919" s="201"/>
      <c r="S919" s="17"/>
      <c r="T919" s="17"/>
      <c r="U919" s="17"/>
      <c r="V919" s="17"/>
      <c r="W919" s="17"/>
      <c r="X919" s="17"/>
      <c r="Y919" s="17"/>
      <c r="Z919" s="17"/>
    </row>
    <row r="920">
      <c r="A920" s="337"/>
      <c r="B920" s="164"/>
      <c r="C920" s="350"/>
      <c r="D920" s="349"/>
      <c r="E920" s="337"/>
      <c r="F920" s="164"/>
      <c r="G920" s="337"/>
      <c r="H920" s="164"/>
      <c r="I920" s="343"/>
      <c r="J920" s="183"/>
      <c r="K920" s="343"/>
      <c r="L920" s="183"/>
      <c r="M920" s="343"/>
      <c r="N920" s="183"/>
      <c r="O920" s="337"/>
      <c r="P920" s="164"/>
      <c r="Q920" s="201"/>
      <c r="R920" s="201"/>
      <c r="S920" s="17"/>
      <c r="T920" s="17"/>
      <c r="U920" s="17"/>
      <c r="V920" s="17"/>
      <c r="W920" s="17"/>
      <c r="X920" s="17"/>
      <c r="Y920" s="17"/>
      <c r="Z920" s="17"/>
    </row>
    <row r="921">
      <c r="A921" s="337"/>
      <c r="B921" s="164"/>
      <c r="C921" s="350"/>
      <c r="D921" s="349"/>
      <c r="E921" s="337"/>
      <c r="F921" s="164"/>
      <c r="G921" s="337"/>
      <c r="H921" s="164"/>
      <c r="I921" s="343"/>
      <c r="J921" s="183"/>
      <c r="K921" s="343"/>
      <c r="L921" s="183"/>
      <c r="M921" s="343"/>
      <c r="N921" s="183"/>
      <c r="O921" s="337"/>
      <c r="P921" s="164"/>
      <c r="Q921" s="201"/>
      <c r="R921" s="201"/>
      <c r="S921" s="17"/>
      <c r="T921" s="17"/>
      <c r="U921" s="17"/>
      <c r="V921" s="17"/>
      <c r="W921" s="17"/>
      <c r="X921" s="17"/>
      <c r="Y921" s="17"/>
      <c r="Z921" s="17"/>
    </row>
    <row r="922">
      <c r="A922" s="337"/>
      <c r="B922" s="164"/>
      <c r="C922" s="350"/>
      <c r="D922" s="349"/>
      <c r="E922" s="337"/>
      <c r="F922" s="164"/>
      <c r="G922" s="337"/>
      <c r="H922" s="164"/>
      <c r="I922" s="343"/>
      <c r="J922" s="183"/>
      <c r="K922" s="343"/>
      <c r="L922" s="183"/>
      <c r="M922" s="343"/>
      <c r="N922" s="183"/>
      <c r="O922" s="337"/>
      <c r="P922" s="164"/>
      <c r="Q922" s="201"/>
      <c r="R922" s="201"/>
      <c r="S922" s="17"/>
      <c r="T922" s="17"/>
      <c r="U922" s="17"/>
      <c r="V922" s="17"/>
      <c r="W922" s="17"/>
      <c r="X922" s="17"/>
      <c r="Y922" s="17"/>
      <c r="Z922" s="17"/>
    </row>
    <row r="923">
      <c r="A923" s="337"/>
      <c r="B923" s="164"/>
      <c r="C923" s="350"/>
      <c r="D923" s="349"/>
      <c r="E923" s="337"/>
      <c r="F923" s="164"/>
      <c r="G923" s="337"/>
      <c r="H923" s="164"/>
      <c r="I923" s="343"/>
      <c r="J923" s="183"/>
      <c r="K923" s="343"/>
      <c r="L923" s="183"/>
      <c r="M923" s="343"/>
      <c r="N923" s="183"/>
      <c r="O923" s="337"/>
      <c r="P923" s="164"/>
      <c r="Q923" s="201"/>
      <c r="R923" s="201"/>
      <c r="S923" s="17"/>
      <c r="T923" s="17"/>
      <c r="U923" s="17"/>
      <c r="V923" s="17"/>
      <c r="W923" s="17"/>
      <c r="X923" s="17"/>
      <c r="Y923" s="17"/>
      <c r="Z923" s="17"/>
    </row>
    <row r="924">
      <c r="A924" s="337"/>
      <c r="B924" s="164"/>
      <c r="C924" s="350"/>
      <c r="D924" s="349"/>
      <c r="E924" s="337"/>
      <c r="F924" s="164"/>
      <c r="G924" s="337"/>
      <c r="H924" s="164"/>
      <c r="I924" s="343"/>
      <c r="J924" s="183"/>
      <c r="K924" s="343"/>
      <c r="L924" s="183"/>
      <c r="M924" s="343"/>
      <c r="N924" s="183"/>
      <c r="O924" s="337"/>
      <c r="P924" s="164"/>
      <c r="Q924" s="201"/>
      <c r="R924" s="201"/>
      <c r="S924" s="17"/>
      <c r="T924" s="17"/>
      <c r="U924" s="17"/>
      <c r="V924" s="17"/>
      <c r="W924" s="17"/>
      <c r="X924" s="17"/>
      <c r="Y924" s="17"/>
      <c r="Z924" s="17"/>
    </row>
    <row r="925">
      <c r="A925" s="337"/>
      <c r="B925" s="164"/>
      <c r="C925" s="350"/>
      <c r="D925" s="349"/>
      <c r="E925" s="337"/>
      <c r="F925" s="164"/>
      <c r="G925" s="337"/>
      <c r="H925" s="164"/>
      <c r="I925" s="343"/>
      <c r="J925" s="183"/>
      <c r="K925" s="343"/>
      <c r="L925" s="183"/>
      <c r="M925" s="343"/>
      <c r="N925" s="183"/>
      <c r="O925" s="337"/>
      <c r="P925" s="164"/>
      <c r="Q925" s="201"/>
      <c r="R925" s="201"/>
      <c r="S925" s="17"/>
      <c r="T925" s="17"/>
      <c r="U925" s="17"/>
      <c r="V925" s="17"/>
      <c r="W925" s="17"/>
      <c r="X925" s="17"/>
      <c r="Y925" s="17"/>
      <c r="Z925" s="17"/>
    </row>
    <row r="926">
      <c r="A926" s="337"/>
      <c r="B926" s="164"/>
      <c r="C926" s="350"/>
      <c r="D926" s="349"/>
      <c r="E926" s="337"/>
      <c r="F926" s="164"/>
      <c r="G926" s="337"/>
      <c r="H926" s="164"/>
      <c r="I926" s="343"/>
      <c r="J926" s="183"/>
      <c r="K926" s="343"/>
      <c r="L926" s="183"/>
      <c r="M926" s="343"/>
      <c r="N926" s="183"/>
      <c r="O926" s="337"/>
      <c r="P926" s="164"/>
      <c r="Q926" s="201"/>
      <c r="R926" s="201"/>
      <c r="S926" s="17"/>
      <c r="T926" s="17"/>
      <c r="U926" s="17"/>
      <c r="V926" s="17"/>
      <c r="W926" s="17"/>
      <c r="X926" s="17"/>
      <c r="Y926" s="17"/>
      <c r="Z926" s="17"/>
    </row>
    <row r="927">
      <c r="A927" s="337"/>
      <c r="B927" s="164"/>
      <c r="C927" s="350"/>
      <c r="D927" s="349"/>
      <c r="E927" s="337"/>
      <c r="F927" s="164"/>
      <c r="G927" s="337"/>
      <c r="H927" s="164"/>
      <c r="I927" s="343"/>
      <c r="J927" s="183"/>
      <c r="K927" s="343"/>
      <c r="L927" s="183"/>
      <c r="M927" s="343"/>
      <c r="N927" s="183"/>
      <c r="O927" s="337"/>
      <c r="P927" s="164"/>
      <c r="Q927" s="201"/>
      <c r="R927" s="201"/>
      <c r="S927" s="17"/>
      <c r="T927" s="17"/>
      <c r="U927" s="17"/>
      <c r="V927" s="17"/>
      <c r="W927" s="17"/>
      <c r="X927" s="17"/>
      <c r="Y927" s="17"/>
      <c r="Z927" s="17"/>
    </row>
    <row r="928">
      <c r="A928" s="337"/>
      <c r="B928" s="164"/>
      <c r="C928" s="350"/>
      <c r="D928" s="349"/>
      <c r="E928" s="337"/>
      <c r="F928" s="164"/>
      <c r="G928" s="337"/>
      <c r="H928" s="164"/>
      <c r="I928" s="343"/>
      <c r="J928" s="183"/>
      <c r="K928" s="343"/>
      <c r="L928" s="183"/>
      <c r="M928" s="343"/>
      <c r="N928" s="183"/>
      <c r="O928" s="337"/>
      <c r="P928" s="164"/>
      <c r="Q928" s="201"/>
      <c r="R928" s="201"/>
      <c r="S928" s="17"/>
      <c r="T928" s="17"/>
      <c r="U928" s="17"/>
      <c r="V928" s="17"/>
      <c r="W928" s="17"/>
      <c r="X928" s="17"/>
      <c r="Y928" s="17"/>
      <c r="Z928" s="17"/>
    </row>
    <row r="929">
      <c r="A929" s="337"/>
      <c r="B929" s="164"/>
      <c r="C929" s="350"/>
      <c r="D929" s="349"/>
      <c r="E929" s="337"/>
      <c r="F929" s="164"/>
      <c r="G929" s="337"/>
      <c r="H929" s="164"/>
      <c r="I929" s="343"/>
      <c r="J929" s="183"/>
      <c r="K929" s="343"/>
      <c r="L929" s="183"/>
      <c r="M929" s="343"/>
      <c r="N929" s="183"/>
      <c r="O929" s="337"/>
      <c r="P929" s="164"/>
      <c r="Q929" s="201"/>
      <c r="R929" s="201"/>
      <c r="S929" s="17"/>
      <c r="T929" s="17"/>
      <c r="U929" s="17"/>
      <c r="V929" s="17"/>
      <c r="W929" s="17"/>
      <c r="X929" s="17"/>
      <c r="Y929" s="17"/>
      <c r="Z929" s="17"/>
    </row>
    <row r="930">
      <c r="A930" s="337"/>
      <c r="B930" s="164"/>
      <c r="C930" s="350"/>
      <c r="D930" s="349"/>
      <c r="E930" s="337"/>
      <c r="F930" s="164"/>
      <c r="G930" s="337"/>
      <c r="H930" s="164"/>
      <c r="I930" s="343"/>
      <c r="J930" s="183"/>
      <c r="K930" s="343"/>
      <c r="L930" s="183"/>
      <c r="M930" s="343"/>
      <c r="N930" s="183"/>
      <c r="O930" s="337"/>
      <c r="P930" s="164"/>
      <c r="Q930" s="201"/>
      <c r="R930" s="201"/>
      <c r="S930" s="17"/>
      <c r="T930" s="17"/>
      <c r="U930" s="17"/>
      <c r="V930" s="17"/>
      <c r="W930" s="17"/>
      <c r="X930" s="17"/>
      <c r="Y930" s="17"/>
      <c r="Z930" s="17"/>
    </row>
    <row r="931">
      <c r="A931" s="337"/>
      <c r="B931" s="164"/>
      <c r="C931" s="350"/>
      <c r="D931" s="349"/>
      <c r="E931" s="337"/>
      <c r="F931" s="164"/>
      <c r="G931" s="337"/>
      <c r="H931" s="164"/>
      <c r="I931" s="343"/>
      <c r="J931" s="183"/>
      <c r="K931" s="343"/>
      <c r="L931" s="183"/>
      <c r="M931" s="343"/>
      <c r="N931" s="183"/>
      <c r="O931" s="337"/>
      <c r="P931" s="164"/>
      <c r="Q931" s="201"/>
      <c r="R931" s="201"/>
      <c r="S931" s="17"/>
      <c r="T931" s="17"/>
      <c r="U931" s="17"/>
      <c r="V931" s="17"/>
      <c r="W931" s="17"/>
      <c r="X931" s="17"/>
      <c r="Y931" s="17"/>
      <c r="Z931" s="17"/>
    </row>
    <row r="932">
      <c r="A932" s="337"/>
      <c r="B932" s="164"/>
      <c r="C932" s="350"/>
      <c r="D932" s="349"/>
      <c r="E932" s="337"/>
      <c r="F932" s="164"/>
      <c r="G932" s="337"/>
      <c r="H932" s="164"/>
      <c r="I932" s="343"/>
      <c r="J932" s="183"/>
      <c r="K932" s="343"/>
      <c r="L932" s="183"/>
      <c r="M932" s="343"/>
      <c r="N932" s="183"/>
      <c r="O932" s="337"/>
      <c r="P932" s="164"/>
      <c r="Q932" s="201"/>
      <c r="R932" s="201"/>
      <c r="S932" s="17"/>
      <c r="T932" s="17"/>
      <c r="U932" s="17"/>
      <c r="V932" s="17"/>
      <c r="W932" s="17"/>
      <c r="X932" s="17"/>
      <c r="Y932" s="17"/>
      <c r="Z932" s="17"/>
    </row>
    <row r="933">
      <c r="A933" s="337"/>
      <c r="B933" s="164"/>
      <c r="C933" s="350"/>
      <c r="D933" s="349"/>
      <c r="E933" s="337"/>
      <c r="F933" s="164"/>
      <c r="G933" s="337"/>
      <c r="H933" s="164"/>
      <c r="I933" s="343"/>
      <c r="J933" s="183"/>
      <c r="K933" s="343"/>
      <c r="L933" s="183"/>
      <c r="M933" s="343"/>
      <c r="N933" s="183"/>
      <c r="O933" s="337"/>
      <c r="P933" s="164"/>
      <c r="Q933" s="201"/>
      <c r="R933" s="201"/>
      <c r="S933" s="17"/>
      <c r="T933" s="17"/>
      <c r="U933" s="17"/>
      <c r="V933" s="17"/>
      <c r="W933" s="17"/>
      <c r="X933" s="17"/>
      <c r="Y933" s="17"/>
      <c r="Z933" s="17"/>
    </row>
    <row r="934">
      <c r="A934" s="337"/>
      <c r="B934" s="164"/>
      <c r="C934" s="350"/>
      <c r="D934" s="349"/>
      <c r="E934" s="337"/>
      <c r="F934" s="164"/>
      <c r="G934" s="337"/>
      <c r="H934" s="164"/>
      <c r="I934" s="343"/>
      <c r="J934" s="183"/>
      <c r="K934" s="343"/>
      <c r="L934" s="183"/>
      <c r="M934" s="343"/>
      <c r="N934" s="183"/>
      <c r="O934" s="337"/>
      <c r="P934" s="164"/>
      <c r="Q934" s="201"/>
      <c r="R934" s="201"/>
      <c r="S934" s="17"/>
      <c r="T934" s="17"/>
      <c r="U934" s="17"/>
      <c r="V934" s="17"/>
      <c r="W934" s="17"/>
      <c r="X934" s="17"/>
      <c r="Y934" s="17"/>
      <c r="Z934" s="17"/>
    </row>
    <row r="935">
      <c r="A935" s="337"/>
      <c r="B935" s="164"/>
      <c r="C935" s="350"/>
      <c r="D935" s="349"/>
      <c r="E935" s="337"/>
      <c r="F935" s="164"/>
      <c r="G935" s="337"/>
      <c r="H935" s="164"/>
      <c r="I935" s="343"/>
      <c r="J935" s="183"/>
      <c r="K935" s="343"/>
      <c r="L935" s="183"/>
      <c r="M935" s="343"/>
      <c r="N935" s="183"/>
      <c r="O935" s="337"/>
      <c r="P935" s="164"/>
      <c r="Q935" s="201"/>
      <c r="R935" s="201"/>
      <c r="S935" s="17"/>
      <c r="T935" s="17"/>
      <c r="U935" s="17"/>
      <c r="V935" s="17"/>
      <c r="W935" s="17"/>
      <c r="X935" s="17"/>
      <c r="Y935" s="17"/>
      <c r="Z935" s="17"/>
    </row>
    <row r="936">
      <c r="A936" s="337"/>
      <c r="B936" s="164"/>
      <c r="C936" s="350"/>
      <c r="D936" s="349"/>
      <c r="E936" s="337"/>
      <c r="F936" s="164"/>
      <c r="G936" s="337"/>
      <c r="H936" s="164"/>
      <c r="I936" s="343"/>
      <c r="J936" s="183"/>
      <c r="K936" s="343"/>
      <c r="L936" s="183"/>
      <c r="M936" s="343"/>
      <c r="N936" s="183"/>
      <c r="O936" s="337"/>
      <c r="P936" s="164"/>
      <c r="Q936" s="201"/>
      <c r="R936" s="201"/>
      <c r="S936" s="17"/>
      <c r="T936" s="17"/>
      <c r="U936" s="17"/>
      <c r="V936" s="17"/>
      <c r="W936" s="17"/>
      <c r="X936" s="17"/>
      <c r="Y936" s="17"/>
      <c r="Z936" s="17"/>
    </row>
    <row r="937">
      <c r="A937" s="337"/>
      <c r="B937" s="164"/>
      <c r="C937" s="350"/>
      <c r="D937" s="349"/>
      <c r="E937" s="337"/>
      <c r="F937" s="164"/>
      <c r="G937" s="337"/>
      <c r="H937" s="164"/>
      <c r="I937" s="343"/>
      <c r="J937" s="183"/>
      <c r="K937" s="343"/>
      <c r="L937" s="183"/>
      <c r="M937" s="343"/>
      <c r="N937" s="183"/>
      <c r="O937" s="337"/>
      <c r="P937" s="164"/>
      <c r="Q937" s="201"/>
      <c r="R937" s="201"/>
      <c r="S937" s="17"/>
      <c r="T937" s="17"/>
      <c r="U937" s="17"/>
      <c r="V937" s="17"/>
      <c r="W937" s="17"/>
      <c r="X937" s="17"/>
      <c r="Y937" s="17"/>
      <c r="Z937" s="17"/>
    </row>
    <row r="938">
      <c r="A938" s="337"/>
      <c r="B938" s="164"/>
      <c r="C938" s="350"/>
      <c r="D938" s="349"/>
      <c r="E938" s="337"/>
      <c r="F938" s="164"/>
      <c r="G938" s="337"/>
      <c r="H938" s="164"/>
      <c r="I938" s="343"/>
      <c r="J938" s="183"/>
      <c r="K938" s="343"/>
      <c r="L938" s="183"/>
      <c r="M938" s="343"/>
      <c r="N938" s="183"/>
      <c r="O938" s="337"/>
      <c r="P938" s="164"/>
      <c r="Q938" s="201"/>
      <c r="R938" s="201"/>
      <c r="S938" s="17"/>
      <c r="T938" s="17"/>
      <c r="U938" s="17"/>
      <c r="V938" s="17"/>
      <c r="W938" s="17"/>
      <c r="X938" s="17"/>
      <c r="Y938" s="17"/>
      <c r="Z938" s="17"/>
    </row>
    <row r="939">
      <c r="A939" s="337"/>
      <c r="B939" s="164"/>
      <c r="C939" s="350"/>
      <c r="D939" s="349"/>
      <c r="E939" s="337"/>
      <c r="F939" s="164"/>
      <c r="G939" s="337"/>
      <c r="H939" s="164"/>
      <c r="I939" s="343"/>
      <c r="J939" s="183"/>
      <c r="K939" s="343"/>
      <c r="L939" s="183"/>
      <c r="M939" s="343"/>
      <c r="N939" s="183"/>
      <c r="O939" s="337"/>
      <c r="P939" s="164"/>
      <c r="Q939" s="201"/>
      <c r="R939" s="201"/>
      <c r="S939" s="17"/>
      <c r="T939" s="17"/>
      <c r="U939" s="17"/>
      <c r="V939" s="17"/>
      <c r="W939" s="17"/>
      <c r="X939" s="17"/>
      <c r="Y939" s="17"/>
      <c r="Z939" s="17"/>
    </row>
    <row r="940">
      <c r="A940" s="337"/>
      <c r="B940" s="164"/>
      <c r="C940" s="350"/>
      <c r="D940" s="349"/>
      <c r="E940" s="337"/>
      <c r="F940" s="164"/>
      <c r="G940" s="337"/>
      <c r="H940" s="164"/>
      <c r="I940" s="343"/>
      <c r="J940" s="183"/>
      <c r="K940" s="343"/>
      <c r="L940" s="183"/>
      <c r="M940" s="343"/>
      <c r="N940" s="183"/>
      <c r="O940" s="337"/>
      <c r="P940" s="164"/>
      <c r="Q940" s="201"/>
      <c r="R940" s="201"/>
      <c r="S940" s="17"/>
      <c r="T940" s="17"/>
      <c r="U940" s="17"/>
      <c r="V940" s="17"/>
      <c r="W940" s="17"/>
      <c r="X940" s="17"/>
      <c r="Y940" s="17"/>
      <c r="Z940" s="17"/>
    </row>
    <row r="941">
      <c r="A941" s="337"/>
      <c r="B941" s="164"/>
      <c r="C941" s="350"/>
      <c r="D941" s="349"/>
      <c r="E941" s="337"/>
      <c r="F941" s="164"/>
      <c r="G941" s="337"/>
      <c r="H941" s="164"/>
      <c r="I941" s="343"/>
      <c r="J941" s="183"/>
      <c r="K941" s="343"/>
      <c r="L941" s="183"/>
      <c r="M941" s="343"/>
      <c r="N941" s="183"/>
      <c r="O941" s="337"/>
      <c r="P941" s="164"/>
      <c r="Q941" s="201"/>
      <c r="R941" s="201"/>
      <c r="S941" s="17"/>
      <c r="T941" s="17"/>
      <c r="U941" s="17"/>
      <c r="V941" s="17"/>
      <c r="W941" s="17"/>
      <c r="X941" s="17"/>
      <c r="Y941" s="17"/>
      <c r="Z941" s="17"/>
    </row>
    <row r="942">
      <c r="A942" s="337"/>
      <c r="B942" s="164"/>
      <c r="C942" s="350"/>
      <c r="D942" s="349"/>
      <c r="E942" s="337"/>
      <c r="F942" s="164"/>
      <c r="G942" s="337"/>
      <c r="H942" s="164"/>
      <c r="I942" s="343"/>
      <c r="J942" s="183"/>
      <c r="K942" s="343"/>
      <c r="L942" s="183"/>
      <c r="M942" s="343"/>
      <c r="N942" s="183"/>
      <c r="O942" s="337"/>
      <c r="P942" s="164"/>
      <c r="Q942" s="201"/>
      <c r="R942" s="201"/>
      <c r="S942" s="17"/>
      <c r="T942" s="17"/>
      <c r="U942" s="17"/>
      <c r="V942" s="17"/>
      <c r="W942" s="17"/>
      <c r="X942" s="17"/>
      <c r="Y942" s="17"/>
      <c r="Z942" s="17"/>
    </row>
    <row r="943">
      <c r="A943" s="337"/>
      <c r="B943" s="164"/>
      <c r="C943" s="350"/>
      <c r="D943" s="349"/>
      <c r="E943" s="337"/>
      <c r="F943" s="164"/>
      <c r="G943" s="337"/>
      <c r="H943" s="164"/>
      <c r="I943" s="343"/>
      <c r="J943" s="183"/>
      <c r="K943" s="343"/>
      <c r="L943" s="183"/>
      <c r="M943" s="343"/>
      <c r="N943" s="183"/>
      <c r="O943" s="337"/>
      <c r="P943" s="164"/>
      <c r="Q943" s="201"/>
      <c r="R943" s="201"/>
      <c r="S943" s="17"/>
      <c r="T943" s="17"/>
      <c r="U943" s="17"/>
      <c r="V943" s="17"/>
      <c r="W943" s="17"/>
      <c r="X943" s="17"/>
      <c r="Y943" s="17"/>
      <c r="Z943" s="17"/>
    </row>
    <row r="944">
      <c r="A944" s="337"/>
      <c r="B944" s="164"/>
      <c r="C944" s="350"/>
      <c r="D944" s="349"/>
      <c r="E944" s="337"/>
      <c r="F944" s="164"/>
      <c r="G944" s="337"/>
      <c r="H944" s="164"/>
      <c r="I944" s="343"/>
      <c r="J944" s="183"/>
      <c r="K944" s="343"/>
      <c r="L944" s="183"/>
      <c r="M944" s="343"/>
      <c r="N944" s="183"/>
      <c r="O944" s="337"/>
      <c r="P944" s="164"/>
      <c r="Q944" s="201"/>
      <c r="R944" s="201"/>
      <c r="S944" s="17"/>
      <c r="T944" s="17"/>
      <c r="U944" s="17"/>
      <c r="V944" s="17"/>
      <c r="W944" s="17"/>
      <c r="X944" s="17"/>
      <c r="Y944" s="17"/>
      <c r="Z944" s="17"/>
    </row>
    <row r="945">
      <c r="A945" s="337"/>
      <c r="B945" s="164"/>
      <c r="C945" s="350"/>
      <c r="D945" s="349"/>
      <c r="E945" s="337"/>
      <c r="F945" s="164"/>
      <c r="G945" s="337"/>
      <c r="H945" s="164"/>
      <c r="I945" s="343"/>
      <c r="J945" s="183"/>
      <c r="K945" s="343"/>
      <c r="L945" s="183"/>
      <c r="M945" s="343"/>
      <c r="N945" s="183"/>
      <c r="O945" s="337"/>
      <c r="P945" s="164"/>
      <c r="Q945" s="201"/>
      <c r="R945" s="201"/>
      <c r="S945" s="17"/>
      <c r="T945" s="17"/>
      <c r="U945" s="17"/>
      <c r="V945" s="17"/>
      <c r="W945" s="17"/>
      <c r="X945" s="17"/>
      <c r="Y945" s="17"/>
      <c r="Z945" s="17"/>
    </row>
    <row r="946">
      <c r="A946" s="337"/>
      <c r="B946" s="164"/>
      <c r="C946" s="350"/>
      <c r="D946" s="349"/>
      <c r="E946" s="337"/>
      <c r="F946" s="164"/>
      <c r="G946" s="337"/>
      <c r="H946" s="164"/>
      <c r="I946" s="343"/>
      <c r="J946" s="183"/>
      <c r="K946" s="343"/>
      <c r="L946" s="183"/>
      <c r="M946" s="343"/>
      <c r="N946" s="183"/>
      <c r="O946" s="337"/>
      <c r="P946" s="164"/>
      <c r="Q946" s="201"/>
      <c r="R946" s="201"/>
      <c r="S946" s="17"/>
      <c r="T946" s="17"/>
      <c r="U946" s="17"/>
      <c r="V946" s="17"/>
      <c r="W946" s="17"/>
      <c r="X946" s="17"/>
      <c r="Y946" s="17"/>
      <c r="Z946" s="17"/>
    </row>
    <row r="947">
      <c r="A947" s="337"/>
      <c r="B947" s="164"/>
      <c r="C947" s="350"/>
      <c r="D947" s="349"/>
      <c r="E947" s="337"/>
      <c r="F947" s="164"/>
      <c r="G947" s="337"/>
      <c r="H947" s="164"/>
      <c r="I947" s="343"/>
      <c r="J947" s="183"/>
      <c r="K947" s="343"/>
      <c r="L947" s="183"/>
      <c r="M947" s="343"/>
      <c r="N947" s="183"/>
      <c r="O947" s="337"/>
      <c r="P947" s="164"/>
      <c r="Q947" s="201"/>
      <c r="R947" s="201"/>
      <c r="S947" s="17"/>
      <c r="T947" s="17"/>
      <c r="U947" s="17"/>
      <c r="V947" s="17"/>
      <c r="W947" s="17"/>
      <c r="X947" s="17"/>
      <c r="Y947" s="17"/>
      <c r="Z947" s="17"/>
    </row>
    <row r="948">
      <c r="A948" s="337"/>
      <c r="B948" s="164"/>
      <c r="C948" s="350"/>
      <c r="D948" s="349"/>
      <c r="E948" s="337"/>
      <c r="F948" s="164"/>
      <c r="G948" s="337"/>
      <c r="H948" s="164"/>
      <c r="I948" s="343"/>
      <c r="J948" s="183"/>
      <c r="K948" s="343"/>
      <c r="L948" s="183"/>
      <c r="M948" s="343"/>
      <c r="N948" s="183"/>
      <c r="O948" s="337"/>
      <c r="P948" s="164"/>
      <c r="Q948" s="201"/>
      <c r="R948" s="201"/>
      <c r="S948" s="17"/>
      <c r="T948" s="17"/>
      <c r="U948" s="17"/>
      <c r="V948" s="17"/>
      <c r="W948" s="17"/>
      <c r="X948" s="17"/>
      <c r="Y948" s="17"/>
      <c r="Z948" s="17"/>
    </row>
    <row r="949">
      <c r="A949" s="337"/>
      <c r="B949" s="164"/>
      <c r="C949" s="350"/>
      <c r="D949" s="349"/>
      <c r="E949" s="337"/>
      <c r="F949" s="164"/>
      <c r="G949" s="337"/>
      <c r="H949" s="164"/>
      <c r="I949" s="343"/>
      <c r="J949" s="183"/>
      <c r="K949" s="343"/>
      <c r="L949" s="183"/>
      <c r="M949" s="343"/>
      <c r="N949" s="183"/>
      <c r="O949" s="337"/>
      <c r="P949" s="164"/>
      <c r="Q949" s="201"/>
      <c r="R949" s="201"/>
      <c r="S949" s="17"/>
      <c r="T949" s="17"/>
      <c r="U949" s="17"/>
      <c r="V949" s="17"/>
      <c r="W949" s="17"/>
      <c r="X949" s="17"/>
      <c r="Y949" s="17"/>
      <c r="Z949" s="17"/>
    </row>
    <row r="950">
      <c r="A950" s="337"/>
      <c r="B950" s="164"/>
      <c r="C950" s="350"/>
      <c r="D950" s="349"/>
      <c r="E950" s="337"/>
      <c r="F950" s="164"/>
      <c r="G950" s="337"/>
      <c r="H950" s="164"/>
      <c r="I950" s="343"/>
      <c r="J950" s="183"/>
      <c r="K950" s="343"/>
      <c r="L950" s="183"/>
      <c r="M950" s="343"/>
      <c r="N950" s="183"/>
      <c r="O950" s="337"/>
      <c r="P950" s="164"/>
      <c r="Q950" s="201"/>
      <c r="R950" s="201"/>
      <c r="S950" s="17"/>
      <c r="T950" s="17"/>
      <c r="U950" s="17"/>
      <c r="V950" s="17"/>
      <c r="W950" s="17"/>
      <c r="X950" s="17"/>
      <c r="Y950" s="17"/>
      <c r="Z950" s="17"/>
    </row>
    <row r="951">
      <c r="A951" s="337"/>
      <c r="B951" s="164"/>
      <c r="C951" s="350"/>
      <c r="D951" s="349"/>
      <c r="E951" s="337"/>
      <c r="F951" s="164"/>
      <c r="G951" s="337"/>
      <c r="H951" s="164"/>
      <c r="I951" s="343"/>
      <c r="J951" s="183"/>
      <c r="K951" s="343"/>
      <c r="L951" s="183"/>
      <c r="M951" s="343"/>
      <c r="N951" s="183"/>
      <c r="O951" s="337"/>
      <c r="P951" s="164"/>
      <c r="Q951" s="201"/>
      <c r="R951" s="201"/>
      <c r="S951" s="17"/>
      <c r="T951" s="17"/>
      <c r="U951" s="17"/>
      <c r="V951" s="17"/>
      <c r="W951" s="17"/>
      <c r="X951" s="17"/>
      <c r="Y951" s="17"/>
      <c r="Z951" s="17"/>
    </row>
    <row r="952">
      <c r="A952" s="337"/>
      <c r="B952" s="164"/>
      <c r="C952" s="350"/>
      <c r="D952" s="349"/>
      <c r="E952" s="337"/>
      <c r="F952" s="164"/>
      <c r="G952" s="337"/>
      <c r="H952" s="164"/>
      <c r="I952" s="343"/>
      <c r="J952" s="183"/>
      <c r="K952" s="343"/>
      <c r="L952" s="183"/>
      <c r="M952" s="343"/>
      <c r="N952" s="183"/>
      <c r="O952" s="337"/>
      <c r="P952" s="164"/>
      <c r="Q952" s="201"/>
      <c r="R952" s="201"/>
      <c r="S952" s="17"/>
      <c r="T952" s="17"/>
      <c r="U952" s="17"/>
      <c r="V952" s="17"/>
      <c r="W952" s="17"/>
      <c r="X952" s="17"/>
      <c r="Y952" s="17"/>
      <c r="Z952" s="17"/>
    </row>
    <row r="953">
      <c r="A953" s="337"/>
      <c r="B953" s="164"/>
      <c r="C953" s="350"/>
      <c r="D953" s="349"/>
      <c r="E953" s="337"/>
      <c r="F953" s="164"/>
      <c r="G953" s="337"/>
      <c r="H953" s="164"/>
      <c r="I953" s="343"/>
      <c r="J953" s="183"/>
      <c r="K953" s="343"/>
      <c r="L953" s="183"/>
      <c r="M953" s="343"/>
      <c r="N953" s="183"/>
      <c r="O953" s="337"/>
      <c r="P953" s="164"/>
      <c r="Q953" s="201"/>
      <c r="R953" s="201"/>
      <c r="S953" s="17"/>
      <c r="T953" s="17"/>
      <c r="U953" s="17"/>
      <c r="V953" s="17"/>
      <c r="W953" s="17"/>
      <c r="X953" s="17"/>
      <c r="Y953" s="17"/>
      <c r="Z953" s="17"/>
    </row>
    <row r="954">
      <c r="A954" s="337"/>
      <c r="B954" s="164"/>
      <c r="C954" s="350"/>
      <c r="D954" s="349"/>
      <c r="E954" s="337"/>
      <c r="F954" s="164"/>
      <c r="G954" s="337"/>
      <c r="H954" s="164"/>
      <c r="I954" s="343"/>
      <c r="J954" s="183"/>
      <c r="K954" s="343"/>
      <c r="L954" s="183"/>
      <c r="M954" s="343"/>
      <c r="N954" s="183"/>
      <c r="O954" s="337"/>
      <c r="P954" s="164"/>
      <c r="Q954" s="201"/>
      <c r="R954" s="201"/>
      <c r="S954" s="17"/>
      <c r="T954" s="17"/>
      <c r="U954" s="17"/>
      <c r="V954" s="17"/>
      <c r="W954" s="17"/>
      <c r="X954" s="17"/>
      <c r="Y954" s="17"/>
      <c r="Z954" s="17"/>
    </row>
    <row r="955">
      <c r="A955" s="337"/>
      <c r="B955" s="164"/>
      <c r="C955" s="350"/>
      <c r="D955" s="349"/>
      <c r="E955" s="337"/>
      <c r="F955" s="164"/>
      <c r="G955" s="337"/>
      <c r="H955" s="164"/>
      <c r="I955" s="343"/>
      <c r="J955" s="183"/>
      <c r="K955" s="343"/>
      <c r="L955" s="183"/>
      <c r="M955" s="343"/>
      <c r="N955" s="183"/>
      <c r="O955" s="337"/>
      <c r="P955" s="164"/>
      <c r="Q955" s="201"/>
      <c r="R955" s="201"/>
      <c r="S955" s="17"/>
      <c r="T955" s="17"/>
      <c r="U955" s="17"/>
      <c r="V955" s="17"/>
      <c r="W955" s="17"/>
      <c r="X955" s="17"/>
      <c r="Y955" s="17"/>
      <c r="Z955" s="17"/>
    </row>
    <row r="956">
      <c r="A956" s="337"/>
      <c r="B956" s="164"/>
      <c r="C956" s="350"/>
      <c r="D956" s="349"/>
      <c r="E956" s="337"/>
      <c r="F956" s="164"/>
      <c r="G956" s="337"/>
      <c r="H956" s="164"/>
      <c r="I956" s="343"/>
      <c r="J956" s="183"/>
      <c r="K956" s="343"/>
      <c r="L956" s="183"/>
      <c r="M956" s="343"/>
      <c r="N956" s="183"/>
      <c r="O956" s="337"/>
      <c r="P956" s="164"/>
      <c r="Q956" s="201"/>
      <c r="R956" s="201"/>
      <c r="S956" s="17"/>
      <c r="T956" s="17"/>
      <c r="U956" s="17"/>
      <c r="V956" s="17"/>
      <c r="W956" s="17"/>
      <c r="X956" s="17"/>
      <c r="Y956" s="17"/>
      <c r="Z956" s="17"/>
    </row>
    <row r="957">
      <c r="A957" s="337"/>
      <c r="B957" s="164"/>
      <c r="C957" s="350"/>
      <c r="D957" s="349"/>
      <c r="E957" s="337"/>
      <c r="F957" s="164"/>
      <c r="G957" s="337"/>
      <c r="H957" s="164"/>
      <c r="I957" s="343"/>
      <c r="J957" s="183"/>
      <c r="K957" s="343"/>
      <c r="L957" s="183"/>
      <c r="M957" s="343"/>
      <c r="N957" s="183"/>
      <c r="O957" s="337"/>
      <c r="P957" s="164"/>
      <c r="Q957" s="201"/>
      <c r="R957" s="201"/>
      <c r="S957" s="17"/>
      <c r="T957" s="17"/>
      <c r="U957" s="17"/>
      <c r="V957" s="17"/>
      <c r="W957" s="17"/>
      <c r="X957" s="17"/>
      <c r="Y957" s="17"/>
      <c r="Z957" s="17"/>
    </row>
    <row r="958">
      <c r="A958" s="337"/>
      <c r="B958" s="164"/>
      <c r="C958" s="350"/>
      <c r="D958" s="349"/>
      <c r="E958" s="337"/>
      <c r="F958" s="164"/>
      <c r="G958" s="337"/>
      <c r="H958" s="164"/>
      <c r="I958" s="343"/>
      <c r="J958" s="183"/>
      <c r="K958" s="343"/>
      <c r="L958" s="183"/>
      <c r="M958" s="343"/>
      <c r="N958" s="183"/>
      <c r="O958" s="337"/>
      <c r="P958" s="164"/>
      <c r="Q958" s="201"/>
      <c r="R958" s="201"/>
      <c r="S958" s="17"/>
      <c r="T958" s="17"/>
      <c r="U958" s="17"/>
      <c r="V958" s="17"/>
      <c r="W958" s="17"/>
      <c r="X958" s="17"/>
      <c r="Y958" s="17"/>
      <c r="Z958" s="17"/>
    </row>
    <row r="959">
      <c r="A959" s="337"/>
      <c r="B959" s="164"/>
      <c r="C959" s="350"/>
      <c r="D959" s="349"/>
      <c r="E959" s="337"/>
      <c r="F959" s="164"/>
      <c r="G959" s="337"/>
      <c r="H959" s="164"/>
      <c r="I959" s="343"/>
      <c r="J959" s="183"/>
      <c r="K959" s="343"/>
      <c r="L959" s="183"/>
      <c r="M959" s="343"/>
      <c r="N959" s="183"/>
      <c r="O959" s="337"/>
      <c r="P959" s="164"/>
      <c r="Q959" s="201"/>
      <c r="R959" s="201"/>
      <c r="S959" s="17"/>
      <c r="T959" s="17"/>
      <c r="U959" s="17"/>
      <c r="V959" s="17"/>
      <c r="W959" s="17"/>
      <c r="X959" s="17"/>
      <c r="Y959" s="17"/>
      <c r="Z959" s="17"/>
    </row>
    <row r="960">
      <c r="A960" s="337"/>
      <c r="B960" s="164"/>
      <c r="C960" s="350"/>
      <c r="D960" s="349"/>
      <c r="E960" s="337"/>
      <c r="F960" s="164"/>
      <c r="G960" s="337"/>
      <c r="H960" s="164"/>
      <c r="I960" s="343"/>
      <c r="J960" s="183"/>
      <c r="K960" s="343"/>
      <c r="L960" s="183"/>
      <c r="M960" s="343"/>
      <c r="N960" s="183"/>
      <c r="O960" s="337"/>
      <c r="P960" s="164"/>
      <c r="Q960" s="201"/>
      <c r="R960" s="201"/>
      <c r="S960" s="17"/>
      <c r="T960" s="17"/>
      <c r="U960" s="17"/>
      <c r="V960" s="17"/>
      <c r="W960" s="17"/>
      <c r="X960" s="17"/>
      <c r="Y960" s="17"/>
      <c r="Z960" s="17"/>
    </row>
    <row r="961">
      <c r="A961" s="337"/>
      <c r="B961" s="164"/>
      <c r="C961" s="350"/>
      <c r="D961" s="349"/>
      <c r="E961" s="337"/>
      <c r="F961" s="164"/>
      <c r="G961" s="337"/>
      <c r="H961" s="164"/>
      <c r="I961" s="343"/>
      <c r="J961" s="183"/>
      <c r="K961" s="343"/>
      <c r="L961" s="183"/>
      <c r="M961" s="343"/>
      <c r="N961" s="183"/>
      <c r="O961" s="337"/>
      <c r="P961" s="164"/>
      <c r="Q961" s="201"/>
      <c r="R961" s="201"/>
      <c r="S961" s="17"/>
      <c r="T961" s="17"/>
      <c r="U961" s="17"/>
      <c r="V961" s="17"/>
      <c r="W961" s="17"/>
      <c r="X961" s="17"/>
      <c r="Y961" s="17"/>
      <c r="Z961" s="17"/>
    </row>
    <row r="962">
      <c r="A962" s="337"/>
      <c r="B962" s="164"/>
      <c r="C962" s="350"/>
      <c r="D962" s="349"/>
      <c r="E962" s="337"/>
      <c r="F962" s="164"/>
      <c r="G962" s="337"/>
      <c r="H962" s="164"/>
      <c r="I962" s="343"/>
      <c r="J962" s="183"/>
      <c r="K962" s="343"/>
      <c r="L962" s="183"/>
      <c r="M962" s="343"/>
      <c r="N962" s="183"/>
      <c r="O962" s="337"/>
      <c r="P962" s="164"/>
      <c r="Q962" s="201"/>
      <c r="R962" s="201"/>
      <c r="S962" s="17"/>
      <c r="T962" s="17"/>
      <c r="U962" s="17"/>
      <c r="V962" s="17"/>
      <c r="W962" s="17"/>
      <c r="X962" s="17"/>
      <c r="Y962" s="17"/>
      <c r="Z962" s="17"/>
    </row>
    <row r="963">
      <c r="A963" s="337"/>
      <c r="B963" s="164"/>
      <c r="C963" s="350"/>
      <c r="D963" s="349"/>
      <c r="E963" s="337"/>
      <c r="F963" s="164"/>
      <c r="G963" s="337"/>
      <c r="H963" s="164"/>
      <c r="I963" s="343"/>
      <c r="J963" s="183"/>
      <c r="K963" s="343"/>
      <c r="L963" s="183"/>
      <c r="M963" s="343"/>
      <c r="N963" s="183"/>
      <c r="O963" s="337"/>
      <c r="P963" s="164"/>
      <c r="Q963" s="201"/>
      <c r="R963" s="201"/>
      <c r="S963" s="17"/>
      <c r="T963" s="17"/>
      <c r="U963" s="17"/>
      <c r="V963" s="17"/>
      <c r="W963" s="17"/>
      <c r="X963" s="17"/>
      <c r="Y963" s="17"/>
      <c r="Z963" s="17"/>
    </row>
    <row r="964">
      <c r="A964" s="337"/>
      <c r="B964" s="164"/>
      <c r="C964" s="350"/>
      <c r="D964" s="349"/>
      <c r="E964" s="337"/>
      <c r="F964" s="164"/>
      <c r="G964" s="337"/>
      <c r="H964" s="164"/>
      <c r="I964" s="343"/>
      <c r="J964" s="183"/>
      <c r="K964" s="343"/>
      <c r="L964" s="183"/>
      <c r="M964" s="343"/>
      <c r="N964" s="183"/>
      <c r="O964" s="337"/>
      <c r="P964" s="164"/>
      <c r="Q964" s="201"/>
      <c r="R964" s="201"/>
      <c r="S964" s="17"/>
      <c r="T964" s="17"/>
      <c r="U964" s="17"/>
      <c r="V964" s="17"/>
      <c r="W964" s="17"/>
      <c r="X964" s="17"/>
      <c r="Y964" s="17"/>
      <c r="Z964" s="17"/>
    </row>
    <row r="965">
      <c r="A965" s="337"/>
      <c r="B965" s="164"/>
      <c r="C965" s="350"/>
      <c r="D965" s="349"/>
      <c r="E965" s="337"/>
      <c r="F965" s="164"/>
      <c r="G965" s="337"/>
      <c r="H965" s="164"/>
      <c r="I965" s="343"/>
      <c r="J965" s="183"/>
      <c r="K965" s="343"/>
      <c r="L965" s="183"/>
      <c r="M965" s="343"/>
      <c r="N965" s="183"/>
      <c r="O965" s="337"/>
      <c r="P965" s="164"/>
      <c r="Q965" s="201"/>
      <c r="R965" s="201"/>
      <c r="S965" s="17"/>
      <c r="T965" s="17"/>
      <c r="U965" s="17"/>
      <c r="V965" s="17"/>
      <c r="W965" s="17"/>
      <c r="X965" s="17"/>
      <c r="Y965" s="17"/>
      <c r="Z965" s="17"/>
    </row>
    <row r="966">
      <c r="A966" s="337"/>
      <c r="B966" s="164"/>
      <c r="C966" s="350"/>
      <c r="D966" s="349"/>
      <c r="E966" s="337"/>
      <c r="F966" s="164"/>
      <c r="G966" s="337"/>
      <c r="H966" s="164"/>
      <c r="I966" s="343"/>
      <c r="J966" s="183"/>
      <c r="K966" s="343"/>
      <c r="L966" s="183"/>
      <c r="M966" s="343"/>
      <c r="N966" s="183"/>
      <c r="O966" s="337"/>
      <c r="P966" s="164"/>
      <c r="Q966" s="201"/>
      <c r="R966" s="201"/>
      <c r="S966" s="17"/>
      <c r="T966" s="17"/>
      <c r="U966" s="17"/>
      <c r="V966" s="17"/>
      <c r="W966" s="17"/>
      <c r="X966" s="17"/>
      <c r="Y966" s="17"/>
      <c r="Z966" s="17"/>
    </row>
    <row r="967">
      <c r="A967" s="337"/>
      <c r="B967" s="164"/>
      <c r="C967" s="350"/>
      <c r="D967" s="349"/>
      <c r="E967" s="337"/>
      <c r="F967" s="164"/>
      <c r="G967" s="337"/>
      <c r="H967" s="164"/>
      <c r="I967" s="343"/>
      <c r="J967" s="183"/>
      <c r="K967" s="343"/>
      <c r="L967" s="183"/>
      <c r="M967" s="343"/>
      <c r="N967" s="183"/>
      <c r="O967" s="337"/>
      <c r="P967" s="164"/>
      <c r="Q967" s="201"/>
      <c r="R967" s="201"/>
      <c r="S967" s="17"/>
      <c r="T967" s="17"/>
      <c r="U967" s="17"/>
      <c r="V967" s="17"/>
      <c r="W967" s="17"/>
      <c r="X967" s="17"/>
      <c r="Y967" s="17"/>
      <c r="Z967" s="17"/>
    </row>
    <row r="968">
      <c r="A968" s="337"/>
      <c r="B968" s="164"/>
      <c r="C968" s="350"/>
      <c r="D968" s="349"/>
      <c r="E968" s="337"/>
      <c r="F968" s="164"/>
      <c r="G968" s="337"/>
      <c r="H968" s="164"/>
      <c r="I968" s="343"/>
      <c r="J968" s="183"/>
      <c r="K968" s="343"/>
      <c r="L968" s="183"/>
      <c r="M968" s="343"/>
      <c r="N968" s="183"/>
      <c r="O968" s="337"/>
      <c r="P968" s="164"/>
      <c r="Q968" s="201"/>
      <c r="R968" s="201"/>
      <c r="S968" s="17"/>
      <c r="T968" s="17"/>
      <c r="U968" s="17"/>
      <c r="V968" s="17"/>
      <c r="W968" s="17"/>
      <c r="X968" s="17"/>
      <c r="Y968" s="17"/>
      <c r="Z968" s="17"/>
    </row>
    <row r="969">
      <c r="A969" s="337"/>
      <c r="B969" s="164"/>
      <c r="C969" s="350"/>
      <c r="D969" s="349"/>
      <c r="E969" s="337"/>
      <c r="F969" s="164"/>
      <c r="G969" s="337"/>
      <c r="H969" s="164"/>
      <c r="I969" s="343"/>
      <c r="J969" s="183"/>
      <c r="K969" s="343"/>
      <c r="L969" s="183"/>
      <c r="M969" s="343"/>
      <c r="N969" s="183"/>
      <c r="O969" s="337"/>
      <c r="P969" s="164"/>
      <c r="Q969" s="201"/>
      <c r="R969" s="201"/>
      <c r="S969" s="17"/>
      <c r="T969" s="17"/>
      <c r="U969" s="17"/>
      <c r="V969" s="17"/>
      <c r="W969" s="17"/>
      <c r="X969" s="17"/>
      <c r="Y969" s="17"/>
      <c r="Z969" s="17"/>
    </row>
    <row r="970">
      <c r="A970" s="337"/>
      <c r="B970" s="164"/>
      <c r="C970" s="350"/>
      <c r="D970" s="349"/>
      <c r="E970" s="337"/>
      <c r="F970" s="164"/>
      <c r="G970" s="337"/>
      <c r="H970" s="164"/>
      <c r="I970" s="343"/>
      <c r="J970" s="183"/>
      <c r="K970" s="343"/>
      <c r="L970" s="183"/>
      <c r="M970" s="343"/>
      <c r="N970" s="183"/>
      <c r="O970" s="337"/>
      <c r="P970" s="164"/>
      <c r="Q970" s="201"/>
      <c r="R970" s="201"/>
      <c r="S970" s="17"/>
      <c r="T970" s="17"/>
      <c r="U970" s="17"/>
      <c r="V970" s="17"/>
      <c r="W970" s="17"/>
      <c r="X970" s="17"/>
      <c r="Y970" s="17"/>
      <c r="Z970" s="17"/>
    </row>
    <row r="971">
      <c r="A971" s="337"/>
      <c r="B971" s="164"/>
      <c r="C971" s="350"/>
      <c r="D971" s="349"/>
      <c r="E971" s="337"/>
      <c r="F971" s="164"/>
      <c r="G971" s="337"/>
      <c r="H971" s="164"/>
      <c r="I971" s="343"/>
      <c r="J971" s="183"/>
      <c r="K971" s="343"/>
      <c r="L971" s="183"/>
      <c r="M971" s="343"/>
      <c r="N971" s="183"/>
      <c r="O971" s="337"/>
      <c r="P971" s="164"/>
      <c r="Q971" s="201"/>
      <c r="R971" s="201"/>
      <c r="S971" s="17"/>
      <c r="T971" s="17"/>
      <c r="U971" s="17"/>
      <c r="V971" s="17"/>
      <c r="W971" s="17"/>
      <c r="X971" s="17"/>
      <c r="Y971" s="17"/>
      <c r="Z971" s="17"/>
    </row>
    <row r="972">
      <c r="A972" s="337"/>
      <c r="B972" s="164"/>
      <c r="C972" s="350"/>
      <c r="D972" s="349"/>
      <c r="E972" s="337"/>
      <c r="F972" s="164"/>
      <c r="G972" s="337"/>
      <c r="H972" s="164"/>
      <c r="I972" s="343"/>
      <c r="J972" s="183"/>
      <c r="K972" s="343"/>
      <c r="L972" s="183"/>
      <c r="M972" s="343"/>
      <c r="N972" s="183"/>
      <c r="O972" s="337"/>
      <c r="P972" s="164"/>
      <c r="Q972" s="201"/>
      <c r="R972" s="201"/>
      <c r="S972" s="17"/>
      <c r="T972" s="17"/>
      <c r="U972" s="17"/>
      <c r="V972" s="17"/>
      <c r="W972" s="17"/>
      <c r="X972" s="17"/>
      <c r="Y972" s="17"/>
      <c r="Z972" s="17"/>
    </row>
    <row r="973">
      <c r="A973" s="337"/>
      <c r="B973" s="164"/>
      <c r="C973" s="350"/>
      <c r="D973" s="349"/>
      <c r="E973" s="337"/>
      <c r="F973" s="164"/>
      <c r="G973" s="337"/>
      <c r="H973" s="164"/>
      <c r="I973" s="343"/>
      <c r="J973" s="183"/>
      <c r="K973" s="343"/>
      <c r="L973" s="183"/>
      <c r="M973" s="343"/>
      <c r="N973" s="183"/>
      <c r="O973" s="337"/>
      <c r="P973" s="164"/>
      <c r="Q973" s="201"/>
      <c r="R973" s="201"/>
      <c r="S973" s="17"/>
      <c r="T973" s="17"/>
      <c r="U973" s="17"/>
      <c r="V973" s="17"/>
      <c r="W973" s="17"/>
      <c r="X973" s="17"/>
      <c r="Y973" s="17"/>
      <c r="Z973" s="17"/>
    </row>
    <row r="974">
      <c r="A974" s="337"/>
      <c r="B974" s="164"/>
      <c r="C974" s="350"/>
      <c r="D974" s="349"/>
      <c r="E974" s="337"/>
      <c r="F974" s="164"/>
      <c r="G974" s="337"/>
      <c r="H974" s="164"/>
      <c r="I974" s="343"/>
      <c r="J974" s="183"/>
      <c r="K974" s="343"/>
      <c r="L974" s="183"/>
      <c r="M974" s="343"/>
      <c r="N974" s="183"/>
      <c r="O974" s="337"/>
      <c r="P974" s="164"/>
      <c r="Q974" s="201"/>
      <c r="R974" s="201"/>
      <c r="S974" s="17"/>
      <c r="T974" s="17"/>
      <c r="U974" s="17"/>
      <c r="V974" s="17"/>
      <c r="W974" s="17"/>
      <c r="X974" s="17"/>
      <c r="Y974" s="17"/>
      <c r="Z974" s="17"/>
    </row>
    <row r="975">
      <c r="A975" s="337"/>
      <c r="B975" s="164"/>
      <c r="C975" s="350"/>
      <c r="D975" s="349"/>
      <c r="E975" s="337"/>
      <c r="F975" s="164"/>
      <c r="G975" s="337"/>
      <c r="H975" s="164"/>
      <c r="I975" s="343"/>
      <c r="J975" s="183"/>
      <c r="K975" s="343"/>
      <c r="L975" s="183"/>
      <c r="M975" s="343"/>
      <c r="N975" s="183"/>
      <c r="O975" s="337"/>
      <c r="P975" s="164"/>
      <c r="Q975" s="201"/>
      <c r="R975" s="201"/>
      <c r="S975" s="17"/>
      <c r="T975" s="17"/>
      <c r="U975" s="17"/>
      <c r="V975" s="17"/>
      <c r="W975" s="17"/>
      <c r="X975" s="17"/>
      <c r="Y975" s="17"/>
      <c r="Z975" s="17"/>
    </row>
    <row r="976">
      <c r="A976" s="337"/>
      <c r="B976" s="164"/>
      <c r="C976" s="350"/>
      <c r="D976" s="349"/>
      <c r="E976" s="337"/>
      <c r="F976" s="164"/>
      <c r="G976" s="337"/>
      <c r="H976" s="164"/>
      <c r="I976" s="343"/>
      <c r="J976" s="183"/>
      <c r="K976" s="343"/>
      <c r="L976" s="183"/>
      <c r="M976" s="343"/>
      <c r="N976" s="183"/>
      <c r="O976" s="337"/>
      <c r="P976" s="164"/>
      <c r="Q976" s="201"/>
      <c r="R976" s="201"/>
      <c r="S976" s="17"/>
      <c r="T976" s="17"/>
      <c r="U976" s="17"/>
      <c r="V976" s="17"/>
      <c r="W976" s="17"/>
      <c r="X976" s="17"/>
      <c r="Y976" s="17"/>
      <c r="Z976" s="17"/>
    </row>
    <row r="977">
      <c r="A977" s="337"/>
      <c r="B977" s="164"/>
      <c r="C977" s="350"/>
      <c r="D977" s="349"/>
      <c r="E977" s="337"/>
      <c r="F977" s="164"/>
      <c r="G977" s="337"/>
      <c r="H977" s="164"/>
      <c r="I977" s="343"/>
      <c r="J977" s="183"/>
      <c r="K977" s="343"/>
      <c r="L977" s="183"/>
      <c r="M977" s="343"/>
      <c r="N977" s="183"/>
      <c r="O977" s="337"/>
      <c r="P977" s="164"/>
      <c r="Q977" s="201"/>
      <c r="R977" s="201"/>
      <c r="S977" s="17"/>
      <c r="T977" s="17"/>
      <c r="U977" s="17"/>
      <c r="V977" s="17"/>
      <c r="W977" s="17"/>
      <c r="X977" s="17"/>
      <c r="Y977" s="17"/>
      <c r="Z977" s="17"/>
    </row>
    <row r="978">
      <c r="A978" s="337"/>
      <c r="B978" s="164"/>
      <c r="C978" s="350"/>
      <c r="D978" s="349"/>
      <c r="E978" s="337"/>
      <c r="F978" s="164"/>
      <c r="G978" s="337"/>
      <c r="H978" s="164"/>
      <c r="I978" s="343"/>
      <c r="J978" s="183"/>
      <c r="K978" s="343"/>
      <c r="L978" s="183"/>
      <c r="M978" s="343"/>
      <c r="N978" s="183"/>
      <c r="O978" s="337"/>
      <c r="P978" s="164"/>
      <c r="Q978" s="201"/>
      <c r="R978" s="201"/>
      <c r="S978" s="17"/>
      <c r="T978" s="17"/>
      <c r="U978" s="17"/>
      <c r="V978" s="17"/>
      <c r="W978" s="17"/>
      <c r="X978" s="17"/>
      <c r="Y978" s="17"/>
      <c r="Z978" s="17"/>
    </row>
    <row r="979">
      <c r="A979" s="337"/>
      <c r="B979" s="164"/>
      <c r="C979" s="350"/>
      <c r="D979" s="349"/>
      <c r="E979" s="337"/>
      <c r="F979" s="164"/>
      <c r="G979" s="337"/>
      <c r="H979" s="164"/>
      <c r="I979" s="343"/>
      <c r="J979" s="183"/>
      <c r="K979" s="343"/>
      <c r="L979" s="183"/>
      <c r="M979" s="343"/>
      <c r="N979" s="183"/>
      <c r="O979" s="337"/>
      <c r="P979" s="164"/>
      <c r="Q979" s="201"/>
      <c r="R979" s="201"/>
      <c r="S979" s="17"/>
      <c r="T979" s="17"/>
      <c r="U979" s="17"/>
      <c r="V979" s="17"/>
      <c r="W979" s="17"/>
      <c r="X979" s="17"/>
      <c r="Y979" s="17"/>
      <c r="Z979" s="17"/>
    </row>
    <row r="980">
      <c r="A980" s="337"/>
      <c r="B980" s="164"/>
      <c r="C980" s="350"/>
      <c r="D980" s="349"/>
      <c r="E980" s="337"/>
      <c r="F980" s="164"/>
      <c r="G980" s="337"/>
      <c r="H980" s="164"/>
      <c r="I980" s="343"/>
      <c r="J980" s="183"/>
      <c r="K980" s="343"/>
      <c r="L980" s="183"/>
      <c r="M980" s="343"/>
      <c r="N980" s="183"/>
      <c r="O980" s="337"/>
      <c r="P980" s="164"/>
      <c r="Q980" s="201"/>
      <c r="R980" s="201"/>
      <c r="S980" s="17"/>
      <c r="T980" s="17"/>
      <c r="U980" s="17"/>
      <c r="V980" s="17"/>
      <c r="W980" s="17"/>
      <c r="X980" s="17"/>
      <c r="Y980" s="17"/>
      <c r="Z980" s="17"/>
    </row>
    <row r="981">
      <c r="A981" s="337"/>
      <c r="B981" s="164"/>
      <c r="C981" s="350"/>
      <c r="D981" s="349"/>
      <c r="E981" s="337"/>
      <c r="F981" s="164"/>
      <c r="G981" s="337"/>
      <c r="H981" s="164"/>
      <c r="I981" s="343"/>
      <c r="J981" s="183"/>
      <c r="K981" s="343"/>
      <c r="L981" s="183"/>
      <c r="M981" s="343"/>
      <c r="N981" s="183"/>
      <c r="O981" s="337"/>
      <c r="P981" s="164"/>
      <c r="Q981" s="201"/>
      <c r="R981" s="201"/>
      <c r="S981" s="17"/>
      <c r="T981" s="17"/>
      <c r="U981" s="17"/>
      <c r="V981" s="17"/>
      <c r="W981" s="17"/>
      <c r="X981" s="17"/>
      <c r="Y981" s="17"/>
      <c r="Z981" s="17"/>
    </row>
    <row r="982">
      <c r="A982" s="337"/>
      <c r="B982" s="164"/>
      <c r="C982" s="350"/>
      <c r="D982" s="349"/>
      <c r="E982" s="337"/>
      <c r="F982" s="164"/>
      <c r="G982" s="337"/>
      <c r="H982" s="164"/>
      <c r="I982" s="343"/>
      <c r="J982" s="183"/>
      <c r="K982" s="343"/>
      <c r="L982" s="183"/>
      <c r="M982" s="343"/>
      <c r="N982" s="183"/>
      <c r="O982" s="337"/>
      <c r="P982" s="164"/>
      <c r="Q982" s="201"/>
      <c r="R982" s="201"/>
      <c r="S982" s="17"/>
      <c r="T982" s="17"/>
      <c r="U982" s="17"/>
      <c r="V982" s="17"/>
      <c r="W982" s="17"/>
      <c r="X982" s="17"/>
      <c r="Y982" s="17"/>
      <c r="Z982" s="17"/>
    </row>
    <row r="983">
      <c r="A983" s="337"/>
      <c r="B983" s="164"/>
      <c r="C983" s="350"/>
      <c r="D983" s="349"/>
      <c r="E983" s="337"/>
      <c r="F983" s="164"/>
      <c r="G983" s="337"/>
      <c r="H983" s="164"/>
      <c r="I983" s="343"/>
      <c r="J983" s="183"/>
      <c r="K983" s="343"/>
      <c r="L983" s="183"/>
      <c r="M983" s="343"/>
      <c r="N983" s="183"/>
      <c r="O983" s="337"/>
      <c r="P983" s="164"/>
      <c r="Q983" s="201"/>
      <c r="R983" s="201"/>
      <c r="S983" s="17"/>
      <c r="T983" s="17"/>
      <c r="U983" s="17"/>
      <c r="V983" s="17"/>
      <c r="W983" s="17"/>
      <c r="X983" s="17"/>
      <c r="Y983" s="17"/>
      <c r="Z983" s="17"/>
    </row>
    <row r="984">
      <c r="A984" s="337"/>
      <c r="B984" s="164"/>
      <c r="C984" s="350"/>
      <c r="D984" s="349"/>
      <c r="E984" s="337"/>
      <c r="F984" s="164"/>
      <c r="G984" s="337"/>
      <c r="H984" s="164"/>
      <c r="I984" s="343"/>
      <c r="J984" s="183"/>
      <c r="K984" s="343"/>
      <c r="L984" s="183"/>
      <c r="M984" s="343"/>
      <c r="N984" s="183"/>
      <c r="O984" s="337"/>
      <c r="P984" s="164"/>
      <c r="Q984" s="201"/>
      <c r="R984" s="201"/>
      <c r="S984" s="17"/>
      <c r="T984" s="17"/>
      <c r="U984" s="17"/>
      <c r="V984" s="17"/>
      <c r="W984" s="17"/>
      <c r="X984" s="17"/>
      <c r="Y984" s="17"/>
      <c r="Z984" s="17"/>
    </row>
    <row r="985">
      <c r="A985" s="337"/>
      <c r="B985" s="164"/>
      <c r="C985" s="350"/>
      <c r="D985" s="349"/>
      <c r="E985" s="337"/>
      <c r="F985" s="164"/>
      <c r="G985" s="337"/>
      <c r="H985" s="164"/>
      <c r="I985" s="343"/>
      <c r="J985" s="183"/>
      <c r="K985" s="343"/>
      <c r="L985" s="183"/>
      <c r="M985" s="343"/>
      <c r="N985" s="183"/>
      <c r="O985" s="337"/>
      <c r="P985" s="164"/>
      <c r="Q985" s="201"/>
      <c r="R985" s="201"/>
      <c r="S985" s="17"/>
      <c r="T985" s="17"/>
      <c r="U985" s="17"/>
      <c r="V985" s="17"/>
      <c r="W985" s="17"/>
      <c r="X985" s="17"/>
      <c r="Y985" s="17"/>
      <c r="Z985" s="17"/>
    </row>
    <row r="986">
      <c r="A986" s="337"/>
      <c r="B986" s="164"/>
      <c r="C986" s="350"/>
      <c r="D986" s="349"/>
      <c r="E986" s="337"/>
      <c r="F986" s="164"/>
      <c r="G986" s="337"/>
      <c r="H986" s="164"/>
      <c r="I986" s="343"/>
      <c r="J986" s="183"/>
      <c r="K986" s="343"/>
      <c r="L986" s="183"/>
      <c r="M986" s="343"/>
      <c r="N986" s="183"/>
      <c r="O986" s="337"/>
      <c r="P986" s="164"/>
      <c r="Q986" s="201"/>
      <c r="R986" s="201"/>
      <c r="S986" s="17"/>
      <c r="T986" s="17"/>
      <c r="U986" s="17"/>
      <c r="V986" s="17"/>
      <c r="W986" s="17"/>
      <c r="X986" s="17"/>
      <c r="Y986" s="17"/>
      <c r="Z986" s="17"/>
    </row>
    <row r="987">
      <c r="A987" s="337"/>
      <c r="B987" s="164"/>
      <c r="C987" s="350"/>
      <c r="D987" s="349"/>
      <c r="E987" s="337"/>
      <c r="F987" s="164"/>
      <c r="G987" s="337"/>
      <c r="H987" s="164"/>
      <c r="I987" s="343"/>
      <c r="J987" s="183"/>
      <c r="K987" s="343"/>
      <c r="L987" s="183"/>
      <c r="M987" s="343"/>
      <c r="N987" s="183"/>
      <c r="O987" s="337"/>
      <c r="P987" s="164"/>
      <c r="Q987" s="201"/>
      <c r="R987" s="201"/>
      <c r="S987" s="17"/>
      <c r="T987" s="17"/>
      <c r="U987" s="17"/>
      <c r="V987" s="17"/>
      <c r="W987" s="17"/>
      <c r="X987" s="17"/>
      <c r="Y987" s="17"/>
      <c r="Z987" s="17"/>
    </row>
    <row r="988">
      <c r="A988" s="337"/>
      <c r="B988" s="164"/>
      <c r="C988" s="350"/>
      <c r="D988" s="349"/>
      <c r="E988" s="337"/>
      <c r="F988" s="164"/>
      <c r="G988" s="337"/>
      <c r="H988" s="164"/>
      <c r="I988" s="343"/>
      <c r="J988" s="183"/>
      <c r="K988" s="343"/>
      <c r="L988" s="183"/>
      <c r="M988" s="343"/>
      <c r="N988" s="183"/>
      <c r="O988" s="337"/>
      <c r="P988" s="164"/>
      <c r="Q988" s="201"/>
      <c r="R988" s="201"/>
      <c r="S988" s="17"/>
      <c r="T988" s="17"/>
      <c r="U988" s="17"/>
      <c r="V988" s="17"/>
      <c r="W988" s="17"/>
      <c r="X988" s="17"/>
      <c r="Y988" s="17"/>
      <c r="Z988" s="17"/>
    </row>
    <row r="989">
      <c r="A989" s="337"/>
      <c r="B989" s="164"/>
      <c r="C989" s="350"/>
      <c r="D989" s="349"/>
      <c r="E989" s="337"/>
      <c r="F989" s="164"/>
      <c r="G989" s="337"/>
      <c r="H989" s="164"/>
      <c r="I989" s="343"/>
      <c r="J989" s="183"/>
      <c r="K989" s="343"/>
      <c r="L989" s="183"/>
      <c r="M989" s="343"/>
      <c r="N989" s="183"/>
      <c r="O989" s="337"/>
      <c r="P989" s="164"/>
      <c r="Q989" s="201"/>
      <c r="R989" s="201"/>
      <c r="S989" s="17"/>
      <c r="T989" s="17"/>
      <c r="U989" s="17"/>
      <c r="V989" s="17"/>
      <c r="W989" s="17"/>
      <c r="X989" s="17"/>
      <c r="Y989" s="17"/>
      <c r="Z989" s="17"/>
    </row>
    <row r="990">
      <c r="A990" s="337"/>
      <c r="B990" s="164"/>
      <c r="C990" s="350"/>
      <c r="D990" s="349"/>
      <c r="E990" s="337"/>
      <c r="F990" s="164"/>
      <c r="G990" s="337"/>
      <c r="H990" s="164"/>
      <c r="I990" s="343"/>
      <c r="J990" s="183"/>
      <c r="K990" s="343"/>
      <c r="L990" s="183"/>
      <c r="M990" s="343"/>
      <c r="N990" s="183"/>
      <c r="O990" s="337"/>
      <c r="P990" s="164"/>
      <c r="Q990" s="201"/>
      <c r="R990" s="201"/>
      <c r="S990" s="17"/>
      <c r="T990" s="17"/>
      <c r="U990" s="17"/>
      <c r="V990" s="17"/>
      <c r="W990" s="17"/>
      <c r="X990" s="17"/>
      <c r="Y990" s="17"/>
      <c r="Z990" s="17"/>
    </row>
    <row r="991">
      <c r="A991" s="337"/>
      <c r="B991" s="164"/>
      <c r="C991" s="350"/>
      <c r="D991" s="349"/>
      <c r="E991" s="337"/>
      <c r="F991" s="164"/>
      <c r="G991" s="337"/>
      <c r="H991" s="164"/>
      <c r="I991" s="343"/>
      <c r="J991" s="183"/>
      <c r="K991" s="343"/>
      <c r="L991" s="183"/>
      <c r="M991" s="343"/>
      <c r="N991" s="183"/>
      <c r="O991" s="337"/>
      <c r="P991" s="164"/>
      <c r="Q991" s="201"/>
      <c r="R991" s="201"/>
      <c r="S991" s="17"/>
      <c r="T991" s="17"/>
      <c r="U991" s="17"/>
      <c r="V991" s="17"/>
      <c r="W991" s="17"/>
      <c r="X991" s="17"/>
      <c r="Y991" s="17"/>
      <c r="Z991" s="17"/>
    </row>
    <row r="992">
      <c r="A992" s="337"/>
      <c r="B992" s="164"/>
      <c r="C992" s="350"/>
      <c r="D992" s="349"/>
      <c r="E992" s="337"/>
      <c r="F992" s="164"/>
      <c r="G992" s="337"/>
      <c r="H992" s="164"/>
      <c r="I992" s="343"/>
      <c r="J992" s="183"/>
      <c r="K992" s="343"/>
      <c r="L992" s="183"/>
      <c r="M992" s="343"/>
      <c r="N992" s="183"/>
      <c r="O992" s="337"/>
      <c r="P992" s="164"/>
      <c r="Q992" s="201"/>
      <c r="R992" s="201"/>
      <c r="S992" s="17"/>
      <c r="T992" s="17"/>
      <c r="U992" s="17"/>
      <c r="V992" s="17"/>
      <c r="W992" s="17"/>
      <c r="X992" s="17"/>
      <c r="Y992" s="17"/>
      <c r="Z992" s="17"/>
    </row>
    <row r="993">
      <c r="A993" s="337"/>
      <c r="B993" s="164"/>
      <c r="C993" s="350"/>
      <c r="D993" s="349"/>
      <c r="E993" s="337"/>
      <c r="F993" s="164"/>
      <c r="G993" s="337"/>
      <c r="H993" s="164"/>
      <c r="I993" s="343"/>
      <c r="J993" s="183"/>
      <c r="K993" s="343"/>
      <c r="L993" s="183"/>
      <c r="M993" s="343"/>
      <c r="N993" s="183"/>
      <c r="O993" s="337"/>
      <c r="P993" s="164"/>
      <c r="Q993" s="201"/>
      <c r="R993" s="201"/>
      <c r="S993" s="17"/>
      <c r="T993" s="17"/>
      <c r="U993" s="17"/>
      <c r="V993" s="17"/>
      <c r="W993" s="17"/>
      <c r="X993" s="17"/>
      <c r="Y993" s="17"/>
      <c r="Z993" s="17"/>
    </row>
    <row r="994">
      <c r="A994" s="337"/>
      <c r="B994" s="164"/>
      <c r="C994" s="350"/>
      <c r="D994" s="349"/>
      <c r="E994" s="337"/>
      <c r="F994" s="164"/>
      <c r="G994" s="337"/>
      <c r="H994" s="164"/>
      <c r="I994" s="343"/>
      <c r="J994" s="183"/>
      <c r="K994" s="343"/>
      <c r="L994" s="183"/>
      <c r="M994" s="343"/>
      <c r="N994" s="183"/>
      <c r="O994" s="337"/>
      <c r="P994" s="164"/>
      <c r="Q994" s="201"/>
      <c r="R994" s="201"/>
      <c r="S994" s="17"/>
      <c r="T994" s="17"/>
      <c r="U994" s="17"/>
      <c r="V994" s="17"/>
      <c r="W994" s="17"/>
      <c r="X994" s="17"/>
      <c r="Y994" s="17"/>
      <c r="Z994" s="17"/>
    </row>
    <row r="995">
      <c r="A995" s="337"/>
      <c r="B995" s="164"/>
      <c r="C995" s="350"/>
      <c r="D995" s="349"/>
      <c r="E995" s="337"/>
      <c r="F995" s="164"/>
      <c r="G995" s="337"/>
      <c r="H995" s="164"/>
      <c r="I995" s="343"/>
      <c r="J995" s="183"/>
      <c r="K995" s="343"/>
      <c r="L995" s="183"/>
      <c r="M995" s="343"/>
      <c r="N995" s="183"/>
      <c r="O995" s="337"/>
      <c r="P995" s="164"/>
      <c r="Q995" s="201"/>
      <c r="R995" s="201"/>
      <c r="S995" s="17"/>
      <c r="T995" s="17"/>
      <c r="U995" s="17"/>
      <c r="V995" s="17"/>
      <c r="W995" s="17"/>
      <c r="X995" s="17"/>
      <c r="Y995" s="17"/>
      <c r="Z995" s="17"/>
    </row>
    <row r="996">
      <c r="A996" s="337"/>
      <c r="B996" s="164"/>
      <c r="C996" s="350"/>
      <c r="D996" s="349"/>
      <c r="E996" s="337"/>
      <c r="F996" s="164"/>
      <c r="G996" s="337"/>
      <c r="H996" s="164"/>
      <c r="I996" s="343"/>
      <c r="J996" s="183"/>
      <c r="K996" s="343"/>
      <c r="L996" s="183"/>
      <c r="M996" s="343"/>
      <c r="N996" s="183"/>
      <c r="O996" s="337"/>
      <c r="P996" s="164"/>
      <c r="Q996" s="201"/>
      <c r="R996" s="201"/>
      <c r="S996" s="17"/>
      <c r="T996" s="17"/>
      <c r="U996" s="17"/>
      <c r="V996" s="17"/>
      <c r="W996" s="17"/>
      <c r="X996" s="17"/>
      <c r="Y996" s="17"/>
      <c r="Z996" s="17"/>
    </row>
    <row r="997">
      <c r="A997" s="337"/>
      <c r="B997" s="164"/>
      <c r="C997" s="350"/>
      <c r="D997" s="349"/>
      <c r="E997" s="337"/>
      <c r="F997" s="164"/>
      <c r="G997" s="337"/>
      <c r="H997" s="164"/>
      <c r="I997" s="343"/>
      <c r="J997" s="183"/>
      <c r="K997" s="343"/>
      <c r="L997" s="183"/>
      <c r="M997" s="343"/>
      <c r="N997" s="183"/>
      <c r="O997" s="337"/>
      <c r="P997" s="164"/>
      <c r="Q997" s="201"/>
      <c r="R997" s="201"/>
      <c r="S997" s="17"/>
      <c r="T997" s="17"/>
      <c r="U997" s="17"/>
      <c r="V997" s="17"/>
      <c r="W997" s="17"/>
      <c r="X997" s="17"/>
      <c r="Y997" s="17"/>
      <c r="Z997" s="17"/>
    </row>
    <row r="998">
      <c r="A998" s="337"/>
      <c r="B998" s="164"/>
      <c r="C998" s="350"/>
      <c r="D998" s="349"/>
      <c r="E998" s="337"/>
      <c r="F998" s="164"/>
      <c r="G998" s="337"/>
      <c r="H998" s="164"/>
      <c r="I998" s="343"/>
      <c r="J998" s="183"/>
      <c r="K998" s="343"/>
      <c r="L998" s="183"/>
      <c r="M998" s="343"/>
      <c r="N998" s="183"/>
      <c r="O998" s="337"/>
      <c r="P998" s="164"/>
      <c r="Q998" s="201"/>
      <c r="R998" s="201"/>
      <c r="S998" s="17"/>
      <c r="T998" s="17"/>
      <c r="U998" s="17"/>
      <c r="V998" s="17"/>
      <c r="W998" s="17"/>
      <c r="X998" s="17"/>
      <c r="Y998" s="17"/>
      <c r="Z998" s="17"/>
    </row>
    <row r="999">
      <c r="A999" s="337"/>
      <c r="B999" s="164"/>
      <c r="C999" s="350"/>
      <c r="D999" s="349"/>
      <c r="E999" s="337"/>
      <c r="F999" s="164"/>
      <c r="G999" s="337"/>
      <c r="H999" s="164"/>
      <c r="I999" s="343"/>
      <c r="J999" s="183"/>
      <c r="K999" s="343"/>
      <c r="L999" s="183"/>
      <c r="M999" s="343"/>
      <c r="N999" s="183"/>
      <c r="O999" s="337"/>
      <c r="P999" s="164"/>
      <c r="Q999" s="201"/>
      <c r="R999" s="201"/>
      <c r="S999" s="17"/>
      <c r="T999" s="17"/>
      <c r="U999" s="17"/>
      <c r="V999" s="17"/>
      <c r="W999" s="17"/>
      <c r="X999" s="17"/>
      <c r="Y999" s="17"/>
      <c r="Z999" s="17"/>
    </row>
    <row r="1000">
      <c r="A1000" s="337"/>
      <c r="B1000" s="164"/>
      <c r="C1000" s="350"/>
      <c r="D1000" s="349"/>
      <c r="E1000" s="337"/>
      <c r="F1000" s="164"/>
      <c r="G1000" s="337"/>
      <c r="H1000" s="164"/>
      <c r="I1000" s="343"/>
      <c r="J1000" s="183"/>
      <c r="K1000" s="343"/>
      <c r="L1000" s="183"/>
      <c r="M1000" s="343"/>
      <c r="N1000" s="183"/>
      <c r="O1000" s="337"/>
      <c r="P1000" s="164"/>
      <c r="Q1000" s="201"/>
      <c r="R1000" s="201"/>
      <c r="S1000" s="17"/>
      <c r="T1000" s="17"/>
      <c r="U1000" s="17"/>
      <c r="V1000" s="17"/>
      <c r="W1000" s="17"/>
      <c r="X1000" s="17"/>
      <c r="Y1000" s="17"/>
      <c r="Z1000" s="17"/>
    </row>
    <row r="1001">
      <c r="A1001" s="337"/>
      <c r="B1001" s="164"/>
      <c r="C1001" s="350"/>
      <c r="D1001" s="349"/>
      <c r="E1001" s="337"/>
      <c r="F1001" s="164"/>
      <c r="G1001" s="337"/>
      <c r="H1001" s="164"/>
      <c r="I1001" s="343"/>
      <c r="J1001" s="183"/>
      <c r="K1001" s="343"/>
      <c r="L1001" s="183"/>
      <c r="M1001" s="343"/>
      <c r="N1001" s="183"/>
      <c r="O1001" s="337"/>
      <c r="P1001" s="164"/>
      <c r="Q1001" s="337"/>
      <c r="R1001" s="164"/>
      <c r="S1001" s="17"/>
      <c r="T1001" s="17"/>
      <c r="U1001" s="17"/>
      <c r="V1001" s="17"/>
      <c r="W1001" s="17"/>
      <c r="X1001" s="17"/>
      <c r="Y1001" s="17"/>
      <c r="Z1001" s="17"/>
    </row>
    <row r="1002">
      <c r="A1002" s="337"/>
      <c r="B1002" s="164"/>
      <c r="C1002" s="350"/>
      <c r="D1002" s="349"/>
      <c r="E1002" s="337"/>
      <c r="F1002" s="164"/>
      <c r="G1002" s="337"/>
      <c r="H1002" s="164"/>
      <c r="I1002" s="343"/>
      <c r="J1002" s="183"/>
      <c r="K1002" s="343"/>
      <c r="L1002" s="183"/>
      <c r="M1002" s="343"/>
      <c r="N1002" s="183"/>
      <c r="O1002" s="337"/>
      <c r="P1002" s="164"/>
      <c r="Q1002" s="337"/>
      <c r="R1002" s="164"/>
      <c r="S1002" s="17"/>
      <c r="T1002" s="17"/>
      <c r="U1002" s="17"/>
      <c r="V1002" s="17"/>
      <c r="W1002" s="17"/>
      <c r="X1002" s="17"/>
      <c r="Y1002" s="17"/>
      <c r="Z1002" s="17"/>
    </row>
    <row r="1003">
      <c r="A1003" s="337"/>
      <c r="B1003" s="164"/>
      <c r="C1003" s="350"/>
      <c r="D1003" s="349"/>
      <c r="E1003" s="337"/>
      <c r="F1003" s="164"/>
      <c r="G1003" s="337"/>
      <c r="H1003" s="164"/>
      <c r="I1003" s="343"/>
      <c r="J1003" s="183"/>
      <c r="K1003" s="343"/>
      <c r="L1003" s="183"/>
      <c r="M1003" s="343"/>
      <c r="N1003" s="183"/>
      <c r="O1003" s="337"/>
      <c r="P1003" s="164"/>
      <c r="Q1003" s="337"/>
      <c r="R1003" s="164"/>
      <c r="S1003" s="17"/>
      <c r="T1003" s="17"/>
      <c r="U1003" s="17"/>
      <c r="V1003" s="17"/>
      <c r="W1003" s="17"/>
      <c r="X1003" s="17"/>
      <c r="Y1003" s="17"/>
      <c r="Z1003" s="17"/>
    </row>
    <row r="1004">
      <c r="A1004" s="337"/>
      <c r="B1004" s="164"/>
      <c r="C1004" s="350"/>
      <c r="D1004" s="349"/>
      <c r="E1004" s="337"/>
      <c r="F1004" s="164"/>
      <c r="G1004" s="337"/>
      <c r="H1004" s="164"/>
      <c r="I1004" s="343"/>
      <c r="J1004" s="183"/>
      <c r="K1004" s="343"/>
      <c r="L1004" s="183"/>
      <c r="M1004" s="343"/>
      <c r="N1004" s="183"/>
      <c r="O1004" s="337"/>
      <c r="P1004" s="164"/>
      <c r="Q1004" s="337"/>
      <c r="R1004" s="164"/>
      <c r="S1004" s="17"/>
      <c r="T1004" s="17"/>
      <c r="U1004" s="17"/>
      <c r="V1004" s="17"/>
      <c r="W1004" s="17"/>
      <c r="X1004" s="17"/>
      <c r="Y1004" s="17"/>
      <c r="Z1004" s="17"/>
    </row>
    <row r="1005">
      <c r="A1005" s="337"/>
      <c r="B1005" s="164"/>
      <c r="C1005" s="350"/>
      <c r="D1005" s="349"/>
      <c r="E1005" s="337"/>
      <c r="F1005" s="164"/>
      <c r="G1005" s="337"/>
      <c r="H1005" s="164"/>
      <c r="I1005" s="343"/>
      <c r="J1005" s="183"/>
      <c r="K1005" s="343"/>
      <c r="L1005" s="183"/>
      <c r="M1005" s="343"/>
      <c r="N1005" s="183"/>
      <c r="O1005" s="337"/>
      <c r="P1005" s="164"/>
      <c r="Q1005" s="337"/>
      <c r="R1005" s="164"/>
      <c r="S1005" s="17"/>
      <c r="T1005" s="17"/>
      <c r="U1005" s="17"/>
      <c r="V1005" s="17"/>
      <c r="W1005" s="17"/>
      <c r="X1005" s="17"/>
      <c r="Y1005" s="17"/>
      <c r="Z1005" s="17"/>
    </row>
    <row r="1006">
      <c r="A1006" s="337"/>
      <c r="B1006" s="164"/>
      <c r="C1006" s="350"/>
      <c r="D1006" s="349"/>
      <c r="E1006" s="337"/>
      <c r="F1006" s="164"/>
      <c r="G1006" s="337"/>
      <c r="H1006" s="164"/>
      <c r="I1006" s="343"/>
      <c r="J1006" s="183"/>
      <c r="K1006" s="343"/>
      <c r="L1006" s="183"/>
      <c r="M1006" s="343"/>
      <c r="N1006" s="183"/>
      <c r="O1006" s="337"/>
      <c r="P1006" s="164"/>
      <c r="Q1006" s="337"/>
      <c r="R1006" s="164"/>
      <c r="S1006" s="17"/>
      <c r="T1006" s="17"/>
      <c r="U1006" s="17"/>
      <c r="V1006" s="17"/>
      <c r="W1006" s="17"/>
      <c r="X1006" s="17"/>
      <c r="Y1006" s="17"/>
      <c r="Z1006" s="17"/>
    </row>
    <row r="1007">
      <c r="A1007" s="337"/>
      <c r="B1007" s="164"/>
      <c r="C1007" s="350"/>
      <c r="D1007" s="349"/>
      <c r="E1007" s="337"/>
      <c r="F1007" s="164"/>
      <c r="G1007" s="337"/>
      <c r="H1007" s="164"/>
      <c r="I1007" s="343"/>
      <c r="J1007" s="183"/>
      <c r="K1007" s="343"/>
      <c r="L1007" s="183"/>
      <c r="M1007" s="343"/>
      <c r="N1007" s="183"/>
      <c r="O1007" s="337"/>
      <c r="P1007" s="164"/>
      <c r="Q1007" s="337"/>
      <c r="R1007" s="164"/>
      <c r="S1007" s="17"/>
      <c r="T1007" s="17"/>
      <c r="U1007" s="17"/>
      <c r="V1007" s="17"/>
      <c r="W1007" s="17"/>
      <c r="X1007" s="17"/>
      <c r="Y1007" s="17"/>
      <c r="Z1007" s="17"/>
    </row>
    <row r="1008">
      <c r="A1008" s="337"/>
      <c r="B1008" s="164"/>
      <c r="C1008" s="350"/>
      <c r="D1008" s="349"/>
      <c r="E1008" s="337"/>
      <c r="F1008" s="164"/>
      <c r="G1008" s="337"/>
      <c r="H1008" s="164"/>
      <c r="I1008" s="343"/>
      <c r="J1008" s="183"/>
      <c r="K1008" s="343"/>
      <c r="L1008" s="183"/>
      <c r="M1008" s="343"/>
      <c r="N1008" s="183"/>
      <c r="O1008" s="337"/>
      <c r="P1008" s="164"/>
      <c r="Q1008" s="337"/>
      <c r="R1008" s="164"/>
      <c r="S1008" s="17"/>
      <c r="T1008" s="17"/>
      <c r="U1008" s="17"/>
      <c r="V1008" s="17"/>
      <c r="W1008" s="17"/>
      <c r="X1008" s="17"/>
      <c r="Y1008" s="17"/>
      <c r="Z1008" s="17"/>
    </row>
  </sheetData>
  <mergeCells count="9">
    <mergeCell ref="O1:P2"/>
    <mergeCell ref="Q1:R2"/>
    <mergeCell ref="A1:B2"/>
    <mergeCell ref="C1:D2"/>
    <mergeCell ref="E1:F2"/>
    <mergeCell ref="G1:H2"/>
    <mergeCell ref="I1:J2"/>
    <mergeCell ref="K1:L2"/>
    <mergeCell ref="M1:N2"/>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36.88"/>
    <col customWidth="1" min="3" max="3" width="13.63"/>
    <col customWidth="1" min="4" max="4" width="36.88"/>
    <col customWidth="1" min="5" max="5" width="13.63"/>
    <col customWidth="1" min="6" max="6" width="36.88"/>
    <col customWidth="1" min="7" max="7" width="14.0"/>
    <col customWidth="1" min="8" max="8" width="37.13"/>
    <col customWidth="1" min="9" max="9" width="14.0"/>
    <col customWidth="1" min="10" max="10" width="37.13"/>
    <col customWidth="1" min="11" max="11" width="14.0"/>
    <col customWidth="1" min="12" max="12" width="37.13"/>
    <col customWidth="1" min="13" max="13" width="14.0"/>
    <col customWidth="1" min="14" max="14" width="37.13"/>
    <col customWidth="1" min="15" max="15" width="14.0"/>
    <col customWidth="1" min="16" max="16" width="37.13"/>
    <col customWidth="1" min="17" max="17" width="15.0"/>
    <col customWidth="1" min="18" max="18" width="36.88"/>
  </cols>
  <sheetData>
    <row r="1">
      <c r="A1" s="57" t="s">
        <v>213</v>
      </c>
      <c r="C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E1" s="57" t="s">
        <v>5547</v>
      </c>
      <c r="G1" s="57"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I1" s="58"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K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M1" s="5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O1" s="300"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Q1" s="360" t="s">
        <v>5548</v>
      </c>
      <c r="S1" s="302"/>
      <c r="T1" s="302"/>
      <c r="U1" s="302"/>
      <c r="V1" s="302"/>
    </row>
    <row r="2">
      <c r="A2" s="330" t="s">
        <v>5549</v>
      </c>
      <c r="B2" s="72" t="s">
        <v>5550</v>
      </c>
      <c r="C2" s="330" t="str">
        <f>IFERROR(__xludf.DUMMYFUNCTION("GOOGLETRANSLATE(A2,""zh-tw"",""ja"")"),"小道具名")</f>
        <v>小道具名</v>
      </c>
      <c r="D2" s="72" t="str">
        <f>IFERROR(__xludf.DUMMYFUNCTION("GOOGLETRANSLATE(B2,""zh-tw"",""ja"")"),"効果")</f>
        <v>効果</v>
      </c>
      <c r="E2" s="332" t="str">
        <f>IFERROR(__xludf.DUMMYFUNCTION("GOOGLETRANSLATE(A2,""zh-tw"",""en"")"),"Prop name")</f>
        <v>Prop name</v>
      </c>
      <c r="F2" s="69" t="str">
        <f>IFERROR(__xludf.DUMMYFUNCTION("GOOGLETRANSLATE(B2,""zh-tw"",""en"")"),"Effect")</f>
        <v>Effect</v>
      </c>
      <c r="G2" s="330" t="str">
        <f>IFERROR(__xludf.DUMMYFUNCTION("GOOGLETRANSLATE(A2,""zh-tw"",""zh"")"),"道具名称")</f>
        <v>道具名称</v>
      </c>
      <c r="H2" s="72" t="str">
        <f>IFERROR(__xludf.DUMMYFUNCTION("GOOGLETRANSLATE(B2,""zh-tw"",""zh"")"),"效果")</f>
        <v>效果</v>
      </c>
      <c r="I2" s="331" t="str">
        <f>IFERROR(__xludf.DUMMYFUNCTION("GOOGLETRANSLATE(A2,""zh-tw"",""es-MX"")"),"Nombre de la propiedad")</f>
        <v>Nombre de la propiedad</v>
      </c>
      <c r="J2" s="34" t="str">
        <f>IFERROR(__xludf.DUMMYFUNCTION("GOOGLETRANSLATE(B2,""zh-tw"",""es-MX"")"),"Efecto")</f>
        <v>Efecto</v>
      </c>
      <c r="K2" s="331" t="str">
        <f>IFERROR(__xludf.DUMMYFUNCTION("GOOGLETRANSLATE(A2,""zh-tw"",""KO"")"),"소품 이름")</f>
        <v>소품 이름</v>
      </c>
      <c r="L2" s="34" t="str">
        <f>IFERROR(__xludf.DUMMYFUNCTION("GOOGLETRANSLATE(B2,""zh-tw"",""KO"")"),"효과")</f>
        <v>효과</v>
      </c>
      <c r="M2" s="331" t="str">
        <f>IFERROR(__xludf.DUMMYFUNCTION("GOOGLETRANSLATE(A2,""zh-tw"",""ru"")"),"Имя реквизита")</f>
        <v>Имя реквизита</v>
      </c>
      <c r="N2" s="34" t="str">
        <f>IFERROR(__xludf.DUMMYFUNCTION("GOOGLETRANSLATE(B2,""zh-tw"",""ru"")"),"Эффект")</f>
        <v>Эффект</v>
      </c>
      <c r="O2" s="330" t="s">
        <v>5551</v>
      </c>
      <c r="P2" s="72" t="s">
        <v>5552</v>
      </c>
      <c r="Q2" s="361" t="s">
        <v>5553</v>
      </c>
      <c r="R2" s="362" t="s">
        <v>5554</v>
      </c>
      <c r="S2" s="363"/>
      <c r="T2" s="363"/>
      <c r="U2" s="363"/>
      <c r="V2" s="363"/>
    </row>
    <row r="3">
      <c r="A3" s="335" t="s">
        <v>5555</v>
      </c>
      <c r="B3" s="163" t="s">
        <v>5556</v>
      </c>
      <c r="C3" s="335" t="s">
        <v>5557</v>
      </c>
      <c r="D3" s="163" t="s">
        <v>5558</v>
      </c>
      <c r="E3" s="335" t="s">
        <v>5559</v>
      </c>
      <c r="F3" s="163" t="s">
        <v>5560</v>
      </c>
      <c r="G3" s="335" t="str">
        <f>IFERROR(__xludf.DUMMYFUNCTION("GOOGLETRANSLATE(A3,""zh-tw"",""zh"")"),"好喝的牛奶")</f>
        <v>好喝的牛奶</v>
      </c>
      <c r="H3" s="163" t="str">
        <f>IFERROR(__xludf.DUMMYFUNCTION("GOOGLETRANSLATE(B3,""zh-tw"",""zh"")"),"回复体力120，自动回复效果")</f>
        <v>回复体力120，自动回复效果</v>
      </c>
      <c r="I3" s="337" t="str">
        <f>IFERROR(__xludf.DUMMYFUNCTION("GOOGLETRANSLATE(A3,""zh-tw"",""es-MX"")"),"Leche deliciosa")</f>
        <v>Leche deliciosa</v>
      </c>
      <c r="J3" s="164" t="str">
        <f>IFERROR(__xludf.DUMMYFUNCTION("GOOGLETRANSLATE(B3,""zh-tw"",""es-MX"")"),"Restaura 120 de resistencia; efecto de recuperación automática de resistencia.")</f>
        <v>Restaura 120 de resistencia; efecto de recuperación automática de resistencia.</v>
      </c>
      <c r="K3" s="337" t="str">
        <f>IFERROR(__xludf.DUMMYFUNCTION("GOOGLETRANSLATE(A3,""zh-tw"",""KO"")"),"맛있는 우유")</f>
        <v>맛있는 우유</v>
      </c>
      <c r="L3" s="163" t="s">
        <v>5561</v>
      </c>
      <c r="M3" s="337" t="str">
        <f>IFERROR(__xludf.DUMMYFUNCTION("GOOGLETRANSLATE(A3,""zh-tw"",""ru"")"),"Вкусное молоко")</f>
        <v>Вкусное молоко</v>
      </c>
      <c r="N3" s="164" t="str">
        <f>IFERROR(__xludf.DUMMYFUNCTION("GOOGLETRANSLATE(B3,""zh-tw"",""ru"")"),"Восстанавливает 120 единиц выносливости; эффект автоматического восстановления выносливости.")</f>
        <v>Восстанавливает 120 единиц выносливости; эффект автоматического восстановления выносливости.</v>
      </c>
      <c r="O3" s="335" t="s">
        <v>5562</v>
      </c>
      <c r="P3" s="163" t="s">
        <v>5563</v>
      </c>
      <c r="Q3" s="342" t="s">
        <v>5564</v>
      </c>
      <c r="R3" s="166" t="s">
        <v>5565</v>
      </c>
      <c r="S3" s="17"/>
      <c r="T3" s="17"/>
      <c r="U3" s="17"/>
      <c r="V3" s="17"/>
    </row>
    <row r="4">
      <c r="A4" s="335" t="s">
        <v>5566</v>
      </c>
      <c r="B4" s="163" t="s">
        <v>5567</v>
      </c>
      <c r="C4" s="335" t="s">
        <v>5568</v>
      </c>
      <c r="D4" s="163" t="s">
        <v>5569</v>
      </c>
      <c r="E4" s="335" t="s">
        <v>5570</v>
      </c>
      <c r="F4" s="163" t="s">
        <v>5571</v>
      </c>
      <c r="G4" s="335" t="str">
        <f>IFERROR(__xludf.DUMMYFUNCTION("GOOGLETRANSLATE(A4,""zh-tw"",""zh"")"),"胡萝卜牛奶")</f>
        <v>胡萝卜牛奶</v>
      </c>
      <c r="H4" s="163" t="str">
        <f>IFERROR(__xludf.DUMMYFUNCTION("GOOGLETRANSLATE(B4,""zh-tw"",""zh"")"),"回复体力75，消除异常")</f>
        <v>回复体力75，消除异常</v>
      </c>
      <c r="I4" s="337" t="str">
        <f>IFERROR(__xludf.DUMMYFUNCTION("GOOGLETRANSLATE(A4,""zh-tw"",""es-MX"")"),"Leche de zanahoria")</f>
        <v>Leche de zanahoria</v>
      </c>
      <c r="J4" s="164" t="str">
        <f>IFERROR(__xludf.DUMMYFUNCTION("GOOGLETRANSLATE(B4,""zh-tw"",""es-MX"")"),"Restaura 75 de resistencia y elimina el estado anormal.")</f>
        <v>Restaura 75 de resistencia y elimina el estado anormal.</v>
      </c>
      <c r="K4" s="337" t="str">
        <f>IFERROR(__xludf.DUMMYFUNCTION("GOOGLETRANSLATE(A4,""zh-tw"",""KO"")"),"당근 우유")</f>
        <v>당근 우유</v>
      </c>
      <c r="L4" s="163" t="s">
        <v>5572</v>
      </c>
      <c r="M4" s="337" t="str">
        <f>IFERROR(__xludf.DUMMYFUNCTION("GOOGLETRANSLATE(A4,""zh-tw"",""ru"")"),"Морковное молоко")</f>
        <v>Морковное молоко</v>
      </c>
      <c r="N4" s="164" t="str">
        <f>IFERROR(__xludf.DUMMYFUNCTION("GOOGLETRANSLATE(B4,""zh-tw"",""ru"")"),"Восстанавливает 75 единиц выносливости и снимает аномальное состояние.")</f>
        <v>Восстанавливает 75 единиц выносливости и снимает аномальное состояние.</v>
      </c>
      <c r="O4" s="335" t="s">
        <v>5573</v>
      </c>
      <c r="P4" s="163" t="s">
        <v>5574</v>
      </c>
      <c r="Q4" s="342" t="s">
        <v>5575</v>
      </c>
      <c r="R4" s="166" t="s">
        <v>5576</v>
      </c>
      <c r="S4" s="17"/>
      <c r="T4" s="17"/>
      <c r="U4" s="17"/>
      <c r="V4" s="17"/>
    </row>
    <row r="5">
      <c r="A5" s="335" t="s">
        <v>5577</v>
      </c>
      <c r="B5" s="163" t="s">
        <v>5578</v>
      </c>
      <c r="C5" s="335" t="s">
        <v>5579</v>
      </c>
      <c r="D5" s="163" t="s">
        <v>5580</v>
      </c>
      <c r="E5" s="335" t="s">
        <v>5581</v>
      </c>
      <c r="F5" s="163" t="s">
        <v>5582</v>
      </c>
      <c r="G5" s="335" t="str">
        <f>IFERROR(__xludf.DUMMYFUNCTION("GOOGLETRANSLATE(A5,""zh-tw"",""zh"")"),"草莓味牛奶")</f>
        <v>草莓味牛奶</v>
      </c>
      <c r="H5" s="163" t="str">
        <f>IFERROR(__xludf.DUMMYFUNCTION("GOOGLETRANSLATE(B5,""zh-tw"",""zh"")"),"回复体力75，提高50%攻击")</f>
        <v>回复体力75，提高50%攻击</v>
      </c>
      <c r="I5" s="337" t="str">
        <f>IFERROR(__xludf.DUMMYFUNCTION("GOOGLETRANSLATE(A5,""zh-tw"",""es-MX"")"),"Leche de fresa")</f>
        <v>Leche de fresa</v>
      </c>
      <c r="J5" s="164" t="str">
        <f>IFERROR(__xludf.DUMMYFUNCTION("GOOGLETRANSLATE(B5,""zh-tw"",""es-MX"")"),"Restaura 75 puntos de resistencia y aumenta el ataque en un 50%.")</f>
        <v>Restaura 75 puntos de resistencia y aumenta el ataque en un 50%.</v>
      </c>
      <c r="K5" s="335" t="s">
        <v>5583</v>
      </c>
      <c r="L5" s="164" t="str">
        <f>IFERROR(__xludf.DUMMYFUNCTION("GOOGLETRANSLATE(B5,""zh-tw"",""KO"")"),"체력을 75 회복하고 공격력을 50% 증가시킵니다.")</f>
        <v>체력을 75 회복하고 공격력을 50% 증가시킵니다.</v>
      </c>
      <c r="M5" s="337" t="str">
        <f>IFERROR(__xludf.DUMMYFUNCTION("GOOGLETRANSLATE(A5,""zh-tw"",""ru"")"),"Клубничное молоко")</f>
        <v>Клубничное молоко</v>
      </c>
      <c r="N5" s="164" t="str">
        <f>IFERROR(__xludf.DUMMYFUNCTION("GOOGLETRANSLATE(B5,""zh-tw"",""ru"")"),"Восстанавливает 75 единиц выносливости и увеличивает атаку на 50%.")</f>
        <v>Восстанавливает 75 единиц выносливости и увеличивает атаку на 50%.</v>
      </c>
      <c r="O5" s="335" t="s">
        <v>5584</v>
      </c>
      <c r="P5" s="163" t="s">
        <v>5585</v>
      </c>
      <c r="Q5" s="342" t="s">
        <v>5586</v>
      </c>
      <c r="R5" s="166" t="s">
        <v>5587</v>
      </c>
      <c r="S5" s="17"/>
      <c r="T5" s="17"/>
      <c r="U5" s="17"/>
      <c r="V5" s="17"/>
    </row>
    <row r="6">
      <c r="A6" s="335" t="s">
        <v>5588</v>
      </c>
      <c r="B6" s="163" t="s">
        <v>5589</v>
      </c>
      <c r="C6" s="335" t="s">
        <v>5590</v>
      </c>
      <c r="D6" s="163" t="s">
        <v>5591</v>
      </c>
      <c r="E6" s="335" t="s">
        <v>5592</v>
      </c>
      <c r="F6" s="163" t="s">
        <v>5593</v>
      </c>
      <c r="G6" s="335" t="str">
        <f>IFERROR(__xludf.DUMMYFUNCTION("GOOGLETRANSLATE(A6,""zh-tw"",""zh"")"),"蜜瓜味牛奶")</f>
        <v>蜜瓜味牛奶</v>
      </c>
      <c r="H6" s="163" t="str">
        <f>IFERROR(__xludf.DUMMYFUNCTION("GOOGLETRANSLATE(B6,""zh-tw"",""zh"")"),"回复体力75，提高50%魔力")</f>
        <v>回复体力75，提高50%魔力</v>
      </c>
      <c r="I6" s="337" t="str">
        <f>IFERROR(__xludf.DUMMYFUNCTION("GOOGLETRANSLATE(A6,""zh-tw"",""es-MX"")"),"leche con sabor a melón dulce")</f>
        <v>leche con sabor a melón dulce</v>
      </c>
      <c r="J6" s="164" t="str">
        <f>IFERROR(__xludf.DUMMYFUNCTION("GOOGLETRANSLATE(B6,""zh-tw"",""es-MX"")"),"Restaura 75 puntos de resistencia y aumenta el poder mágico en un 50%.")</f>
        <v>Restaura 75 puntos de resistencia y aumenta el poder mágico en un 50%.</v>
      </c>
      <c r="K6" s="335" t="s">
        <v>5594</v>
      </c>
      <c r="L6" s="164" t="str">
        <f>IFERROR(__xludf.DUMMYFUNCTION("GOOGLETRANSLATE(B6,""zh-tw"",""KO"")"),"체력을 75 회복하고 마법력을 50% 증가시킵니다.")</f>
        <v>체력을 75 회복하고 마법력을 50% 증가시킵니다.</v>
      </c>
      <c r="M6" s="337" t="str">
        <f>IFERROR(__xludf.DUMMYFUNCTION("GOOGLETRANSLATE(A6,""zh-tw"",""ru"")"),"Молоко со вкусом дыни Honeydew")</f>
        <v>Молоко со вкусом дыни Honeydew</v>
      </c>
      <c r="N6" s="164" t="str">
        <f>IFERROR(__xludf.DUMMYFUNCTION("GOOGLETRANSLATE(B6,""zh-tw"",""ru"")"),"Восстанавливает 75 единиц выносливости и увеличивает магическую силу на 50%.")</f>
        <v>Восстанавливает 75 единиц выносливости и увеличивает магическую силу на 50%.</v>
      </c>
      <c r="O6" s="335" t="s">
        <v>5595</v>
      </c>
      <c r="P6" s="163" t="s">
        <v>5596</v>
      </c>
      <c r="Q6" s="342" t="s">
        <v>5597</v>
      </c>
      <c r="R6" s="166" t="s">
        <v>5598</v>
      </c>
      <c r="S6" s="17"/>
      <c r="T6" s="17"/>
      <c r="U6" s="17"/>
      <c r="V6" s="17"/>
    </row>
    <row r="7">
      <c r="A7" s="335" t="s">
        <v>5599</v>
      </c>
      <c r="B7" s="163" t="s">
        <v>5600</v>
      </c>
      <c r="C7" s="335" t="s">
        <v>5601</v>
      </c>
      <c r="D7" s="163" t="s">
        <v>5602</v>
      </c>
      <c r="E7" s="335" t="s">
        <v>5603</v>
      </c>
      <c r="F7" s="163" t="s">
        <v>5604</v>
      </c>
      <c r="G7" s="335" t="str">
        <f>IFERROR(__xludf.DUMMYFUNCTION("GOOGLETRANSLATE(A7,""zh-tw"",""zh"")"),"香蕉味牛奶")</f>
        <v>香蕉味牛奶</v>
      </c>
      <c r="H7" s="163" t="str">
        <f>IFERROR(__xludf.DUMMYFUNCTION("GOOGLETRANSLATE(B7,""zh-tw"",""zh"")"),"回复体力75，移速增强")</f>
        <v>回复体力75，移速增强</v>
      </c>
      <c r="I7" s="337" t="str">
        <f>IFERROR(__xludf.DUMMYFUNCTION("GOOGLETRANSLATE(A7,""zh-tw"",""es-MX"")"),"leche con sabor a plátano")</f>
        <v>leche con sabor a plátano</v>
      </c>
      <c r="J7" s="164" t="str">
        <f>IFERROR(__xludf.DUMMYFUNCTION("GOOGLETRANSLATE(B7,""zh-tw"",""es-MX"")"),"Restaura 75 puntos de resistencia y aumenta la velocidad de movimiento.")</f>
        <v>Restaura 75 puntos de resistencia y aumenta la velocidad de movimiento.</v>
      </c>
      <c r="K7" s="337" t="str">
        <f>IFERROR(__xludf.DUMMYFUNCTION("GOOGLETRANSLATE(A7,""zh-tw"",""KO"")"),"바나나맛 우유")</f>
        <v>바나나맛 우유</v>
      </c>
      <c r="L7" s="163" t="s">
        <v>5605</v>
      </c>
      <c r="M7" s="337" t="str">
        <f>IFERROR(__xludf.DUMMYFUNCTION("GOOGLETRANSLATE(A7,""zh-tw"",""ru"")"),"Банановое молоко")</f>
        <v>Банановое молоко</v>
      </c>
      <c r="N7" s="164" t="str">
        <f>IFERROR(__xludf.DUMMYFUNCTION("GOOGLETRANSLATE(B7,""zh-tw"",""ru"")"),"Восстанавливает 75 единиц выносливости и увеличивает скорость передвижения.")</f>
        <v>Восстанавливает 75 единиц выносливости и увеличивает скорость передвижения.</v>
      </c>
      <c r="O7" s="335" t="s">
        <v>5606</v>
      </c>
      <c r="P7" s="163" t="s">
        <v>5607</v>
      </c>
      <c r="Q7" s="342" t="s">
        <v>5608</v>
      </c>
      <c r="R7" s="166" t="s">
        <v>5609</v>
      </c>
      <c r="S7" s="17"/>
      <c r="T7" s="17"/>
      <c r="U7" s="17"/>
      <c r="V7" s="17"/>
    </row>
    <row r="8">
      <c r="A8" s="335" t="s">
        <v>5610</v>
      </c>
      <c r="B8" s="163" t="s">
        <v>5611</v>
      </c>
      <c r="C8" s="335" t="s">
        <v>5612</v>
      </c>
      <c r="D8" s="163" t="s">
        <v>5613</v>
      </c>
      <c r="E8" s="335" t="s">
        <v>5614</v>
      </c>
      <c r="F8" s="163" t="s">
        <v>5615</v>
      </c>
      <c r="G8" s="335" t="str">
        <f>IFERROR(__xludf.DUMMYFUNCTION("GOOGLETRANSLATE(A8,""zh-tw"",""zh"")"),"巧克力牛奶")</f>
        <v>巧克力牛奶</v>
      </c>
      <c r="H8" s="163" t="str">
        <f>IFERROR(__xludf.DUMMYFUNCTION("GOOGLETRANSLATE(B8,""zh-tw"",""zh"")"),"回复体力78，霸体效果
(未实装)")</f>
        <v>回复体力78，霸体效果
(未实装)</v>
      </c>
      <c r="I8" s="337" t="str">
        <f>IFERROR(__xludf.DUMMYFUNCTION("GOOGLETRANSLATE(A8,""zh-tw"",""es-MX"")"),"Leche con chocolate")</f>
        <v>Leche con chocolate</v>
      </c>
      <c r="J8" s="164" t="str">
        <f>IFERROR(__xludf.DUMMYFUNCTION("GOOGLETRANSLATE(B8,""zh-tw"",""es-MX"")"),"Restaura 78 puntos de resistencia y otorga invulnerabilidad.
(Aún no implementado)")</f>
        <v>Restaura 78 puntos de resistencia y otorga invulnerabilidad.
(Aún no implementado)</v>
      </c>
      <c r="K8" s="335" t="s">
        <v>5616</v>
      </c>
      <c r="L8" s="164" t="str">
        <f>IFERROR(__xludf.DUMMYFUNCTION("GOOGLETRANSLATE(B8,""zh-tw"",""KO"")"),"78의 체력을 회복하고 무적 효과를 부여합니다.
(아직 구현되지 않음)")</f>
        <v>78의 체력을 회복하고 무적 효과를 부여합니다.
(아직 구현되지 않음)</v>
      </c>
      <c r="M8" s="337" t="str">
        <f>IFERROR(__xludf.DUMMYFUNCTION("GOOGLETRANSLATE(A8,""zh-tw"",""ru"")"),"Шоколадное молоко")</f>
        <v>Шоколадное молоко</v>
      </c>
      <c r="N8" s="164" t="str">
        <f>IFERROR(__xludf.DUMMYFUNCTION("GOOGLETRANSLATE(B8,""zh-tw"",""ru"")"),"Восстанавливает 78 единиц выносливости, даёт эффект неуязвимости
(Пока не реализовано)")</f>
        <v>Восстанавливает 78 единиц выносливости, даёт эффект неуязвимости
(Пока не реализовано)</v>
      </c>
      <c r="O8" s="335" t="s">
        <v>5617</v>
      </c>
      <c r="P8" s="163" t="s">
        <v>5618</v>
      </c>
      <c r="Q8" s="342" t="s">
        <v>5619</v>
      </c>
      <c r="R8" s="166" t="s">
        <v>5620</v>
      </c>
      <c r="S8" s="17"/>
      <c r="T8" s="17"/>
      <c r="U8" s="17"/>
      <c r="V8" s="17"/>
    </row>
    <row r="9">
      <c r="A9" s="335" t="s">
        <v>5621</v>
      </c>
      <c r="B9" s="163" t="s">
        <v>5622</v>
      </c>
      <c r="C9" s="335" t="s">
        <v>5623</v>
      </c>
      <c r="D9" s="163" t="s">
        <v>5624</v>
      </c>
      <c r="E9" s="335" t="s">
        <v>5625</v>
      </c>
      <c r="F9" s="163" t="s">
        <v>5626</v>
      </c>
      <c r="G9" s="335" t="str">
        <f>IFERROR(__xludf.DUMMYFUNCTION("GOOGLETRANSLATE(A9,""zh-tw"",""zh"")"),"逆流可乐")</f>
        <v>逆流可乐</v>
      </c>
      <c r="H9" s="163" t="str">
        <f>IFERROR(__xludf.DUMMYFUNCTION("GOOGLETRANSLATE(B9,""zh-tw"",""zh"")"),"(战斗效果未实装)")</f>
        <v>(战斗效果未实装)</v>
      </c>
      <c r="I9" s="335" t="s">
        <v>5625</v>
      </c>
      <c r="J9" s="164" t="str">
        <f>IFERROR(__xludf.DUMMYFUNCTION("GOOGLETRANSLATE(B9,""zh-tw"",""es-MX"")"),"(Efectos de combate aún no implementados)")</f>
        <v>(Efectos de combate aún no implementados)</v>
      </c>
      <c r="K9" s="335" t="s">
        <v>5627</v>
      </c>
      <c r="L9" s="164" t="str">
        <f>IFERROR(__xludf.DUMMYFUNCTION("GOOGLETRANSLATE(B9,""zh-tw"",""KO"")"),"(전투 효과는 아직 구현되지 않았습니다)")</f>
        <v>(전투 효과는 아직 구현되지 않았습니다)</v>
      </c>
      <c r="M9" s="337" t="str">
        <f>IFERROR(__xludf.DUMMYFUNCTION("GOOGLETRANSLATE(A9,""zh-tw"",""ru"")"),"Обратная кола")</f>
        <v>Обратная кола</v>
      </c>
      <c r="N9" s="164" t="str">
        <f>IFERROR(__xludf.DUMMYFUNCTION("GOOGLETRANSLATE(B9,""zh-tw"",""ru"")"),"(Боевые эффекты пока не реализованы)")</f>
        <v>(Боевые эффекты пока не реализованы)</v>
      </c>
      <c r="O9" s="335" t="s">
        <v>5625</v>
      </c>
      <c r="P9" s="163" t="s">
        <v>5628</v>
      </c>
      <c r="Q9" s="342" t="s">
        <v>5625</v>
      </c>
      <c r="R9" s="166" t="s">
        <v>5629</v>
      </c>
      <c r="S9" s="17"/>
      <c r="T9" s="17"/>
      <c r="U9" s="17"/>
      <c r="V9" s="17"/>
    </row>
    <row r="10">
      <c r="A10" s="335" t="s">
        <v>5630</v>
      </c>
      <c r="B10" s="163" t="s">
        <v>5631</v>
      </c>
      <c r="C10" s="335" t="s">
        <v>5632</v>
      </c>
      <c r="D10" s="163" t="s">
        <v>5633</v>
      </c>
      <c r="E10" s="335" t="s">
        <v>5634</v>
      </c>
      <c r="F10" s="163" t="s">
        <v>5635</v>
      </c>
      <c r="G10" s="335" t="str">
        <f>IFERROR(__xludf.DUMMYFUNCTION("GOOGLETRANSLATE(A10,""zh-tw"",""zh"")"),"粉色金平糖")</f>
        <v>粉色金平糖</v>
      </c>
      <c r="H10" s="163" t="str">
        <f>IFERROR(__xludf.DUMMYFUNCTION("GOOGLETRANSLATE(B10,""zh-tw"",""zh"")"),"使妹妹处于发情状态
哥哥会处于兴奋状态
(哥哥未实装)")</f>
        <v>使妹妹处于发情状态
哥哥会处于兴奋状态
(哥哥未实装)</v>
      </c>
      <c r="I10" s="337" t="str">
        <f>IFERROR(__xludf.DUMMYFUNCTION("GOOGLETRANSLATE(A10,""zh-tw"",""es-MX"")"),"Konpeito rosa")</f>
        <v>Konpeito rosa</v>
      </c>
      <c r="J10" s="164" t="str">
        <f>IFERROR(__xludf.DUMMYFUNCTION("GOOGLETRANSLATE(B10,""zh-tw"",""es-MX"")"),"Provocar el celo en la hermana menor excitará al hermano mayor.
(El hermano mayor aún no está implementado).")</f>
        <v>Provocar el celo en la hermana menor excitará al hermano mayor.
(El hermano mayor aún no está implementado).</v>
      </c>
      <c r="K10" s="335" t="s">
        <v>5636</v>
      </c>
      <c r="L10" s="163" t="s">
        <v>5637</v>
      </c>
      <c r="M10" s="337" t="str">
        <f>IFERROR(__xludf.DUMMYFUNCTION("GOOGLETRANSLATE(A10,""zh-tw"",""ru"")"),"Розовый Конпейто")</f>
        <v>Розовый Конпейто</v>
      </c>
      <c r="N10" s="164" t="str">
        <f>IFERROR(__xludf.DUMMYFUNCTION("GOOGLETRANSLATE(B10,""zh-tw"",""ru"")"),"Если младшая сестра войдет в состояние течки, старший брат войдет в состояние возбуждения.
(Старший брат пока не реализован.)")</f>
        <v>Если младшая сестра войдет в состояние течки, старший брат войдет в состояние возбуждения.
(Старший брат пока не реализован.)</v>
      </c>
      <c r="O10" s="335" t="s">
        <v>5638</v>
      </c>
      <c r="P10" s="163" t="s">
        <v>5639</v>
      </c>
      <c r="Q10" s="342" t="s">
        <v>5640</v>
      </c>
      <c r="R10" s="166" t="s">
        <v>5641</v>
      </c>
      <c r="S10" s="17"/>
      <c r="T10" s="17"/>
      <c r="U10" s="17"/>
      <c r="V10" s="17"/>
    </row>
    <row r="11">
      <c r="A11" s="335" t="s">
        <v>5642</v>
      </c>
      <c r="B11" s="163" t="s">
        <v>5643</v>
      </c>
      <c r="C11" s="335" t="s">
        <v>5644</v>
      </c>
      <c r="D11" s="163" t="s">
        <v>5645</v>
      </c>
      <c r="E11" s="335" t="s">
        <v>5646</v>
      </c>
      <c r="F11" s="163" t="s">
        <v>5647</v>
      </c>
      <c r="G11" s="335" t="str">
        <f>IFERROR(__xludf.DUMMYFUNCTION("GOOGLETRANSLATE(A11,""zh-tw"",""zh"")"),"蓝色金平糖")</f>
        <v>蓝色金平糖</v>
      </c>
      <c r="H11" s="163" t="str">
        <f>IFERROR(__xludf.DUMMYFUNCTION("GOOGLETRANSLATE(B11,""zh-tw"",""zh"")"),"使妹妹嗜睡(和肉料理可叠加)
哥哥会降低兴奋度
喂食两颗妹妹立即犯困，当晚睡眠品质会非常好。  ")</f>
        <v>使妹妹嗜睡(和肉料理可叠加)
哥哥会降低兴奋度
喂食两颗妹妹立即犯困，当晚睡眠品质会非常好。  </v>
      </c>
      <c r="I11" s="337" t="str">
        <f>IFERROR(__xludf.DUMMYFUNCTION("GOOGLETRANSLATE(A11,""zh-tw"",""es-MX"")"),"Konpeito azul")</f>
        <v>Konpeito azul</v>
      </c>
      <c r="J11" s="164" t="str">
        <f>IFERROR(__xludf.DUMMYFUNCTION("GOOGLETRANSLATE(B11,""zh-tw"",""es-MX"")"),"Hace que la hermana pequeña tenga sueño (se puede combinar con platos de carne). Reduce el nivel de excitación del hermano mayor. Si le das dos pastillas a la hermana pequeña, tendrá sueño inmediatamente y dormirá muy bien esa noche.")</f>
        <v>Hace que la hermana pequeña tenga sueño (se puede combinar con platos de carne). Reduce el nivel de excitación del hermano mayor. Si le das dos pastillas a la hermana pequeña, tendrá sueño inmediatamente y dormirá muy bien esa noche.</v>
      </c>
      <c r="K11" s="335" t="s">
        <v>5648</v>
      </c>
      <c r="L11" s="163" t="s">
        <v>5649</v>
      </c>
      <c r="M11" s="337" t="str">
        <f>IFERROR(__xludf.DUMMYFUNCTION("GOOGLETRANSLATE(A11,""zh-tw"",""ru"")"),"Синий Конпейто")</f>
        <v>Синий Конпейто</v>
      </c>
      <c r="N11" s="164" t="str">
        <f>IFERROR(__xludf.DUMMYFUNCTION("GOOGLETRANSLATE(B11,""zh-tw"",""ru"")"),"Вызывает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f>
        <v>Вызывает сонливость у младшей сестры (можно сочетать с мясными блюдами). Снижает уровень возбуждения старшего брата. Если дать младшей сестре две таблетки, она сразу же уснет, и ночью будет спать очень хорошо.</v>
      </c>
      <c r="O11" s="335" t="s">
        <v>5650</v>
      </c>
      <c r="P11" s="163" t="s">
        <v>5651</v>
      </c>
      <c r="Q11" s="342" t="s">
        <v>5652</v>
      </c>
      <c r="R11" s="166" t="s">
        <v>5653</v>
      </c>
      <c r="S11" s="17"/>
      <c r="T11" s="17"/>
      <c r="U11" s="17"/>
      <c r="V11" s="17"/>
    </row>
    <row r="12">
      <c r="A12" s="335" t="s">
        <v>5654</v>
      </c>
      <c r="B12" s="163" t="s">
        <v>5655</v>
      </c>
      <c r="C12" s="335" t="s">
        <v>5656</v>
      </c>
      <c r="D12" s="163" t="s">
        <v>594</v>
      </c>
      <c r="E12" s="335" t="s">
        <v>5657</v>
      </c>
      <c r="F12" s="163" t="s">
        <v>5658</v>
      </c>
      <c r="G12" s="335" t="str">
        <f>IFERROR(__xludf.DUMMYFUNCTION("GOOGLETRANSLATE(A12,""zh-tw"",""zh"")"),"绿色金平糖")</f>
        <v>绿色金平糖</v>
      </c>
      <c r="H12" s="163" t="str">
        <f>IFERROR(__xludf.DUMMYFUNCTION("GOOGLETRANSLATE(B12,""zh-tw"",""zh"")"),"效果未实装")</f>
        <v>效果未实装</v>
      </c>
      <c r="I12" s="337" t="str">
        <f>IFERROR(__xludf.DUMMYFUNCTION("GOOGLETRANSLATE(A12,""zh-tw"",""es-MX"")"),"Kinpeito verde")</f>
        <v>Kinpeito verde</v>
      </c>
      <c r="J12" s="164" t="str">
        <f>IFERROR(__xludf.DUMMYFUNCTION("GOOGLETRANSLATE(B12,""zh-tw"",""es-MX"")"),"El efecto no se ha implementado.")</f>
        <v>El efecto no se ha implementado.</v>
      </c>
      <c r="K12" s="335" t="s">
        <v>5659</v>
      </c>
      <c r="L12" s="164" t="str">
        <f>IFERROR(__xludf.DUMMYFUNCTION("GOOGLETRANSLATE(B12,""zh-tw"",""KO"")"),"해당 효과가 구현되지 않았습니다.")</f>
        <v>해당 효과가 구현되지 않았습니다.</v>
      </c>
      <c r="M12" s="337" t="str">
        <f>IFERROR(__xludf.DUMMYFUNCTION("GOOGLETRANSLATE(A12,""zh-tw"",""ru"")"),"Зеленый Кинпэйто")</f>
        <v>Зеленый Кинпэйто</v>
      </c>
      <c r="N12" s="164" t="str">
        <f>IFERROR(__xludf.DUMMYFUNCTION("GOOGLETRANSLATE(B12,""zh-tw"",""ru"")"),"Эффект не был реализован.")</f>
        <v>Эффект не был реализован.</v>
      </c>
      <c r="O12" s="335" t="s">
        <v>5660</v>
      </c>
      <c r="P12" s="163" t="s">
        <v>2480</v>
      </c>
      <c r="Q12" s="342" t="s">
        <v>5661</v>
      </c>
      <c r="R12" s="166" t="s">
        <v>5662</v>
      </c>
      <c r="S12" s="17"/>
      <c r="T12" s="17"/>
      <c r="U12" s="17"/>
      <c r="V12" s="17"/>
    </row>
    <row r="13">
      <c r="A13" s="335" t="s">
        <v>5663</v>
      </c>
      <c r="B13" s="163" t="s">
        <v>5664</v>
      </c>
      <c r="C13" s="335" t="s">
        <v>5665</v>
      </c>
      <c r="D13" s="163" t="s">
        <v>5666</v>
      </c>
      <c r="E13" s="335" t="s">
        <v>5667</v>
      </c>
      <c r="F13" s="163" t="s">
        <v>5668</v>
      </c>
      <c r="G13" s="335" t="str">
        <f>IFERROR(__xludf.DUMMYFUNCTION("GOOGLETRANSLATE(A13,""zh-tw"",""zh"")"),"天上之石碎片")</f>
        <v>天上之石碎片</v>
      </c>
      <c r="H13" s="163" t="str">
        <f>IFERROR(__xludf.DUMMYFUNCTION("GOOGLETRANSLATE(B13,""zh-tw"",""zh"")"),"治愈妹妹或者增加哥哥的状态")</f>
        <v>治愈妹妹或者增加哥哥的状态</v>
      </c>
      <c r="I13" s="337" t="str">
        <f>IFERROR(__xludf.DUMMYFUNCTION("GOOGLETRANSLATE(A13,""zh-tw"",""es-MX"")"),"Fragmentos de la Piedra Celestial")</f>
        <v>Fragmentos de la Piedra Celestial</v>
      </c>
      <c r="J13" s="164" t="str">
        <f>IFERROR(__xludf.DUMMYFUNCTION("GOOGLETRANSLATE(B13,""zh-tw"",""es-MX"")"),"Cura a la hermana menor o mejora la condición del hermano mayor")</f>
        <v>Cura a la hermana menor o mejora la condición del hermano mayor</v>
      </c>
      <c r="K13" s="337" t="str">
        <f>IFERROR(__xludf.DUMMYFUNCTION("GOOGLETRANSLATE(A13,""zh-tw"",""KO"")"),"천상의 돌 조각들")</f>
        <v>천상의 돌 조각들</v>
      </c>
      <c r="L13" s="163" t="s">
        <v>5669</v>
      </c>
      <c r="M13" s="337" t="str">
        <f>IFERROR(__xludf.DUMMYFUNCTION("GOOGLETRANSLATE(A13,""zh-tw"",""ru"")"),"Фрагменты Небесного Камня")</f>
        <v>Фрагменты Небесного Камня</v>
      </c>
      <c r="N13" s="164" t="str">
        <f>IFERROR(__xludf.DUMMYFUNCTION("GOOGLETRANSLATE(B13,""zh-tw"",""ru"")"),"Вылечить младшую сестру или улучшить состояние старшего брата")</f>
        <v>Вылечить младшую сестру или улучшить состояние старшего брата</v>
      </c>
      <c r="O13" s="335" t="s">
        <v>5670</v>
      </c>
      <c r="P13" s="163" t="s">
        <v>5671</v>
      </c>
      <c r="Q13" s="342" t="s">
        <v>5672</v>
      </c>
      <c r="R13" s="166" t="s">
        <v>5673</v>
      </c>
      <c r="S13" s="17"/>
      <c r="T13" s="17"/>
      <c r="U13" s="17"/>
      <c r="V13" s="17"/>
    </row>
    <row r="14">
      <c r="A14" s="335" t="s">
        <v>5674</v>
      </c>
      <c r="B14" s="163" t="s">
        <v>5675</v>
      </c>
      <c r="C14" s="335" t="s">
        <v>5676</v>
      </c>
      <c r="D14" s="163" t="s">
        <v>5677</v>
      </c>
      <c r="E14" s="335" t="s">
        <v>5678</v>
      </c>
      <c r="F14" s="163" t="s">
        <v>5679</v>
      </c>
      <c r="G14" s="335" t="str">
        <f>IFERROR(__xludf.DUMMYFUNCTION("GOOGLETRANSLATE(A14,""zh-tw"",""zh"")"),"卢恩符文A")</f>
        <v>卢恩符文A</v>
      </c>
      <c r="H14" s="163" t="s">
        <v>5680</v>
      </c>
      <c r="I14" s="337" t="str">
        <f>IFERROR(__xludf.DUMMYFUNCTION("GOOGLETRANSLATE(A14,""zh-tw"",""es-MX"")"),"Runa A")</f>
        <v>Runa A</v>
      </c>
      <c r="J14" s="164" t="str">
        <f>IFERROR(__xludf.DUMMYFUNCTION("GOOGLETRANSLATE(B14,""zh-tw"",""es-MX"")"),"Deje un registro escrito")</f>
        <v>Deje un registro escrito</v>
      </c>
      <c r="K14" s="335" t="s">
        <v>5681</v>
      </c>
      <c r="L14" s="163" t="s">
        <v>5682</v>
      </c>
      <c r="M14" s="337" t="str">
        <f>IFERROR(__xludf.DUMMYFUNCTION("GOOGLETRANSLATE(A14,""zh-tw"",""ru"")"),"Руна А")</f>
        <v>Руна А</v>
      </c>
      <c r="N14" s="164" t="str">
        <f>IFERROR(__xludf.DUMMYFUNCTION("GOOGLETRANSLATE(B14,""zh-tw"",""ru"")"),"Оставьте письменный отчет")</f>
        <v>Оставьте письменный отчет</v>
      </c>
      <c r="O14" s="335" t="s">
        <v>5683</v>
      </c>
      <c r="P14" s="163" t="s">
        <v>5684</v>
      </c>
      <c r="Q14" s="342" t="s">
        <v>5678</v>
      </c>
      <c r="R14" s="166" t="s">
        <v>5685</v>
      </c>
      <c r="S14" s="17"/>
      <c r="T14" s="17"/>
      <c r="U14" s="17"/>
      <c r="V14" s="17"/>
    </row>
    <row r="15">
      <c r="A15" s="335" t="s">
        <v>5686</v>
      </c>
      <c r="B15" s="163" t="s">
        <v>5687</v>
      </c>
      <c r="C15" s="335" t="s">
        <v>5688</v>
      </c>
      <c r="D15" s="163" t="s">
        <v>5689</v>
      </c>
      <c r="E15" s="335" t="s">
        <v>5690</v>
      </c>
      <c r="F15" s="163" t="s">
        <v>5691</v>
      </c>
      <c r="G15" s="335" t="str">
        <f>IFERROR(__xludf.DUMMYFUNCTION("GOOGLETRANSLATE(A15,""zh-tw"",""zh"")"),"卢恩符文R")</f>
        <v>卢恩符文R</v>
      </c>
      <c r="H15" s="163" t="str">
        <f>IFERROR(__xludf.DUMMYFUNCTION("GOOGLETRANSLATE(B15,""zh-tw"",""zh"")"),"投掷后，滑鼠点选R的位置进行交换")</f>
        <v>投掷后，滑鼠点选R的位置进行交换</v>
      </c>
      <c r="I15" s="337" t="str">
        <f>IFERROR(__xludf.DUMMYFUNCTION("GOOGLETRANSLATE(A15,""zh-tw"",""es-MX"")"),"Runa R")</f>
        <v>Runa R</v>
      </c>
      <c r="J15" s="164" t="str">
        <f>IFERROR(__xludf.DUMMYFUNCTION("GOOGLETRANSLATE(B15,""zh-tw"",""es-MX"")"),"Después de lanzar, haz clic con el ratón en la posición de R para intercambiar.")</f>
        <v>Después de lanzar, haz clic con el ratón en la posición de R para intercambiar.</v>
      </c>
      <c r="K15" s="335" t="s">
        <v>5692</v>
      </c>
      <c r="L15" s="163" t="s">
        <v>5693</v>
      </c>
      <c r="M15" s="337" t="str">
        <f>IFERROR(__xludf.DUMMYFUNCTION("GOOGLETRANSLATE(A15,""zh-tw"",""ru"")"),"Руна R")</f>
        <v>Руна R</v>
      </c>
      <c r="N15" s="164" t="str">
        <f>IFERROR(__xludf.DUMMYFUNCTION("GOOGLETRANSLATE(B15,""zh-tw"",""ru"")"),"После броска щелкните мышкой по позиции R, чтобы поменяться местами.")</f>
        <v>После броска щелкните мышкой по позиции R, чтобы поменяться местами.</v>
      </c>
      <c r="O15" s="335" t="s">
        <v>5694</v>
      </c>
      <c r="P15" s="163" t="s">
        <v>5695</v>
      </c>
      <c r="Q15" s="342" t="s">
        <v>5690</v>
      </c>
      <c r="R15" s="166" t="s">
        <v>5696</v>
      </c>
      <c r="S15" s="17"/>
      <c r="T15" s="17"/>
      <c r="U15" s="17"/>
      <c r="V15" s="17"/>
    </row>
    <row r="16">
      <c r="A16" s="335" t="s">
        <v>5697</v>
      </c>
      <c r="B16" s="163" t="s">
        <v>5698</v>
      </c>
      <c r="C16" s="335" t="s">
        <v>5699</v>
      </c>
      <c r="D16" s="163" t="s">
        <v>5700</v>
      </c>
      <c r="E16" s="335" t="s">
        <v>5701</v>
      </c>
      <c r="F16" s="163" t="s">
        <v>5702</v>
      </c>
      <c r="G16" s="335" t="str">
        <f>IFERROR(__xludf.DUMMYFUNCTION("GOOGLETRANSLATE(A16,""zh-tw"",""zh"")"),"卢恩符文E")</f>
        <v>卢恩符文E</v>
      </c>
      <c r="H16" s="163" t="str">
        <f>IFERROR(__xludf.DUMMYFUNCTION("GOOGLETRANSLATE(B16,""zh-tw"",""zh"")"),"投掷后与目标进行位置交换")</f>
        <v>投掷后与目标进行位置交换</v>
      </c>
      <c r="I16" s="337" t="str">
        <f>IFERROR(__xludf.DUMMYFUNCTION("GOOGLETRANSLATE(A16,""zh-tw"",""es-MX"")"),"Runa E")</f>
        <v>Runa E</v>
      </c>
      <c r="J16" s="164" t="str">
        <f>IFERROR(__xludf.DUMMYFUNCTION("GOOGLETRANSLATE(B16,""zh-tw"",""es-MX"")"),"Tras lanzar, intercambie posiciones con el objetivo.")</f>
        <v>Tras lanzar, intercambie posiciones con el objetivo.</v>
      </c>
      <c r="K16" s="335" t="s">
        <v>5703</v>
      </c>
      <c r="L16" s="163" t="s">
        <v>5704</v>
      </c>
      <c r="M16" s="337" t="str">
        <f>IFERROR(__xludf.DUMMYFUNCTION("GOOGLETRANSLATE(A16,""zh-tw"",""ru"")"),"Руна E")</f>
        <v>Руна E</v>
      </c>
      <c r="N16" s="164" t="str">
        <f>IFERROR(__xludf.DUMMYFUNCTION("GOOGLETRANSLATE(B16,""zh-tw"",""ru"")"),"После броска поменяйтесь местами с целью.")</f>
        <v>После броска поменяйтесь местами с целью.</v>
      </c>
      <c r="O16" s="335" t="s">
        <v>5705</v>
      </c>
      <c r="P16" s="163" t="s">
        <v>5706</v>
      </c>
      <c r="Q16" s="342" t="s">
        <v>5701</v>
      </c>
      <c r="R16" s="166" t="s">
        <v>5707</v>
      </c>
      <c r="S16" s="17"/>
      <c r="T16" s="17"/>
      <c r="U16" s="17"/>
      <c r="V16" s="17"/>
    </row>
    <row r="17">
      <c r="A17" s="335" t="s">
        <v>5708</v>
      </c>
      <c r="B17" s="163" t="s">
        <v>5709</v>
      </c>
      <c r="C17" s="335" t="s">
        <v>5710</v>
      </c>
      <c r="D17" s="163" t="s">
        <v>5711</v>
      </c>
      <c r="E17" s="335" t="s">
        <v>5712</v>
      </c>
      <c r="F17" s="163" t="s">
        <v>5713</v>
      </c>
      <c r="G17" s="335" t="str">
        <f>IFERROR(__xludf.DUMMYFUNCTION("GOOGLETRANSLATE(A17,""zh-tw"",""zh"")"),"节制")</f>
        <v>节制</v>
      </c>
      <c r="H17" s="163" t="str">
        <f>IFERROR(__xludf.DUMMYFUNCTION("GOOGLETRANSLATE(B17,""zh-tw"",""zh"")"),"召唤扭蛋机")</f>
        <v>召唤扭蛋机</v>
      </c>
      <c r="I17" s="337" t="str">
        <f>IFERROR(__xludf.DUMMYFUNCTION("GOOGLETRANSLATE(A17,""zh-tw"",""es-MX"")"),"control")</f>
        <v>control</v>
      </c>
      <c r="J17" s="164" t="str">
        <f>IFERROR(__xludf.DUMMYFUNCTION("GOOGLETRANSLATE(B17,""zh-tw"",""es-MX"")"),"Máquina de invocación Gashapon")</f>
        <v>Máquina de invocación Gashapon</v>
      </c>
      <c r="K17" s="335" t="s">
        <v>5714</v>
      </c>
      <c r="L17" s="164" t="str">
        <f>IFERROR(__xludf.DUMMYFUNCTION("GOOGLETRANSLATE(B17,""zh-tw"",""KO"")"),"소환 가샤폰 머신")</f>
        <v>소환 가샤폰 머신</v>
      </c>
      <c r="M17" s="337" t="str">
        <f>IFERROR(__xludf.DUMMYFUNCTION("GOOGLETRANSLATE(A17,""zh-tw"",""ru"")"),"контроль")</f>
        <v>контроль</v>
      </c>
      <c r="N17" s="164" t="str">
        <f>IFERROR(__xludf.DUMMYFUNCTION("GOOGLETRANSLATE(B17,""zh-tw"",""ru"")"),"Вызов Гасяпон-машины")</f>
        <v>Вызов Гасяпон-машины</v>
      </c>
      <c r="O17" s="335" t="s">
        <v>5715</v>
      </c>
      <c r="P17" s="163" t="s">
        <v>5716</v>
      </c>
      <c r="Q17" s="342" t="s">
        <v>5712</v>
      </c>
      <c r="R17" s="166" t="s">
        <v>5717</v>
      </c>
      <c r="S17" s="17"/>
      <c r="T17" s="17"/>
      <c r="U17" s="17"/>
      <c r="V17" s="17"/>
    </row>
    <row r="18">
      <c r="A18" s="335" t="s">
        <v>5718</v>
      </c>
      <c r="B18" s="163" t="s">
        <v>5719</v>
      </c>
      <c r="C18" s="335" t="s">
        <v>5720</v>
      </c>
      <c r="D18" s="163" t="s">
        <v>5721</v>
      </c>
      <c r="E18" s="335" t="s">
        <v>5722</v>
      </c>
      <c r="F18" s="163" t="s">
        <v>5723</v>
      </c>
      <c r="G18" s="335" t="str">
        <f>IFERROR(__xludf.DUMMYFUNCTION("GOOGLETRANSLATE(A18,""zh-tw"",""zh"")"),"正义")</f>
        <v>正义</v>
      </c>
      <c r="H18" s="163" t="str">
        <f>IFERROR(__xludf.DUMMYFUNCTION("GOOGLETRANSLATE(B18,""zh-tw"",""zh"")"),"消除状态")</f>
        <v>消除状态</v>
      </c>
      <c r="I18" s="337" t="str">
        <f>IFERROR(__xludf.DUMMYFUNCTION("GOOGLETRANSLATE(A18,""zh-tw"",""es-MX"")"),"justicia")</f>
        <v>justicia</v>
      </c>
      <c r="J18" s="164" t="str">
        <f>IFERROR(__xludf.DUMMYFUNCTION("GOOGLETRANSLATE(B18,""zh-tw"",""es-MX"")"),"Eliminar estado")</f>
        <v>Eliminar estado</v>
      </c>
      <c r="K18" s="335" t="s">
        <v>5724</v>
      </c>
      <c r="L18" s="319" t="s">
        <v>5725</v>
      </c>
      <c r="M18" s="337" t="str">
        <f>IFERROR(__xludf.DUMMYFUNCTION("GOOGLETRANSLATE(A18,""zh-tw"",""ru"")"),"справедливость")</f>
        <v>справедливость</v>
      </c>
      <c r="N18" s="164" t="str">
        <f>IFERROR(__xludf.DUMMYFUNCTION("GOOGLETRANSLATE(B18,""zh-tw"",""ru"")"),"Устранить состояние")</f>
        <v>Устранить состояние</v>
      </c>
      <c r="O18" s="335" t="s">
        <v>5726</v>
      </c>
      <c r="P18" s="163" t="s">
        <v>5727</v>
      </c>
      <c r="Q18" s="342" t="s">
        <v>5722</v>
      </c>
      <c r="R18" s="166" t="s">
        <v>5723</v>
      </c>
      <c r="S18" s="17"/>
      <c r="T18" s="17"/>
      <c r="U18" s="17"/>
      <c r="V18" s="17"/>
    </row>
    <row r="19">
      <c r="A19" s="335" t="s">
        <v>5728</v>
      </c>
      <c r="B19" s="163" t="s">
        <v>5729</v>
      </c>
      <c r="C19" s="335" t="s">
        <v>5730</v>
      </c>
      <c r="D19" s="163" t="s">
        <v>5731</v>
      </c>
      <c r="E19" s="335" t="s">
        <v>5732</v>
      </c>
      <c r="F19" s="163" t="s">
        <v>5733</v>
      </c>
      <c r="G19" s="335" t="str">
        <f>IFERROR(__xludf.DUMMYFUNCTION("GOOGLETRANSLATE(A19,""zh-tw"",""zh"")"),"力")</f>
        <v>力</v>
      </c>
      <c r="H19" s="163" t="str">
        <f>IFERROR(__xludf.DUMMYFUNCTION("GOOGLETRANSLATE(B19,""zh-tw"",""zh"")"),"武器巨大化增强")</f>
        <v>武器巨大化增强</v>
      </c>
      <c r="I19" s="337" t="str">
        <f>IFERROR(__xludf.DUMMYFUNCTION("GOOGLETRANSLATE(A19,""zh-tw"",""es-MX"")"),"fuerza")</f>
        <v>fuerza</v>
      </c>
      <c r="J19" s="164" t="str">
        <f>IFERROR(__xludf.DUMMYFUNCTION("GOOGLETRANSLATE(B19,""zh-tw"",""es-MX"")"),"mejora del tamaño del arma")</f>
        <v>mejora del tamaño del arma</v>
      </c>
      <c r="K19" s="337" t="str">
        <f>IFERROR(__xludf.DUMMYFUNCTION("GOOGLETRANSLATE(A19,""zh-tw"",""KO"")"),"힘")</f>
        <v>힘</v>
      </c>
      <c r="L19" s="163" t="s">
        <v>5734</v>
      </c>
      <c r="M19" s="337" t="str">
        <f>IFERROR(__xludf.DUMMYFUNCTION("GOOGLETRANSLATE(A19,""zh-tw"",""ru"")"),"сила")</f>
        <v>сила</v>
      </c>
      <c r="N19" s="164" t="str">
        <f>IFERROR(__xludf.DUMMYFUNCTION("GOOGLETRANSLATE(B19,""zh-tw"",""ru"")"),"Улучшение увеличения оружия")</f>
        <v>Улучшение увеличения оружия</v>
      </c>
      <c r="O19" s="335" t="s">
        <v>5735</v>
      </c>
      <c r="P19" s="163" t="s">
        <v>5736</v>
      </c>
      <c r="Q19" s="342" t="s">
        <v>5732</v>
      </c>
      <c r="R19" s="166" t="s">
        <v>5737</v>
      </c>
      <c r="S19" s="17"/>
      <c r="T19" s="17"/>
      <c r="U19" s="17"/>
      <c r="V19" s="17"/>
    </row>
    <row r="20">
      <c r="A20" s="335" t="s">
        <v>5738</v>
      </c>
      <c r="B20" s="163" t="s">
        <v>5739</v>
      </c>
      <c r="C20" s="335" t="s">
        <v>5740</v>
      </c>
      <c r="D20" s="163" t="s">
        <v>5741</v>
      </c>
      <c r="E20" s="335" t="s">
        <v>5742</v>
      </c>
      <c r="F20" s="163" t="s">
        <v>5743</v>
      </c>
      <c r="G20" s="335" t="str">
        <f>IFERROR(__xludf.DUMMYFUNCTION("GOOGLETRANSLATE(A20,""zh-tw"",""zh"")"),"皇帝")</f>
        <v>皇帝</v>
      </c>
      <c r="H20" s="163" t="str">
        <f>IFERROR(__xludf.DUMMYFUNCTION("GOOGLETRANSLATE(B20,""zh-tw"",""zh"")"),"巨龙咆啸")</f>
        <v>巨龙咆啸</v>
      </c>
      <c r="I20" s="337" t="str">
        <f>IFERROR(__xludf.DUMMYFUNCTION("GOOGLETRANSLATE(A20,""zh-tw"",""es-MX"")"),"emperador")</f>
        <v>emperador</v>
      </c>
      <c r="J20" s="164" t="str">
        <f>IFERROR(__xludf.DUMMYFUNCTION("GOOGLETRANSLATE(B20,""zh-tw"",""es-MX"")"),"Rugido de dragón")</f>
        <v>Rugido de dragón</v>
      </c>
      <c r="K20" s="337" t="str">
        <f>IFERROR(__xludf.DUMMYFUNCTION("GOOGLETRANSLATE(A20,""zh-tw"",""KO"")"),"황제")</f>
        <v>황제</v>
      </c>
      <c r="L20" s="163" t="s">
        <v>5744</v>
      </c>
      <c r="M20" s="337" t="str">
        <f>IFERROR(__xludf.DUMMYFUNCTION("GOOGLETRANSLATE(A20,""zh-tw"",""ru"")"),"император")</f>
        <v>император</v>
      </c>
      <c r="N20" s="164" t="str">
        <f>IFERROR(__xludf.DUMMYFUNCTION("GOOGLETRANSLATE(B20,""zh-tw"",""ru"")"),"Рев Дракона")</f>
        <v>Рев Дракона</v>
      </c>
      <c r="O20" s="335" t="s">
        <v>5745</v>
      </c>
      <c r="P20" s="163" t="s">
        <v>5746</v>
      </c>
      <c r="Q20" s="342" t="s">
        <v>5742</v>
      </c>
      <c r="R20" s="166" t="s">
        <v>5747</v>
      </c>
      <c r="S20" s="17"/>
      <c r="T20" s="17"/>
      <c r="U20" s="17"/>
      <c r="V20" s="17"/>
    </row>
    <row r="21">
      <c r="A21" s="335" t="s">
        <v>5748</v>
      </c>
      <c r="B21" s="163" t="s">
        <v>5749</v>
      </c>
      <c r="C21" s="335" t="str">
        <f>IFERROR(__xludf.DUMMYFUNCTION("GOOGLETRANSLATE(A21,""zh-tw"",""ja"")"),"星")</f>
        <v>星</v>
      </c>
      <c r="D21" s="163" t="s">
        <v>5750</v>
      </c>
      <c r="E21" s="335" t="s">
        <v>5751</v>
      </c>
      <c r="F21" s="163" t="s">
        <v>5752</v>
      </c>
      <c r="G21" s="335" t="str">
        <f>IFERROR(__xludf.DUMMYFUNCTION("GOOGLETRANSLATE(A21,""zh-tw"",""zh"")"),"星")</f>
        <v>星</v>
      </c>
      <c r="H21" s="163" t="str">
        <f>IFERROR(__xludf.DUMMYFUNCTION("GOOGLETRANSLATE(B21,""zh-tw"",""zh"")"),"星之门")</f>
        <v>星之门</v>
      </c>
      <c r="I21" s="337" t="str">
        <f>IFERROR(__xludf.DUMMYFUNCTION("GOOGLETRANSLATE(A21,""zh-tw"",""es-MX"")"),"estrella")</f>
        <v>estrella</v>
      </c>
      <c r="J21" s="164" t="str">
        <f>IFERROR(__xludf.DUMMYFUNCTION("GOOGLETRANSLATE(B21,""zh-tw"",""es-MX"")"),"Puerta Estelar")</f>
        <v>Puerta Estelar</v>
      </c>
      <c r="K21" s="337" t="str">
        <f>IFERROR(__xludf.DUMMYFUNCTION("GOOGLETRANSLATE(A21,""zh-tw"",""KO"")"),"별")</f>
        <v>별</v>
      </c>
      <c r="L21" s="163" t="s">
        <v>5753</v>
      </c>
      <c r="M21" s="337" t="str">
        <f>IFERROR(__xludf.DUMMYFUNCTION("GOOGLETRANSLATE(A21,""zh-tw"",""ru"")"),"звезда")</f>
        <v>звезда</v>
      </c>
      <c r="N21" s="164" t="str">
        <f>IFERROR(__xludf.DUMMYFUNCTION("GOOGLETRANSLATE(B21,""zh-tw"",""ru"")"),"Звездные Врата")</f>
        <v>Звездные Врата</v>
      </c>
      <c r="O21" s="335" t="s">
        <v>5754</v>
      </c>
      <c r="P21" s="163" t="s">
        <v>5755</v>
      </c>
      <c r="Q21" s="342" t="s">
        <v>5751</v>
      </c>
      <c r="R21" s="166" t="s">
        <v>5756</v>
      </c>
      <c r="S21" s="17"/>
      <c r="T21" s="17"/>
      <c r="U21" s="17"/>
      <c r="V21" s="17"/>
    </row>
    <row r="22">
      <c r="A22" s="335" t="s">
        <v>5757</v>
      </c>
      <c r="B22" s="163" t="s">
        <v>5758</v>
      </c>
      <c r="C22" s="335" t="s">
        <v>5759</v>
      </c>
      <c r="D22" s="163" t="s">
        <v>5760</v>
      </c>
      <c r="E22" s="335" t="s">
        <v>5761</v>
      </c>
      <c r="F22" s="163" t="s">
        <v>5762</v>
      </c>
      <c r="G22" s="335" t="str">
        <f>IFERROR(__xludf.DUMMYFUNCTION("GOOGLETRANSLATE(A22,""zh-tw"",""zh"")"),"战车")</f>
        <v>战车</v>
      </c>
      <c r="H22" s="163" t="str">
        <f>IFERROR(__xludf.DUMMYFUNCTION("GOOGLETRANSLATE(B22,""zh-tw"",""zh"")"),"召唤猫娘商店车")</f>
        <v>召唤猫娘商店车</v>
      </c>
      <c r="I22" s="337" t="str">
        <f>IFERROR(__xludf.DUMMYFUNCTION("GOOGLETRANSLATE(A22,""zh-tw"",""es-MX"")"),"tanque")</f>
        <v>tanque</v>
      </c>
      <c r="J22" s="164" t="str">
        <f>IFERROR(__xludf.DUMMYFUNCTION("GOOGLETRANSLATE(B22,""zh-tw"",""es-MX"")"),"Carrito de la tienda de la chica gato invocable")</f>
        <v>Carrito de la tienda de la chica gato invocable</v>
      </c>
      <c r="K22" s="335" t="s">
        <v>5763</v>
      </c>
      <c r="L22" s="164" t="str">
        <f>IFERROR(__xludf.DUMMYFUNCTION("GOOGLETRANSLATE(B22,""zh-tw"",""KO"")"),"고양이 소녀 상점 카트 소환")</f>
        <v>고양이 소녀 상점 카트 소환</v>
      </c>
      <c r="M22" s="337" t="str">
        <f>IFERROR(__xludf.DUMMYFUNCTION("GOOGLETRANSLATE(A22,""zh-tw"",""ru"")"),"танк")</f>
        <v>танк</v>
      </c>
      <c r="N22" s="164" t="str">
        <f>IFERROR(__xludf.DUMMYFUNCTION("GOOGLETRANSLATE(B22,""zh-tw"",""ru"")"),"Корзина магазина «Призыв девушки-кошки»")</f>
        <v>Корзина магазина «Призыв девушки-кошки»</v>
      </c>
      <c r="O22" s="335" t="s">
        <v>5764</v>
      </c>
      <c r="P22" s="163" t="s">
        <v>5765</v>
      </c>
      <c r="Q22" s="342" t="s">
        <v>5761</v>
      </c>
      <c r="R22" s="166" t="s">
        <v>5766</v>
      </c>
      <c r="S22" s="17"/>
      <c r="T22" s="17"/>
      <c r="U22" s="17"/>
      <c r="V22" s="17"/>
    </row>
    <row r="23">
      <c r="A23" s="335" t="s">
        <v>5767</v>
      </c>
      <c r="B23" s="163" t="s">
        <v>5768</v>
      </c>
      <c r="C23" s="335" t="s">
        <v>5769</v>
      </c>
      <c r="D23" s="163" t="s">
        <v>5770</v>
      </c>
      <c r="E23" s="335" t="s">
        <v>5771</v>
      </c>
      <c r="F23" s="163" t="s">
        <v>5772</v>
      </c>
      <c r="G23" s="335" t="str">
        <f>IFERROR(__xludf.DUMMYFUNCTION("GOOGLETRANSLATE(A23,""zh-tw"",""zh"")"),"女祭司")</f>
        <v>女祭司</v>
      </c>
      <c r="H23" s="163" t="str">
        <f>IFERROR(__xludf.DUMMYFUNCTION("GOOGLETRANSLATE(B23,""zh-tw"",""zh"")"),"召唤教堂")</f>
        <v>召唤教堂</v>
      </c>
      <c r="I23" s="337" t="str">
        <f>IFERROR(__xludf.DUMMYFUNCTION("GOOGLETRANSLATE(A23,""zh-tw"",""es-MX"")"),"Sacerdotisa")</f>
        <v>Sacerdotisa</v>
      </c>
      <c r="J23" s="164" t="str">
        <f>IFERROR(__xludf.DUMMYFUNCTION("GOOGLETRANSLATE(B23,""zh-tw"",""es-MX"")"),"Iglesia de la Convocatoria")</f>
        <v>Iglesia de la Convocatoria</v>
      </c>
      <c r="K23" s="335" t="s">
        <v>5773</v>
      </c>
      <c r="L23" s="163" t="s">
        <v>5774</v>
      </c>
      <c r="M23" s="337" t="str">
        <f>IFERROR(__xludf.DUMMYFUNCTION("GOOGLETRANSLATE(A23,""zh-tw"",""ru"")"),"Жрица")</f>
        <v>Жрица</v>
      </c>
      <c r="N23" s="164" t="str">
        <f>IFERROR(__xludf.DUMMYFUNCTION("GOOGLETRANSLATE(B23,""zh-tw"",""ru"")"),"Церковь призыва")</f>
        <v>Церковь призыва</v>
      </c>
      <c r="O23" s="335" t="s">
        <v>5775</v>
      </c>
      <c r="P23" s="163" t="s">
        <v>5776</v>
      </c>
      <c r="Q23" s="342" t="s">
        <v>5771</v>
      </c>
      <c r="R23" s="166" t="s">
        <v>5777</v>
      </c>
      <c r="S23" s="17"/>
      <c r="T23" s="17"/>
      <c r="U23" s="17"/>
      <c r="V23" s="17"/>
    </row>
    <row r="24">
      <c r="A24" s="335" t="s">
        <v>5778</v>
      </c>
      <c r="B24" s="163" t="s">
        <v>5779</v>
      </c>
      <c r="C24" s="335" t="s">
        <v>5780</v>
      </c>
      <c r="D24" s="163" t="s">
        <v>5781</v>
      </c>
      <c r="E24" s="335" t="s">
        <v>5782</v>
      </c>
      <c r="F24" s="163" t="s">
        <v>5783</v>
      </c>
      <c r="G24" s="335" t="str">
        <f>IFERROR(__xludf.DUMMYFUNCTION("GOOGLETRANSLATE(A24,""zh-tw"",""zh"")"),"命运之轮")</f>
        <v>命运之轮</v>
      </c>
      <c r="H24" s="163" t="str">
        <f>IFERROR(__xludf.DUMMYFUNCTION("GOOGLETRANSLATE(B24,""zh-tw"",""zh"")"),"随机BUFF效果")</f>
        <v>随机BUFF效果</v>
      </c>
      <c r="I24" s="337" t="str">
        <f>IFERROR(__xludf.DUMMYFUNCTION("GOOGLETRANSLATE(A24,""zh-tw"",""es-MX"")"),"La rueda de la fortuna")</f>
        <v>La rueda de la fortuna</v>
      </c>
      <c r="J24" s="164" t="str">
        <f>IFERROR(__xludf.DUMMYFUNCTION("GOOGLETRANSLATE(B24,""zh-tw"",""es-MX"")"),"efectos de mejora aleatorios")</f>
        <v>efectos de mejora aleatorios</v>
      </c>
      <c r="K24" s="335" t="s">
        <v>5784</v>
      </c>
      <c r="L24" s="163" t="s">
        <v>5785</v>
      </c>
      <c r="M24" s="337" t="str">
        <f>IFERROR(__xludf.DUMMYFUNCTION("GOOGLETRANSLATE(A24,""zh-tw"",""ru"")"),"Колесо Фортуны")</f>
        <v>Колесо Фортуны</v>
      </c>
      <c r="N24" s="164" t="str">
        <f>IFERROR(__xludf.DUMMYFUNCTION("GOOGLETRANSLATE(B24,""zh-tw"",""ru"")"),"Случайные положительные эффекты")</f>
        <v>Случайные положительные эффекты</v>
      </c>
      <c r="O24" s="335" t="s">
        <v>5786</v>
      </c>
      <c r="P24" s="163" t="s">
        <v>5787</v>
      </c>
      <c r="Q24" s="342" t="s">
        <v>5782</v>
      </c>
      <c r="R24" s="166" t="s">
        <v>5788</v>
      </c>
      <c r="S24" s="17"/>
      <c r="T24" s="17"/>
      <c r="U24" s="17"/>
      <c r="V24" s="17"/>
    </row>
    <row r="25">
      <c r="A25" s="335" t="s">
        <v>5789</v>
      </c>
      <c r="B25" s="163" t="s">
        <v>5790</v>
      </c>
      <c r="C25" s="335" t="s">
        <v>5791</v>
      </c>
      <c r="D25" s="163" t="s">
        <v>5792</v>
      </c>
      <c r="E25" s="335" t="s">
        <v>5793</v>
      </c>
      <c r="F25" s="163" t="s">
        <v>5794</v>
      </c>
      <c r="G25" s="335" t="str">
        <f>IFERROR(__xludf.DUMMYFUNCTION("GOOGLETRANSLATE(A25,""zh-tw"",""zh"")"),"世界")</f>
        <v>世界</v>
      </c>
      <c r="H25" s="163" t="str">
        <f>IFERROR(__xludf.DUMMYFUNCTION("GOOGLETRANSLATE(B25,""zh-tw"",""zh"")"),"重制场地")</f>
        <v>重制场地</v>
      </c>
      <c r="I25" s="337" t="str">
        <f>IFERROR(__xludf.DUMMYFUNCTION("GOOGLETRANSLATE(A25,""zh-tw"",""es-MX"")"),"mundo")</f>
        <v>mundo</v>
      </c>
      <c r="J25" s="164" t="str">
        <f>IFERROR(__xludf.DUMMYFUNCTION("GOOGLETRANSLATE(B25,""zh-tw"",""es-MX"")"),"Sitio de reconstrucción")</f>
        <v>Sitio de reconstrucción</v>
      </c>
      <c r="K25" s="337" t="str">
        <f>IFERROR(__xludf.DUMMYFUNCTION("GOOGLETRANSLATE(A25,""zh-tw"",""KO"")"),"세계")</f>
        <v>세계</v>
      </c>
      <c r="L25" s="163" t="s">
        <v>5795</v>
      </c>
      <c r="M25" s="337" t="str">
        <f>IFERROR(__xludf.DUMMYFUNCTION("GOOGLETRANSLATE(A25,""zh-tw"",""ru"")"),"мир")</f>
        <v>мир</v>
      </c>
      <c r="N25" s="164" t="str">
        <f>IFERROR(__xludf.DUMMYFUNCTION("GOOGLETRANSLATE(B25,""zh-tw"",""ru"")"),"Место реконструкции")</f>
        <v>Место реконструкции</v>
      </c>
      <c r="O25" s="335" t="s">
        <v>5796</v>
      </c>
      <c r="P25" s="163" t="s">
        <v>5797</v>
      </c>
      <c r="Q25" s="342" t="s">
        <v>5793</v>
      </c>
      <c r="R25" s="166" t="s">
        <v>5798</v>
      </c>
      <c r="S25" s="17"/>
      <c r="T25" s="17"/>
      <c r="U25" s="17"/>
      <c r="V25" s="17"/>
    </row>
    <row r="26">
      <c r="A26" s="335" t="s">
        <v>5799</v>
      </c>
      <c r="B26" s="163" t="s">
        <v>5800</v>
      </c>
      <c r="C26" s="348" t="s">
        <v>5801</v>
      </c>
      <c r="D26" s="349" t="str">
        <f>IFERROR(__xludf.DUMMYFUNCTION("GOOGLETRANSLATE(B26,""zh-tw"",""ja"")"),"一定時間内に1回復活することができます。")</f>
        <v>一定時間内に1回復活することができます。</v>
      </c>
      <c r="E26" s="335" t="s">
        <v>5802</v>
      </c>
      <c r="F26" s="163" t="s">
        <v>5803</v>
      </c>
      <c r="G26" s="335" t="str">
        <f>IFERROR(__xludf.DUMMYFUNCTION("GOOGLETRANSLATE(A26,""zh-tw"",""zh"")"),"日")</f>
        <v>日</v>
      </c>
      <c r="H26" s="163" t="str">
        <f>IFERROR(__xludf.DUMMYFUNCTION("GOOGLETRANSLATE(B26,""zh-tw"",""zh"")"),"一定时间内，可复活一次")</f>
        <v>一定时间内，可复活一次</v>
      </c>
      <c r="I26" s="337" t="str">
        <f>IFERROR(__xludf.DUMMYFUNCTION("GOOGLETRANSLATE(A26,""zh-tw"",""es-MX"")"),"día")</f>
        <v>día</v>
      </c>
      <c r="J26" s="164" t="str">
        <f>IFERROR(__xludf.DUMMYFUNCTION("GOOGLETRANSLATE(B26,""zh-tw"",""es-MX"")"),"Puedes revivir una vez dentro de un cierto período de tiempo.")</f>
        <v>Puedes revivir una vez dentro de un cierto período de tiempo.</v>
      </c>
      <c r="K26" s="364" t="s">
        <v>5804</v>
      </c>
      <c r="L26" s="163" t="s">
        <v>5805</v>
      </c>
      <c r="M26" s="337" t="str">
        <f>IFERROR(__xludf.DUMMYFUNCTION("GOOGLETRANSLATE(A26,""zh-tw"",""ru"")"),"день")</f>
        <v>день</v>
      </c>
      <c r="N26" s="164" t="str">
        <f>IFERROR(__xludf.DUMMYFUNCTION("GOOGLETRANSLATE(B26,""zh-tw"",""ru"")"),"Возродиться можно один раз в течение определенного периода времени.")</f>
        <v>Возродиться можно один раз в течение определенного периода времени.</v>
      </c>
      <c r="O26" s="335" t="s">
        <v>5806</v>
      </c>
      <c r="P26" s="163" t="s">
        <v>5807</v>
      </c>
      <c r="Q26" s="342" t="s">
        <v>5802</v>
      </c>
      <c r="R26" s="166" t="s">
        <v>5808</v>
      </c>
      <c r="S26" s="17"/>
      <c r="T26" s="17"/>
      <c r="U26" s="17"/>
      <c r="V26" s="17"/>
    </row>
    <row r="27">
      <c r="A27" s="341" t="s">
        <v>5809</v>
      </c>
      <c r="B27" s="163" t="s">
        <v>5810</v>
      </c>
      <c r="C27" s="341" t="s">
        <v>5811</v>
      </c>
      <c r="D27" s="163" t="s">
        <v>5812</v>
      </c>
      <c r="E27" s="341" t="s">
        <v>5813</v>
      </c>
      <c r="F27" s="324" t="s">
        <v>5814</v>
      </c>
      <c r="G27" s="335" t="str">
        <f>IFERROR(__xludf.DUMMYFUNCTION("GOOGLETRANSLATE(A27,""zh-tw"",""zh"")"),"塔罗牌-死神")</f>
        <v>塔罗牌-死神</v>
      </c>
      <c r="H27" s="163" t="str">
        <f>IFERROR(__xludf.DUMMYFUNCTION("GOOGLETRANSLATE(B27,""zh-tw"",""zh"")"),"死之恶魔现身
击杀所有生物
(对NPC、地图物件、可破坏物体，无效)
(对稻草人、浅羽商店车两段血，有效)
NPC目前暂时无互动效果")</f>
        <v>死之恶魔现身
击杀所有生物
(对NPC、地图物件、可破坏物体，无效)
(对稻草人、浅羽商店车两段血，有效)
NPC目前暂时无互动效果</v>
      </c>
      <c r="I27" s="337" t="str">
        <f>IFERROR(__xludf.DUMMYFUNCTION("GOOGLETRANSLATE(A27,""zh-tw"",""es-MX"")"),"Carta del Tarot - La Muerte")</f>
        <v>Carta del Tarot - La Muerte</v>
      </c>
      <c r="J27" s="164" t="str">
        <f>IFERROR(__xludf.DUMMYFUNCTION("GOOGLETRANSLATE(B27,""zh-tw"",""es-MX"")"),"Ha aparecido el Demonio de la Muerte. Elimina a todas las criaturas.
(Ineficaz contra PNJs, objetos del mapa y objetos destructibles)
(Eficaz contra el Espantapájaros y el Carro de la Tienda de Asaba con dos puntos de vida)
Los PNJs no tienen efectos i"&amp;"nteractivos.")</f>
        <v>Ha aparecido el Demonio de la Muerte. Elimina a todas las criaturas.
(Ineficaz contra PNJs, objetos del mapa y objetos destructibles)
(Eficaz contra el Espantapájaros y el Carro de la Tienda de Asaba con dos puntos de vida)
Los PNJs no tienen efectos interactivos.</v>
      </c>
      <c r="K27" s="337" t="str">
        <f>IFERROR(__xludf.DUMMYFUNCTION("GOOGLETRANSLATE(A27,""zh-tw"",""KO"")"),"타로 카드 - 죽음")</f>
        <v>타로 카드 - 죽음</v>
      </c>
      <c r="L27" s="164" t="str">
        <f>IFERROR(__xludf.DUMMYFUNCTION("GOOGLETRANSLATE(B27,""zh-tw"",""KO"")"),"죽음의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f>
        <v>죽음의 악마가 나타났습니다. 모든 생명체를 처치하세요.
(NPC, 지도 객체, 파괴 가능한 객체에는 효과가 없습니다.)
(허수아비와 체력 2인 아사바의 쇼핑 카트에는 효과가 있습니다.)
현재 NPC에게는 상호작용 효과가 없습니다.</v>
      </c>
      <c r="M27" s="337" t="str">
        <f>IFERROR(__xludf.DUMMYFUNCTION("GOOGLETRANSLATE(A27,""zh-tw"",""ru"")"),"Карта Таро - Смерть")</f>
        <v>Карта Таро - Смерть</v>
      </c>
      <c r="N27" s="164" t="str">
        <f>IFERROR(__xludf.DUMMYFUNCTION("GOOGLETRANSLATE(B27,""zh-tw"",""ru"")"),"Демон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f>
        <v>Демон Смерти появился. Убейте всех существ.
(Неэффективно против NPC, объектов карты и разрушаемых объектов)
(Эффективно против Пугала и тележки Асабы с двумя очками здоровья)
У NPC в настоящее время нет интерактивных эффектов.</v>
      </c>
      <c r="O27" s="335" t="s">
        <v>5815</v>
      </c>
      <c r="P27" s="163" t="s">
        <v>5816</v>
      </c>
      <c r="Q27" s="342" t="s">
        <v>5813</v>
      </c>
      <c r="R27" s="166" t="s">
        <v>5817</v>
      </c>
      <c r="S27" s="17"/>
      <c r="T27" s="17"/>
      <c r="U27" s="17"/>
      <c r="V27" s="17"/>
    </row>
    <row r="28">
      <c r="A28" s="335" t="s">
        <v>5818</v>
      </c>
      <c r="B28" s="163" t="s">
        <v>5819</v>
      </c>
      <c r="C28" s="335" t="str">
        <f>IFERROR(__xludf.DUMMYFUNCTION("GOOGLETRANSLATE(A28,""zh-tw"",""ja"")"),"ジャック・ボム")</f>
        <v>ジャック・ボム</v>
      </c>
      <c r="D28" s="163" t="s">
        <v>5820</v>
      </c>
      <c r="E28" s="335" t="s">
        <v>5821</v>
      </c>
      <c r="F28" s="163" t="s">
        <v>5822</v>
      </c>
      <c r="G28" s="335" t="str">
        <f>IFERROR(__xludf.DUMMYFUNCTION("GOOGLETRANSLATE(A28,""zh-tw"",""zh"")"),"杰克爆弹")</f>
        <v>杰克爆弹</v>
      </c>
      <c r="H28" s="163" t="str">
        <f>IFERROR(__xludf.DUMMYFUNCTION("GOOGLETRANSLATE(B28,""zh-tw"",""zh"")"),"炸弹(无视防御)")</f>
        <v>炸弹(无视防御)</v>
      </c>
      <c r="I28" s="337" t="str">
        <f>IFERROR(__xludf.DUMMYFUNCTION("GOOGLETRANSLATE(A28,""zh-tw"",""es-MX"")"),"Bomba Jack")</f>
        <v>Bomba Jack</v>
      </c>
      <c r="J28" s="164" t="str">
        <f>IFERROR(__xludf.DUMMYFUNCTION("GOOGLETRANSLATE(B28,""zh-tw"",""es-MX"")"),"Bomba (ignora la defensa)")</f>
        <v>Bomba (ignora la defensa)</v>
      </c>
      <c r="K28" s="335" t="s">
        <v>5823</v>
      </c>
      <c r="L28" s="164" t="str">
        <f>IFERROR(__xludf.DUMMYFUNCTION("GOOGLETRANSLATE(B28,""zh-tw"",""KO"")"),"폭탄(방어 무시)")</f>
        <v>폭탄(방어 무시)</v>
      </c>
      <c r="M28" s="337" t="str">
        <f>IFERROR(__xludf.DUMMYFUNCTION("GOOGLETRANSLATE(A28,""zh-tw"",""ru"")"),"Джек Бомба")</f>
        <v>Джек Бомба</v>
      </c>
      <c r="N28" s="164" t="str">
        <f>IFERROR(__xludf.DUMMYFUNCTION("GOOGLETRANSLATE(B28,""zh-tw"",""ru"")"),"Бомба (игнорирует защиту)")</f>
        <v>Бомба (игнорирует защиту)</v>
      </c>
      <c r="O28" s="335" t="s">
        <v>5824</v>
      </c>
      <c r="P28" s="163" t="s">
        <v>5825</v>
      </c>
      <c r="Q28" s="342" t="s">
        <v>5821</v>
      </c>
      <c r="R28" s="166" t="s">
        <v>5826</v>
      </c>
      <c r="S28" s="17"/>
      <c r="T28" s="17"/>
      <c r="U28" s="17"/>
      <c r="V28" s="17"/>
    </row>
    <row r="29">
      <c r="A29" s="335" t="s">
        <v>5827</v>
      </c>
      <c r="B29" s="163" t="s">
        <v>5828</v>
      </c>
      <c r="C29" s="335" t="s">
        <v>5829</v>
      </c>
      <c r="D29" s="163" t="s">
        <v>5830</v>
      </c>
      <c r="E29" s="335" t="s">
        <v>5831</v>
      </c>
      <c r="F29" s="163" t="s">
        <v>5832</v>
      </c>
      <c r="G29" s="335" t="str">
        <f>IFERROR(__xludf.DUMMYFUNCTION("GOOGLETRANSLATE(A29,""zh-tw"",""zh"")"),"冰霜杰克爆弹")</f>
        <v>冰霜杰克爆弹</v>
      </c>
      <c r="H29" s="163" t="str">
        <f>IFERROR(__xludf.DUMMYFUNCTION("GOOGLETRANSLATE(B29,""zh-tw"",""zh"")"),"冰属性炸弹")</f>
        <v>冰属性炸弹</v>
      </c>
      <c r="I29" s="337" t="str">
        <f>IFERROR(__xludf.DUMMYFUNCTION("GOOGLETRANSLATE(A29,""zh-tw"",""es-MX"")"),"Bomba Frost Jack")</f>
        <v>Bomba Frost Jack</v>
      </c>
      <c r="J29" s="164" t="str">
        <f>IFERROR(__xludf.DUMMYFUNCTION("GOOGLETRANSLATE(B29,""zh-tw"",""es-MX"")"),"Bomba de hielo")</f>
        <v>Bomba de hielo</v>
      </c>
      <c r="K29" s="337" t="str">
        <f>IFERROR(__xludf.DUMMYFUNCTION("GOOGLETRANSLATE(A29,""zh-tw"",""KO"")"),"프로스트 잭 폭탄")</f>
        <v>프로스트 잭 폭탄</v>
      </c>
      <c r="L29" s="163" t="s">
        <v>5833</v>
      </c>
      <c r="M29" s="337" t="str">
        <f>IFERROR(__xludf.DUMMYFUNCTION("GOOGLETRANSLATE(A29,""zh-tw"",""ru"")"),"Фрост Джек Бомба")</f>
        <v>Фрост Джек Бомба</v>
      </c>
      <c r="N29" s="164" t="str">
        <f>IFERROR(__xludf.DUMMYFUNCTION("GOOGLETRANSLATE(B29,""zh-tw"",""ru"")"),"Ледяная бомба")</f>
        <v>Ледяная бомба</v>
      </c>
      <c r="O29" s="335" t="s">
        <v>5834</v>
      </c>
      <c r="P29" s="163" t="s">
        <v>5835</v>
      </c>
      <c r="Q29" s="342" t="s">
        <v>5831</v>
      </c>
      <c r="R29" s="166" t="s">
        <v>5836</v>
      </c>
      <c r="S29" s="17"/>
      <c r="T29" s="17"/>
      <c r="U29" s="17"/>
      <c r="V29" s="17"/>
    </row>
    <row r="30">
      <c r="A30" s="335" t="s">
        <v>5837</v>
      </c>
      <c r="B30" s="163" t="s">
        <v>5838</v>
      </c>
      <c r="C30" s="335" t="s">
        <v>5839</v>
      </c>
      <c r="D30" s="163" t="s">
        <v>5840</v>
      </c>
      <c r="E30" s="335" t="s">
        <v>5841</v>
      </c>
      <c r="F30" s="163" t="s">
        <v>5842</v>
      </c>
      <c r="G30" s="335" t="str">
        <f>IFERROR(__xludf.DUMMYFUNCTION("GOOGLETRANSLATE(A30,""zh-tw"",""zh"")"),"猛毒杰克爆弹")</f>
        <v>猛毒杰克爆弹</v>
      </c>
      <c r="H30" s="163" t="str">
        <f>IFERROR(__xludf.DUMMYFUNCTION("GOOGLETRANSLATE(B30,""zh-tw"",""zh"")"),"毒属性炸弹")</f>
        <v>毒属性炸弹</v>
      </c>
      <c r="I30" s="337" t="str">
        <f>IFERROR(__xludf.DUMMYFUNCTION("GOOGLETRANSLATE(A30,""zh-tw"",""es-MX"")"),"Bomba Venom Jack")</f>
        <v>Bomba Venom Jack</v>
      </c>
      <c r="J30" s="164" t="str">
        <f>IFERROR(__xludf.DUMMYFUNCTION("GOOGLETRANSLATE(B30,""zh-tw"",""es-MX"")"),"bomba venenosa")</f>
        <v>bomba venenosa</v>
      </c>
      <c r="K30" s="335" t="s">
        <v>5843</v>
      </c>
      <c r="L30" s="163" t="s">
        <v>5844</v>
      </c>
      <c r="M30" s="337" t="str">
        <f>IFERROR(__xludf.DUMMYFUNCTION("GOOGLETRANSLATE(A30,""zh-tw"",""ru"")"),"Веном Джек Бомба")</f>
        <v>Веном Джек Бомба</v>
      </c>
      <c r="N30" s="164" t="str">
        <f>IFERROR(__xludf.DUMMYFUNCTION("GOOGLETRANSLATE(B30,""zh-tw"",""ru"")"),"Ядовитая бомба")</f>
        <v>Ядовитая бомба</v>
      </c>
      <c r="O30" s="335" t="s">
        <v>5845</v>
      </c>
      <c r="P30" s="163" t="s">
        <v>5846</v>
      </c>
      <c r="Q30" s="342" t="s">
        <v>5841</v>
      </c>
      <c r="R30" s="166" t="s">
        <v>5847</v>
      </c>
      <c r="S30" s="17"/>
      <c r="T30" s="17"/>
      <c r="U30" s="17"/>
      <c r="V30" s="17"/>
    </row>
    <row r="31">
      <c r="A31" s="335" t="s">
        <v>5848</v>
      </c>
      <c r="B31" s="163" t="s">
        <v>5849</v>
      </c>
      <c r="C31" s="335" t="str">
        <f>IFERROR(__xludf.DUMMYFUNCTION("GOOGLETRANSLATE(A31,""zh-tw"",""ja"")"),"密封された時計")</f>
        <v>密封された時計</v>
      </c>
      <c r="D31" s="163" t="s">
        <v>5850</v>
      </c>
      <c r="E31" s="335" t="s">
        <v>5851</v>
      </c>
      <c r="F31" s="163" t="s">
        <v>5852</v>
      </c>
      <c r="G31" s="335" t="str">
        <f>IFERROR(__xludf.DUMMYFUNCTION("GOOGLETRANSLATE(A31,""zh-tw"",""zh"")"),"封存的时计")</f>
        <v>封存的时计</v>
      </c>
      <c r="H31" s="163" t="str">
        <f>IFERROR(__xludf.DUMMYFUNCTION("GOOGLETRANSLATE(B31,""zh-tw"",""zh"")"),"范围暂停")</f>
        <v>范围暂停</v>
      </c>
      <c r="I31" s="337" t="str">
        <f>IFERROR(__xludf.DUMMYFUNCTION("GOOGLETRANSLATE(A31,""zh-tw"",""es-MX"")"),"Relojes sellados")</f>
        <v>Relojes sellados</v>
      </c>
      <c r="J31" s="164" t="str">
        <f>IFERROR(__xludf.DUMMYFUNCTION("GOOGLETRANSLATE(B31,""zh-tw"",""es-MX"")"),"Pausa de rango")</f>
        <v>Pausa de rango</v>
      </c>
      <c r="K31" s="335" t="s">
        <v>5853</v>
      </c>
      <c r="L31" s="163" t="s">
        <v>5854</v>
      </c>
      <c r="M31" s="337" t="str">
        <f>IFERROR(__xludf.DUMMYFUNCTION("GOOGLETRANSLATE(A31,""zh-tw"",""ru"")"),"Герметичные часы")</f>
        <v>Герметичные часы</v>
      </c>
      <c r="N31" s="164" t="str">
        <f>IFERROR(__xludf.DUMMYFUNCTION("GOOGLETRANSLATE(B31,""zh-tw"",""ru"")"),"Пауза диапазона")</f>
        <v>Пауза диапазона</v>
      </c>
      <c r="O31" s="335" t="s">
        <v>5855</v>
      </c>
      <c r="P31" s="163" t="s">
        <v>5856</v>
      </c>
      <c r="Q31" s="342" t="s">
        <v>5857</v>
      </c>
      <c r="R31" s="166" t="s">
        <v>5858</v>
      </c>
      <c r="S31" s="17"/>
      <c r="T31" s="17"/>
      <c r="U31" s="17"/>
      <c r="V31" s="17"/>
    </row>
    <row r="32">
      <c r="A32" s="335" t="s">
        <v>5859</v>
      </c>
      <c r="B32" s="163" t="s">
        <v>5860</v>
      </c>
      <c r="C32" s="335" t="str">
        <f>IFERROR(__xludf.DUMMYFUNCTION("GOOGLETRANSLATE(A32,""zh-tw"",""ja"")"),"寿司プリン")</f>
        <v>寿司プリン</v>
      </c>
      <c r="D32" s="163" t="s">
        <v>5861</v>
      </c>
      <c r="E32" s="335" t="s">
        <v>5862</v>
      </c>
      <c r="F32" s="163" t="s">
        <v>5863</v>
      </c>
      <c r="G32" s="335" t="str">
        <f>IFERROR(__xludf.DUMMYFUNCTION("GOOGLETRANSLATE(A32,""zh-tw"",""zh"")"),"寿司布丁")</f>
        <v>寿司布丁</v>
      </c>
      <c r="H32" s="163" t="str">
        <f>IFERROR(__xludf.DUMMYFUNCTION("GOOGLETRANSLATE(B32,""zh-tw"",""zh"")"),"飞向恶魔商店的位置")</f>
        <v>飞向恶魔商店的位置</v>
      </c>
      <c r="I32" s="337" t="str">
        <f>IFERROR(__xludf.DUMMYFUNCTION("GOOGLETRANSLATE(A32,""zh-tw"",""es-MX"")"),"Pudín de sushi")</f>
        <v>Pudín de sushi</v>
      </c>
      <c r="J32" s="164" t="str">
        <f>IFERROR(__xludf.DUMMYFUNCTION("GOOGLETRANSLATE(B32,""zh-tw"",""es-MX"")"),"Vuela hasta la ubicación de la Tienda de Demonios")</f>
        <v>Vuela hasta la ubicación de la Tienda de Demonios</v>
      </c>
      <c r="K32" s="337" t="str">
        <f>IFERROR(__xludf.DUMMYFUNCTION("GOOGLETRANSLATE(A32,""zh-tw"",""KO"")"),"스시 푸딩")</f>
        <v>스시 푸딩</v>
      </c>
      <c r="L32" s="164" t="str">
        <f>IFERROR(__xludf.DUMMYFUNCTION("GOOGLETRANSLATE(B32,""zh-tw"",""KO"")"),"악마상점 위치로 날아가세요")</f>
        <v>악마상점 위치로 날아가세요</v>
      </c>
      <c r="M32" s="337" t="str">
        <f>IFERROR(__xludf.DUMMYFUNCTION("GOOGLETRANSLATE(A32,""zh-tw"",""ru"")"),"Суши-пудинг")</f>
        <v>Суши-пудинг</v>
      </c>
      <c r="N32" s="164" t="str">
        <f>IFERROR(__xludf.DUMMYFUNCTION("GOOGLETRANSLATE(B32,""zh-tw"",""ru"")"),"Летите к месту расположения Демонического Магазина.")</f>
        <v>Летите к месту расположения Демонического Магазина.</v>
      </c>
      <c r="O32" s="335" t="s">
        <v>5862</v>
      </c>
      <c r="P32" s="163" t="s">
        <v>5864</v>
      </c>
      <c r="Q32" s="342" t="s">
        <v>5862</v>
      </c>
      <c r="R32" s="166" t="s">
        <v>5865</v>
      </c>
      <c r="S32" s="17"/>
      <c r="T32" s="17"/>
      <c r="U32" s="17"/>
      <c r="V32" s="17"/>
    </row>
    <row r="33">
      <c r="A33" s="335" t="s">
        <v>5866</v>
      </c>
      <c r="B33" s="163" t="s">
        <v>5867</v>
      </c>
      <c r="C33" s="335" t="str">
        <f>IFERROR(__xludf.DUMMYFUNCTION("GOOGLETRANSLATE(A33,""zh-tw"",""ja"")"),"ポラロイド 1～35")</f>
        <v>ポラロイド 1～35</v>
      </c>
      <c r="D33" s="163" t="s">
        <v>5868</v>
      </c>
      <c r="E33" s="335" t="s">
        <v>5869</v>
      </c>
      <c r="F33" s="163" t="s">
        <v>5870</v>
      </c>
      <c r="G33" s="335" t="str">
        <f>IFERROR(__xludf.DUMMYFUNCTION("GOOGLETRANSLATE(A33,""zh-tw"",""zh"")"),"拍立得1~35")</f>
        <v>拍立得1~35</v>
      </c>
      <c r="H33" s="163" t="str">
        <f>IFERROR(__xludf.DUMMYFUNCTION("GOOGLETRANSLATE(B33,""zh-tw"",""zh"")"),"查看优质照片")</f>
        <v>查看优质照片</v>
      </c>
      <c r="I33" s="337" t="str">
        <f>IFERROR(__xludf.DUMMYFUNCTION("GOOGLETRANSLATE(A33,""zh-tw"",""es-MX"")"),"Polaroid 1~35")</f>
        <v>Polaroid 1~35</v>
      </c>
      <c r="J33" s="164" t="str">
        <f>IFERROR(__xludf.DUMMYFUNCTION("GOOGLETRANSLATE(B33,""zh-tw"",""es-MX"")"),"Ver fotos de alta calidad")</f>
        <v>Ver fotos de alta calidad</v>
      </c>
      <c r="K33" s="337" t="str">
        <f>IFERROR(__xludf.DUMMYFUNCTION("GOOGLETRANSLATE(A33,""zh-tw"",""KO"")"),"폴라로이드 1~35")</f>
        <v>폴라로이드 1~35</v>
      </c>
      <c r="L33" s="164" t="str">
        <f>IFERROR(__xludf.DUMMYFUNCTION("GOOGLETRANSLATE(B33,""zh-tw"",""KO"")"),"고품질 사진 보기")</f>
        <v>고품질 사진 보기</v>
      </c>
      <c r="M33" s="337" t="str">
        <f>IFERROR(__xludf.DUMMYFUNCTION("GOOGLETRANSLATE(A33,""zh-tw"",""ru"")"),"Полароид 1~35")</f>
        <v>Полароид 1~35</v>
      </c>
      <c r="N33" s="164" t="str">
        <f>IFERROR(__xludf.DUMMYFUNCTION("GOOGLETRANSLATE(B33,""zh-tw"",""ru"")"),"Посмотреть качественные фотографии")</f>
        <v>Посмотреть качественные фотографии</v>
      </c>
      <c r="O33" s="335" t="s">
        <v>5871</v>
      </c>
      <c r="P33" s="163" t="s">
        <v>5872</v>
      </c>
      <c r="Q33" s="342" t="s">
        <v>5869</v>
      </c>
      <c r="R33" s="166" t="s">
        <v>5873</v>
      </c>
      <c r="S33" s="17"/>
      <c r="T33" s="17"/>
      <c r="U33" s="17"/>
      <c r="V33" s="17"/>
    </row>
    <row r="34">
      <c r="A34" s="335" t="s">
        <v>5874</v>
      </c>
      <c r="B34" s="163" t="s">
        <v>5875</v>
      </c>
      <c r="C34" s="335" t="s">
        <v>5876</v>
      </c>
      <c r="D34" s="163" t="s">
        <v>5877</v>
      </c>
      <c r="E34" s="335" t="s">
        <v>5878</v>
      </c>
      <c r="F34" s="163" t="s">
        <v>5879</v>
      </c>
      <c r="G34" s="335" t="str">
        <f>IFERROR(__xludf.DUMMYFUNCTION("GOOGLETRANSLATE(A34,""zh-tw"",""zh"")"),"魔力小凝胶")</f>
        <v>魔力小凝胶</v>
      </c>
      <c r="H34" s="163" t="str">
        <f>IFERROR(__xludf.DUMMYFUNCTION("GOOGLETRANSLATE(B34,""zh-tw"",""zh"")"),"扩充格子")</f>
        <v>扩充格子</v>
      </c>
      <c r="I34" s="337" t="str">
        <f>IFERROR(__xludf.DUMMYFUNCTION("GOOGLETRANSLATE(A34,""zh-tw"",""es-MX"")"),"Gel mágico")</f>
        <v>Gel mágico</v>
      </c>
      <c r="J34" s="164" t="str">
        <f>IFERROR(__xludf.DUMMYFUNCTION("GOOGLETRANSLATE(B34,""zh-tw"",""es-MX"")"),"Expandir la cuadrícula")</f>
        <v>Expandir la cuadrícula</v>
      </c>
      <c r="K34" s="336" t="s">
        <v>5880</v>
      </c>
      <c r="L34" s="164" t="str">
        <f>IFERROR(__xludf.DUMMYFUNCTION("GOOGLETRANSLATE(B34,""zh-tw"",""KO"")"),"그리드 확장")</f>
        <v>그리드 확장</v>
      </c>
      <c r="M34" s="337" t="str">
        <f>IFERROR(__xludf.DUMMYFUNCTION("GOOGLETRANSLATE(A34,""zh-tw"",""ru"")"),"Волшебный гель")</f>
        <v>Волшебный гель</v>
      </c>
      <c r="N34" s="164" t="str">
        <f>IFERROR(__xludf.DUMMYFUNCTION("GOOGLETRANSLATE(B34,""zh-tw"",""ru"")"),"Развернуть сетку")</f>
        <v>Развернуть сетку</v>
      </c>
      <c r="O34" s="335" t="s">
        <v>5881</v>
      </c>
      <c r="P34" s="163" t="s">
        <v>5882</v>
      </c>
      <c r="Q34" s="342" t="s">
        <v>5883</v>
      </c>
      <c r="R34" s="166" t="s">
        <v>5884</v>
      </c>
      <c r="S34" s="17"/>
      <c r="T34" s="17"/>
      <c r="U34" s="17"/>
      <c r="V34" s="17"/>
    </row>
    <row r="35">
      <c r="A35" s="335" t="s">
        <v>5885</v>
      </c>
      <c r="B35" s="163" t="s">
        <v>5886</v>
      </c>
      <c r="C35" s="335" t="s">
        <v>5887</v>
      </c>
      <c r="D35" s="163" t="s">
        <v>5888</v>
      </c>
      <c r="E35" s="335" t="s">
        <v>5889</v>
      </c>
      <c r="F35" s="163" t="s">
        <v>5890</v>
      </c>
      <c r="G35" s="335" t="str">
        <f>IFERROR(__xludf.DUMMYFUNCTION("GOOGLETRANSLATE(A35,""zh-tw"",""zh"")"),"百合同人本")</f>
        <v>百合同人本</v>
      </c>
      <c r="H35" s="163" t="str">
        <f>IFERROR(__xludf.DUMMYFUNCTION("GOOGLETRANSLATE(B35,""zh-tw"",""zh"")"),"提升性欲
(战车商店贩售)")</f>
        <v>提升性欲
(战车商店贩售)</v>
      </c>
      <c r="I35" s="337" t="str">
        <f>IFERROR(__xludf.DUMMYFUNCTION("GOOGLETRANSLATE(A35,""zh-tw"",""es-MX"")"),"Baihehehehehe")</f>
        <v>Baihehehehehe</v>
      </c>
      <c r="J35" s="164" t="str">
        <f>IFERROR(__xludf.DUMMYFUNCTION("GOOGLETRANSLATE(B35,""zh-tw"",""es-MX"")"),"Aumenta la libido
(Disponible en la tienda Tank Shop)")</f>
        <v>Aumenta la libido
(Disponible en la tienda Tank Shop)</v>
      </c>
      <c r="K35" s="337" t="str">
        <f>IFERROR(__xludf.DUMMYFUNCTION("GOOGLETRANSLATE(A35,""zh-tw"",""KO"")"),"바이헤헤헤헤헤")</f>
        <v>바이헤헤헤헤헤</v>
      </c>
      <c r="L35" s="163" t="s">
        <v>5891</v>
      </c>
      <c r="M35" s="337" t="str">
        <f>IFERROR(__xludf.DUMMYFUNCTION("GOOGLETRANSLATE(A35,""zh-tw"",""ru"")"),"Байхехехехе")</f>
        <v>Байхехехехе</v>
      </c>
      <c r="N35" s="164" t="str">
        <f>IFERROR(__xludf.DUMMYFUNCTION("GOOGLETRANSLATE(B35,""zh-tw"",""ru"")"),"Повышает либидо
(Продаётся в магазине Tank Shop)")</f>
        <v>Повышает либидо
(Продаётся в магазине Tank Shop)</v>
      </c>
      <c r="O35" s="335" t="s">
        <v>5892</v>
      </c>
      <c r="P35" s="163" t="s">
        <v>5893</v>
      </c>
      <c r="Q35" s="342" t="s">
        <v>5894</v>
      </c>
      <c r="R35" s="166" t="s">
        <v>5895</v>
      </c>
      <c r="S35" s="17"/>
      <c r="T35" s="17"/>
      <c r="U35" s="17"/>
      <c r="V35" s="17"/>
    </row>
    <row r="36">
      <c r="A36" s="335" t="s">
        <v>5896</v>
      </c>
      <c r="B36" s="163" t="s">
        <v>5886</v>
      </c>
      <c r="C36" s="335" t="s">
        <v>5897</v>
      </c>
      <c r="D36" s="163" t="s">
        <v>5898</v>
      </c>
      <c r="E36" s="335" t="s">
        <v>5899</v>
      </c>
      <c r="F36" s="163" t="s">
        <v>5890</v>
      </c>
      <c r="G36" s="335" t="str">
        <f>IFERROR(__xludf.DUMMYFUNCTION("GOOGLETRANSLATE(A36,""zh-tw"",""zh"")"),"萌萌同人本")</f>
        <v>萌萌同人本</v>
      </c>
      <c r="H36" s="163" t="str">
        <f>IFERROR(__xludf.DUMMYFUNCTION("GOOGLETRANSLATE(B36,""zh-tw"",""zh"")"),"提升性欲
(战车商店贩售)")</f>
        <v>提升性欲
(战车商店贩售)</v>
      </c>
      <c r="I36" s="337" t="str">
        <f>IFERROR(__xludf.DUMMYFUNCTION("GOOGLETRANSLATE(A36,""zh-tw"",""es-MX"")"),"lindo doujinshi")</f>
        <v>lindo doujinshi</v>
      </c>
      <c r="J36" s="164" t="str">
        <f>IFERROR(__xludf.DUMMYFUNCTION("GOOGLETRANSLATE(B36,""zh-tw"",""es-MX"")"),"Aumenta la libido
(Disponible en la tienda Tank Shop)")</f>
        <v>Aumenta la libido
(Disponible en la tienda Tank Shop)</v>
      </c>
      <c r="K36" s="336" t="s">
        <v>5880</v>
      </c>
      <c r="L36" s="164" t="str">
        <f>IFERROR(__xludf.DUMMYFUNCTION("GOOGLETRANSLATE(B36,""zh-tw"",""KO"")"),"성욕 증진
(탱크샵에서 구매 가능)")</f>
        <v>성욕 증진
(탱크샵에서 구매 가능)</v>
      </c>
      <c r="M36" s="337" t="str">
        <f>IFERROR(__xludf.DUMMYFUNCTION("GOOGLETRANSLATE(A36,""zh-tw"",""ru"")"),"Милый додзинси")</f>
        <v>Милый додзинси</v>
      </c>
      <c r="N36" s="164" t="str">
        <f>IFERROR(__xludf.DUMMYFUNCTION("GOOGLETRANSLATE(B36,""zh-tw"",""ru"")"),"Повышает либидо
(Продаётся в магазине Tank Shop)")</f>
        <v>Повышает либидо
(Продаётся в магазине Tank Shop)</v>
      </c>
      <c r="O36" s="335" t="s">
        <v>5881</v>
      </c>
      <c r="P36" s="163" t="s">
        <v>5882</v>
      </c>
      <c r="Q36" s="342" t="s">
        <v>5900</v>
      </c>
      <c r="R36" s="166" t="s">
        <v>5895</v>
      </c>
      <c r="S36" s="17"/>
      <c r="T36" s="17"/>
      <c r="U36" s="17"/>
      <c r="V36" s="17"/>
    </row>
    <row r="37">
      <c r="A37" s="335" t="s">
        <v>5901</v>
      </c>
      <c r="B37" s="163" t="s">
        <v>5902</v>
      </c>
      <c r="C37" s="335" t="s">
        <v>5903</v>
      </c>
      <c r="D37" s="163" t="s">
        <v>5904</v>
      </c>
      <c r="E37" s="335" t="s">
        <v>5905</v>
      </c>
      <c r="F37" s="163" t="s">
        <v>5906</v>
      </c>
      <c r="G37" s="335" t="str">
        <f>IFERROR(__xludf.DUMMYFUNCTION("GOOGLETRANSLATE(A37,""zh-tw"",""zh"")"),"电风扇")</f>
        <v>电风扇</v>
      </c>
      <c r="H37" s="163" t="str">
        <f>IFERROR(__xludf.DUMMYFUNCTION("GOOGLETRANSLATE(B37,""zh-tw"",""zh"")"),"炎热剧情道具
(战车商店贩售)")</f>
        <v>炎热剧情道具
(战车商店贩售)</v>
      </c>
      <c r="I37" s="337" t="str">
        <f>IFERROR(__xludf.DUMMYFUNCTION("GOOGLETRANSLATE(A37,""zh-tw"",""es-MX"")"),"ventilador eléctrico")</f>
        <v>ventilador eléctrico</v>
      </c>
      <c r="J37" s="164" t="str">
        <f>IFERROR(__xludf.DUMMYFUNCTION("GOOGLETRANSLATE(B37,""zh-tw"",""es-MX"")"),"Artículos de la historia con temática de calor
(Se venden en la tienda de tanques)")</f>
        <v>Artículos de la historia con temática de calor
(Se venden en la tienda de tanques)</v>
      </c>
      <c r="K37" s="337" t="str">
        <f>IFERROR(__xludf.DUMMYFUNCTION("GOOGLETRANSLATE(A37,""zh-tw"",""KO"")"),"선풍기")</f>
        <v>선풍기</v>
      </c>
      <c r="L37" s="163" t="s">
        <v>5891</v>
      </c>
      <c r="M37" s="337" t="str">
        <f>IFERROR(__xludf.DUMMYFUNCTION("GOOGLETRANSLATE(A37,""zh-tw"",""ru"")"),"электрический вентилятор")</f>
        <v>электрический вентилятор</v>
      </c>
      <c r="N37" s="164" t="str">
        <f>IFERROR(__xludf.DUMMYFUNCTION("GOOGLETRANSLATE(B37,""zh-tw"",""ru"")"),"Предметы для сюжетной линии, связанные с актуальной тематикой
(Продаются в магазине танков)")</f>
        <v>Предметы для сюжетной линии, связанные с актуальной тематикой
(Продаются в магазине танков)</v>
      </c>
      <c r="O37" s="335" t="s">
        <v>5892</v>
      </c>
      <c r="P37" s="163" t="s">
        <v>5893</v>
      </c>
      <c r="Q37" s="342" t="s">
        <v>5907</v>
      </c>
      <c r="R37" s="166" t="s">
        <v>5908</v>
      </c>
      <c r="S37" s="17"/>
      <c r="T37" s="17"/>
      <c r="U37" s="17"/>
      <c r="V37" s="17"/>
    </row>
    <row r="38">
      <c r="A38" s="341" t="s">
        <v>5909</v>
      </c>
      <c r="B38" s="164" t="s">
        <v>5910</v>
      </c>
      <c r="C38" s="337" t="s">
        <v>5911</v>
      </c>
      <c r="D38" s="164" t="s">
        <v>5912</v>
      </c>
      <c r="E38" s="337" t="s">
        <v>5913</v>
      </c>
      <c r="F38" s="164" t="s">
        <v>5914</v>
      </c>
      <c r="G38" s="335" t="str">
        <f>IFERROR(__xludf.DUMMYFUNCTION("GOOGLETRANSLATE(A38,""zh-tw"",""zh"")"),"茶点心券")</f>
        <v>茶点心券</v>
      </c>
      <c r="H38" s="163" t="str">
        <f>IFERROR(__xludf.DUMMYFUNCTION("GOOGLETRANSLATE(B38,""zh-tw"",""zh"")"),"于扭蛋机取得
可于下次使用时必定获得金色扭蛋
(当使用扭蛋机爆炸时，额外的数值越多，越容易获得""茶点心券"")")</f>
        <v>于扭蛋机取得
可于下次使用时必定获得金色扭蛋
(当使用扭蛋机爆炸时，额外的数值越多，越容易获得"茶点心券")</v>
      </c>
      <c r="I38" s="337" t="str">
        <f>IFERROR(__xludf.DUMMYFUNCTION("GOOGLETRANSLATE(A38,""zh-tw"",""es-MX"")"),"cupones para té y refrigerios")</f>
        <v>cupones para té y refrigerios</v>
      </c>
      <c r="J38" s="164" t="str">
        <f>IFERROR(__xludf.DUMMYFUNCTION("GOOGLETRANSLATE(B38,""zh-tw"",""es-MX"")"),"Se obtiene de la máquina de gashapon.
Garantiza obtener un gashapon dorado en el siguiente uso.
(Cuantos más puntos de bonificación obtengas al explotar la máquina de gashapon, más fácil será conseguir ""tickets para té y refrigerio"").")</f>
        <v>Se obtiene de la máquina de gashapon.
Garantiza obtener un gashapon dorado en el siguiente uso.
(Cuantos más puntos de bonificación obtengas al explotar la máquina de gashapon, más fácil será conseguir "tickets para té y refrigerio").</v>
      </c>
      <c r="K38" s="337" t="str">
        <f>IFERROR(__xludf.DUMMYFUNCTION("GOOGLETRANSLATE(A38,""zh-tw"",""KO"")"),"차와 간식 쿠폰")</f>
        <v>차와 간식 쿠폰</v>
      </c>
      <c r="L38" s="164" t="str">
        <f>IFERROR(__xludf.DUMMYFUNCTION("GOOGLETRANSLATE(B38,""zh-tw"",""KO"")"),"가샤폰 기계에서 획득합니다.
다음 사용 시 골드 가샤폰을 획득할 수 있습니다.
(가샤폰 기계가 폭발할 때 얻는 보너스 포인트가 많을수록 ""차와 간식 티켓""을 획득하기가 더 쉬워집니다.)")</f>
        <v>가샤폰 기계에서 획득합니다.
다음 사용 시 골드 가샤폰을 획득할 수 있습니다.
(가샤폰 기계가 폭발할 때 얻는 보너스 포인트가 많을수록 "차와 간식 티켓"을 획득하기가 더 쉬워집니다.)</v>
      </c>
      <c r="M38" s="337" t="str">
        <f>IFERROR(__xludf.DUMMYFUNCTION("GOOGLETRANSLATE(A38,""zh-tw"",""ru"")"),"Купоны на чай и закуски")</f>
        <v>Купоны на чай и закуски</v>
      </c>
      <c r="N38" s="164" t="str">
        <f>IFERROR(__xludf.DUMMYFUNCTION("GOOGLETRANSLATE(B38,""zh-tw"",""ru"")"),"Получается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f>
        <v>Получается из автомата с гасяпоном.
Гарантированно получите золотой гасяпон при следующем использовании.
(Чем больше бонусных очков вы получите при взрыве автомата с гасяпоном, тем легче будет получить «талоны на чай и закуски»).</v>
      </c>
      <c r="O38" s="335" t="s">
        <v>5915</v>
      </c>
      <c r="P38" s="163" t="s">
        <v>5916</v>
      </c>
      <c r="Q38" s="342" t="s">
        <v>5917</v>
      </c>
      <c r="R38" s="187" t="s">
        <v>5918</v>
      </c>
      <c r="S38" s="17"/>
      <c r="T38" s="17"/>
      <c r="U38" s="17"/>
      <c r="V38" s="17"/>
    </row>
    <row r="39">
      <c r="A39" s="335" t="s">
        <v>5919</v>
      </c>
      <c r="B39" s="163" t="s">
        <v>5920</v>
      </c>
      <c r="C39" s="335" t="s">
        <v>5921</v>
      </c>
      <c r="D39" s="163" t="s">
        <v>5922</v>
      </c>
      <c r="E39" s="335" t="s">
        <v>5923</v>
      </c>
      <c r="F39" s="163" t="s">
        <v>5924</v>
      </c>
      <c r="G39" s="335" t="str">
        <f>IFERROR(__xludf.DUMMYFUNCTION("GOOGLETRANSLATE(A39,""zh-tw"",""zh"")"),"超敏软Q水馒头")</f>
        <v>超敏软Q水馒头</v>
      </c>
      <c r="H39" s="163" t="str">
        <f>IFERROR(__xludf.DUMMYFUNCTION("GOOGLETRANSLATE(B39,""zh-tw"",""zh"")"),"于AKI商店购买
提升敏感度")</f>
        <v>于AKI商店购买
提升敏感度</v>
      </c>
      <c r="I39" s="337" t="str">
        <f>IFERROR(__xludf.DUMMYFUNCTION("GOOGLETRANSLATE(A39,""zh-tw"",""es-MX"")"),"Bollos al vapor súper suaves y masticables")</f>
        <v>Bollos al vapor súper suaves y masticables</v>
      </c>
      <c r="J39" s="164" t="str">
        <f>IFERROR(__xludf.DUMMYFUNCTION("GOOGLETRANSLATE(B39,""zh-tw"",""es-MX"")"),"Adquirido en AKI Store")</f>
        <v>Adquirido en AKI Store</v>
      </c>
      <c r="K39" s="337" t="str">
        <f>IFERROR(__xludf.DUMMYFUNCTION("GOOGLETRANSLATE(A39,""zh-tw"",""KO"")"),"초민감성 부드럽고 쫄깃한 찐빵")</f>
        <v>초민감성 부드럽고 쫄깃한 찐빵</v>
      </c>
      <c r="L39" s="164" t="str">
        <f>IFERROR(__xludf.DUMMYFUNCTION("GOOGLETRANSLATE(B39,""zh-tw"",""KO"")"),"AKI 스토어에서 구매
민감도 증가")</f>
        <v>AKI 스토어에서 구매
민감도 증가</v>
      </c>
      <c r="M39" s="337" t="str">
        <f>IFERROR(__xludf.DUMMYFUNCTION("GOOGLETRANSLATE(A39,""zh-tw"",""ru"")"),"Суперчувствительные, мягкие и жевательные паровые булочки")</f>
        <v>Суперчувствительные, мягкие и жевательные паровые булочки</v>
      </c>
      <c r="N39" s="164" t="str">
        <f>IFERROR(__xludf.DUMMYFUNCTION("GOOGLETRANSLATE(B39,""zh-tw"",""ru"")"),"Куплено в магазине AKI
Повышает чувствительность")</f>
        <v>Куплено в магазине AKI
Повышает чувствительность</v>
      </c>
      <c r="O39" s="335" t="s">
        <v>5925</v>
      </c>
      <c r="P39" s="163" t="s">
        <v>5926</v>
      </c>
      <c r="Q39" s="342" t="s">
        <v>5927</v>
      </c>
      <c r="R39" s="166" t="s">
        <v>5928</v>
      </c>
      <c r="S39" s="17"/>
      <c r="T39" s="17"/>
      <c r="U39" s="17"/>
      <c r="V39" s="17"/>
    </row>
    <row r="40">
      <c r="A40" s="341" t="s">
        <v>5929</v>
      </c>
      <c r="B40" s="164" t="s">
        <v>5930</v>
      </c>
      <c r="C40" s="337" t="s">
        <v>5931</v>
      </c>
      <c r="D40" s="164" t="s">
        <v>5932</v>
      </c>
      <c r="E40" s="337" t="s">
        <v>5933</v>
      </c>
      <c r="F40" s="164" t="s">
        <v>5934</v>
      </c>
      <c r="G40" s="335" t="str">
        <f>IFERROR(__xludf.DUMMYFUNCTION("GOOGLETRANSLATE(A40,""zh-tw"",""zh"")"),"卢恩符文Kenaz")</f>
        <v>卢恩符文Kenaz</v>
      </c>
      <c r="H40" s="163" t="str">
        <f>IFERROR(__xludf.DUMMYFUNCTION("GOOGLETRANSLATE(B40,""zh-tw"",""zh"")"),"将目标变为炸弹
依照对方体型，影响爆炸范围")</f>
        <v>将目标变为炸弹
依照对方体型，影响爆炸范围</v>
      </c>
      <c r="I40" s="337" t="str">
        <f>IFERROR(__xludf.DUMMYFUNCTION("GOOGLETRANSLATE(A40,""zh-tw"",""es-MX"")"),"Runa Kenaz")</f>
        <v>Runa Kenaz</v>
      </c>
      <c r="J40" s="164" t="str">
        <f>IFERROR(__xludf.DUMMYFUNCTION("GOOGLETRANSLATE(B40,""zh-tw"",""es-MX"")"),"Convierte el objetivo en una bomba. Ajusta el radio de explosión según el tamaño del objetivo.")</f>
        <v>Convierte el objetivo en una bomba. Ajusta el radio de explosión según el tamaño del objetivo.</v>
      </c>
      <c r="K40" s="337" t="str">
        <f>IFERROR(__xludf.DUMMYFUNCTION("GOOGLETRANSLATE(A40,""zh-tw"",""KO"")"),"룬 케나즈")</f>
        <v>룬 케나즈</v>
      </c>
      <c r="L40" s="164" t="str">
        <f>IFERROR(__xludf.DUMMYFUNCTION("GOOGLETRANSLATE(B40,""zh-tw"",""KO"")"),"목표물을 폭탄으로 만듭니다. 목표물의 크기에 따라 폭발 반경을 조정하세요.")</f>
        <v>목표물을 폭탄으로 만듭니다. 목표물의 크기에 따라 폭발 반경을 조정하세요.</v>
      </c>
      <c r="M40" s="337" t="str">
        <f>IFERROR(__xludf.DUMMYFUNCTION("GOOGLETRANSLATE(A40,""zh-tw"",""ru"")"),"Руна Кеназ")</f>
        <v>Руна Кеназ</v>
      </c>
      <c r="N40" s="164" t="str">
        <f>IFERROR(__xludf.DUMMYFUNCTION("GOOGLETRANSLATE(B40,""zh-tw"",""ru"")"),"Превратите цель в бомбу. Отрегулируйте радиус взрыва в зависимости от размера цели.")</f>
        <v>Превратите цель в бомбу. Отрегулируйте радиус взрыва в зависимости от размера цели.</v>
      </c>
      <c r="O40" s="337" t="s">
        <v>5933</v>
      </c>
      <c r="P40" s="164" t="s">
        <v>5934</v>
      </c>
      <c r="Q40" s="342" t="s">
        <v>5933</v>
      </c>
      <c r="R40" s="183" t="s">
        <v>5935</v>
      </c>
      <c r="S40" s="17"/>
      <c r="T40" s="17"/>
      <c r="U40" s="17"/>
      <c r="V40" s="17"/>
    </row>
    <row r="41">
      <c r="A41" s="335" t="s">
        <v>5936</v>
      </c>
      <c r="B41" s="163" t="s">
        <v>5937</v>
      </c>
      <c r="C41" s="337" t="str">
        <f>IFERROR(__xludf.DUMMYFUNCTION("GOOGLETRANSLATE(A41,""zh-tw"",""ja"")"),"ブルーサファイア")</f>
        <v>ブルーサファイア</v>
      </c>
      <c r="D41" s="164" t="str">
        <f>IFERROR(__xludf.DUMMYFUNCTION("GOOGLETRANSLATE(B41,""zh-tw"",""ja"")"),"現時点では（宝石を）引き換える方法はありません。")</f>
        <v>現時点では（宝石を）引き換える方法はありません。</v>
      </c>
      <c r="E41" s="335" t="s">
        <v>5938</v>
      </c>
      <c r="F41" s="163" t="s">
        <v>5939</v>
      </c>
      <c r="G41" s="335" t="str">
        <f>IFERROR(__xludf.DUMMYFUNCTION("GOOGLETRANSLATE(A41,""zh-tw"",""zh"")"),"蓝辉石")</f>
        <v>蓝辉石</v>
      </c>
      <c r="H41" s="163" t="str">
        <f>IFERROR(__xludf.DUMMYFUNCTION("GOOGLETRANSLATE(B41,""zh-tw"",""zh"")"),"目前没有兑换方式
(宝石)")</f>
        <v>目前没有兑换方式
(宝石)</v>
      </c>
      <c r="I41" s="337" t="str">
        <f>IFERROR(__xludf.DUMMYFUNCTION("GOOGLETRANSLATE(A41,""zh-tw"",""es-MX"")"),"zafiro azul")</f>
        <v>zafiro azul</v>
      </c>
      <c r="J41" s="164" t="str">
        <f>IFERROR(__xludf.DUMMYFUNCTION("GOOGLETRANSLATE(B41,""zh-tw"",""es-MX"")"),"Actualmente no hay forma de canjear (gemas).")</f>
        <v>Actualmente no hay forma de canjear (gemas).</v>
      </c>
      <c r="K41" s="337" t="str">
        <f>IFERROR(__xludf.DUMMYFUNCTION("GOOGLETRANSLATE(A41,""zh-tw"",""KO"")"),"블루 사파이어")</f>
        <v>블루 사파이어</v>
      </c>
      <c r="L41" s="164" t="str">
        <f>IFERROR(__xludf.DUMMYFUNCTION("GOOGLETRANSLATE(B41,""zh-tw"",""KO"")"),"현재로선 (보석)을 교환할 방법이 없습니다.")</f>
        <v>현재로선 (보석)을 교환할 방법이 없습니다.</v>
      </c>
      <c r="M41" s="337" t="str">
        <f>IFERROR(__xludf.DUMMYFUNCTION("GOOGLETRANSLATE(A41,""zh-tw"",""ru"")"),"Синий сапфир")</f>
        <v>Синий сапфир</v>
      </c>
      <c r="N41" s="164" t="str">
        <f>IFERROR(__xludf.DUMMYFUNCTION("GOOGLETRANSLATE(B41,""zh-tw"",""ru"")"),"В настоящее время нет возможности выкупа (драгоценных камней).")</f>
        <v>В настоящее время нет возможности выкупа (драгоценных камней).</v>
      </c>
      <c r="O41" s="336" t="s">
        <v>5940</v>
      </c>
      <c r="P41" s="319" t="s">
        <v>5941</v>
      </c>
      <c r="Q41" s="356" t="s">
        <v>5942</v>
      </c>
      <c r="R41" s="166" t="s">
        <v>5943</v>
      </c>
      <c r="S41" s="17"/>
      <c r="T41" s="17"/>
      <c r="U41" s="17"/>
      <c r="V41" s="17"/>
    </row>
    <row r="42">
      <c r="A42" s="335" t="s">
        <v>5944</v>
      </c>
      <c r="B42" s="163" t="s">
        <v>5937</v>
      </c>
      <c r="C42" s="335" t="s">
        <v>5945</v>
      </c>
      <c r="D42" s="163" t="s">
        <v>5946</v>
      </c>
      <c r="E42" s="335" t="s">
        <v>5947</v>
      </c>
      <c r="F42" s="163" t="s">
        <v>2688</v>
      </c>
      <c r="G42" s="335" t="str">
        <f>IFERROR(__xludf.DUMMYFUNCTION("GOOGLETRANSLATE(A42,""zh-tw"",""zh"")"),"火菱石")</f>
        <v>火菱石</v>
      </c>
      <c r="H42" s="163" t="str">
        <f>IFERROR(__xludf.DUMMYFUNCTION("GOOGLETRANSLATE(B42,""zh-tw"",""zh"")"),"目前没有兑换方式
(宝石)")</f>
        <v>目前没有兑换方式
(宝石)</v>
      </c>
      <c r="I42" s="337" t="str">
        <f>IFERROR(__xludf.DUMMYFUNCTION("GOOGLETRANSLATE(A42,""zh-tw"",""es-MX"")"),"Firestone")</f>
        <v>Firestone</v>
      </c>
      <c r="J42" s="164" t="str">
        <f>IFERROR(__xludf.DUMMYFUNCTION("GOOGLETRANSLATE(B42,""zh-tw"",""es-MX"")"),"Actualmente no hay forma de canjear (gemas).")</f>
        <v>Actualmente no hay forma de canjear (gemas).</v>
      </c>
      <c r="K42" s="337" t="str">
        <f>IFERROR(__xludf.DUMMYFUNCTION("GOOGLETRANSLATE(A42,""zh-tw"",""KO"")"),"파이어스톤")</f>
        <v>파이어스톤</v>
      </c>
      <c r="L42" s="164" t="str">
        <f>IFERROR(__xludf.DUMMYFUNCTION("GOOGLETRANSLATE(B42,""zh-tw"",""KO"")"),"현재로선 (보석)을 교환할 방법이 없습니다.")</f>
        <v>현재로선 (보석)을 교환할 방법이 없습니다.</v>
      </c>
      <c r="M42" s="337" t="str">
        <f>IFERROR(__xludf.DUMMYFUNCTION("GOOGLETRANSLATE(A42,""zh-tw"",""ru"")"),"Файрстоун")</f>
        <v>Файрстоун</v>
      </c>
      <c r="N42" s="164" t="str">
        <f>IFERROR(__xludf.DUMMYFUNCTION("GOOGLETRANSLATE(B42,""zh-tw"",""ru"")"),"В настоящее время нет возможности выкупа (драгоценных камней).")</f>
        <v>В настоящее время нет возможности выкупа (драгоценных камней).</v>
      </c>
      <c r="O42" s="335" t="s">
        <v>5948</v>
      </c>
      <c r="P42" s="163" t="s">
        <v>5949</v>
      </c>
      <c r="Q42" s="356" t="s">
        <v>5950</v>
      </c>
      <c r="R42" s="166" t="s">
        <v>3201</v>
      </c>
      <c r="S42" s="17"/>
      <c r="T42" s="17"/>
      <c r="U42" s="17"/>
      <c r="V42" s="17"/>
    </row>
    <row r="43">
      <c r="A43" s="341" t="s">
        <v>5951</v>
      </c>
      <c r="B43" s="164" t="s">
        <v>5952</v>
      </c>
      <c r="C43" s="335" t="s">
        <v>5953</v>
      </c>
      <c r="D43" s="163" t="s">
        <v>5954</v>
      </c>
      <c r="E43" s="335" t="s">
        <v>5955</v>
      </c>
      <c r="F43" s="163" t="s">
        <v>5956</v>
      </c>
      <c r="G43" s="335" t="str">
        <f>IFERROR(__xludf.DUMMYFUNCTION("GOOGLETRANSLATE(A43,""zh-tw"",""zh"")"),"茶会拍立得收藏集")</f>
        <v>茶会拍立得收藏集</v>
      </c>
      <c r="H43" s="163" t="str">
        <f>IFERROR(__xludf.DUMMYFUNCTION("GOOGLETRANSLATE(B43,""zh-tw"",""zh"")"),"完成后提升幸运值")</f>
        <v>完成后提升幸运值</v>
      </c>
      <c r="I43" s="337" t="str">
        <f>IFERROR(__xludf.DUMMYFUNCTION("GOOGLETRANSLATE(A43,""zh-tw"",""es-MX"")"),"Colección de Polaroid de Fiestas de Té")</f>
        <v>Colección de Polaroid de Fiestas de Té</v>
      </c>
      <c r="J43" s="164" t="str">
        <f>IFERROR(__xludf.DUMMYFUNCTION("GOOGLETRANSLATE(B43,""zh-tw"",""es-MX"")"),"Aumenta el valor de suerte al completarlo.")</f>
        <v>Aumenta el valor de suerte al completarlo.</v>
      </c>
      <c r="K43" s="337" t="str">
        <f>IFERROR(__xludf.DUMMYFUNCTION("GOOGLETRANSLATE(A43,""zh-tw"",""KO"")"),"티파티 폴라로이드 컬렉션")</f>
        <v>티파티 폴라로이드 컬렉션</v>
      </c>
      <c r="L43" s="164" t="str">
        <f>IFERROR(__xludf.DUMMYFUNCTION("GOOGLETRANSLATE(B43,""zh-tw"",""KO"")"),"완료 시 행운 수치 증가")</f>
        <v>완료 시 행운 수치 증가</v>
      </c>
      <c r="M43" s="337" t="str">
        <f>IFERROR(__xludf.DUMMYFUNCTION("GOOGLETRANSLATE(A43,""zh-tw"",""ru"")"),"Коллекция Polaroid «Чаепитие»")</f>
        <v>Коллекция Polaroid «Чаепитие»</v>
      </c>
      <c r="N43" s="164" t="str">
        <f>IFERROR(__xludf.DUMMYFUNCTION("GOOGLETRANSLATE(B43,""zh-tw"",""ru"")"),"Увеличьте значение удачи после завершения")</f>
        <v>Увеличьте значение удачи после завершения</v>
      </c>
      <c r="O43" s="335" t="s">
        <v>5957</v>
      </c>
      <c r="P43" s="163" t="s">
        <v>5958</v>
      </c>
      <c r="Q43" s="356" t="s">
        <v>5959</v>
      </c>
      <c r="R43" s="187" t="s">
        <v>5960</v>
      </c>
      <c r="S43" s="17"/>
      <c r="T43" s="17"/>
      <c r="U43" s="17"/>
      <c r="V43" s="17"/>
    </row>
    <row r="44">
      <c r="A44" s="335" t="s">
        <v>5961</v>
      </c>
      <c r="B44" s="163" t="s">
        <v>5962</v>
      </c>
      <c r="C44" s="335" t="s">
        <v>5963</v>
      </c>
      <c r="D44" s="163" t="s">
        <v>5964</v>
      </c>
      <c r="E44" s="335" t="s">
        <v>5965</v>
      </c>
      <c r="F44" s="163" t="s">
        <v>5966</v>
      </c>
      <c r="G44" s="335" t="str">
        <f>IFERROR(__xludf.DUMMYFUNCTION("GOOGLETRANSLATE(A44,""zh-tw"",""zh"")"),"银坷拉")</f>
        <v>银坷拉</v>
      </c>
      <c r="H44" s="163" t="str">
        <f>IFERROR(__xludf.DUMMYFUNCTION("GOOGLETRANSLATE(B44,""zh-tw"",""zh"")"),"诱饵/粉尘爆炸")</f>
        <v>诱饵/粉尘爆炸</v>
      </c>
      <c r="I44" s="337" t="str">
        <f>IFERROR(__xludf.DUMMYFUNCTION("GOOGLETRANSLATE(A44,""zh-tw"",""es-MX"")"),"Yin Kela")</f>
        <v>Yin Kela</v>
      </c>
      <c r="J44" s="164" t="str">
        <f>IFERROR(__xludf.DUMMYFUNCTION("GOOGLETRANSLATE(B44,""zh-tw"",""es-MX"")"),"Señuelo/Explosión de polvo")</f>
        <v>Señuelo/Explosión de polvo</v>
      </c>
      <c r="K44" s="337" t="str">
        <f>IFERROR(__xludf.DUMMYFUNCTION("GOOGLETRANSLATE(A44,""zh-tw"",""KO"")"),"인 켈라")</f>
        <v>인 켈라</v>
      </c>
      <c r="L44" s="164" t="str">
        <f>IFERROR(__xludf.DUMMYFUNCTION("GOOGLETRANSLATE(B44,""zh-tw"",""KO"")"),"미끼/먼지 폭발")</f>
        <v>미끼/먼지 폭발</v>
      </c>
      <c r="M44" s="337" t="str">
        <f>IFERROR(__xludf.DUMMYFUNCTION("GOOGLETRANSLATE(A44,""zh-tw"",""ru"")"),"Инь Кела")</f>
        <v>Инь Кела</v>
      </c>
      <c r="N44" s="164" t="str">
        <f>IFERROR(__xludf.DUMMYFUNCTION("GOOGLETRANSLATE(B44,""zh-tw"",""ru"")"),"Ложный/пылевой взрыв")</f>
        <v>Ложный/пылевой взрыв</v>
      </c>
      <c r="O44" s="335" t="s">
        <v>5965</v>
      </c>
      <c r="P44" s="187" t="s">
        <v>5967</v>
      </c>
      <c r="Q44" s="348" t="s">
        <v>5965</v>
      </c>
      <c r="R44" s="187" t="s">
        <v>5968</v>
      </c>
      <c r="S44" s="17"/>
      <c r="T44" s="17"/>
      <c r="U44" s="17"/>
      <c r="V44" s="17"/>
    </row>
    <row r="45">
      <c r="A45" s="335" t="s">
        <v>5969</v>
      </c>
      <c r="B45" s="163" t="s">
        <v>5970</v>
      </c>
      <c r="C45" s="335" t="s">
        <v>5971</v>
      </c>
      <c r="D45" s="163" t="s">
        <v>5972</v>
      </c>
      <c r="E45" s="335" t="s">
        <v>5973</v>
      </c>
      <c r="F45" s="163" t="s">
        <v>5974</v>
      </c>
      <c r="G45" s="335" t="str">
        <f>IFERROR(__xludf.DUMMYFUNCTION("GOOGLETRANSLATE(A45,""zh-tw"",""zh"")"),"冒险者心得")</f>
        <v>冒险者心得</v>
      </c>
      <c r="H45" s="163" t="str">
        <f>IFERROR(__xludf.DUMMYFUNCTION("GOOGLETRANSLATE(B45,""zh-tw"",""zh"")"),"攻略心得(部分地区可能需要连国外网路)")</f>
        <v>攻略心得(部分地区可能需要连国外网路)</v>
      </c>
      <c r="I45" s="337" t="str">
        <f>IFERROR(__xludf.DUMMYFUNCTION("GOOGLETRANSLATE(A45,""zh-tw"",""es-MX"")"),"Consejos del aventurero")</f>
        <v>Consejos del aventurero</v>
      </c>
      <c r="J45" s="164" t="str">
        <f>IFERROR(__xludf.DUMMYFUNCTION("GOOGLETRANSLATE(B45,""zh-tw"",""es-MX"")"),"Consejos de viaje (algunas zonas pueden requerir conexión a internet internacional)")</f>
        <v>Consejos de viaje (algunas zonas pueden requerir conexión a internet internacional)</v>
      </c>
      <c r="K45" s="337" t="str">
        <f>IFERROR(__xludf.DUMMYFUNCTION("GOOGLETRANSLATE(A45,""zh-tw"",""KO"")"),"모험가의 팁")</f>
        <v>모험가의 팁</v>
      </c>
      <c r="L45" s="164" t="str">
        <f>IFERROR(__xludf.DUMMYFUNCTION("GOOGLETRANSLATE(B45,""zh-tw"",""KO"")"),"여행 팁(일부 지역에서는 국제 인터넷 연결이 필요할 수 있음)")</f>
        <v>여행 팁(일부 지역에서는 국제 인터넷 연결이 필요할 수 있음)</v>
      </c>
      <c r="M45" s="337" t="str">
        <f>IFERROR(__xludf.DUMMYFUNCTION("GOOGLETRANSLATE(A45,""zh-tw"",""ru"")"),"Советы искателя приключений")</f>
        <v>Советы искателя приключений</v>
      </c>
      <c r="N45" s="164" t="str">
        <f>IFERROR(__xludf.DUMMYFUNCTION("GOOGLETRANSLATE(B45,""zh-tw"",""ru"")"),"Советы путешественникам (в некоторых регионах может потребоваться международное подключение к Интернету)")</f>
        <v>Советы путешественникам (в некоторых регионах может потребоваться международное подключение к Интернету)</v>
      </c>
      <c r="O45" s="335" t="s">
        <v>5975</v>
      </c>
      <c r="P45" s="187" t="s">
        <v>5976</v>
      </c>
      <c r="Q45" s="348" t="s">
        <v>5977</v>
      </c>
      <c r="R45" s="187" t="s">
        <v>5978</v>
      </c>
      <c r="S45" s="17"/>
      <c r="T45" s="17"/>
      <c r="U45" s="17"/>
      <c r="V45" s="17"/>
    </row>
    <row r="46">
      <c r="A46" s="335" t="s">
        <v>5979</v>
      </c>
      <c r="B46" s="163" t="s">
        <v>5980</v>
      </c>
      <c r="C46" s="335" t="s">
        <v>5981</v>
      </c>
      <c r="D46" s="163" t="s">
        <v>5982</v>
      </c>
      <c r="E46" s="335" t="s">
        <v>5983</v>
      </c>
      <c r="F46" s="163" t="s">
        <v>5984</v>
      </c>
      <c r="G46" s="335" t="str">
        <f>IFERROR(__xludf.DUMMYFUNCTION("GOOGLETRANSLATE(A46,""zh-tw"",""zh"")"),"兔子地图")</f>
        <v>兔子地图</v>
      </c>
      <c r="H46" s="163" t="str">
        <f>IFERROR(__xludf.DUMMYFUNCTION("GOOGLETRANSLATE(B46,""zh-tw"",""zh"")"),"游戏地图(部分地区可能需要连国外网路)")</f>
        <v>游戏地图(部分地区可能需要连国外网路)</v>
      </c>
      <c r="I46" s="337" t="str">
        <f>IFERROR(__xludf.DUMMYFUNCTION("GOOGLETRANSLATE(A46,""zh-tw"",""es-MX"")"),"Mapa del conejo")</f>
        <v>Mapa del conejo</v>
      </c>
      <c r="J46" s="164" t="str">
        <f>IFERROR(__xludf.DUMMYFUNCTION("GOOGLETRANSLATE(B46,""zh-tw"",""es-MX"")"),"Mapa del juego (algunas regiones pueden requerir una conexión a internet internacional)")</f>
        <v>Mapa del juego (algunas regiones pueden requerir una conexión a internet internacional)</v>
      </c>
      <c r="K46" s="337" t="str">
        <f>IFERROR(__xludf.DUMMYFUNCTION("GOOGLETRANSLATE(A46,""zh-tw"",""KO"")"),"토끼 지도")</f>
        <v>토끼 지도</v>
      </c>
      <c r="L46" s="164" t="str">
        <f>IFERROR(__xludf.DUMMYFUNCTION("GOOGLETRANSLATE(B46,""zh-tw"",""KO"")"),"게임 맵(일부 지역에서는 국제 인터넷 연결이 필요할 수 있음)")</f>
        <v>게임 맵(일부 지역에서는 국제 인터넷 연결이 필요할 수 있음)</v>
      </c>
      <c r="M46" s="337" t="str">
        <f>IFERROR(__xludf.DUMMYFUNCTION("GOOGLETRANSLATE(A46,""zh-tw"",""ru"")"),"Карта кроликов")</f>
        <v>Карта кроликов</v>
      </c>
      <c r="N46" s="164" t="str">
        <f>IFERROR(__xludf.DUMMYFUNCTION("GOOGLETRANSLATE(B46,""zh-tw"",""ru"")"),"Карта игры (в некоторых регионах может потребоваться международное интернет-соединение)")</f>
        <v>Карта игры (в некоторых регионах может потребоваться международное интернет-соединение)</v>
      </c>
      <c r="O46" s="335" t="s">
        <v>5985</v>
      </c>
      <c r="P46" s="187" t="s">
        <v>5986</v>
      </c>
      <c r="Q46" s="348" t="s">
        <v>5987</v>
      </c>
      <c r="R46" s="187" t="s">
        <v>5988</v>
      </c>
      <c r="S46" s="17"/>
      <c r="T46" s="17"/>
      <c r="U46" s="17"/>
      <c r="V46" s="17"/>
    </row>
    <row r="47">
      <c r="A47" s="337"/>
      <c r="B47" s="164"/>
      <c r="C47" s="337"/>
      <c r="D47" s="164"/>
      <c r="E47" s="337"/>
      <c r="F47" s="164"/>
      <c r="G47" s="337"/>
      <c r="H47" s="164"/>
      <c r="I47" s="365"/>
      <c r="J47" s="184"/>
      <c r="K47" s="365"/>
      <c r="L47" s="184"/>
      <c r="M47" s="337"/>
      <c r="N47" s="164"/>
      <c r="O47" s="337"/>
      <c r="P47" s="164"/>
      <c r="Q47" s="342"/>
      <c r="R47" s="166"/>
      <c r="S47" s="17"/>
      <c r="T47" s="17"/>
      <c r="U47" s="17"/>
      <c r="V47" s="17"/>
    </row>
    <row r="48">
      <c r="A48" s="337"/>
      <c r="B48" s="164"/>
      <c r="C48" s="337"/>
      <c r="D48" s="164"/>
      <c r="E48" s="337"/>
      <c r="F48" s="164"/>
      <c r="G48" s="337"/>
      <c r="H48" s="164"/>
      <c r="I48" s="365"/>
      <c r="J48" s="184"/>
      <c r="K48" s="365"/>
      <c r="L48" s="184"/>
      <c r="M48" s="337"/>
      <c r="N48" s="164"/>
      <c r="O48" s="337"/>
      <c r="P48" s="164"/>
      <c r="Q48" s="342"/>
      <c r="R48" s="166"/>
      <c r="S48" s="17"/>
      <c r="T48" s="17"/>
      <c r="U48" s="17"/>
      <c r="V48" s="17"/>
    </row>
    <row r="49">
      <c r="A49" s="337"/>
      <c r="B49" s="164"/>
      <c r="C49" s="337"/>
      <c r="D49" s="164"/>
      <c r="E49" s="337"/>
      <c r="F49" s="164"/>
      <c r="G49" s="337"/>
      <c r="H49" s="164"/>
      <c r="I49" s="365"/>
      <c r="J49" s="184"/>
      <c r="K49" s="365"/>
      <c r="L49" s="184"/>
      <c r="M49" s="337"/>
      <c r="N49" s="164"/>
      <c r="O49" s="337"/>
      <c r="P49" s="164"/>
      <c r="Q49" s="342"/>
      <c r="R49" s="166"/>
      <c r="S49" s="17"/>
      <c r="T49" s="17"/>
      <c r="U49" s="17"/>
      <c r="V49" s="17"/>
    </row>
    <row r="50">
      <c r="A50" s="337"/>
      <c r="B50" s="164"/>
      <c r="C50" s="337"/>
      <c r="D50" s="164"/>
      <c r="E50" s="337"/>
      <c r="F50" s="164"/>
      <c r="G50" s="337"/>
      <c r="H50" s="164"/>
      <c r="I50" s="365"/>
      <c r="J50" s="184"/>
      <c r="K50" s="365"/>
      <c r="L50" s="184"/>
      <c r="M50" s="337"/>
      <c r="N50" s="164"/>
      <c r="O50" s="337"/>
      <c r="P50" s="164"/>
      <c r="Q50" s="342"/>
      <c r="R50" s="166"/>
      <c r="S50" s="17"/>
      <c r="T50" s="17"/>
      <c r="U50" s="17"/>
      <c r="V50" s="17"/>
    </row>
    <row r="51">
      <c r="A51" s="337"/>
      <c r="B51" s="164"/>
      <c r="C51" s="337"/>
      <c r="D51" s="164"/>
      <c r="E51" s="337"/>
      <c r="F51" s="164"/>
      <c r="G51" s="337"/>
      <c r="H51" s="164"/>
      <c r="I51" s="365"/>
      <c r="J51" s="184"/>
      <c r="K51" s="365"/>
      <c r="L51" s="184"/>
      <c r="M51" s="337"/>
      <c r="N51" s="164"/>
      <c r="O51" s="337"/>
      <c r="P51" s="164"/>
      <c r="Q51" s="342"/>
      <c r="R51" s="166"/>
      <c r="S51" s="17"/>
      <c r="T51" s="17"/>
      <c r="U51" s="17"/>
      <c r="V51" s="17"/>
    </row>
    <row r="52">
      <c r="A52" s="337"/>
      <c r="B52" s="164"/>
      <c r="C52" s="337"/>
      <c r="D52" s="164"/>
      <c r="E52" s="337"/>
      <c r="F52" s="164"/>
      <c r="G52" s="337"/>
      <c r="H52" s="164"/>
      <c r="I52" s="365"/>
      <c r="J52" s="184"/>
      <c r="K52" s="365"/>
      <c r="L52" s="184"/>
      <c r="M52" s="337"/>
      <c r="N52" s="164"/>
      <c r="O52" s="337"/>
      <c r="P52" s="164"/>
      <c r="Q52" s="342"/>
      <c r="R52" s="166"/>
      <c r="S52" s="17"/>
      <c r="T52" s="17"/>
      <c r="U52" s="17"/>
      <c r="V52" s="17"/>
    </row>
    <row r="53">
      <c r="A53" s="337"/>
      <c r="B53" s="164"/>
      <c r="C53" s="337"/>
      <c r="D53" s="164"/>
      <c r="E53" s="337"/>
      <c r="F53" s="164"/>
      <c r="G53" s="337"/>
      <c r="H53" s="164"/>
      <c r="I53" s="365"/>
      <c r="J53" s="184"/>
      <c r="K53" s="365"/>
      <c r="L53" s="184"/>
      <c r="M53" s="337"/>
      <c r="N53" s="164"/>
      <c r="O53" s="337"/>
      <c r="P53" s="164"/>
      <c r="Q53" s="342"/>
      <c r="R53" s="166"/>
      <c r="S53" s="17"/>
      <c r="T53" s="17"/>
      <c r="U53" s="17"/>
      <c r="V53" s="17"/>
    </row>
    <row r="54">
      <c r="A54" s="337"/>
      <c r="B54" s="164"/>
      <c r="C54" s="337"/>
      <c r="D54" s="164"/>
      <c r="E54" s="337"/>
      <c r="F54" s="164"/>
      <c r="G54" s="337"/>
      <c r="H54" s="164"/>
      <c r="I54" s="365"/>
      <c r="J54" s="184"/>
      <c r="K54" s="365"/>
      <c r="L54" s="184"/>
      <c r="M54" s="337"/>
      <c r="N54" s="164"/>
      <c r="O54" s="337"/>
      <c r="P54" s="164"/>
      <c r="Q54" s="342"/>
      <c r="R54" s="166"/>
      <c r="S54" s="17"/>
      <c r="T54" s="17"/>
      <c r="U54" s="17"/>
      <c r="V54" s="17"/>
    </row>
    <row r="55">
      <c r="A55" s="337"/>
      <c r="B55" s="164"/>
      <c r="C55" s="337"/>
      <c r="D55" s="164"/>
      <c r="E55" s="337"/>
      <c r="F55" s="164"/>
      <c r="G55" s="337"/>
      <c r="H55" s="164"/>
      <c r="I55" s="365"/>
      <c r="J55" s="184"/>
      <c r="K55" s="365"/>
      <c r="L55" s="184"/>
      <c r="M55" s="337"/>
      <c r="N55" s="164"/>
      <c r="O55" s="337"/>
      <c r="P55" s="164"/>
      <c r="Q55" s="342"/>
      <c r="R55" s="166"/>
      <c r="S55" s="17"/>
      <c r="T55" s="17"/>
      <c r="U55" s="17"/>
      <c r="V55" s="17"/>
    </row>
    <row r="56">
      <c r="A56" s="337"/>
      <c r="B56" s="164"/>
      <c r="C56" s="337"/>
      <c r="D56" s="164"/>
      <c r="E56" s="337"/>
      <c r="F56" s="164"/>
      <c r="G56" s="337"/>
      <c r="H56" s="164"/>
      <c r="I56" s="365"/>
      <c r="J56" s="184"/>
      <c r="K56" s="365"/>
      <c r="L56" s="184"/>
      <c r="M56" s="337"/>
      <c r="N56" s="164"/>
      <c r="O56" s="337"/>
      <c r="P56" s="164"/>
      <c r="Q56" s="342"/>
      <c r="R56" s="166"/>
      <c r="S56" s="17"/>
      <c r="T56" s="17"/>
      <c r="U56" s="17"/>
      <c r="V56" s="17"/>
    </row>
    <row r="57">
      <c r="A57" s="337"/>
      <c r="B57" s="164"/>
      <c r="C57" s="337"/>
      <c r="D57" s="164"/>
      <c r="E57" s="337"/>
      <c r="F57" s="164"/>
      <c r="G57" s="337"/>
      <c r="H57" s="164"/>
      <c r="I57" s="365"/>
      <c r="J57" s="184"/>
      <c r="K57" s="365"/>
      <c r="L57" s="184"/>
      <c r="M57" s="337"/>
      <c r="N57" s="164"/>
      <c r="O57" s="337"/>
      <c r="P57" s="164"/>
      <c r="Q57" s="342"/>
      <c r="R57" s="166"/>
      <c r="S57" s="17"/>
      <c r="T57" s="17"/>
      <c r="U57" s="17"/>
      <c r="V57" s="17"/>
    </row>
    <row r="58">
      <c r="A58" s="337"/>
      <c r="B58" s="164"/>
      <c r="C58" s="337"/>
      <c r="D58" s="164"/>
      <c r="E58" s="337"/>
      <c r="F58" s="164"/>
      <c r="G58" s="337"/>
      <c r="H58" s="164"/>
      <c r="I58" s="365"/>
      <c r="J58" s="184"/>
      <c r="K58" s="365"/>
      <c r="L58" s="184"/>
      <c r="M58" s="337"/>
      <c r="N58" s="164"/>
      <c r="O58" s="337"/>
      <c r="P58" s="164"/>
      <c r="Q58" s="342"/>
      <c r="R58" s="166"/>
      <c r="S58" s="17"/>
      <c r="T58" s="17"/>
      <c r="U58" s="17"/>
      <c r="V58" s="17"/>
    </row>
    <row r="59">
      <c r="A59" s="337"/>
      <c r="B59" s="164"/>
      <c r="C59" s="337"/>
      <c r="D59" s="164"/>
      <c r="E59" s="337"/>
      <c r="F59" s="164"/>
      <c r="G59" s="337"/>
      <c r="H59" s="164"/>
      <c r="I59" s="365"/>
      <c r="J59" s="184"/>
      <c r="K59" s="365"/>
      <c r="L59" s="184"/>
      <c r="M59" s="337"/>
      <c r="N59" s="164"/>
      <c r="O59" s="337"/>
      <c r="P59" s="164"/>
      <c r="Q59" s="342"/>
      <c r="R59" s="166"/>
      <c r="S59" s="17"/>
      <c r="T59" s="17"/>
      <c r="U59" s="17"/>
      <c r="V59" s="17"/>
    </row>
    <row r="60">
      <c r="A60" s="337"/>
      <c r="B60" s="164"/>
      <c r="C60" s="337"/>
      <c r="D60" s="164"/>
      <c r="E60" s="337"/>
      <c r="F60" s="164"/>
      <c r="G60" s="337"/>
      <c r="H60" s="164"/>
      <c r="I60" s="365"/>
      <c r="J60" s="184"/>
      <c r="K60" s="365"/>
      <c r="L60" s="184"/>
      <c r="M60" s="337"/>
      <c r="N60" s="164"/>
      <c r="O60" s="337"/>
      <c r="P60" s="164"/>
      <c r="Q60" s="342"/>
      <c r="R60" s="166"/>
      <c r="S60" s="17"/>
      <c r="T60" s="17"/>
      <c r="U60" s="17"/>
      <c r="V60" s="17"/>
    </row>
    <row r="61">
      <c r="A61" s="337"/>
      <c r="B61" s="164"/>
      <c r="C61" s="337"/>
      <c r="D61" s="164"/>
      <c r="E61" s="337"/>
      <c r="F61" s="164"/>
      <c r="G61" s="337"/>
      <c r="H61" s="164"/>
      <c r="I61" s="365"/>
      <c r="J61" s="184"/>
      <c r="K61" s="365"/>
      <c r="L61" s="184"/>
      <c r="M61" s="337"/>
      <c r="N61" s="164"/>
      <c r="O61" s="337"/>
      <c r="P61" s="164"/>
      <c r="Q61" s="342"/>
      <c r="R61" s="166"/>
      <c r="S61" s="17"/>
      <c r="T61" s="17"/>
      <c r="U61" s="17"/>
      <c r="V61" s="17"/>
    </row>
    <row r="62">
      <c r="A62" s="337"/>
      <c r="B62" s="164"/>
      <c r="C62" s="337"/>
      <c r="D62" s="164"/>
      <c r="E62" s="337"/>
      <c r="F62" s="164"/>
      <c r="G62" s="337"/>
      <c r="H62" s="164"/>
      <c r="I62" s="365"/>
      <c r="J62" s="184"/>
      <c r="K62" s="365"/>
      <c r="L62" s="184"/>
      <c r="M62" s="337"/>
      <c r="N62" s="164"/>
      <c r="O62" s="337"/>
      <c r="P62" s="164"/>
      <c r="Q62" s="342"/>
      <c r="R62" s="166"/>
      <c r="S62" s="17"/>
      <c r="T62" s="17"/>
      <c r="U62" s="17"/>
      <c r="V62" s="17"/>
    </row>
    <row r="63">
      <c r="A63" s="337"/>
      <c r="B63" s="164"/>
      <c r="C63" s="337"/>
      <c r="D63" s="164"/>
      <c r="E63" s="337"/>
      <c r="F63" s="164"/>
      <c r="G63" s="337"/>
      <c r="H63" s="164"/>
      <c r="I63" s="365"/>
      <c r="J63" s="184"/>
      <c r="K63" s="365"/>
      <c r="L63" s="184"/>
      <c r="M63" s="337"/>
      <c r="N63" s="164"/>
      <c r="O63" s="337"/>
      <c r="P63" s="164"/>
      <c r="Q63" s="342"/>
      <c r="R63" s="166"/>
      <c r="S63" s="17"/>
      <c r="T63" s="17"/>
      <c r="U63" s="17"/>
      <c r="V63" s="17"/>
    </row>
    <row r="64">
      <c r="A64" s="337"/>
      <c r="B64" s="164"/>
      <c r="C64" s="337"/>
      <c r="D64" s="164"/>
      <c r="E64" s="337"/>
      <c r="F64" s="164"/>
      <c r="G64" s="337"/>
      <c r="H64" s="164"/>
      <c r="I64" s="365"/>
      <c r="J64" s="184"/>
      <c r="K64" s="365"/>
      <c r="L64" s="184"/>
      <c r="M64" s="337"/>
      <c r="N64" s="164"/>
      <c r="O64" s="337"/>
      <c r="P64" s="164"/>
      <c r="Q64" s="342"/>
      <c r="R64" s="166"/>
      <c r="S64" s="17"/>
      <c r="T64" s="17"/>
      <c r="U64" s="17"/>
      <c r="V64" s="17"/>
    </row>
    <row r="65">
      <c r="A65" s="337"/>
      <c r="B65" s="164"/>
      <c r="C65" s="337"/>
      <c r="D65" s="164"/>
      <c r="E65" s="337"/>
      <c r="F65" s="164"/>
      <c r="G65" s="337"/>
      <c r="H65" s="164"/>
      <c r="I65" s="365"/>
      <c r="J65" s="184"/>
      <c r="K65" s="365"/>
      <c r="L65" s="184"/>
      <c r="M65" s="337"/>
      <c r="N65" s="164"/>
      <c r="O65" s="337"/>
      <c r="P65" s="164"/>
      <c r="Q65" s="342"/>
      <c r="R65" s="166"/>
      <c r="S65" s="17"/>
      <c r="T65" s="17"/>
      <c r="U65" s="17"/>
      <c r="V65" s="17"/>
    </row>
    <row r="66">
      <c r="A66" s="337"/>
      <c r="B66" s="164"/>
      <c r="C66" s="337"/>
      <c r="D66" s="164"/>
      <c r="E66" s="337"/>
      <c r="F66" s="164"/>
      <c r="G66" s="337"/>
      <c r="H66" s="164"/>
      <c r="I66" s="365"/>
      <c r="J66" s="184"/>
      <c r="K66" s="365"/>
      <c r="L66" s="184"/>
      <c r="M66" s="337"/>
      <c r="N66" s="164"/>
      <c r="O66" s="337"/>
      <c r="P66" s="164"/>
      <c r="Q66" s="342"/>
      <c r="R66" s="166"/>
      <c r="S66" s="17"/>
      <c r="T66" s="17"/>
      <c r="U66" s="17"/>
      <c r="V66" s="17"/>
    </row>
    <row r="67">
      <c r="A67" s="337"/>
      <c r="B67" s="164"/>
      <c r="C67" s="337"/>
      <c r="D67" s="164"/>
      <c r="E67" s="337"/>
      <c r="F67" s="164"/>
      <c r="G67" s="337"/>
      <c r="H67" s="164"/>
      <c r="I67" s="365"/>
      <c r="J67" s="184"/>
      <c r="K67" s="365"/>
      <c r="L67" s="184"/>
      <c r="M67" s="337"/>
      <c r="N67" s="164"/>
      <c r="O67" s="337"/>
      <c r="P67" s="164"/>
      <c r="Q67" s="342"/>
      <c r="R67" s="166"/>
      <c r="S67" s="17"/>
      <c r="T67" s="17"/>
      <c r="U67" s="17"/>
      <c r="V67" s="17"/>
    </row>
    <row r="68">
      <c r="A68" s="337"/>
      <c r="B68" s="164"/>
      <c r="C68" s="337"/>
      <c r="D68" s="164"/>
      <c r="E68" s="337"/>
      <c r="F68" s="164"/>
      <c r="G68" s="337"/>
      <c r="H68" s="164"/>
      <c r="I68" s="365"/>
      <c r="J68" s="184"/>
      <c r="K68" s="365"/>
      <c r="L68" s="184"/>
      <c r="M68" s="337"/>
      <c r="N68" s="164"/>
      <c r="O68" s="337"/>
      <c r="P68" s="164"/>
      <c r="Q68" s="342"/>
      <c r="R68" s="166"/>
      <c r="S68" s="17"/>
      <c r="T68" s="17"/>
      <c r="U68" s="17"/>
      <c r="V68" s="17"/>
    </row>
    <row r="69">
      <c r="A69" s="337"/>
      <c r="B69" s="164"/>
      <c r="C69" s="337"/>
      <c r="D69" s="164"/>
      <c r="E69" s="337"/>
      <c r="F69" s="164"/>
      <c r="G69" s="337"/>
      <c r="H69" s="164"/>
      <c r="I69" s="365"/>
      <c r="J69" s="184"/>
      <c r="K69" s="365"/>
      <c r="L69" s="184"/>
      <c r="M69" s="337"/>
      <c r="N69" s="164"/>
      <c r="O69" s="337"/>
      <c r="P69" s="164"/>
      <c r="Q69" s="342"/>
      <c r="R69" s="166"/>
      <c r="S69" s="17"/>
      <c r="T69" s="17"/>
      <c r="U69" s="17"/>
      <c r="V69" s="17"/>
    </row>
    <row r="70">
      <c r="A70" s="337"/>
      <c r="B70" s="164"/>
      <c r="C70" s="337"/>
      <c r="D70" s="164"/>
      <c r="E70" s="337"/>
      <c r="F70" s="164"/>
      <c r="G70" s="337"/>
      <c r="H70" s="164"/>
      <c r="I70" s="365"/>
      <c r="J70" s="184"/>
      <c r="K70" s="365"/>
      <c r="L70" s="184"/>
      <c r="M70" s="337"/>
      <c r="N70" s="164"/>
      <c r="O70" s="337"/>
      <c r="P70" s="164"/>
      <c r="Q70" s="342"/>
      <c r="R70" s="166"/>
      <c r="S70" s="17"/>
      <c r="T70" s="17"/>
      <c r="U70" s="17"/>
      <c r="V70" s="17"/>
    </row>
    <row r="71">
      <c r="A71" s="337"/>
      <c r="B71" s="164"/>
      <c r="C71" s="337"/>
      <c r="D71" s="164"/>
      <c r="E71" s="337"/>
      <c r="F71" s="164"/>
      <c r="G71" s="337"/>
      <c r="H71" s="164"/>
      <c r="I71" s="365"/>
      <c r="J71" s="184"/>
      <c r="K71" s="365"/>
      <c r="L71" s="184"/>
      <c r="M71" s="337"/>
      <c r="N71" s="164"/>
      <c r="O71" s="337"/>
      <c r="P71" s="164"/>
      <c r="Q71" s="342"/>
      <c r="R71" s="166"/>
      <c r="S71" s="17"/>
      <c r="T71" s="17"/>
      <c r="U71" s="17"/>
      <c r="V71" s="17"/>
    </row>
    <row r="72">
      <c r="A72" s="337"/>
      <c r="B72" s="164"/>
      <c r="C72" s="337"/>
      <c r="D72" s="164"/>
      <c r="E72" s="337"/>
      <c r="F72" s="164"/>
      <c r="G72" s="337"/>
      <c r="H72" s="164"/>
      <c r="I72" s="365"/>
      <c r="J72" s="184"/>
      <c r="K72" s="365"/>
      <c r="L72" s="184"/>
      <c r="M72" s="337"/>
      <c r="N72" s="164"/>
      <c r="O72" s="337"/>
      <c r="P72" s="164"/>
      <c r="Q72" s="342"/>
      <c r="R72" s="166"/>
      <c r="S72" s="17"/>
      <c r="T72" s="17"/>
      <c r="U72" s="17"/>
      <c r="V72" s="17"/>
    </row>
    <row r="73">
      <c r="A73" s="337"/>
      <c r="B73" s="164"/>
      <c r="C73" s="337"/>
      <c r="D73" s="164"/>
      <c r="E73" s="337"/>
      <c r="F73" s="164"/>
      <c r="G73" s="337"/>
      <c r="H73" s="164"/>
      <c r="I73" s="365"/>
      <c r="J73" s="184"/>
      <c r="K73" s="365"/>
      <c r="L73" s="184"/>
      <c r="M73" s="337"/>
      <c r="N73" s="164"/>
      <c r="O73" s="337"/>
      <c r="P73" s="164"/>
      <c r="Q73" s="342"/>
      <c r="R73" s="166"/>
      <c r="S73" s="17"/>
      <c r="T73" s="17"/>
      <c r="U73" s="17"/>
      <c r="V73" s="17"/>
    </row>
    <row r="74">
      <c r="A74" s="337"/>
      <c r="B74" s="164"/>
      <c r="C74" s="337"/>
      <c r="D74" s="164"/>
      <c r="E74" s="337"/>
      <c r="F74" s="164"/>
      <c r="G74" s="337"/>
      <c r="H74" s="164"/>
      <c r="I74" s="365"/>
      <c r="J74" s="184"/>
      <c r="K74" s="365"/>
      <c r="L74" s="184"/>
      <c r="M74" s="337"/>
      <c r="N74" s="164"/>
      <c r="O74" s="337"/>
      <c r="P74" s="164"/>
      <c r="Q74" s="342"/>
      <c r="R74" s="166"/>
      <c r="S74" s="17"/>
      <c r="T74" s="17"/>
      <c r="U74" s="17"/>
      <c r="V74" s="17"/>
    </row>
    <row r="75">
      <c r="A75" s="337"/>
      <c r="B75" s="164"/>
      <c r="C75" s="337"/>
      <c r="D75" s="164"/>
      <c r="E75" s="337"/>
      <c r="F75" s="164"/>
      <c r="G75" s="337"/>
      <c r="H75" s="164"/>
      <c r="I75" s="365"/>
      <c r="J75" s="184"/>
      <c r="K75" s="365"/>
      <c r="L75" s="184"/>
      <c r="M75" s="337"/>
      <c r="N75" s="164"/>
      <c r="O75" s="337"/>
      <c r="P75" s="164"/>
      <c r="Q75" s="342"/>
      <c r="R75" s="166"/>
      <c r="S75" s="17"/>
      <c r="T75" s="17"/>
      <c r="U75" s="17"/>
      <c r="V75" s="17"/>
    </row>
    <row r="76">
      <c r="A76" s="337"/>
      <c r="B76" s="164"/>
      <c r="C76" s="337"/>
      <c r="D76" s="164"/>
      <c r="E76" s="337"/>
      <c r="F76" s="164"/>
      <c r="G76" s="337"/>
      <c r="H76" s="164"/>
      <c r="I76" s="365"/>
      <c r="J76" s="184"/>
      <c r="K76" s="365"/>
      <c r="L76" s="184"/>
      <c r="M76" s="337"/>
      <c r="N76" s="164"/>
      <c r="O76" s="337"/>
      <c r="P76" s="164"/>
      <c r="Q76" s="342"/>
      <c r="R76" s="166"/>
      <c r="S76" s="17"/>
      <c r="T76" s="17"/>
      <c r="U76" s="17"/>
      <c r="V76" s="17"/>
    </row>
    <row r="77">
      <c r="A77" s="337"/>
      <c r="B77" s="164"/>
      <c r="C77" s="337"/>
      <c r="D77" s="164"/>
      <c r="E77" s="337"/>
      <c r="F77" s="164"/>
      <c r="G77" s="337"/>
      <c r="H77" s="164"/>
      <c r="I77" s="365"/>
      <c r="J77" s="184"/>
      <c r="K77" s="365"/>
      <c r="L77" s="184"/>
      <c r="M77" s="337"/>
      <c r="N77" s="164"/>
      <c r="O77" s="337"/>
      <c r="P77" s="164"/>
      <c r="Q77" s="342"/>
      <c r="R77" s="166"/>
      <c r="S77" s="17"/>
      <c r="T77" s="17"/>
      <c r="U77" s="17"/>
      <c r="V77" s="17"/>
    </row>
    <row r="78">
      <c r="A78" s="337"/>
      <c r="B78" s="164"/>
      <c r="C78" s="337"/>
      <c r="D78" s="164"/>
      <c r="E78" s="337"/>
      <c r="F78" s="164"/>
      <c r="G78" s="337"/>
      <c r="H78" s="164"/>
      <c r="I78" s="365"/>
      <c r="J78" s="184"/>
      <c r="K78" s="365"/>
      <c r="L78" s="184"/>
      <c r="M78" s="337"/>
      <c r="N78" s="164"/>
      <c r="O78" s="337"/>
      <c r="P78" s="164"/>
      <c r="Q78" s="342"/>
      <c r="R78" s="166"/>
      <c r="S78" s="17"/>
      <c r="T78" s="17"/>
      <c r="U78" s="17"/>
      <c r="V78" s="17"/>
    </row>
    <row r="79">
      <c r="A79" s="337"/>
      <c r="B79" s="164"/>
      <c r="C79" s="337"/>
      <c r="D79" s="164"/>
      <c r="E79" s="337"/>
      <c r="F79" s="164"/>
      <c r="G79" s="337"/>
      <c r="H79" s="164"/>
      <c r="I79" s="365"/>
      <c r="J79" s="184"/>
      <c r="K79" s="365"/>
      <c r="L79" s="184"/>
      <c r="M79" s="337"/>
      <c r="N79" s="164"/>
      <c r="O79" s="337"/>
      <c r="P79" s="164"/>
      <c r="Q79" s="342"/>
      <c r="R79" s="166"/>
      <c r="S79" s="17"/>
      <c r="T79" s="17"/>
      <c r="U79" s="17"/>
      <c r="V79" s="17"/>
    </row>
    <row r="80">
      <c r="A80" s="337"/>
      <c r="B80" s="164"/>
      <c r="C80" s="337"/>
      <c r="D80" s="164"/>
      <c r="E80" s="337"/>
      <c r="F80" s="164"/>
      <c r="G80" s="337"/>
      <c r="H80" s="164"/>
      <c r="I80" s="365"/>
      <c r="J80" s="184"/>
      <c r="K80" s="365"/>
      <c r="L80" s="184"/>
      <c r="M80" s="337"/>
      <c r="N80" s="164"/>
      <c r="O80" s="337"/>
      <c r="P80" s="164"/>
      <c r="Q80" s="342"/>
      <c r="R80" s="166"/>
      <c r="S80" s="17"/>
      <c r="T80" s="17"/>
      <c r="U80" s="17"/>
      <c r="V80" s="17"/>
    </row>
    <row r="81">
      <c r="A81" s="337"/>
      <c r="B81" s="164"/>
      <c r="C81" s="337"/>
      <c r="D81" s="164"/>
      <c r="E81" s="337"/>
      <c r="F81" s="164"/>
      <c r="G81" s="337"/>
      <c r="H81" s="164"/>
      <c r="I81" s="365"/>
      <c r="J81" s="184"/>
      <c r="K81" s="365"/>
      <c r="L81" s="184"/>
      <c r="M81" s="337"/>
      <c r="N81" s="164"/>
      <c r="O81" s="337"/>
      <c r="P81" s="164"/>
      <c r="Q81" s="342"/>
      <c r="R81" s="166"/>
      <c r="S81" s="17"/>
      <c r="T81" s="17"/>
      <c r="U81" s="17"/>
      <c r="V81" s="17"/>
    </row>
    <row r="82">
      <c r="A82" s="337"/>
      <c r="B82" s="164"/>
      <c r="C82" s="337"/>
      <c r="D82" s="164"/>
      <c r="E82" s="337"/>
      <c r="F82" s="164"/>
      <c r="G82" s="337"/>
      <c r="H82" s="164"/>
      <c r="I82" s="365"/>
      <c r="J82" s="184"/>
      <c r="K82" s="365"/>
      <c r="L82" s="184"/>
      <c r="M82" s="337"/>
      <c r="N82" s="164"/>
      <c r="O82" s="337"/>
      <c r="P82" s="164"/>
      <c r="Q82" s="342"/>
      <c r="R82" s="166"/>
      <c r="S82" s="17"/>
      <c r="T82" s="17"/>
      <c r="U82" s="17"/>
      <c r="V82" s="17"/>
    </row>
    <row r="83">
      <c r="A83" s="337"/>
      <c r="B83" s="164"/>
      <c r="C83" s="337"/>
      <c r="D83" s="164"/>
      <c r="E83" s="337"/>
      <c r="F83" s="164"/>
      <c r="G83" s="337"/>
      <c r="H83" s="164"/>
      <c r="I83" s="365"/>
      <c r="J83" s="184"/>
      <c r="K83" s="365"/>
      <c r="L83" s="184"/>
      <c r="M83" s="337"/>
      <c r="N83" s="164"/>
      <c r="O83" s="337"/>
      <c r="P83" s="164"/>
      <c r="Q83" s="342"/>
      <c r="R83" s="166"/>
      <c r="S83" s="17"/>
      <c r="T83" s="17"/>
      <c r="U83" s="17"/>
      <c r="V83" s="17"/>
    </row>
    <row r="84">
      <c r="A84" s="337"/>
      <c r="B84" s="164"/>
      <c r="C84" s="337"/>
      <c r="D84" s="164"/>
      <c r="E84" s="337"/>
      <c r="F84" s="164"/>
      <c r="G84" s="337"/>
      <c r="H84" s="164"/>
      <c r="I84" s="365"/>
      <c r="J84" s="184"/>
      <c r="K84" s="365"/>
      <c r="L84" s="184"/>
      <c r="M84" s="337"/>
      <c r="N84" s="164"/>
      <c r="O84" s="337"/>
      <c r="P84" s="164"/>
      <c r="Q84" s="342"/>
      <c r="R84" s="166"/>
      <c r="S84" s="17"/>
      <c r="T84" s="17"/>
      <c r="U84" s="17"/>
      <c r="V84" s="17"/>
    </row>
    <row r="85">
      <c r="A85" s="337"/>
      <c r="B85" s="164"/>
      <c r="C85" s="337"/>
      <c r="D85" s="164"/>
      <c r="E85" s="337"/>
      <c r="F85" s="164"/>
      <c r="G85" s="337"/>
      <c r="H85" s="164"/>
      <c r="I85" s="365"/>
      <c r="J85" s="184"/>
      <c r="K85" s="365"/>
      <c r="L85" s="184"/>
      <c r="M85" s="337"/>
      <c r="N85" s="164"/>
      <c r="O85" s="337"/>
      <c r="P85" s="164"/>
      <c r="Q85" s="342"/>
      <c r="R85" s="166"/>
      <c r="S85" s="17"/>
      <c r="T85" s="17"/>
      <c r="U85" s="17"/>
      <c r="V85" s="17"/>
    </row>
    <row r="86">
      <c r="A86" s="337"/>
      <c r="B86" s="164"/>
      <c r="C86" s="337"/>
      <c r="D86" s="164"/>
      <c r="E86" s="337"/>
      <c r="F86" s="164"/>
      <c r="G86" s="337"/>
      <c r="H86" s="164"/>
      <c r="I86" s="365"/>
      <c r="J86" s="184"/>
      <c r="K86" s="365"/>
      <c r="L86" s="184"/>
      <c r="M86" s="337"/>
      <c r="N86" s="164"/>
      <c r="O86" s="337"/>
      <c r="P86" s="164"/>
      <c r="Q86" s="342"/>
      <c r="R86" s="166"/>
      <c r="S86" s="17"/>
      <c r="T86" s="17"/>
      <c r="U86" s="17"/>
      <c r="V86" s="17"/>
    </row>
    <row r="87">
      <c r="A87" s="337"/>
      <c r="B87" s="164"/>
      <c r="C87" s="337"/>
      <c r="D87" s="164"/>
      <c r="E87" s="337"/>
      <c r="F87" s="164"/>
      <c r="G87" s="337"/>
      <c r="H87" s="164"/>
      <c r="I87" s="365"/>
      <c r="J87" s="184"/>
      <c r="K87" s="365"/>
      <c r="L87" s="184"/>
      <c r="M87" s="337"/>
      <c r="N87" s="164"/>
      <c r="O87" s="337"/>
      <c r="P87" s="164"/>
      <c r="Q87" s="342"/>
      <c r="R87" s="166"/>
      <c r="S87" s="17"/>
      <c r="T87" s="17"/>
      <c r="U87" s="17"/>
      <c r="V87" s="17"/>
    </row>
    <row r="88">
      <c r="A88" s="337"/>
      <c r="B88" s="164"/>
      <c r="C88" s="337"/>
      <c r="D88" s="164"/>
      <c r="E88" s="337"/>
      <c r="F88" s="164"/>
      <c r="G88" s="337"/>
      <c r="H88" s="164"/>
      <c r="I88" s="365"/>
      <c r="J88" s="184"/>
      <c r="K88" s="365"/>
      <c r="L88" s="184"/>
      <c r="M88" s="337"/>
      <c r="N88" s="164"/>
      <c r="O88" s="337"/>
      <c r="P88" s="164"/>
      <c r="Q88" s="343"/>
      <c r="R88" s="183"/>
      <c r="S88" s="17"/>
      <c r="T88" s="17"/>
      <c r="U88" s="17"/>
      <c r="V88" s="17"/>
    </row>
    <row r="89">
      <c r="A89" s="337"/>
      <c r="B89" s="164"/>
      <c r="C89" s="337"/>
      <c r="D89" s="164"/>
      <c r="E89" s="337"/>
      <c r="F89" s="164"/>
      <c r="G89" s="337"/>
      <c r="H89" s="164"/>
      <c r="I89" s="365"/>
      <c r="J89" s="184"/>
      <c r="K89" s="365"/>
      <c r="L89" s="184"/>
      <c r="M89" s="337"/>
      <c r="N89" s="164"/>
      <c r="O89" s="337"/>
      <c r="P89" s="164"/>
      <c r="Q89" s="343"/>
      <c r="R89" s="183"/>
      <c r="S89" s="17"/>
      <c r="T89" s="17"/>
      <c r="U89" s="17"/>
      <c r="V89" s="17"/>
    </row>
    <row r="90">
      <c r="A90" s="337"/>
      <c r="B90" s="164"/>
      <c r="C90" s="337"/>
      <c r="D90" s="164"/>
      <c r="E90" s="337"/>
      <c r="F90" s="164"/>
      <c r="G90" s="337"/>
      <c r="H90" s="164"/>
      <c r="I90" s="365"/>
      <c r="J90" s="184"/>
      <c r="K90" s="365"/>
      <c r="L90" s="184"/>
      <c r="M90" s="337"/>
      <c r="N90" s="164"/>
      <c r="O90" s="337"/>
      <c r="P90" s="164"/>
      <c r="Q90" s="343"/>
      <c r="R90" s="183"/>
      <c r="S90" s="17"/>
      <c r="T90" s="17"/>
      <c r="U90" s="17"/>
      <c r="V90" s="17"/>
    </row>
    <row r="91">
      <c r="A91" s="337"/>
      <c r="B91" s="164"/>
      <c r="C91" s="337"/>
      <c r="D91" s="164"/>
      <c r="E91" s="337"/>
      <c r="F91" s="164"/>
      <c r="G91" s="337"/>
      <c r="H91" s="164"/>
      <c r="I91" s="365"/>
      <c r="J91" s="184"/>
      <c r="K91" s="365"/>
      <c r="L91" s="184"/>
      <c r="M91" s="337"/>
      <c r="N91" s="164"/>
      <c r="O91" s="337"/>
      <c r="P91" s="164"/>
      <c r="Q91" s="343"/>
      <c r="R91" s="183"/>
      <c r="S91" s="17"/>
      <c r="T91" s="17"/>
      <c r="U91" s="17"/>
      <c r="V91" s="17"/>
    </row>
    <row r="92">
      <c r="A92" s="337"/>
      <c r="B92" s="164"/>
      <c r="C92" s="337"/>
      <c r="D92" s="164"/>
      <c r="E92" s="337"/>
      <c r="F92" s="164"/>
      <c r="G92" s="337"/>
      <c r="H92" s="164"/>
      <c r="I92" s="365"/>
      <c r="J92" s="184"/>
      <c r="K92" s="365"/>
      <c r="L92" s="184"/>
      <c r="M92" s="337"/>
      <c r="N92" s="164"/>
      <c r="O92" s="337"/>
      <c r="P92" s="164"/>
      <c r="Q92" s="343"/>
      <c r="R92" s="183"/>
      <c r="S92" s="17"/>
      <c r="T92" s="17"/>
      <c r="U92" s="17"/>
      <c r="V92" s="17"/>
    </row>
    <row r="93">
      <c r="A93" s="337"/>
      <c r="B93" s="164"/>
      <c r="C93" s="337"/>
      <c r="D93" s="164"/>
      <c r="E93" s="337"/>
      <c r="F93" s="164"/>
      <c r="G93" s="337"/>
      <c r="H93" s="164"/>
      <c r="I93" s="365"/>
      <c r="J93" s="184"/>
      <c r="K93" s="365"/>
      <c r="L93" s="184"/>
      <c r="M93" s="337"/>
      <c r="N93" s="164"/>
      <c r="O93" s="337"/>
      <c r="P93" s="164"/>
      <c r="Q93" s="343"/>
      <c r="R93" s="183"/>
      <c r="S93" s="17"/>
      <c r="T93" s="17"/>
      <c r="U93" s="17"/>
      <c r="V93" s="17"/>
    </row>
    <row r="94">
      <c r="A94" s="337"/>
      <c r="B94" s="164"/>
      <c r="C94" s="337"/>
      <c r="D94" s="164"/>
      <c r="E94" s="337"/>
      <c r="F94" s="164"/>
      <c r="G94" s="337"/>
      <c r="H94" s="164"/>
      <c r="I94" s="365"/>
      <c r="J94" s="184"/>
      <c r="K94" s="365"/>
      <c r="L94" s="184"/>
      <c r="M94" s="337"/>
      <c r="N94" s="164"/>
      <c r="O94" s="337"/>
      <c r="P94" s="164"/>
      <c r="Q94" s="343"/>
      <c r="R94" s="183"/>
      <c r="S94" s="17"/>
      <c r="T94" s="17"/>
      <c r="U94" s="17"/>
      <c r="V94" s="17"/>
    </row>
    <row r="95">
      <c r="A95" s="337"/>
      <c r="B95" s="164"/>
      <c r="C95" s="337"/>
      <c r="D95" s="164"/>
      <c r="E95" s="337"/>
      <c r="F95" s="164"/>
      <c r="G95" s="337"/>
      <c r="H95" s="164"/>
      <c r="I95" s="365"/>
      <c r="J95" s="184"/>
      <c r="K95" s="365"/>
      <c r="L95" s="184"/>
      <c r="M95" s="337"/>
      <c r="N95" s="164"/>
      <c r="O95" s="337"/>
      <c r="P95" s="164"/>
      <c r="Q95" s="343"/>
      <c r="R95" s="183"/>
      <c r="S95" s="17"/>
      <c r="T95" s="17"/>
      <c r="U95" s="17"/>
      <c r="V95" s="17"/>
    </row>
    <row r="96">
      <c r="A96" s="337"/>
      <c r="B96" s="164"/>
      <c r="C96" s="337"/>
      <c r="D96" s="164"/>
      <c r="E96" s="337"/>
      <c r="F96" s="164"/>
      <c r="G96" s="337"/>
      <c r="H96" s="164"/>
      <c r="I96" s="365"/>
      <c r="J96" s="184"/>
      <c r="K96" s="365"/>
      <c r="L96" s="184"/>
      <c r="M96" s="337"/>
      <c r="N96" s="164"/>
      <c r="O96" s="337"/>
      <c r="P96" s="164"/>
      <c r="Q96" s="343"/>
      <c r="R96" s="183"/>
      <c r="S96" s="17"/>
      <c r="T96" s="17"/>
      <c r="U96" s="17"/>
      <c r="V96" s="17"/>
    </row>
    <row r="97">
      <c r="A97" s="337"/>
      <c r="B97" s="164"/>
      <c r="C97" s="337"/>
      <c r="D97" s="164"/>
      <c r="E97" s="337"/>
      <c r="F97" s="164"/>
      <c r="G97" s="337"/>
      <c r="H97" s="164"/>
      <c r="I97" s="365"/>
      <c r="J97" s="184"/>
      <c r="K97" s="365"/>
      <c r="L97" s="184"/>
      <c r="M97" s="337"/>
      <c r="N97" s="164"/>
      <c r="O97" s="337"/>
      <c r="P97" s="164"/>
      <c r="Q97" s="343"/>
      <c r="R97" s="183"/>
      <c r="S97" s="17"/>
      <c r="T97" s="17"/>
      <c r="U97" s="17"/>
      <c r="V97" s="17"/>
    </row>
    <row r="98">
      <c r="A98" s="337"/>
      <c r="B98" s="164"/>
      <c r="C98" s="337"/>
      <c r="D98" s="164"/>
      <c r="E98" s="337"/>
      <c r="F98" s="164"/>
      <c r="G98" s="337"/>
      <c r="H98" s="164"/>
      <c r="I98" s="365"/>
      <c r="J98" s="184"/>
      <c r="K98" s="365"/>
      <c r="L98" s="184"/>
      <c r="M98" s="337"/>
      <c r="N98" s="164"/>
      <c r="O98" s="337"/>
      <c r="P98" s="164"/>
      <c r="Q98" s="343"/>
      <c r="R98" s="183"/>
      <c r="S98" s="17"/>
      <c r="T98" s="17"/>
      <c r="U98" s="17"/>
      <c r="V98" s="17"/>
    </row>
    <row r="99">
      <c r="A99" s="337"/>
      <c r="B99" s="164"/>
      <c r="C99" s="337"/>
      <c r="D99" s="164"/>
      <c r="E99" s="337"/>
      <c r="F99" s="164"/>
      <c r="G99" s="337"/>
      <c r="H99" s="164"/>
      <c r="I99" s="365"/>
      <c r="J99" s="184"/>
      <c r="K99" s="365"/>
      <c r="L99" s="184"/>
      <c r="M99" s="337"/>
      <c r="N99" s="164"/>
      <c r="O99" s="337"/>
      <c r="P99" s="164"/>
      <c r="Q99" s="343"/>
      <c r="R99" s="183"/>
      <c r="S99" s="17"/>
      <c r="T99" s="17"/>
      <c r="U99" s="17"/>
      <c r="V99" s="17"/>
    </row>
    <row r="100">
      <c r="A100" s="337"/>
      <c r="B100" s="164"/>
      <c r="C100" s="337"/>
      <c r="D100" s="164"/>
      <c r="E100" s="337"/>
      <c r="F100" s="164"/>
      <c r="G100" s="337"/>
      <c r="H100" s="164"/>
      <c r="I100" s="365"/>
      <c r="J100" s="184"/>
      <c r="K100" s="365"/>
      <c r="L100" s="184"/>
      <c r="M100" s="337"/>
      <c r="N100" s="164"/>
      <c r="O100" s="337"/>
      <c r="P100" s="164"/>
      <c r="Q100" s="343"/>
      <c r="R100" s="183"/>
      <c r="S100" s="17"/>
      <c r="T100" s="17"/>
      <c r="U100" s="17"/>
      <c r="V100" s="17"/>
    </row>
    <row r="101">
      <c r="A101" s="337"/>
      <c r="B101" s="164"/>
      <c r="C101" s="337"/>
      <c r="D101" s="164"/>
      <c r="E101" s="337"/>
      <c r="F101" s="164"/>
      <c r="G101" s="337"/>
      <c r="H101" s="164"/>
      <c r="I101" s="365"/>
      <c r="J101" s="184"/>
      <c r="K101" s="365"/>
      <c r="L101" s="184"/>
      <c r="M101" s="337"/>
      <c r="N101" s="164"/>
      <c r="O101" s="337"/>
      <c r="P101" s="164"/>
      <c r="Q101" s="343"/>
      <c r="R101" s="183"/>
      <c r="S101" s="17"/>
      <c r="T101" s="17"/>
      <c r="U101" s="17"/>
      <c r="V101" s="17"/>
    </row>
    <row r="102">
      <c r="A102" s="337"/>
      <c r="B102" s="164"/>
      <c r="C102" s="337"/>
      <c r="D102" s="164"/>
      <c r="E102" s="337"/>
      <c r="F102" s="164"/>
      <c r="G102" s="337"/>
      <c r="H102" s="164"/>
      <c r="I102" s="365"/>
      <c r="J102" s="184"/>
      <c r="K102" s="365"/>
      <c r="L102" s="184"/>
      <c r="M102" s="337"/>
      <c r="N102" s="164"/>
      <c r="O102" s="337"/>
      <c r="P102" s="164"/>
      <c r="Q102" s="343"/>
      <c r="R102" s="183"/>
      <c r="S102" s="17"/>
      <c r="T102" s="17"/>
      <c r="U102" s="17"/>
      <c r="V102" s="17"/>
    </row>
    <row r="103">
      <c r="A103" s="337"/>
      <c r="B103" s="164"/>
      <c r="C103" s="337"/>
      <c r="D103" s="164"/>
      <c r="E103" s="337"/>
      <c r="F103" s="164"/>
      <c r="G103" s="337"/>
      <c r="H103" s="164"/>
      <c r="I103" s="365"/>
      <c r="J103" s="184"/>
      <c r="K103" s="365"/>
      <c r="L103" s="184"/>
      <c r="M103" s="337"/>
      <c r="N103" s="164"/>
      <c r="O103" s="337"/>
      <c r="P103" s="164"/>
      <c r="Q103" s="343"/>
      <c r="R103" s="183"/>
      <c r="S103" s="17"/>
      <c r="T103" s="17"/>
      <c r="U103" s="17"/>
      <c r="V103" s="17"/>
    </row>
    <row r="104">
      <c r="A104" s="337"/>
      <c r="B104" s="164"/>
      <c r="C104" s="337"/>
      <c r="D104" s="164"/>
      <c r="E104" s="337"/>
      <c r="F104" s="164"/>
      <c r="G104" s="337"/>
      <c r="H104" s="164"/>
      <c r="I104" s="365"/>
      <c r="J104" s="184"/>
      <c r="K104" s="365"/>
      <c r="L104" s="184"/>
      <c r="M104" s="337"/>
      <c r="N104" s="164"/>
      <c r="O104" s="337"/>
      <c r="P104" s="164"/>
      <c r="Q104" s="343"/>
      <c r="R104" s="183"/>
      <c r="S104" s="17"/>
      <c r="T104" s="17"/>
      <c r="U104" s="17"/>
      <c r="V104" s="17"/>
    </row>
    <row r="105">
      <c r="A105" s="337"/>
      <c r="B105" s="164"/>
      <c r="C105" s="337"/>
      <c r="D105" s="164"/>
      <c r="E105" s="337"/>
      <c r="F105" s="164"/>
      <c r="G105" s="337"/>
      <c r="H105" s="164"/>
      <c r="I105" s="365"/>
      <c r="J105" s="184"/>
      <c r="K105" s="365"/>
      <c r="L105" s="184"/>
      <c r="M105" s="337"/>
      <c r="N105" s="164"/>
      <c r="O105" s="337"/>
      <c r="P105" s="164"/>
      <c r="Q105" s="343"/>
      <c r="R105" s="183"/>
      <c r="S105" s="17"/>
      <c r="T105" s="17"/>
      <c r="U105" s="17"/>
      <c r="V105" s="17"/>
    </row>
    <row r="106">
      <c r="A106" s="337"/>
      <c r="B106" s="164"/>
      <c r="C106" s="337"/>
      <c r="D106" s="164"/>
      <c r="E106" s="337"/>
      <c r="F106" s="164"/>
      <c r="G106" s="337"/>
      <c r="H106" s="164"/>
      <c r="I106" s="365"/>
      <c r="J106" s="184"/>
      <c r="K106" s="365"/>
      <c r="L106" s="184"/>
      <c r="M106" s="337"/>
      <c r="N106" s="164"/>
      <c r="O106" s="337"/>
      <c r="P106" s="164"/>
      <c r="Q106" s="343"/>
      <c r="R106" s="183"/>
      <c r="S106" s="17"/>
      <c r="T106" s="17"/>
      <c r="U106" s="17"/>
      <c r="V106" s="17"/>
    </row>
    <row r="107">
      <c r="A107" s="337"/>
      <c r="B107" s="164"/>
      <c r="C107" s="337"/>
      <c r="D107" s="164"/>
      <c r="E107" s="337"/>
      <c r="F107" s="164"/>
      <c r="G107" s="337"/>
      <c r="H107" s="164"/>
      <c r="I107" s="365"/>
      <c r="J107" s="184"/>
      <c r="K107" s="365"/>
      <c r="L107" s="184"/>
      <c r="M107" s="337"/>
      <c r="N107" s="164"/>
      <c r="O107" s="337"/>
      <c r="P107" s="164"/>
      <c r="Q107" s="343"/>
      <c r="R107" s="183"/>
      <c r="S107" s="17"/>
      <c r="T107" s="17"/>
      <c r="U107" s="17"/>
      <c r="V107" s="17"/>
    </row>
    <row r="108">
      <c r="A108" s="337"/>
      <c r="B108" s="164"/>
      <c r="C108" s="337"/>
      <c r="D108" s="164"/>
      <c r="E108" s="337"/>
      <c r="F108" s="164"/>
      <c r="G108" s="337"/>
      <c r="H108" s="164"/>
      <c r="I108" s="365"/>
      <c r="J108" s="184"/>
      <c r="K108" s="365"/>
      <c r="L108" s="184"/>
      <c r="M108" s="337"/>
      <c r="N108" s="164"/>
      <c r="O108" s="337"/>
      <c r="P108" s="164"/>
      <c r="Q108" s="343"/>
      <c r="R108" s="183"/>
      <c r="S108" s="17"/>
      <c r="T108" s="17"/>
      <c r="U108" s="17"/>
      <c r="V108" s="17"/>
    </row>
    <row r="109">
      <c r="A109" s="337"/>
      <c r="B109" s="164"/>
      <c r="C109" s="337"/>
      <c r="D109" s="164"/>
      <c r="E109" s="337"/>
      <c r="F109" s="164"/>
      <c r="G109" s="337"/>
      <c r="H109" s="164"/>
      <c r="I109" s="365"/>
      <c r="J109" s="184"/>
      <c r="K109" s="365"/>
      <c r="L109" s="184"/>
      <c r="M109" s="337"/>
      <c r="N109" s="164"/>
      <c r="O109" s="337"/>
      <c r="P109" s="164"/>
      <c r="Q109" s="343"/>
      <c r="R109" s="183"/>
      <c r="S109" s="17"/>
      <c r="T109" s="17"/>
      <c r="U109" s="17"/>
      <c r="V109" s="17"/>
    </row>
    <row r="110">
      <c r="A110" s="337"/>
      <c r="B110" s="164"/>
      <c r="C110" s="337"/>
      <c r="D110" s="164"/>
      <c r="E110" s="337"/>
      <c r="F110" s="164"/>
      <c r="G110" s="337"/>
      <c r="H110" s="164"/>
      <c r="I110" s="365"/>
      <c r="J110" s="184"/>
      <c r="K110" s="365"/>
      <c r="L110" s="184"/>
      <c r="M110" s="337"/>
      <c r="N110" s="164"/>
      <c r="O110" s="337"/>
      <c r="P110" s="164"/>
      <c r="Q110" s="343"/>
      <c r="R110" s="183"/>
      <c r="S110" s="17"/>
      <c r="T110" s="17"/>
      <c r="U110" s="17"/>
      <c r="V110" s="17"/>
    </row>
    <row r="111">
      <c r="A111" s="337"/>
      <c r="B111" s="164"/>
      <c r="C111" s="337"/>
      <c r="D111" s="164"/>
      <c r="E111" s="337"/>
      <c r="F111" s="164"/>
      <c r="G111" s="337"/>
      <c r="H111" s="164"/>
      <c r="I111" s="365"/>
      <c r="J111" s="184"/>
      <c r="K111" s="365"/>
      <c r="L111" s="184"/>
      <c r="M111" s="337"/>
      <c r="N111" s="164"/>
      <c r="O111" s="337"/>
      <c r="P111" s="164"/>
      <c r="Q111" s="343"/>
      <c r="R111" s="183"/>
      <c r="S111" s="17"/>
      <c r="T111" s="17"/>
      <c r="U111" s="17"/>
      <c r="V111" s="17"/>
    </row>
    <row r="112">
      <c r="A112" s="337"/>
      <c r="B112" s="164"/>
      <c r="C112" s="337"/>
      <c r="D112" s="164"/>
      <c r="E112" s="337"/>
      <c r="F112" s="164"/>
      <c r="G112" s="337"/>
      <c r="H112" s="164"/>
      <c r="I112" s="365"/>
      <c r="J112" s="184"/>
      <c r="K112" s="365"/>
      <c r="L112" s="184"/>
      <c r="M112" s="337"/>
      <c r="N112" s="164"/>
      <c r="O112" s="337"/>
      <c r="P112" s="164"/>
      <c r="Q112" s="343"/>
      <c r="R112" s="183"/>
      <c r="S112" s="17"/>
      <c r="T112" s="17"/>
      <c r="U112" s="17"/>
      <c r="V112" s="17"/>
    </row>
    <row r="113">
      <c r="A113" s="337"/>
      <c r="B113" s="164"/>
      <c r="C113" s="337"/>
      <c r="D113" s="164"/>
      <c r="E113" s="337"/>
      <c r="F113" s="164"/>
      <c r="G113" s="337"/>
      <c r="H113" s="164"/>
      <c r="I113" s="365"/>
      <c r="J113" s="184"/>
      <c r="K113" s="365"/>
      <c r="L113" s="184"/>
      <c r="M113" s="337"/>
      <c r="N113" s="164"/>
      <c r="O113" s="337"/>
      <c r="P113" s="164"/>
      <c r="Q113" s="343"/>
      <c r="R113" s="183"/>
      <c r="S113" s="17"/>
      <c r="T113" s="17"/>
      <c r="U113" s="17"/>
      <c r="V113" s="17"/>
    </row>
    <row r="114">
      <c r="A114" s="337"/>
      <c r="B114" s="164"/>
      <c r="C114" s="337"/>
      <c r="D114" s="164"/>
      <c r="E114" s="337"/>
      <c r="F114" s="164"/>
      <c r="G114" s="337"/>
      <c r="H114" s="164"/>
      <c r="I114" s="365"/>
      <c r="J114" s="184"/>
      <c r="K114" s="365"/>
      <c r="L114" s="184"/>
      <c r="M114" s="337"/>
      <c r="N114" s="164"/>
      <c r="O114" s="337"/>
      <c r="P114" s="164"/>
      <c r="Q114" s="343"/>
      <c r="R114" s="183"/>
      <c r="S114" s="17"/>
      <c r="T114" s="17"/>
      <c r="U114" s="17"/>
      <c r="V114" s="17"/>
    </row>
    <row r="115">
      <c r="A115" s="337"/>
      <c r="B115" s="164"/>
      <c r="C115" s="337"/>
      <c r="D115" s="164"/>
      <c r="E115" s="337"/>
      <c r="F115" s="164"/>
      <c r="G115" s="337"/>
      <c r="H115" s="164"/>
      <c r="I115" s="365"/>
      <c r="J115" s="184"/>
      <c r="K115" s="365"/>
      <c r="L115" s="184"/>
      <c r="M115" s="337"/>
      <c r="N115" s="164"/>
      <c r="O115" s="337"/>
      <c r="P115" s="164"/>
      <c r="Q115" s="343"/>
      <c r="R115" s="183"/>
      <c r="S115" s="17"/>
      <c r="T115" s="17"/>
      <c r="U115" s="17"/>
      <c r="V115" s="17"/>
    </row>
    <row r="116">
      <c r="A116" s="337"/>
      <c r="B116" s="164"/>
      <c r="C116" s="337"/>
      <c r="D116" s="164"/>
      <c r="E116" s="337"/>
      <c r="F116" s="164"/>
      <c r="G116" s="337"/>
      <c r="H116" s="164"/>
      <c r="I116" s="365"/>
      <c r="J116" s="184"/>
      <c r="K116" s="365"/>
      <c r="L116" s="184"/>
      <c r="M116" s="337"/>
      <c r="N116" s="164"/>
      <c r="O116" s="337"/>
      <c r="P116" s="164"/>
      <c r="Q116" s="343"/>
      <c r="R116" s="183"/>
      <c r="S116" s="17"/>
      <c r="T116" s="17"/>
      <c r="U116" s="17"/>
      <c r="V116" s="17"/>
    </row>
    <row r="117">
      <c r="A117" s="337"/>
      <c r="B117" s="164"/>
      <c r="C117" s="337"/>
      <c r="D117" s="164"/>
      <c r="E117" s="337"/>
      <c r="F117" s="164"/>
      <c r="G117" s="337"/>
      <c r="H117" s="164"/>
      <c r="I117" s="365"/>
      <c r="J117" s="184"/>
      <c r="K117" s="365"/>
      <c r="L117" s="184"/>
      <c r="M117" s="337"/>
      <c r="N117" s="164"/>
      <c r="O117" s="337"/>
      <c r="P117" s="164"/>
      <c r="Q117" s="343"/>
      <c r="R117" s="183"/>
      <c r="S117" s="17"/>
      <c r="T117" s="17"/>
      <c r="U117" s="17"/>
      <c r="V117" s="17"/>
    </row>
    <row r="118">
      <c r="A118" s="337"/>
      <c r="B118" s="164"/>
      <c r="C118" s="337"/>
      <c r="D118" s="164"/>
      <c r="E118" s="337"/>
      <c r="F118" s="164"/>
      <c r="G118" s="337"/>
      <c r="H118" s="164"/>
      <c r="I118" s="365"/>
      <c r="J118" s="184"/>
      <c r="K118" s="365"/>
      <c r="L118" s="184"/>
      <c r="M118" s="337"/>
      <c r="N118" s="164"/>
      <c r="O118" s="337"/>
      <c r="P118" s="164"/>
      <c r="Q118" s="343"/>
      <c r="R118" s="183"/>
      <c r="S118" s="17"/>
      <c r="T118" s="17"/>
      <c r="U118" s="17"/>
      <c r="V118" s="17"/>
    </row>
    <row r="119">
      <c r="A119" s="337"/>
      <c r="B119" s="164"/>
      <c r="C119" s="337"/>
      <c r="D119" s="164"/>
      <c r="E119" s="337"/>
      <c r="F119" s="164"/>
      <c r="G119" s="337"/>
      <c r="H119" s="164"/>
      <c r="I119" s="365"/>
      <c r="J119" s="184"/>
      <c r="K119" s="365"/>
      <c r="L119" s="184"/>
      <c r="M119" s="337"/>
      <c r="N119" s="164"/>
      <c r="O119" s="337"/>
      <c r="P119" s="164"/>
      <c r="Q119" s="343"/>
      <c r="R119" s="183"/>
      <c r="S119" s="17"/>
      <c r="T119" s="17"/>
      <c r="U119" s="17"/>
      <c r="V119" s="17"/>
    </row>
    <row r="120">
      <c r="A120" s="337"/>
      <c r="B120" s="164"/>
      <c r="C120" s="337"/>
      <c r="D120" s="164"/>
      <c r="E120" s="337"/>
      <c r="F120" s="164"/>
      <c r="G120" s="337"/>
      <c r="H120" s="164"/>
      <c r="I120" s="365"/>
      <c r="J120" s="184"/>
      <c r="K120" s="365"/>
      <c r="L120" s="184"/>
      <c r="M120" s="337"/>
      <c r="N120" s="164"/>
      <c r="O120" s="337"/>
      <c r="P120" s="164"/>
      <c r="Q120" s="343"/>
      <c r="R120" s="183"/>
      <c r="S120" s="17"/>
      <c r="T120" s="17"/>
      <c r="U120" s="17"/>
      <c r="V120" s="17"/>
    </row>
    <row r="121">
      <c r="A121" s="337"/>
      <c r="B121" s="164"/>
      <c r="C121" s="337"/>
      <c r="D121" s="164"/>
      <c r="E121" s="337"/>
      <c r="F121" s="164"/>
      <c r="G121" s="337"/>
      <c r="H121" s="164"/>
      <c r="I121" s="365"/>
      <c r="J121" s="184"/>
      <c r="K121" s="365"/>
      <c r="L121" s="184"/>
      <c r="M121" s="337"/>
      <c r="N121" s="164"/>
      <c r="O121" s="337"/>
      <c r="P121" s="164"/>
      <c r="Q121" s="343"/>
      <c r="R121" s="183"/>
      <c r="S121" s="17"/>
      <c r="T121" s="17"/>
      <c r="U121" s="17"/>
      <c r="V121" s="17"/>
    </row>
    <row r="122">
      <c r="A122" s="337"/>
      <c r="B122" s="164"/>
      <c r="C122" s="337"/>
      <c r="D122" s="164"/>
      <c r="E122" s="337"/>
      <c r="F122" s="164"/>
      <c r="G122" s="337"/>
      <c r="H122" s="164"/>
      <c r="I122" s="365"/>
      <c r="J122" s="184"/>
      <c r="K122" s="365"/>
      <c r="L122" s="184"/>
      <c r="M122" s="337"/>
      <c r="N122" s="164"/>
      <c r="O122" s="337"/>
      <c r="P122" s="164"/>
      <c r="Q122" s="343"/>
      <c r="R122" s="183"/>
      <c r="S122" s="17"/>
      <c r="T122" s="17"/>
      <c r="U122" s="17"/>
      <c r="V122" s="17"/>
    </row>
    <row r="123">
      <c r="A123" s="337"/>
      <c r="B123" s="164"/>
      <c r="C123" s="337"/>
      <c r="D123" s="164"/>
      <c r="E123" s="337"/>
      <c r="F123" s="164"/>
      <c r="G123" s="337"/>
      <c r="H123" s="164"/>
      <c r="I123" s="365"/>
      <c r="J123" s="184"/>
      <c r="K123" s="365"/>
      <c r="L123" s="184"/>
      <c r="M123" s="337"/>
      <c r="N123" s="164"/>
      <c r="O123" s="337"/>
      <c r="P123" s="164"/>
      <c r="Q123" s="343"/>
      <c r="R123" s="183"/>
      <c r="S123" s="17"/>
      <c r="T123" s="17"/>
      <c r="U123" s="17"/>
      <c r="V123" s="17"/>
    </row>
    <row r="124">
      <c r="A124" s="337"/>
      <c r="B124" s="164"/>
      <c r="C124" s="337"/>
      <c r="D124" s="164"/>
      <c r="E124" s="337"/>
      <c r="F124" s="164"/>
      <c r="G124" s="337"/>
      <c r="H124" s="164"/>
      <c r="I124" s="365"/>
      <c r="J124" s="184"/>
      <c r="K124" s="365"/>
      <c r="L124" s="184"/>
      <c r="M124" s="337"/>
      <c r="N124" s="164"/>
      <c r="O124" s="337"/>
      <c r="P124" s="164"/>
      <c r="Q124" s="343"/>
      <c r="R124" s="183"/>
      <c r="S124" s="17"/>
      <c r="T124" s="17"/>
      <c r="U124" s="17"/>
      <c r="V124" s="17"/>
    </row>
    <row r="125">
      <c r="A125" s="337"/>
      <c r="B125" s="164"/>
      <c r="C125" s="337"/>
      <c r="D125" s="164"/>
      <c r="E125" s="337"/>
      <c r="F125" s="164"/>
      <c r="G125" s="337"/>
      <c r="H125" s="164"/>
      <c r="I125" s="365"/>
      <c r="J125" s="184"/>
      <c r="K125" s="365"/>
      <c r="L125" s="184"/>
      <c r="M125" s="337"/>
      <c r="N125" s="164"/>
      <c r="O125" s="337"/>
      <c r="P125" s="164"/>
      <c r="Q125" s="343"/>
      <c r="R125" s="183"/>
      <c r="S125" s="17"/>
      <c r="T125" s="17"/>
      <c r="U125" s="17"/>
      <c r="V125" s="17"/>
    </row>
    <row r="126">
      <c r="A126" s="337"/>
      <c r="B126" s="164"/>
      <c r="C126" s="337"/>
      <c r="D126" s="164"/>
      <c r="E126" s="337"/>
      <c r="F126" s="164"/>
      <c r="G126" s="337"/>
      <c r="H126" s="164"/>
      <c r="I126" s="365"/>
      <c r="J126" s="184"/>
      <c r="K126" s="365"/>
      <c r="L126" s="184"/>
      <c r="M126" s="337"/>
      <c r="N126" s="164"/>
      <c r="O126" s="337"/>
      <c r="P126" s="164"/>
      <c r="Q126" s="343"/>
      <c r="R126" s="183"/>
      <c r="S126" s="17"/>
      <c r="T126" s="17"/>
      <c r="U126" s="17"/>
      <c r="V126" s="17"/>
    </row>
    <row r="127">
      <c r="A127" s="337"/>
      <c r="B127" s="164"/>
      <c r="C127" s="337"/>
      <c r="D127" s="164"/>
      <c r="E127" s="337"/>
      <c r="F127" s="164"/>
      <c r="G127" s="337"/>
      <c r="H127" s="164"/>
      <c r="I127" s="365"/>
      <c r="J127" s="184"/>
      <c r="K127" s="365"/>
      <c r="L127" s="184"/>
      <c r="M127" s="337"/>
      <c r="N127" s="164"/>
      <c r="O127" s="337"/>
      <c r="P127" s="164"/>
      <c r="Q127" s="343"/>
      <c r="R127" s="183"/>
      <c r="S127" s="17"/>
      <c r="T127" s="17"/>
      <c r="U127" s="17"/>
      <c r="V127" s="17"/>
    </row>
    <row r="128">
      <c r="A128" s="337"/>
      <c r="B128" s="164"/>
      <c r="C128" s="337"/>
      <c r="D128" s="164"/>
      <c r="E128" s="337"/>
      <c r="F128" s="164"/>
      <c r="G128" s="337"/>
      <c r="H128" s="164"/>
      <c r="I128" s="365"/>
      <c r="J128" s="184"/>
      <c r="K128" s="365"/>
      <c r="L128" s="184"/>
      <c r="M128" s="337"/>
      <c r="N128" s="164"/>
      <c r="O128" s="337"/>
      <c r="P128" s="164"/>
      <c r="Q128" s="343"/>
      <c r="R128" s="183"/>
      <c r="S128" s="17"/>
      <c r="T128" s="17"/>
      <c r="U128" s="17"/>
      <c r="V128" s="17"/>
    </row>
    <row r="129">
      <c r="A129" s="337"/>
      <c r="B129" s="164"/>
      <c r="C129" s="337"/>
      <c r="D129" s="164"/>
      <c r="E129" s="337"/>
      <c r="F129" s="164"/>
      <c r="G129" s="337"/>
      <c r="H129" s="164"/>
      <c r="I129" s="365"/>
      <c r="J129" s="184"/>
      <c r="K129" s="365"/>
      <c r="L129" s="184"/>
      <c r="M129" s="337"/>
      <c r="N129" s="164"/>
      <c r="O129" s="337"/>
      <c r="P129" s="164"/>
      <c r="Q129" s="343"/>
      <c r="R129" s="183"/>
      <c r="S129" s="17"/>
      <c r="T129" s="17"/>
      <c r="U129" s="17"/>
      <c r="V129" s="17"/>
    </row>
    <row r="130">
      <c r="A130" s="337"/>
      <c r="B130" s="164"/>
      <c r="C130" s="337"/>
      <c r="D130" s="164"/>
      <c r="E130" s="337"/>
      <c r="F130" s="164"/>
      <c r="G130" s="337"/>
      <c r="H130" s="164"/>
      <c r="I130" s="365"/>
      <c r="J130" s="184"/>
      <c r="K130" s="365"/>
      <c r="L130" s="184"/>
      <c r="M130" s="337"/>
      <c r="N130" s="164"/>
      <c r="O130" s="337"/>
      <c r="P130" s="164"/>
      <c r="Q130" s="343"/>
      <c r="R130" s="183"/>
      <c r="S130" s="17"/>
      <c r="T130" s="17"/>
      <c r="U130" s="17"/>
      <c r="V130" s="17"/>
    </row>
    <row r="131">
      <c r="A131" s="337"/>
      <c r="B131" s="164"/>
      <c r="C131" s="337"/>
      <c r="D131" s="164"/>
      <c r="E131" s="337"/>
      <c r="F131" s="164"/>
      <c r="G131" s="337"/>
      <c r="H131" s="164"/>
      <c r="I131" s="365"/>
      <c r="J131" s="184"/>
      <c r="K131" s="365"/>
      <c r="L131" s="184"/>
      <c r="M131" s="337"/>
      <c r="N131" s="164"/>
      <c r="O131" s="337"/>
      <c r="P131" s="164"/>
      <c r="Q131" s="343"/>
      <c r="R131" s="183"/>
      <c r="S131" s="17"/>
      <c r="T131" s="17"/>
      <c r="U131" s="17"/>
      <c r="V131" s="17"/>
    </row>
    <row r="132">
      <c r="A132" s="337"/>
      <c r="B132" s="164"/>
      <c r="C132" s="337"/>
      <c r="D132" s="164"/>
      <c r="E132" s="337"/>
      <c r="F132" s="164"/>
      <c r="G132" s="337"/>
      <c r="H132" s="164"/>
      <c r="I132" s="365"/>
      <c r="J132" s="184"/>
      <c r="K132" s="365"/>
      <c r="L132" s="184"/>
      <c r="M132" s="337"/>
      <c r="N132" s="164"/>
      <c r="O132" s="337"/>
      <c r="P132" s="164"/>
      <c r="Q132" s="343"/>
      <c r="R132" s="183"/>
      <c r="S132" s="17"/>
      <c r="T132" s="17"/>
      <c r="U132" s="17"/>
      <c r="V132" s="17"/>
    </row>
    <row r="133">
      <c r="A133" s="337"/>
      <c r="B133" s="164"/>
      <c r="C133" s="337"/>
      <c r="D133" s="164"/>
      <c r="E133" s="337"/>
      <c r="F133" s="164"/>
      <c r="G133" s="337"/>
      <c r="H133" s="164"/>
      <c r="I133" s="365"/>
      <c r="J133" s="184"/>
      <c r="K133" s="365"/>
      <c r="L133" s="184"/>
      <c r="M133" s="337"/>
      <c r="N133" s="164"/>
      <c r="O133" s="337"/>
      <c r="P133" s="164"/>
      <c r="Q133" s="343"/>
      <c r="R133" s="183"/>
      <c r="S133" s="17"/>
      <c r="T133" s="17"/>
      <c r="U133" s="17"/>
      <c r="V133" s="17"/>
    </row>
    <row r="134">
      <c r="A134" s="337"/>
      <c r="B134" s="164"/>
      <c r="C134" s="337"/>
      <c r="D134" s="164"/>
      <c r="E134" s="337"/>
      <c r="F134" s="164"/>
      <c r="G134" s="337"/>
      <c r="H134" s="164"/>
      <c r="I134" s="365"/>
      <c r="J134" s="184"/>
      <c r="K134" s="365"/>
      <c r="L134" s="184"/>
      <c r="M134" s="337"/>
      <c r="N134" s="164"/>
      <c r="O134" s="337"/>
      <c r="P134" s="164"/>
      <c r="Q134" s="343"/>
      <c r="R134" s="183"/>
      <c r="S134" s="17"/>
      <c r="T134" s="17"/>
      <c r="U134" s="17"/>
      <c r="V134" s="17"/>
    </row>
    <row r="135">
      <c r="A135" s="337"/>
      <c r="B135" s="164"/>
      <c r="C135" s="337"/>
      <c r="D135" s="164"/>
      <c r="E135" s="337"/>
      <c r="F135" s="164"/>
      <c r="G135" s="337"/>
      <c r="H135" s="164"/>
      <c r="I135" s="365"/>
      <c r="J135" s="184"/>
      <c r="K135" s="365"/>
      <c r="L135" s="184"/>
      <c r="M135" s="337"/>
      <c r="N135" s="164"/>
      <c r="O135" s="337"/>
      <c r="P135" s="164"/>
      <c r="Q135" s="343"/>
      <c r="R135" s="183"/>
      <c r="S135" s="17"/>
      <c r="T135" s="17"/>
      <c r="U135" s="17"/>
      <c r="V135" s="17"/>
    </row>
    <row r="136">
      <c r="A136" s="337"/>
      <c r="B136" s="164"/>
      <c r="C136" s="337"/>
      <c r="D136" s="164"/>
      <c r="E136" s="337"/>
      <c r="F136" s="164"/>
      <c r="G136" s="337"/>
      <c r="H136" s="164"/>
      <c r="I136" s="365"/>
      <c r="J136" s="184"/>
      <c r="K136" s="365"/>
      <c r="L136" s="184"/>
      <c r="M136" s="337"/>
      <c r="N136" s="164"/>
      <c r="O136" s="337"/>
      <c r="P136" s="164"/>
      <c r="Q136" s="343"/>
      <c r="R136" s="183"/>
      <c r="S136" s="17"/>
      <c r="T136" s="17"/>
      <c r="U136" s="17"/>
      <c r="V136" s="17"/>
    </row>
    <row r="137">
      <c r="A137" s="337"/>
      <c r="B137" s="164"/>
      <c r="C137" s="337"/>
      <c r="D137" s="164"/>
      <c r="E137" s="337"/>
      <c r="F137" s="164"/>
      <c r="G137" s="337"/>
      <c r="H137" s="164"/>
      <c r="I137" s="365"/>
      <c r="J137" s="184"/>
      <c r="K137" s="365"/>
      <c r="L137" s="184"/>
      <c r="M137" s="337"/>
      <c r="N137" s="164"/>
      <c r="O137" s="337"/>
      <c r="P137" s="164"/>
      <c r="Q137" s="343"/>
      <c r="R137" s="183"/>
      <c r="S137" s="17"/>
      <c r="T137" s="17"/>
      <c r="U137" s="17"/>
      <c r="V137" s="17"/>
    </row>
    <row r="138">
      <c r="A138" s="337"/>
      <c r="B138" s="164"/>
      <c r="C138" s="337"/>
      <c r="D138" s="164"/>
      <c r="E138" s="337"/>
      <c r="F138" s="164"/>
      <c r="G138" s="337"/>
      <c r="H138" s="164"/>
      <c r="I138" s="365"/>
      <c r="J138" s="184"/>
      <c r="K138" s="365"/>
      <c r="L138" s="184"/>
      <c r="M138" s="337"/>
      <c r="N138" s="164"/>
      <c r="O138" s="337"/>
      <c r="P138" s="164"/>
      <c r="Q138" s="343"/>
      <c r="R138" s="183"/>
      <c r="S138" s="17"/>
      <c r="T138" s="17"/>
      <c r="U138" s="17"/>
      <c r="V138" s="17"/>
    </row>
    <row r="139">
      <c r="A139" s="337"/>
      <c r="B139" s="164"/>
      <c r="C139" s="337"/>
      <c r="D139" s="164"/>
      <c r="E139" s="337"/>
      <c r="F139" s="164"/>
      <c r="G139" s="337"/>
      <c r="H139" s="164"/>
      <c r="I139" s="365"/>
      <c r="J139" s="184"/>
      <c r="K139" s="365"/>
      <c r="L139" s="184"/>
      <c r="M139" s="337"/>
      <c r="N139" s="164"/>
      <c r="O139" s="337"/>
      <c r="P139" s="164"/>
      <c r="Q139" s="343"/>
      <c r="R139" s="183"/>
      <c r="S139" s="17"/>
      <c r="T139" s="17"/>
      <c r="U139" s="17"/>
      <c r="V139" s="17"/>
    </row>
    <row r="140">
      <c r="A140" s="337"/>
      <c r="B140" s="164"/>
      <c r="C140" s="337"/>
      <c r="D140" s="164"/>
      <c r="E140" s="337"/>
      <c r="F140" s="164"/>
      <c r="G140" s="337"/>
      <c r="H140" s="164"/>
      <c r="I140" s="365"/>
      <c r="J140" s="184"/>
      <c r="K140" s="365"/>
      <c r="L140" s="184"/>
      <c r="M140" s="337"/>
      <c r="N140" s="164"/>
      <c r="O140" s="337"/>
      <c r="P140" s="164"/>
      <c r="Q140" s="343"/>
      <c r="R140" s="183"/>
      <c r="S140" s="17"/>
      <c r="T140" s="17"/>
      <c r="U140" s="17"/>
      <c r="V140" s="17"/>
    </row>
    <row r="141">
      <c r="A141" s="337"/>
      <c r="B141" s="164"/>
      <c r="C141" s="337"/>
      <c r="D141" s="164"/>
      <c r="E141" s="337"/>
      <c r="F141" s="164"/>
      <c r="G141" s="337"/>
      <c r="H141" s="164"/>
      <c r="I141" s="365"/>
      <c r="J141" s="184"/>
      <c r="K141" s="365"/>
      <c r="L141" s="184"/>
      <c r="M141" s="337"/>
      <c r="N141" s="164"/>
      <c r="O141" s="337"/>
      <c r="P141" s="164"/>
      <c r="Q141" s="343"/>
      <c r="R141" s="183"/>
      <c r="S141" s="17"/>
      <c r="T141" s="17"/>
      <c r="U141" s="17"/>
      <c r="V141" s="17"/>
    </row>
    <row r="142">
      <c r="A142" s="337"/>
      <c r="B142" s="164"/>
      <c r="C142" s="337"/>
      <c r="D142" s="164"/>
      <c r="E142" s="337"/>
      <c r="F142" s="164"/>
      <c r="G142" s="337"/>
      <c r="H142" s="164"/>
      <c r="I142" s="365"/>
      <c r="J142" s="184"/>
      <c r="K142" s="365"/>
      <c r="L142" s="184"/>
      <c r="M142" s="337"/>
      <c r="N142" s="164"/>
      <c r="O142" s="337"/>
      <c r="P142" s="164"/>
      <c r="Q142" s="343"/>
      <c r="R142" s="183"/>
      <c r="S142" s="17"/>
      <c r="T142" s="17"/>
      <c r="U142" s="17"/>
      <c r="V142" s="17"/>
    </row>
    <row r="143">
      <c r="A143" s="337"/>
      <c r="B143" s="164"/>
      <c r="C143" s="337"/>
      <c r="D143" s="164"/>
      <c r="E143" s="337"/>
      <c r="F143" s="164"/>
      <c r="G143" s="337"/>
      <c r="H143" s="164"/>
      <c r="I143" s="365"/>
      <c r="J143" s="184"/>
      <c r="K143" s="365"/>
      <c r="L143" s="184"/>
      <c r="M143" s="337"/>
      <c r="N143" s="164"/>
      <c r="O143" s="337"/>
      <c r="P143" s="164"/>
      <c r="Q143" s="343"/>
      <c r="R143" s="183"/>
      <c r="S143" s="17"/>
      <c r="T143" s="17"/>
      <c r="U143" s="17"/>
      <c r="V143" s="17"/>
    </row>
    <row r="144">
      <c r="A144" s="337"/>
      <c r="B144" s="164"/>
      <c r="C144" s="337"/>
      <c r="D144" s="164"/>
      <c r="E144" s="337"/>
      <c r="F144" s="164"/>
      <c r="G144" s="337"/>
      <c r="H144" s="164"/>
      <c r="I144" s="365"/>
      <c r="J144" s="184"/>
      <c r="K144" s="365"/>
      <c r="L144" s="184"/>
      <c r="M144" s="337"/>
      <c r="N144" s="164"/>
      <c r="O144" s="337"/>
      <c r="P144" s="164"/>
      <c r="Q144" s="343"/>
      <c r="R144" s="183"/>
      <c r="S144" s="17"/>
      <c r="T144" s="17"/>
      <c r="U144" s="17"/>
      <c r="V144" s="17"/>
    </row>
    <row r="145">
      <c r="A145" s="337"/>
      <c r="B145" s="164"/>
      <c r="C145" s="337"/>
      <c r="D145" s="164"/>
      <c r="E145" s="337"/>
      <c r="F145" s="164"/>
      <c r="G145" s="337"/>
      <c r="H145" s="164"/>
      <c r="I145" s="365"/>
      <c r="J145" s="184"/>
      <c r="K145" s="365"/>
      <c r="L145" s="184"/>
      <c r="M145" s="337"/>
      <c r="N145" s="164"/>
      <c r="O145" s="337"/>
      <c r="P145" s="164"/>
      <c r="Q145" s="343"/>
      <c r="R145" s="183"/>
      <c r="S145" s="17"/>
      <c r="T145" s="17"/>
      <c r="U145" s="17"/>
      <c r="V145" s="17"/>
    </row>
    <row r="146">
      <c r="A146" s="337"/>
      <c r="B146" s="164"/>
      <c r="C146" s="337"/>
      <c r="D146" s="164"/>
      <c r="E146" s="337"/>
      <c r="F146" s="164"/>
      <c r="G146" s="337"/>
      <c r="H146" s="164"/>
      <c r="I146" s="365"/>
      <c r="J146" s="184"/>
      <c r="K146" s="365"/>
      <c r="L146" s="184"/>
      <c r="M146" s="337"/>
      <c r="N146" s="164"/>
      <c r="O146" s="337"/>
      <c r="P146" s="164"/>
      <c r="Q146" s="343"/>
      <c r="R146" s="183"/>
      <c r="S146" s="17"/>
      <c r="T146" s="17"/>
      <c r="U146" s="17"/>
      <c r="V146" s="17"/>
    </row>
    <row r="147">
      <c r="A147" s="337"/>
      <c r="B147" s="164"/>
      <c r="C147" s="337"/>
      <c r="D147" s="164"/>
      <c r="E147" s="337"/>
      <c r="F147" s="164"/>
      <c r="G147" s="337"/>
      <c r="H147" s="164"/>
      <c r="I147" s="365"/>
      <c r="J147" s="184"/>
      <c r="K147" s="365"/>
      <c r="L147" s="184"/>
      <c r="M147" s="337"/>
      <c r="N147" s="164"/>
      <c r="O147" s="337"/>
      <c r="P147" s="164"/>
      <c r="Q147" s="343"/>
      <c r="R147" s="183"/>
      <c r="S147" s="17"/>
      <c r="T147" s="17"/>
      <c r="U147" s="17"/>
      <c r="V147" s="17"/>
    </row>
    <row r="148">
      <c r="A148" s="337"/>
      <c r="B148" s="164"/>
      <c r="C148" s="337"/>
      <c r="D148" s="164"/>
      <c r="E148" s="337"/>
      <c r="F148" s="164"/>
      <c r="G148" s="337"/>
      <c r="H148" s="164"/>
      <c r="I148" s="365"/>
      <c r="J148" s="184"/>
      <c r="K148" s="365"/>
      <c r="L148" s="184"/>
      <c r="M148" s="337"/>
      <c r="N148" s="164"/>
      <c r="O148" s="337"/>
      <c r="P148" s="164"/>
      <c r="Q148" s="343"/>
      <c r="R148" s="183"/>
      <c r="S148" s="17"/>
      <c r="T148" s="17"/>
      <c r="U148" s="17"/>
      <c r="V148" s="17"/>
    </row>
    <row r="149">
      <c r="A149" s="337"/>
      <c r="B149" s="164"/>
      <c r="C149" s="337"/>
      <c r="D149" s="164"/>
      <c r="E149" s="337"/>
      <c r="F149" s="164"/>
      <c r="G149" s="337"/>
      <c r="H149" s="164"/>
      <c r="I149" s="365"/>
      <c r="J149" s="184"/>
      <c r="K149" s="365"/>
      <c r="L149" s="184"/>
      <c r="M149" s="337"/>
      <c r="N149" s="164"/>
      <c r="O149" s="337"/>
      <c r="P149" s="164"/>
      <c r="Q149" s="343"/>
      <c r="R149" s="183"/>
      <c r="S149" s="17"/>
      <c r="T149" s="17"/>
      <c r="U149" s="17"/>
      <c r="V149" s="17"/>
    </row>
    <row r="150">
      <c r="A150" s="337"/>
      <c r="B150" s="164"/>
      <c r="C150" s="337"/>
      <c r="D150" s="164"/>
      <c r="E150" s="337"/>
      <c r="F150" s="164"/>
      <c r="G150" s="337"/>
      <c r="H150" s="164"/>
      <c r="I150" s="365"/>
      <c r="J150" s="184"/>
      <c r="K150" s="365"/>
      <c r="L150" s="184"/>
      <c r="M150" s="337"/>
      <c r="N150" s="164"/>
      <c r="O150" s="337"/>
      <c r="P150" s="164"/>
      <c r="Q150" s="343"/>
      <c r="R150" s="183"/>
      <c r="S150" s="17"/>
      <c r="T150" s="17"/>
      <c r="U150" s="17"/>
      <c r="V150" s="17"/>
    </row>
    <row r="151">
      <c r="A151" s="337"/>
      <c r="B151" s="164"/>
      <c r="C151" s="337"/>
      <c r="D151" s="164"/>
      <c r="E151" s="337"/>
      <c r="F151" s="164"/>
      <c r="G151" s="337"/>
      <c r="H151" s="164"/>
      <c r="I151" s="365"/>
      <c r="J151" s="184"/>
      <c r="K151" s="365"/>
      <c r="L151" s="184"/>
      <c r="M151" s="337"/>
      <c r="N151" s="164"/>
      <c r="O151" s="337"/>
      <c r="P151" s="164"/>
      <c r="Q151" s="343"/>
      <c r="R151" s="183"/>
      <c r="S151" s="17"/>
      <c r="T151" s="17"/>
      <c r="U151" s="17"/>
      <c r="V151" s="17"/>
    </row>
    <row r="152">
      <c r="A152" s="337"/>
      <c r="B152" s="164"/>
      <c r="C152" s="337"/>
      <c r="D152" s="164"/>
      <c r="E152" s="337"/>
      <c r="F152" s="164"/>
      <c r="G152" s="337"/>
      <c r="H152" s="164"/>
      <c r="I152" s="365"/>
      <c r="J152" s="184"/>
      <c r="K152" s="365"/>
      <c r="L152" s="184"/>
      <c r="M152" s="337"/>
      <c r="N152" s="164"/>
      <c r="O152" s="337"/>
      <c r="P152" s="164"/>
      <c r="Q152" s="343"/>
      <c r="R152" s="183"/>
      <c r="S152" s="17"/>
      <c r="T152" s="17"/>
      <c r="U152" s="17"/>
      <c r="V152" s="17"/>
    </row>
    <row r="153">
      <c r="A153" s="337"/>
      <c r="B153" s="164"/>
      <c r="C153" s="337"/>
      <c r="D153" s="164"/>
      <c r="E153" s="337"/>
      <c r="F153" s="164"/>
      <c r="G153" s="337"/>
      <c r="H153" s="164"/>
      <c r="I153" s="365"/>
      <c r="J153" s="184"/>
      <c r="K153" s="365"/>
      <c r="L153" s="184"/>
      <c r="M153" s="337"/>
      <c r="N153" s="164"/>
      <c r="O153" s="337"/>
      <c r="P153" s="164"/>
      <c r="Q153" s="343"/>
      <c r="R153" s="183"/>
      <c r="S153" s="17"/>
      <c r="T153" s="17"/>
      <c r="U153" s="17"/>
      <c r="V153" s="17"/>
    </row>
    <row r="154">
      <c r="A154" s="337"/>
      <c r="B154" s="164"/>
      <c r="C154" s="337"/>
      <c r="D154" s="164"/>
      <c r="E154" s="337"/>
      <c r="F154" s="164"/>
      <c r="G154" s="337"/>
      <c r="H154" s="164"/>
      <c r="I154" s="365"/>
      <c r="J154" s="184"/>
      <c r="K154" s="365"/>
      <c r="L154" s="184"/>
      <c r="M154" s="337"/>
      <c r="N154" s="164"/>
      <c r="O154" s="337"/>
      <c r="P154" s="164"/>
      <c r="Q154" s="343"/>
      <c r="R154" s="183"/>
      <c r="S154" s="17"/>
      <c r="T154" s="17"/>
      <c r="U154" s="17"/>
      <c r="V154" s="17"/>
    </row>
    <row r="155">
      <c r="A155" s="337"/>
      <c r="B155" s="164"/>
      <c r="C155" s="337"/>
      <c r="D155" s="164"/>
      <c r="E155" s="337"/>
      <c r="F155" s="164"/>
      <c r="G155" s="337"/>
      <c r="H155" s="164"/>
      <c r="I155" s="365"/>
      <c r="J155" s="184"/>
      <c r="K155" s="365"/>
      <c r="L155" s="184"/>
      <c r="M155" s="337"/>
      <c r="N155" s="164"/>
      <c r="O155" s="337"/>
      <c r="P155" s="164"/>
      <c r="Q155" s="343"/>
      <c r="R155" s="183"/>
      <c r="S155" s="17"/>
      <c r="T155" s="17"/>
      <c r="U155" s="17"/>
      <c r="V155" s="17"/>
    </row>
    <row r="156">
      <c r="A156" s="337"/>
      <c r="B156" s="164"/>
      <c r="C156" s="337"/>
      <c r="D156" s="164"/>
      <c r="E156" s="337"/>
      <c r="F156" s="164"/>
      <c r="G156" s="337"/>
      <c r="H156" s="164"/>
      <c r="I156" s="365"/>
      <c r="J156" s="184"/>
      <c r="K156" s="365"/>
      <c r="L156" s="184"/>
      <c r="M156" s="337"/>
      <c r="N156" s="164"/>
      <c r="O156" s="337"/>
      <c r="P156" s="164"/>
      <c r="Q156" s="343"/>
      <c r="R156" s="183"/>
      <c r="S156" s="17"/>
      <c r="T156" s="17"/>
      <c r="U156" s="17"/>
      <c r="V156" s="17"/>
    </row>
    <row r="157">
      <c r="A157" s="337"/>
      <c r="B157" s="164"/>
      <c r="C157" s="337"/>
      <c r="D157" s="164"/>
      <c r="E157" s="337"/>
      <c r="F157" s="164"/>
      <c r="G157" s="337"/>
      <c r="H157" s="164"/>
      <c r="I157" s="365"/>
      <c r="J157" s="184"/>
      <c r="K157" s="365"/>
      <c r="L157" s="184"/>
      <c r="M157" s="337"/>
      <c r="N157" s="164"/>
      <c r="O157" s="337"/>
      <c r="P157" s="164"/>
      <c r="Q157" s="343"/>
      <c r="R157" s="183"/>
      <c r="S157" s="17"/>
      <c r="T157" s="17"/>
      <c r="U157" s="17"/>
      <c r="V157" s="17"/>
    </row>
    <row r="158">
      <c r="A158" s="337"/>
      <c r="B158" s="164"/>
      <c r="C158" s="337"/>
      <c r="D158" s="164"/>
      <c r="E158" s="337"/>
      <c r="F158" s="164"/>
      <c r="G158" s="337"/>
      <c r="H158" s="164"/>
      <c r="I158" s="365"/>
      <c r="J158" s="184"/>
      <c r="K158" s="365"/>
      <c r="L158" s="184"/>
      <c r="M158" s="337"/>
      <c r="N158" s="164"/>
      <c r="O158" s="337"/>
      <c r="P158" s="164"/>
      <c r="Q158" s="343"/>
      <c r="R158" s="183"/>
      <c r="S158" s="17"/>
      <c r="T158" s="17"/>
      <c r="U158" s="17"/>
      <c r="V158" s="17"/>
    </row>
    <row r="159">
      <c r="A159" s="337"/>
      <c r="B159" s="164"/>
      <c r="C159" s="337"/>
      <c r="D159" s="164"/>
      <c r="E159" s="337"/>
      <c r="F159" s="164"/>
      <c r="G159" s="337"/>
      <c r="H159" s="164"/>
      <c r="I159" s="365"/>
      <c r="J159" s="184"/>
      <c r="K159" s="365"/>
      <c r="L159" s="184"/>
      <c r="M159" s="337"/>
      <c r="N159" s="164"/>
      <c r="O159" s="337"/>
      <c r="P159" s="164"/>
      <c r="Q159" s="343"/>
      <c r="R159" s="183"/>
      <c r="S159" s="17"/>
      <c r="T159" s="17"/>
      <c r="U159" s="17"/>
      <c r="V159" s="17"/>
    </row>
    <row r="160">
      <c r="A160" s="337"/>
      <c r="B160" s="164"/>
      <c r="C160" s="337"/>
      <c r="D160" s="164"/>
      <c r="E160" s="337"/>
      <c r="F160" s="164"/>
      <c r="G160" s="337"/>
      <c r="H160" s="164"/>
      <c r="I160" s="365"/>
      <c r="J160" s="184"/>
      <c r="K160" s="365"/>
      <c r="L160" s="184"/>
      <c r="M160" s="337"/>
      <c r="N160" s="164"/>
      <c r="O160" s="337"/>
      <c r="P160" s="164"/>
      <c r="Q160" s="343"/>
      <c r="R160" s="183"/>
      <c r="S160" s="17"/>
      <c r="T160" s="17"/>
      <c r="U160" s="17"/>
      <c r="V160" s="17"/>
    </row>
    <row r="161">
      <c r="A161" s="337"/>
      <c r="B161" s="164"/>
      <c r="C161" s="337"/>
      <c r="D161" s="164"/>
      <c r="E161" s="337"/>
      <c r="F161" s="164"/>
      <c r="G161" s="337"/>
      <c r="H161" s="164"/>
      <c r="I161" s="365"/>
      <c r="J161" s="184"/>
      <c r="K161" s="365"/>
      <c r="L161" s="184"/>
      <c r="M161" s="337"/>
      <c r="N161" s="164"/>
      <c r="O161" s="337"/>
      <c r="P161" s="164"/>
      <c r="Q161" s="343"/>
      <c r="R161" s="183"/>
      <c r="S161" s="17"/>
      <c r="T161" s="17"/>
      <c r="U161" s="17"/>
      <c r="V161" s="17"/>
    </row>
    <row r="162">
      <c r="A162" s="337"/>
      <c r="B162" s="164"/>
      <c r="C162" s="337"/>
      <c r="D162" s="164"/>
      <c r="E162" s="337"/>
      <c r="F162" s="164"/>
      <c r="G162" s="337"/>
      <c r="H162" s="164"/>
      <c r="I162" s="365"/>
      <c r="J162" s="184"/>
      <c r="K162" s="365"/>
      <c r="L162" s="184"/>
      <c r="M162" s="337"/>
      <c r="N162" s="164"/>
      <c r="O162" s="337"/>
      <c r="P162" s="164"/>
      <c r="Q162" s="343"/>
      <c r="R162" s="183"/>
      <c r="S162" s="17"/>
      <c r="T162" s="17"/>
      <c r="U162" s="17"/>
      <c r="V162" s="17"/>
    </row>
    <row r="163">
      <c r="A163" s="337"/>
      <c r="B163" s="164"/>
      <c r="C163" s="337"/>
      <c r="D163" s="164"/>
      <c r="E163" s="337"/>
      <c r="F163" s="164"/>
      <c r="G163" s="337"/>
      <c r="H163" s="164"/>
      <c r="I163" s="365"/>
      <c r="J163" s="184"/>
      <c r="K163" s="365"/>
      <c r="L163" s="184"/>
      <c r="M163" s="337"/>
      <c r="N163" s="164"/>
      <c r="O163" s="337"/>
      <c r="P163" s="164"/>
      <c r="Q163" s="343"/>
      <c r="R163" s="183"/>
      <c r="S163" s="17"/>
      <c r="T163" s="17"/>
      <c r="U163" s="17"/>
      <c r="V163" s="17"/>
    </row>
    <row r="164">
      <c r="A164" s="337"/>
      <c r="B164" s="164"/>
      <c r="C164" s="337"/>
      <c r="D164" s="164"/>
      <c r="E164" s="337"/>
      <c r="F164" s="164"/>
      <c r="G164" s="337"/>
      <c r="H164" s="164"/>
      <c r="I164" s="365"/>
      <c r="J164" s="184"/>
      <c r="K164" s="365"/>
      <c r="L164" s="184"/>
      <c r="M164" s="337"/>
      <c r="N164" s="164"/>
      <c r="O164" s="337"/>
      <c r="P164" s="164"/>
      <c r="Q164" s="343"/>
      <c r="R164" s="183"/>
      <c r="S164" s="17"/>
      <c r="T164" s="17"/>
      <c r="U164" s="17"/>
      <c r="V164" s="17"/>
    </row>
    <row r="165">
      <c r="A165" s="337"/>
      <c r="B165" s="164"/>
      <c r="C165" s="337"/>
      <c r="D165" s="164"/>
      <c r="E165" s="337"/>
      <c r="F165" s="164"/>
      <c r="G165" s="337"/>
      <c r="H165" s="164"/>
      <c r="I165" s="365"/>
      <c r="J165" s="184"/>
      <c r="K165" s="365"/>
      <c r="L165" s="184"/>
      <c r="M165" s="337"/>
      <c r="N165" s="164"/>
      <c r="O165" s="337"/>
      <c r="P165" s="164"/>
      <c r="Q165" s="343"/>
      <c r="R165" s="183"/>
      <c r="S165" s="17"/>
      <c r="T165" s="17"/>
      <c r="U165" s="17"/>
      <c r="V165" s="17"/>
    </row>
    <row r="166">
      <c r="A166" s="337"/>
      <c r="B166" s="164"/>
      <c r="C166" s="337"/>
      <c r="D166" s="164"/>
      <c r="E166" s="337"/>
      <c r="F166" s="164"/>
      <c r="G166" s="337"/>
      <c r="H166" s="164"/>
      <c r="I166" s="365"/>
      <c r="J166" s="184"/>
      <c r="K166" s="365"/>
      <c r="L166" s="184"/>
      <c r="M166" s="337"/>
      <c r="N166" s="164"/>
      <c r="O166" s="337"/>
      <c r="P166" s="164"/>
      <c r="Q166" s="343"/>
      <c r="R166" s="183"/>
      <c r="S166" s="17"/>
      <c r="T166" s="17"/>
      <c r="U166" s="17"/>
      <c r="V166" s="17"/>
    </row>
    <row r="167">
      <c r="A167" s="337"/>
      <c r="B167" s="164"/>
      <c r="C167" s="337"/>
      <c r="D167" s="164"/>
      <c r="E167" s="337"/>
      <c r="F167" s="164"/>
      <c r="G167" s="337"/>
      <c r="H167" s="164"/>
      <c r="I167" s="365"/>
      <c r="J167" s="184"/>
      <c r="K167" s="365"/>
      <c r="L167" s="184"/>
      <c r="M167" s="337"/>
      <c r="N167" s="164"/>
      <c r="O167" s="337"/>
      <c r="P167" s="164"/>
      <c r="Q167" s="343"/>
      <c r="R167" s="183"/>
      <c r="S167" s="17"/>
      <c r="T167" s="17"/>
      <c r="U167" s="17"/>
      <c r="V167" s="17"/>
    </row>
    <row r="168">
      <c r="A168" s="337"/>
      <c r="B168" s="164"/>
      <c r="C168" s="337"/>
      <c r="D168" s="164"/>
      <c r="E168" s="337"/>
      <c r="F168" s="164"/>
      <c r="G168" s="337"/>
      <c r="H168" s="164"/>
      <c r="I168" s="365"/>
      <c r="J168" s="184"/>
      <c r="K168" s="365"/>
      <c r="L168" s="184"/>
      <c r="M168" s="337"/>
      <c r="N168" s="164"/>
      <c r="O168" s="337"/>
      <c r="P168" s="164"/>
      <c r="Q168" s="343"/>
      <c r="R168" s="183"/>
      <c r="S168" s="17"/>
      <c r="T168" s="17"/>
      <c r="U168" s="17"/>
      <c r="V168" s="17"/>
    </row>
    <row r="169">
      <c r="A169" s="337"/>
      <c r="B169" s="164"/>
      <c r="C169" s="337"/>
      <c r="D169" s="164"/>
      <c r="E169" s="337"/>
      <c r="F169" s="164"/>
      <c r="G169" s="337"/>
      <c r="H169" s="164"/>
      <c r="I169" s="365"/>
      <c r="J169" s="184"/>
      <c r="K169" s="365"/>
      <c r="L169" s="184"/>
      <c r="M169" s="337"/>
      <c r="N169" s="164"/>
      <c r="O169" s="337"/>
      <c r="P169" s="164"/>
      <c r="Q169" s="343"/>
      <c r="R169" s="183"/>
      <c r="S169" s="17"/>
      <c r="T169" s="17"/>
      <c r="U169" s="17"/>
      <c r="V169" s="17"/>
    </row>
    <row r="170">
      <c r="A170" s="337"/>
      <c r="B170" s="164"/>
      <c r="C170" s="337"/>
      <c r="D170" s="164"/>
      <c r="E170" s="337"/>
      <c r="F170" s="164"/>
      <c r="G170" s="337"/>
      <c r="H170" s="164"/>
      <c r="I170" s="365"/>
      <c r="J170" s="184"/>
      <c r="K170" s="365"/>
      <c r="L170" s="184"/>
      <c r="M170" s="337"/>
      <c r="N170" s="164"/>
      <c r="O170" s="337"/>
      <c r="P170" s="164"/>
      <c r="Q170" s="343"/>
      <c r="R170" s="183"/>
      <c r="S170" s="17"/>
      <c r="T170" s="17"/>
      <c r="U170" s="17"/>
      <c r="V170" s="17"/>
    </row>
    <row r="171">
      <c r="A171" s="337"/>
      <c r="B171" s="164"/>
      <c r="C171" s="337"/>
      <c r="D171" s="164"/>
      <c r="E171" s="337"/>
      <c r="F171" s="164"/>
      <c r="G171" s="337"/>
      <c r="H171" s="164"/>
      <c r="I171" s="365"/>
      <c r="J171" s="184"/>
      <c r="K171" s="365"/>
      <c r="L171" s="184"/>
      <c r="M171" s="337"/>
      <c r="N171" s="164"/>
      <c r="O171" s="337"/>
      <c r="P171" s="164"/>
      <c r="Q171" s="343"/>
      <c r="R171" s="183"/>
      <c r="S171" s="17"/>
      <c r="T171" s="17"/>
      <c r="U171" s="17"/>
      <c r="V171" s="17"/>
    </row>
    <row r="172">
      <c r="A172" s="337"/>
      <c r="B172" s="164"/>
      <c r="C172" s="337"/>
      <c r="D172" s="164"/>
      <c r="E172" s="337"/>
      <c r="F172" s="164"/>
      <c r="G172" s="337"/>
      <c r="H172" s="164"/>
      <c r="I172" s="365"/>
      <c r="J172" s="184"/>
      <c r="K172" s="365"/>
      <c r="L172" s="184"/>
      <c r="M172" s="337"/>
      <c r="N172" s="164"/>
      <c r="O172" s="337"/>
      <c r="P172" s="164"/>
      <c r="Q172" s="343"/>
      <c r="R172" s="183"/>
      <c r="S172" s="17"/>
      <c r="T172" s="17"/>
      <c r="U172" s="17"/>
      <c r="V172" s="17"/>
    </row>
    <row r="173">
      <c r="A173" s="337"/>
      <c r="B173" s="164"/>
      <c r="C173" s="337"/>
      <c r="D173" s="164"/>
      <c r="E173" s="337"/>
      <c r="F173" s="164"/>
      <c r="G173" s="337"/>
      <c r="H173" s="164"/>
      <c r="I173" s="365"/>
      <c r="J173" s="184"/>
      <c r="K173" s="365"/>
      <c r="L173" s="184"/>
      <c r="M173" s="337"/>
      <c r="N173" s="164"/>
      <c r="O173" s="337"/>
      <c r="P173" s="164"/>
      <c r="Q173" s="343"/>
      <c r="R173" s="183"/>
      <c r="S173" s="17"/>
      <c r="T173" s="17"/>
      <c r="U173" s="17"/>
      <c r="V173" s="17"/>
    </row>
    <row r="174">
      <c r="A174" s="337"/>
      <c r="B174" s="164"/>
      <c r="C174" s="337"/>
      <c r="D174" s="164"/>
      <c r="E174" s="337"/>
      <c r="F174" s="164"/>
      <c r="G174" s="337"/>
      <c r="H174" s="164"/>
      <c r="I174" s="365"/>
      <c r="J174" s="184"/>
      <c r="K174" s="365"/>
      <c r="L174" s="184"/>
      <c r="M174" s="337"/>
      <c r="N174" s="164"/>
      <c r="O174" s="337"/>
      <c r="P174" s="164"/>
      <c r="Q174" s="343"/>
      <c r="R174" s="183"/>
      <c r="S174" s="17"/>
      <c r="T174" s="17"/>
      <c r="U174" s="17"/>
      <c r="V174" s="17"/>
    </row>
    <row r="175">
      <c r="A175" s="337"/>
      <c r="B175" s="164"/>
      <c r="C175" s="337"/>
      <c r="D175" s="164"/>
      <c r="E175" s="337"/>
      <c r="F175" s="164"/>
      <c r="G175" s="337"/>
      <c r="H175" s="164"/>
      <c r="I175" s="365"/>
      <c r="J175" s="184"/>
      <c r="K175" s="365"/>
      <c r="L175" s="184"/>
      <c r="M175" s="337"/>
      <c r="N175" s="164"/>
      <c r="O175" s="337"/>
      <c r="P175" s="164"/>
      <c r="Q175" s="343"/>
      <c r="R175" s="183"/>
      <c r="S175" s="17"/>
      <c r="T175" s="17"/>
      <c r="U175" s="17"/>
      <c r="V175" s="17"/>
    </row>
    <row r="176">
      <c r="A176" s="337"/>
      <c r="B176" s="164"/>
      <c r="C176" s="337"/>
      <c r="D176" s="164"/>
      <c r="E176" s="337"/>
      <c r="F176" s="164"/>
      <c r="G176" s="337"/>
      <c r="H176" s="164"/>
      <c r="I176" s="365"/>
      <c r="J176" s="184"/>
      <c r="K176" s="365"/>
      <c r="L176" s="184"/>
      <c r="M176" s="337"/>
      <c r="N176" s="164"/>
      <c r="O176" s="337"/>
      <c r="P176" s="164"/>
      <c r="Q176" s="343"/>
      <c r="R176" s="183"/>
      <c r="S176" s="17"/>
      <c r="T176" s="17"/>
      <c r="U176" s="17"/>
      <c r="V176" s="17"/>
    </row>
    <row r="177">
      <c r="A177" s="337"/>
      <c r="B177" s="164"/>
      <c r="C177" s="337"/>
      <c r="D177" s="164"/>
      <c r="E177" s="337"/>
      <c r="F177" s="164"/>
      <c r="G177" s="337"/>
      <c r="H177" s="164"/>
      <c r="I177" s="365"/>
      <c r="J177" s="184"/>
      <c r="K177" s="365"/>
      <c r="L177" s="184"/>
      <c r="M177" s="337"/>
      <c r="N177" s="164"/>
      <c r="O177" s="337"/>
      <c r="P177" s="164"/>
      <c r="Q177" s="343"/>
      <c r="R177" s="183"/>
      <c r="S177" s="17"/>
      <c r="T177" s="17"/>
      <c r="U177" s="17"/>
      <c r="V177" s="17"/>
    </row>
    <row r="178">
      <c r="A178" s="337"/>
      <c r="B178" s="164"/>
      <c r="C178" s="337"/>
      <c r="D178" s="164"/>
      <c r="E178" s="337"/>
      <c r="F178" s="164"/>
      <c r="G178" s="337"/>
      <c r="H178" s="164"/>
      <c r="I178" s="365"/>
      <c r="J178" s="184"/>
      <c r="K178" s="365"/>
      <c r="L178" s="184"/>
      <c r="M178" s="337"/>
      <c r="N178" s="164"/>
      <c r="O178" s="337"/>
      <c r="P178" s="164"/>
      <c r="Q178" s="343"/>
      <c r="R178" s="183"/>
      <c r="S178" s="17"/>
      <c r="T178" s="17"/>
      <c r="U178" s="17"/>
      <c r="V178" s="17"/>
    </row>
    <row r="179">
      <c r="A179" s="337"/>
      <c r="B179" s="164"/>
      <c r="C179" s="337"/>
      <c r="D179" s="164"/>
      <c r="E179" s="337"/>
      <c r="F179" s="164"/>
      <c r="G179" s="337"/>
      <c r="H179" s="164"/>
      <c r="I179" s="365"/>
      <c r="J179" s="184"/>
      <c r="K179" s="365"/>
      <c r="L179" s="184"/>
      <c r="M179" s="337"/>
      <c r="N179" s="164"/>
      <c r="O179" s="337"/>
      <c r="P179" s="164"/>
      <c r="Q179" s="343"/>
      <c r="R179" s="183"/>
      <c r="S179" s="17"/>
      <c r="T179" s="17"/>
      <c r="U179" s="17"/>
      <c r="V179" s="17"/>
    </row>
    <row r="180">
      <c r="A180" s="337"/>
      <c r="B180" s="164"/>
      <c r="C180" s="337"/>
      <c r="D180" s="164"/>
      <c r="E180" s="337"/>
      <c r="F180" s="164"/>
      <c r="G180" s="337"/>
      <c r="H180" s="164"/>
      <c r="I180" s="365"/>
      <c r="J180" s="184"/>
      <c r="K180" s="365"/>
      <c r="L180" s="184"/>
      <c r="M180" s="337"/>
      <c r="N180" s="164"/>
      <c r="O180" s="337"/>
      <c r="P180" s="164"/>
      <c r="Q180" s="343"/>
      <c r="R180" s="183"/>
      <c r="S180" s="17"/>
      <c r="T180" s="17"/>
      <c r="U180" s="17"/>
      <c r="V180" s="17"/>
    </row>
    <row r="181">
      <c r="A181" s="337"/>
      <c r="B181" s="164"/>
      <c r="C181" s="337"/>
      <c r="D181" s="164"/>
      <c r="E181" s="337"/>
      <c r="F181" s="164"/>
      <c r="G181" s="337"/>
      <c r="H181" s="164"/>
      <c r="I181" s="365"/>
      <c r="J181" s="184"/>
      <c r="K181" s="365"/>
      <c r="L181" s="184"/>
      <c r="M181" s="337"/>
      <c r="N181" s="164"/>
      <c r="O181" s="337"/>
      <c r="P181" s="164"/>
      <c r="Q181" s="343"/>
      <c r="R181" s="183"/>
      <c r="S181" s="17"/>
      <c r="T181" s="17"/>
      <c r="U181" s="17"/>
      <c r="V181" s="17"/>
    </row>
    <row r="182">
      <c r="A182" s="337"/>
      <c r="B182" s="164"/>
      <c r="C182" s="337"/>
      <c r="D182" s="164"/>
      <c r="E182" s="337"/>
      <c r="F182" s="164"/>
      <c r="G182" s="337"/>
      <c r="H182" s="164"/>
      <c r="I182" s="365"/>
      <c r="J182" s="184"/>
      <c r="K182" s="365"/>
      <c r="L182" s="184"/>
      <c r="M182" s="337"/>
      <c r="N182" s="164"/>
      <c r="O182" s="337"/>
      <c r="P182" s="164"/>
      <c r="Q182" s="343"/>
      <c r="R182" s="183"/>
      <c r="S182" s="17"/>
      <c r="T182" s="17"/>
      <c r="U182" s="17"/>
      <c r="V182" s="17"/>
    </row>
    <row r="183">
      <c r="A183" s="337"/>
      <c r="B183" s="164"/>
      <c r="C183" s="337"/>
      <c r="D183" s="164"/>
      <c r="E183" s="337"/>
      <c r="F183" s="164"/>
      <c r="G183" s="337"/>
      <c r="H183" s="164"/>
      <c r="I183" s="365"/>
      <c r="J183" s="184"/>
      <c r="K183" s="365"/>
      <c r="L183" s="184"/>
      <c r="M183" s="337"/>
      <c r="N183" s="164"/>
      <c r="O183" s="337"/>
      <c r="P183" s="164"/>
      <c r="Q183" s="343"/>
      <c r="R183" s="183"/>
      <c r="S183" s="17"/>
      <c r="T183" s="17"/>
      <c r="U183" s="17"/>
      <c r="V183" s="17"/>
    </row>
    <row r="184">
      <c r="A184" s="337"/>
      <c r="B184" s="164"/>
      <c r="C184" s="337"/>
      <c r="D184" s="164"/>
      <c r="E184" s="337"/>
      <c r="F184" s="164"/>
      <c r="G184" s="337"/>
      <c r="H184" s="164"/>
      <c r="I184" s="365"/>
      <c r="J184" s="184"/>
      <c r="K184" s="365"/>
      <c r="L184" s="184"/>
      <c r="M184" s="337"/>
      <c r="N184" s="164"/>
      <c r="O184" s="337"/>
      <c r="P184" s="164"/>
      <c r="Q184" s="343"/>
      <c r="R184" s="183"/>
      <c r="S184" s="17"/>
      <c r="T184" s="17"/>
      <c r="U184" s="17"/>
      <c r="V184" s="17"/>
    </row>
    <row r="185">
      <c r="A185" s="337"/>
      <c r="B185" s="164"/>
      <c r="C185" s="337"/>
      <c r="D185" s="164"/>
      <c r="E185" s="337"/>
      <c r="F185" s="164"/>
      <c r="G185" s="337"/>
      <c r="H185" s="164"/>
      <c r="I185" s="365"/>
      <c r="J185" s="184"/>
      <c r="K185" s="365"/>
      <c r="L185" s="184"/>
      <c r="M185" s="337"/>
      <c r="N185" s="164"/>
      <c r="O185" s="337"/>
      <c r="P185" s="164"/>
      <c r="Q185" s="343"/>
      <c r="R185" s="183"/>
      <c r="S185" s="17"/>
      <c r="T185" s="17"/>
      <c r="U185" s="17"/>
      <c r="V185" s="17"/>
    </row>
    <row r="186">
      <c r="A186" s="337"/>
      <c r="B186" s="164"/>
      <c r="C186" s="337"/>
      <c r="D186" s="164"/>
      <c r="E186" s="337"/>
      <c r="F186" s="164"/>
      <c r="G186" s="337"/>
      <c r="H186" s="164"/>
      <c r="I186" s="365"/>
      <c r="J186" s="184"/>
      <c r="K186" s="365"/>
      <c r="L186" s="184"/>
      <c r="M186" s="337"/>
      <c r="N186" s="164"/>
      <c r="O186" s="337"/>
      <c r="P186" s="164"/>
      <c r="Q186" s="343"/>
      <c r="R186" s="183"/>
      <c r="S186" s="17"/>
      <c r="T186" s="17"/>
      <c r="U186" s="17"/>
      <c r="V186" s="17"/>
    </row>
    <row r="187">
      <c r="A187" s="337"/>
      <c r="B187" s="164"/>
      <c r="C187" s="337"/>
      <c r="D187" s="164"/>
      <c r="E187" s="337"/>
      <c r="F187" s="164"/>
      <c r="G187" s="337"/>
      <c r="H187" s="164"/>
      <c r="I187" s="365"/>
      <c r="J187" s="184"/>
      <c r="K187" s="365"/>
      <c r="L187" s="184"/>
      <c r="M187" s="337"/>
      <c r="N187" s="164"/>
      <c r="O187" s="337"/>
      <c r="P187" s="164"/>
      <c r="Q187" s="343"/>
      <c r="R187" s="183"/>
      <c r="S187" s="17"/>
      <c r="T187" s="17"/>
      <c r="U187" s="17"/>
      <c r="V187" s="17"/>
    </row>
    <row r="188">
      <c r="A188" s="337"/>
      <c r="B188" s="164"/>
      <c r="C188" s="337"/>
      <c r="D188" s="164"/>
      <c r="E188" s="337"/>
      <c r="F188" s="164"/>
      <c r="G188" s="337"/>
      <c r="H188" s="164"/>
      <c r="I188" s="365"/>
      <c r="J188" s="184"/>
      <c r="K188" s="365"/>
      <c r="L188" s="184"/>
      <c r="M188" s="337"/>
      <c r="N188" s="164"/>
      <c r="O188" s="337"/>
      <c r="P188" s="164"/>
      <c r="Q188" s="343"/>
      <c r="R188" s="183"/>
      <c r="S188" s="17"/>
      <c r="T188" s="17"/>
      <c r="U188" s="17"/>
      <c r="V188" s="17"/>
    </row>
    <row r="189">
      <c r="A189" s="337"/>
      <c r="B189" s="164"/>
      <c r="C189" s="337"/>
      <c r="D189" s="164"/>
      <c r="E189" s="337"/>
      <c r="F189" s="164"/>
      <c r="G189" s="337"/>
      <c r="H189" s="164"/>
      <c r="I189" s="365"/>
      <c r="J189" s="184"/>
      <c r="K189" s="365"/>
      <c r="L189" s="184"/>
      <c r="M189" s="337"/>
      <c r="N189" s="164"/>
      <c r="O189" s="337"/>
      <c r="P189" s="164"/>
      <c r="Q189" s="343"/>
      <c r="R189" s="183"/>
      <c r="S189" s="17"/>
      <c r="T189" s="17"/>
      <c r="U189" s="17"/>
      <c r="V189" s="17"/>
    </row>
    <row r="190">
      <c r="A190" s="337"/>
      <c r="B190" s="164"/>
      <c r="C190" s="337"/>
      <c r="D190" s="164"/>
      <c r="E190" s="337"/>
      <c r="F190" s="164"/>
      <c r="G190" s="337"/>
      <c r="H190" s="164"/>
      <c r="I190" s="365"/>
      <c r="J190" s="184"/>
      <c r="K190" s="365"/>
      <c r="L190" s="184"/>
      <c r="M190" s="337"/>
      <c r="N190" s="164"/>
      <c r="O190" s="337"/>
      <c r="P190" s="164"/>
      <c r="Q190" s="343"/>
      <c r="R190" s="183"/>
      <c r="S190" s="17"/>
      <c r="T190" s="17"/>
      <c r="U190" s="17"/>
      <c r="V190" s="17"/>
    </row>
    <row r="191">
      <c r="A191" s="337"/>
      <c r="B191" s="164"/>
      <c r="C191" s="337"/>
      <c r="D191" s="164"/>
      <c r="E191" s="337"/>
      <c r="F191" s="164"/>
      <c r="G191" s="337"/>
      <c r="H191" s="164"/>
      <c r="I191" s="365"/>
      <c r="J191" s="184"/>
      <c r="K191" s="365"/>
      <c r="L191" s="184"/>
      <c r="M191" s="337"/>
      <c r="N191" s="164"/>
      <c r="O191" s="337"/>
      <c r="P191" s="164"/>
      <c r="Q191" s="343"/>
      <c r="R191" s="183"/>
      <c r="S191" s="17"/>
      <c r="T191" s="17"/>
      <c r="U191" s="17"/>
      <c r="V191" s="17"/>
    </row>
    <row r="192">
      <c r="A192" s="337"/>
      <c r="B192" s="164"/>
      <c r="C192" s="337"/>
      <c r="D192" s="164"/>
      <c r="E192" s="337"/>
      <c r="F192" s="164"/>
      <c r="G192" s="337"/>
      <c r="H192" s="164"/>
      <c r="I192" s="365"/>
      <c r="J192" s="184"/>
      <c r="K192" s="365"/>
      <c r="L192" s="184"/>
      <c r="M192" s="337"/>
      <c r="N192" s="164"/>
      <c r="O192" s="337"/>
      <c r="P192" s="164"/>
      <c r="Q192" s="343"/>
      <c r="R192" s="183"/>
      <c r="S192" s="17"/>
      <c r="T192" s="17"/>
      <c r="U192" s="17"/>
      <c r="V192" s="17"/>
    </row>
    <row r="193">
      <c r="A193" s="337"/>
      <c r="B193" s="164"/>
      <c r="C193" s="337"/>
      <c r="D193" s="164"/>
      <c r="E193" s="337"/>
      <c r="F193" s="164"/>
      <c r="G193" s="337"/>
      <c r="H193" s="164"/>
      <c r="I193" s="365"/>
      <c r="J193" s="184"/>
      <c r="K193" s="365"/>
      <c r="L193" s="184"/>
      <c r="M193" s="337"/>
      <c r="N193" s="164"/>
      <c r="O193" s="337"/>
      <c r="P193" s="164"/>
      <c r="Q193" s="343"/>
      <c r="R193" s="183"/>
      <c r="S193" s="17"/>
      <c r="T193" s="17"/>
      <c r="U193" s="17"/>
      <c r="V193" s="17"/>
    </row>
    <row r="194">
      <c r="A194" s="337"/>
      <c r="B194" s="164"/>
      <c r="C194" s="337"/>
      <c r="D194" s="164"/>
      <c r="E194" s="337"/>
      <c r="F194" s="164"/>
      <c r="G194" s="337"/>
      <c r="H194" s="164"/>
      <c r="I194" s="365"/>
      <c r="J194" s="184"/>
      <c r="K194" s="365"/>
      <c r="L194" s="184"/>
      <c r="M194" s="337"/>
      <c r="N194" s="164"/>
      <c r="O194" s="337"/>
      <c r="P194" s="164"/>
      <c r="Q194" s="343"/>
      <c r="R194" s="183"/>
      <c r="S194" s="17"/>
      <c r="T194" s="17"/>
      <c r="U194" s="17"/>
      <c r="V194" s="17"/>
    </row>
    <row r="195">
      <c r="A195" s="337"/>
      <c r="B195" s="164"/>
      <c r="C195" s="337"/>
      <c r="D195" s="164"/>
      <c r="E195" s="337"/>
      <c r="F195" s="164"/>
      <c r="G195" s="337"/>
      <c r="H195" s="164"/>
      <c r="I195" s="365"/>
      <c r="J195" s="184"/>
      <c r="K195" s="365"/>
      <c r="L195" s="184"/>
      <c r="M195" s="337"/>
      <c r="N195" s="164"/>
      <c r="O195" s="337"/>
      <c r="P195" s="164"/>
      <c r="Q195" s="343"/>
      <c r="R195" s="183"/>
      <c r="S195" s="17"/>
      <c r="T195" s="17"/>
      <c r="U195" s="17"/>
      <c r="V195" s="17"/>
    </row>
    <row r="196">
      <c r="A196" s="337"/>
      <c r="B196" s="164"/>
      <c r="C196" s="337"/>
      <c r="D196" s="164"/>
      <c r="E196" s="337"/>
      <c r="F196" s="164"/>
      <c r="G196" s="337"/>
      <c r="H196" s="164"/>
      <c r="I196" s="365"/>
      <c r="J196" s="184"/>
      <c r="K196" s="365"/>
      <c r="L196" s="184"/>
      <c r="M196" s="337"/>
      <c r="N196" s="164"/>
      <c r="O196" s="337"/>
      <c r="P196" s="164"/>
      <c r="Q196" s="343"/>
      <c r="R196" s="183"/>
      <c r="S196" s="17"/>
      <c r="T196" s="17"/>
      <c r="U196" s="17"/>
      <c r="V196" s="17"/>
    </row>
    <row r="197">
      <c r="A197" s="337"/>
      <c r="B197" s="164"/>
      <c r="C197" s="337"/>
      <c r="D197" s="164"/>
      <c r="E197" s="337"/>
      <c r="F197" s="164"/>
      <c r="G197" s="337"/>
      <c r="H197" s="164"/>
      <c r="I197" s="365"/>
      <c r="J197" s="184"/>
      <c r="K197" s="365"/>
      <c r="L197" s="184"/>
      <c r="M197" s="337"/>
      <c r="N197" s="164"/>
      <c r="O197" s="337"/>
      <c r="P197" s="164"/>
      <c r="Q197" s="343"/>
      <c r="R197" s="183"/>
      <c r="S197" s="17"/>
      <c r="T197" s="17"/>
      <c r="U197" s="17"/>
      <c r="V197" s="17"/>
    </row>
    <row r="198">
      <c r="A198" s="337"/>
      <c r="B198" s="164"/>
      <c r="C198" s="337"/>
      <c r="D198" s="164"/>
      <c r="E198" s="337"/>
      <c r="F198" s="164"/>
      <c r="G198" s="337"/>
      <c r="H198" s="164"/>
      <c r="I198" s="365"/>
      <c r="J198" s="184"/>
      <c r="K198" s="365"/>
      <c r="L198" s="184"/>
      <c r="M198" s="337"/>
      <c r="N198" s="164"/>
      <c r="O198" s="337"/>
      <c r="P198" s="164"/>
      <c r="Q198" s="343"/>
      <c r="R198" s="183"/>
      <c r="S198" s="17"/>
      <c r="T198" s="17"/>
      <c r="U198" s="17"/>
      <c r="V198" s="17"/>
    </row>
    <row r="199">
      <c r="A199" s="337"/>
      <c r="B199" s="164"/>
      <c r="C199" s="337"/>
      <c r="D199" s="164"/>
      <c r="E199" s="337"/>
      <c r="F199" s="164"/>
      <c r="G199" s="337"/>
      <c r="H199" s="164"/>
      <c r="I199" s="365"/>
      <c r="J199" s="184"/>
      <c r="K199" s="365"/>
      <c r="L199" s="184"/>
      <c r="M199" s="337"/>
      <c r="N199" s="164"/>
      <c r="O199" s="337"/>
      <c r="P199" s="164"/>
      <c r="Q199" s="343"/>
      <c r="R199" s="183"/>
      <c r="S199" s="17"/>
      <c r="T199" s="17"/>
      <c r="U199" s="17"/>
      <c r="V199" s="17"/>
    </row>
    <row r="200">
      <c r="A200" s="337"/>
      <c r="B200" s="164"/>
      <c r="C200" s="337"/>
      <c r="D200" s="164"/>
      <c r="E200" s="337"/>
      <c r="F200" s="164"/>
      <c r="G200" s="337"/>
      <c r="H200" s="164"/>
      <c r="I200" s="365"/>
      <c r="J200" s="184"/>
      <c r="K200" s="365"/>
      <c r="L200" s="184"/>
      <c r="M200" s="337"/>
      <c r="N200" s="164"/>
      <c r="O200" s="337"/>
      <c r="P200" s="164"/>
      <c r="Q200" s="343"/>
      <c r="R200" s="183"/>
      <c r="S200" s="17"/>
      <c r="T200" s="17"/>
      <c r="U200" s="17"/>
      <c r="V200" s="17"/>
    </row>
    <row r="201">
      <c r="A201" s="337"/>
      <c r="B201" s="164"/>
      <c r="C201" s="337"/>
      <c r="D201" s="164"/>
      <c r="E201" s="337"/>
      <c r="F201" s="164"/>
      <c r="G201" s="337"/>
      <c r="H201" s="164"/>
      <c r="I201" s="365"/>
      <c r="J201" s="184"/>
      <c r="K201" s="365"/>
      <c r="L201" s="184"/>
      <c r="M201" s="337"/>
      <c r="N201" s="164"/>
      <c r="O201" s="337"/>
      <c r="P201" s="164"/>
      <c r="Q201" s="343"/>
      <c r="R201" s="183"/>
      <c r="S201" s="17"/>
      <c r="T201" s="17"/>
      <c r="U201" s="17"/>
      <c r="V201" s="17"/>
    </row>
    <row r="202">
      <c r="A202" s="337"/>
      <c r="B202" s="164"/>
      <c r="C202" s="337"/>
      <c r="D202" s="164"/>
      <c r="E202" s="337"/>
      <c r="F202" s="164"/>
      <c r="G202" s="337"/>
      <c r="H202" s="164"/>
      <c r="I202" s="365"/>
      <c r="J202" s="184"/>
      <c r="K202" s="365"/>
      <c r="L202" s="184"/>
      <c r="M202" s="337"/>
      <c r="N202" s="164"/>
      <c r="O202" s="337"/>
      <c r="P202" s="164"/>
      <c r="Q202" s="343"/>
      <c r="R202" s="183"/>
      <c r="S202" s="17"/>
      <c r="T202" s="17"/>
      <c r="U202" s="17"/>
      <c r="V202" s="17"/>
    </row>
    <row r="203">
      <c r="A203" s="337"/>
      <c r="B203" s="164"/>
      <c r="C203" s="337"/>
      <c r="D203" s="164"/>
      <c r="E203" s="337"/>
      <c r="F203" s="164"/>
      <c r="G203" s="337"/>
      <c r="H203" s="164"/>
      <c r="I203" s="365"/>
      <c r="J203" s="184"/>
      <c r="K203" s="365"/>
      <c r="L203" s="184"/>
      <c r="M203" s="337"/>
      <c r="N203" s="164"/>
      <c r="O203" s="337"/>
      <c r="P203" s="164"/>
      <c r="Q203" s="343"/>
      <c r="R203" s="183"/>
      <c r="S203" s="17"/>
      <c r="T203" s="17"/>
      <c r="U203" s="17"/>
      <c r="V203" s="17"/>
    </row>
    <row r="204">
      <c r="A204" s="337"/>
      <c r="B204" s="164"/>
      <c r="C204" s="337"/>
      <c r="D204" s="164"/>
      <c r="E204" s="337"/>
      <c r="F204" s="164"/>
      <c r="G204" s="337"/>
      <c r="H204" s="164"/>
      <c r="I204" s="365"/>
      <c r="J204" s="184"/>
      <c r="K204" s="365"/>
      <c r="L204" s="184"/>
      <c r="M204" s="337"/>
      <c r="N204" s="164"/>
      <c r="O204" s="337"/>
      <c r="P204" s="164"/>
      <c r="Q204" s="343"/>
      <c r="R204" s="183"/>
      <c r="S204" s="17"/>
      <c r="T204" s="17"/>
      <c r="U204" s="17"/>
      <c r="V204" s="17"/>
    </row>
    <row r="205">
      <c r="A205" s="337"/>
      <c r="B205" s="164"/>
      <c r="C205" s="337"/>
      <c r="D205" s="164"/>
      <c r="E205" s="337"/>
      <c r="F205" s="164"/>
      <c r="G205" s="337"/>
      <c r="H205" s="164"/>
      <c r="I205" s="365"/>
      <c r="J205" s="184"/>
      <c r="K205" s="365"/>
      <c r="L205" s="184"/>
      <c r="M205" s="337"/>
      <c r="N205" s="164"/>
      <c r="O205" s="337"/>
      <c r="P205" s="164"/>
      <c r="Q205" s="343"/>
      <c r="R205" s="183"/>
      <c r="S205" s="17"/>
      <c r="T205" s="17"/>
      <c r="U205" s="17"/>
      <c r="V205" s="17"/>
    </row>
    <row r="206">
      <c r="A206" s="337"/>
      <c r="B206" s="164"/>
      <c r="C206" s="337"/>
      <c r="D206" s="164"/>
      <c r="E206" s="337"/>
      <c r="F206" s="164"/>
      <c r="G206" s="337"/>
      <c r="H206" s="164"/>
      <c r="I206" s="365"/>
      <c r="J206" s="184"/>
      <c r="K206" s="365"/>
      <c r="L206" s="184"/>
      <c r="M206" s="337"/>
      <c r="N206" s="164"/>
      <c r="O206" s="337"/>
      <c r="P206" s="164"/>
      <c r="Q206" s="343"/>
      <c r="R206" s="183"/>
      <c r="S206" s="17"/>
      <c r="T206" s="17"/>
      <c r="U206" s="17"/>
      <c r="V206" s="17"/>
    </row>
    <row r="207">
      <c r="A207" s="337"/>
      <c r="B207" s="164"/>
      <c r="C207" s="337"/>
      <c r="D207" s="164"/>
      <c r="E207" s="337"/>
      <c r="F207" s="164"/>
      <c r="G207" s="337"/>
      <c r="H207" s="164"/>
      <c r="I207" s="365"/>
      <c r="J207" s="184"/>
      <c r="K207" s="365"/>
      <c r="L207" s="184"/>
      <c r="M207" s="337"/>
      <c r="N207" s="164"/>
      <c r="O207" s="337"/>
      <c r="P207" s="164"/>
      <c r="Q207" s="343"/>
      <c r="R207" s="183"/>
      <c r="S207" s="17"/>
      <c r="T207" s="17"/>
      <c r="U207" s="17"/>
      <c r="V207" s="17"/>
    </row>
    <row r="208">
      <c r="A208" s="337"/>
      <c r="B208" s="164"/>
      <c r="C208" s="337"/>
      <c r="D208" s="164"/>
      <c r="E208" s="337"/>
      <c r="F208" s="164"/>
      <c r="G208" s="337"/>
      <c r="H208" s="164"/>
      <c r="I208" s="365"/>
      <c r="J208" s="184"/>
      <c r="K208" s="365"/>
      <c r="L208" s="184"/>
      <c r="M208" s="337"/>
      <c r="N208" s="164"/>
      <c r="O208" s="337"/>
      <c r="P208" s="164"/>
      <c r="Q208" s="343"/>
      <c r="R208" s="183"/>
      <c r="S208" s="17"/>
      <c r="T208" s="17"/>
      <c r="U208" s="17"/>
      <c r="V208" s="17"/>
    </row>
    <row r="209">
      <c r="A209" s="337"/>
      <c r="B209" s="164"/>
      <c r="C209" s="337"/>
      <c r="D209" s="164"/>
      <c r="E209" s="337"/>
      <c r="F209" s="164"/>
      <c r="G209" s="337"/>
      <c r="H209" s="164"/>
      <c r="I209" s="365"/>
      <c r="J209" s="184"/>
      <c r="K209" s="365"/>
      <c r="L209" s="184"/>
      <c r="M209" s="337"/>
      <c r="N209" s="164"/>
      <c r="O209" s="337"/>
      <c r="P209" s="164"/>
      <c r="Q209" s="343"/>
      <c r="R209" s="183"/>
      <c r="S209" s="17"/>
      <c r="T209" s="17"/>
      <c r="U209" s="17"/>
      <c r="V209" s="17"/>
    </row>
    <row r="210">
      <c r="A210" s="337"/>
      <c r="B210" s="164"/>
      <c r="C210" s="337"/>
      <c r="D210" s="164"/>
      <c r="E210" s="337"/>
      <c r="F210" s="164"/>
      <c r="G210" s="337"/>
      <c r="H210" s="164"/>
      <c r="I210" s="365"/>
      <c r="J210" s="184"/>
      <c r="K210" s="365"/>
      <c r="L210" s="184"/>
      <c r="M210" s="337"/>
      <c r="N210" s="164"/>
      <c r="O210" s="337"/>
      <c r="P210" s="164"/>
      <c r="Q210" s="343"/>
      <c r="R210" s="183"/>
      <c r="S210" s="17"/>
      <c r="T210" s="17"/>
      <c r="U210" s="17"/>
      <c r="V210" s="17"/>
    </row>
    <row r="211">
      <c r="A211" s="337"/>
      <c r="B211" s="164"/>
      <c r="C211" s="337"/>
      <c r="D211" s="164"/>
      <c r="E211" s="337"/>
      <c r="F211" s="164"/>
      <c r="G211" s="337"/>
      <c r="H211" s="164"/>
      <c r="I211" s="365"/>
      <c r="J211" s="184"/>
      <c r="K211" s="365"/>
      <c r="L211" s="184"/>
      <c r="M211" s="337"/>
      <c r="N211" s="164"/>
      <c r="O211" s="337"/>
      <c r="P211" s="164"/>
      <c r="Q211" s="343"/>
      <c r="R211" s="183"/>
      <c r="S211" s="17"/>
      <c r="T211" s="17"/>
      <c r="U211" s="17"/>
      <c r="V211" s="17"/>
    </row>
    <row r="212">
      <c r="A212" s="337"/>
      <c r="B212" s="164"/>
      <c r="C212" s="337"/>
      <c r="D212" s="164"/>
      <c r="E212" s="337"/>
      <c r="F212" s="164"/>
      <c r="G212" s="337"/>
      <c r="H212" s="164"/>
      <c r="I212" s="365"/>
      <c r="J212" s="184"/>
      <c r="K212" s="365"/>
      <c r="L212" s="184"/>
      <c r="M212" s="337"/>
      <c r="N212" s="164"/>
      <c r="O212" s="337"/>
      <c r="P212" s="164"/>
      <c r="Q212" s="343"/>
      <c r="R212" s="183"/>
      <c r="S212" s="17"/>
      <c r="T212" s="17"/>
      <c r="U212" s="17"/>
      <c r="V212" s="17"/>
    </row>
    <row r="213">
      <c r="A213" s="337"/>
      <c r="B213" s="164"/>
      <c r="C213" s="337"/>
      <c r="D213" s="164"/>
      <c r="E213" s="337"/>
      <c r="F213" s="164"/>
      <c r="G213" s="337"/>
      <c r="H213" s="164"/>
      <c r="I213" s="365"/>
      <c r="J213" s="184"/>
      <c r="K213" s="365"/>
      <c r="L213" s="184"/>
      <c r="M213" s="337"/>
      <c r="N213" s="164"/>
      <c r="O213" s="337"/>
      <c r="P213" s="164"/>
      <c r="Q213" s="343"/>
      <c r="R213" s="183"/>
      <c r="S213" s="17"/>
      <c r="T213" s="17"/>
      <c r="U213" s="17"/>
      <c r="V213" s="17"/>
    </row>
    <row r="214">
      <c r="A214" s="337"/>
      <c r="B214" s="164"/>
      <c r="C214" s="337"/>
      <c r="D214" s="164"/>
      <c r="E214" s="337"/>
      <c r="F214" s="164"/>
      <c r="G214" s="337"/>
      <c r="H214" s="164"/>
      <c r="I214" s="365"/>
      <c r="J214" s="184"/>
      <c r="K214" s="365"/>
      <c r="L214" s="184"/>
      <c r="M214" s="337"/>
      <c r="N214" s="164"/>
      <c r="O214" s="337"/>
      <c r="P214" s="164"/>
      <c r="Q214" s="343"/>
      <c r="R214" s="183"/>
      <c r="S214" s="17"/>
      <c r="T214" s="17"/>
      <c r="U214" s="17"/>
      <c r="V214" s="17"/>
    </row>
    <row r="215">
      <c r="A215" s="337"/>
      <c r="B215" s="164"/>
      <c r="C215" s="337"/>
      <c r="D215" s="164"/>
      <c r="E215" s="337"/>
      <c r="F215" s="164"/>
      <c r="G215" s="337"/>
      <c r="H215" s="164"/>
      <c r="I215" s="365"/>
      <c r="J215" s="184"/>
      <c r="K215" s="365"/>
      <c r="L215" s="184"/>
      <c r="M215" s="337"/>
      <c r="N215" s="164"/>
      <c r="O215" s="337"/>
      <c r="P215" s="164"/>
      <c r="Q215" s="343"/>
      <c r="R215" s="183"/>
      <c r="S215" s="17"/>
      <c r="T215" s="17"/>
      <c r="U215" s="17"/>
      <c r="V215" s="17"/>
    </row>
    <row r="216">
      <c r="A216" s="337"/>
      <c r="B216" s="164"/>
      <c r="C216" s="337"/>
      <c r="D216" s="164"/>
      <c r="E216" s="337"/>
      <c r="F216" s="164"/>
      <c r="G216" s="337"/>
      <c r="H216" s="164"/>
      <c r="I216" s="365"/>
      <c r="J216" s="184"/>
      <c r="K216" s="365"/>
      <c r="L216" s="184"/>
      <c r="M216" s="337"/>
      <c r="N216" s="164"/>
      <c r="O216" s="337"/>
      <c r="P216" s="164"/>
      <c r="Q216" s="343"/>
      <c r="R216" s="183"/>
      <c r="S216" s="17"/>
      <c r="T216" s="17"/>
      <c r="U216" s="17"/>
      <c r="V216" s="17"/>
    </row>
    <row r="217">
      <c r="A217" s="337"/>
      <c r="B217" s="164"/>
      <c r="C217" s="337"/>
      <c r="D217" s="164"/>
      <c r="E217" s="337"/>
      <c r="F217" s="164"/>
      <c r="G217" s="337"/>
      <c r="H217" s="164"/>
      <c r="I217" s="365"/>
      <c r="J217" s="184"/>
      <c r="K217" s="365"/>
      <c r="L217" s="184"/>
      <c r="M217" s="337"/>
      <c r="N217" s="164"/>
      <c r="O217" s="337"/>
      <c r="P217" s="164"/>
      <c r="Q217" s="343"/>
      <c r="R217" s="183"/>
      <c r="S217" s="17"/>
      <c r="T217" s="17"/>
      <c r="U217" s="17"/>
      <c r="V217" s="17"/>
    </row>
    <row r="218">
      <c r="A218" s="337"/>
      <c r="B218" s="164"/>
      <c r="C218" s="337"/>
      <c r="D218" s="164"/>
      <c r="E218" s="337"/>
      <c r="F218" s="164"/>
      <c r="G218" s="337"/>
      <c r="H218" s="164"/>
      <c r="I218" s="365"/>
      <c r="J218" s="184"/>
      <c r="K218" s="365"/>
      <c r="L218" s="184"/>
      <c r="M218" s="337"/>
      <c r="N218" s="164"/>
      <c r="O218" s="337"/>
      <c r="P218" s="164"/>
      <c r="Q218" s="343"/>
      <c r="R218" s="183"/>
      <c r="S218" s="17"/>
      <c r="T218" s="17"/>
      <c r="U218" s="17"/>
      <c r="V218" s="17"/>
    </row>
    <row r="219">
      <c r="A219" s="337"/>
      <c r="B219" s="164"/>
      <c r="C219" s="337"/>
      <c r="D219" s="164"/>
      <c r="E219" s="337"/>
      <c r="F219" s="164"/>
      <c r="G219" s="337"/>
      <c r="H219" s="164"/>
      <c r="I219" s="365"/>
      <c r="J219" s="184"/>
      <c r="K219" s="365"/>
      <c r="L219" s="184"/>
      <c r="M219" s="337"/>
      <c r="N219" s="164"/>
      <c r="O219" s="337"/>
      <c r="P219" s="164"/>
      <c r="Q219" s="343"/>
      <c r="R219" s="183"/>
      <c r="S219" s="17"/>
      <c r="T219" s="17"/>
      <c r="U219" s="17"/>
      <c r="V219" s="17"/>
    </row>
    <row r="220">
      <c r="A220" s="337"/>
      <c r="B220" s="164"/>
      <c r="C220" s="337"/>
      <c r="D220" s="164"/>
      <c r="E220" s="337"/>
      <c r="F220" s="164"/>
      <c r="G220" s="337"/>
      <c r="H220" s="164"/>
      <c r="I220" s="365"/>
      <c r="J220" s="184"/>
      <c r="K220" s="365"/>
      <c r="L220" s="184"/>
      <c r="M220" s="337"/>
      <c r="N220" s="164"/>
      <c r="O220" s="337"/>
      <c r="P220" s="164"/>
      <c r="Q220" s="343"/>
      <c r="R220" s="183"/>
      <c r="S220" s="17"/>
      <c r="T220" s="17"/>
      <c r="U220" s="17"/>
      <c r="V220" s="17"/>
    </row>
    <row r="221">
      <c r="A221" s="337"/>
      <c r="B221" s="164"/>
      <c r="C221" s="337"/>
      <c r="D221" s="164"/>
      <c r="E221" s="337"/>
      <c r="F221" s="164"/>
      <c r="G221" s="337"/>
      <c r="H221" s="164"/>
      <c r="I221" s="365"/>
      <c r="J221" s="184"/>
      <c r="K221" s="365"/>
      <c r="L221" s="184"/>
      <c r="M221" s="337"/>
      <c r="N221" s="164"/>
      <c r="O221" s="337"/>
      <c r="P221" s="164"/>
      <c r="Q221" s="343"/>
      <c r="R221" s="183"/>
      <c r="S221" s="17"/>
      <c r="T221" s="17"/>
      <c r="U221" s="17"/>
      <c r="V221" s="17"/>
    </row>
    <row r="222">
      <c r="A222" s="337"/>
      <c r="B222" s="164"/>
      <c r="C222" s="337"/>
      <c r="D222" s="164"/>
      <c r="E222" s="337"/>
      <c r="F222" s="164"/>
      <c r="G222" s="337"/>
      <c r="H222" s="164"/>
      <c r="I222" s="365"/>
      <c r="J222" s="184"/>
      <c r="K222" s="365"/>
      <c r="L222" s="184"/>
      <c r="M222" s="337"/>
      <c r="N222" s="164"/>
      <c r="O222" s="337"/>
      <c r="P222" s="164"/>
      <c r="Q222" s="343"/>
      <c r="R222" s="183"/>
      <c r="S222" s="17"/>
      <c r="T222" s="17"/>
      <c r="U222" s="17"/>
      <c r="V222" s="17"/>
    </row>
    <row r="223">
      <c r="A223" s="337"/>
      <c r="B223" s="164"/>
      <c r="C223" s="337"/>
      <c r="D223" s="164"/>
      <c r="E223" s="337"/>
      <c r="F223" s="164"/>
      <c r="G223" s="337"/>
      <c r="H223" s="164"/>
      <c r="I223" s="365"/>
      <c r="J223" s="184"/>
      <c r="K223" s="365"/>
      <c r="L223" s="184"/>
      <c r="M223" s="337"/>
      <c r="N223" s="164"/>
      <c r="O223" s="337"/>
      <c r="P223" s="164"/>
      <c r="Q223" s="343"/>
      <c r="R223" s="183"/>
      <c r="S223" s="17"/>
      <c r="T223" s="17"/>
      <c r="U223" s="17"/>
      <c r="V223" s="17"/>
    </row>
    <row r="224">
      <c r="A224" s="337"/>
      <c r="B224" s="164"/>
      <c r="C224" s="337"/>
      <c r="D224" s="164"/>
      <c r="E224" s="337"/>
      <c r="F224" s="164"/>
      <c r="G224" s="337"/>
      <c r="H224" s="164"/>
      <c r="I224" s="365"/>
      <c r="J224" s="184"/>
      <c r="K224" s="365"/>
      <c r="L224" s="184"/>
      <c r="M224" s="337"/>
      <c r="N224" s="164"/>
      <c r="O224" s="337"/>
      <c r="P224" s="164"/>
      <c r="Q224" s="343"/>
      <c r="R224" s="183"/>
      <c r="S224" s="17"/>
      <c r="T224" s="17"/>
      <c r="U224" s="17"/>
      <c r="V224" s="17"/>
    </row>
    <row r="225">
      <c r="A225" s="337"/>
      <c r="B225" s="164"/>
      <c r="C225" s="337"/>
      <c r="D225" s="164"/>
      <c r="E225" s="337"/>
      <c r="F225" s="164"/>
      <c r="G225" s="337"/>
      <c r="H225" s="164"/>
      <c r="I225" s="365"/>
      <c r="J225" s="184"/>
      <c r="K225" s="365"/>
      <c r="L225" s="184"/>
      <c r="M225" s="337"/>
      <c r="N225" s="164"/>
      <c r="O225" s="337"/>
      <c r="P225" s="164"/>
      <c r="Q225" s="343"/>
      <c r="R225" s="183"/>
      <c r="S225" s="17"/>
      <c r="T225" s="17"/>
      <c r="U225" s="17"/>
      <c r="V225" s="17"/>
    </row>
    <row r="226">
      <c r="A226" s="337"/>
      <c r="B226" s="164"/>
      <c r="C226" s="337"/>
      <c r="D226" s="164"/>
      <c r="E226" s="337"/>
      <c r="F226" s="164"/>
      <c r="G226" s="337"/>
      <c r="H226" s="164"/>
      <c r="I226" s="365"/>
      <c r="J226" s="184"/>
      <c r="K226" s="365"/>
      <c r="L226" s="184"/>
      <c r="M226" s="337"/>
      <c r="N226" s="164"/>
      <c r="O226" s="337"/>
      <c r="P226" s="164"/>
      <c r="Q226" s="343"/>
      <c r="R226" s="183"/>
      <c r="S226" s="17"/>
      <c r="T226" s="17"/>
      <c r="U226" s="17"/>
      <c r="V226" s="17"/>
    </row>
    <row r="227">
      <c r="A227" s="337"/>
      <c r="B227" s="164"/>
      <c r="C227" s="337"/>
      <c r="D227" s="164"/>
      <c r="E227" s="337"/>
      <c r="F227" s="164"/>
      <c r="G227" s="337"/>
      <c r="H227" s="164"/>
      <c r="I227" s="365"/>
      <c r="J227" s="184"/>
      <c r="K227" s="365"/>
      <c r="L227" s="184"/>
      <c r="M227" s="337"/>
      <c r="N227" s="164"/>
      <c r="O227" s="337"/>
      <c r="P227" s="164"/>
      <c r="Q227" s="343"/>
      <c r="R227" s="183"/>
      <c r="S227" s="17"/>
      <c r="T227" s="17"/>
      <c r="U227" s="17"/>
      <c r="V227" s="17"/>
    </row>
    <row r="228">
      <c r="A228" s="337"/>
      <c r="B228" s="164"/>
      <c r="C228" s="337"/>
      <c r="D228" s="164"/>
      <c r="E228" s="337"/>
      <c r="F228" s="164"/>
      <c r="G228" s="337"/>
      <c r="H228" s="164"/>
      <c r="I228" s="365"/>
      <c r="J228" s="184"/>
      <c r="K228" s="365"/>
      <c r="L228" s="184"/>
      <c r="M228" s="337"/>
      <c r="N228" s="164"/>
      <c r="O228" s="337"/>
      <c r="P228" s="164"/>
      <c r="Q228" s="343"/>
      <c r="R228" s="183"/>
      <c r="S228" s="17"/>
      <c r="T228" s="17"/>
      <c r="U228" s="17"/>
      <c r="V228" s="17"/>
    </row>
    <row r="229">
      <c r="A229" s="337"/>
      <c r="B229" s="164"/>
      <c r="C229" s="337"/>
      <c r="D229" s="164"/>
      <c r="E229" s="337"/>
      <c r="F229" s="164"/>
      <c r="G229" s="337"/>
      <c r="H229" s="164"/>
      <c r="I229" s="365"/>
      <c r="J229" s="184"/>
      <c r="K229" s="365"/>
      <c r="L229" s="184"/>
      <c r="M229" s="337"/>
      <c r="N229" s="164"/>
      <c r="O229" s="337"/>
      <c r="P229" s="164"/>
      <c r="Q229" s="343"/>
      <c r="R229" s="183"/>
      <c r="S229" s="17"/>
      <c r="T229" s="17"/>
      <c r="U229" s="17"/>
      <c r="V229" s="17"/>
    </row>
    <row r="230">
      <c r="A230" s="337"/>
      <c r="B230" s="164"/>
      <c r="C230" s="337"/>
      <c r="D230" s="164"/>
      <c r="E230" s="337"/>
      <c r="F230" s="164"/>
      <c r="G230" s="337"/>
      <c r="H230" s="164"/>
      <c r="I230" s="365"/>
      <c r="J230" s="184"/>
      <c r="K230" s="365"/>
      <c r="L230" s="184"/>
      <c r="M230" s="337"/>
      <c r="N230" s="164"/>
      <c r="O230" s="337"/>
      <c r="P230" s="164"/>
      <c r="Q230" s="343"/>
      <c r="R230" s="183"/>
      <c r="S230" s="17"/>
      <c r="T230" s="17"/>
      <c r="U230" s="17"/>
      <c r="V230" s="17"/>
    </row>
    <row r="231">
      <c r="A231" s="337"/>
      <c r="B231" s="164"/>
      <c r="C231" s="337"/>
      <c r="D231" s="164"/>
      <c r="E231" s="337"/>
      <c r="F231" s="164"/>
      <c r="G231" s="337"/>
      <c r="H231" s="164"/>
      <c r="I231" s="365"/>
      <c r="J231" s="184"/>
      <c r="K231" s="365"/>
      <c r="L231" s="184"/>
      <c r="M231" s="337"/>
      <c r="N231" s="164"/>
      <c r="O231" s="337"/>
      <c r="P231" s="164"/>
      <c r="Q231" s="343"/>
      <c r="R231" s="183"/>
      <c r="S231" s="17"/>
      <c r="T231" s="17"/>
      <c r="U231" s="17"/>
      <c r="V231" s="17"/>
    </row>
    <row r="232">
      <c r="A232" s="337"/>
      <c r="B232" s="164"/>
      <c r="C232" s="337"/>
      <c r="D232" s="164"/>
      <c r="E232" s="337"/>
      <c r="F232" s="164"/>
      <c r="G232" s="337"/>
      <c r="H232" s="164"/>
      <c r="I232" s="365"/>
      <c r="J232" s="184"/>
      <c r="K232" s="365"/>
      <c r="L232" s="184"/>
      <c r="M232" s="337"/>
      <c r="N232" s="164"/>
      <c r="O232" s="337"/>
      <c r="P232" s="164"/>
      <c r="Q232" s="343"/>
      <c r="R232" s="183"/>
      <c r="S232" s="17"/>
      <c r="T232" s="17"/>
      <c r="U232" s="17"/>
      <c r="V232" s="17"/>
    </row>
    <row r="233">
      <c r="A233" s="337"/>
      <c r="B233" s="164"/>
      <c r="C233" s="337"/>
      <c r="D233" s="164"/>
      <c r="E233" s="337"/>
      <c r="F233" s="164"/>
      <c r="G233" s="337"/>
      <c r="H233" s="164"/>
      <c r="I233" s="365"/>
      <c r="J233" s="184"/>
      <c r="K233" s="365"/>
      <c r="L233" s="184"/>
      <c r="M233" s="337"/>
      <c r="N233" s="164"/>
      <c r="O233" s="337"/>
      <c r="P233" s="164"/>
      <c r="Q233" s="343"/>
      <c r="R233" s="183"/>
      <c r="S233" s="17"/>
      <c r="T233" s="17"/>
      <c r="U233" s="17"/>
      <c r="V233" s="17"/>
    </row>
    <row r="234">
      <c r="A234" s="337"/>
      <c r="B234" s="164"/>
      <c r="C234" s="337"/>
      <c r="D234" s="164"/>
      <c r="E234" s="337"/>
      <c r="F234" s="164"/>
      <c r="G234" s="337"/>
      <c r="H234" s="164"/>
      <c r="I234" s="365"/>
      <c r="J234" s="184"/>
      <c r="K234" s="365"/>
      <c r="L234" s="184"/>
      <c r="M234" s="337"/>
      <c r="N234" s="164"/>
      <c r="O234" s="337"/>
      <c r="P234" s="164"/>
      <c r="Q234" s="343"/>
      <c r="R234" s="183"/>
      <c r="S234" s="17"/>
      <c r="T234" s="17"/>
      <c r="U234" s="17"/>
      <c r="V234" s="17"/>
    </row>
    <row r="235">
      <c r="A235" s="337"/>
      <c r="B235" s="164"/>
      <c r="C235" s="337"/>
      <c r="D235" s="164"/>
      <c r="E235" s="337"/>
      <c r="F235" s="164"/>
      <c r="G235" s="337"/>
      <c r="H235" s="164"/>
      <c r="I235" s="365"/>
      <c r="J235" s="184"/>
      <c r="K235" s="365"/>
      <c r="L235" s="184"/>
      <c r="M235" s="337"/>
      <c r="N235" s="164"/>
      <c r="O235" s="337"/>
      <c r="P235" s="164"/>
      <c r="Q235" s="343"/>
      <c r="R235" s="183"/>
      <c r="S235" s="17"/>
      <c r="T235" s="17"/>
      <c r="U235" s="17"/>
      <c r="V235" s="17"/>
    </row>
    <row r="236">
      <c r="A236" s="337"/>
      <c r="B236" s="164"/>
      <c r="C236" s="337"/>
      <c r="D236" s="164"/>
      <c r="E236" s="337"/>
      <c r="F236" s="164"/>
      <c r="G236" s="337"/>
      <c r="H236" s="164"/>
      <c r="I236" s="365"/>
      <c r="J236" s="184"/>
      <c r="K236" s="365"/>
      <c r="L236" s="184"/>
      <c r="M236" s="337"/>
      <c r="N236" s="164"/>
      <c r="O236" s="337"/>
      <c r="P236" s="164"/>
      <c r="Q236" s="343"/>
      <c r="R236" s="183"/>
      <c r="S236" s="17"/>
      <c r="T236" s="17"/>
      <c r="U236" s="17"/>
      <c r="V236" s="17"/>
    </row>
    <row r="237">
      <c r="A237" s="337"/>
      <c r="B237" s="164"/>
      <c r="C237" s="337"/>
      <c r="D237" s="164"/>
      <c r="E237" s="337"/>
      <c r="F237" s="164"/>
      <c r="G237" s="337"/>
      <c r="H237" s="164"/>
      <c r="I237" s="365"/>
      <c r="J237" s="184"/>
      <c r="K237" s="365"/>
      <c r="L237" s="184"/>
      <c r="M237" s="337"/>
      <c r="N237" s="164"/>
      <c r="O237" s="337"/>
      <c r="P237" s="164"/>
      <c r="Q237" s="343"/>
      <c r="R237" s="183"/>
      <c r="S237" s="17"/>
      <c r="T237" s="17"/>
      <c r="U237" s="17"/>
      <c r="V237" s="17"/>
    </row>
    <row r="238">
      <c r="A238" s="337"/>
      <c r="B238" s="164"/>
      <c r="C238" s="337"/>
      <c r="D238" s="164"/>
      <c r="E238" s="337"/>
      <c r="F238" s="164"/>
      <c r="G238" s="337"/>
      <c r="H238" s="164"/>
      <c r="I238" s="365"/>
      <c r="J238" s="184"/>
      <c r="K238" s="365"/>
      <c r="L238" s="184"/>
      <c r="M238" s="337"/>
      <c r="N238" s="164"/>
      <c r="O238" s="337"/>
      <c r="P238" s="164"/>
      <c r="Q238" s="343"/>
      <c r="R238" s="183"/>
      <c r="S238" s="17"/>
      <c r="T238" s="17"/>
      <c r="U238" s="17"/>
      <c r="V238" s="17"/>
    </row>
    <row r="239">
      <c r="A239" s="337"/>
      <c r="B239" s="164"/>
      <c r="C239" s="337"/>
      <c r="D239" s="164"/>
      <c r="E239" s="337"/>
      <c r="F239" s="164"/>
      <c r="G239" s="337"/>
      <c r="H239" s="164"/>
      <c r="I239" s="365"/>
      <c r="J239" s="184"/>
      <c r="K239" s="365"/>
      <c r="L239" s="184"/>
      <c r="M239" s="337"/>
      <c r="N239" s="164"/>
      <c r="O239" s="337"/>
      <c r="P239" s="164"/>
      <c r="Q239" s="343"/>
      <c r="R239" s="183"/>
      <c r="S239" s="17"/>
      <c r="T239" s="17"/>
      <c r="U239" s="17"/>
      <c r="V239" s="17"/>
    </row>
    <row r="240">
      <c r="A240" s="337"/>
      <c r="B240" s="164"/>
      <c r="C240" s="337"/>
      <c r="D240" s="164"/>
      <c r="E240" s="337"/>
      <c r="F240" s="164"/>
      <c r="G240" s="337"/>
      <c r="H240" s="164"/>
      <c r="I240" s="365"/>
      <c r="J240" s="184"/>
      <c r="K240" s="365"/>
      <c r="L240" s="184"/>
      <c r="M240" s="337"/>
      <c r="N240" s="164"/>
      <c r="O240" s="337"/>
      <c r="P240" s="164"/>
      <c r="Q240" s="343"/>
      <c r="R240" s="183"/>
      <c r="S240" s="17"/>
      <c r="T240" s="17"/>
      <c r="U240" s="17"/>
      <c r="V240" s="17"/>
    </row>
    <row r="241">
      <c r="A241" s="337"/>
      <c r="B241" s="164"/>
      <c r="C241" s="337"/>
      <c r="D241" s="164"/>
      <c r="E241" s="337"/>
      <c r="F241" s="164"/>
      <c r="G241" s="337"/>
      <c r="H241" s="164"/>
      <c r="I241" s="365"/>
      <c r="J241" s="184"/>
      <c r="K241" s="365"/>
      <c r="L241" s="184"/>
      <c r="M241" s="337"/>
      <c r="N241" s="164"/>
      <c r="O241" s="337"/>
      <c r="P241" s="164"/>
      <c r="Q241" s="343"/>
      <c r="R241" s="183"/>
      <c r="S241" s="17"/>
      <c r="T241" s="17"/>
      <c r="U241" s="17"/>
      <c r="V241" s="17"/>
    </row>
    <row r="242">
      <c r="A242" s="337"/>
      <c r="B242" s="164"/>
      <c r="C242" s="337"/>
      <c r="D242" s="164"/>
      <c r="E242" s="337"/>
      <c r="F242" s="164"/>
      <c r="G242" s="337"/>
      <c r="H242" s="164"/>
      <c r="I242" s="365"/>
      <c r="J242" s="184"/>
      <c r="K242" s="365"/>
      <c r="L242" s="184"/>
      <c r="M242" s="337"/>
      <c r="N242" s="164"/>
      <c r="O242" s="337"/>
      <c r="P242" s="164"/>
      <c r="Q242" s="343"/>
      <c r="R242" s="183"/>
      <c r="S242" s="17"/>
      <c r="T242" s="17"/>
      <c r="U242" s="17"/>
      <c r="V242" s="17"/>
    </row>
    <row r="243">
      <c r="A243" s="337"/>
      <c r="B243" s="164"/>
      <c r="C243" s="337"/>
      <c r="D243" s="164"/>
      <c r="E243" s="337"/>
      <c r="F243" s="164"/>
      <c r="G243" s="337"/>
      <c r="H243" s="164"/>
      <c r="I243" s="365"/>
      <c r="J243" s="184"/>
      <c r="K243" s="365"/>
      <c r="L243" s="184"/>
      <c r="M243" s="337"/>
      <c r="N243" s="164"/>
      <c r="O243" s="337"/>
      <c r="P243" s="164"/>
      <c r="Q243" s="343"/>
      <c r="R243" s="183"/>
      <c r="S243" s="17"/>
      <c r="T243" s="17"/>
      <c r="U243" s="17"/>
      <c r="V243" s="17"/>
    </row>
    <row r="244">
      <c r="A244" s="337"/>
      <c r="B244" s="164"/>
      <c r="C244" s="337"/>
      <c r="D244" s="164"/>
      <c r="E244" s="337"/>
      <c r="F244" s="164"/>
      <c r="G244" s="337"/>
      <c r="H244" s="164"/>
      <c r="I244" s="365"/>
      <c r="J244" s="184"/>
      <c r="K244" s="365"/>
      <c r="L244" s="184"/>
      <c r="M244" s="337"/>
      <c r="N244" s="164"/>
      <c r="O244" s="337"/>
      <c r="P244" s="164"/>
      <c r="Q244" s="343"/>
      <c r="R244" s="183"/>
      <c r="S244" s="17"/>
      <c r="T244" s="17"/>
      <c r="U244" s="17"/>
      <c r="V244" s="17"/>
    </row>
    <row r="245">
      <c r="A245" s="337"/>
      <c r="B245" s="164"/>
      <c r="C245" s="337"/>
      <c r="D245" s="164"/>
      <c r="E245" s="337"/>
      <c r="F245" s="164"/>
      <c r="G245" s="337"/>
      <c r="H245" s="164"/>
      <c r="I245" s="365"/>
      <c r="J245" s="184"/>
      <c r="K245" s="365"/>
      <c r="L245" s="184"/>
      <c r="M245" s="337"/>
      <c r="N245" s="164"/>
      <c r="O245" s="337"/>
      <c r="P245" s="164"/>
      <c r="Q245" s="343"/>
      <c r="R245" s="183"/>
      <c r="S245" s="17"/>
      <c r="T245" s="17"/>
      <c r="U245" s="17"/>
      <c r="V245" s="17"/>
    </row>
    <row r="246">
      <c r="A246" s="337"/>
      <c r="B246" s="164"/>
      <c r="C246" s="337"/>
      <c r="D246" s="164"/>
      <c r="E246" s="337"/>
      <c r="F246" s="164"/>
      <c r="G246" s="337"/>
      <c r="H246" s="164"/>
      <c r="I246" s="365"/>
      <c r="J246" s="184"/>
      <c r="K246" s="365"/>
      <c r="L246" s="184"/>
      <c r="M246" s="337"/>
      <c r="N246" s="164"/>
      <c r="O246" s="337"/>
      <c r="P246" s="164"/>
      <c r="Q246" s="343"/>
      <c r="R246" s="183"/>
      <c r="S246" s="17"/>
      <c r="T246" s="17"/>
      <c r="U246" s="17"/>
      <c r="V246" s="17"/>
    </row>
    <row r="247">
      <c r="A247" s="337"/>
      <c r="B247" s="164"/>
      <c r="C247" s="337"/>
      <c r="D247" s="164"/>
      <c r="E247" s="337"/>
      <c r="F247" s="164"/>
      <c r="G247" s="337"/>
      <c r="H247" s="164"/>
      <c r="I247" s="365"/>
      <c r="J247" s="184"/>
      <c r="K247" s="365"/>
      <c r="L247" s="184"/>
      <c r="M247" s="337"/>
      <c r="N247" s="164"/>
      <c r="O247" s="337"/>
      <c r="P247" s="164"/>
      <c r="Q247" s="343"/>
      <c r="R247" s="183"/>
      <c r="S247" s="17"/>
      <c r="T247" s="17"/>
      <c r="U247" s="17"/>
      <c r="V247" s="17"/>
    </row>
    <row r="248">
      <c r="A248" s="337"/>
      <c r="B248" s="164"/>
      <c r="C248" s="337"/>
      <c r="D248" s="164"/>
      <c r="E248" s="337"/>
      <c r="F248" s="164"/>
      <c r="G248" s="337"/>
      <c r="H248" s="164"/>
      <c r="I248" s="365"/>
      <c r="J248" s="184"/>
      <c r="K248" s="365"/>
      <c r="L248" s="184"/>
      <c r="M248" s="337"/>
      <c r="N248" s="164"/>
      <c r="O248" s="337"/>
      <c r="P248" s="164"/>
      <c r="Q248" s="343"/>
      <c r="R248" s="183"/>
      <c r="S248" s="17"/>
      <c r="T248" s="17"/>
      <c r="U248" s="17"/>
      <c r="V248" s="17"/>
    </row>
    <row r="249">
      <c r="A249" s="337"/>
      <c r="B249" s="164"/>
      <c r="C249" s="337"/>
      <c r="D249" s="164"/>
      <c r="E249" s="337"/>
      <c r="F249" s="164"/>
      <c r="G249" s="337"/>
      <c r="H249" s="164"/>
      <c r="I249" s="365"/>
      <c r="J249" s="184"/>
      <c r="K249" s="365"/>
      <c r="L249" s="184"/>
      <c r="M249" s="337"/>
      <c r="N249" s="164"/>
      <c r="O249" s="337"/>
      <c r="P249" s="164"/>
      <c r="Q249" s="343"/>
      <c r="R249" s="183"/>
      <c r="S249" s="17"/>
      <c r="T249" s="17"/>
      <c r="U249" s="17"/>
      <c r="V249" s="17"/>
    </row>
    <row r="250">
      <c r="A250" s="337"/>
      <c r="B250" s="164"/>
      <c r="C250" s="337"/>
      <c r="D250" s="164"/>
      <c r="E250" s="337"/>
      <c r="F250" s="164"/>
      <c r="G250" s="337"/>
      <c r="H250" s="164"/>
      <c r="I250" s="365"/>
      <c r="J250" s="184"/>
      <c r="K250" s="365"/>
      <c r="L250" s="184"/>
      <c r="M250" s="337"/>
      <c r="N250" s="164"/>
      <c r="O250" s="337"/>
      <c r="P250" s="164"/>
      <c r="Q250" s="343"/>
      <c r="R250" s="183"/>
      <c r="S250" s="17"/>
      <c r="T250" s="17"/>
      <c r="U250" s="17"/>
      <c r="V250" s="17"/>
    </row>
    <row r="251">
      <c r="A251" s="337"/>
      <c r="B251" s="164"/>
      <c r="C251" s="337"/>
      <c r="D251" s="164"/>
      <c r="E251" s="337"/>
      <c r="F251" s="164"/>
      <c r="G251" s="337"/>
      <c r="H251" s="164"/>
      <c r="I251" s="365"/>
      <c r="J251" s="184"/>
      <c r="K251" s="365"/>
      <c r="L251" s="184"/>
      <c r="M251" s="337"/>
      <c r="N251" s="164"/>
      <c r="O251" s="337"/>
      <c r="P251" s="164"/>
      <c r="Q251" s="343"/>
      <c r="R251" s="183"/>
      <c r="S251" s="17"/>
      <c r="T251" s="17"/>
      <c r="U251" s="17"/>
      <c r="V251" s="17"/>
    </row>
    <row r="252">
      <c r="A252" s="337"/>
      <c r="B252" s="164"/>
      <c r="C252" s="337"/>
      <c r="D252" s="164"/>
      <c r="E252" s="337"/>
      <c r="F252" s="164"/>
      <c r="G252" s="337"/>
      <c r="H252" s="164"/>
      <c r="I252" s="365"/>
      <c r="J252" s="184"/>
      <c r="K252" s="365"/>
      <c r="L252" s="184"/>
      <c r="M252" s="337"/>
      <c r="N252" s="164"/>
      <c r="O252" s="337"/>
      <c r="P252" s="164"/>
      <c r="Q252" s="343"/>
      <c r="R252" s="183"/>
      <c r="S252" s="17"/>
      <c r="T252" s="17"/>
      <c r="U252" s="17"/>
      <c r="V252" s="17"/>
    </row>
    <row r="253">
      <c r="A253" s="337"/>
      <c r="B253" s="164"/>
      <c r="C253" s="337"/>
      <c r="D253" s="164"/>
      <c r="E253" s="337"/>
      <c r="F253" s="164"/>
      <c r="G253" s="337"/>
      <c r="H253" s="164"/>
      <c r="I253" s="365"/>
      <c r="J253" s="184"/>
      <c r="K253" s="365"/>
      <c r="L253" s="184"/>
      <c r="M253" s="337"/>
      <c r="N253" s="164"/>
      <c r="O253" s="337"/>
      <c r="P253" s="164"/>
      <c r="Q253" s="343"/>
      <c r="R253" s="183"/>
      <c r="S253" s="17"/>
      <c r="T253" s="17"/>
      <c r="U253" s="17"/>
      <c r="V253" s="17"/>
    </row>
    <row r="254">
      <c r="A254" s="337"/>
      <c r="B254" s="164"/>
      <c r="C254" s="337"/>
      <c r="D254" s="164"/>
      <c r="E254" s="337"/>
      <c r="F254" s="164"/>
      <c r="G254" s="337"/>
      <c r="H254" s="164"/>
      <c r="I254" s="365"/>
      <c r="J254" s="184"/>
      <c r="K254" s="365"/>
      <c r="L254" s="184"/>
      <c r="M254" s="337"/>
      <c r="N254" s="164"/>
      <c r="O254" s="337"/>
      <c r="P254" s="164"/>
      <c r="Q254" s="343"/>
      <c r="R254" s="183"/>
      <c r="S254" s="17"/>
      <c r="T254" s="17"/>
      <c r="U254" s="17"/>
      <c r="V254" s="17"/>
    </row>
    <row r="255">
      <c r="A255" s="337"/>
      <c r="B255" s="164"/>
      <c r="C255" s="337"/>
      <c r="D255" s="164"/>
      <c r="E255" s="337"/>
      <c r="F255" s="164"/>
      <c r="G255" s="337"/>
      <c r="H255" s="164"/>
      <c r="I255" s="365"/>
      <c r="J255" s="184"/>
      <c r="K255" s="365"/>
      <c r="L255" s="184"/>
      <c r="M255" s="337"/>
      <c r="N255" s="164"/>
      <c r="O255" s="337"/>
      <c r="P255" s="164"/>
      <c r="Q255" s="343"/>
      <c r="R255" s="183"/>
      <c r="S255" s="17"/>
      <c r="T255" s="17"/>
      <c r="U255" s="17"/>
      <c r="V255" s="17"/>
    </row>
    <row r="256">
      <c r="A256" s="337"/>
      <c r="B256" s="164"/>
      <c r="C256" s="337"/>
      <c r="D256" s="164"/>
      <c r="E256" s="337"/>
      <c r="F256" s="164"/>
      <c r="G256" s="337"/>
      <c r="H256" s="164"/>
      <c r="I256" s="365"/>
      <c r="J256" s="184"/>
      <c r="K256" s="365"/>
      <c r="L256" s="184"/>
      <c r="M256" s="337"/>
      <c r="N256" s="164"/>
      <c r="O256" s="337"/>
      <c r="P256" s="164"/>
      <c r="Q256" s="343"/>
      <c r="R256" s="183"/>
      <c r="S256" s="17"/>
      <c r="T256" s="17"/>
      <c r="U256" s="17"/>
      <c r="V256" s="17"/>
    </row>
    <row r="257">
      <c r="A257" s="337"/>
      <c r="B257" s="164"/>
      <c r="C257" s="337"/>
      <c r="D257" s="164"/>
      <c r="E257" s="337"/>
      <c r="F257" s="164"/>
      <c r="G257" s="337"/>
      <c r="H257" s="164"/>
      <c r="I257" s="365"/>
      <c r="J257" s="184"/>
      <c r="K257" s="365"/>
      <c r="L257" s="184"/>
      <c r="M257" s="337"/>
      <c r="N257" s="164"/>
      <c r="O257" s="337"/>
      <c r="P257" s="164"/>
      <c r="Q257" s="343"/>
      <c r="R257" s="183"/>
      <c r="S257" s="17"/>
      <c r="T257" s="17"/>
      <c r="U257" s="17"/>
      <c r="V257" s="17"/>
    </row>
    <row r="258">
      <c r="A258" s="337"/>
      <c r="B258" s="164"/>
      <c r="C258" s="337"/>
      <c r="D258" s="164"/>
      <c r="E258" s="337"/>
      <c r="F258" s="164"/>
      <c r="G258" s="337"/>
      <c r="H258" s="164"/>
      <c r="I258" s="365"/>
      <c r="J258" s="184"/>
      <c r="K258" s="365"/>
      <c r="L258" s="184"/>
      <c r="M258" s="337"/>
      <c r="N258" s="164"/>
      <c r="O258" s="337"/>
      <c r="P258" s="164"/>
      <c r="Q258" s="343"/>
      <c r="R258" s="183"/>
      <c r="S258" s="17"/>
      <c r="T258" s="17"/>
      <c r="U258" s="17"/>
      <c r="V258" s="17"/>
    </row>
    <row r="259">
      <c r="A259" s="337"/>
      <c r="B259" s="164"/>
      <c r="C259" s="337"/>
      <c r="D259" s="164"/>
      <c r="E259" s="337"/>
      <c r="F259" s="164"/>
      <c r="G259" s="337"/>
      <c r="H259" s="164"/>
      <c r="I259" s="365"/>
      <c r="J259" s="184"/>
      <c r="K259" s="365"/>
      <c r="L259" s="184"/>
      <c r="M259" s="337"/>
      <c r="N259" s="164"/>
      <c r="O259" s="337"/>
      <c r="P259" s="164"/>
      <c r="Q259" s="343"/>
      <c r="R259" s="183"/>
      <c r="S259" s="17"/>
      <c r="T259" s="17"/>
      <c r="U259" s="17"/>
      <c r="V259" s="17"/>
    </row>
    <row r="260">
      <c r="A260" s="337"/>
      <c r="B260" s="164"/>
      <c r="C260" s="337"/>
      <c r="D260" s="164"/>
      <c r="E260" s="337"/>
      <c r="F260" s="164"/>
      <c r="G260" s="337"/>
      <c r="H260" s="164"/>
      <c r="I260" s="365"/>
      <c r="J260" s="184"/>
      <c r="K260" s="365"/>
      <c r="L260" s="184"/>
      <c r="M260" s="337"/>
      <c r="N260" s="164"/>
      <c r="O260" s="337"/>
      <c r="P260" s="164"/>
      <c r="Q260" s="343"/>
      <c r="R260" s="183"/>
      <c r="S260" s="17"/>
      <c r="T260" s="17"/>
      <c r="U260" s="17"/>
      <c r="V260" s="17"/>
    </row>
    <row r="261">
      <c r="A261" s="337"/>
      <c r="B261" s="164"/>
      <c r="C261" s="337"/>
      <c r="D261" s="164"/>
      <c r="E261" s="337"/>
      <c r="F261" s="164"/>
      <c r="G261" s="337"/>
      <c r="H261" s="164"/>
      <c r="I261" s="365"/>
      <c r="J261" s="184"/>
      <c r="K261" s="365"/>
      <c r="L261" s="184"/>
      <c r="M261" s="337"/>
      <c r="N261" s="164"/>
      <c r="O261" s="337"/>
      <c r="P261" s="164"/>
      <c r="Q261" s="343"/>
      <c r="R261" s="183"/>
      <c r="S261" s="17"/>
      <c r="T261" s="17"/>
      <c r="U261" s="17"/>
      <c r="V261" s="17"/>
    </row>
    <row r="262">
      <c r="A262" s="337"/>
      <c r="B262" s="164"/>
      <c r="C262" s="337"/>
      <c r="D262" s="164"/>
      <c r="E262" s="337"/>
      <c r="F262" s="164"/>
      <c r="G262" s="337"/>
      <c r="H262" s="164"/>
      <c r="I262" s="365"/>
      <c r="J262" s="184"/>
      <c r="K262" s="365"/>
      <c r="L262" s="184"/>
      <c r="M262" s="337"/>
      <c r="N262" s="164"/>
      <c r="O262" s="337"/>
      <c r="P262" s="164"/>
      <c r="Q262" s="343"/>
      <c r="R262" s="183"/>
      <c r="S262" s="17"/>
      <c r="T262" s="17"/>
      <c r="U262" s="17"/>
      <c r="V262" s="17"/>
    </row>
    <row r="263">
      <c r="A263" s="337"/>
      <c r="B263" s="164"/>
      <c r="C263" s="337"/>
      <c r="D263" s="164"/>
      <c r="E263" s="337"/>
      <c r="F263" s="164"/>
      <c r="G263" s="337"/>
      <c r="H263" s="164"/>
      <c r="I263" s="365"/>
      <c r="J263" s="184"/>
      <c r="K263" s="365"/>
      <c r="L263" s="184"/>
      <c r="M263" s="337"/>
      <c r="N263" s="164"/>
      <c r="O263" s="337"/>
      <c r="P263" s="164"/>
      <c r="Q263" s="343"/>
      <c r="R263" s="183"/>
      <c r="S263" s="17"/>
      <c r="T263" s="17"/>
      <c r="U263" s="17"/>
      <c r="V263" s="17"/>
    </row>
    <row r="264">
      <c r="A264" s="337"/>
      <c r="B264" s="164"/>
      <c r="C264" s="337"/>
      <c r="D264" s="164"/>
      <c r="E264" s="337"/>
      <c r="F264" s="164"/>
      <c r="G264" s="337"/>
      <c r="H264" s="164"/>
      <c r="I264" s="365"/>
      <c r="J264" s="184"/>
      <c r="K264" s="365"/>
      <c r="L264" s="184"/>
      <c r="M264" s="337"/>
      <c r="N264" s="164"/>
      <c r="O264" s="337"/>
      <c r="P264" s="164"/>
      <c r="Q264" s="343"/>
      <c r="R264" s="183"/>
      <c r="S264" s="17"/>
      <c r="T264" s="17"/>
      <c r="U264" s="17"/>
      <c r="V264" s="17"/>
    </row>
    <row r="265">
      <c r="A265" s="337"/>
      <c r="B265" s="164"/>
      <c r="C265" s="337"/>
      <c r="D265" s="164"/>
      <c r="E265" s="337"/>
      <c r="F265" s="164"/>
      <c r="G265" s="337"/>
      <c r="H265" s="164"/>
      <c r="I265" s="365"/>
      <c r="J265" s="184"/>
      <c r="K265" s="365"/>
      <c r="L265" s="184"/>
      <c r="M265" s="337"/>
      <c r="N265" s="164"/>
      <c r="O265" s="337"/>
      <c r="P265" s="164"/>
      <c r="Q265" s="343"/>
      <c r="R265" s="183"/>
      <c r="S265" s="17"/>
      <c r="T265" s="17"/>
      <c r="U265" s="17"/>
      <c r="V265" s="17"/>
    </row>
    <row r="266">
      <c r="A266" s="337"/>
      <c r="B266" s="164"/>
      <c r="C266" s="337"/>
      <c r="D266" s="164"/>
      <c r="E266" s="337"/>
      <c r="F266" s="164"/>
      <c r="G266" s="337"/>
      <c r="H266" s="164"/>
      <c r="I266" s="365"/>
      <c r="J266" s="184"/>
      <c r="K266" s="365"/>
      <c r="L266" s="184"/>
      <c r="M266" s="337"/>
      <c r="N266" s="164"/>
      <c r="O266" s="337"/>
      <c r="P266" s="164"/>
      <c r="Q266" s="343"/>
      <c r="R266" s="183"/>
      <c r="S266" s="17"/>
      <c r="T266" s="17"/>
      <c r="U266" s="17"/>
      <c r="V266" s="17"/>
    </row>
    <row r="267">
      <c r="A267" s="337"/>
      <c r="B267" s="164"/>
      <c r="C267" s="337"/>
      <c r="D267" s="164"/>
      <c r="E267" s="337"/>
      <c r="F267" s="164"/>
      <c r="G267" s="337"/>
      <c r="H267" s="164"/>
      <c r="I267" s="365"/>
      <c r="J267" s="184"/>
      <c r="K267" s="365"/>
      <c r="L267" s="184"/>
      <c r="M267" s="337"/>
      <c r="N267" s="164"/>
      <c r="O267" s="337"/>
      <c r="P267" s="164"/>
      <c r="Q267" s="343"/>
      <c r="R267" s="183"/>
      <c r="S267" s="17"/>
      <c r="T267" s="17"/>
      <c r="U267" s="17"/>
      <c r="V267" s="17"/>
    </row>
    <row r="268">
      <c r="A268" s="337"/>
      <c r="B268" s="164"/>
      <c r="C268" s="337"/>
      <c r="D268" s="164"/>
      <c r="E268" s="337"/>
      <c r="F268" s="164"/>
      <c r="G268" s="337"/>
      <c r="H268" s="164"/>
      <c r="I268" s="365"/>
      <c r="J268" s="184"/>
      <c r="K268" s="365"/>
      <c r="L268" s="184"/>
      <c r="M268" s="337"/>
      <c r="N268" s="164"/>
      <c r="O268" s="337"/>
      <c r="P268" s="164"/>
      <c r="Q268" s="343"/>
      <c r="R268" s="183"/>
      <c r="S268" s="17"/>
      <c r="T268" s="17"/>
      <c r="U268" s="17"/>
      <c r="V268" s="17"/>
    </row>
    <row r="269">
      <c r="A269" s="337"/>
      <c r="B269" s="164"/>
      <c r="C269" s="337"/>
      <c r="D269" s="164"/>
      <c r="E269" s="337"/>
      <c r="F269" s="164"/>
      <c r="G269" s="337"/>
      <c r="H269" s="164"/>
      <c r="I269" s="365"/>
      <c r="J269" s="184"/>
      <c r="K269" s="365"/>
      <c r="L269" s="184"/>
      <c r="M269" s="337"/>
      <c r="N269" s="164"/>
      <c r="O269" s="337"/>
      <c r="P269" s="164"/>
      <c r="Q269" s="343"/>
      <c r="R269" s="183"/>
      <c r="S269" s="17"/>
      <c r="T269" s="17"/>
      <c r="U269" s="17"/>
      <c r="V269" s="17"/>
    </row>
    <row r="270">
      <c r="A270" s="337"/>
      <c r="B270" s="164"/>
      <c r="C270" s="337"/>
      <c r="D270" s="164"/>
      <c r="E270" s="337"/>
      <c r="F270" s="164"/>
      <c r="G270" s="337"/>
      <c r="H270" s="164"/>
      <c r="I270" s="365"/>
      <c r="J270" s="184"/>
      <c r="K270" s="365"/>
      <c r="L270" s="184"/>
      <c r="M270" s="337"/>
      <c r="N270" s="164"/>
      <c r="O270" s="337"/>
      <c r="P270" s="164"/>
      <c r="Q270" s="343"/>
      <c r="R270" s="183"/>
      <c r="S270" s="17"/>
      <c r="T270" s="17"/>
      <c r="U270" s="17"/>
      <c r="V270" s="17"/>
    </row>
    <row r="271">
      <c r="A271" s="337"/>
      <c r="B271" s="164"/>
      <c r="C271" s="337"/>
      <c r="D271" s="164"/>
      <c r="E271" s="337"/>
      <c r="F271" s="164"/>
      <c r="G271" s="337"/>
      <c r="H271" s="164"/>
      <c r="I271" s="365"/>
      <c r="J271" s="184"/>
      <c r="K271" s="365"/>
      <c r="L271" s="184"/>
      <c r="M271" s="337"/>
      <c r="N271" s="164"/>
      <c r="O271" s="337"/>
      <c r="P271" s="164"/>
      <c r="Q271" s="343"/>
      <c r="R271" s="183"/>
      <c r="S271" s="17"/>
      <c r="T271" s="17"/>
      <c r="U271" s="17"/>
      <c r="V271" s="17"/>
    </row>
    <row r="272">
      <c r="A272" s="337"/>
      <c r="B272" s="164"/>
      <c r="C272" s="337"/>
      <c r="D272" s="164"/>
      <c r="E272" s="337"/>
      <c r="F272" s="164"/>
      <c r="G272" s="337"/>
      <c r="H272" s="164"/>
      <c r="I272" s="365"/>
      <c r="J272" s="184"/>
      <c r="K272" s="365"/>
      <c r="L272" s="184"/>
      <c r="M272" s="337"/>
      <c r="N272" s="164"/>
      <c r="O272" s="337"/>
      <c r="P272" s="164"/>
      <c r="Q272" s="343"/>
      <c r="R272" s="183"/>
      <c r="S272" s="17"/>
      <c r="T272" s="17"/>
      <c r="U272" s="17"/>
      <c r="V272" s="17"/>
    </row>
    <row r="273">
      <c r="A273" s="337"/>
      <c r="B273" s="164"/>
      <c r="C273" s="337"/>
      <c r="D273" s="164"/>
      <c r="E273" s="337"/>
      <c r="F273" s="164"/>
      <c r="G273" s="337"/>
      <c r="H273" s="164"/>
      <c r="I273" s="365"/>
      <c r="J273" s="184"/>
      <c r="K273" s="365"/>
      <c r="L273" s="184"/>
      <c r="M273" s="337"/>
      <c r="N273" s="164"/>
      <c r="O273" s="337"/>
      <c r="P273" s="164"/>
      <c r="Q273" s="343"/>
      <c r="R273" s="183"/>
      <c r="S273" s="17"/>
      <c r="T273" s="17"/>
      <c r="U273" s="17"/>
      <c r="V273" s="17"/>
    </row>
    <row r="274">
      <c r="A274" s="337"/>
      <c r="B274" s="164"/>
      <c r="C274" s="337"/>
      <c r="D274" s="164"/>
      <c r="E274" s="337"/>
      <c r="F274" s="164"/>
      <c r="G274" s="337"/>
      <c r="H274" s="164"/>
      <c r="I274" s="365"/>
      <c r="J274" s="184"/>
      <c r="K274" s="365"/>
      <c r="L274" s="184"/>
      <c r="M274" s="337"/>
      <c r="N274" s="164"/>
      <c r="O274" s="337"/>
      <c r="P274" s="164"/>
      <c r="Q274" s="343"/>
      <c r="R274" s="183"/>
      <c r="S274" s="17"/>
      <c r="T274" s="17"/>
      <c r="U274" s="17"/>
      <c r="V274" s="17"/>
    </row>
    <row r="275">
      <c r="A275" s="337"/>
      <c r="B275" s="164"/>
      <c r="C275" s="337"/>
      <c r="D275" s="164"/>
      <c r="E275" s="337"/>
      <c r="F275" s="164"/>
      <c r="G275" s="337"/>
      <c r="H275" s="164"/>
      <c r="I275" s="365"/>
      <c r="J275" s="184"/>
      <c r="K275" s="365"/>
      <c r="L275" s="184"/>
      <c r="M275" s="337"/>
      <c r="N275" s="164"/>
      <c r="O275" s="337"/>
      <c r="P275" s="164"/>
      <c r="Q275" s="343"/>
      <c r="R275" s="183"/>
      <c r="S275" s="17"/>
      <c r="T275" s="17"/>
      <c r="U275" s="17"/>
      <c r="V275" s="17"/>
    </row>
    <row r="276">
      <c r="A276" s="337"/>
      <c r="B276" s="164"/>
      <c r="C276" s="337"/>
      <c r="D276" s="164"/>
      <c r="E276" s="337"/>
      <c r="F276" s="164"/>
      <c r="G276" s="337"/>
      <c r="H276" s="164"/>
      <c r="I276" s="365"/>
      <c r="J276" s="184"/>
      <c r="K276" s="365"/>
      <c r="L276" s="184"/>
      <c r="M276" s="337"/>
      <c r="N276" s="164"/>
      <c r="O276" s="337"/>
      <c r="P276" s="164"/>
      <c r="Q276" s="343"/>
      <c r="R276" s="183"/>
      <c r="S276" s="17"/>
      <c r="T276" s="17"/>
      <c r="U276" s="17"/>
      <c r="V276" s="17"/>
    </row>
    <row r="277">
      <c r="A277" s="337"/>
      <c r="B277" s="164"/>
      <c r="C277" s="337"/>
      <c r="D277" s="164"/>
      <c r="E277" s="337"/>
      <c r="F277" s="164"/>
      <c r="G277" s="337"/>
      <c r="H277" s="164"/>
      <c r="I277" s="365"/>
      <c r="J277" s="184"/>
      <c r="K277" s="365"/>
      <c r="L277" s="184"/>
      <c r="M277" s="337"/>
      <c r="N277" s="164"/>
      <c r="O277" s="337"/>
      <c r="P277" s="164"/>
      <c r="Q277" s="343"/>
      <c r="R277" s="183"/>
      <c r="S277" s="17"/>
      <c r="T277" s="17"/>
      <c r="U277" s="17"/>
      <c r="V277" s="17"/>
    </row>
    <row r="278">
      <c r="A278" s="337"/>
      <c r="B278" s="164"/>
      <c r="C278" s="337"/>
      <c r="D278" s="164"/>
      <c r="E278" s="337"/>
      <c r="F278" s="164"/>
      <c r="G278" s="337"/>
      <c r="H278" s="164"/>
      <c r="I278" s="365"/>
      <c r="J278" s="184"/>
      <c r="K278" s="365"/>
      <c r="L278" s="184"/>
      <c r="M278" s="337"/>
      <c r="N278" s="164"/>
      <c r="O278" s="337"/>
      <c r="P278" s="164"/>
      <c r="Q278" s="343"/>
      <c r="R278" s="183"/>
      <c r="S278" s="17"/>
      <c r="T278" s="17"/>
      <c r="U278" s="17"/>
      <c r="V278" s="17"/>
    </row>
    <row r="279">
      <c r="A279" s="337"/>
      <c r="B279" s="164"/>
      <c r="C279" s="337"/>
      <c r="D279" s="164"/>
      <c r="E279" s="337"/>
      <c r="F279" s="164"/>
      <c r="G279" s="337"/>
      <c r="H279" s="164"/>
      <c r="I279" s="365"/>
      <c r="J279" s="184"/>
      <c r="K279" s="365"/>
      <c r="L279" s="184"/>
      <c r="M279" s="337"/>
      <c r="N279" s="164"/>
      <c r="O279" s="337"/>
      <c r="P279" s="164"/>
      <c r="Q279" s="343"/>
      <c r="R279" s="183"/>
      <c r="S279" s="17"/>
      <c r="T279" s="17"/>
      <c r="U279" s="17"/>
      <c r="V279" s="17"/>
    </row>
    <row r="280">
      <c r="A280" s="337"/>
      <c r="B280" s="164"/>
      <c r="C280" s="337"/>
      <c r="D280" s="164"/>
      <c r="E280" s="337"/>
      <c r="F280" s="164"/>
      <c r="G280" s="337"/>
      <c r="H280" s="164"/>
      <c r="I280" s="365"/>
      <c r="J280" s="184"/>
      <c r="K280" s="365"/>
      <c r="L280" s="184"/>
      <c r="M280" s="337"/>
      <c r="N280" s="164"/>
      <c r="O280" s="337"/>
      <c r="P280" s="164"/>
      <c r="Q280" s="343"/>
      <c r="R280" s="183"/>
      <c r="S280" s="17"/>
      <c r="T280" s="17"/>
      <c r="U280" s="17"/>
      <c r="V280" s="17"/>
    </row>
    <row r="281">
      <c r="A281" s="337"/>
      <c r="B281" s="164"/>
      <c r="C281" s="337"/>
      <c r="D281" s="164"/>
      <c r="E281" s="337"/>
      <c r="F281" s="164"/>
      <c r="G281" s="337"/>
      <c r="H281" s="164"/>
      <c r="I281" s="365"/>
      <c r="J281" s="184"/>
      <c r="K281" s="365"/>
      <c r="L281" s="184"/>
      <c r="M281" s="337"/>
      <c r="N281" s="164"/>
      <c r="O281" s="337"/>
      <c r="P281" s="164"/>
      <c r="Q281" s="343"/>
      <c r="R281" s="183"/>
      <c r="S281" s="17"/>
      <c r="T281" s="17"/>
      <c r="U281" s="17"/>
      <c r="V281" s="17"/>
    </row>
    <row r="282">
      <c r="A282" s="337"/>
      <c r="B282" s="164"/>
      <c r="C282" s="337"/>
      <c r="D282" s="164"/>
      <c r="E282" s="337"/>
      <c r="F282" s="164"/>
      <c r="G282" s="337"/>
      <c r="H282" s="164"/>
      <c r="I282" s="365"/>
      <c r="J282" s="184"/>
      <c r="K282" s="365"/>
      <c r="L282" s="184"/>
      <c r="M282" s="337"/>
      <c r="N282" s="164"/>
      <c r="O282" s="337"/>
      <c r="P282" s="164"/>
      <c r="Q282" s="343"/>
      <c r="R282" s="183"/>
      <c r="S282" s="17"/>
      <c r="T282" s="17"/>
      <c r="U282" s="17"/>
      <c r="V282" s="17"/>
    </row>
    <row r="283">
      <c r="A283" s="337"/>
      <c r="B283" s="164"/>
      <c r="C283" s="337"/>
      <c r="D283" s="164"/>
      <c r="E283" s="337"/>
      <c r="F283" s="164"/>
      <c r="G283" s="337"/>
      <c r="H283" s="164"/>
      <c r="I283" s="365"/>
      <c r="J283" s="184"/>
      <c r="K283" s="365"/>
      <c r="L283" s="184"/>
      <c r="M283" s="337"/>
      <c r="N283" s="164"/>
      <c r="O283" s="337"/>
      <c r="P283" s="164"/>
      <c r="Q283" s="343"/>
      <c r="R283" s="183"/>
      <c r="S283" s="17"/>
      <c r="T283" s="17"/>
      <c r="U283" s="17"/>
      <c r="V283" s="17"/>
    </row>
    <row r="284">
      <c r="A284" s="337"/>
      <c r="B284" s="164"/>
      <c r="C284" s="337"/>
      <c r="D284" s="164"/>
      <c r="E284" s="337"/>
      <c r="F284" s="164"/>
      <c r="G284" s="337"/>
      <c r="H284" s="164"/>
      <c r="I284" s="365"/>
      <c r="J284" s="184"/>
      <c r="K284" s="365"/>
      <c r="L284" s="184"/>
      <c r="M284" s="337"/>
      <c r="N284" s="164"/>
      <c r="O284" s="337"/>
      <c r="P284" s="164"/>
      <c r="Q284" s="343"/>
      <c r="R284" s="183"/>
      <c r="S284" s="17"/>
      <c r="T284" s="17"/>
      <c r="U284" s="17"/>
      <c r="V284" s="17"/>
    </row>
    <row r="285">
      <c r="A285" s="337"/>
      <c r="B285" s="164"/>
      <c r="C285" s="337"/>
      <c r="D285" s="164"/>
      <c r="E285" s="337"/>
      <c r="F285" s="164"/>
      <c r="G285" s="337"/>
      <c r="H285" s="164"/>
      <c r="I285" s="365"/>
      <c r="J285" s="184"/>
      <c r="K285" s="365"/>
      <c r="L285" s="184"/>
      <c r="M285" s="337"/>
      <c r="N285" s="164"/>
      <c r="O285" s="337"/>
      <c r="P285" s="164"/>
      <c r="Q285" s="365"/>
      <c r="R285" s="184"/>
      <c r="S285" s="17"/>
      <c r="T285" s="17"/>
      <c r="U285" s="17"/>
      <c r="V285" s="17"/>
    </row>
    <row r="286">
      <c r="A286" s="337"/>
      <c r="B286" s="164"/>
      <c r="C286" s="337"/>
      <c r="D286" s="164"/>
      <c r="E286" s="337"/>
      <c r="F286" s="164"/>
      <c r="G286" s="337"/>
      <c r="H286" s="164"/>
      <c r="I286" s="365"/>
      <c r="J286" s="184"/>
      <c r="K286" s="365"/>
      <c r="L286" s="184"/>
      <c r="M286" s="337"/>
      <c r="N286" s="164"/>
      <c r="O286" s="337"/>
      <c r="P286" s="164"/>
      <c r="Q286" s="365"/>
      <c r="R286" s="184"/>
      <c r="S286" s="17"/>
      <c r="T286" s="17"/>
      <c r="U286" s="17"/>
      <c r="V286" s="17"/>
    </row>
    <row r="287">
      <c r="A287" s="337"/>
      <c r="B287" s="164"/>
      <c r="C287" s="337"/>
      <c r="D287" s="164"/>
      <c r="E287" s="337"/>
      <c r="F287" s="164"/>
      <c r="G287" s="337"/>
      <c r="H287" s="164"/>
      <c r="I287" s="365"/>
      <c r="J287" s="184"/>
      <c r="K287" s="365"/>
      <c r="L287" s="184"/>
      <c r="M287" s="337"/>
      <c r="N287" s="164"/>
      <c r="O287" s="337"/>
      <c r="P287" s="164"/>
      <c r="Q287" s="365"/>
      <c r="R287" s="184"/>
      <c r="S287" s="17"/>
      <c r="T287" s="17"/>
      <c r="U287" s="17"/>
      <c r="V287" s="17"/>
    </row>
    <row r="288">
      <c r="A288" s="337"/>
      <c r="B288" s="164"/>
      <c r="C288" s="337"/>
      <c r="D288" s="164"/>
      <c r="E288" s="337"/>
      <c r="F288" s="164"/>
      <c r="G288" s="337"/>
      <c r="H288" s="164"/>
      <c r="I288" s="365"/>
      <c r="J288" s="184"/>
      <c r="K288" s="365"/>
      <c r="L288" s="184"/>
      <c r="M288" s="337"/>
      <c r="N288" s="164"/>
      <c r="O288" s="337"/>
      <c r="P288" s="164"/>
      <c r="Q288" s="365"/>
      <c r="R288" s="184"/>
      <c r="S288" s="17"/>
      <c r="T288" s="17"/>
      <c r="U288" s="17"/>
      <c r="V288" s="17"/>
    </row>
    <row r="289">
      <c r="A289" s="337"/>
      <c r="B289" s="164"/>
      <c r="C289" s="337"/>
      <c r="D289" s="164"/>
      <c r="E289" s="337"/>
      <c r="F289" s="164"/>
      <c r="G289" s="337"/>
      <c r="H289" s="164"/>
      <c r="I289" s="365"/>
      <c r="J289" s="184"/>
      <c r="K289" s="365"/>
      <c r="L289" s="184"/>
      <c r="M289" s="337"/>
      <c r="N289" s="164"/>
      <c r="O289" s="337"/>
      <c r="P289" s="164"/>
      <c r="Q289" s="365"/>
      <c r="R289" s="184"/>
      <c r="S289" s="17"/>
      <c r="T289" s="17"/>
      <c r="U289" s="17"/>
      <c r="V289" s="17"/>
    </row>
    <row r="290">
      <c r="A290" s="337"/>
      <c r="B290" s="164"/>
      <c r="C290" s="337"/>
      <c r="D290" s="164"/>
      <c r="E290" s="337"/>
      <c r="F290" s="164"/>
      <c r="G290" s="337"/>
      <c r="H290" s="164"/>
      <c r="I290" s="365"/>
      <c r="J290" s="184"/>
      <c r="K290" s="365"/>
      <c r="L290" s="184"/>
      <c r="M290" s="337"/>
      <c r="N290" s="164"/>
      <c r="O290" s="337"/>
      <c r="P290" s="164"/>
      <c r="Q290" s="365"/>
      <c r="R290" s="184"/>
      <c r="S290" s="17"/>
      <c r="T290" s="17"/>
      <c r="U290" s="17"/>
      <c r="V290" s="17"/>
    </row>
    <row r="291">
      <c r="A291" s="337"/>
      <c r="B291" s="164"/>
      <c r="C291" s="337"/>
      <c r="D291" s="164"/>
      <c r="E291" s="337"/>
      <c r="F291" s="164"/>
      <c r="G291" s="337"/>
      <c r="H291" s="164"/>
      <c r="I291" s="365"/>
      <c r="J291" s="184"/>
      <c r="K291" s="365"/>
      <c r="L291" s="184"/>
      <c r="M291" s="337"/>
      <c r="N291" s="164"/>
      <c r="O291" s="337"/>
      <c r="P291" s="164"/>
      <c r="Q291" s="365"/>
      <c r="R291" s="184"/>
      <c r="S291" s="17"/>
      <c r="T291" s="17"/>
      <c r="U291" s="17"/>
      <c r="V291" s="17"/>
    </row>
    <row r="292">
      <c r="A292" s="337"/>
      <c r="B292" s="164"/>
      <c r="C292" s="337"/>
      <c r="D292" s="164"/>
      <c r="E292" s="337"/>
      <c r="F292" s="164"/>
      <c r="G292" s="337"/>
      <c r="H292" s="164"/>
      <c r="I292" s="365"/>
      <c r="J292" s="184"/>
      <c r="K292" s="365"/>
      <c r="L292" s="184"/>
      <c r="M292" s="337"/>
      <c r="N292" s="164"/>
      <c r="O292" s="337"/>
      <c r="P292" s="164"/>
      <c r="Q292" s="365"/>
      <c r="R292" s="184"/>
      <c r="S292" s="17"/>
      <c r="T292" s="17"/>
      <c r="U292" s="17"/>
      <c r="V292" s="17"/>
    </row>
    <row r="293">
      <c r="A293" s="337"/>
      <c r="B293" s="164"/>
      <c r="C293" s="337"/>
      <c r="D293" s="164"/>
      <c r="E293" s="337"/>
      <c r="F293" s="164"/>
      <c r="G293" s="337"/>
      <c r="H293" s="164"/>
      <c r="I293" s="365"/>
      <c r="J293" s="184"/>
      <c r="K293" s="365"/>
      <c r="L293" s="184"/>
      <c r="M293" s="337"/>
      <c r="N293" s="164"/>
      <c r="O293" s="337"/>
      <c r="P293" s="164"/>
      <c r="Q293" s="365"/>
      <c r="R293" s="184"/>
      <c r="S293" s="17"/>
      <c r="T293" s="17"/>
      <c r="U293" s="17"/>
      <c r="V293" s="17"/>
    </row>
    <row r="294">
      <c r="A294" s="337"/>
      <c r="B294" s="164"/>
      <c r="C294" s="337"/>
      <c r="D294" s="164"/>
      <c r="E294" s="337"/>
      <c r="F294" s="164"/>
      <c r="G294" s="337"/>
      <c r="H294" s="164"/>
      <c r="I294" s="365"/>
      <c r="J294" s="184"/>
      <c r="K294" s="365"/>
      <c r="L294" s="184"/>
      <c r="M294" s="337"/>
      <c r="N294" s="164"/>
      <c r="O294" s="337"/>
      <c r="P294" s="164"/>
      <c r="Q294" s="365"/>
      <c r="R294" s="184"/>
      <c r="S294" s="17"/>
      <c r="T294" s="17"/>
      <c r="U294" s="17"/>
      <c r="V294" s="17"/>
    </row>
    <row r="295">
      <c r="A295" s="337"/>
      <c r="B295" s="164"/>
      <c r="C295" s="337"/>
      <c r="D295" s="164"/>
      <c r="E295" s="337"/>
      <c r="F295" s="164"/>
      <c r="G295" s="337"/>
      <c r="H295" s="164"/>
      <c r="I295" s="365"/>
      <c r="J295" s="184"/>
      <c r="K295" s="365"/>
      <c r="L295" s="184"/>
      <c r="M295" s="337"/>
      <c r="N295" s="164"/>
      <c r="O295" s="337"/>
      <c r="P295" s="164"/>
      <c r="Q295" s="365"/>
      <c r="R295" s="184"/>
      <c r="S295" s="17"/>
      <c r="T295" s="17"/>
      <c r="U295" s="17"/>
      <c r="V295" s="17"/>
    </row>
    <row r="296">
      <c r="A296" s="337"/>
      <c r="B296" s="164"/>
      <c r="C296" s="337"/>
      <c r="D296" s="164"/>
      <c r="E296" s="337"/>
      <c r="F296" s="164"/>
      <c r="G296" s="337"/>
      <c r="H296" s="164"/>
      <c r="I296" s="365"/>
      <c r="J296" s="184"/>
      <c r="K296" s="365"/>
      <c r="L296" s="184"/>
      <c r="M296" s="337"/>
      <c r="N296" s="164"/>
      <c r="O296" s="337"/>
      <c r="P296" s="164"/>
      <c r="Q296" s="365"/>
      <c r="R296" s="184"/>
      <c r="S296" s="17"/>
      <c r="T296" s="17"/>
      <c r="U296" s="17"/>
      <c r="V296" s="17"/>
    </row>
    <row r="297">
      <c r="A297" s="337"/>
      <c r="B297" s="164"/>
      <c r="C297" s="337"/>
      <c r="D297" s="164"/>
      <c r="E297" s="337"/>
      <c r="F297" s="164"/>
      <c r="G297" s="337"/>
      <c r="H297" s="164"/>
      <c r="I297" s="365"/>
      <c r="J297" s="184"/>
      <c r="K297" s="365"/>
      <c r="L297" s="184"/>
      <c r="M297" s="337"/>
      <c r="N297" s="164"/>
      <c r="O297" s="337"/>
      <c r="P297" s="164"/>
      <c r="Q297" s="365"/>
      <c r="R297" s="184"/>
      <c r="S297" s="17"/>
      <c r="T297" s="17"/>
      <c r="U297" s="17"/>
      <c r="V297" s="17"/>
    </row>
    <row r="298">
      <c r="A298" s="337"/>
      <c r="B298" s="164"/>
      <c r="C298" s="337"/>
      <c r="D298" s="164"/>
      <c r="E298" s="337"/>
      <c r="F298" s="164"/>
      <c r="G298" s="337"/>
      <c r="H298" s="164"/>
      <c r="I298" s="365"/>
      <c r="J298" s="184"/>
      <c r="K298" s="365"/>
      <c r="L298" s="184"/>
      <c r="M298" s="337"/>
      <c r="N298" s="164"/>
      <c r="O298" s="337"/>
      <c r="P298" s="164"/>
      <c r="Q298" s="365"/>
      <c r="R298" s="184"/>
      <c r="S298" s="17"/>
      <c r="T298" s="17"/>
      <c r="U298" s="17"/>
      <c r="V298" s="17"/>
    </row>
    <row r="299">
      <c r="A299" s="337"/>
      <c r="B299" s="164"/>
      <c r="C299" s="337"/>
      <c r="D299" s="164"/>
      <c r="E299" s="337"/>
      <c r="F299" s="164"/>
      <c r="G299" s="337"/>
      <c r="H299" s="164"/>
      <c r="I299" s="365"/>
      <c r="J299" s="184"/>
      <c r="K299" s="365"/>
      <c r="L299" s="184"/>
      <c r="M299" s="337"/>
      <c r="N299" s="164"/>
      <c r="O299" s="337"/>
      <c r="P299" s="164"/>
      <c r="Q299" s="365"/>
      <c r="R299" s="184"/>
      <c r="S299" s="17"/>
      <c r="T299" s="17"/>
      <c r="U299" s="17"/>
      <c r="V299" s="17"/>
    </row>
    <row r="300">
      <c r="A300" s="337"/>
      <c r="B300" s="164"/>
      <c r="C300" s="337"/>
      <c r="D300" s="164"/>
      <c r="E300" s="337"/>
      <c r="F300" s="164"/>
      <c r="G300" s="337"/>
      <c r="H300" s="164"/>
      <c r="I300" s="365"/>
      <c r="J300" s="184"/>
      <c r="K300" s="365"/>
      <c r="L300" s="184"/>
      <c r="M300" s="337"/>
      <c r="N300" s="164"/>
      <c r="O300" s="337"/>
      <c r="P300" s="164"/>
      <c r="Q300" s="365"/>
      <c r="R300" s="184"/>
      <c r="S300" s="17"/>
      <c r="T300" s="17"/>
      <c r="U300" s="17"/>
      <c r="V300" s="17"/>
    </row>
    <row r="301">
      <c r="A301" s="337"/>
      <c r="B301" s="164"/>
      <c r="C301" s="337"/>
      <c r="D301" s="164"/>
      <c r="E301" s="337"/>
      <c r="F301" s="164"/>
      <c r="G301" s="337"/>
      <c r="H301" s="164"/>
      <c r="I301" s="365"/>
      <c r="J301" s="184"/>
      <c r="K301" s="365"/>
      <c r="L301" s="184"/>
      <c r="M301" s="337"/>
      <c r="N301" s="164"/>
      <c r="O301" s="337"/>
      <c r="P301" s="164"/>
      <c r="Q301" s="365"/>
      <c r="R301" s="184"/>
      <c r="S301" s="17"/>
      <c r="T301" s="17"/>
      <c r="U301" s="17"/>
      <c r="V301" s="17"/>
    </row>
    <row r="302">
      <c r="A302" s="337"/>
      <c r="B302" s="164"/>
      <c r="C302" s="337"/>
      <c r="D302" s="164"/>
      <c r="E302" s="337"/>
      <c r="F302" s="164"/>
      <c r="G302" s="337"/>
      <c r="H302" s="164"/>
      <c r="I302" s="365"/>
      <c r="J302" s="184"/>
      <c r="K302" s="365"/>
      <c r="L302" s="184"/>
      <c r="M302" s="337"/>
      <c r="N302" s="164"/>
      <c r="O302" s="337"/>
      <c r="P302" s="164"/>
      <c r="Q302" s="365"/>
      <c r="R302" s="184"/>
      <c r="S302" s="17"/>
      <c r="T302" s="17"/>
      <c r="U302" s="17"/>
      <c r="V302" s="17"/>
    </row>
    <row r="303">
      <c r="A303" s="337"/>
      <c r="B303" s="164"/>
      <c r="C303" s="337"/>
      <c r="D303" s="164"/>
      <c r="E303" s="337"/>
      <c r="F303" s="164"/>
      <c r="G303" s="337"/>
      <c r="H303" s="164"/>
      <c r="I303" s="365"/>
      <c r="J303" s="184"/>
      <c r="K303" s="365"/>
      <c r="L303" s="184"/>
      <c r="M303" s="337"/>
      <c r="N303" s="164"/>
      <c r="O303" s="337"/>
      <c r="P303" s="164"/>
      <c r="Q303" s="365"/>
      <c r="R303" s="184"/>
      <c r="S303" s="17"/>
      <c r="T303" s="17"/>
      <c r="U303" s="17"/>
      <c r="V303" s="17"/>
    </row>
    <row r="304">
      <c r="A304" s="337"/>
      <c r="B304" s="164"/>
      <c r="C304" s="337"/>
      <c r="D304" s="164"/>
      <c r="E304" s="337"/>
      <c r="F304" s="164"/>
      <c r="G304" s="337"/>
      <c r="H304" s="164"/>
      <c r="I304" s="365"/>
      <c r="J304" s="184"/>
      <c r="K304" s="365"/>
      <c r="L304" s="184"/>
      <c r="M304" s="337"/>
      <c r="N304" s="164"/>
      <c r="O304" s="337"/>
      <c r="P304" s="164"/>
      <c r="Q304" s="365"/>
      <c r="R304" s="184"/>
      <c r="S304" s="17"/>
      <c r="T304" s="17"/>
      <c r="U304" s="17"/>
      <c r="V304" s="17"/>
    </row>
    <row r="305">
      <c r="A305" s="337"/>
      <c r="B305" s="164"/>
      <c r="C305" s="337"/>
      <c r="D305" s="164"/>
      <c r="E305" s="337"/>
      <c r="F305" s="164"/>
      <c r="G305" s="337"/>
      <c r="H305" s="164"/>
      <c r="I305" s="365"/>
      <c r="J305" s="184"/>
      <c r="K305" s="365"/>
      <c r="L305" s="184"/>
      <c r="M305" s="337"/>
      <c r="N305" s="164"/>
      <c r="O305" s="337"/>
      <c r="P305" s="164"/>
      <c r="Q305" s="365"/>
      <c r="R305" s="184"/>
      <c r="S305" s="17"/>
      <c r="T305" s="17"/>
      <c r="U305" s="17"/>
      <c r="V305" s="17"/>
    </row>
    <row r="306">
      <c r="A306" s="337"/>
      <c r="B306" s="164"/>
      <c r="C306" s="337"/>
      <c r="D306" s="164"/>
      <c r="E306" s="337"/>
      <c r="F306" s="164"/>
      <c r="G306" s="337"/>
      <c r="H306" s="164"/>
      <c r="I306" s="365"/>
      <c r="J306" s="184"/>
      <c r="K306" s="365"/>
      <c r="L306" s="184"/>
      <c r="M306" s="337"/>
      <c r="N306" s="164"/>
      <c r="O306" s="337"/>
      <c r="P306" s="164"/>
      <c r="Q306" s="365"/>
      <c r="R306" s="184"/>
      <c r="S306" s="17"/>
      <c r="T306" s="17"/>
      <c r="U306" s="17"/>
      <c r="V306" s="17"/>
    </row>
    <row r="307">
      <c r="A307" s="337"/>
      <c r="B307" s="164"/>
      <c r="C307" s="337"/>
      <c r="D307" s="164"/>
      <c r="E307" s="337"/>
      <c r="F307" s="164"/>
      <c r="G307" s="337"/>
      <c r="H307" s="164"/>
      <c r="I307" s="365"/>
      <c r="J307" s="184"/>
      <c r="K307" s="365"/>
      <c r="L307" s="184"/>
      <c r="M307" s="337"/>
      <c r="N307" s="164"/>
      <c r="O307" s="337"/>
      <c r="P307" s="164"/>
      <c r="Q307" s="365"/>
      <c r="R307" s="184"/>
      <c r="S307" s="17"/>
      <c r="T307" s="17"/>
      <c r="U307" s="17"/>
      <c r="V307" s="17"/>
    </row>
    <row r="308">
      <c r="A308" s="337"/>
      <c r="B308" s="164"/>
      <c r="C308" s="337"/>
      <c r="D308" s="164"/>
      <c r="E308" s="337"/>
      <c r="F308" s="164"/>
      <c r="G308" s="337"/>
      <c r="H308" s="164"/>
      <c r="I308" s="365"/>
      <c r="J308" s="184"/>
      <c r="K308" s="365"/>
      <c r="L308" s="184"/>
      <c r="M308" s="337"/>
      <c r="N308" s="164"/>
      <c r="O308" s="337"/>
      <c r="P308" s="164"/>
      <c r="Q308" s="365"/>
      <c r="R308" s="184"/>
      <c r="S308" s="17"/>
      <c r="T308" s="17"/>
      <c r="U308" s="17"/>
      <c r="V308" s="17"/>
    </row>
    <row r="309">
      <c r="A309" s="337"/>
      <c r="B309" s="164"/>
      <c r="C309" s="337"/>
      <c r="D309" s="164"/>
      <c r="E309" s="337"/>
      <c r="F309" s="164"/>
      <c r="G309" s="337"/>
      <c r="H309" s="164"/>
      <c r="I309" s="365"/>
      <c r="J309" s="184"/>
      <c r="K309" s="365"/>
      <c r="L309" s="184"/>
      <c r="M309" s="337"/>
      <c r="N309" s="164"/>
      <c r="O309" s="337"/>
      <c r="P309" s="164"/>
      <c r="Q309" s="365"/>
      <c r="R309" s="184"/>
      <c r="S309" s="17"/>
      <c r="T309" s="17"/>
      <c r="U309" s="17"/>
      <c r="V309" s="17"/>
    </row>
    <row r="310">
      <c r="A310" s="337"/>
      <c r="B310" s="164"/>
      <c r="C310" s="337"/>
      <c r="D310" s="164"/>
      <c r="E310" s="337"/>
      <c r="F310" s="164"/>
      <c r="G310" s="337"/>
      <c r="H310" s="164"/>
      <c r="I310" s="365"/>
      <c r="J310" s="184"/>
      <c r="K310" s="365"/>
      <c r="L310" s="184"/>
      <c r="M310" s="337"/>
      <c r="N310" s="164"/>
      <c r="O310" s="337"/>
      <c r="P310" s="164"/>
      <c r="Q310" s="365"/>
      <c r="R310" s="184"/>
      <c r="S310" s="17"/>
      <c r="T310" s="17"/>
      <c r="U310" s="17"/>
      <c r="V310" s="17"/>
    </row>
    <row r="311">
      <c r="A311" s="337"/>
      <c r="B311" s="164"/>
      <c r="C311" s="337"/>
      <c r="D311" s="164"/>
      <c r="E311" s="337"/>
      <c r="F311" s="164"/>
      <c r="G311" s="337"/>
      <c r="H311" s="164"/>
      <c r="I311" s="365"/>
      <c r="J311" s="184"/>
      <c r="K311" s="365"/>
      <c r="L311" s="184"/>
      <c r="M311" s="337"/>
      <c r="N311" s="164"/>
      <c r="O311" s="337"/>
      <c r="P311" s="164"/>
      <c r="Q311" s="365"/>
      <c r="R311" s="184"/>
      <c r="S311" s="17"/>
      <c r="T311" s="17"/>
      <c r="U311" s="17"/>
      <c r="V311" s="17"/>
    </row>
    <row r="312">
      <c r="A312" s="337"/>
      <c r="B312" s="164"/>
      <c r="C312" s="337"/>
      <c r="D312" s="164"/>
      <c r="E312" s="337"/>
      <c r="F312" s="164"/>
      <c r="G312" s="337"/>
      <c r="H312" s="164"/>
      <c r="I312" s="365"/>
      <c r="J312" s="184"/>
      <c r="K312" s="365"/>
      <c r="L312" s="184"/>
      <c r="M312" s="337"/>
      <c r="N312" s="164"/>
      <c r="O312" s="337"/>
      <c r="P312" s="164"/>
      <c r="Q312" s="365"/>
      <c r="R312" s="184"/>
      <c r="S312" s="17"/>
      <c r="T312" s="17"/>
      <c r="U312" s="17"/>
      <c r="V312" s="17"/>
    </row>
    <row r="313">
      <c r="A313" s="337"/>
      <c r="B313" s="164"/>
      <c r="C313" s="337"/>
      <c r="D313" s="164"/>
      <c r="E313" s="337"/>
      <c r="F313" s="164"/>
      <c r="G313" s="337"/>
      <c r="H313" s="164"/>
      <c r="I313" s="365"/>
      <c r="J313" s="184"/>
      <c r="K313" s="365"/>
      <c r="L313" s="184"/>
      <c r="M313" s="337"/>
      <c r="N313" s="164"/>
      <c r="O313" s="337"/>
      <c r="P313" s="164"/>
      <c r="Q313" s="365"/>
      <c r="R313" s="184"/>
      <c r="S313" s="17"/>
      <c r="T313" s="17"/>
      <c r="U313" s="17"/>
      <c r="V313" s="17"/>
    </row>
    <row r="314">
      <c r="A314" s="337"/>
      <c r="B314" s="164"/>
      <c r="C314" s="337"/>
      <c r="D314" s="164"/>
      <c r="E314" s="337"/>
      <c r="F314" s="164"/>
      <c r="G314" s="337"/>
      <c r="H314" s="164"/>
      <c r="I314" s="365"/>
      <c r="J314" s="184"/>
      <c r="K314" s="365"/>
      <c r="L314" s="184"/>
      <c r="M314" s="337"/>
      <c r="N314" s="164"/>
      <c r="O314" s="337"/>
      <c r="P314" s="164"/>
      <c r="Q314" s="365"/>
      <c r="R314" s="184"/>
      <c r="S314" s="17"/>
      <c r="T314" s="17"/>
      <c r="U314" s="17"/>
      <c r="V314" s="17"/>
    </row>
    <row r="315">
      <c r="A315" s="337"/>
      <c r="B315" s="164"/>
      <c r="C315" s="337"/>
      <c r="D315" s="164"/>
      <c r="E315" s="337"/>
      <c r="F315" s="164"/>
      <c r="G315" s="337"/>
      <c r="H315" s="164"/>
      <c r="I315" s="365"/>
      <c r="J315" s="184"/>
      <c r="K315" s="365"/>
      <c r="L315" s="184"/>
      <c r="M315" s="337"/>
      <c r="N315" s="164"/>
      <c r="O315" s="337"/>
      <c r="P315" s="164"/>
      <c r="Q315" s="365"/>
      <c r="R315" s="184"/>
      <c r="S315" s="17"/>
      <c r="T315" s="17"/>
      <c r="U315" s="17"/>
      <c r="V315" s="17"/>
    </row>
    <row r="316">
      <c r="A316" s="337"/>
      <c r="B316" s="164"/>
      <c r="C316" s="337"/>
      <c r="D316" s="164"/>
      <c r="E316" s="337"/>
      <c r="F316" s="164"/>
      <c r="G316" s="337"/>
      <c r="H316" s="164"/>
      <c r="I316" s="365"/>
      <c r="J316" s="184"/>
      <c r="K316" s="365"/>
      <c r="L316" s="184"/>
      <c r="M316" s="337"/>
      <c r="N316" s="164"/>
      <c r="O316" s="337"/>
      <c r="P316" s="164"/>
      <c r="Q316" s="365"/>
      <c r="R316" s="184"/>
      <c r="S316" s="17"/>
      <c r="T316" s="17"/>
      <c r="U316" s="17"/>
      <c r="V316" s="17"/>
    </row>
    <row r="317">
      <c r="A317" s="337"/>
      <c r="B317" s="164"/>
      <c r="C317" s="337"/>
      <c r="D317" s="164"/>
      <c r="E317" s="337"/>
      <c r="F317" s="164"/>
      <c r="G317" s="337"/>
      <c r="H317" s="164"/>
      <c r="I317" s="365"/>
      <c r="J317" s="184"/>
      <c r="K317" s="365"/>
      <c r="L317" s="184"/>
      <c r="M317" s="337"/>
      <c r="N317" s="164"/>
      <c r="O317" s="337"/>
      <c r="P317" s="164"/>
      <c r="Q317" s="365"/>
      <c r="R317" s="184"/>
      <c r="S317" s="17"/>
      <c r="T317" s="17"/>
      <c r="U317" s="17"/>
      <c r="V317" s="17"/>
    </row>
    <row r="318">
      <c r="A318" s="337"/>
      <c r="B318" s="164"/>
      <c r="C318" s="337"/>
      <c r="D318" s="164"/>
      <c r="E318" s="337"/>
      <c r="F318" s="164"/>
      <c r="G318" s="337"/>
      <c r="H318" s="164"/>
      <c r="I318" s="365"/>
      <c r="J318" s="184"/>
      <c r="K318" s="365"/>
      <c r="L318" s="184"/>
      <c r="M318" s="337"/>
      <c r="N318" s="164"/>
      <c r="O318" s="337"/>
      <c r="P318" s="164"/>
      <c r="Q318" s="365"/>
      <c r="R318" s="184"/>
      <c r="S318" s="17"/>
      <c r="T318" s="17"/>
      <c r="U318" s="17"/>
      <c r="V318" s="17"/>
    </row>
    <row r="319">
      <c r="A319" s="337"/>
      <c r="B319" s="164"/>
      <c r="C319" s="337"/>
      <c r="D319" s="164"/>
      <c r="E319" s="337"/>
      <c r="F319" s="164"/>
      <c r="G319" s="337"/>
      <c r="H319" s="164"/>
      <c r="I319" s="365"/>
      <c r="J319" s="184"/>
      <c r="K319" s="365"/>
      <c r="L319" s="184"/>
      <c r="M319" s="337"/>
      <c r="N319" s="164"/>
      <c r="O319" s="337"/>
      <c r="P319" s="164"/>
      <c r="Q319" s="365"/>
      <c r="R319" s="184"/>
      <c r="S319" s="17"/>
      <c r="T319" s="17"/>
      <c r="U319" s="17"/>
      <c r="V319" s="17"/>
    </row>
    <row r="320">
      <c r="A320" s="337"/>
      <c r="B320" s="164"/>
      <c r="C320" s="337"/>
      <c r="D320" s="164"/>
      <c r="E320" s="337"/>
      <c r="F320" s="164"/>
      <c r="G320" s="337"/>
      <c r="H320" s="164"/>
      <c r="I320" s="365"/>
      <c r="J320" s="184"/>
      <c r="K320" s="365"/>
      <c r="L320" s="184"/>
      <c r="M320" s="337"/>
      <c r="N320" s="164"/>
      <c r="O320" s="337"/>
      <c r="P320" s="164"/>
      <c r="Q320" s="365"/>
      <c r="R320" s="184"/>
      <c r="S320" s="17"/>
      <c r="T320" s="17"/>
      <c r="U320" s="17"/>
      <c r="V320" s="17"/>
    </row>
    <row r="321">
      <c r="A321" s="337"/>
      <c r="B321" s="164"/>
      <c r="C321" s="337"/>
      <c r="D321" s="164"/>
      <c r="E321" s="337"/>
      <c r="F321" s="164"/>
      <c r="G321" s="337"/>
      <c r="H321" s="164"/>
      <c r="I321" s="365"/>
      <c r="J321" s="184"/>
      <c r="K321" s="365"/>
      <c r="L321" s="184"/>
      <c r="M321" s="337"/>
      <c r="N321" s="164"/>
      <c r="O321" s="337"/>
      <c r="P321" s="164"/>
      <c r="Q321" s="365"/>
      <c r="R321" s="184"/>
      <c r="S321" s="17"/>
      <c r="T321" s="17"/>
      <c r="U321" s="17"/>
      <c r="V321" s="17"/>
    </row>
    <row r="322">
      <c r="A322" s="337"/>
      <c r="B322" s="164"/>
      <c r="C322" s="337"/>
      <c r="D322" s="164"/>
      <c r="E322" s="337"/>
      <c r="F322" s="164"/>
      <c r="G322" s="337"/>
      <c r="H322" s="164"/>
      <c r="I322" s="365"/>
      <c r="J322" s="184"/>
      <c r="K322" s="365"/>
      <c r="L322" s="184"/>
      <c r="M322" s="337"/>
      <c r="N322" s="164"/>
      <c r="O322" s="337"/>
      <c r="P322" s="164"/>
      <c r="Q322" s="365"/>
      <c r="R322" s="184"/>
      <c r="S322" s="17"/>
      <c r="T322" s="17"/>
      <c r="U322" s="17"/>
      <c r="V322" s="17"/>
    </row>
    <row r="323">
      <c r="A323" s="337"/>
      <c r="B323" s="164"/>
      <c r="C323" s="337"/>
      <c r="D323" s="164"/>
      <c r="E323" s="337"/>
      <c r="F323" s="164"/>
      <c r="G323" s="337"/>
      <c r="H323" s="164"/>
      <c r="I323" s="365"/>
      <c r="J323" s="184"/>
      <c r="K323" s="365"/>
      <c r="L323" s="184"/>
      <c r="M323" s="337"/>
      <c r="N323" s="164"/>
      <c r="O323" s="337"/>
      <c r="P323" s="164"/>
      <c r="Q323" s="365"/>
      <c r="R323" s="184"/>
      <c r="S323" s="17"/>
      <c r="T323" s="17"/>
      <c r="U323" s="17"/>
      <c r="V323" s="17"/>
    </row>
    <row r="324">
      <c r="A324" s="337"/>
      <c r="B324" s="164"/>
      <c r="C324" s="337"/>
      <c r="D324" s="164"/>
      <c r="E324" s="337"/>
      <c r="F324" s="164"/>
      <c r="G324" s="337"/>
      <c r="H324" s="164"/>
      <c r="I324" s="365"/>
      <c r="J324" s="184"/>
      <c r="K324" s="365"/>
      <c r="L324" s="184"/>
      <c r="M324" s="337"/>
      <c r="N324" s="164"/>
      <c r="O324" s="337"/>
      <c r="P324" s="164"/>
      <c r="Q324" s="365"/>
      <c r="R324" s="184"/>
      <c r="S324" s="17"/>
      <c r="T324" s="17"/>
      <c r="U324" s="17"/>
      <c r="V324" s="17"/>
    </row>
    <row r="325">
      <c r="A325" s="337"/>
      <c r="B325" s="164"/>
      <c r="C325" s="337"/>
      <c r="D325" s="164"/>
      <c r="E325" s="337"/>
      <c r="F325" s="164"/>
      <c r="G325" s="337"/>
      <c r="H325" s="164"/>
      <c r="I325" s="365"/>
      <c r="J325" s="184"/>
      <c r="K325" s="365"/>
      <c r="L325" s="184"/>
      <c r="M325" s="337"/>
      <c r="N325" s="164"/>
      <c r="O325" s="337"/>
      <c r="P325" s="164"/>
      <c r="Q325" s="365"/>
      <c r="R325" s="184"/>
      <c r="S325" s="17"/>
      <c r="T325" s="17"/>
      <c r="U325" s="17"/>
      <c r="V325" s="17"/>
    </row>
    <row r="326">
      <c r="A326" s="337"/>
      <c r="B326" s="164"/>
      <c r="C326" s="337"/>
      <c r="D326" s="164"/>
      <c r="E326" s="337"/>
      <c r="F326" s="164"/>
      <c r="G326" s="337"/>
      <c r="H326" s="164"/>
      <c r="I326" s="365"/>
      <c r="J326" s="184"/>
      <c r="K326" s="365"/>
      <c r="L326" s="184"/>
      <c r="M326" s="337"/>
      <c r="N326" s="164"/>
      <c r="O326" s="337"/>
      <c r="P326" s="164"/>
      <c r="Q326" s="365"/>
      <c r="R326" s="184"/>
      <c r="S326" s="17"/>
      <c r="T326" s="17"/>
      <c r="U326" s="17"/>
      <c r="V326" s="17"/>
    </row>
    <row r="327">
      <c r="A327" s="337"/>
      <c r="B327" s="164"/>
      <c r="C327" s="337"/>
      <c r="D327" s="164"/>
      <c r="E327" s="337"/>
      <c r="F327" s="164"/>
      <c r="G327" s="337"/>
      <c r="H327" s="164"/>
      <c r="I327" s="365"/>
      <c r="J327" s="184"/>
      <c r="K327" s="365"/>
      <c r="L327" s="184"/>
      <c r="M327" s="337"/>
      <c r="N327" s="164"/>
      <c r="O327" s="337"/>
      <c r="P327" s="164"/>
      <c r="Q327" s="365"/>
      <c r="R327" s="184"/>
      <c r="S327" s="17"/>
      <c r="T327" s="17"/>
      <c r="U327" s="17"/>
      <c r="V327" s="17"/>
    </row>
    <row r="328">
      <c r="A328" s="337"/>
      <c r="B328" s="164"/>
      <c r="C328" s="337"/>
      <c r="D328" s="164"/>
      <c r="E328" s="337"/>
      <c r="F328" s="164"/>
      <c r="G328" s="337"/>
      <c r="H328" s="164"/>
      <c r="I328" s="365"/>
      <c r="J328" s="184"/>
      <c r="K328" s="365"/>
      <c r="L328" s="184"/>
      <c r="M328" s="337"/>
      <c r="N328" s="164"/>
      <c r="O328" s="337"/>
      <c r="P328" s="164"/>
      <c r="Q328" s="365"/>
      <c r="R328" s="184"/>
      <c r="S328" s="17"/>
      <c r="T328" s="17"/>
      <c r="U328" s="17"/>
      <c r="V328" s="17"/>
    </row>
    <row r="329">
      <c r="A329" s="337"/>
      <c r="B329" s="164"/>
      <c r="C329" s="337"/>
      <c r="D329" s="164"/>
      <c r="E329" s="337"/>
      <c r="F329" s="164"/>
      <c r="G329" s="337"/>
      <c r="H329" s="164"/>
      <c r="I329" s="365"/>
      <c r="J329" s="184"/>
      <c r="K329" s="365"/>
      <c r="L329" s="184"/>
      <c r="M329" s="337"/>
      <c r="N329" s="164"/>
      <c r="O329" s="337"/>
      <c r="P329" s="164"/>
      <c r="Q329" s="365"/>
      <c r="R329" s="184"/>
      <c r="S329" s="17"/>
      <c r="T329" s="17"/>
      <c r="U329" s="17"/>
      <c r="V329" s="17"/>
    </row>
    <row r="330">
      <c r="A330" s="337"/>
      <c r="B330" s="164"/>
      <c r="C330" s="337"/>
      <c r="D330" s="164"/>
      <c r="E330" s="337"/>
      <c r="F330" s="164"/>
      <c r="G330" s="337"/>
      <c r="H330" s="164"/>
      <c r="I330" s="365"/>
      <c r="J330" s="184"/>
      <c r="K330" s="365"/>
      <c r="L330" s="184"/>
      <c r="M330" s="337"/>
      <c r="N330" s="164"/>
      <c r="O330" s="337"/>
      <c r="P330" s="164"/>
      <c r="Q330" s="365"/>
      <c r="R330" s="184"/>
      <c r="S330" s="17"/>
      <c r="T330" s="17"/>
      <c r="U330" s="17"/>
      <c r="V330" s="17"/>
    </row>
    <row r="331">
      <c r="A331" s="337"/>
      <c r="B331" s="164"/>
      <c r="C331" s="337"/>
      <c r="D331" s="164"/>
      <c r="E331" s="337"/>
      <c r="F331" s="164"/>
      <c r="G331" s="337"/>
      <c r="H331" s="164"/>
      <c r="I331" s="365"/>
      <c r="J331" s="184"/>
      <c r="K331" s="365"/>
      <c r="L331" s="184"/>
      <c r="M331" s="337"/>
      <c r="N331" s="164"/>
      <c r="O331" s="337"/>
      <c r="P331" s="164"/>
      <c r="Q331" s="365"/>
      <c r="R331" s="184"/>
      <c r="S331" s="17"/>
      <c r="T331" s="17"/>
      <c r="U331" s="17"/>
      <c r="V331" s="17"/>
    </row>
    <row r="332">
      <c r="A332" s="337"/>
      <c r="B332" s="164"/>
      <c r="C332" s="337"/>
      <c r="D332" s="164"/>
      <c r="E332" s="337"/>
      <c r="F332" s="164"/>
      <c r="G332" s="337"/>
      <c r="H332" s="164"/>
      <c r="I332" s="365"/>
      <c r="J332" s="184"/>
      <c r="K332" s="365"/>
      <c r="L332" s="184"/>
      <c r="M332" s="337"/>
      <c r="N332" s="164"/>
      <c r="O332" s="337"/>
      <c r="P332" s="164"/>
      <c r="Q332" s="365"/>
      <c r="R332" s="184"/>
      <c r="S332" s="17"/>
      <c r="T332" s="17"/>
      <c r="U332" s="17"/>
      <c r="V332" s="17"/>
    </row>
    <row r="333">
      <c r="A333" s="337"/>
      <c r="B333" s="164"/>
      <c r="C333" s="337"/>
      <c r="D333" s="164"/>
      <c r="E333" s="337"/>
      <c r="F333" s="164"/>
      <c r="G333" s="337"/>
      <c r="H333" s="164"/>
      <c r="I333" s="365"/>
      <c r="J333" s="184"/>
      <c r="K333" s="365"/>
      <c r="L333" s="184"/>
      <c r="M333" s="337"/>
      <c r="N333" s="164"/>
      <c r="O333" s="337"/>
      <c r="P333" s="164"/>
      <c r="Q333" s="365"/>
      <c r="R333" s="184"/>
      <c r="S333" s="17"/>
      <c r="T333" s="17"/>
      <c r="U333" s="17"/>
      <c r="V333" s="17"/>
    </row>
    <row r="334">
      <c r="A334" s="337"/>
      <c r="B334" s="164"/>
      <c r="C334" s="337"/>
      <c r="D334" s="164"/>
      <c r="E334" s="337"/>
      <c r="F334" s="164"/>
      <c r="G334" s="337"/>
      <c r="H334" s="164"/>
      <c r="I334" s="365"/>
      <c r="J334" s="184"/>
      <c r="K334" s="365"/>
      <c r="L334" s="184"/>
      <c r="M334" s="337"/>
      <c r="N334" s="164"/>
      <c r="O334" s="337"/>
      <c r="P334" s="164"/>
      <c r="Q334" s="365"/>
      <c r="R334" s="184"/>
      <c r="S334" s="17"/>
      <c r="T334" s="17"/>
      <c r="U334" s="17"/>
      <c r="V334" s="17"/>
    </row>
    <row r="335">
      <c r="A335" s="337"/>
      <c r="B335" s="164"/>
      <c r="C335" s="337"/>
      <c r="D335" s="164"/>
      <c r="E335" s="337"/>
      <c r="F335" s="164"/>
      <c r="G335" s="337"/>
      <c r="H335" s="164"/>
      <c r="I335" s="365"/>
      <c r="J335" s="184"/>
      <c r="K335" s="365"/>
      <c r="L335" s="184"/>
      <c r="M335" s="337"/>
      <c r="N335" s="164"/>
      <c r="O335" s="337"/>
      <c r="P335" s="164"/>
      <c r="Q335" s="365"/>
      <c r="R335" s="184"/>
      <c r="S335" s="17"/>
      <c r="T335" s="17"/>
      <c r="U335" s="17"/>
      <c r="V335" s="17"/>
    </row>
    <row r="336">
      <c r="A336" s="337"/>
      <c r="B336" s="164"/>
      <c r="C336" s="337"/>
      <c r="D336" s="164"/>
      <c r="E336" s="337"/>
      <c r="F336" s="164"/>
      <c r="G336" s="337"/>
      <c r="H336" s="164"/>
      <c r="I336" s="365"/>
      <c r="J336" s="184"/>
      <c r="K336" s="365"/>
      <c r="L336" s="184"/>
      <c r="M336" s="337"/>
      <c r="N336" s="164"/>
      <c r="O336" s="337"/>
      <c r="P336" s="164"/>
      <c r="Q336" s="365"/>
      <c r="R336" s="184"/>
      <c r="S336" s="17"/>
      <c r="T336" s="17"/>
      <c r="U336" s="17"/>
      <c r="V336" s="17"/>
    </row>
    <row r="337">
      <c r="A337" s="337"/>
      <c r="B337" s="164"/>
      <c r="C337" s="337"/>
      <c r="D337" s="164"/>
      <c r="E337" s="337"/>
      <c r="F337" s="164"/>
      <c r="G337" s="337"/>
      <c r="H337" s="164"/>
      <c r="I337" s="365"/>
      <c r="J337" s="184"/>
      <c r="K337" s="365"/>
      <c r="L337" s="184"/>
      <c r="M337" s="337"/>
      <c r="N337" s="164"/>
      <c r="O337" s="337"/>
      <c r="P337" s="164"/>
      <c r="Q337" s="365"/>
      <c r="R337" s="184"/>
      <c r="S337" s="17"/>
      <c r="T337" s="17"/>
      <c r="U337" s="17"/>
      <c r="V337" s="17"/>
    </row>
    <row r="338">
      <c r="A338" s="337"/>
      <c r="B338" s="164"/>
      <c r="C338" s="337"/>
      <c r="D338" s="164"/>
      <c r="E338" s="337"/>
      <c r="F338" s="164"/>
      <c r="G338" s="337"/>
      <c r="H338" s="164"/>
      <c r="I338" s="365"/>
      <c r="J338" s="184"/>
      <c r="K338" s="365"/>
      <c r="L338" s="184"/>
      <c r="M338" s="337"/>
      <c r="N338" s="164"/>
      <c r="O338" s="337"/>
      <c r="P338" s="164"/>
      <c r="Q338" s="365"/>
      <c r="R338" s="184"/>
      <c r="S338" s="17"/>
      <c r="T338" s="17"/>
      <c r="U338" s="17"/>
      <c r="V338" s="17"/>
    </row>
    <row r="339">
      <c r="A339" s="337"/>
      <c r="B339" s="164"/>
      <c r="C339" s="337"/>
      <c r="D339" s="164"/>
      <c r="E339" s="337"/>
      <c r="F339" s="164"/>
      <c r="G339" s="337"/>
      <c r="H339" s="164"/>
      <c r="I339" s="365"/>
      <c r="J339" s="184"/>
      <c r="K339" s="365"/>
      <c r="L339" s="184"/>
      <c r="M339" s="337"/>
      <c r="N339" s="164"/>
      <c r="O339" s="337"/>
      <c r="P339" s="164"/>
      <c r="Q339" s="365"/>
      <c r="R339" s="184"/>
      <c r="S339" s="17"/>
      <c r="T339" s="17"/>
      <c r="U339" s="17"/>
      <c r="V339" s="17"/>
    </row>
    <row r="340">
      <c r="A340" s="337"/>
      <c r="B340" s="164"/>
      <c r="C340" s="337"/>
      <c r="D340" s="164"/>
      <c r="E340" s="337"/>
      <c r="F340" s="164"/>
      <c r="G340" s="337"/>
      <c r="H340" s="164"/>
      <c r="I340" s="365"/>
      <c r="J340" s="184"/>
      <c r="K340" s="365"/>
      <c r="L340" s="184"/>
      <c r="M340" s="337"/>
      <c r="N340" s="164"/>
      <c r="O340" s="337"/>
      <c r="P340" s="164"/>
      <c r="Q340" s="365"/>
      <c r="R340" s="184"/>
      <c r="S340" s="17"/>
      <c r="T340" s="17"/>
      <c r="U340" s="17"/>
      <c r="V340" s="17"/>
    </row>
    <row r="341">
      <c r="A341" s="337"/>
      <c r="B341" s="164"/>
      <c r="C341" s="337"/>
      <c r="D341" s="164"/>
      <c r="E341" s="337"/>
      <c r="F341" s="164"/>
      <c r="G341" s="337"/>
      <c r="H341" s="164"/>
      <c r="I341" s="365"/>
      <c r="J341" s="184"/>
      <c r="K341" s="365"/>
      <c r="L341" s="184"/>
      <c r="M341" s="337"/>
      <c r="N341" s="164"/>
      <c r="O341" s="337"/>
      <c r="P341" s="164"/>
      <c r="Q341" s="365"/>
      <c r="R341" s="184"/>
      <c r="S341" s="17"/>
      <c r="T341" s="17"/>
      <c r="U341" s="17"/>
      <c r="V341" s="17"/>
    </row>
    <row r="342">
      <c r="A342" s="337"/>
      <c r="B342" s="164"/>
      <c r="C342" s="337"/>
      <c r="D342" s="164"/>
      <c r="E342" s="337"/>
      <c r="F342" s="164"/>
      <c r="G342" s="337"/>
      <c r="H342" s="164"/>
      <c r="I342" s="365"/>
      <c r="J342" s="184"/>
      <c r="K342" s="365"/>
      <c r="L342" s="184"/>
      <c r="M342" s="337"/>
      <c r="N342" s="164"/>
      <c r="O342" s="337"/>
      <c r="P342" s="164"/>
      <c r="Q342" s="365"/>
      <c r="R342" s="184"/>
      <c r="S342" s="17"/>
      <c r="T342" s="17"/>
      <c r="U342" s="17"/>
      <c r="V342" s="17"/>
    </row>
    <row r="343">
      <c r="A343" s="337"/>
      <c r="B343" s="164"/>
      <c r="C343" s="337"/>
      <c r="D343" s="164"/>
      <c r="E343" s="337"/>
      <c r="F343" s="164"/>
      <c r="G343" s="337"/>
      <c r="H343" s="164"/>
      <c r="I343" s="365"/>
      <c r="J343" s="184"/>
      <c r="K343" s="365"/>
      <c r="L343" s="184"/>
      <c r="M343" s="337"/>
      <c r="N343" s="164"/>
      <c r="O343" s="337"/>
      <c r="P343" s="164"/>
      <c r="Q343" s="365"/>
      <c r="R343" s="184"/>
      <c r="S343" s="17"/>
      <c r="T343" s="17"/>
      <c r="U343" s="17"/>
      <c r="V343" s="17"/>
    </row>
    <row r="344">
      <c r="A344" s="337"/>
      <c r="B344" s="164"/>
      <c r="C344" s="337"/>
      <c r="D344" s="164"/>
      <c r="E344" s="337"/>
      <c r="F344" s="164"/>
      <c r="G344" s="337"/>
      <c r="H344" s="164"/>
      <c r="I344" s="365"/>
      <c r="J344" s="184"/>
      <c r="K344" s="365"/>
      <c r="L344" s="184"/>
      <c r="M344" s="337"/>
      <c r="N344" s="164"/>
      <c r="O344" s="337"/>
      <c r="P344" s="164"/>
      <c r="Q344" s="365"/>
      <c r="R344" s="184"/>
      <c r="S344" s="17"/>
      <c r="T344" s="17"/>
      <c r="U344" s="17"/>
      <c r="V344" s="17"/>
    </row>
    <row r="345">
      <c r="A345" s="337"/>
      <c r="B345" s="164"/>
      <c r="C345" s="337"/>
      <c r="D345" s="164"/>
      <c r="E345" s="337"/>
      <c r="F345" s="164"/>
      <c r="G345" s="337"/>
      <c r="H345" s="164"/>
      <c r="I345" s="365"/>
      <c r="J345" s="184"/>
      <c r="K345" s="365"/>
      <c r="L345" s="184"/>
      <c r="M345" s="337"/>
      <c r="N345" s="164"/>
      <c r="O345" s="337"/>
      <c r="P345" s="164"/>
      <c r="Q345" s="365"/>
      <c r="R345" s="184"/>
      <c r="S345" s="17"/>
      <c r="T345" s="17"/>
      <c r="U345" s="17"/>
      <c r="V345" s="17"/>
    </row>
    <row r="346">
      <c r="A346" s="337"/>
      <c r="B346" s="164"/>
      <c r="C346" s="337"/>
      <c r="D346" s="164"/>
      <c r="E346" s="337"/>
      <c r="F346" s="164"/>
      <c r="G346" s="337"/>
      <c r="H346" s="164"/>
      <c r="I346" s="365"/>
      <c r="J346" s="184"/>
      <c r="K346" s="365"/>
      <c r="L346" s="184"/>
      <c r="M346" s="337"/>
      <c r="N346" s="164"/>
      <c r="O346" s="337"/>
      <c r="P346" s="164"/>
      <c r="Q346" s="365"/>
      <c r="R346" s="184"/>
      <c r="S346" s="17"/>
      <c r="T346" s="17"/>
      <c r="U346" s="17"/>
      <c r="V346" s="17"/>
    </row>
    <row r="347">
      <c r="A347" s="337"/>
      <c r="B347" s="164"/>
      <c r="C347" s="337"/>
      <c r="D347" s="164"/>
      <c r="E347" s="337"/>
      <c r="F347" s="164"/>
      <c r="G347" s="337"/>
      <c r="H347" s="164"/>
      <c r="I347" s="365"/>
      <c r="J347" s="184"/>
      <c r="K347" s="365"/>
      <c r="L347" s="184"/>
      <c r="M347" s="337"/>
      <c r="N347" s="164"/>
      <c r="O347" s="337"/>
      <c r="P347" s="164"/>
      <c r="Q347" s="365"/>
      <c r="R347" s="184"/>
      <c r="S347" s="17"/>
      <c r="T347" s="17"/>
      <c r="U347" s="17"/>
      <c r="V347" s="17"/>
    </row>
    <row r="348">
      <c r="A348" s="337"/>
      <c r="B348" s="164"/>
      <c r="C348" s="337"/>
      <c r="D348" s="164"/>
      <c r="E348" s="337"/>
      <c r="F348" s="164"/>
      <c r="G348" s="337"/>
      <c r="H348" s="164"/>
      <c r="I348" s="365"/>
      <c r="J348" s="184"/>
      <c r="K348" s="365"/>
      <c r="L348" s="184"/>
      <c r="M348" s="337"/>
      <c r="N348" s="164"/>
      <c r="O348" s="337"/>
      <c r="P348" s="164"/>
      <c r="Q348" s="365"/>
      <c r="R348" s="184"/>
      <c r="S348" s="17"/>
      <c r="T348" s="17"/>
      <c r="U348" s="17"/>
      <c r="V348" s="17"/>
    </row>
    <row r="349">
      <c r="A349" s="337"/>
      <c r="B349" s="164"/>
      <c r="C349" s="337"/>
      <c r="D349" s="164"/>
      <c r="E349" s="337"/>
      <c r="F349" s="164"/>
      <c r="G349" s="337"/>
      <c r="H349" s="164"/>
      <c r="I349" s="365"/>
      <c r="J349" s="184"/>
      <c r="K349" s="365"/>
      <c r="L349" s="184"/>
      <c r="M349" s="337"/>
      <c r="N349" s="164"/>
      <c r="O349" s="337"/>
      <c r="P349" s="164"/>
      <c r="Q349" s="365"/>
      <c r="R349" s="184"/>
      <c r="S349" s="17"/>
      <c r="T349" s="17"/>
      <c r="U349" s="17"/>
      <c r="V349" s="17"/>
    </row>
    <row r="350">
      <c r="A350" s="337"/>
      <c r="B350" s="164"/>
      <c r="C350" s="337"/>
      <c r="D350" s="164"/>
      <c r="E350" s="337"/>
      <c r="F350" s="164"/>
      <c r="G350" s="337"/>
      <c r="H350" s="164"/>
      <c r="I350" s="365"/>
      <c r="J350" s="184"/>
      <c r="K350" s="365"/>
      <c r="L350" s="184"/>
      <c r="M350" s="337"/>
      <c r="N350" s="164"/>
      <c r="O350" s="337"/>
      <c r="P350" s="164"/>
      <c r="Q350" s="365"/>
      <c r="R350" s="184"/>
      <c r="S350" s="17"/>
      <c r="T350" s="17"/>
      <c r="U350" s="17"/>
      <c r="V350" s="17"/>
    </row>
    <row r="351">
      <c r="A351" s="337"/>
      <c r="B351" s="164"/>
      <c r="C351" s="337"/>
      <c r="D351" s="164"/>
      <c r="E351" s="337"/>
      <c r="F351" s="164"/>
      <c r="G351" s="337"/>
      <c r="H351" s="164"/>
      <c r="I351" s="365"/>
      <c r="J351" s="184"/>
      <c r="K351" s="365"/>
      <c r="L351" s="184"/>
      <c r="M351" s="337"/>
      <c r="N351" s="164"/>
      <c r="O351" s="337"/>
      <c r="P351" s="164"/>
      <c r="Q351" s="365"/>
      <c r="R351" s="184"/>
      <c r="S351" s="17"/>
      <c r="T351" s="17"/>
      <c r="U351" s="17"/>
      <c r="V351" s="17"/>
    </row>
    <row r="352">
      <c r="A352" s="337"/>
      <c r="B352" s="164"/>
      <c r="C352" s="337"/>
      <c r="D352" s="164"/>
      <c r="E352" s="337"/>
      <c r="F352" s="164"/>
      <c r="G352" s="337"/>
      <c r="H352" s="164"/>
      <c r="I352" s="365"/>
      <c r="J352" s="184"/>
      <c r="K352" s="365"/>
      <c r="L352" s="184"/>
      <c r="M352" s="337"/>
      <c r="N352" s="164"/>
      <c r="O352" s="337"/>
      <c r="P352" s="164"/>
      <c r="Q352" s="365"/>
      <c r="R352" s="184"/>
      <c r="S352" s="17"/>
      <c r="T352" s="17"/>
      <c r="U352" s="17"/>
      <c r="V352" s="17"/>
    </row>
    <row r="353">
      <c r="A353" s="337"/>
      <c r="B353" s="164"/>
      <c r="C353" s="337"/>
      <c r="D353" s="164"/>
      <c r="E353" s="337"/>
      <c r="F353" s="164"/>
      <c r="G353" s="337"/>
      <c r="H353" s="164"/>
      <c r="I353" s="365"/>
      <c r="J353" s="184"/>
      <c r="K353" s="365"/>
      <c r="L353" s="184"/>
      <c r="M353" s="337"/>
      <c r="N353" s="164"/>
      <c r="O353" s="337"/>
      <c r="P353" s="164"/>
      <c r="Q353" s="365"/>
      <c r="R353" s="184"/>
      <c r="S353" s="17"/>
      <c r="T353" s="17"/>
      <c r="U353" s="17"/>
      <c r="V353" s="17"/>
    </row>
    <row r="354">
      <c r="A354" s="337"/>
      <c r="B354" s="164"/>
      <c r="C354" s="337"/>
      <c r="D354" s="164"/>
      <c r="E354" s="337"/>
      <c r="F354" s="164"/>
      <c r="G354" s="337"/>
      <c r="H354" s="164"/>
      <c r="I354" s="365"/>
      <c r="J354" s="184"/>
      <c r="K354" s="365"/>
      <c r="L354" s="184"/>
      <c r="M354" s="337"/>
      <c r="N354" s="164"/>
      <c r="O354" s="337"/>
      <c r="P354" s="164"/>
      <c r="Q354" s="365"/>
      <c r="R354" s="184"/>
      <c r="S354" s="17"/>
      <c r="T354" s="17"/>
      <c r="U354" s="17"/>
      <c r="V354" s="17"/>
    </row>
    <row r="355">
      <c r="A355" s="337"/>
      <c r="B355" s="164"/>
      <c r="C355" s="337"/>
      <c r="D355" s="164"/>
      <c r="E355" s="337"/>
      <c r="F355" s="164"/>
      <c r="G355" s="337"/>
      <c r="H355" s="164"/>
      <c r="I355" s="365"/>
      <c r="J355" s="184"/>
      <c r="K355" s="365"/>
      <c r="L355" s="184"/>
      <c r="M355" s="337"/>
      <c r="N355" s="164"/>
      <c r="O355" s="337"/>
      <c r="P355" s="164"/>
      <c r="Q355" s="365"/>
      <c r="R355" s="184"/>
      <c r="S355" s="17"/>
      <c r="T355" s="17"/>
      <c r="U355" s="17"/>
      <c r="V355" s="17"/>
    </row>
    <row r="356">
      <c r="A356" s="337"/>
      <c r="B356" s="164"/>
      <c r="C356" s="337"/>
      <c r="D356" s="164"/>
      <c r="E356" s="337"/>
      <c r="F356" s="164"/>
      <c r="G356" s="337"/>
      <c r="H356" s="164"/>
      <c r="I356" s="365"/>
      <c r="J356" s="184"/>
      <c r="K356" s="365"/>
      <c r="L356" s="184"/>
      <c r="M356" s="337"/>
      <c r="N356" s="164"/>
      <c r="O356" s="337"/>
      <c r="P356" s="164"/>
      <c r="Q356" s="365"/>
      <c r="R356" s="184"/>
      <c r="S356" s="17"/>
      <c r="T356" s="17"/>
      <c r="U356" s="17"/>
      <c r="V356" s="17"/>
    </row>
    <row r="357">
      <c r="A357" s="337"/>
      <c r="B357" s="164"/>
      <c r="C357" s="337"/>
      <c r="D357" s="164"/>
      <c r="E357" s="337"/>
      <c r="F357" s="164"/>
      <c r="G357" s="337"/>
      <c r="H357" s="164"/>
      <c r="I357" s="365"/>
      <c r="J357" s="184"/>
      <c r="K357" s="365"/>
      <c r="L357" s="184"/>
      <c r="M357" s="337"/>
      <c r="N357" s="164"/>
      <c r="O357" s="337"/>
      <c r="P357" s="164"/>
      <c r="Q357" s="365"/>
      <c r="R357" s="184"/>
      <c r="S357" s="17"/>
      <c r="T357" s="17"/>
      <c r="U357" s="17"/>
      <c r="V357" s="17"/>
    </row>
    <row r="358">
      <c r="A358" s="337"/>
      <c r="B358" s="164"/>
      <c r="C358" s="337"/>
      <c r="D358" s="164"/>
      <c r="E358" s="337"/>
      <c r="F358" s="164"/>
      <c r="G358" s="337"/>
      <c r="H358" s="164"/>
      <c r="I358" s="365"/>
      <c r="J358" s="184"/>
      <c r="K358" s="365"/>
      <c r="L358" s="184"/>
      <c r="M358" s="337"/>
      <c r="N358" s="164"/>
      <c r="O358" s="337"/>
      <c r="P358" s="164"/>
      <c r="Q358" s="365"/>
      <c r="R358" s="184"/>
      <c r="S358" s="17"/>
      <c r="T358" s="17"/>
      <c r="U358" s="17"/>
      <c r="V358" s="17"/>
    </row>
    <row r="359">
      <c r="A359" s="337"/>
      <c r="B359" s="164"/>
      <c r="C359" s="337"/>
      <c r="D359" s="164"/>
      <c r="E359" s="337"/>
      <c r="F359" s="164"/>
      <c r="G359" s="337"/>
      <c r="H359" s="164"/>
      <c r="I359" s="365"/>
      <c r="J359" s="184"/>
      <c r="K359" s="365"/>
      <c r="L359" s="184"/>
      <c r="M359" s="337"/>
      <c r="N359" s="164"/>
      <c r="O359" s="337"/>
      <c r="P359" s="164"/>
      <c r="Q359" s="365"/>
      <c r="R359" s="184"/>
      <c r="S359" s="17"/>
      <c r="T359" s="17"/>
      <c r="U359" s="17"/>
      <c r="V359" s="17"/>
    </row>
    <row r="360">
      <c r="A360" s="337"/>
      <c r="B360" s="164"/>
      <c r="C360" s="337"/>
      <c r="D360" s="164"/>
      <c r="E360" s="337"/>
      <c r="F360" s="164"/>
      <c r="G360" s="337"/>
      <c r="H360" s="164"/>
      <c r="I360" s="365"/>
      <c r="J360" s="184"/>
      <c r="K360" s="365"/>
      <c r="L360" s="184"/>
      <c r="M360" s="337"/>
      <c r="N360" s="164"/>
      <c r="O360" s="337"/>
      <c r="P360" s="164"/>
      <c r="Q360" s="365"/>
      <c r="R360" s="184"/>
      <c r="S360" s="17"/>
      <c r="T360" s="17"/>
      <c r="U360" s="17"/>
      <c r="V360" s="17"/>
    </row>
    <row r="361">
      <c r="A361" s="337"/>
      <c r="B361" s="164"/>
      <c r="C361" s="337"/>
      <c r="D361" s="164"/>
      <c r="E361" s="337"/>
      <c r="F361" s="164"/>
      <c r="G361" s="337"/>
      <c r="H361" s="164"/>
      <c r="I361" s="365"/>
      <c r="J361" s="184"/>
      <c r="K361" s="365"/>
      <c r="L361" s="184"/>
      <c r="M361" s="337"/>
      <c r="N361" s="164"/>
      <c r="O361" s="337"/>
      <c r="P361" s="164"/>
      <c r="Q361" s="365"/>
      <c r="R361" s="184"/>
      <c r="S361" s="17"/>
      <c r="T361" s="17"/>
      <c r="U361" s="17"/>
      <c r="V361" s="17"/>
    </row>
    <row r="362">
      <c r="A362" s="337"/>
      <c r="B362" s="164"/>
      <c r="C362" s="337"/>
      <c r="D362" s="164"/>
      <c r="E362" s="337"/>
      <c r="F362" s="164"/>
      <c r="G362" s="337"/>
      <c r="H362" s="164"/>
      <c r="I362" s="365"/>
      <c r="J362" s="184"/>
      <c r="K362" s="365"/>
      <c r="L362" s="184"/>
      <c r="M362" s="337"/>
      <c r="N362" s="164"/>
      <c r="O362" s="337"/>
      <c r="P362" s="164"/>
      <c r="Q362" s="365"/>
      <c r="R362" s="184"/>
      <c r="S362" s="17"/>
      <c r="T362" s="17"/>
      <c r="U362" s="17"/>
      <c r="V362" s="17"/>
    </row>
    <row r="363">
      <c r="A363" s="337"/>
      <c r="B363" s="164"/>
      <c r="C363" s="337"/>
      <c r="D363" s="164"/>
      <c r="E363" s="337"/>
      <c r="F363" s="164"/>
      <c r="G363" s="337"/>
      <c r="H363" s="164"/>
      <c r="I363" s="365"/>
      <c r="J363" s="184"/>
      <c r="K363" s="365"/>
      <c r="L363" s="184"/>
      <c r="M363" s="337"/>
      <c r="N363" s="164"/>
      <c r="O363" s="337"/>
      <c r="P363" s="164"/>
      <c r="Q363" s="365"/>
      <c r="R363" s="184"/>
      <c r="S363" s="17"/>
      <c r="T363" s="17"/>
      <c r="U363" s="17"/>
      <c r="V363" s="17"/>
    </row>
    <row r="364">
      <c r="A364" s="337"/>
      <c r="B364" s="164"/>
      <c r="C364" s="337"/>
      <c r="D364" s="164"/>
      <c r="E364" s="337"/>
      <c r="F364" s="164"/>
      <c r="G364" s="337"/>
      <c r="H364" s="164"/>
      <c r="I364" s="365"/>
      <c r="J364" s="184"/>
      <c r="K364" s="365"/>
      <c r="L364" s="184"/>
      <c r="M364" s="337"/>
      <c r="N364" s="164"/>
      <c r="O364" s="337"/>
      <c r="P364" s="164"/>
      <c r="Q364" s="365"/>
      <c r="R364" s="184"/>
      <c r="S364" s="17"/>
      <c r="T364" s="17"/>
      <c r="U364" s="17"/>
      <c r="V364" s="17"/>
    </row>
    <row r="365">
      <c r="A365" s="337"/>
      <c r="B365" s="164"/>
      <c r="C365" s="337"/>
      <c r="D365" s="164"/>
      <c r="E365" s="337"/>
      <c r="F365" s="164"/>
      <c r="G365" s="337"/>
      <c r="H365" s="164"/>
      <c r="I365" s="365"/>
      <c r="J365" s="184"/>
      <c r="K365" s="365"/>
      <c r="L365" s="184"/>
      <c r="M365" s="337"/>
      <c r="N365" s="164"/>
      <c r="O365" s="337"/>
      <c r="P365" s="164"/>
      <c r="Q365" s="365"/>
      <c r="R365" s="184"/>
      <c r="S365" s="17"/>
      <c r="T365" s="17"/>
      <c r="U365" s="17"/>
      <c r="V365" s="17"/>
    </row>
    <row r="366">
      <c r="A366" s="337"/>
      <c r="B366" s="164"/>
      <c r="C366" s="337"/>
      <c r="D366" s="164"/>
      <c r="E366" s="337"/>
      <c r="F366" s="164"/>
      <c r="G366" s="337"/>
      <c r="H366" s="164"/>
      <c r="I366" s="365"/>
      <c r="J366" s="184"/>
      <c r="K366" s="365"/>
      <c r="L366" s="184"/>
      <c r="M366" s="337"/>
      <c r="N366" s="164"/>
      <c r="O366" s="337"/>
      <c r="P366" s="164"/>
      <c r="Q366" s="365"/>
      <c r="R366" s="184"/>
      <c r="S366" s="17"/>
      <c r="T366" s="17"/>
      <c r="U366" s="17"/>
      <c r="V366" s="17"/>
    </row>
    <row r="367">
      <c r="A367" s="337"/>
      <c r="B367" s="164"/>
      <c r="C367" s="337"/>
      <c r="D367" s="164"/>
      <c r="E367" s="337"/>
      <c r="F367" s="164"/>
      <c r="G367" s="337"/>
      <c r="H367" s="164"/>
      <c r="I367" s="365"/>
      <c r="J367" s="184"/>
      <c r="K367" s="365"/>
      <c r="L367" s="184"/>
      <c r="M367" s="337"/>
      <c r="N367" s="164"/>
      <c r="O367" s="337"/>
      <c r="P367" s="164"/>
      <c r="Q367" s="365"/>
      <c r="R367" s="184"/>
      <c r="S367" s="17"/>
      <c r="T367" s="17"/>
      <c r="U367" s="17"/>
      <c r="V367" s="17"/>
    </row>
    <row r="368">
      <c r="A368" s="337"/>
      <c r="B368" s="164"/>
      <c r="C368" s="337"/>
      <c r="D368" s="164"/>
      <c r="E368" s="337"/>
      <c r="F368" s="164"/>
      <c r="G368" s="337"/>
      <c r="H368" s="164"/>
      <c r="I368" s="365"/>
      <c r="J368" s="184"/>
      <c r="K368" s="365"/>
      <c r="L368" s="184"/>
      <c r="M368" s="337"/>
      <c r="N368" s="164"/>
      <c r="O368" s="337"/>
      <c r="P368" s="164"/>
      <c r="Q368" s="365"/>
      <c r="R368" s="184"/>
      <c r="S368" s="17"/>
      <c r="T368" s="17"/>
      <c r="U368" s="17"/>
      <c r="V368" s="17"/>
    </row>
    <row r="369">
      <c r="A369" s="337"/>
      <c r="B369" s="164"/>
      <c r="C369" s="337"/>
      <c r="D369" s="164"/>
      <c r="E369" s="337"/>
      <c r="F369" s="164"/>
      <c r="G369" s="337"/>
      <c r="H369" s="164"/>
      <c r="I369" s="365"/>
      <c r="J369" s="184"/>
      <c r="K369" s="365"/>
      <c r="L369" s="184"/>
      <c r="M369" s="337"/>
      <c r="N369" s="164"/>
      <c r="O369" s="337"/>
      <c r="P369" s="164"/>
      <c r="Q369" s="365"/>
      <c r="R369" s="184"/>
      <c r="S369" s="17"/>
      <c r="T369" s="17"/>
      <c r="U369" s="17"/>
      <c r="V369" s="17"/>
    </row>
    <row r="370">
      <c r="A370" s="337"/>
      <c r="B370" s="164"/>
      <c r="C370" s="337"/>
      <c r="D370" s="164"/>
      <c r="E370" s="337"/>
      <c r="F370" s="164"/>
      <c r="G370" s="337"/>
      <c r="H370" s="164"/>
      <c r="I370" s="365"/>
      <c r="J370" s="184"/>
      <c r="K370" s="365"/>
      <c r="L370" s="184"/>
      <c r="M370" s="337"/>
      <c r="N370" s="164"/>
      <c r="O370" s="337"/>
      <c r="P370" s="164"/>
      <c r="Q370" s="365"/>
      <c r="R370" s="184"/>
      <c r="S370" s="17"/>
      <c r="T370" s="17"/>
      <c r="U370" s="17"/>
      <c r="V370" s="17"/>
    </row>
    <row r="371">
      <c r="A371" s="337"/>
      <c r="B371" s="164"/>
      <c r="C371" s="337"/>
      <c r="D371" s="164"/>
      <c r="E371" s="337"/>
      <c r="F371" s="164"/>
      <c r="G371" s="337"/>
      <c r="H371" s="164"/>
      <c r="I371" s="365"/>
      <c r="J371" s="184"/>
      <c r="K371" s="365"/>
      <c r="L371" s="184"/>
      <c r="M371" s="337"/>
      <c r="N371" s="164"/>
      <c r="O371" s="337"/>
      <c r="P371" s="164"/>
      <c r="Q371" s="365"/>
      <c r="R371" s="184"/>
      <c r="S371" s="17"/>
      <c r="T371" s="17"/>
      <c r="U371" s="17"/>
      <c r="V371" s="17"/>
    </row>
    <row r="372">
      <c r="A372" s="337"/>
      <c r="B372" s="164"/>
      <c r="C372" s="337"/>
      <c r="D372" s="164"/>
      <c r="E372" s="337"/>
      <c r="F372" s="164"/>
      <c r="G372" s="337"/>
      <c r="H372" s="164"/>
      <c r="I372" s="365"/>
      <c r="J372" s="184"/>
      <c r="K372" s="365"/>
      <c r="L372" s="184"/>
      <c r="M372" s="337"/>
      <c r="N372" s="164"/>
      <c r="O372" s="337"/>
      <c r="P372" s="164"/>
      <c r="Q372" s="365"/>
      <c r="R372" s="184"/>
      <c r="S372" s="17"/>
      <c r="T372" s="17"/>
      <c r="U372" s="17"/>
      <c r="V372" s="17"/>
    </row>
    <row r="373">
      <c r="A373" s="337"/>
      <c r="B373" s="164"/>
      <c r="C373" s="337"/>
      <c r="D373" s="164"/>
      <c r="E373" s="337"/>
      <c r="F373" s="164"/>
      <c r="G373" s="337"/>
      <c r="H373" s="164"/>
      <c r="I373" s="365"/>
      <c r="J373" s="184"/>
      <c r="K373" s="365"/>
      <c r="L373" s="184"/>
      <c r="M373" s="337"/>
      <c r="N373" s="164"/>
      <c r="O373" s="337"/>
      <c r="P373" s="164"/>
      <c r="Q373" s="365"/>
      <c r="R373" s="184"/>
      <c r="S373" s="17"/>
      <c r="T373" s="17"/>
      <c r="U373" s="17"/>
      <c r="V373" s="17"/>
    </row>
    <row r="374">
      <c r="A374" s="337"/>
      <c r="B374" s="164"/>
      <c r="C374" s="337"/>
      <c r="D374" s="164"/>
      <c r="E374" s="337"/>
      <c r="F374" s="164"/>
      <c r="G374" s="337"/>
      <c r="H374" s="164"/>
      <c r="I374" s="365"/>
      <c r="J374" s="184"/>
      <c r="K374" s="365"/>
      <c r="L374" s="184"/>
      <c r="M374" s="337"/>
      <c r="N374" s="164"/>
      <c r="O374" s="337"/>
      <c r="P374" s="164"/>
      <c r="Q374" s="365"/>
      <c r="R374" s="184"/>
      <c r="S374" s="17"/>
      <c r="T374" s="17"/>
      <c r="U374" s="17"/>
      <c r="V374" s="17"/>
    </row>
    <row r="375">
      <c r="A375" s="337"/>
      <c r="B375" s="164"/>
      <c r="C375" s="337"/>
      <c r="D375" s="164"/>
      <c r="E375" s="337"/>
      <c r="F375" s="164"/>
      <c r="G375" s="337"/>
      <c r="H375" s="164"/>
      <c r="I375" s="365"/>
      <c r="J375" s="184"/>
      <c r="K375" s="365"/>
      <c r="L375" s="184"/>
      <c r="M375" s="337"/>
      <c r="N375" s="164"/>
      <c r="O375" s="337"/>
      <c r="P375" s="164"/>
      <c r="Q375" s="365"/>
      <c r="R375" s="184"/>
      <c r="S375" s="17"/>
      <c r="T375" s="17"/>
      <c r="U375" s="17"/>
      <c r="V375" s="17"/>
    </row>
    <row r="376">
      <c r="A376" s="337"/>
      <c r="B376" s="164"/>
      <c r="C376" s="337"/>
      <c r="D376" s="164"/>
      <c r="E376" s="337"/>
      <c r="F376" s="164"/>
      <c r="G376" s="337"/>
      <c r="H376" s="164"/>
      <c r="I376" s="365"/>
      <c r="J376" s="184"/>
      <c r="K376" s="365"/>
      <c r="L376" s="184"/>
      <c r="M376" s="337"/>
      <c r="N376" s="164"/>
      <c r="O376" s="337"/>
      <c r="P376" s="164"/>
      <c r="Q376" s="365"/>
      <c r="R376" s="184"/>
      <c r="S376" s="17"/>
      <c r="T376" s="17"/>
      <c r="U376" s="17"/>
      <c r="V376" s="17"/>
    </row>
    <row r="377">
      <c r="A377" s="337"/>
      <c r="B377" s="164"/>
      <c r="C377" s="337"/>
      <c r="D377" s="164"/>
      <c r="E377" s="337"/>
      <c r="F377" s="164"/>
      <c r="G377" s="337"/>
      <c r="H377" s="164"/>
      <c r="I377" s="365"/>
      <c r="J377" s="184"/>
      <c r="K377" s="365"/>
      <c r="L377" s="184"/>
      <c r="M377" s="337"/>
      <c r="N377" s="164"/>
      <c r="O377" s="337"/>
      <c r="P377" s="164"/>
      <c r="Q377" s="365"/>
      <c r="R377" s="184"/>
      <c r="S377" s="17"/>
      <c r="T377" s="17"/>
      <c r="U377" s="17"/>
      <c r="V377" s="17"/>
    </row>
    <row r="378">
      <c r="A378" s="337"/>
      <c r="B378" s="164"/>
      <c r="C378" s="337"/>
      <c r="D378" s="164"/>
      <c r="E378" s="337"/>
      <c r="F378" s="164"/>
      <c r="G378" s="337"/>
      <c r="H378" s="164"/>
      <c r="I378" s="365"/>
      <c r="J378" s="184"/>
      <c r="K378" s="365"/>
      <c r="L378" s="184"/>
      <c r="M378" s="337"/>
      <c r="N378" s="164"/>
      <c r="O378" s="337"/>
      <c r="P378" s="164"/>
      <c r="Q378" s="365"/>
      <c r="R378" s="184"/>
      <c r="S378" s="17"/>
      <c r="T378" s="17"/>
      <c r="U378" s="17"/>
      <c r="V378" s="17"/>
    </row>
    <row r="379">
      <c r="A379" s="337"/>
      <c r="B379" s="164"/>
      <c r="C379" s="337"/>
      <c r="D379" s="164"/>
      <c r="E379" s="337"/>
      <c r="F379" s="164"/>
      <c r="G379" s="337"/>
      <c r="H379" s="164"/>
      <c r="I379" s="365"/>
      <c r="J379" s="184"/>
      <c r="K379" s="365"/>
      <c r="L379" s="184"/>
      <c r="M379" s="337"/>
      <c r="N379" s="164"/>
      <c r="O379" s="337"/>
      <c r="P379" s="164"/>
      <c r="Q379" s="365"/>
      <c r="R379" s="184"/>
      <c r="S379" s="17"/>
      <c r="T379" s="17"/>
      <c r="U379" s="17"/>
      <c r="V379" s="17"/>
    </row>
    <row r="380">
      <c r="A380" s="337"/>
      <c r="B380" s="164"/>
      <c r="C380" s="337"/>
      <c r="D380" s="164"/>
      <c r="E380" s="337"/>
      <c r="F380" s="164"/>
      <c r="G380" s="337"/>
      <c r="H380" s="164"/>
      <c r="I380" s="365"/>
      <c r="J380" s="184"/>
      <c r="K380" s="365"/>
      <c r="L380" s="184"/>
      <c r="M380" s="337"/>
      <c r="N380" s="164"/>
      <c r="O380" s="337"/>
      <c r="P380" s="164"/>
      <c r="Q380" s="365"/>
      <c r="R380" s="184"/>
      <c r="S380" s="17"/>
      <c r="T380" s="17"/>
      <c r="U380" s="17"/>
      <c r="V380" s="17"/>
    </row>
    <row r="381">
      <c r="A381" s="337"/>
      <c r="B381" s="164"/>
      <c r="C381" s="337"/>
      <c r="D381" s="164"/>
      <c r="E381" s="337"/>
      <c r="F381" s="164"/>
      <c r="G381" s="337"/>
      <c r="H381" s="164"/>
      <c r="I381" s="365"/>
      <c r="J381" s="184"/>
      <c r="K381" s="365"/>
      <c r="L381" s="184"/>
      <c r="M381" s="337"/>
      <c r="N381" s="164"/>
      <c r="O381" s="337"/>
      <c r="P381" s="164"/>
      <c r="Q381" s="365"/>
      <c r="R381" s="184"/>
      <c r="S381" s="17"/>
      <c r="T381" s="17"/>
      <c r="U381" s="17"/>
      <c r="V381" s="17"/>
    </row>
    <row r="382">
      <c r="A382" s="337"/>
      <c r="B382" s="164"/>
      <c r="C382" s="337"/>
      <c r="D382" s="164"/>
      <c r="E382" s="337"/>
      <c r="F382" s="164"/>
      <c r="G382" s="337"/>
      <c r="H382" s="164"/>
      <c r="I382" s="365"/>
      <c r="J382" s="184"/>
      <c r="K382" s="365"/>
      <c r="L382" s="184"/>
      <c r="M382" s="337"/>
      <c r="N382" s="164"/>
      <c r="O382" s="337"/>
      <c r="P382" s="164"/>
      <c r="Q382" s="365"/>
      <c r="R382" s="184"/>
      <c r="S382" s="17"/>
      <c r="T382" s="17"/>
      <c r="U382" s="17"/>
      <c r="V382" s="17"/>
    </row>
    <row r="383">
      <c r="A383" s="337"/>
      <c r="B383" s="164"/>
      <c r="C383" s="337"/>
      <c r="D383" s="164"/>
      <c r="E383" s="337"/>
      <c r="F383" s="164"/>
      <c r="G383" s="337"/>
      <c r="H383" s="164"/>
      <c r="I383" s="365"/>
      <c r="J383" s="184"/>
      <c r="K383" s="365"/>
      <c r="L383" s="184"/>
      <c r="M383" s="337"/>
      <c r="N383" s="164"/>
      <c r="O383" s="337"/>
      <c r="P383" s="164"/>
      <c r="Q383" s="365"/>
      <c r="R383" s="184"/>
      <c r="S383" s="17"/>
      <c r="T383" s="17"/>
      <c r="U383" s="17"/>
      <c r="V383" s="17"/>
    </row>
    <row r="384">
      <c r="A384" s="337"/>
      <c r="B384" s="164"/>
      <c r="C384" s="337"/>
      <c r="D384" s="164"/>
      <c r="E384" s="337"/>
      <c r="F384" s="164"/>
      <c r="G384" s="337"/>
      <c r="H384" s="164"/>
      <c r="I384" s="365"/>
      <c r="J384" s="184"/>
      <c r="K384" s="365"/>
      <c r="L384" s="184"/>
      <c r="M384" s="337"/>
      <c r="N384" s="164"/>
      <c r="O384" s="337"/>
      <c r="P384" s="164"/>
      <c r="Q384" s="365"/>
      <c r="R384" s="184"/>
      <c r="S384" s="17"/>
      <c r="T384" s="17"/>
      <c r="U384" s="17"/>
      <c r="V384" s="17"/>
    </row>
    <row r="385">
      <c r="A385" s="337"/>
      <c r="B385" s="164"/>
      <c r="C385" s="337"/>
      <c r="D385" s="164"/>
      <c r="E385" s="337"/>
      <c r="F385" s="164"/>
      <c r="G385" s="337"/>
      <c r="H385" s="164"/>
      <c r="I385" s="365"/>
      <c r="J385" s="184"/>
      <c r="K385" s="365"/>
      <c r="L385" s="184"/>
      <c r="M385" s="337"/>
      <c r="N385" s="164"/>
      <c r="O385" s="337"/>
      <c r="P385" s="164"/>
      <c r="Q385" s="365"/>
      <c r="R385" s="184"/>
      <c r="S385" s="17"/>
      <c r="T385" s="17"/>
      <c r="U385" s="17"/>
      <c r="V385" s="17"/>
    </row>
    <row r="386">
      <c r="A386" s="337"/>
      <c r="B386" s="164"/>
      <c r="C386" s="337"/>
      <c r="D386" s="164"/>
      <c r="E386" s="337"/>
      <c r="F386" s="164"/>
      <c r="G386" s="337"/>
      <c r="H386" s="164"/>
      <c r="I386" s="365"/>
      <c r="J386" s="184"/>
      <c r="K386" s="365"/>
      <c r="L386" s="184"/>
      <c r="M386" s="337"/>
      <c r="N386" s="164"/>
      <c r="O386" s="337"/>
      <c r="P386" s="164"/>
      <c r="Q386" s="365"/>
      <c r="R386" s="184"/>
      <c r="S386" s="17"/>
      <c r="T386" s="17"/>
      <c r="U386" s="17"/>
      <c r="V386" s="17"/>
    </row>
    <row r="387">
      <c r="A387" s="337"/>
      <c r="B387" s="164"/>
      <c r="C387" s="337"/>
      <c r="D387" s="164"/>
      <c r="E387" s="337"/>
      <c r="F387" s="164"/>
      <c r="G387" s="337"/>
      <c r="H387" s="164"/>
      <c r="I387" s="365"/>
      <c r="J387" s="184"/>
      <c r="K387" s="365"/>
      <c r="L387" s="184"/>
      <c r="M387" s="337"/>
      <c r="N387" s="164"/>
      <c r="O387" s="337"/>
      <c r="P387" s="164"/>
      <c r="Q387" s="365"/>
      <c r="R387" s="184"/>
      <c r="S387" s="17"/>
      <c r="T387" s="17"/>
      <c r="U387" s="17"/>
      <c r="V387" s="17"/>
    </row>
    <row r="388">
      <c r="A388" s="337"/>
      <c r="B388" s="164"/>
      <c r="C388" s="337"/>
      <c r="D388" s="164"/>
      <c r="E388" s="337"/>
      <c r="F388" s="164"/>
      <c r="G388" s="337"/>
      <c r="H388" s="164"/>
      <c r="I388" s="365"/>
      <c r="J388" s="184"/>
      <c r="K388" s="365"/>
      <c r="L388" s="184"/>
      <c r="M388" s="337"/>
      <c r="N388" s="164"/>
      <c r="O388" s="337"/>
      <c r="P388" s="164"/>
      <c r="Q388" s="365"/>
      <c r="R388" s="184"/>
      <c r="S388" s="17"/>
      <c r="T388" s="17"/>
      <c r="U388" s="17"/>
      <c r="V388" s="17"/>
    </row>
    <row r="389">
      <c r="A389" s="337"/>
      <c r="B389" s="164"/>
      <c r="C389" s="337"/>
      <c r="D389" s="164"/>
      <c r="E389" s="337"/>
      <c r="F389" s="164"/>
      <c r="G389" s="337"/>
      <c r="H389" s="164"/>
      <c r="I389" s="365"/>
      <c r="J389" s="184"/>
      <c r="K389" s="365"/>
      <c r="L389" s="184"/>
      <c r="M389" s="337"/>
      <c r="N389" s="164"/>
      <c r="O389" s="337"/>
      <c r="P389" s="164"/>
      <c r="Q389" s="365"/>
      <c r="R389" s="184"/>
      <c r="S389" s="17"/>
      <c r="T389" s="17"/>
      <c r="U389" s="17"/>
      <c r="V389" s="17"/>
    </row>
    <row r="390">
      <c r="A390" s="337"/>
      <c r="B390" s="164"/>
      <c r="C390" s="337"/>
      <c r="D390" s="164"/>
      <c r="E390" s="337"/>
      <c r="F390" s="164"/>
      <c r="G390" s="337"/>
      <c r="H390" s="164"/>
      <c r="I390" s="365"/>
      <c r="J390" s="184"/>
      <c r="K390" s="365"/>
      <c r="L390" s="184"/>
      <c r="M390" s="337"/>
      <c r="N390" s="164"/>
      <c r="O390" s="337"/>
      <c r="P390" s="164"/>
      <c r="Q390" s="365"/>
      <c r="R390" s="366"/>
      <c r="S390" s="17"/>
      <c r="T390" s="17"/>
      <c r="U390" s="17"/>
      <c r="V390" s="17"/>
    </row>
    <row r="391">
      <c r="A391" s="337"/>
      <c r="B391" s="164"/>
      <c r="C391" s="337"/>
      <c r="D391" s="164"/>
      <c r="E391" s="337"/>
      <c r="F391" s="164"/>
      <c r="G391" s="337"/>
      <c r="H391" s="164"/>
      <c r="I391" s="365"/>
      <c r="J391" s="184"/>
      <c r="K391" s="365"/>
      <c r="L391" s="184"/>
      <c r="M391" s="337"/>
      <c r="N391" s="164"/>
      <c r="O391" s="337"/>
      <c r="P391" s="164"/>
      <c r="Q391" s="365"/>
      <c r="R391" s="366"/>
      <c r="S391" s="17"/>
      <c r="T391" s="17"/>
      <c r="U391" s="17"/>
      <c r="V391" s="17"/>
    </row>
    <row r="392">
      <c r="A392" s="337"/>
      <c r="B392" s="164"/>
      <c r="C392" s="337"/>
      <c r="D392" s="164"/>
      <c r="E392" s="337"/>
      <c r="F392" s="164"/>
      <c r="G392" s="337"/>
      <c r="H392" s="164"/>
      <c r="I392" s="365"/>
      <c r="J392" s="184"/>
      <c r="K392" s="365"/>
      <c r="L392" s="184"/>
      <c r="M392" s="337"/>
      <c r="N392" s="164"/>
      <c r="O392" s="337"/>
      <c r="P392" s="164"/>
      <c r="Q392" s="365"/>
      <c r="R392" s="366"/>
      <c r="S392" s="17"/>
      <c r="T392" s="17"/>
      <c r="U392" s="17"/>
      <c r="V392" s="17"/>
    </row>
    <row r="393">
      <c r="A393" s="337"/>
      <c r="B393" s="164"/>
      <c r="C393" s="337"/>
      <c r="D393" s="164"/>
      <c r="E393" s="337"/>
      <c r="F393" s="164"/>
      <c r="G393" s="337"/>
      <c r="H393" s="164"/>
      <c r="I393" s="365"/>
      <c r="J393" s="184"/>
      <c r="K393" s="365"/>
      <c r="L393" s="184"/>
      <c r="M393" s="337"/>
      <c r="N393" s="164"/>
      <c r="O393" s="337"/>
      <c r="P393" s="164"/>
      <c r="Q393" s="365"/>
      <c r="R393" s="366"/>
      <c r="S393" s="17"/>
      <c r="T393" s="17"/>
      <c r="U393" s="17"/>
      <c r="V393" s="17"/>
    </row>
    <row r="394">
      <c r="A394" s="337"/>
      <c r="B394" s="164"/>
      <c r="C394" s="337"/>
      <c r="D394" s="164"/>
      <c r="E394" s="337"/>
      <c r="F394" s="164"/>
      <c r="G394" s="337"/>
      <c r="H394" s="164"/>
      <c r="I394" s="365"/>
      <c r="J394" s="184"/>
      <c r="K394" s="365"/>
      <c r="L394" s="184"/>
      <c r="M394" s="337"/>
      <c r="N394" s="164"/>
      <c r="O394" s="337"/>
      <c r="P394" s="164"/>
      <c r="Q394" s="365"/>
      <c r="R394" s="366"/>
      <c r="S394" s="17"/>
      <c r="T394" s="17"/>
      <c r="U394" s="17"/>
      <c r="V394" s="17"/>
    </row>
    <row r="395">
      <c r="A395" s="337"/>
      <c r="B395" s="164"/>
      <c r="C395" s="337"/>
      <c r="D395" s="164"/>
      <c r="E395" s="337"/>
      <c r="F395" s="164"/>
      <c r="G395" s="337"/>
      <c r="H395" s="164"/>
      <c r="I395" s="365"/>
      <c r="J395" s="184"/>
      <c r="K395" s="365"/>
      <c r="L395" s="184"/>
      <c r="M395" s="337"/>
      <c r="N395" s="164"/>
      <c r="O395" s="337"/>
      <c r="P395" s="164"/>
      <c r="Q395" s="365"/>
      <c r="R395" s="366"/>
      <c r="S395" s="17"/>
      <c r="T395" s="17"/>
      <c r="U395" s="17"/>
      <c r="V395" s="17"/>
    </row>
    <row r="396">
      <c r="A396" s="337"/>
      <c r="B396" s="164"/>
      <c r="C396" s="337"/>
      <c r="D396" s="164"/>
      <c r="E396" s="337"/>
      <c r="F396" s="164"/>
      <c r="G396" s="337"/>
      <c r="H396" s="164"/>
      <c r="I396" s="365"/>
      <c r="J396" s="184"/>
      <c r="K396" s="365"/>
      <c r="L396" s="184"/>
      <c r="M396" s="337"/>
      <c r="N396" s="164"/>
      <c r="O396" s="337"/>
      <c r="P396" s="164"/>
      <c r="Q396" s="365"/>
      <c r="R396" s="366"/>
      <c r="S396" s="17"/>
      <c r="T396" s="17"/>
      <c r="U396" s="17"/>
      <c r="V396" s="17"/>
    </row>
    <row r="397">
      <c r="A397" s="337"/>
      <c r="B397" s="164"/>
      <c r="C397" s="337"/>
      <c r="D397" s="164"/>
      <c r="E397" s="337"/>
      <c r="F397" s="164"/>
      <c r="G397" s="337"/>
      <c r="H397" s="164"/>
      <c r="I397" s="365"/>
      <c r="J397" s="184"/>
      <c r="K397" s="365"/>
      <c r="L397" s="184"/>
      <c r="M397" s="337"/>
      <c r="N397" s="164"/>
      <c r="O397" s="337"/>
      <c r="P397" s="164"/>
      <c r="Q397" s="365"/>
      <c r="R397" s="366"/>
      <c r="S397" s="17"/>
      <c r="T397" s="17"/>
      <c r="U397" s="17"/>
      <c r="V397" s="17"/>
    </row>
    <row r="398">
      <c r="A398" s="337"/>
      <c r="B398" s="164"/>
      <c r="C398" s="337"/>
      <c r="D398" s="164"/>
      <c r="E398" s="337"/>
      <c r="F398" s="164"/>
      <c r="G398" s="337"/>
      <c r="H398" s="164"/>
      <c r="I398" s="365"/>
      <c r="J398" s="184"/>
      <c r="K398" s="365"/>
      <c r="L398" s="184"/>
      <c r="M398" s="337"/>
      <c r="N398" s="164"/>
      <c r="O398" s="337"/>
      <c r="P398" s="164"/>
      <c r="Q398" s="365"/>
      <c r="R398" s="366"/>
      <c r="S398" s="17"/>
      <c r="T398" s="17"/>
      <c r="U398" s="17"/>
      <c r="V398" s="17"/>
    </row>
    <row r="399">
      <c r="A399" s="337"/>
      <c r="B399" s="164"/>
      <c r="C399" s="337"/>
      <c r="D399" s="164"/>
      <c r="E399" s="337"/>
      <c r="F399" s="164"/>
      <c r="G399" s="337"/>
      <c r="H399" s="164"/>
      <c r="I399" s="365"/>
      <c r="J399" s="184"/>
      <c r="K399" s="365"/>
      <c r="L399" s="184"/>
      <c r="M399" s="337"/>
      <c r="N399" s="164"/>
      <c r="O399" s="337"/>
      <c r="P399" s="164"/>
      <c r="Q399" s="365"/>
      <c r="R399" s="366"/>
      <c r="S399" s="17"/>
      <c r="T399" s="17"/>
      <c r="U399" s="17"/>
      <c r="V399" s="17"/>
    </row>
    <row r="400">
      <c r="A400" s="337"/>
      <c r="B400" s="164"/>
      <c r="C400" s="337"/>
      <c r="D400" s="164"/>
      <c r="E400" s="337"/>
      <c r="F400" s="164"/>
      <c r="G400" s="337"/>
      <c r="H400" s="164"/>
      <c r="I400" s="365"/>
      <c r="J400" s="184"/>
      <c r="K400" s="365"/>
      <c r="L400" s="184"/>
      <c r="M400" s="337"/>
      <c r="N400" s="164"/>
      <c r="O400" s="337"/>
      <c r="P400" s="164"/>
      <c r="Q400" s="365"/>
      <c r="R400" s="366"/>
      <c r="S400" s="17"/>
      <c r="T400" s="17"/>
      <c r="U400" s="17"/>
      <c r="V400" s="17"/>
    </row>
    <row r="401">
      <c r="A401" s="337"/>
      <c r="B401" s="164"/>
      <c r="C401" s="337"/>
      <c r="D401" s="164"/>
      <c r="E401" s="337"/>
      <c r="F401" s="164"/>
      <c r="G401" s="337"/>
      <c r="H401" s="164"/>
      <c r="I401" s="365"/>
      <c r="J401" s="184"/>
      <c r="K401" s="365"/>
      <c r="L401" s="184"/>
      <c r="M401" s="337"/>
      <c r="N401" s="164"/>
      <c r="O401" s="337"/>
      <c r="P401" s="164"/>
      <c r="Q401" s="365"/>
      <c r="R401" s="366"/>
      <c r="S401" s="17"/>
      <c r="T401" s="17"/>
      <c r="U401" s="17"/>
      <c r="V401" s="17"/>
    </row>
    <row r="402">
      <c r="A402" s="337"/>
      <c r="B402" s="164"/>
      <c r="C402" s="337"/>
      <c r="D402" s="164"/>
      <c r="E402" s="337"/>
      <c r="F402" s="164"/>
      <c r="G402" s="337"/>
      <c r="H402" s="164"/>
      <c r="I402" s="365"/>
      <c r="J402" s="184"/>
      <c r="K402" s="365"/>
      <c r="L402" s="184"/>
      <c r="M402" s="337"/>
      <c r="N402" s="164"/>
      <c r="O402" s="337"/>
      <c r="P402" s="164"/>
      <c r="Q402" s="365"/>
      <c r="R402" s="366"/>
      <c r="S402" s="17"/>
      <c r="T402" s="17"/>
      <c r="U402" s="17"/>
      <c r="V402" s="17"/>
    </row>
    <row r="403">
      <c r="A403" s="337"/>
      <c r="B403" s="164"/>
      <c r="C403" s="337"/>
      <c r="D403" s="164"/>
      <c r="E403" s="337"/>
      <c r="F403" s="164"/>
      <c r="G403" s="337"/>
      <c r="H403" s="164"/>
      <c r="I403" s="365"/>
      <c r="J403" s="184"/>
      <c r="K403" s="365"/>
      <c r="L403" s="184"/>
      <c r="M403" s="337"/>
      <c r="N403" s="164"/>
      <c r="O403" s="337"/>
      <c r="P403" s="164"/>
      <c r="Q403" s="365"/>
      <c r="R403" s="366"/>
      <c r="S403" s="17"/>
      <c r="T403" s="17"/>
      <c r="U403" s="17"/>
      <c r="V403" s="17"/>
    </row>
    <row r="404">
      <c r="A404" s="337"/>
      <c r="B404" s="164"/>
      <c r="C404" s="337"/>
      <c r="D404" s="164"/>
      <c r="E404" s="337"/>
      <c r="F404" s="164"/>
      <c r="G404" s="337"/>
      <c r="H404" s="164"/>
      <c r="I404" s="365"/>
      <c r="J404" s="184"/>
      <c r="K404" s="365"/>
      <c r="L404" s="184"/>
      <c r="M404" s="337"/>
      <c r="N404" s="164"/>
      <c r="O404" s="337"/>
      <c r="P404" s="164"/>
      <c r="Q404" s="365"/>
      <c r="R404" s="366"/>
      <c r="S404" s="17"/>
      <c r="T404" s="17"/>
      <c r="U404" s="17"/>
      <c r="V404" s="17"/>
    </row>
    <row r="405">
      <c r="A405" s="337"/>
      <c r="B405" s="164"/>
      <c r="C405" s="337"/>
      <c r="D405" s="164"/>
      <c r="E405" s="337"/>
      <c r="F405" s="164"/>
      <c r="G405" s="337"/>
      <c r="H405" s="164"/>
      <c r="I405" s="365"/>
      <c r="J405" s="184"/>
      <c r="K405" s="365"/>
      <c r="L405" s="184"/>
      <c r="M405" s="337"/>
      <c r="N405" s="164"/>
      <c r="O405" s="337"/>
      <c r="P405" s="164"/>
      <c r="Q405" s="365"/>
      <c r="R405" s="366"/>
      <c r="S405" s="17"/>
      <c r="T405" s="17"/>
      <c r="U405" s="17"/>
      <c r="V405" s="17"/>
    </row>
    <row r="406">
      <c r="A406" s="337"/>
      <c r="B406" s="164"/>
      <c r="C406" s="337"/>
      <c r="D406" s="164"/>
      <c r="E406" s="337"/>
      <c r="F406" s="164"/>
      <c r="G406" s="337"/>
      <c r="H406" s="164"/>
      <c r="I406" s="365"/>
      <c r="J406" s="184"/>
      <c r="K406" s="365"/>
      <c r="L406" s="184"/>
      <c r="M406" s="337"/>
      <c r="N406" s="164"/>
      <c r="O406" s="337"/>
      <c r="P406" s="164"/>
      <c r="Q406" s="365"/>
      <c r="R406" s="366"/>
      <c r="S406" s="17"/>
      <c r="T406" s="17"/>
      <c r="U406" s="17"/>
      <c r="V406" s="17"/>
    </row>
    <row r="407">
      <c r="A407" s="337"/>
      <c r="B407" s="164"/>
      <c r="C407" s="337"/>
      <c r="D407" s="164"/>
      <c r="E407" s="337"/>
      <c r="F407" s="164"/>
      <c r="G407" s="337"/>
      <c r="H407" s="164"/>
      <c r="I407" s="365"/>
      <c r="J407" s="184"/>
      <c r="K407" s="365"/>
      <c r="L407" s="184"/>
      <c r="M407" s="337"/>
      <c r="N407" s="164"/>
      <c r="O407" s="337"/>
      <c r="P407" s="164"/>
      <c r="Q407" s="365"/>
      <c r="R407" s="366"/>
      <c r="S407" s="17"/>
      <c r="T407" s="17"/>
      <c r="U407" s="17"/>
      <c r="V407" s="17"/>
    </row>
    <row r="408">
      <c r="A408" s="337"/>
      <c r="B408" s="164"/>
      <c r="C408" s="337"/>
      <c r="D408" s="164"/>
      <c r="E408" s="337"/>
      <c r="F408" s="164"/>
      <c r="G408" s="337"/>
      <c r="H408" s="164"/>
      <c r="I408" s="365"/>
      <c r="J408" s="184"/>
      <c r="K408" s="365"/>
      <c r="L408" s="184"/>
      <c r="M408" s="337"/>
      <c r="N408" s="164"/>
      <c r="O408" s="337"/>
      <c r="P408" s="164"/>
      <c r="Q408" s="365"/>
      <c r="R408" s="366"/>
      <c r="S408" s="17"/>
      <c r="T408" s="17"/>
      <c r="U408" s="17"/>
      <c r="V408" s="17"/>
    </row>
    <row r="409">
      <c r="A409" s="337"/>
      <c r="B409" s="164"/>
      <c r="C409" s="337"/>
      <c r="D409" s="164"/>
      <c r="E409" s="337"/>
      <c r="F409" s="164"/>
      <c r="G409" s="337"/>
      <c r="H409" s="164"/>
      <c r="I409" s="365"/>
      <c r="J409" s="184"/>
      <c r="K409" s="365"/>
      <c r="L409" s="184"/>
      <c r="M409" s="337"/>
      <c r="N409" s="164"/>
      <c r="O409" s="337"/>
      <c r="P409" s="164"/>
      <c r="Q409" s="365"/>
      <c r="R409" s="366"/>
      <c r="S409" s="17"/>
      <c r="T409" s="17"/>
      <c r="U409" s="17"/>
      <c r="V409" s="17"/>
    </row>
    <row r="410">
      <c r="A410" s="337"/>
      <c r="B410" s="164"/>
      <c r="C410" s="337"/>
      <c r="D410" s="164"/>
      <c r="E410" s="337"/>
      <c r="F410" s="164"/>
      <c r="G410" s="337"/>
      <c r="H410" s="164"/>
      <c r="I410" s="365"/>
      <c r="J410" s="184"/>
      <c r="K410" s="365"/>
      <c r="L410" s="184"/>
      <c r="M410" s="337"/>
      <c r="N410" s="164"/>
      <c r="O410" s="337"/>
      <c r="P410" s="164"/>
      <c r="Q410" s="365"/>
      <c r="R410" s="366"/>
      <c r="S410" s="17"/>
      <c r="T410" s="17"/>
      <c r="U410" s="17"/>
      <c r="V410" s="17"/>
    </row>
    <row r="411">
      <c r="A411" s="337"/>
      <c r="B411" s="164"/>
      <c r="C411" s="337"/>
      <c r="D411" s="164"/>
      <c r="E411" s="337"/>
      <c r="F411" s="164"/>
      <c r="G411" s="337"/>
      <c r="H411" s="164"/>
      <c r="I411" s="365"/>
      <c r="J411" s="184"/>
      <c r="K411" s="365"/>
      <c r="L411" s="184"/>
      <c r="M411" s="337"/>
      <c r="N411" s="164"/>
      <c r="O411" s="337"/>
      <c r="P411" s="164"/>
      <c r="Q411" s="365"/>
      <c r="R411" s="366"/>
      <c r="S411" s="17"/>
      <c r="T411" s="17"/>
      <c r="U411" s="17"/>
      <c r="V411" s="17"/>
    </row>
    <row r="412">
      <c r="A412" s="337"/>
      <c r="B412" s="164"/>
      <c r="C412" s="337"/>
      <c r="D412" s="164"/>
      <c r="E412" s="337"/>
      <c r="F412" s="164"/>
      <c r="G412" s="337"/>
      <c r="H412" s="164"/>
      <c r="I412" s="365"/>
      <c r="J412" s="184"/>
      <c r="K412" s="365"/>
      <c r="L412" s="184"/>
      <c r="M412" s="337"/>
      <c r="N412" s="164"/>
      <c r="O412" s="337"/>
      <c r="P412" s="164"/>
      <c r="Q412" s="365"/>
      <c r="R412" s="366"/>
      <c r="S412" s="17"/>
      <c r="T412" s="17"/>
      <c r="U412" s="17"/>
      <c r="V412" s="17"/>
    </row>
    <row r="413">
      <c r="A413" s="337"/>
      <c r="B413" s="164"/>
      <c r="C413" s="337"/>
      <c r="D413" s="164"/>
      <c r="E413" s="337"/>
      <c r="F413" s="164"/>
      <c r="G413" s="337"/>
      <c r="H413" s="164"/>
      <c r="I413" s="365"/>
      <c r="J413" s="184"/>
      <c r="K413" s="365"/>
      <c r="L413" s="184"/>
      <c r="M413" s="337"/>
      <c r="N413" s="164"/>
      <c r="O413" s="337"/>
      <c r="P413" s="164"/>
      <c r="Q413" s="365"/>
      <c r="R413" s="366"/>
      <c r="S413" s="17"/>
      <c r="T413" s="17"/>
      <c r="U413" s="17"/>
      <c r="V413" s="17"/>
    </row>
    <row r="414">
      <c r="A414" s="337"/>
      <c r="B414" s="164"/>
      <c r="C414" s="337"/>
      <c r="D414" s="164"/>
      <c r="E414" s="337"/>
      <c r="F414" s="164"/>
      <c r="G414" s="337"/>
      <c r="H414" s="164"/>
      <c r="I414" s="365"/>
      <c r="J414" s="184"/>
      <c r="K414" s="365"/>
      <c r="L414" s="184"/>
      <c r="M414" s="337"/>
      <c r="N414" s="164"/>
      <c r="O414" s="337"/>
      <c r="P414" s="164"/>
      <c r="Q414" s="365"/>
      <c r="R414" s="366"/>
      <c r="S414" s="17"/>
      <c r="T414" s="17"/>
      <c r="U414" s="17"/>
      <c r="V414" s="17"/>
    </row>
    <row r="415">
      <c r="A415" s="337"/>
      <c r="B415" s="164"/>
      <c r="C415" s="337"/>
      <c r="D415" s="164"/>
      <c r="E415" s="337"/>
      <c r="F415" s="164"/>
      <c r="G415" s="337"/>
      <c r="H415" s="164"/>
      <c r="I415" s="365"/>
      <c r="J415" s="184"/>
      <c r="K415" s="365"/>
      <c r="L415" s="184"/>
      <c r="M415" s="337"/>
      <c r="N415" s="164"/>
      <c r="O415" s="337"/>
      <c r="P415" s="164"/>
      <c r="Q415" s="365"/>
      <c r="R415" s="366"/>
      <c r="S415" s="17"/>
      <c r="T415" s="17"/>
      <c r="U415" s="17"/>
      <c r="V415" s="17"/>
    </row>
    <row r="416">
      <c r="A416" s="337"/>
      <c r="B416" s="164"/>
      <c r="C416" s="337"/>
      <c r="D416" s="164"/>
      <c r="E416" s="337"/>
      <c r="F416" s="164"/>
      <c r="G416" s="337"/>
      <c r="H416" s="164"/>
      <c r="I416" s="365"/>
      <c r="J416" s="184"/>
      <c r="K416" s="365"/>
      <c r="L416" s="184"/>
      <c r="M416" s="337"/>
      <c r="N416" s="164"/>
      <c r="O416" s="337"/>
      <c r="P416" s="164"/>
      <c r="Q416" s="365"/>
      <c r="R416" s="366"/>
      <c r="S416" s="17"/>
      <c r="T416" s="17"/>
      <c r="U416" s="17"/>
      <c r="V416" s="17"/>
    </row>
    <row r="417">
      <c r="A417" s="337"/>
      <c r="B417" s="164"/>
      <c r="C417" s="337"/>
      <c r="D417" s="164"/>
      <c r="E417" s="337"/>
      <c r="F417" s="164"/>
      <c r="G417" s="337"/>
      <c r="H417" s="164"/>
      <c r="I417" s="365"/>
      <c r="J417" s="184"/>
      <c r="K417" s="365"/>
      <c r="L417" s="184"/>
      <c r="M417" s="337"/>
      <c r="N417" s="164"/>
      <c r="O417" s="337"/>
      <c r="P417" s="164"/>
      <c r="Q417" s="365"/>
      <c r="R417" s="366"/>
      <c r="S417" s="17"/>
      <c r="T417" s="17"/>
      <c r="U417" s="17"/>
      <c r="V417" s="17"/>
    </row>
    <row r="418">
      <c r="A418" s="337"/>
      <c r="B418" s="164"/>
      <c r="C418" s="337"/>
      <c r="D418" s="164"/>
      <c r="E418" s="337"/>
      <c r="F418" s="164"/>
      <c r="G418" s="337"/>
      <c r="H418" s="164"/>
      <c r="I418" s="365"/>
      <c r="J418" s="184"/>
      <c r="K418" s="365"/>
      <c r="L418" s="184"/>
      <c r="M418" s="337"/>
      <c r="N418" s="164"/>
      <c r="O418" s="337"/>
      <c r="P418" s="164"/>
      <c r="Q418" s="365"/>
      <c r="R418" s="366"/>
      <c r="S418" s="17"/>
      <c r="T418" s="17"/>
      <c r="U418" s="17"/>
      <c r="V418" s="17"/>
    </row>
    <row r="419">
      <c r="A419" s="337"/>
      <c r="B419" s="164"/>
      <c r="C419" s="337"/>
      <c r="D419" s="164"/>
      <c r="E419" s="337"/>
      <c r="F419" s="164"/>
      <c r="G419" s="337"/>
      <c r="H419" s="164"/>
      <c r="I419" s="365"/>
      <c r="J419" s="184"/>
      <c r="K419" s="365"/>
      <c r="L419" s="184"/>
      <c r="M419" s="337"/>
      <c r="N419" s="164"/>
      <c r="O419" s="337"/>
      <c r="P419" s="164"/>
      <c r="Q419" s="365"/>
      <c r="R419" s="366"/>
      <c r="S419" s="17"/>
      <c r="T419" s="17"/>
      <c r="U419" s="17"/>
      <c r="V419" s="17"/>
    </row>
    <row r="420">
      <c r="A420" s="337"/>
      <c r="B420" s="164"/>
      <c r="C420" s="337"/>
      <c r="D420" s="164"/>
      <c r="E420" s="337"/>
      <c r="F420" s="164"/>
      <c r="G420" s="337"/>
      <c r="H420" s="164"/>
      <c r="I420" s="365"/>
      <c r="J420" s="184"/>
      <c r="K420" s="365"/>
      <c r="L420" s="184"/>
      <c r="M420" s="337"/>
      <c r="N420" s="164"/>
      <c r="O420" s="337"/>
      <c r="P420" s="164"/>
      <c r="Q420" s="365"/>
      <c r="R420" s="366"/>
      <c r="S420" s="17"/>
      <c r="T420" s="17"/>
      <c r="U420" s="17"/>
      <c r="V420" s="17"/>
    </row>
    <row r="421">
      <c r="A421" s="337"/>
      <c r="B421" s="164"/>
      <c r="C421" s="337"/>
      <c r="D421" s="164"/>
      <c r="E421" s="337"/>
      <c r="F421" s="164"/>
      <c r="G421" s="337"/>
      <c r="H421" s="164"/>
      <c r="I421" s="365"/>
      <c r="J421" s="184"/>
      <c r="K421" s="365"/>
      <c r="L421" s="184"/>
      <c r="M421" s="337"/>
      <c r="N421" s="164"/>
      <c r="O421" s="337"/>
      <c r="P421" s="164"/>
      <c r="Q421" s="365"/>
      <c r="R421" s="366"/>
      <c r="S421" s="17"/>
      <c r="T421" s="17"/>
      <c r="U421" s="17"/>
      <c r="V421" s="17"/>
    </row>
    <row r="422">
      <c r="A422" s="337"/>
      <c r="B422" s="164"/>
      <c r="C422" s="337"/>
      <c r="D422" s="164"/>
      <c r="E422" s="337"/>
      <c r="F422" s="164"/>
      <c r="G422" s="337"/>
      <c r="H422" s="164"/>
      <c r="I422" s="365"/>
      <c r="J422" s="184"/>
      <c r="K422" s="365"/>
      <c r="L422" s="184"/>
      <c r="M422" s="337"/>
      <c r="N422" s="164"/>
      <c r="O422" s="337"/>
      <c r="P422" s="164"/>
      <c r="Q422" s="365"/>
      <c r="R422" s="366"/>
      <c r="S422" s="17"/>
      <c r="T422" s="17"/>
      <c r="U422" s="17"/>
      <c r="V422" s="17"/>
    </row>
    <row r="423">
      <c r="A423" s="337"/>
      <c r="B423" s="164"/>
      <c r="C423" s="337"/>
      <c r="D423" s="164"/>
      <c r="E423" s="337"/>
      <c r="F423" s="164"/>
      <c r="G423" s="337"/>
      <c r="H423" s="164"/>
      <c r="I423" s="365"/>
      <c r="J423" s="184"/>
      <c r="K423" s="365"/>
      <c r="L423" s="184"/>
      <c r="M423" s="337"/>
      <c r="N423" s="164"/>
      <c r="O423" s="337"/>
      <c r="P423" s="164"/>
      <c r="Q423" s="365"/>
      <c r="R423" s="366"/>
      <c r="S423" s="17"/>
      <c r="T423" s="17"/>
      <c r="U423" s="17"/>
      <c r="V423" s="17"/>
    </row>
    <row r="424">
      <c r="A424" s="337"/>
      <c r="B424" s="164"/>
      <c r="C424" s="337"/>
      <c r="D424" s="164"/>
      <c r="E424" s="337"/>
      <c r="F424" s="164"/>
      <c r="G424" s="337"/>
      <c r="H424" s="164"/>
      <c r="I424" s="365"/>
      <c r="J424" s="184"/>
      <c r="K424" s="365"/>
      <c r="L424" s="184"/>
      <c r="M424" s="337"/>
      <c r="N424" s="164"/>
      <c r="O424" s="337"/>
      <c r="P424" s="164"/>
      <c r="Q424" s="365"/>
      <c r="R424" s="366"/>
      <c r="S424" s="17"/>
      <c r="T424" s="17"/>
      <c r="U424" s="17"/>
      <c r="V424" s="17"/>
    </row>
    <row r="425">
      <c r="A425" s="337"/>
      <c r="B425" s="164"/>
      <c r="C425" s="337"/>
      <c r="D425" s="164"/>
      <c r="E425" s="337"/>
      <c r="F425" s="164"/>
      <c r="G425" s="337"/>
      <c r="H425" s="164"/>
      <c r="I425" s="365"/>
      <c r="J425" s="184"/>
      <c r="K425" s="365"/>
      <c r="L425" s="184"/>
      <c r="M425" s="337"/>
      <c r="N425" s="164"/>
      <c r="O425" s="337"/>
      <c r="P425" s="164"/>
      <c r="Q425" s="365"/>
      <c r="R425" s="366"/>
      <c r="S425" s="17"/>
      <c r="T425" s="17"/>
      <c r="U425" s="17"/>
      <c r="V425" s="17"/>
    </row>
    <row r="426">
      <c r="A426" s="337"/>
      <c r="B426" s="164"/>
      <c r="C426" s="337"/>
      <c r="D426" s="164"/>
      <c r="E426" s="337"/>
      <c r="F426" s="164"/>
      <c r="G426" s="337"/>
      <c r="H426" s="164"/>
      <c r="I426" s="365"/>
      <c r="J426" s="184"/>
      <c r="K426" s="365"/>
      <c r="L426" s="184"/>
      <c r="M426" s="337"/>
      <c r="N426" s="164"/>
      <c r="O426" s="337"/>
      <c r="P426" s="164"/>
      <c r="Q426" s="365"/>
      <c r="R426" s="366"/>
      <c r="S426" s="17"/>
      <c r="T426" s="17"/>
      <c r="U426" s="17"/>
      <c r="V426" s="17"/>
    </row>
    <row r="427">
      <c r="A427" s="337"/>
      <c r="B427" s="164"/>
      <c r="C427" s="337"/>
      <c r="D427" s="164"/>
      <c r="E427" s="337"/>
      <c r="F427" s="164"/>
      <c r="G427" s="337"/>
      <c r="H427" s="164"/>
      <c r="I427" s="365"/>
      <c r="J427" s="184"/>
      <c r="K427" s="365"/>
      <c r="L427" s="184"/>
      <c r="M427" s="337"/>
      <c r="N427" s="164"/>
      <c r="O427" s="337"/>
      <c r="P427" s="164"/>
      <c r="Q427" s="365"/>
      <c r="R427" s="366"/>
      <c r="S427" s="17"/>
      <c r="T427" s="17"/>
      <c r="U427" s="17"/>
      <c r="V427" s="17"/>
    </row>
    <row r="428">
      <c r="A428" s="337"/>
      <c r="B428" s="164"/>
      <c r="C428" s="337"/>
      <c r="D428" s="164"/>
      <c r="E428" s="337"/>
      <c r="F428" s="164"/>
      <c r="G428" s="337"/>
      <c r="H428" s="164"/>
      <c r="I428" s="365"/>
      <c r="J428" s="184"/>
      <c r="K428" s="365"/>
      <c r="L428" s="184"/>
      <c r="M428" s="337"/>
      <c r="N428" s="164"/>
      <c r="O428" s="337"/>
      <c r="P428" s="164"/>
      <c r="Q428" s="365"/>
      <c r="R428" s="366"/>
      <c r="S428" s="17"/>
      <c r="T428" s="17"/>
      <c r="U428" s="17"/>
      <c r="V428" s="17"/>
    </row>
    <row r="429">
      <c r="A429" s="337"/>
      <c r="B429" s="164"/>
      <c r="C429" s="337"/>
      <c r="D429" s="164"/>
      <c r="E429" s="337"/>
      <c r="F429" s="164"/>
      <c r="G429" s="337"/>
      <c r="H429" s="164"/>
      <c r="I429" s="365"/>
      <c r="J429" s="184"/>
      <c r="K429" s="365"/>
      <c r="L429" s="184"/>
      <c r="M429" s="337"/>
      <c r="N429" s="164"/>
      <c r="O429" s="337"/>
      <c r="P429" s="164"/>
      <c r="Q429" s="365"/>
      <c r="R429" s="366"/>
      <c r="S429" s="17"/>
      <c r="T429" s="17"/>
      <c r="U429" s="17"/>
      <c r="V429" s="17"/>
    </row>
    <row r="430">
      <c r="A430" s="337"/>
      <c r="B430" s="164"/>
      <c r="C430" s="337"/>
      <c r="D430" s="164"/>
      <c r="E430" s="337"/>
      <c r="F430" s="164"/>
      <c r="G430" s="337"/>
      <c r="H430" s="164"/>
      <c r="I430" s="365"/>
      <c r="J430" s="184"/>
      <c r="K430" s="365"/>
      <c r="L430" s="184"/>
      <c r="M430" s="337"/>
      <c r="N430" s="164"/>
      <c r="O430" s="337"/>
      <c r="P430" s="164"/>
      <c r="Q430" s="365"/>
      <c r="R430" s="366"/>
      <c r="S430" s="17"/>
      <c r="T430" s="17"/>
      <c r="U430" s="17"/>
      <c r="V430" s="17"/>
    </row>
    <row r="431">
      <c r="A431" s="337"/>
      <c r="B431" s="164"/>
      <c r="C431" s="337"/>
      <c r="D431" s="164"/>
      <c r="E431" s="337"/>
      <c r="F431" s="164"/>
      <c r="G431" s="337"/>
      <c r="H431" s="164"/>
      <c r="I431" s="365"/>
      <c r="J431" s="184"/>
      <c r="K431" s="365"/>
      <c r="L431" s="184"/>
      <c r="M431" s="337"/>
      <c r="N431" s="164"/>
      <c r="O431" s="337"/>
      <c r="P431" s="164"/>
      <c r="Q431" s="365"/>
      <c r="R431" s="366"/>
      <c r="S431" s="17"/>
      <c r="T431" s="17"/>
      <c r="U431" s="17"/>
      <c r="V431" s="17"/>
    </row>
    <row r="432">
      <c r="A432" s="337"/>
      <c r="B432" s="164"/>
      <c r="C432" s="337"/>
      <c r="D432" s="164"/>
      <c r="E432" s="337"/>
      <c r="F432" s="164"/>
      <c r="G432" s="337"/>
      <c r="H432" s="164"/>
      <c r="I432" s="365"/>
      <c r="J432" s="184"/>
      <c r="K432" s="365"/>
      <c r="L432" s="184"/>
      <c r="M432" s="337"/>
      <c r="N432" s="164"/>
      <c r="O432" s="337"/>
      <c r="P432" s="164"/>
      <c r="Q432" s="365"/>
      <c r="R432" s="366"/>
      <c r="S432" s="17"/>
      <c r="T432" s="17"/>
      <c r="U432" s="17"/>
      <c r="V432" s="17"/>
    </row>
    <row r="433">
      <c r="A433" s="337"/>
      <c r="B433" s="164"/>
      <c r="C433" s="337"/>
      <c r="D433" s="164"/>
      <c r="E433" s="337"/>
      <c r="F433" s="164"/>
      <c r="G433" s="337"/>
      <c r="H433" s="164"/>
      <c r="I433" s="365"/>
      <c r="J433" s="184"/>
      <c r="K433" s="365"/>
      <c r="L433" s="184"/>
      <c r="M433" s="337"/>
      <c r="N433" s="164"/>
      <c r="O433" s="337"/>
      <c r="P433" s="164"/>
      <c r="Q433" s="365"/>
      <c r="R433" s="366"/>
      <c r="S433" s="17"/>
      <c r="T433" s="17"/>
      <c r="U433" s="17"/>
      <c r="V433" s="17"/>
    </row>
    <row r="434">
      <c r="A434" s="337"/>
      <c r="B434" s="164"/>
      <c r="C434" s="337"/>
      <c r="D434" s="164"/>
      <c r="E434" s="337"/>
      <c r="F434" s="164"/>
      <c r="G434" s="337"/>
      <c r="H434" s="164"/>
      <c r="I434" s="365"/>
      <c r="J434" s="184"/>
      <c r="K434" s="365"/>
      <c r="L434" s="184"/>
      <c r="M434" s="337"/>
      <c r="N434" s="164"/>
      <c r="O434" s="337"/>
      <c r="P434" s="164"/>
      <c r="Q434" s="365"/>
      <c r="R434" s="366"/>
      <c r="S434" s="17"/>
      <c r="T434" s="17"/>
      <c r="U434" s="17"/>
      <c r="V434" s="17"/>
    </row>
    <row r="435">
      <c r="A435" s="337"/>
      <c r="B435" s="164"/>
      <c r="C435" s="337"/>
      <c r="D435" s="164"/>
      <c r="E435" s="337"/>
      <c r="F435" s="164"/>
      <c r="G435" s="337"/>
      <c r="H435" s="164"/>
      <c r="I435" s="365"/>
      <c r="J435" s="184"/>
      <c r="K435" s="365"/>
      <c r="L435" s="184"/>
      <c r="M435" s="337"/>
      <c r="N435" s="164"/>
      <c r="O435" s="337"/>
      <c r="P435" s="164"/>
      <c r="Q435" s="365"/>
      <c r="R435" s="366"/>
      <c r="S435" s="17"/>
      <c r="T435" s="17"/>
      <c r="U435" s="17"/>
      <c r="V435" s="17"/>
    </row>
    <row r="436">
      <c r="A436" s="337"/>
      <c r="B436" s="164"/>
      <c r="C436" s="337"/>
      <c r="D436" s="164"/>
      <c r="E436" s="337"/>
      <c r="F436" s="164"/>
      <c r="G436" s="337"/>
      <c r="H436" s="164"/>
      <c r="I436" s="365"/>
      <c r="J436" s="184"/>
      <c r="K436" s="365"/>
      <c r="L436" s="184"/>
      <c r="M436" s="337"/>
      <c r="N436" s="164"/>
      <c r="O436" s="337"/>
      <c r="P436" s="164"/>
      <c r="Q436" s="365"/>
      <c r="R436" s="366"/>
      <c r="S436" s="17"/>
      <c r="T436" s="17"/>
      <c r="U436" s="17"/>
      <c r="V436" s="17"/>
    </row>
    <row r="437">
      <c r="A437" s="337"/>
      <c r="B437" s="164"/>
      <c r="C437" s="337"/>
      <c r="D437" s="164"/>
      <c r="E437" s="337"/>
      <c r="F437" s="164"/>
      <c r="G437" s="337"/>
      <c r="H437" s="164"/>
      <c r="I437" s="365"/>
      <c r="J437" s="184"/>
      <c r="K437" s="365"/>
      <c r="L437" s="184"/>
      <c r="M437" s="337"/>
      <c r="N437" s="164"/>
      <c r="O437" s="337"/>
      <c r="P437" s="164"/>
      <c r="Q437" s="365"/>
      <c r="R437" s="366"/>
      <c r="S437" s="17"/>
      <c r="T437" s="17"/>
      <c r="U437" s="17"/>
      <c r="V437" s="17"/>
    </row>
    <row r="438">
      <c r="A438" s="337"/>
      <c r="B438" s="164"/>
      <c r="C438" s="337"/>
      <c r="D438" s="164"/>
      <c r="E438" s="337"/>
      <c r="F438" s="164"/>
      <c r="G438" s="337"/>
      <c r="H438" s="164"/>
      <c r="I438" s="365"/>
      <c r="J438" s="184"/>
      <c r="K438" s="365"/>
      <c r="L438" s="184"/>
      <c r="M438" s="337"/>
      <c r="N438" s="164"/>
      <c r="O438" s="337"/>
      <c r="P438" s="164"/>
      <c r="Q438" s="365"/>
      <c r="R438" s="366"/>
      <c r="S438" s="17"/>
      <c r="T438" s="17"/>
      <c r="U438" s="17"/>
      <c r="V438" s="17"/>
    </row>
    <row r="439">
      <c r="A439" s="337"/>
      <c r="B439" s="164"/>
      <c r="C439" s="337"/>
      <c r="D439" s="164"/>
      <c r="E439" s="337"/>
      <c r="F439" s="164"/>
      <c r="G439" s="337"/>
      <c r="H439" s="164"/>
      <c r="I439" s="365"/>
      <c r="J439" s="184"/>
      <c r="K439" s="365"/>
      <c r="L439" s="184"/>
      <c r="M439" s="337"/>
      <c r="N439" s="164"/>
      <c r="O439" s="337"/>
      <c r="P439" s="164"/>
      <c r="Q439" s="365"/>
      <c r="R439" s="366"/>
      <c r="S439" s="17"/>
      <c r="T439" s="17"/>
      <c r="U439" s="17"/>
      <c r="V439" s="17"/>
    </row>
    <row r="440">
      <c r="A440" s="337"/>
      <c r="B440" s="164"/>
      <c r="C440" s="337"/>
      <c r="D440" s="164"/>
      <c r="E440" s="337"/>
      <c r="F440" s="164"/>
      <c r="G440" s="337"/>
      <c r="H440" s="164"/>
      <c r="I440" s="365"/>
      <c r="J440" s="184"/>
      <c r="K440" s="365"/>
      <c r="L440" s="184"/>
      <c r="M440" s="337"/>
      <c r="N440" s="164"/>
      <c r="O440" s="337"/>
      <c r="P440" s="164"/>
      <c r="Q440" s="365"/>
      <c r="R440" s="366"/>
      <c r="S440" s="17"/>
      <c r="T440" s="17"/>
      <c r="U440" s="17"/>
      <c r="V440" s="17"/>
    </row>
    <row r="441">
      <c r="A441" s="337"/>
      <c r="B441" s="164"/>
      <c r="C441" s="337"/>
      <c r="D441" s="164"/>
      <c r="E441" s="337"/>
      <c r="F441" s="164"/>
      <c r="G441" s="337"/>
      <c r="H441" s="164"/>
      <c r="I441" s="365"/>
      <c r="J441" s="184"/>
      <c r="K441" s="365"/>
      <c r="L441" s="184"/>
      <c r="M441" s="337"/>
      <c r="N441" s="164"/>
      <c r="O441" s="337"/>
      <c r="P441" s="164"/>
      <c r="Q441" s="365"/>
      <c r="R441" s="366"/>
      <c r="S441" s="17"/>
      <c r="T441" s="17"/>
      <c r="U441" s="17"/>
      <c r="V441" s="17"/>
    </row>
    <row r="442">
      <c r="A442" s="337"/>
      <c r="B442" s="164"/>
      <c r="C442" s="337"/>
      <c r="D442" s="164"/>
      <c r="E442" s="337"/>
      <c r="F442" s="164"/>
      <c r="G442" s="337"/>
      <c r="H442" s="164"/>
      <c r="I442" s="365"/>
      <c r="J442" s="184"/>
      <c r="K442" s="365"/>
      <c r="L442" s="184"/>
      <c r="M442" s="337"/>
      <c r="N442" s="164"/>
      <c r="O442" s="337"/>
      <c r="P442" s="164"/>
      <c r="Q442" s="365"/>
      <c r="R442" s="366"/>
      <c r="S442" s="17"/>
      <c r="T442" s="17"/>
      <c r="U442" s="17"/>
      <c r="V442" s="17"/>
    </row>
    <row r="443">
      <c r="A443" s="337"/>
      <c r="B443" s="164"/>
      <c r="C443" s="337"/>
      <c r="D443" s="164"/>
      <c r="E443" s="337"/>
      <c r="F443" s="164"/>
      <c r="G443" s="337"/>
      <c r="H443" s="164"/>
      <c r="I443" s="365"/>
      <c r="J443" s="184"/>
      <c r="K443" s="365"/>
      <c r="L443" s="184"/>
      <c r="M443" s="337"/>
      <c r="N443" s="164"/>
      <c r="O443" s="337"/>
      <c r="P443" s="164"/>
      <c r="Q443" s="365"/>
      <c r="R443" s="366"/>
      <c r="S443" s="17"/>
      <c r="T443" s="17"/>
      <c r="U443" s="17"/>
      <c r="V443" s="17"/>
    </row>
    <row r="444">
      <c r="A444" s="337"/>
      <c r="B444" s="164"/>
      <c r="C444" s="337"/>
      <c r="D444" s="164"/>
      <c r="E444" s="337"/>
      <c r="F444" s="164"/>
      <c r="G444" s="337"/>
      <c r="H444" s="164"/>
      <c r="I444" s="365"/>
      <c r="J444" s="184"/>
      <c r="K444" s="365"/>
      <c r="L444" s="184"/>
      <c r="M444" s="337"/>
      <c r="N444" s="164"/>
      <c r="O444" s="337"/>
      <c r="P444" s="164"/>
      <c r="Q444" s="365"/>
      <c r="R444" s="366"/>
      <c r="S444" s="17"/>
      <c r="T444" s="17"/>
      <c r="U444" s="17"/>
      <c r="V444" s="17"/>
    </row>
    <row r="445">
      <c r="A445" s="337"/>
      <c r="B445" s="164"/>
      <c r="C445" s="337"/>
      <c r="D445" s="164"/>
      <c r="E445" s="337"/>
      <c r="F445" s="164"/>
      <c r="G445" s="337"/>
      <c r="H445" s="164"/>
      <c r="I445" s="365"/>
      <c r="J445" s="184"/>
      <c r="K445" s="365"/>
      <c r="L445" s="184"/>
      <c r="M445" s="337"/>
      <c r="N445" s="164"/>
      <c r="O445" s="337"/>
      <c r="P445" s="164"/>
      <c r="Q445" s="366"/>
      <c r="R445" s="366"/>
      <c r="S445" s="17"/>
      <c r="T445" s="17"/>
      <c r="U445" s="17"/>
      <c r="V445" s="17"/>
    </row>
    <row r="446">
      <c r="A446" s="337"/>
      <c r="B446" s="164"/>
      <c r="C446" s="337"/>
      <c r="D446" s="164"/>
      <c r="E446" s="337"/>
      <c r="F446" s="164"/>
      <c r="G446" s="337"/>
      <c r="H446" s="164"/>
      <c r="I446" s="365"/>
      <c r="J446" s="184"/>
      <c r="K446" s="365"/>
      <c r="L446" s="184"/>
      <c r="M446" s="337"/>
      <c r="N446" s="164"/>
      <c r="O446" s="337"/>
      <c r="P446" s="164"/>
      <c r="Q446" s="366"/>
      <c r="R446" s="366"/>
      <c r="S446" s="17"/>
      <c r="T446" s="17"/>
      <c r="U446" s="17"/>
      <c r="V446" s="17"/>
    </row>
    <row r="447">
      <c r="A447" s="337"/>
      <c r="B447" s="164"/>
      <c r="C447" s="337"/>
      <c r="D447" s="164"/>
      <c r="E447" s="337"/>
      <c r="F447" s="164"/>
      <c r="G447" s="337"/>
      <c r="H447" s="164"/>
      <c r="I447" s="365"/>
      <c r="J447" s="184"/>
      <c r="K447" s="365"/>
      <c r="L447" s="184"/>
      <c r="M447" s="337"/>
      <c r="N447" s="164"/>
      <c r="O447" s="337"/>
      <c r="P447" s="164"/>
      <c r="Q447" s="366"/>
      <c r="R447" s="366"/>
      <c r="S447" s="17"/>
      <c r="T447" s="17"/>
      <c r="U447" s="17"/>
      <c r="V447" s="17"/>
    </row>
    <row r="448">
      <c r="A448" s="337"/>
      <c r="B448" s="164"/>
      <c r="C448" s="337"/>
      <c r="D448" s="164"/>
      <c r="E448" s="337"/>
      <c r="F448" s="164"/>
      <c r="G448" s="337"/>
      <c r="H448" s="164"/>
      <c r="I448" s="365"/>
      <c r="J448" s="184"/>
      <c r="K448" s="365"/>
      <c r="L448" s="184"/>
      <c r="M448" s="337"/>
      <c r="N448" s="164"/>
      <c r="O448" s="337"/>
      <c r="P448" s="164"/>
      <c r="Q448" s="366"/>
      <c r="R448" s="366"/>
      <c r="S448" s="17"/>
      <c r="T448" s="17"/>
      <c r="U448" s="17"/>
      <c r="V448" s="17"/>
    </row>
    <row r="449">
      <c r="A449" s="337"/>
      <c r="B449" s="164"/>
      <c r="C449" s="337"/>
      <c r="D449" s="164"/>
      <c r="E449" s="337"/>
      <c r="F449" s="164"/>
      <c r="G449" s="337"/>
      <c r="H449" s="164"/>
      <c r="I449" s="365"/>
      <c r="J449" s="184"/>
      <c r="K449" s="365"/>
      <c r="L449" s="184"/>
      <c r="M449" s="337"/>
      <c r="N449" s="164"/>
      <c r="O449" s="337"/>
      <c r="P449" s="164"/>
      <c r="Q449" s="366"/>
      <c r="R449" s="366"/>
      <c r="S449" s="17"/>
      <c r="T449" s="17"/>
      <c r="U449" s="17"/>
      <c r="V449" s="17"/>
    </row>
    <row r="450">
      <c r="A450" s="337"/>
      <c r="B450" s="164"/>
      <c r="C450" s="337"/>
      <c r="D450" s="164"/>
      <c r="E450" s="337"/>
      <c r="F450" s="164"/>
      <c r="G450" s="337"/>
      <c r="H450" s="164"/>
      <c r="I450" s="365"/>
      <c r="J450" s="184"/>
      <c r="K450" s="365"/>
      <c r="L450" s="184"/>
      <c r="M450" s="337"/>
      <c r="N450" s="164"/>
      <c r="O450" s="337"/>
      <c r="P450" s="164"/>
      <c r="Q450" s="366"/>
      <c r="R450" s="366"/>
      <c r="S450" s="17"/>
      <c r="T450" s="17"/>
      <c r="U450" s="17"/>
      <c r="V450" s="17"/>
    </row>
    <row r="451">
      <c r="A451" s="337"/>
      <c r="B451" s="164"/>
      <c r="C451" s="337"/>
      <c r="D451" s="164"/>
      <c r="E451" s="337"/>
      <c r="F451" s="164"/>
      <c r="G451" s="337"/>
      <c r="H451" s="164"/>
      <c r="I451" s="365"/>
      <c r="J451" s="184"/>
      <c r="K451" s="365"/>
      <c r="L451" s="184"/>
      <c r="M451" s="337"/>
      <c r="N451" s="164"/>
      <c r="O451" s="337"/>
      <c r="P451" s="164"/>
      <c r="Q451" s="366"/>
      <c r="R451" s="366"/>
      <c r="S451" s="17"/>
      <c r="T451" s="17"/>
      <c r="U451" s="17"/>
      <c r="V451" s="17"/>
    </row>
    <row r="452">
      <c r="A452" s="337"/>
      <c r="B452" s="164"/>
      <c r="C452" s="337"/>
      <c r="D452" s="164"/>
      <c r="E452" s="337"/>
      <c r="F452" s="164"/>
      <c r="G452" s="337"/>
      <c r="H452" s="164"/>
      <c r="I452" s="365"/>
      <c r="J452" s="184"/>
      <c r="K452" s="365"/>
      <c r="L452" s="184"/>
      <c r="M452" s="337"/>
      <c r="N452" s="164"/>
      <c r="O452" s="337"/>
      <c r="P452" s="164"/>
      <c r="Q452" s="366"/>
      <c r="R452" s="366"/>
      <c r="S452" s="17"/>
      <c r="T452" s="17"/>
      <c r="U452" s="17"/>
      <c r="V452" s="17"/>
    </row>
    <row r="453">
      <c r="A453" s="337"/>
      <c r="B453" s="164"/>
      <c r="C453" s="337"/>
      <c r="D453" s="164"/>
      <c r="E453" s="337"/>
      <c r="F453" s="164"/>
      <c r="G453" s="337"/>
      <c r="H453" s="164"/>
      <c r="I453" s="365"/>
      <c r="J453" s="184"/>
      <c r="K453" s="365"/>
      <c r="L453" s="184"/>
      <c r="M453" s="337"/>
      <c r="N453" s="164"/>
      <c r="O453" s="337"/>
      <c r="P453" s="164"/>
      <c r="Q453" s="366"/>
      <c r="R453" s="366"/>
      <c r="S453" s="17"/>
      <c r="T453" s="17"/>
      <c r="U453" s="17"/>
      <c r="V453" s="17"/>
    </row>
    <row r="454">
      <c r="A454" s="337"/>
      <c r="B454" s="164"/>
      <c r="C454" s="337"/>
      <c r="D454" s="164"/>
      <c r="E454" s="337"/>
      <c r="F454" s="164"/>
      <c r="G454" s="337"/>
      <c r="H454" s="164"/>
      <c r="I454" s="365"/>
      <c r="J454" s="184"/>
      <c r="K454" s="365"/>
      <c r="L454" s="184"/>
      <c r="M454" s="337"/>
      <c r="N454" s="164"/>
      <c r="O454" s="337"/>
      <c r="P454" s="164"/>
      <c r="Q454" s="366"/>
      <c r="R454" s="366"/>
      <c r="S454" s="17"/>
      <c r="T454" s="17"/>
      <c r="U454" s="17"/>
      <c r="V454" s="17"/>
    </row>
    <row r="455">
      <c r="A455" s="337"/>
      <c r="B455" s="164"/>
      <c r="C455" s="337"/>
      <c r="D455" s="164"/>
      <c r="E455" s="337"/>
      <c r="F455" s="164"/>
      <c r="G455" s="337"/>
      <c r="H455" s="164"/>
      <c r="I455" s="365"/>
      <c r="J455" s="184"/>
      <c r="K455" s="365"/>
      <c r="L455" s="184"/>
      <c r="M455" s="337"/>
      <c r="N455" s="164"/>
      <c r="O455" s="337"/>
      <c r="P455" s="164"/>
      <c r="Q455" s="366"/>
      <c r="R455" s="366"/>
      <c r="S455" s="17"/>
      <c r="T455" s="17"/>
      <c r="U455" s="17"/>
      <c r="V455" s="17"/>
    </row>
    <row r="456">
      <c r="A456" s="337"/>
      <c r="B456" s="164"/>
      <c r="C456" s="337"/>
      <c r="D456" s="164"/>
      <c r="E456" s="337"/>
      <c r="F456" s="164"/>
      <c r="G456" s="337"/>
      <c r="H456" s="164"/>
      <c r="I456" s="365"/>
      <c r="J456" s="184"/>
      <c r="K456" s="365"/>
      <c r="L456" s="184"/>
      <c r="M456" s="337"/>
      <c r="N456" s="164"/>
      <c r="O456" s="337"/>
      <c r="P456" s="164"/>
      <c r="Q456" s="366"/>
      <c r="R456" s="366"/>
      <c r="S456" s="17"/>
      <c r="T456" s="17"/>
      <c r="U456" s="17"/>
      <c r="V456" s="17"/>
    </row>
    <row r="457">
      <c r="A457" s="337"/>
      <c r="B457" s="164"/>
      <c r="C457" s="337"/>
      <c r="D457" s="164"/>
      <c r="E457" s="337"/>
      <c r="F457" s="164"/>
      <c r="G457" s="337"/>
      <c r="H457" s="164"/>
      <c r="I457" s="365"/>
      <c r="J457" s="184"/>
      <c r="K457" s="365"/>
      <c r="L457" s="184"/>
      <c r="M457" s="337"/>
      <c r="N457" s="164"/>
      <c r="O457" s="337"/>
      <c r="P457" s="164"/>
      <c r="Q457" s="366"/>
      <c r="R457" s="366"/>
      <c r="S457" s="17"/>
      <c r="T457" s="17"/>
      <c r="U457" s="17"/>
      <c r="V457" s="17"/>
    </row>
    <row r="458">
      <c r="A458" s="337"/>
      <c r="B458" s="164"/>
      <c r="C458" s="337"/>
      <c r="D458" s="164"/>
      <c r="E458" s="337"/>
      <c r="F458" s="164"/>
      <c r="G458" s="337"/>
      <c r="H458" s="164"/>
      <c r="I458" s="365"/>
      <c r="J458" s="184"/>
      <c r="K458" s="365"/>
      <c r="L458" s="184"/>
      <c r="M458" s="337"/>
      <c r="N458" s="164"/>
      <c r="O458" s="337"/>
      <c r="P458" s="164"/>
      <c r="Q458" s="366"/>
      <c r="R458" s="366"/>
      <c r="S458" s="17"/>
      <c r="T458" s="17"/>
      <c r="U458" s="17"/>
      <c r="V458" s="17"/>
    </row>
    <row r="459">
      <c r="A459" s="337"/>
      <c r="B459" s="164"/>
      <c r="C459" s="337"/>
      <c r="D459" s="164"/>
      <c r="E459" s="337"/>
      <c r="F459" s="164"/>
      <c r="G459" s="337"/>
      <c r="H459" s="164"/>
      <c r="I459" s="365"/>
      <c r="J459" s="184"/>
      <c r="K459" s="365"/>
      <c r="L459" s="184"/>
      <c r="M459" s="337"/>
      <c r="N459" s="164"/>
      <c r="O459" s="337"/>
      <c r="P459" s="164"/>
      <c r="Q459" s="366"/>
      <c r="R459" s="366"/>
      <c r="S459" s="17"/>
      <c r="T459" s="17"/>
      <c r="U459" s="17"/>
      <c r="V459" s="17"/>
    </row>
    <row r="460">
      <c r="A460" s="337"/>
      <c r="B460" s="164"/>
      <c r="C460" s="337"/>
      <c r="D460" s="164"/>
      <c r="E460" s="337"/>
      <c r="F460" s="164"/>
      <c r="G460" s="337"/>
      <c r="H460" s="164"/>
      <c r="I460" s="365"/>
      <c r="J460" s="184"/>
      <c r="K460" s="365"/>
      <c r="L460" s="184"/>
      <c r="M460" s="337"/>
      <c r="N460" s="164"/>
      <c r="O460" s="337"/>
      <c r="P460" s="164"/>
      <c r="Q460" s="366"/>
      <c r="R460" s="366"/>
      <c r="S460" s="17"/>
      <c r="T460" s="17"/>
      <c r="U460" s="17"/>
      <c r="V460" s="17"/>
    </row>
    <row r="461">
      <c r="A461" s="337"/>
      <c r="B461" s="164"/>
      <c r="C461" s="337"/>
      <c r="D461" s="164"/>
      <c r="E461" s="337"/>
      <c r="F461" s="164"/>
      <c r="G461" s="337"/>
      <c r="H461" s="164"/>
      <c r="I461" s="365"/>
      <c r="J461" s="184"/>
      <c r="K461" s="365"/>
      <c r="L461" s="184"/>
      <c r="M461" s="337"/>
      <c r="N461" s="164"/>
      <c r="O461" s="337"/>
      <c r="P461" s="164"/>
      <c r="Q461" s="366"/>
      <c r="R461" s="366"/>
      <c r="S461" s="17"/>
      <c r="T461" s="17"/>
      <c r="U461" s="17"/>
      <c r="V461" s="17"/>
    </row>
    <row r="462">
      <c r="A462" s="337"/>
      <c r="B462" s="164"/>
      <c r="C462" s="337"/>
      <c r="D462" s="164"/>
      <c r="E462" s="337"/>
      <c r="F462" s="164"/>
      <c r="G462" s="337"/>
      <c r="H462" s="164"/>
      <c r="I462" s="365"/>
      <c r="J462" s="184"/>
      <c r="K462" s="365"/>
      <c r="L462" s="184"/>
      <c r="M462" s="337"/>
      <c r="N462" s="164"/>
      <c r="O462" s="337"/>
      <c r="P462" s="164"/>
      <c r="Q462" s="366"/>
      <c r="R462" s="366"/>
      <c r="S462" s="17"/>
      <c r="T462" s="17"/>
      <c r="U462" s="17"/>
      <c r="V462" s="17"/>
    </row>
    <row r="463">
      <c r="A463" s="337"/>
      <c r="B463" s="164"/>
      <c r="C463" s="337"/>
      <c r="D463" s="164"/>
      <c r="E463" s="337"/>
      <c r="F463" s="164"/>
      <c r="G463" s="337"/>
      <c r="H463" s="164"/>
      <c r="I463" s="365"/>
      <c r="J463" s="184"/>
      <c r="K463" s="365"/>
      <c r="L463" s="184"/>
      <c r="M463" s="337"/>
      <c r="N463" s="164"/>
      <c r="O463" s="337"/>
      <c r="P463" s="164"/>
      <c r="Q463" s="366"/>
      <c r="R463" s="366"/>
      <c r="S463" s="17"/>
      <c r="T463" s="17"/>
      <c r="U463" s="17"/>
      <c r="V463" s="17"/>
    </row>
    <row r="464">
      <c r="A464" s="337"/>
      <c r="B464" s="164"/>
      <c r="C464" s="337"/>
      <c r="D464" s="164"/>
      <c r="E464" s="337"/>
      <c r="F464" s="164"/>
      <c r="G464" s="337"/>
      <c r="H464" s="164"/>
      <c r="I464" s="365"/>
      <c r="J464" s="184"/>
      <c r="K464" s="365"/>
      <c r="L464" s="184"/>
      <c r="M464" s="337"/>
      <c r="N464" s="164"/>
      <c r="O464" s="337"/>
      <c r="P464" s="164"/>
      <c r="Q464" s="366"/>
      <c r="R464" s="366"/>
      <c r="S464" s="17"/>
      <c r="T464" s="17"/>
      <c r="U464" s="17"/>
      <c r="V464" s="17"/>
    </row>
    <row r="465">
      <c r="A465" s="337"/>
      <c r="B465" s="164"/>
      <c r="C465" s="337"/>
      <c r="D465" s="164"/>
      <c r="E465" s="337"/>
      <c r="F465" s="164"/>
      <c r="G465" s="337"/>
      <c r="H465" s="164"/>
      <c r="I465" s="365"/>
      <c r="J465" s="184"/>
      <c r="K465" s="365"/>
      <c r="L465" s="184"/>
      <c r="M465" s="337"/>
      <c r="N465" s="164"/>
      <c r="O465" s="337"/>
      <c r="P465" s="164"/>
      <c r="Q465" s="366"/>
      <c r="R465" s="366"/>
      <c r="S465" s="17"/>
      <c r="T465" s="17"/>
      <c r="U465" s="17"/>
      <c r="V465" s="17"/>
    </row>
    <row r="466">
      <c r="A466" s="337"/>
      <c r="B466" s="164"/>
      <c r="C466" s="337"/>
      <c r="D466" s="164"/>
      <c r="E466" s="337"/>
      <c r="F466" s="164"/>
      <c r="G466" s="337"/>
      <c r="H466" s="164"/>
      <c r="I466" s="365"/>
      <c r="J466" s="184"/>
      <c r="K466" s="365"/>
      <c r="L466" s="184"/>
      <c r="M466" s="337"/>
      <c r="N466" s="164"/>
      <c r="O466" s="337"/>
      <c r="P466" s="164"/>
      <c r="Q466" s="366"/>
      <c r="R466" s="366"/>
      <c r="S466" s="17"/>
      <c r="T466" s="17"/>
      <c r="U466" s="17"/>
      <c r="V466" s="17"/>
    </row>
    <row r="467">
      <c r="A467" s="337"/>
      <c r="B467" s="164"/>
      <c r="C467" s="337"/>
      <c r="D467" s="164"/>
      <c r="E467" s="337"/>
      <c r="F467" s="164"/>
      <c r="G467" s="337"/>
      <c r="H467" s="164"/>
      <c r="I467" s="365"/>
      <c r="J467" s="184"/>
      <c r="K467" s="365"/>
      <c r="L467" s="184"/>
      <c r="M467" s="337"/>
      <c r="N467" s="164"/>
      <c r="O467" s="337"/>
      <c r="P467" s="164"/>
      <c r="Q467" s="366"/>
      <c r="R467" s="366"/>
      <c r="S467" s="17"/>
      <c r="T467" s="17"/>
      <c r="U467" s="17"/>
      <c r="V467" s="17"/>
    </row>
    <row r="468">
      <c r="A468" s="337"/>
      <c r="B468" s="164"/>
      <c r="C468" s="337"/>
      <c r="D468" s="164"/>
      <c r="E468" s="337"/>
      <c r="F468" s="164"/>
      <c r="G468" s="337"/>
      <c r="H468" s="164"/>
      <c r="I468" s="365"/>
      <c r="J468" s="184"/>
      <c r="K468" s="365"/>
      <c r="L468" s="184"/>
      <c r="M468" s="337"/>
      <c r="N468" s="164"/>
      <c r="O468" s="337"/>
      <c r="P468" s="164"/>
      <c r="Q468" s="366"/>
      <c r="R468" s="366"/>
      <c r="S468" s="17"/>
      <c r="T468" s="17"/>
      <c r="U468" s="17"/>
      <c r="V468" s="17"/>
    </row>
    <row r="469">
      <c r="A469" s="337"/>
      <c r="B469" s="164"/>
      <c r="C469" s="337"/>
      <c r="D469" s="164"/>
      <c r="E469" s="337"/>
      <c r="F469" s="164"/>
      <c r="G469" s="337"/>
      <c r="H469" s="164"/>
      <c r="I469" s="365"/>
      <c r="J469" s="184"/>
      <c r="K469" s="365"/>
      <c r="L469" s="184"/>
      <c r="M469" s="337"/>
      <c r="N469" s="164"/>
      <c r="O469" s="337"/>
      <c r="P469" s="164"/>
      <c r="Q469" s="366"/>
      <c r="R469" s="366"/>
      <c r="S469" s="17"/>
      <c r="T469" s="17"/>
      <c r="U469" s="17"/>
      <c r="V469" s="17"/>
    </row>
    <row r="470">
      <c r="A470" s="337"/>
      <c r="B470" s="164"/>
      <c r="C470" s="337"/>
      <c r="D470" s="164"/>
      <c r="E470" s="337"/>
      <c r="F470" s="164"/>
      <c r="G470" s="337"/>
      <c r="H470" s="164"/>
      <c r="I470" s="365"/>
      <c r="J470" s="184"/>
      <c r="K470" s="365"/>
      <c r="L470" s="184"/>
      <c r="M470" s="337"/>
      <c r="N470" s="164"/>
      <c r="O470" s="337"/>
      <c r="P470" s="164"/>
      <c r="Q470" s="366"/>
      <c r="R470" s="366"/>
      <c r="S470" s="17"/>
      <c r="T470" s="17"/>
      <c r="U470" s="17"/>
      <c r="V470" s="17"/>
    </row>
    <row r="471">
      <c r="A471" s="337"/>
      <c r="B471" s="164"/>
      <c r="C471" s="337"/>
      <c r="D471" s="164"/>
      <c r="E471" s="337"/>
      <c r="F471" s="164"/>
      <c r="G471" s="337"/>
      <c r="H471" s="164"/>
      <c r="I471" s="365"/>
      <c r="J471" s="184"/>
      <c r="K471" s="365"/>
      <c r="L471" s="184"/>
      <c r="M471" s="337"/>
      <c r="N471" s="164"/>
      <c r="O471" s="337"/>
      <c r="P471" s="164"/>
      <c r="Q471" s="366"/>
      <c r="R471" s="366"/>
      <c r="S471" s="17"/>
      <c r="T471" s="17"/>
      <c r="U471" s="17"/>
      <c r="V471" s="17"/>
    </row>
    <row r="472">
      <c r="A472" s="337"/>
      <c r="B472" s="164"/>
      <c r="C472" s="337"/>
      <c r="D472" s="164"/>
      <c r="E472" s="337"/>
      <c r="F472" s="164"/>
      <c r="G472" s="337"/>
      <c r="H472" s="164"/>
      <c r="I472" s="365"/>
      <c r="J472" s="184"/>
      <c r="K472" s="365"/>
      <c r="L472" s="184"/>
      <c r="M472" s="337"/>
      <c r="N472" s="164"/>
      <c r="O472" s="337"/>
      <c r="P472" s="164"/>
      <c r="Q472" s="366"/>
      <c r="R472" s="366"/>
      <c r="S472" s="17"/>
      <c r="T472" s="17"/>
      <c r="U472" s="17"/>
      <c r="V472" s="17"/>
    </row>
    <row r="473">
      <c r="A473" s="337"/>
      <c r="B473" s="164"/>
      <c r="C473" s="337"/>
      <c r="D473" s="164"/>
      <c r="E473" s="337"/>
      <c r="F473" s="164"/>
      <c r="G473" s="337"/>
      <c r="H473" s="164"/>
      <c r="I473" s="365"/>
      <c r="J473" s="184"/>
      <c r="K473" s="365"/>
      <c r="L473" s="184"/>
      <c r="M473" s="337"/>
      <c r="N473" s="164"/>
      <c r="O473" s="337"/>
      <c r="P473" s="164"/>
      <c r="Q473" s="366"/>
      <c r="R473" s="366"/>
      <c r="S473" s="17"/>
      <c r="T473" s="17"/>
      <c r="U473" s="17"/>
      <c r="V473" s="17"/>
    </row>
    <row r="474">
      <c r="A474" s="337"/>
      <c r="B474" s="164"/>
      <c r="C474" s="337"/>
      <c r="D474" s="164"/>
      <c r="E474" s="337"/>
      <c r="F474" s="164"/>
      <c r="G474" s="337"/>
      <c r="H474" s="164"/>
      <c r="I474" s="365"/>
      <c r="J474" s="184"/>
      <c r="K474" s="365"/>
      <c r="L474" s="184"/>
      <c r="M474" s="337"/>
      <c r="N474" s="164"/>
      <c r="O474" s="337"/>
      <c r="P474" s="164"/>
      <c r="Q474" s="366"/>
      <c r="R474" s="366"/>
      <c r="S474" s="17"/>
      <c r="T474" s="17"/>
      <c r="U474" s="17"/>
      <c r="V474" s="17"/>
    </row>
    <row r="475">
      <c r="A475" s="337"/>
      <c r="B475" s="164"/>
      <c r="C475" s="337"/>
      <c r="D475" s="164"/>
      <c r="E475" s="337"/>
      <c r="F475" s="164"/>
      <c r="G475" s="337"/>
      <c r="H475" s="164"/>
      <c r="I475" s="365"/>
      <c r="J475" s="184"/>
      <c r="K475" s="365"/>
      <c r="L475" s="184"/>
      <c r="M475" s="337"/>
      <c r="N475" s="164"/>
      <c r="O475" s="337"/>
      <c r="P475" s="164"/>
      <c r="Q475" s="366"/>
      <c r="R475" s="366"/>
      <c r="S475" s="17"/>
      <c r="T475" s="17"/>
      <c r="U475" s="17"/>
      <c r="V475" s="17"/>
    </row>
    <row r="476">
      <c r="A476" s="337"/>
      <c r="B476" s="164"/>
      <c r="C476" s="337"/>
      <c r="D476" s="164"/>
      <c r="E476" s="337"/>
      <c r="F476" s="164"/>
      <c r="G476" s="337"/>
      <c r="H476" s="164"/>
      <c r="I476" s="365"/>
      <c r="J476" s="184"/>
      <c r="K476" s="365"/>
      <c r="L476" s="184"/>
      <c r="M476" s="337"/>
      <c r="N476" s="164"/>
      <c r="O476" s="337"/>
      <c r="P476" s="164"/>
      <c r="Q476" s="366"/>
      <c r="R476" s="366"/>
      <c r="S476" s="17"/>
      <c r="T476" s="17"/>
      <c r="U476" s="17"/>
      <c r="V476" s="17"/>
    </row>
    <row r="477">
      <c r="A477" s="337"/>
      <c r="B477" s="164"/>
      <c r="C477" s="337"/>
      <c r="D477" s="164"/>
      <c r="E477" s="337"/>
      <c r="F477" s="164"/>
      <c r="G477" s="337"/>
      <c r="H477" s="164"/>
      <c r="I477" s="365"/>
      <c r="J477" s="184"/>
      <c r="K477" s="365"/>
      <c r="L477" s="184"/>
      <c r="M477" s="337"/>
      <c r="N477" s="164"/>
      <c r="O477" s="337"/>
      <c r="P477" s="164"/>
      <c r="Q477" s="366"/>
      <c r="R477" s="366"/>
      <c r="S477" s="17"/>
      <c r="T477" s="17"/>
      <c r="U477" s="17"/>
      <c r="V477" s="17"/>
    </row>
    <row r="478">
      <c r="A478" s="337"/>
      <c r="B478" s="164"/>
      <c r="C478" s="337"/>
      <c r="D478" s="164"/>
      <c r="E478" s="337"/>
      <c r="F478" s="164"/>
      <c r="G478" s="337"/>
      <c r="H478" s="164"/>
      <c r="I478" s="365"/>
      <c r="J478" s="184"/>
      <c r="K478" s="365"/>
      <c r="L478" s="184"/>
      <c r="M478" s="337"/>
      <c r="N478" s="164"/>
      <c r="O478" s="337"/>
      <c r="P478" s="164"/>
      <c r="Q478" s="366"/>
      <c r="R478" s="366"/>
      <c r="S478" s="17"/>
      <c r="T478" s="17"/>
      <c r="U478" s="17"/>
      <c r="V478" s="17"/>
    </row>
    <row r="479">
      <c r="A479" s="337"/>
      <c r="B479" s="164"/>
      <c r="C479" s="337"/>
      <c r="D479" s="164"/>
      <c r="E479" s="337"/>
      <c r="F479" s="164"/>
      <c r="G479" s="337"/>
      <c r="H479" s="164"/>
      <c r="I479" s="365"/>
      <c r="J479" s="184"/>
      <c r="K479" s="365"/>
      <c r="L479" s="184"/>
      <c r="M479" s="337"/>
      <c r="N479" s="164"/>
      <c r="O479" s="337"/>
      <c r="P479" s="164"/>
      <c r="Q479" s="366"/>
      <c r="R479" s="366"/>
      <c r="S479" s="17"/>
      <c r="T479" s="17"/>
      <c r="U479" s="17"/>
      <c r="V479" s="17"/>
    </row>
    <row r="480">
      <c r="A480" s="337"/>
      <c r="B480" s="164"/>
      <c r="C480" s="337"/>
      <c r="D480" s="164"/>
      <c r="E480" s="337"/>
      <c r="F480" s="164"/>
      <c r="G480" s="337"/>
      <c r="H480" s="164"/>
      <c r="I480" s="365"/>
      <c r="J480" s="184"/>
      <c r="K480" s="365"/>
      <c r="L480" s="184"/>
      <c r="M480" s="337"/>
      <c r="N480" s="164"/>
      <c r="O480" s="337"/>
      <c r="P480" s="164"/>
      <c r="Q480" s="366"/>
      <c r="R480" s="366"/>
      <c r="S480" s="17"/>
      <c r="T480" s="17"/>
      <c r="U480" s="17"/>
      <c r="V480" s="17"/>
    </row>
    <row r="481">
      <c r="A481" s="337"/>
      <c r="B481" s="164"/>
      <c r="C481" s="337"/>
      <c r="D481" s="164"/>
      <c r="E481" s="337"/>
      <c r="F481" s="164"/>
      <c r="G481" s="337"/>
      <c r="H481" s="164"/>
      <c r="I481" s="365"/>
      <c r="J481" s="184"/>
      <c r="K481" s="365"/>
      <c r="L481" s="184"/>
      <c r="M481" s="337"/>
      <c r="N481" s="164"/>
      <c r="O481" s="337"/>
      <c r="P481" s="164"/>
      <c r="Q481" s="366"/>
      <c r="R481" s="366"/>
      <c r="S481" s="17"/>
      <c r="T481" s="17"/>
      <c r="U481" s="17"/>
      <c r="V481" s="17"/>
    </row>
    <row r="482">
      <c r="A482" s="337"/>
      <c r="B482" s="164"/>
      <c r="C482" s="337"/>
      <c r="D482" s="164"/>
      <c r="E482" s="337"/>
      <c r="F482" s="164"/>
      <c r="G482" s="337"/>
      <c r="H482" s="164"/>
      <c r="I482" s="365"/>
      <c r="J482" s="184"/>
      <c r="K482" s="365"/>
      <c r="L482" s="184"/>
      <c r="M482" s="337"/>
      <c r="N482" s="164"/>
      <c r="O482" s="337"/>
      <c r="P482" s="164"/>
      <c r="Q482" s="366"/>
      <c r="R482" s="366"/>
      <c r="S482" s="17"/>
      <c r="T482" s="17"/>
      <c r="U482" s="17"/>
      <c r="V482" s="17"/>
    </row>
    <row r="483">
      <c r="A483" s="337"/>
      <c r="B483" s="164"/>
      <c r="C483" s="337"/>
      <c r="D483" s="164"/>
      <c r="E483" s="337"/>
      <c r="F483" s="164"/>
      <c r="G483" s="337"/>
      <c r="H483" s="164"/>
      <c r="I483" s="365"/>
      <c r="J483" s="184"/>
      <c r="K483" s="365"/>
      <c r="L483" s="184"/>
      <c r="M483" s="337"/>
      <c r="N483" s="164"/>
      <c r="O483" s="337"/>
      <c r="P483" s="164"/>
      <c r="Q483" s="366"/>
      <c r="R483" s="366"/>
      <c r="S483" s="17"/>
      <c r="T483" s="17"/>
      <c r="U483" s="17"/>
      <c r="V483" s="17"/>
    </row>
    <row r="484">
      <c r="A484" s="337"/>
      <c r="B484" s="164"/>
      <c r="C484" s="337"/>
      <c r="D484" s="164"/>
      <c r="E484" s="337"/>
      <c r="F484" s="164"/>
      <c r="G484" s="337"/>
      <c r="H484" s="164"/>
      <c r="I484" s="365"/>
      <c r="J484" s="184"/>
      <c r="K484" s="365"/>
      <c r="L484" s="184"/>
      <c r="M484" s="337"/>
      <c r="N484" s="164"/>
      <c r="O484" s="337"/>
      <c r="P484" s="164"/>
      <c r="Q484" s="366"/>
      <c r="R484" s="366"/>
      <c r="S484" s="17"/>
      <c r="T484" s="17"/>
      <c r="U484" s="17"/>
      <c r="V484" s="17"/>
    </row>
    <row r="485">
      <c r="A485" s="337"/>
      <c r="B485" s="164"/>
      <c r="C485" s="337"/>
      <c r="D485" s="164"/>
      <c r="E485" s="337"/>
      <c r="F485" s="164"/>
      <c r="G485" s="337"/>
      <c r="H485" s="164"/>
      <c r="I485" s="365"/>
      <c r="J485" s="184"/>
      <c r="K485" s="365"/>
      <c r="L485" s="184"/>
      <c r="M485" s="337"/>
      <c r="N485" s="164"/>
      <c r="O485" s="337"/>
      <c r="P485" s="164"/>
      <c r="Q485" s="366"/>
      <c r="R485" s="366"/>
      <c r="S485" s="17"/>
      <c r="T485" s="17"/>
      <c r="U485" s="17"/>
      <c r="V485" s="17"/>
    </row>
    <row r="486">
      <c r="A486" s="337"/>
      <c r="B486" s="164"/>
      <c r="C486" s="337"/>
      <c r="D486" s="164"/>
      <c r="E486" s="337"/>
      <c r="F486" s="164"/>
      <c r="G486" s="337"/>
      <c r="H486" s="164"/>
      <c r="I486" s="365"/>
      <c r="J486" s="184"/>
      <c r="K486" s="365"/>
      <c r="L486" s="184"/>
      <c r="M486" s="337"/>
      <c r="N486" s="164"/>
      <c r="O486" s="337"/>
      <c r="P486" s="164"/>
      <c r="Q486" s="366"/>
      <c r="R486" s="366"/>
      <c r="S486" s="17"/>
      <c r="T486" s="17"/>
      <c r="U486" s="17"/>
      <c r="V486" s="17"/>
    </row>
    <row r="487">
      <c r="A487" s="337"/>
      <c r="B487" s="164"/>
      <c r="C487" s="337"/>
      <c r="D487" s="164"/>
      <c r="E487" s="337"/>
      <c r="F487" s="164"/>
      <c r="G487" s="337"/>
      <c r="H487" s="164"/>
      <c r="I487" s="365"/>
      <c r="J487" s="184"/>
      <c r="K487" s="365"/>
      <c r="L487" s="184"/>
      <c r="M487" s="337"/>
      <c r="N487" s="164"/>
      <c r="O487" s="337"/>
      <c r="P487" s="164"/>
      <c r="Q487" s="366"/>
      <c r="R487" s="366"/>
      <c r="S487" s="17"/>
      <c r="T487" s="17"/>
      <c r="U487" s="17"/>
      <c r="V487" s="17"/>
    </row>
    <row r="488">
      <c r="A488" s="337"/>
      <c r="B488" s="164"/>
      <c r="C488" s="337"/>
      <c r="D488" s="164"/>
      <c r="E488" s="337"/>
      <c r="F488" s="164"/>
      <c r="G488" s="337"/>
      <c r="H488" s="164"/>
      <c r="I488" s="365"/>
      <c r="J488" s="184"/>
      <c r="K488" s="365"/>
      <c r="L488" s="184"/>
      <c r="M488" s="337"/>
      <c r="N488" s="164"/>
      <c r="O488" s="337"/>
      <c r="P488" s="164"/>
      <c r="Q488" s="366"/>
      <c r="R488" s="366"/>
      <c r="S488" s="17"/>
      <c r="T488" s="17"/>
      <c r="U488" s="17"/>
      <c r="V488" s="17"/>
    </row>
    <row r="489">
      <c r="A489" s="337"/>
      <c r="B489" s="164"/>
      <c r="C489" s="337"/>
      <c r="D489" s="164"/>
      <c r="E489" s="337"/>
      <c r="F489" s="164"/>
      <c r="G489" s="337"/>
      <c r="H489" s="164"/>
      <c r="I489" s="365"/>
      <c r="J489" s="184"/>
      <c r="K489" s="365"/>
      <c r="L489" s="184"/>
      <c r="M489" s="337"/>
      <c r="N489" s="164"/>
      <c r="O489" s="337"/>
      <c r="P489" s="164"/>
      <c r="Q489" s="366"/>
      <c r="R489" s="366"/>
      <c r="S489" s="17"/>
      <c r="T489" s="17"/>
      <c r="U489" s="17"/>
      <c r="V489" s="17"/>
    </row>
    <row r="490">
      <c r="A490" s="337"/>
      <c r="B490" s="164"/>
      <c r="C490" s="337"/>
      <c r="D490" s="164"/>
      <c r="E490" s="337"/>
      <c r="F490" s="164"/>
      <c r="G490" s="337"/>
      <c r="H490" s="164"/>
      <c r="I490" s="365"/>
      <c r="J490" s="184"/>
      <c r="K490" s="365"/>
      <c r="L490" s="184"/>
      <c r="M490" s="337"/>
      <c r="N490" s="164"/>
      <c r="O490" s="337"/>
      <c r="P490" s="164"/>
      <c r="Q490" s="366"/>
      <c r="R490" s="366"/>
      <c r="S490" s="17"/>
      <c r="T490" s="17"/>
      <c r="U490" s="17"/>
      <c r="V490" s="17"/>
    </row>
    <row r="491">
      <c r="A491" s="337"/>
      <c r="B491" s="164"/>
      <c r="C491" s="337"/>
      <c r="D491" s="164"/>
      <c r="E491" s="337"/>
      <c r="F491" s="164"/>
      <c r="G491" s="337"/>
      <c r="H491" s="164"/>
      <c r="I491" s="365"/>
      <c r="J491" s="184"/>
      <c r="K491" s="365"/>
      <c r="L491" s="184"/>
      <c r="M491" s="337"/>
      <c r="N491" s="164"/>
      <c r="O491" s="337"/>
      <c r="P491" s="164"/>
      <c r="Q491" s="366"/>
      <c r="R491" s="366"/>
      <c r="S491" s="17"/>
      <c r="T491" s="17"/>
      <c r="U491" s="17"/>
      <c r="V491" s="17"/>
    </row>
    <row r="492">
      <c r="A492" s="337"/>
      <c r="B492" s="164"/>
      <c r="C492" s="337"/>
      <c r="D492" s="164"/>
      <c r="E492" s="337"/>
      <c r="F492" s="164"/>
      <c r="G492" s="337"/>
      <c r="H492" s="164"/>
      <c r="I492" s="365"/>
      <c r="J492" s="184"/>
      <c r="K492" s="365"/>
      <c r="L492" s="184"/>
      <c r="M492" s="337"/>
      <c r="N492" s="164"/>
      <c r="O492" s="337"/>
      <c r="P492" s="164"/>
      <c r="Q492" s="366"/>
      <c r="R492" s="366"/>
      <c r="S492" s="17"/>
      <c r="T492" s="17"/>
      <c r="U492" s="17"/>
      <c r="V492" s="17"/>
    </row>
    <row r="493">
      <c r="A493" s="337"/>
      <c r="B493" s="164"/>
      <c r="C493" s="337"/>
      <c r="D493" s="164"/>
      <c r="E493" s="337"/>
      <c r="F493" s="164"/>
      <c r="G493" s="337"/>
      <c r="H493" s="164"/>
      <c r="I493" s="365"/>
      <c r="J493" s="184"/>
      <c r="K493" s="365"/>
      <c r="L493" s="184"/>
      <c r="M493" s="337"/>
      <c r="N493" s="164"/>
      <c r="O493" s="337"/>
      <c r="P493" s="164"/>
      <c r="Q493" s="366"/>
      <c r="R493" s="366"/>
      <c r="S493" s="17"/>
      <c r="T493" s="17"/>
      <c r="U493" s="17"/>
      <c r="V493" s="17"/>
    </row>
    <row r="494">
      <c r="A494" s="337"/>
      <c r="B494" s="164"/>
      <c r="C494" s="337"/>
      <c r="D494" s="164"/>
      <c r="E494" s="337"/>
      <c r="F494" s="164"/>
      <c r="G494" s="337"/>
      <c r="H494" s="164"/>
      <c r="I494" s="365"/>
      <c r="J494" s="184"/>
      <c r="K494" s="365"/>
      <c r="L494" s="184"/>
      <c r="M494" s="337"/>
      <c r="N494" s="164"/>
      <c r="O494" s="337"/>
      <c r="P494" s="164"/>
      <c r="Q494" s="366"/>
      <c r="R494" s="366"/>
      <c r="S494" s="17"/>
      <c r="T494" s="17"/>
      <c r="U494" s="17"/>
      <c r="V494" s="17"/>
    </row>
    <row r="495">
      <c r="A495" s="337"/>
      <c r="B495" s="164"/>
      <c r="C495" s="337"/>
      <c r="D495" s="164"/>
      <c r="E495" s="337"/>
      <c r="F495" s="164"/>
      <c r="G495" s="337"/>
      <c r="H495" s="164"/>
      <c r="I495" s="365"/>
      <c r="J495" s="184"/>
      <c r="K495" s="365"/>
      <c r="L495" s="184"/>
      <c r="M495" s="337"/>
      <c r="N495" s="164"/>
      <c r="O495" s="337"/>
      <c r="P495" s="164"/>
      <c r="Q495" s="366"/>
      <c r="R495" s="366"/>
      <c r="S495" s="17"/>
      <c r="T495" s="17"/>
      <c r="U495" s="17"/>
      <c r="V495" s="17"/>
    </row>
    <row r="496">
      <c r="A496" s="337"/>
      <c r="B496" s="164"/>
      <c r="C496" s="337"/>
      <c r="D496" s="164"/>
      <c r="E496" s="337"/>
      <c r="F496" s="164"/>
      <c r="G496" s="337"/>
      <c r="H496" s="164"/>
      <c r="I496" s="365"/>
      <c r="J496" s="184"/>
      <c r="K496" s="365"/>
      <c r="L496" s="184"/>
      <c r="M496" s="337"/>
      <c r="N496" s="164"/>
      <c r="O496" s="337"/>
      <c r="P496" s="164"/>
      <c r="Q496" s="366"/>
      <c r="R496" s="366"/>
      <c r="S496" s="17"/>
      <c r="T496" s="17"/>
      <c r="U496" s="17"/>
      <c r="V496" s="17"/>
    </row>
    <row r="497">
      <c r="A497" s="337"/>
      <c r="B497" s="164"/>
      <c r="C497" s="337"/>
      <c r="D497" s="164"/>
      <c r="E497" s="337"/>
      <c r="F497" s="164"/>
      <c r="G497" s="337"/>
      <c r="H497" s="164"/>
      <c r="I497" s="365"/>
      <c r="J497" s="184"/>
      <c r="K497" s="365"/>
      <c r="L497" s="184"/>
      <c r="M497" s="337"/>
      <c r="N497" s="164"/>
      <c r="O497" s="337"/>
      <c r="P497" s="164"/>
      <c r="Q497" s="366"/>
      <c r="R497" s="366"/>
      <c r="S497" s="17"/>
      <c r="T497" s="17"/>
      <c r="U497" s="17"/>
      <c r="V497" s="17"/>
    </row>
    <row r="498">
      <c r="A498" s="337"/>
      <c r="B498" s="164"/>
      <c r="C498" s="337"/>
      <c r="D498" s="164"/>
      <c r="E498" s="337"/>
      <c r="F498" s="164"/>
      <c r="G498" s="337"/>
      <c r="H498" s="164"/>
      <c r="I498" s="365"/>
      <c r="J498" s="184"/>
      <c r="K498" s="365"/>
      <c r="L498" s="184"/>
      <c r="M498" s="337"/>
      <c r="N498" s="164"/>
      <c r="O498" s="337"/>
      <c r="P498" s="164"/>
      <c r="Q498" s="366"/>
      <c r="R498" s="366"/>
      <c r="S498" s="17"/>
      <c r="T498" s="17"/>
      <c r="U498" s="17"/>
      <c r="V498" s="17"/>
    </row>
    <row r="499">
      <c r="A499" s="337"/>
      <c r="B499" s="164"/>
      <c r="C499" s="337"/>
      <c r="D499" s="164"/>
      <c r="E499" s="337"/>
      <c r="F499" s="164"/>
      <c r="G499" s="337"/>
      <c r="H499" s="164"/>
      <c r="I499" s="365"/>
      <c r="J499" s="184"/>
      <c r="K499" s="365"/>
      <c r="L499" s="184"/>
      <c r="M499" s="337"/>
      <c r="N499" s="164"/>
      <c r="O499" s="337"/>
      <c r="P499" s="164"/>
      <c r="Q499" s="366"/>
      <c r="R499" s="366"/>
      <c r="S499" s="17"/>
      <c r="T499" s="17"/>
      <c r="U499" s="17"/>
      <c r="V499" s="17"/>
    </row>
    <row r="500">
      <c r="A500" s="337"/>
      <c r="B500" s="164"/>
      <c r="C500" s="337"/>
      <c r="D500" s="164"/>
      <c r="E500" s="337"/>
      <c r="F500" s="164"/>
      <c r="G500" s="337"/>
      <c r="H500" s="164"/>
      <c r="I500" s="365"/>
      <c r="J500" s="184"/>
      <c r="K500" s="365"/>
      <c r="L500" s="184"/>
      <c r="M500" s="337"/>
      <c r="N500" s="164"/>
      <c r="O500" s="337"/>
      <c r="P500" s="164"/>
      <c r="Q500" s="366"/>
      <c r="R500" s="366"/>
      <c r="S500" s="17"/>
      <c r="T500" s="17"/>
      <c r="U500" s="17"/>
      <c r="V500" s="17"/>
    </row>
    <row r="501">
      <c r="A501" s="337"/>
      <c r="B501" s="164"/>
      <c r="C501" s="337"/>
      <c r="D501" s="164"/>
      <c r="E501" s="337"/>
      <c r="F501" s="164"/>
      <c r="G501" s="337"/>
      <c r="H501" s="164"/>
      <c r="I501" s="365"/>
      <c r="J501" s="184"/>
      <c r="K501" s="365"/>
      <c r="L501" s="184"/>
      <c r="M501" s="337"/>
      <c r="N501" s="164"/>
      <c r="O501" s="337"/>
      <c r="P501" s="164"/>
      <c r="Q501" s="366"/>
      <c r="R501" s="366"/>
      <c r="S501" s="17"/>
      <c r="T501" s="17"/>
      <c r="U501" s="17"/>
      <c r="V501" s="17"/>
    </row>
    <row r="502">
      <c r="A502" s="337"/>
      <c r="B502" s="164"/>
      <c r="C502" s="337"/>
      <c r="D502" s="164"/>
      <c r="E502" s="337"/>
      <c r="F502" s="164"/>
      <c r="G502" s="337"/>
      <c r="H502" s="164"/>
      <c r="I502" s="365"/>
      <c r="J502" s="184"/>
      <c r="K502" s="365"/>
      <c r="L502" s="184"/>
      <c r="M502" s="337"/>
      <c r="N502" s="164"/>
      <c r="O502" s="337"/>
      <c r="P502" s="164"/>
      <c r="Q502" s="366"/>
      <c r="R502" s="366"/>
      <c r="S502" s="17"/>
      <c r="T502" s="17"/>
      <c r="U502" s="17"/>
      <c r="V502" s="17"/>
    </row>
    <row r="503">
      <c r="A503" s="337"/>
      <c r="B503" s="164"/>
      <c r="C503" s="337"/>
      <c r="D503" s="164"/>
      <c r="E503" s="337"/>
      <c r="F503" s="164"/>
      <c r="G503" s="337"/>
      <c r="H503" s="164"/>
      <c r="I503" s="365"/>
      <c r="J503" s="184"/>
      <c r="K503" s="365"/>
      <c r="L503" s="184"/>
      <c r="M503" s="337"/>
      <c r="N503" s="164"/>
      <c r="O503" s="337"/>
      <c r="P503" s="164"/>
      <c r="Q503" s="366"/>
      <c r="R503" s="366"/>
      <c r="S503" s="17"/>
      <c r="T503" s="17"/>
      <c r="U503" s="17"/>
      <c r="V503" s="17"/>
    </row>
    <row r="504">
      <c r="A504" s="337"/>
      <c r="B504" s="164"/>
      <c r="C504" s="337"/>
      <c r="D504" s="164"/>
      <c r="E504" s="337"/>
      <c r="F504" s="164"/>
      <c r="G504" s="337"/>
      <c r="H504" s="164"/>
      <c r="I504" s="365"/>
      <c r="J504" s="184"/>
      <c r="K504" s="365"/>
      <c r="L504" s="184"/>
      <c r="M504" s="337"/>
      <c r="N504" s="164"/>
      <c r="O504" s="337"/>
      <c r="P504" s="164"/>
      <c r="Q504" s="366"/>
      <c r="R504" s="366"/>
      <c r="S504" s="17"/>
      <c r="T504" s="17"/>
      <c r="U504" s="17"/>
      <c r="V504" s="17"/>
    </row>
    <row r="505">
      <c r="A505" s="337"/>
      <c r="B505" s="164"/>
      <c r="C505" s="337"/>
      <c r="D505" s="164"/>
      <c r="E505" s="337"/>
      <c r="F505" s="164"/>
      <c r="G505" s="337"/>
      <c r="H505" s="164"/>
      <c r="I505" s="365"/>
      <c r="J505" s="184"/>
      <c r="K505" s="365"/>
      <c r="L505" s="184"/>
      <c r="M505" s="337"/>
      <c r="N505" s="164"/>
      <c r="O505" s="337"/>
      <c r="P505" s="164"/>
      <c r="Q505" s="366"/>
      <c r="R505" s="366"/>
      <c r="S505" s="17"/>
      <c r="T505" s="17"/>
      <c r="U505" s="17"/>
      <c r="V505" s="17"/>
    </row>
    <row r="506">
      <c r="A506" s="337"/>
      <c r="B506" s="164"/>
      <c r="C506" s="337"/>
      <c r="D506" s="164"/>
      <c r="E506" s="337"/>
      <c r="F506" s="164"/>
      <c r="G506" s="337"/>
      <c r="H506" s="164"/>
      <c r="I506" s="365"/>
      <c r="J506" s="184"/>
      <c r="K506" s="365"/>
      <c r="L506" s="184"/>
      <c r="M506" s="337"/>
      <c r="N506" s="164"/>
      <c r="O506" s="337"/>
      <c r="P506" s="164"/>
      <c r="Q506" s="366"/>
      <c r="R506" s="366"/>
      <c r="S506" s="17"/>
      <c r="T506" s="17"/>
      <c r="U506" s="17"/>
      <c r="V506" s="17"/>
    </row>
    <row r="507">
      <c r="A507" s="337"/>
      <c r="B507" s="164"/>
      <c r="C507" s="337"/>
      <c r="D507" s="164"/>
      <c r="E507" s="337"/>
      <c r="F507" s="164"/>
      <c r="G507" s="337"/>
      <c r="H507" s="164"/>
      <c r="I507" s="365"/>
      <c r="J507" s="184"/>
      <c r="K507" s="365"/>
      <c r="L507" s="184"/>
      <c r="M507" s="337"/>
      <c r="N507" s="164"/>
      <c r="O507" s="337"/>
      <c r="P507" s="164"/>
      <c r="Q507" s="366"/>
      <c r="R507" s="366"/>
      <c r="S507" s="17"/>
      <c r="T507" s="17"/>
      <c r="U507" s="17"/>
      <c r="V507" s="17"/>
    </row>
    <row r="508">
      <c r="A508" s="337"/>
      <c r="B508" s="164"/>
      <c r="C508" s="337"/>
      <c r="D508" s="164"/>
      <c r="E508" s="337"/>
      <c r="F508" s="164"/>
      <c r="G508" s="337"/>
      <c r="H508" s="164"/>
      <c r="I508" s="365"/>
      <c r="J508" s="184"/>
      <c r="K508" s="365"/>
      <c r="L508" s="184"/>
      <c r="M508" s="337"/>
      <c r="N508" s="164"/>
      <c r="O508" s="337"/>
      <c r="P508" s="164"/>
      <c r="Q508" s="366"/>
      <c r="R508" s="366"/>
      <c r="S508" s="17"/>
      <c r="T508" s="17"/>
      <c r="U508" s="17"/>
      <c r="V508" s="17"/>
    </row>
    <row r="509">
      <c r="A509" s="337"/>
      <c r="B509" s="164"/>
      <c r="C509" s="337"/>
      <c r="D509" s="164"/>
      <c r="E509" s="337"/>
      <c r="F509" s="164"/>
      <c r="G509" s="337"/>
      <c r="H509" s="164"/>
      <c r="I509" s="365"/>
      <c r="J509" s="184"/>
      <c r="K509" s="365"/>
      <c r="L509" s="184"/>
      <c r="M509" s="337"/>
      <c r="N509" s="164"/>
      <c r="O509" s="337"/>
      <c r="P509" s="164"/>
      <c r="Q509" s="366"/>
      <c r="R509" s="366"/>
      <c r="S509" s="17"/>
      <c r="T509" s="17"/>
      <c r="U509" s="17"/>
      <c r="V509" s="17"/>
    </row>
    <row r="510">
      <c r="A510" s="337"/>
      <c r="B510" s="164"/>
      <c r="C510" s="337"/>
      <c r="D510" s="164"/>
      <c r="E510" s="337"/>
      <c r="F510" s="164"/>
      <c r="G510" s="337"/>
      <c r="H510" s="164"/>
      <c r="I510" s="365"/>
      <c r="J510" s="184"/>
      <c r="K510" s="365"/>
      <c r="L510" s="184"/>
      <c r="M510" s="337"/>
      <c r="N510" s="164"/>
      <c r="O510" s="337"/>
      <c r="P510" s="164"/>
      <c r="Q510" s="366"/>
      <c r="R510" s="366"/>
      <c r="S510" s="17"/>
      <c r="T510" s="17"/>
      <c r="U510" s="17"/>
      <c r="V510" s="17"/>
    </row>
    <row r="511">
      <c r="A511" s="337"/>
      <c r="B511" s="164"/>
      <c r="C511" s="337"/>
      <c r="D511" s="164"/>
      <c r="E511" s="337"/>
      <c r="F511" s="164"/>
      <c r="G511" s="337"/>
      <c r="H511" s="164"/>
      <c r="I511" s="365"/>
      <c r="J511" s="184"/>
      <c r="K511" s="365"/>
      <c r="L511" s="184"/>
      <c r="M511" s="337"/>
      <c r="N511" s="164"/>
      <c r="O511" s="337"/>
      <c r="P511" s="164"/>
      <c r="Q511" s="366"/>
      <c r="R511" s="366"/>
      <c r="S511" s="17"/>
      <c r="T511" s="17"/>
      <c r="U511" s="17"/>
      <c r="V511" s="17"/>
    </row>
    <row r="512">
      <c r="A512" s="337"/>
      <c r="B512" s="164"/>
      <c r="C512" s="337"/>
      <c r="D512" s="164"/>
      <c r="E512" s="337"/>
      <c r="F512" s="164"/>
      <c r="G512" s="337"/>
      <c r="H512" s="164"/>
      <c r="I512" s="365"/>
      <c r="J512" s="184"/>
      <c r="K512" s="365"/>
      <c r="L512" s="184"/>
      <c r="M512" s="337"/>
      <c r="N512" s="164"/>
      <c r="O512" s="337"/>
      <c r="P512" s="164"/>
      <c r="Q512" s="366"/>
      <c r="R512" s="366"/>
      <c r="S512" s="17"/>
      <c r="T512" s="17"/>
      <c r="U512" s="17"/>
      <c r="V512" s="17"/>
    </row>
    <row r="513">
      <c r="A513" s="337"/>
      <c r="B513" s="164"/>
      <c r="C513" s="337"/>
      <c r="D513" s="164"/>
      <c r="E513" s="337"/>
      <c r="F513" s="164"/>
      <c r="G513" s="337"/>
      <c r="H513" s="164"/>
      <c r="I513" s="365"/>
      <c r="J513" s="184"/>
      <c r="K513" s="365"/>
      <c r="L513" s="184"/>
      <c r="M513" s="337"/>
      <c r="N513" s="164"/>
      <c r="O513" s="337"/>
      <c r="P513" s="164"/>
      <c r="Q513" s="366"/>
      <c r="R513" s="366"/>
      <c r="S513" s="17"/>
      <c r="T513" s="17"/>
      <c r="U513" s="17"/>
      <c r="V513" s="17"/>
    </row>
    <row r="514">
      <c r="A514" s="337"/>
      <c r="B514" s="164"/>
      <c r="C514" s="337"/>
      <c r="D514" s="164"/>
      <c r="E514" s="337"/>
      <c r="F514" s="164"/>
      <c r="G514" s="337"/>
      <c r="H514" s="164"/>
      <c r="I514" s="365"/>
      <c r="J514" s="184"/>
      <c r="K514" s="365"/>
      <c r="L514" s="184"/>
      <c r="M514" s="337"/>
      <c r="N514" s="164"/>
      <c r="O514" s="337"/>
      <c r="P514" s="164"/>
      <c r="Q514" s="366"/>
      <c r="R514" s="366"/>
      <c r="S514" s="17"/>
      <c r="T514" s="17"/>
      <c r="U514" s="17"/>
      <c r="V514" s="17"/>
    </row>
    <row r="515">
      <c r="A515" s="337"/>
      <c r="B515" s="164"/>
      <c r="C515" s="337"/>
      <c r="D515" s="164"/>
      <c r="E515" s="337"/>
      <c r="F515" s="164"/>
      <c r="G515" s="337"/>
      <c r="H515" s="164"/>
      <c r="I515" s="365"/>
      <c r="J515" s="184"/>
      <c r="K515" s="365"/>
      <c r="L515" s="184"/>
      <c r="M515" s="337"/>
      <c r="N515" s="164"/>
      <c r="O515" s="337"/>
      <c r="P515" s="164"/>
      <c r="Q515" s="366"/>
      <c r="R515" s="366"/>
      <c r="S515" s="17"/>
      <c r="T515" s="17"/>
      <c r="U515" s="17"/>
      <c r="V515" s="17"/>
    </row>
    <row r="516">
      <c r="A516" s="337"/>
      <c r="B516" s="164"/>
      <c r="C516" s="337"/>
      <c r="D516" s="164"/>
      <c r="E516" s="337"/>
      <c r="F516" s="164"/>
      <c r="G516" s="337"/>
      <c r="H516" s="164"/>
      <c r="I516" s="365"/>
      <c r="J516" s="184"/>
      <c r="K516" s="365"/>
      <c r="L516" s="184"/>
      <c r="M516" s="337"/>
      <c r="N516" s="164"/>
      <c r="O516" s="337"/>
      <c r="P516" s="164"/>
      <c r="Q516" s="366"/>
      <c r="R516" s="366"/>
      <c r="S516" s="17"/>
      <c r="T516" s="17"/>
      <c r="U516" s="17"/>
      <c r="V516" s="17"/>
    </row>
    <row r="517">
      <c r="A517" s="337"/>
      <c r="B517" s="164"/>
      <c r="C517" s="337"/>
      <c r="D517" s="164"/>
      <c r="E517" s="337"/>
      <c r="F517" s="164"/>
      <c r="G517" s="337"/>
      <c r="H517" s="164"/>
      <c r="I517" s="365"/>
      <c r="J517" s="184"/>
      <c r="K517" s="365"/>
      <c r="L517" s="184"/>
      <c r="M517" s="337"/>
      <c r="N517" s="164"/>
      <c r="O517" s="337"/>
      <c r="P517" s="164"/>
      <c r="Q517" s="366"/>
      <c r="R517" s="366"/>
      <c r="S517" s="17"/>
      <c r="T517" s="17"/>
      <c r="U517" s="17"/>
      <c r="V517" s="17"/>
    </row>
    <row r="518">
      <c r="A518" s="337"/>
      <c r="B518" s="164"/>
      <c r="C518" s="337"/>
      <c r="D518" s="164"/>
      <c r="E518" s="337"/>
      <c r="F518" s="164"/>
      <c r="G518" s="337"/>
      <c r="H518" s="164"/>
      <c r="I518" s="365"/>
      <c r="J518" s="184"/>
      <c r="K518" s="365"/>
      <c r="L518" s="184"/>
      <c r="M518" s="337"/>
      <c r="N518" s="164"/>
      <c r="O518" s="337"/>
      <c r="P518" s="164"/>
      <c r="Q518" s="366"/>
      <c r="R518" s="366"/>
      <c r="S518" s="17"/>
      <c r="T518" s="17"/>
      <c r="U518" s="17"/>
      <c r="V518" s="17"/>
    </row>
    <row r="519">
      <c r="A519" s="337"/>
      <c r="B519" s="164"/>
      <c r="C519" s="337"/>
      <c r="D519" s="164"/>
      <c r="E519" s="337"/>
      <c r="F519" s="164"/>
      <c r="G519" s="337"/>
      <c r="H519" s="164"/>
      <c r="I519" s="365"/>
      <c r="J519" s="184"/>
      <c r="K519" s="365"/>
      <c r="L519" s="184"/>
      <c r="M519" s="337"/>
      <c r="N519" s="164"/>
      <c r="O519" s="337"/>
      <c r="P519" s="164"/>
      <c r="Q519" s="366"/>
      <c r="R519" s="366"/>
      <c r="S519" s="17"/>
      <c r="T519" s="17"/>
      <c r="U519" s="17"/>
      <c r="V519" s="17"/>
    </row>
    <row r="520">
      <c r="A520" s="337"/>
      <c r="B520" s="164"/>
      <c r="C520" s="337"/>
      <c r="D520" s="164"/>
      <c r="E520" s="337"/>
      <c r="F520" s="164"/>
      <c r="G520" s="337"/>
      <c r="H520" s="164"/>
      <c r="I520" s="365"/>
      <c r="J520" s="184"/>
      <c r="K520" s="365"/>
      <c r="L520" s="184"/>
      <c r="M520" s="337"/>
      <c r="N520" s="164"/>
      <c r="O520" s="337"/>
      <c r="P520" s="164"/>
      <c r="Q520" s="366"/>
      <c r="R520" s="366"/>
      <c r="S520" s="17"/>
      <c r="T520" s="17"/>
      <c r="U520" s="17"/>
      <c r="V520" s="17"/>
    </row>
    <row r="521">
      <c r="A521" s="337"/>
      <c r="B521" s="164"/>
      <c r="C521" s="337"/>
      <c r="D521" s="164"/>
      <c r="E521" s="337"/>
      <c r="F521" s="164"/>
      <c r="G521" s="337"/>
      <c r="H521" s="164"/>
      <c r="I521" s="365"/>
      <c r="J521" s="184"/>
      <c r="K521" s="365"/>
      <c r="L521" s="184"/>
      <c r="M521" s="337"/>
      <c r="N521" s="164"/>
      <c r="O521" s="337"/>
      <c r="P521" s="164"/>
      <c r="Q521" s="366"/>
      <c r="R521" s="366"/>
      <c r="S521" s="17"/>
      <c r="T521" s="17"/>
      <c r="U521" s="17"/>
      <c r="V521" s="17"/>
    </row>
    <row r="522">
      <c r="A522" s="337"/>
      <c r="B522" s="164"/>
      <c r="C522" s="337"/>
      <c r="D522" s="164"/>
      <c r="E522" s="337"/>
      <c r="F522" s="164"/>
      <c r="G522" s="337"/>
      <c r="H522" s="164"/>
      <c r="I522" s="365"/>
      <c r="J522" s="184"/>
      <c r="K522" s="365"/>
      <c r="L522" s="184"/>
      <c r="M522" s="337"/>
      <c r="N522" s="164"/>
      <c r="O522" s="337"/>
      <c r="P522" s="164"/>
      <c r="Q522" s="366"/>
      <c r="R522" s="366"/>
      <c r="S522" s="17"/>
      <c r="T522" s="17"/>
      <c r="U522" s="17"/>
      <c r="V522" s="17"/>
    </row>
    <row r="523">
      <c r="A523" s="337"/>
      <c r="B523" s="164"/>
      <c r="C523" s="337"/>
      <c r="D523" s="164"/>
      <c r="E523" s="337"/>
      <c r="F523" s="164"/>
      <c r="G523" s="337"/>
      <c r="H523" s="164"/>
      <c r="I523" s="365"/>
      <c r="J523" s="184"/>
      <c r="K523" s="365"/>
      <c r="L523" s="184"/>
      <c r="M523" s="337"/>
      <c r="N523" s="164"/>
      <c r="O523" s="337"/>
      <c r="P523" s="164"/>
      <c r="Q523" s="366"/>
      <c r="R523" s="366"/>
      <c r="S523" s="17"/>
      <c r="T523" s="17"/>
      <c r="U523" s="17"/>
      <c r="V523" s="17"/>
    </row>
    <row r="524">
      <c r="A524" s="337"/>
      <c r="B524" s="164"/>
      <c r="C524" s="337"/>
      <c r="D524" s="164"/>
      <c r="E524" s="337"/>
      <c r="F524" s="164"/>
      <c r="G524" s="337"/>
      <c r="H524" s="164"/>
      <c r="I524" s="365"/>
      <c r="J524" s="184"/>
      <c r="K524" s="365"/>
      <c r="L524" s="184"/>
      <c r="M524" s="337"/>
      <c r="N524" s="164"/>
      <c r="O524" s="337"/>
      <c r="P524" s="164"/>
      <c r="Q524" s="366"/>
      <c r="R524" s="366"/>
      <c r="S524" s="17"/>
      <c r="T524" s="17"/>
      <c r="U524" s="17"/>
      <c r="V524" s="17"/>
    </row>
    <row r="525">
      <c r="A525" s="337"/>
      <c r="B525" s="164"/>
      <c r="C525" s="337"/>
      <c r="D525" s="164"/>
      <c r="E525" s="337"/>
      <c r="F525" s="164"/>
      <c r="G525" s="337"/>
      <c r="H525" s="164"/>
      <c r="I525" s="365"/>
      <c r="J525" s="184"/>
      <c r="K525" s="365"/>
      <c r="L525" s="184"/>
      <c r="M525" s="337"/>
      <c r="N525" s="164"/>
      <c r="O525" s="337"/>
      <c r="P525" s="164"/>
      <c r="Q525" s="366"/>
      <c r="R525" s="366"/>
      <c r="S525" s="17"/>
      <c r="T525" s="17"/>
      <c r="U525" s="17"/>
      <c r="V525" s="17"/>
    </row>
    <row r="526">
      <c r="A526" s="337"/>
      <c r="B526" s="164"/>
      <c r="C526" s="337"/>
      <c r="D526" s="164"/>
      <c r="E526" s="337"/>
      <c r="F526" s="164"/>
      <c r="G526" s="337"/>
      <c r="H526" s="164"/>
      <c r="I526" s="365"/>
      <c r="J526" s="184"/>
      <c r="K526" s="365"/>
      <c r="L526" s="184"/>
      <c r="M526" s="337"/>
      <c r="N526" s="164"/>
      <c r="O526" s="337"/>
      <c r="P526" s="164"/>
      <c r="Q526" s="366"/>
      <c r="R526" s="366"/>
      <c r="S526" s="17"/>
      <c r="T526" s="17"/>
      <c r="U526" s="17"/>
      <c r="V526" s="17"/>
    </row>
    <row r="527">
      <c r="A527" s="337"/>
      <c r="B527" s="164"/>
      <c r="C527" s="337"/>
      <c r="D527" s="164"/>
      <c r="E527" s="337"/>
      <c r="F527" s="164"/>
      <c r="G527" s="337"/>
      <c r="H527" s="164"/>
      <c r="I527" s="365"/>
      <c r="J527" s="184"/>
      <c r="K527" s="365"/>
      <c r="L527" s="184"/>
      <c r="M527" s="337"/>
      <c r="N527" s="164"/>
      <c r="O527" s="337"/>
      <c r="P527" s="164"/>
      <c r="Q527" s="366"/>
      <c r="R527" s="366"/>
      <c r="S527" s="17"/>
      <c r="T527" s="17"/>
      <c r="U527" s="17"/>
      <c r="V527" s="17"/>
    </row>
    <row r="528">
      <c r="A528" s="337"/>
      <c r="B528" s="164"/>
      <c r="C528" s="337"/>
      <c r="D528" s="164"/>
      <c r="E528" s="337"/>
      <c r="F528" s="164"/>
      <c r="G528" s="337"/>
      <c r="H528" s="164"/>
      <c r="I528" s="365"/>
      <c r="J528" s="184"/>
      <c r="K528" s="365"/>
      <c r="L528" s="184"/>
      <c r="M528" s="337"/>
      <c r="N528" s="164"/>
      <c r="O528" s="337"/>
      <c r="P528" s="164"/>
      <c r="Q528" s="366"/>
      <c r="R528" s="366"/>
      <c r="S528" s="17"/>
      <c r="T528" s="17"/>
      <c r="U528" s="17"/>
      <c r="V528" s="17"/>
    </row>
    <row r="529">
      <c r="A529" s="337"/>
      <c r="B529" s="164"/>
      <c r="C529" s="337"/>
      <c r="D529" s="164"/>
      <c r="E529" s="337"/>
      <c r="F529" s="164"/>
      <c r="G529" s="337"/>
      <c r="H529" s="164"/>
      <c r="I529" s="365"/>
      <c r="J529" s="184"/>
      <c r="K529" s="365"/>
      <c r="L529" s="184"/>
      <c r="M529" s="337"/>
      <c r="N529" s="164"/>
      <c r="O529" s="337"/>
      <c r="P529" s="164"/>
      <c r="Q529" s="366"/>
      <c r="R529" s="366"/>
      <c r="S529" s="17"/>
      <c r="T529" s="17"/>
      <c r="U529" s="17"/>
      <c r="V529" s="17"/>
    </row>
    <row r="530">
      <c r="A530" s="337"/>
      <c r="B530" s="164"/>
      <c r="C530" s="337"/>
      <c r="D530" s="164"/>
      <c r="E530" s="337"/>
      <c r="F530" s="164"/>
      <c r="G530" s="337"/>
      <c r="H530" s="164"/>
      <c r="I530" s="365"/>
      <c r="J530" s="184"/>
      <c r="K530" s="365"/>
      <c r="L530" s="184"/>
      <c r="M530" s="337"/>
      <c r="N530" s="164"/>
      <c r="O530" s="337"/>
      <c r="P530" s="164"/>
      <c r="Q530" s="366"/>
      <c r="R530" s="366"/>
      <c r="S530" s="17"/>
      <c r="T530" s="17"/>
      <c r="U530" s="17"/>
      <c r="V530" s="17"/>
    </row>
    <row r="531">
      <c r="A531" s="337"/>
      <c r="B531" s="164"/>
      <c r="C531" s="337"/>
      <c r="D531" s="164"/>
      <c r="E531" s="337"/>
      <c r="F531" s="164"/>
      <c r="G531" s="337"/>
      <c r="H531" s="164"/>
      <c r="I531" s="365"/>
      <c r="J531" s="184"/>
      <c r="K531" s="365"/>
      <c r="L531" s="184"/>
      <c r="M531" s="337"/>
      <c r="N531" s="164"/>
      <c r="O531" s="337"/>
      <c r="P531" s="164"/>
      <c r="Q531" s="366"/>
      <c r="R531" s="366"/>
      <c r="S531" s="17"/>
      <c r="T531" s="17"/>
      <c r="U531" s="17"/>
      <c r="V531" s="17"/>
    </row>
    <row r="532">
      <c r="A532" s="337"/>
      <c r="B532" s="164"/>
      <c r="C532" s="337"/>
      <c r="D532" s="164"/>
      <c r="E532" s="337"/>
      <c r="F532" s="164"/>
      <c r="G532" s="337"/>
      <c r="H532" s="164"/>
      <c r="I532" s="365"/>
      <c r="J532" s="184"/>
      <c r="K532" s="365"/>
      <c r="L532" s="184"/>
      <c r="M532" s="337"/>
      <c r="N532" s="164"/>
      <c r="O532" s="337"/>
      <c r="P532" s="164"/>
      <c r="Q532" s="366"/>
      <c r="R532" s="366"/>
      <c r="S532" s="17"/>
      <c r="T532" s="17"/>
      <c r="U532" s="17"/>
      <c r="V532" s="17"/>
    </row>
    <row r="533">
      <c r="A533" s="337"/>
      <c r="B533" s="164"/>
      <c r="C533" s="337"/>
      <c r="D533" s="164"/>
      <c r="E533" s="337"/>
      <c r="F533" s="164"/>
      <c r="G533" s="337"/>
      <c r="H533" s="164"/>
      <c r="I533" s="365"/>
      <c r="J533" s="184"/>
      <c r="K533" s="365"/>
      <c r="L533" s="184"/>
      <c r="M533" s="337"/>
      <c r="N533" s="164"/>
      <c r="O533" s="337"/>
      <c r="P533" s="164"/>
      <c r="Q533" s="366"/>
      <c r="R533" s="366"/>
      <c r="S533" s="17"/>
      <c r="T533" s="17"/>
      <c r="U533" s="17"/>
      <c r="V533" s="17"/>
    </row>
    <row r="534">
      <c r="A534" s="337"/>
      <c r="B534" s="164"/>
      <c r="C534" s="337"/>
      <c r="D534" s="164"/>
      <c r="E534" s="337"/>
      <c r="F534" s="164"/>
      <c r="G534" s="337"/>
      <c r="H534" s="164"/>
      <c r="I534" s="365"/>
      <c r="J534" s="184"/>
      <c r="K534" s="365"/>
      <c r="L534" s="184"/>
      <c r="M534" s="337"/>
      <c r="N534" s="164"/>
      <c r="O534" s="337"/>
      <c r="P534" s="164"/>
      <c r="Q534" s="366"/>
      <c r="R534" s="366"/>
      <c r="S534" s="17"/>
      <c r="T534" s="17"/>
      <c r="U534" s="17"/>
      <c r="V534" s="17"/>
    </row>
    <row r="535">
      <c r="A535" s="337"/>
      <c r="B535" s="164"/>
      <c r="C535" s="337"/>
      <c r="D535" s="164"/>
      <c r="E535" s="337"/>
      <c r="F535" s="164"/>
      <c r="G535" s="337"/>
      <c r="H535" s="164"/>
      <c r="I535" s="365"/>
      <c r="J535" s="184"/>
      <c r="K535" s="365"/>
      <c r="L535" s="184"/>
      <c r="M535" s="337"/>
      <c r="N535" s="164"/>
      <c r="O535" s="337"/>
      <c r="P535" s="164"/>
      <c r="Q535" s="366"/>
      <c r="R535" s="366"/>
      <c r="S535" s="17"/>
      <c r="T535" s="17"/>
      <c r="U535" s="17"/>
      <c r="V535" s="17"/>
    </row>
    <row r="536">
      <c r="A536" s="337"/>
      <c r="B536" s="164"/>
      <c r="C536" s="337"/>
      <c r="D536" s="164"/>
      <c r="E536" s="337"/>
      <c r="F536" s="164"/>
      <c r="G536" s="337"/>
      <c r="H536" s="164"/>
      <c r="I536" s="365"/>
      <c r="J536" s="184"/>
      <c r="K536" s="365"/>
      <c r="L536" s="184"/>
      <c r="M536" s="337"/>
      <c r="N536" s="164"/>
      <c r="O536" s="337"/>
      <c r="P536" s="164"/>
      <c r="Q536" s="366"/>
      <c r="R536" s="366"/>
      <c r="S536" s="17"/>
      <c r="T536" s="17"/>
      <c r="U536" s="17"/>
      <c r="V536" s="17"/>
    </row>
    <row r="537">
      <c r="A537" s="337"/>
      <c r="B537" s="164"/>
      <c r="C537" s="337"/>
      <c r="D537" s="164"/>
      <c r="E537" s="337"/>
      <c r="F537" s="164"/>
      <c r="G537" s="337"/>
      <c r="H537" s="164"/>
      <c r="I537" s="365"/>
      <c r="J537" s="184"/>
      <c r="K537" s="365"/>
      <c r="L537" s="184"/>
      <c r="M537" s="337"/>
      <c r="N537" s="164"/>
      <c r="O537" s="337"/>
      <c r="P537" s="164"/>
      <c r="Q537" s="366"/>
      <c r="R537" s="366"/>
      <c r="S537" s="17"/>
      <c r="T537" s="17"/>
      <c r="U537" s="17"/>
      <c r="V537" s="17"/>
    </row>
    <row r="538">
      <c r="A538" s="337"/>
      <c r="B538" s="164"/>
      <c r="C538" s="337"/>
      <c r="D538" s="164"/>
      <c r="E538" s="337"/>
      <c r="F538" s="164"/>
      <c r="G538" s="337"/>
      <c r="H538" s="164"/>
      <c r="I538" s="365"/>
      <c r="J538" s="184"/>
      <c r="K538" s="365"/>
      <c r="L538" s="184"/>
      <c r="M538" s="337"/>
      <c r="N538" s="164"/>
      <c r="O538" s="337"/>
      <c r="P538" s="164"/>
      <c r="Q538" s="366"/>
      <c r="R538" s="366"/>
      <c r="S538" s="17"/>
      <c r="T538" s="17"/>
      <c r="U538" s="17"/>
      <c r="V538" s="17"/>
    </row>
    <row r="539">
      <c r="A539" s="337"/>
      <c r="B539" s="164"/>
      <c r="C539" s="337"/>
      <c r="D539" s="164"/>
      <c r="E539" s="337"/>
      <c r="F539" s="164"/>
      <c r="G539" s="337"/>
      <c r="H539" s="164"/>
      <c r="I539" s="365"/>
      <c r="J539" s="184"/>
      <c r="K539" s="365"/>
      <c r="L539" s="184"/>
      <c r="M539" s="337"/>
      <c r="N539" s="164"/>
      <c r="O539" s="337"/>
      <c r="P539" s="164"/>
      <c r="Q539" s="366"/>
      <c r="R539" s="366"/>
      <c r="S539" s="17"/>
      <c r="T539" s="17"/>
      <c r="U539" s="17"/>
      <c r="V539" s="17"/>
    </row>
    <row r="540">
      <c r="A540" s="337"/>
      <c r="B540" s="164"/>
      <c r="C540" s="337"/>
      <c r="D540" s="164"/>
      <c r="E540" s="337"/>
      <c r="F540" s="164"/>
      <c r="G540" s="337"/>
      <c r="H540" s="164"/>
      <c r="I540" s="365"/>
      <c r="J540" s="184"/>
      <c r="K540" s="365"/>
      <c r="L540" s="184"/>
      <c r="M540" s="337"/>
      <c r="N540" s="164"/>
      <c r="O540" s="337"/>
      <c r="P540" s="164"/>
      <c r="Q540" s="366"/>
      <c r="R540" s="366"/>
      <c r="S540" s="17"/>
      <c r="T540" s="17"/>
      <c r="U540" s="17"/>
      <c r="V540" s="17"/>
    </row>
    <row r="541">
      <c r="A541" s="337"/>
      <c r="B541" s="164"/>
      <c r="C541" s="337"/>
      <c r="D541" s="164"/>
      <c r="E541" s="337"/>
      <c r="F541" s="164"/>
      <c r="G541" s="337"/>
      <c r="H541" s="164"/>
      <c r="I541" s="365"/>
      <c r="J541" s="184"/>
      <c r="K541" s="365"/>
      <c r="L541" s="184"/>
      <c r="M541" s="337"/>
      <c r="N541" s="164"/>
      <c r="O541" s="337"/>
      <c r="P541" s="164"/>
      <c r="Q541" s="366"/>
      <c r="R541" s="366"/>
      <c r="S541" s="17"/>
      <c r="T541" s="17"/>
      <c r="U541" s="17"/>
      <c r="V541" s="17"/>
    </row>
    <row r="542">
      <c r="A542" s="337"/>
      <c r="B542" s="164"/>
      <c r="C542" s="337"/>
      <c r="D542" s="164"/>
      <c r="E542" s="337"/>
      <c r="F542" s="164"/>
      <c r="G542" s="337"/>
      <c r="H542" s="164"/>
      <c r="I542" s="365"/>
      <c r="J542" s="184"/>
      <c r="K542" s="365"/>
      <c r="L542" s="184"/>
      <c r="M542" s="337"/>
      <c r="N542" s="164"/>
      <c r="O542" s="337"/>
      <c r="P542" s="164"/>
      <c r="Q542" s="366"/>
      <c r="R542" s="366"/>
      <c r="S542" s="17"/>
      <c r="T542" s="17"/>
      <c r="U542" s="17"/>
      <c r="V542" s="17"/>
    </row>
    <row r="543">
      <c r="A543" s="337"/>
      <c r="B543" s="164"/>
      <c r="C543" s="337"/>
      <c r="D543" s="164"/>
      <c r="E543" s="337"/>
      <c r="F543" s="164"/>
      <c r="G543" s="337"/>
      <c r="H543" s="164"/>
      <c r="I543" s="365"/>
      <c r="J543" s="184"/>
      <c r="K543" s="365"/>
      <c r="L543" s="184"/>
      <c r="M543" s="337"/>
      <c r="N543" s="164"/>
      <c r="O543" s="337"/>
      <c r="P543" s="164"/>
      <c r="Q543" s="366"/>
      <c r="R543" s="366"/>
      <c r="S543" s="17"/>
      <c r="T543" s="17"/>
      <c r="U543" s="17"/>
      <c r="V543" s="17"/>
    </row>
    <row r="544">
      <c r="A544" s="337"/>
      <c r="B544" s="164"/>
      <c r="C544" s="337"/>
      <c r="D544" s="164"/>
      <c r="E544" s="337"/>
      <c r="F544" s="164"/>
      <c r="G544" s="337"/>
      <c r="H544" s="164"/>
      <c r="I544" s="365"/>
      <c r="J544" s="184"/>
      <c r="K544" s="365"/>
      <c r="L544" s="184"/>
      <c r="M544" s="337"/>
      <c r="N544" s="164"/>
      <c r="O544" s="337"/>
      <c r="P544" s="164"/>
      <c r="Q544" s="366"/>
      <c r="R544" s="366"/>
      <c r="S544" s="17"/>
      <c r="T544" s="17"/>
      <c r="U544" s="17"/>
      <c r="V544" s="17"/>
    </row>
    <row r="545">
      <c r="A545" s="337"/>
      <c r="B545" s="164"/>
      <c r="C545" s="337"/>
      <c r="D545" s="164"/>
      <c r="E545" s="337"/>
      <c r="F545" s="164"/>
      <c r="G545" s="337"/>
      <c r="H545" s="164"/>
      <c r="I545" s="365"/>
      <c r="J545" s="184"/>
      <c r="K545" s="365"/>
      <c r="L545" s="184"/>
      <c r="M545" s="337"/>
      <c r="N545" s="164"/>
      <c r="O545" s="337"/>
      <c r="P545" s="164"/>
      <c r="Q545" s="366"/>
      <c r="R545" s="366"/>
      <c r="S545" s="17"/>
      <c r="T545" s="17"/>
      <c r="U545" s="17"/>
      <c r="V545" s="17"/>
    </row>
    <row r="546">
      <c r="A546" s="337"/>
      <c r="B546" s="164"/>
      <c r="C546" s="337"/>
      <c r="D546" s="164"/>
      <c r="E546" s="337"/>
      <c r="F546" s="164"/>
      <c r="G546" s="337"/>
      <c r="H546" s="164"/>
      <c r="I546" s="365"/>
      <c r="J546" s="184"/>
      <c r="K546" s="365"/>
      <c r="L546" s="184"/>
      <c r="M546" s="337"/>
      <c r="N546" s="164"/>
      <c r="O546" s="337"/>
      <c r="P546" s="164"/>
      <c r="Q546" s="366"/>
      <c r="R546" s="366"/>
      <c r="S546" s="17"/>
      <c r="T546" s="17"/>
      <c r="U546" s="17"/>
      <c r="V546" s="17"/>
    </row>
    <row r="547">
      <c r="A547" s="337"/>
      <c r="B547" s="164"/>
      <c r="C547" s="337"/>
      <c r="D547" s="164"/>
      <c r="E547" s="337"/>
      <c r="F547" s="164"/>
      <c r="G547" s="337"/>
      <c r="H547" s="164"/>
      <c r="I547" s="365"/>
      <c r="J547" s="184"/>
      <c r="K547" s="365"/>
      <c r="L547" s="184"/>
      <c r="M547" s="337"/>
      <c r="N547" s="164"/>
      <c r="O547" s="337"/>
      <c r="P547" s="164"/>
      <c r="Q547" s="366"/>
      <c r="R547" s="366"/>
      <c r="S547" s="17"/>
      <c r="T547" s="17"/>
      <c r="U547" s="17"/>
      <c r="V547" s="17"/>
    </row>
    <row r="548">
      <c r="A548" s="337"/>
      <c r="B548" s="164"/>
      <c r="C548" s="337"/>
      <c r="D548" s="164"/>
      <c r="E548" s="337"/>
      <c r="F548" s="164"/>
      <c r="G548" s="337"/>
      <c r="H548" s="164"/>
      <c r="I548" s="365"/>
      <c r="J548" s="184"/>
      <c r="K548" s="365"/>
      <c r="L548" s="184"/>
      <c r="M548" s="337"/>
      <c r="N548" s="164"/>
      <c r="O548" s="337"/>
      <c r="P548" s="164"/>
      <c r="Q548" s="366"/>
      <c r="R548" s="366"/>
      <c r="S548" s="17"/>
      <c r="T548" s="17"/>
      <c r="U548" s="17"/>
      <c r="V548" s="17"/>
    </row>
    <row r="549">
      <c r="A549" s="337"/>
      <c r="B549" s="164"/>
      <c r="C549" s="337"/>
      <c r="D549" s="164"/>
      <c r="E549" s="337"/>
      <c r="F549" s="164"/>
      <c r="G549" s="337"/>
      <c r="H549" s="164"/>
      <c r="I549" s="365"/>
      <c r="J549" s="184"/>
      <c r="K549" s="365"/>
      <c r="L549" s="184"/>
      <c r="M549" s="337"/>
      <c r="N549" s="164"/>
      <c r="O549" s="337"/>
      <c r="P549" s="164"/>
      <c r="Q549" s="366"/>
      <c r="R549" s="366"/>
      <c r="S549" s="17"/>
      <c r="T549" s="17"/>
      <c r="U549" s="17"/>
      <c r="V549" s="17"/>
    </row>
    <row r="550">
      <c r="A550" s="337"/>
      <c r="B550" s="164"/>
      <c r="C550" s="337"/>
      <c r="D550" s="164"/>
      <c r="E550" s="337"/>
      <c r="F550" s="164"/>
      <c r="G550" s="337"/>
      <c r="H550" s="164"/>
      <c r="I550" s="365"/>
      <c r="J550" s="184"/>
      <c r="K550" s="365"/>
      <c r="L550" s="184"/>
      <c r="M550" s="337"/>
      <c r="N550" s="164"/>
      <c r="O550" s="337"/>
      <c r="P550" s="164"/>
      <c r="Q550" s="366"/>
      <c r="R550" s="366"/>
      <c r="S550" s="17"/>
      <c r="T550" s="17"/>
      <c r="U550" s="17"/>
      <c r="V550" s="17"/>
    </row>
    <row r="551">
      <c r="A551" s="337"/>
      <c r="B551" s="164"/>
      <c r="C551" s="337"/>
      <c r="D551" s="164"/>
      <c r="E551" s="337"/>
      <c r="F551" s="164"/>
      <c r="G551" s="337"/>
      <c r="H551" s="164"/>
      <c r="I551" s="365"/>
      <c r="J551" s="184"/>
      <c r="K551" s="365"/>
      <c r="L551" s="184"/>
      <c r="M551" s="337"/>
      <c r="N551" s="164"/>
      <c r="O551" s="337"/>
      <c r="P551" s="164"/>
      <c r="Q551" s="366"/>
      <c r="R551" s="366"/>
      <c r="S551" s="17"/>
      <c r="T551" s="17"/>
      <c r="U551" s="17"/>
      <c r="V551" s="17"/>
    </row>
    <row r="552">
      <c r="A552" s="337"/>
      <c r="B552" s="164"/>
      <c r="C552" s="337"/>
      <c r="D552" s="164"/>
      <c r="E552" s="337"/>
      <c r="F552" s="164"/>
      <c r="G552" s="337"/>
      <c r="H552" s="164"/>
      <c r="I552" s="365"/>
      <c r="J552" s="184"/>
      <c r="K552" s="365"/>
      <c r="L552" s="184"/>
      <c r="M552" s="337"/>
      <c r="N552" s="164"/>
      <c r="O552" s="337"/>
      <c r="P552" s="164"/>
      <c r="Q552" s="366"/>
      <c r="R552" s="366"/>
      <c r="S552" s="17"/>
      <c r="T552" s="17"/>
      <c r="U552" s="17"/>
      <c r="V552" s="17"/>
    </row>
    <row r="553">
      <c r="A553" s="337"/>
      <c r="B553" s="164"/>
      <c r="C553" s="337"/>
      <c r="D553" s="164"/>
      <c r="E553" s="337"/>
      <c r="F553" s="164"/>
      <c r="G553" s="337"/>
      <c r="H553" s="164"/>
      <c r="I553" s="365"/>
      <c r="J553" s="184"/>
      <c r="K553" s="365"/>
      <c r="L553" s="184"/>
      <c r="M553" s="337"/>
      <c r="N553" s="164"/>
      <c r="O553" s="337"/>
      <c r="P553" s="164"/>
      <c r="Q553" s="366"/>
      <c r="R553" s="366"/>
      <c r="S553" s="17"/>
      <c r="T553" s="17"/>
      <c r="U553" s="17"/>
      <c r="V553" s="17"/>
    </row>
    <row r="554">
      <c r="A554" s="337"/>
      <c r="B554" s="164"/>
      <c r="C554" s="337"/>
      <c r="D554" s="164"/>
      <c r="E554" s="337"/>
      <c r="F554" s="164"/>
      <c r="G554" s="337"/>
      <c r="H554" s="164"/>
      <c r="I554" s="365"/>
      <c r="J554" s="184"/>
      <c r="K554" s="365"/>
      <c r="L554" s="184"/>
      <c r="M554" s="337"/>
      <c r="N554" s="164"/>
      <c r="O554" s="337"/>
      <c r="P554" s="164"/>
      <c r="Q554" s="366"/>
      <c r="R554" s="366"/>
      <c r="S554" s="17"/>
      <c r="T554" s="17"/>
      <c r="U554" s="17"/>
      <c r="V554" s="17"/>
    </row>
    <row r="555">
      <c r="A555" s="337"/>
      <c r="B555" s="164"/>
      <c r="C555" s="337"/>
      <c r="D555" s="164"/>
      <c r="E555" s="337"/>
      <c r="F555" s="164"/>
      <c r="G555" s="337"/>
      <c r="H555" s="164"/>
      <c r="I555" s="365"/>
      <c r="J555" s="184"/>
      <c r="K555" s="365"/>
      <c r="L555" s="184"/>
      <c r="M555" s="337"/>
      <c r="N555" s="164"/>
      <c r="O555" s="337"/>
      <c r="P555" s="164"/>
      <c r="Q555" s="366"/>
      <c r="R555" s="366"/>
      <c r="S555" s="17"/>
      <c r="T555" s="17"/>
      <c r="U555" s="17"/>
      <c r="V555" s="17"/>
    </row>
    <row r="556">
      <c r="A556" s="337"/>
      <c r="B556" s="164"/>
      <c r="C556" s="337"/>
      <c r="D556" s="164"/>
      <c r="E556" s="337"/>
      <c r="F556" s="164"/>
      <c r="G556" s="337"/>
      <c r="H556" s="164"/>
      <c r="I556" s="365"/>
      <c r="J556" s="184"/>
      <c r="K556" s="365"/>
      <c r="L556" s="184"/>
      <c r="M556" s="337"/>
      <c r="N556" s="164"/>
      <c r="O556" s="337"/>
      <c r="P556" s="164"/>
      <c r="Q556" s="366"/>
      <c r="R556" s="366"/>
      <c r="S556" s="17"/>
      <c r="T556" s="17"/>
      <c r="U556" s="17"/>
      <c r="V556" s="17"/>
    </row>
    <row r="557">
      <c r="A557" s="337"/>
      <c r="B557" s="164"/>
      <c r="C557" s="337"/>
      <c r="D557" s="164"/>
      <c r="E557" s="337"/>
      <c r="F557" s="164"/>
      <c r="G557" s="337"/>
      <c r="H557" s="164"/>
      <c r="I557" s="365"/>
      <c r="J557" s="184"/>
      <c r="K557" s="365"/>
      <c r="L557" s="184"/>
      <c r="M557" s="337"/>
      <c r="N557" s="164"/>
      <c r="O557" s="337"/>
      <c r="P557" s="164"/>
      <c r="Q557" s="366"/>
      <c r="R557" s="366"/>
      <c r="S557" s="17"/>
      <c r="T557" s="17"/>
      <c r="U557" s="17"/>
      <c r="V557" s="17"/>
    </row>
    <row r="558">
      <c r="A558" s="337"/>
      <c r="B558" s="164"/>
      <c r="C558" s="337"/>
      <c r="D558" s="164"/>
      <c r="E558" s="337"/>
      <c r="F558" s="164"/>
      <c r="G558" s="337"/>
      <c r="H558" s="164"/>
      <c r="I558" s="365"/>
      <c r="J558" s="184"/>
      <c r="K558" s="365"/>
      <c r="L558" s="184"/>
      <c r="M558" s="337"/>
      <c r="N558" s="164"/>
      <c r="O558" s="337"/>
      <c r="P558" s="164"/>
      <c r="Q558" s="366"/>
      <c r="R558" s="366"/>
      <c r="S558" s="17"/>
      <c r="T558" s="17"/>
      <c r="U558" s="17"/>
      <c r="V558" s="17"/>
    </row>
    <row r="559">
      <c r="A559" s="337"/>
      <c r="B559" s="164"/>
      <c r="C559" s="337"/>
      <c r="D559" s="164"/>
      <c r="E559" s="337"/>
      <c r="F559" s="164"/>
      <c r="G559" s="337"/>
      <c r="H559" s="164"/>
      <c r="I559" s="365"/>
      <c r="J559" s="184"/>
      <c r="K559" s="365"/>
      <c r="L559" s="184"/>
      <c r="M559" s="337"/>
      <c r="N559" s="164"/>
      <c r="O559" s="337"/>
      <c r="P559" s="164"/>
      <c r="Q559" s="366"/>
      <c r="R559" s="366"/>
      <c r="S559" s="17"/>
      <c r="T559" s="17"/>
      <c r="U559" s="17"/>
      <c r="V559" s="17"/>
    </row>
    <row r="560">
      <c r="A560" s="337"/>
      <c r="B560" s="164"/>
      <c r="C560" s="337"/>
      <c r="D560" s="164"/>
      <c r="E560" s="337"/>
      <c r="F560" s="164"/>
      <c r="G560" s="337"/>
      <c r="H560" s="164"/>
      <c r="I560" s="365"/>
      <c r="J560" s="184"/>
      <c r="K560" s="365"/>
      <c r="L560" s="184"/>
      <c r="M560" s="337"/>
      <c r="N560" s="164"/>
      <c r="O560" s="337"/>
      <c r="P560" s="164"/>
      <c r="Q560" s="366"/>
      <c r="R560" s="366"/>
      <c r="S560" s="17"/>
      <c r="T560" s="17"/>
      <c r="U560" s="17"/>
      <c r="V560" s="17"/>
    </row>
    <row r="561">
      <c r="A561" s="337"/>
      <c r="B561" s="164"/>
      <c r="C561" s="337"/>
      <c r="D561" s="164"/>
      <c r="E561" s="337"/>
      <c r="F561" s="164"/>
      <c r="G561" s="337"/>
      <c r="H561" s="164"/>
      <c r="I561" s="365"/>
      <c r="J561" s="184"/>
      <c r="K561" s="365"/>
      <c r="L561" s="184"/>
      <c r="M561" s="337"/>
      <c r="N561" s="164"/>
      <c r="O561" s="337"/>
      <c r="P561" s="164"/>
      <c r="Q561" s="366"/>
      <c r="R561" s="366"/>
      <c r="S561" s="17"/>
      <c r="T561" s="17"/>
      <c r="U561" s="17"/>
      <c r="V561" s="17"/>
    </row>
    <row r="562">
      <c r="A562" s="337"/>
      <c r="B562" s="164"/>
      <c r="C562" s="337"/>
      <c r="D562" s="164"/>
      <c r="E562" s="337"/>
      <c r="F562" s="164"/>
      <c r="G562" s="337"/>
      <c r="H562" s="164"/>
      <c r="I562" s="365"/>
      <c r="J562" s="184"/>
      <c r="K562" s="365"/>
      <c r="L562" s="184"/>
      <c r="M562" s="337"/>
      <c r="N562" s="164"/>
      <c r="O562" s="337"/>
      <c r="P562" s="164"/>
      <c r="Q562" s="366"/>
      <c r="R562" s="366"/>
      <c r="S562" s="17"/>
      <c r="T562" s="17"/>
      <c r="U562" s="17"/>
      <c r="V562" s="17"/>
    </row>
    <row r="563">
      <c r="A563" s="337"/>
      <c r="B563" s="164"/>
      <c r="C563" s="337"/>
      <c r="D563" s="164"/>
      <c r="E563" s="337"/>
      <c r="F563" s="164"/>
      <c r="G563" s="337"/>
      <c r="H563" s="164"/>
      <c r="I563" s="365"/>
      <c r="J563" s="184"/>
      <c r="K563" s="365"/>
      <c r="L563" s="184"/>
      <c r="M563" s="337"/>
      <c r="N563" s="164"/>
      <c r="O563" s="337"/>
      <c r="P563" s="164"/>
      <c r="Q563" s="366"/>
      <c r="R563" s="366"/>
      <c r="S563" s="17"/>
      <c r="T563" s="17"/>
      <c r="U563" s="17"/>
      <c r="V563" s="17"/>
    </row>
    <row r="564">
      <c r="A564" s="337"/>
      <c r="B564" s="164"/>
      <c r="C564" s="337"/>
      <c r="D564" s="164"/>
      <c r="E564" s="337"/>
      <c r="F564" s="164"/>
      <c r="G564" s="337"/>
      <c r="H564" s="164"/>
      <c r="I564" s="365"/>
      <c r="J564" s="184"/>
      <c r="K564" s="365"/>
      <c r="L564" s="184"/>
      <c r="M564" s="337"/>
      <c r="N564" s="164"/>
      <c r="O564" s="337"/>
      <c r="P564" s="164"/>
      <c r="Q564" s="366"/>
      <c r="R564" s="366"/>
      <c r="S564" s="17"/>
      <c r="T564" s="17"/>
      <c r="U564" s="17"/>
      <c r="V564" s="17"/>
    </row>
    <row r="565">
      <c r="A565" s="337"/>
      <c r="B565" s="164"/>
      <c r="C565" s="337"/>
      <c r="D565" s="164"/>
      <c r="E565" s="337"/>
      <c r="F565" s="164"/>
      <c r="G565" s="337"/>
      <c r="H565" s="164"/>
      <c r="I565" s="365"/>
      <c r="J565" s="184"/>
      <c r="K565" s="365"/>
      <c r="L565" s="184"/>
      <c r="M565" s="337"/>
      <c r="N565" s="164"/>
      <c r="O565" s="337"/>
      <c r="P565" s="164"/>
      <c r="Q565" s="366"/>
      <c r="R565" s="366"/>
      <c r="S565" s="17"/>
      <c r="T565" s="17"/>
      <c r="U565" s="17"/>
      <c r="V565" s="17"/>
    </row>
    <row r="566">
      <c r="A566" s="337"/>
      <c r="B566" s="164"/>
      <c r="C566" s="337"/>
      <c r="D566" s="164"/>
      <c r="E566" s="337"/>
      <c r="F566" s="164"/>
      <c r="G566" s="337"/>
      <c r="H566" s="164"/>
      <c r="I566" s="365"/>
      <c r="J566" s="184"/>
      <c r="K566" s="365"/>
      <c r="L566" s="184"/>
      <c r="M566" s="337"/>
      <c r="N566" s="164"/>
      <c r="O566" s="337"/>
      <c r="P566" s="164"/>
      <c r="Q566" s="366"/>
      <c r="R566" s="366"/>
      <c r="S566" s="17"/>
      <c r="T566" s="17"/>
      <c r="U566" s="17"/>
      <c r="V566" s="17"/>
    </row>
    <row r="567">
      <c r="A567" s="337"/>
      <c r="B567" s="164"/>
      <c r="C567" s="337"/>
      <c r="D567" s="164"/>
      <c r="E567" s="337"/>
      <c r="F567" s="164"/>
      <c r="G567" s="337"/>
      <c r="H567" s="164"/>
      <c r="I567" s="365"/>
      <c r="J567" s="184"/>
      <c r="K567" s="365"/>
      <c r="L567" s="184"/>
      <c r="M567" s="337"/>
      <c r="N567" s="164"/>
      <c r="O567" s="337"/>
      <c r="P567" s="164"/>
      <c r="Q567" s="366"/>
      <c r="R567" s="366"/>
      <c r="S567" s="17"/>
      <c r="T567" s="17"/>
      <c r="U567" s="17"/>
      <c r="V567" s="17"/>
    </row>
    <row r="568">
      <c r="A568" s="337"/>
      <c r="B568" s="164"/>
      <c r="C568" s="337"/>
      <c r="D568" s="164"/>
      <c r="E568" s="337"/>
      <c r="F568" s="164"/>
      <c r="G568" s="337"/>
      <c r="H568" s="164"/>
      <c r="I568" s="365"/>
      <c r="J568" s="184"/>
      <c r="K568" s="365"/>
      <c r="L568" s="184"/>
      <c r="M568" s="337"/>
      <c r="N568" s="164"/>
      <c r="O568" s="337"/>
      <c r="P568" s="164"/>
      <c r="Q568" s="366"/>
      <c r="R568" s="366"/>
      <c r="S568" s="17"/>
      <c r="T568" s="17"/>
      <c r="U568" s="17"/>
      <c r="V568" s="17"/>
    </row>
    <row r="569">
      <c r="A569" s="337"/>
      <c r="B569" s="164"/>
      <c r="C569" s="337"/>
      <c r="D569" s="164"/>
      <c r="E569" s="337"/>
      <c r="F569" s="164"/>
      <c r="G569" s="337"/>
      <c r="H569" s="164"/>
      <c r="I569" s="365"/>
      <c r="J569" s="184"/>
      <c r="K569" s="365"/>
      <c r="L569" s="184"/>
      <c r="M569" s="337"/>
      <c r="N569" s="164"/>
      <c r="O569" s="337"/>
      <c r="P569" s="164"/>
      <c r="Q569" s="366"/>
      <c r="R569" s="366"/>
      <c r="S569" s="17"/>
      <c r="T569" s="17"/>
      <c r="U569" s="17"/>
      <c r="V569" s="17"/>
    </row>
    <row r="570">
      <c r="A570" s="337"/>
      <c r="B570" s="164"/>
      <c r="C570" s="337"/>
      <c r="D570" s="164"/>
      <c r="E570" s="337"/>
      <c r="F570" s="164"/>
      <c r="G570" s="337"/>
      <c r="H570" s="164"/>
      <c r="I570" s="365"/>
      <c r="J570" s="184"/>
      <c r="K570" s="365"/>
      <c r="L570" s="184"/>
      <c r="M570" s="337"/>
      <c r="N570" s="164"/>
      <c r="O570" s="337"/>
      <c r="P570" s="164"/>
      <c r="Q570" s="366"/>
      <c r="R570" s="366"/>
      <c r="S570" s="17"/>
      <c r="T570" s="17"/>
      <c r="U570" s="17"/>
      <c r="V570" s="17"/>
    </row>
    <row r="571">
      <c r="A571" s="337"/>
      <c r="B571" s="164"/>
      <c r="C571" s="337"/>
      <c r="D571" s="164"/>
      <c r="E571" s="337"/>
      <c r="F571" s="164"/>
      <c r="G571" s="337"/>
      <c r="H571" s="164"/>
      <c r="I571" s="365"/>
      <c r="J571" s="184"/>
      <c r="K571" s="365"/>
      <c r="L571" s="184"/>
      <c r="M571" s="337"/>
      <c r="N571" s="164"/>
      <c r="O571" s="337"/>
      <c r="P571" s="164"/>
      <c r="Q571" s="366"/>
      <c r="R571" s="366"/>
      <c r="S571" s="17"/>
      <c r="T571" s="17"/>
      <c r="U571" s="17"/>
      <c r="V571" s="17"/>
    </row>
    <row r="572">
      <c r="A572" s="337"/>
      <c r="B572" s="164"/>
      <c r="C572" s="337"/>
      <c r="D572" s="164"/>
      <c r="E572" s="337"/>
      <c r="F572" s="164"/>
      <c r="G572" s="337"/>
      <c r="H572" s="164"/>
      <c r="I572" s="365"/>
      <c r="J572" s="184"/>
      <c r="K572" s="365"/>
      <c r="L572" s="184"/>
      <c r="M572" s="337"/>
      <c r="N572" s="164"/>
      <c r="O572" s="337"/>
      <c r="P572" s="164"/>
      <c r="Q572" s="366"/>
      <c r="R572" s="366"/>
      <c r="S572" s="17"/>
      <c r="T572" s="17"/>
      <c r="U572" s="17"/>
      <c r="V572" s="17"/>
    </row>
    <row r="573">
      <c r="A573" s="337"/>
      <c r="B573" s="164"/>
      <c r="C573" s="337"/>
      <c r="D573" s="164"/>
      <c r="E573" s="337"/>
      <c r="F573" s="164"/>
      <c r="G573" s="337"/>
      <c r="H573" s="164"/>
      <c r="I573" s="365"/>
      <c r="J573" s="184"/>
      <c r="K573" s="365"/>
      <c r="L573" s="184"/>
      <c r="M573" s="337"/>
      <c r="N573" s="164"/>
      <c r="O573" s="337"/>
      <c r="P573" s="164"/>
      <c r="Q573" s="366"/>
      <c r="R573" s="366"/>
      <c r="S573" s="17"/>
      <c r="T573" s="17"/>
      <c r="U573" s="17"/>
      <c r="V573" s="17"/>
    </row>
    <row r="574">
      <c r="A574" s="337"/>
      <c r="B574" s="164"/>
      <c r="C574" s="337"/>
      <c r="D574" s="164"/>
      <c r="E574" s="337"/>
      <c r="F574" s="164"/>
      <c r="G574" s="337"/>
      <c r="H574" s="164"/>
      <c r="I574" s="365"/>
      <c r="J574" s="184"/>
      <c r="K574" s="365"/>
      <c r="L574" s="184"/>
      <c r="M574" s="337"/>
      <c r="N574" s="164"/>
      <c r="O574" s="337"/>
      <c r="P574" s="164"/>
      <c r="Q574" s="366"/>
      <c r="R574" s="366"/>
      <c r="S574" s="17"/>
      <c r="T574" s="17"/>
      <c r="U574" s="17"/>
      <c r="V574" s="17"/>
    </row>
    <row r="575">
      <c r="A575" s="337"/>
      <c r="B575" s="164"/>
      <c r="C575" s="337"/>
      <c r="D575" s="164"/>
      <c r="E575" s="337"/>
      <c r="F575" s="164"/>
      <c r="G575" s="337"/>
      <c r="H575" s="164"/>
      <c r="I575" s="365"/>
      <c r="J575" s="184"/>
      <c r="K575" s="365"/>
      <c r="L575" s="184"/>
      <c r="M575" s="337"/>
      <c r="N575" s="164"/>
      <c r="O575" s="337"/>
      <c r="P575" s="164"/>
      <c r="Q575" s="366"/>
      <c r="R575" s="366"/>
      <c r="S575" s="17"/>
      <c r="T575" s="17"/>
      <c r="U575" s="17"/>
      <c r="V575" s="17"/>
    </row>
    <row r="576">
      <c r="A576" s="337"/>
      <c r="B576" s="164"/>
      <c r="C576" s="337"/>
      <c r="D576" s="164"/>
      <c r="E576" s="337"/>
      <c r="F576" s="164"/>
      <c r="G576" s="337"/>
      <c r="H576" s="164"/>
      <c r="I576" s="365"/>
      <c r="J576" s="184"/>
      <c r="K576" s="365"/>
      <c r="L576" s="184"/>
      <c r="M576" s="337"/>
      <c r="N576" s="164"/>
      <c r="O576" s="337"/>
      <c r="P576" s="164"/>
      <c r="Q576" s="366"/>
      <c r="R576" s="366"/>
      <c r="S576" s="17"/>
      <c r="T576" s="17"/>
      <c r="U576" s="17"/>
      <c r="V576" s="17"/>
    </row>
    <row r="577">
      <c r="A577" s="337"/>
      <c r="B577" s="164"/>
      <c r="C577" s="337"/>
      <c r="D577" s="164"/>
      <c r="E577" s="337"/>
      <c r="F577" s="164"/>
      <c r="G577" s="337"/>
      <c r="H577" s="164"/>
      <c r="I577" s="365"/>
      <c r="J577" s="184"/>
      <c r="K577" s="365"/>
      <c r="L577" s="184"/>
      <c r="M577" s="337"/>
      <c r="N577" s="164"/>
      <c r="O577" s="337"/>
      <c r="P577" s="164"/>
      <c r="Q577" s="366"/>
      <c r="R577" s="366"/>
      <c r="S577" s="17"/>
      <c r="T577" s="17"/>
      <c r="U577" s="17"/>
      <c r="V577" s="17"/>
    </row>
    <row r="578">
      <c r="A578" s="337"/>
      <c r="B578" s="164"/>
      <c r="C578" s="337"/>
      <c r="D578" s="164"/>
      <c r="E578" s="337"/>
      <c r="F578" s="164"/>
      <c r="G578" s="337"/>
      <c r="H578" s="164"/>
      <c r="I578" s="365"/>
      <c r="J578" s="184"/>
      <c r="K578" s="365"/>
      <c r="L578" s="184"/>
      <c r="M578" s="337"/>
      <c r="N578" s="164"/>
      <c r="O578" s="337"/>
      <c r="P578" s="164"/>
      <c r="Q578" s="366"/>
      <c r="R578" s="366"/>
      <c r="S578" s="17"/>
      <c r="T578" s="17"/>
      <c r="U578" s="17"/>
      <c r="V578" s="17"/>
    </row>
    <row r="579">
      <c r="A579" s="337"/>
      <c r="B579" s="164"/>
      <c r="C579" s="337"/>
      <c r="D579" s="164"/>
      <c r="E579" s="337"/>
      <c r="F579" s="164"/>
      <c r="G579" s="337"/>
      <c r="H579" s="164"/>
      <c r="I579" s="365"/>
      <c r="J579" s="184"/>
      <c r="K579" s="365"/>
      <c r="L579" s="184"/>
      <c r="M579" s="337"/>
      <c r="N579" s="164"/>
      <c r="O579" s="337"/>
      <c r="P579" s="164"/>
      <c r="Q579" s="366"/>
      <c r="R579" s="366"/>
      <c r="S579" s="17"/>
      <c r="T579" s="17"/>
      <c r="U579" s="17"/>
      <c r="V579" s="17"/>
    </row>
    <row r="580">
      <c r="A580" s="337"/>
      <c r="B580" s="164"/>
      <c r="C580" s="337"/>
      <c r="D580" s="164"/>
      <c r="E580" s="337"/>
      <c r="F580" s="164"/>
      <c r="G580" s="337"/>
      <c r="H580" s="164"/>
      <c r="I580" s="365"/>
      <c r="J580" s="184"/>
      <c r="K580" s="365"/>
      <c r="L580" s="184"/>
      <c r="M580" s="337"/>
      <c r="N580" s="164"/>
      <c r="O580" s="337"/>
      <c r="P580" s="164"/>
      <c r="Q580" s="366"/>
      <c r="R580" s="366"/>
      <c r="S580" s="17"/>
      <c r="T580" s="17"/>
      <c r="U580" s="17"/>
      <c r="V580" s="17"/>
    </row>
    <row r="581">
      <c r="A581" s="337"/>
      <c r="B581" s="164"/>
      <c r="C581" s="337"/>
      <c r="D581" s="164"/>
      <c r="E581" s="337"/>
      <c r="F581" s="164"/>
      <c r="G581" s="337"/>
      <c r="H581" s="164"/>
      <c r="I581" s="365"/>
      <c r="J581" s="184"/>
      <c r="K581" s="365"/>
      <c r="L581" s="184"/>
      <c r="M581" s="337"/>
      <c r="N581" s="164"/>
      <c r="O581" s="337"/>
      <c r="P581" s="164"/>
      <c r="Q581" s="366"/>
      <c r="R581" s="366"/>
      <c r="S581" s="17"/>
      <c r="T581" s="17"/>
      <c r="U581" s="17"/>
      <c r="V581" s="17"/>
    </row>
    <row r="582">
      <c r="A582" s="337"/>
      <c r="B582" s="164"/>
      <c r="C582" s="337"/>
      <c r="D582" s="164"/>
      <c r="E582" s="337"/>
      <c r="F582" s="164"/>
      <c r="G582" s="337"/>
      <c r="H582" s="164"/>
      <c r="I582" s="365"/>
      <c r="J582" s="184"/>
      <c r="K582" s="365"/>
      <c r="L582" s="184"/>
      <c r="M582" s="337"/>
      <c r="N582" s="164"/>
      <c r="O582" s="337"/>
      <c r="P582" s="164"/>
      <c r="Q582" s="366"/>
      <c r="R582" s="366"/>
      <c r="S582" s="17"/>
      <c r="T582" s="17"/>
      <c r="U582" s="17"/>
      <c r="V582" s="17"/>
    </row>
    <row r="583">
      <c r="A583" s="337"/>
      <c r="B583" s="164"/>
      <c r="C583" s="337"/>
      <c r="D583" s="164"/>
      <c r="E583" s="337"/>
      <c r="F583" s="164"/>
      <c r="G583" s="337"/>
      <c r="H583" s="164"/>
      <c r="I583" s="365"/>
      <c r="J583" s="184"/>
      <c r="K583" s="365"/>
      <c r="L583" s="184"/>
      <c r="M583" s="337"/>
      <c r="N583" s="164"/>
      <c r="O583" s="337"/>
      <c r="P583" s="164"/>
      <c r="Q583" s="366"/>
      <c r="R583" s="366"/>
      <c r="S583" s="17"/>
      <c r="T583" s="17"/>
      <c r="U583" s="17"/>
      <c r="V583" s="17"/>
    </row>
    <row r="584">
      <c r="A584" s="337"/>
      <c r="B584" s="164"/>
      <c r="C584" s="337"/>
      <c r="D584" s="164"/>
      <c r="E584" s="337"/>
      <c r="F584" s="164"/>
      <c r="G584" s="337"/>
      <c r="H584" s="164"/>
      <c r="I584" s="365"/>
      <c r="J584" s="184"/>
      <c r="K584" s="365"/>
      <c r="L584" s="184"/>
      <c r="M584" s="337"/>
      <c r="N584" s="164"/>
      <c r="O584" s="337"/>
      <c r="P584" s="164"/>
      <c r="Q584" s="366"/>
      <c r="R584" s="366"/>
      <c r="S584" s="17"/>
      <c r="T584" s="17"/>
      <c r="U584" s="17"/>
      <c r="V584" s="17"/>
    </row>
    <row r="585">
      <c r="A585" s="337"/>
      <c r="B585" s="164"/>
      <c r="C585" s="337"/>
      <c r="D585" s="164"/>
      <c r="E585" s="337"/>
      <c r="F585" s="164"/>
      <c r="G585" s="337"/>
      <c r="H585" s="164"/>
      <c r="I585" s="365"/>
      <c r="J585" s="184"/>
      <c r="K585" s="365"/>
      <c r="L585" s="184"/>
      <c r="M585" s="337"/>
      <c r="N585" s="164"/>
      <c r="O585" s="337"/>
      <c r="P585" s="164"/>
      <c r="Q585" s="366"/>
      <c r="R585" s="366"/>
      <c r="S585" s="17"/>
      <c r="T585" s="17"/>
      <c r="U585" s="17"/>
      <c r="V585" s="17"/>
    </row>
    <row r="586">
      <c r="A586" s="337"/>
      <c r="B586" s="164"/>
      <c r="C586" s="337"/>
      <c r="D586" s="164"/>
      <c r="E586" s="337"/>
      <c r="F586" s="164"/>
      <c r="G586" s="337"/>
      <c r="H586" s="164"/>
      <c r="I586" s="365"/>
      <c r="J586" s="184"/>
      <c r="K586" s="365"/>
      <c r="L586" s="184"/>
      <c r="M586" s="337"/>
      <c r="N586" s="164"/>
      <c r="O586" s="337"/>
      <c r="P586" s="164"/>
      <c r="Q586" s="366"/>
      <c r="R586" s="366"/>
      <c r="S586" s="17"/>
      <c r="T586" s="17"/>
      <c r="U586" s="17"/>
      <c r="V586" s="17"/>
    </row>
    <row r="587">
      <c r="A587" s="337"/>
      <c r="B587" s="164"/>
      <c r="C587" s="337"/>
      <c r="D587" s="164"/>
      <c r="E587" s="337"/>
      <c r="F587" s="164"/>
      <c r="G587" s="337"/>
      <c r="H587" s="164"/>
      <c r="I587" s="365"/>
      <c r="J587" s="184"/>
      <c r="K587" s="365"/>
      <c r="L587" s="184"/>
      <c r="M587" s="337"/>
      <c r="N587" s="164"/>
      <c r="O587" s="337"/>
      <c r="P587" s="164"/>
      <c r="Q587" s="366"/>
      <c r="R587" s="366"/>
      <c r="S587" s="17"/>
      <c r="T587" s="17"/>
      <c r="U587" s="17"/>
      <c r="V587" s="17"/>
    </row>
    <row r="588">
      <c r="A588" s="337"/>
      <c r="B588" s="164"/>
      <c r="C588" s="337"/>
      <c r="D588" s="164"/>
      <c r="E588" s="337"/>
      <c r="F588" s="164"/>
      <c r="G588" s="337"/>
      <c r="H588" s="164"/>
      <c r="I588" s="365"/>
      <c r="J588" s="184"/>
      <c r="K588" s="365"/>
      <c r="L588" s="184"/>
      <c r="M588" s="337"/>
      <c r="N588" s="164"/>
      <c r="O588" s="337"/>
      <c r="P588" s="164"/>
      <c r="Q588" s="366"/>
      <c r="R588" s="366"/>
      <c r="S588" s="17"/>
      <c r="T588" s="17"/>
      <c r="U588" s="17"/>
      <c r="V588" s="17"/>
    </row>
    <row r="589">
      <c r="A589" s="337"/>
      <c r="B589" s="164"/>
      <c r="C589" s="337"/>
      <c r="D589" s="164"/>
      <c r="E589" s="337"/>
      <c r="F589" s="164"/>
      <c r="G589" s="337"/>
      <c r="H589" s="164"/>
      <c r="I589" s="365"/>
      <c r="J589" s="184"/>
      <c r="K589" s="365"/>
      <c r="L589" s="184"/>
      <c r="M589" s="337"/>
      <c r="N589" s="164"/>
      <c r="O589" s="337"/>
      <c r="P589" s="164"/>
      <c r="Q589" s="366"/>
      <c r="R589" s="366"/>
      <c r="S589" s="17"/>
      <c r="T589" s="17"/>
      <c r="U589" s="17"/>
      <c r="V589" s="17"/>
    </row>
    <row r="590">
      <c r="A590" s="337"/>
      <c r="B590" s="164"/>
      <c r="C590" s="337"/>
      <c r="D590" s="164"/>
      <c r="E590" s="337"/>
      <c r="F590" s="164"/>
      <c r="G590" s="337"/>
      <c r="H590" s="164"/>
      <c r="I590" s="365"/>
      <c r="J590" s="184"/>
      <c r="K590" s="365"/>
      <c r="L590" s="184"/>
      <c r="M590" s="337"/>
      <c r="N590" s="164"/>
      <c r="O590" s="337"/>
      <c r="P590" s="164"/>
      <c r="Q590" s="366"/>
      <c r="R590" s="366"/>
      <c r="S590" s="17"/>
      <c r="T590" s="17"/>
      <c r="U590" s="17"/>
      <c r="V590" s="17"/>
    </row>
    <row r="591">
      <c r="A591" s="337"/>
      <c r="B591" s="164"/>
      <c r="C591" s="337"/>
      <c r="D591" s="164"/>
      <c r="E591" s="337"/>
      <c r="F591" s="164"/>
      <c r="G591" s="337"/>
      <c r="H591" s="164"/>
      <c r="I591" s="365"/>
      <c r="J591" s="184"/>
      <c r="K591" s="365"/>
      <c r="L591" s="184"/>
      <c r="M591" s="337"/>
      <c r="N591" s="164"/>
      <c r="O591" s="337"/>
      <c r="P591" s="164"/>
      <c r="Q591" s="366"/>
      <c r="R591" s="366"/>
      <c r="S591" s="17"/>
      <c r="T591" s="17"/>
      <c r="U591" s="17"/>
      <c r="V591" s="17"/>
    </row>
    <row r="592">
      <c r="A592" s="337"/>
      <c r="B592" s="164"/>
      <c r="C592" s="337"/>
      <c r="D592" s="164"/>
      <c r="E592" s="337"/>
      <c r="F592" s="164"/>
      <c r="G592" s="337"/>
      <c r="H592" s="164"/>
      <c r="I592" s="365"/>
      <c r="J592" s="184"/>
      <c r="K592" s="365"/>
      <c r="L592" s="184"/>
      <c r="M592" s="337"/>
      <c r="N592" s="164"/>
      <c r="O592" s="337"/>
      <c r="P592" s="164"/>
      <c r="Q592" s="366"/>
      <c r="R592" s="366"/>
      <c r="S592" s="17"/>
      <c r="T592" s="17"/>
      <c r="U592" s="17"/>
      <c r="V592" s="17"/>
    </row>
    <row r="593">
      <c r="A593" s="337"/>
      <c r="B593" s="164"/>
      <c r="C593" s="337"/>
      <c r="D593" s="164"/>
      <c r="E593" s="337"/>
      <c r="F593" s="164"/>
      <c r="G593" s="337"/>
      <c r="H593" s="164"/>
      <c r="I593" s="365"/>
      <c r="J593" s="184"/>
      <c r="K593" s="365"/>
      <c r="L593" s="184"/>
      <c r="M593" s="337"/>
      <c r="N593" s="164"/>
      <c r="O593" s="337"/>
      <c r="P593" s="164"/>
      <c r="Q593" s="366"/>
      <c r="R593" s="366"/>
      <c r="S593" s="17"/>
      <c r="T593" s="17"/>
      <c r="U593" s="17"/>
      <c r="V593" s="17"/>
    </row>
    <row r="594">
      <c r="A594" s="337"/>
      <c r="B594" s="164"/>
      <c r="C594" s="337"/>
      <c r="D594" s="164"/>
      <c r="E594" s="337"/>
      <c r="F594" s="164"/>
      <c r="G594" s="337"/>
      <c r="H594" s="164"/>
      <c r="I594" s="365"/>
      <c r="J594" s="184"/>
      <c r="K594" s="365"/>
      <c r="L594" s="184"/>
      <c r="M594" s="337"/>
      <c r="N594" s="164"/>
      <c r="O594" s="337"/>
      <c r="P594" s="164"/>
      <c r="Q594" s="366"/>
      <c r="R594" s="366"/>
      <c r="S594" s="17"/>
      <c r="T594" s="17"/>
      <c r="U594" s="17"/>
      <c r="V594" s="17"/>
    </row>
    <row r="595">
      <c r="A595" s="337"/>
      <c r="B595" s="164"/>
      <c r="C595" s="337"/>
      <c r="D595" s="164"/>
      <c r="E595" s="337"/>
      <c r="F595" s="164"/>
      <c r="G595" s="337"/>
      <c r="H595" s="164"/>
      <c r="I595" s="365"/>
      <c r="J595" s="184"/>
      <c r="K595" s="365"/>
      <c r="L595" s="184"/>
      <c r="M595" s="337"/>
      <c r="N595" s="164"/>
      <c r="O595" s="337"/>
      <c r="P595" s="164"/>
      <c r="Q595" s="366"/>
      <c r="R595" s="366"/>
      <c r="S595" s="17"/>
      <c r="T595" s="17"/>
      <c r="U595" s="17"/>
      <c r="V595" s="17"/>
    </row>
    <row r="596">
      <c r="A596" s="337"/>
      <c r="B596" s="164"/>
      <c r="C596" s="337"/>
      <c r="D596" s="164"/>
      <c r="E596" s="337"/>
      <c r="F596" s="164"/>
      <c r="G596" s="337"/>
      <c r="H596" s="164"/>
      <c r="I596" s="365"/>
      <c r="J596" s="184"/>
      <c r="K596" s="365"/>
      <c r="L596" s="184"/>
      <c r="M596" s="337"/>
      <c r="N596" s="164"/>
      <c r="O596" s="337"/>
      <c r="P596" s="164"/>
      <c r="Q596" s="366"/>
      <c r="R596" s="366"/>
      <c r="S596" s="17"/>
      <c r="T596" s="17"/>
      <c r="U596" s="17"/>
      <c r="V596" s="17"/>
    </row>
    <row r="597">
      <c r="A597" s="337"/>
      <c r="B597" s="164"/>
      <c r="C597" s="337"/>
      <c r="D597" s="164"/>
      <c r="E597" s="337"/>
      <c r="F597" s="164"/>
      <c r="G597" s="337"/>
      <c r="H597" s="164"/>
      <c r="I597" s="365"/>
      <c r="J597" s="184"/>
      <c r="K597" s="365"/>
      <c r="L597" s="184"/>
      <c r="M597" s="337"/>
      <c r="N597" s="164"/>
      <c r="O597" s="337"/>
      <c r="P597" s="164"/>
      <c r="Q597" s="366"/>
      <c r="R597" s="366"/>
      <c r="S597" s="17"/>
      <c r="T597" s="17"/>
      <c r="U597" s="17"/>
      <c r="V597" s="17"/>
    </row>
    <row r="598">
      <c r="A598" s="337"/>
      <c r="B598" s="164"/>
      <c r="C598" s="337"/>
      <c r="D598" s="164"/>
      <c r="E598" s="337"/>
      <c r="F598" s="164"/>
      <c r="G598" s="337"/>
      <c r="H598" s="164"/>
      <c r="I598" s="365"/>
      <c r="J598" s="184"/>
      <c r="K598" s="365"/>
      <c r="L598" s="184"/>
      <c r="M598" s="337"/>
      <c r="N598" s="164"/>
      <c r="O598" s="337"/>
      <c r="P598" s="164"/>
      <c r="Q598" s="366"/>
      <c r="R598" s="366"/>
      <c r="S598" s="17"/>
      <c r="T598" s="17"/>
      <c r="U598" s="17"/>
      <c r="V598" s="17"/>
    </row>
    <row r="599">
      <c r="A599" s="337"/>
      <c r="B599" s="164"/>
      <c r="C599" s="337"/>
      <c r="D599" s="164"/>
      <c r="E599" s="337"/>
      <c r="F599" s="164"/>
      <c r="G599" s="337"/>
      <c r="H599" s="164"/>
      <c r="I599" s="365"/>
      <c r="J599" s="184"/>
      <c r="K599" s="365"/>
      <c r="L599" s="184"/>
      <c r="M599" s="337"/>
      <c r="N599" s="164"/>
      <c r="O599" s="337"/>
      <c r="P599" s="164"/>
      <c r="Q599" s="366"/>
      <c r="R599" s="366"/>
      <c r="S599" s="17"/>
      <c r="T599" s="17"/>
      <c r="U599" s="17"/>
      <c r="V599" s="17"/>
    </row>
    <row r="600">
      <c r="A600" s="337"/>
      <c r="B600" s="164"/>
      <c r="C600" s="337"/>
      <c r="D600" s="164"/>
      <c r="E600" s="337"/>
      <c r="F600" s="164"/>
      <c r="G600" s="337"/>
      <c r="H600" s="164"/>
      <c r="I600" s="365"/>
      <c r="J600" s="184"/>
      <c r="K600" s="365"/>
      <c r="L600" s="184"/>
      <c r="M600" s="337"/>
      <c r="N600" s="164"/>
      <c r="O600" s="337"/>
      <c r="P600" s="164"/>
      <c r="Q600" s="366"/>
      <c r="R600" s="366"/>
      <c r="S600" s="17"/>
      <c r="T600" s="17"/>
      <c r="U600" s="17"/>
      <c r="V600" s="17"/>
    </row>
    <row r="601">
      <c r="A601" s="337"/>
      <c r="B601" s="164"/>
      <c r="C601" s="337"/>
      <c r="D601" s="164"/>
      <c r="E601" s="337"/>
      <c r="F601" s="164"/>
      <c r="G601" s="337"/>
      <c r="H601" s="164"/>
      <c r="I601" s="365"/>
      <c r="J601" s="184"/>
      <c r="K601" s="365"/>
      <c r="L601" s="184"/>
      <c r="M601" s="337"/>
      <c r="N601" s="164"/>
      <c r="O601" s="337"/>
      <c r="P601" s="164"/>
      <c r="Q601" s="366"/>
      <c r="R601" s="366"/>
      <c r="S601" s="17"/>
      <c r="T601" s="17"/>
      <c r="U601" s="17"/>
      <c r="V601" s="17"/>
    </row>
    <row r="602">
      <c r="A602" s="337"/>
      <c r="B602" s="164"/>
      <c r="C602" s="337"/>
      <c r="D602" s="164"/>
      <c r="E602" s="337"/>
      <c r="F602" s="164"/>
      <c r="G602" s="337"/>
      <c r="H602" s="164"/>
      <c r="I602" s="365"/>
      <c r="J602" s="184"/>
      <c r="K602" s="365"/>
      <c r="L602" s="184"/>
      <c r="M602" s="337"/>
      <c r="N602" s="164"/>
      <c r="O602" s="337"/>
      <c r="P602" s="164"/>
      <c r="Q602" s="366"/>
      <c r="R602" s="366"/>
      <c r="S602" s="17"/>
      <c r="T602" s="17"/>
      <c r="U602" s="17"/>
      <c r="V602" s="17"/>
    </row>
    <row r="603">
      <c r="A603" s="337"/>
      <c r="B603" s="164"/>
      <c r="C603" s="337"/>
      <c r="D603" s="164"/>
      <c r="E603" s="337"/>
      <c r="F603" s="164"/>
      <c r="G603" s="337"/>
      <c r="H603" s="164"/>
      <c r="I603" s="365"/>
      <c r="J603" s="184"/>
      <c r="K603" s="365"/>
      <c r="L603" s="184"/>
      <c r="M603" s="337"/>
      <c r="N603" s="164"/>
      <c r="O603" s="337"/>
      <c r="P603" s="164"/>
      <c r="Q603" s="366"/>
      <c r="R603" s="366"/>
      <c r="S603" s="17"/>
      <c r="T603" s="17"/>
      <c r="U603" s="17"/>
      <c r="V603" s="17"/>
    </row>
    <row r="604">
      <c r="A604" s="337"/>
      <c r="B604" s="164"/>
      <c r="C604" s="337"/>
      <c r="D604" s="164"/>
      <c r="E604" s="337"/>
      <c r="F604" s="164"/>
      <c r="G604" s="337"/>
      <c r="H604" s="164"/>
      <c r="I604" s="365"/>
      <c r="J604" s="184"/>
      <c r="K604" s="365"/>
      <c r="L604" s="184"/>
      <c r="M604" s="337"/>
      <c r="N604" s="164"/>
      <c r="O604" s="337"/>
      <c r="P604" s="164"/>
      <c r="Q604" s="366"/>
      <c r="R604" s="366"/>
      <c r="S604" s="17"/>
      <c r="T604" s="17"/>
      <c r="U604" s="17"/>
      <c r="V604" s="17"/>
    </row>
    <row r="605">
      <c r="A605" s="337"/>
      <c r="B605" s="164"/>
      <c r="C605" s="337"/>
      <c r="D605" s="164"/>
      <c r="E605" s="337"/>
      <c r="F605" s="164"/>
      <c r="G605" s="337"/>
      <c r="H605" s="164"/>
      <c r="I605" s="365"/>
      <c r="J605" s="184"/>
      <c r="K605" s="365"/>
      <c r="L605" s="184"/>
      <c r="M605" s="337"/>
      <c r="N605" s="164"/>
      <c r="O605" s="337"/>
      <c r="P605" s="164"/>
      <c r="Q605" s="366"/>
      <c r="R605" s="366"/>
      <c r="S605" s="17"/>
      <c r="T605" s="17"/>
      <c r="U605" s="17"/>
      <c r="V605" s="17"/>
    </row>
    <row r="606">
      <c r="A606" s="337"/>
      <c r="B606" s="164"/>
      <c r="C606" s="337"/>
      <c r="D606" s="164"/>
      <c r="E606" s="337"/>
      <c r="F606" s="164"/>
      <c r="G606" s="337"/>
      <c r="H606" s="164"/>
      <c r="I606" s="365"/>
      <c r="J606" s="184"/>
      <c r="K606" s="365"/>
      <c r="L606" s="184"/>
      <c r="M606" s="337"/>
      <c r="N606" s="164"/>
      <c r="O606" s="337"/>
      <c r="P606" s="164"/>
      <c r="Q606" s="366"/>
      <c r="R606" s="366"/>
      <c r="S606" s="17"/>
      <c r="T606" s="17"/>
      <c r="U606" s="17"/>
      <c r="V606" s="17"/>
    </row>
    <row r="607">
      <c r="A607" s="337"/>
      <c r="B607" s="164"/>
      <c r="C607" s="337"/>
      <c r="D607" s="164"/>
      <c r="E607" s="337"/>
      <c r="F607" s="164"/>
      <c r="G607" s="337"/>
      <c r="H607" s="164"/>
      <c r="I607" s="365"/>
      <c r="J607" s="184"/>
      <c r="K607" s="365"/>
      <c r="L607" s="184"/>
      <c r="M607" s="337"/>
      <c r="N607" s="164"/>
      <c r="O607" s="337"/>
      <c r="P607" s="164"/>
      <c r="Q607" s="366"/>
      <c r="R607" s="366"/>
      <c r="S607" s="17"/>
      <c r="T607" s="17"/>
      <c r="U607" s="17"/>
      <c r="V607" s="17"/>
    </row>
    <row r="608">
      <c r="A608" s="337"/>
      <c r="B608" s="164"/>
      <c r="C608" s="337"/>
      <c r="D608" s="164"/>
      <c r="E608" s="337"/>
      <c r="F608" s="164"/>
      <c r="G608" s="337"/>
      <c r="H608" s="164"/>
      <c r="I608" s="365"/>
      <c r="J608" s="184"/>
      <c r="K608" s="365"/>
      <c r="L608" s="184"/>
      <c r="M608" s="337"/>
      <c r="N608" s="164"/>
      <c r="O608" s="337"/>
      <c r="P608" s="164"/>
      <c r="Q608" s="366"/>
      <c r="R608" s="366"/>
      <c r="S608" s="17"/>
      <c r="T608" s="17"/>
      <c r="U608" s="17"/>
      <c r="V608" s="17"/>
    </row>
    <row r="609">
      <c r="A609" s="337"/>
      <c r="B609" s="164"/>
      <c r="C609" s="337"/>
      <c r="D609" s="164"/>
      <c r="E609" s="337"/>
      <c r="F609" s="164"/>
      <c r="G609" s="337"/>
      <c r="H609" s="164"/>
      <c r="I609" s="365"/>
      <c r="J609" s="184"/>
      <c r="K609" s="365"/>
      <c r="L609" s="184"/>
      <c r="M609" s="337"/>
      <c r="N609" s="164"/>
      <c r="O609" s="337"/>
      <c r="P609" s="164"/>
      <c r="Q609" s="366"/>
      <c r="R609" s="366"/>
      <c r="S609" s="17"/>
      <c r="T609" s="17"/>
      <c r="U609" s="17"/>
      <c r="V609" s="17"/>
    </row>
    <row r="610">
      <c r="A610" s="337"/>
      <c r="B610" s="164"/>
      <c r="C610" s="337"/>
      <c r="D610" s="164"/>
      <c r="E610" s="337"/>
      <c r="F610" s="164"/>
      <c r="G610" s="337"/>
      <c r="H610" s="164"/>
      <c r="I610" s="365"/>
      <c r="J610" s="184"/>
      <c r="K610" s="365"/>
      <c r="L610" s="184"/>
      <c r="M610" s="337"/>
      <c r="N610" s="164"/>
      <c r="O610" s="337"/>
      <c r="P610" s="164"/>
      <c r="Q610" s="366"/>
      <c r="R610" s="366"/>
      <c r="S610" s="17"/>
      <c r="T610" s="17"/>
      <c r="U610" s="17"/>
      <c r="V610" s="17"/>
    </row>
    <row r="611">
      <c r="A611" s="337"/>
      <c r="B611" s="164"/>
      <c r="C611" s="337"/>
      <c r="D611" s="164"/>
      <c r="E611" s="337"/>
      <c r="F611" s="164"/>
      <c r="G611" s="337"/>
      <c r="H611" s="164"/>
      <c r="I611" s="365"/>
      <c r="J611" s="184"/>
      <c r="K611" s="365"/>
      <c r="L611" s="184"/>
      <c r="M611" s="337"/>
      <c r="N611" s="164"/>
      <c r="O611" s="337"/>
      <c r="P611" s="164"/>
      <c r="Q611" s="366"/>
      <c r="R611" s="366"/>
      <c r="S611" s="17"/>
      <c r="T611" s="17"/>
      <c r="U611" s="17"/>
      <c r="V611" s="17"/>
    </row>
    <row r="612">
      <c r="A612" s="337"/>
      <c r="B612" s="164"/>
      <c r="C612" s="337"/>
      <c r="D612" s="164"/>
      <c r="E612" s="337"/>
      <c r="F612" s="164"/>
      <c r="G612" s="337"/>
      <c r="H612" s="164"/>
      <c r="I612" s="365"/>
      <c r="J612" s="184"/>
      <c r="K612" s="365"/>
      <c r="L612" s="184"/>
      <c r="M612" s="337"/>
      <c r="N612" s="164"/>
      <c r="O612" s="337"/>
      <c r="P612" s="164"/>
      <c r="Q612" s="366"/>
      <c r="R612" s="366"/>
      <c r="S612" s="17"/>
      <c r="T612" s="17"/>
      <c r="U612" s="17"/>
      <c r="V612" s="17"/>
    </row>
    <row r="613">
      <c r="A613" s="337"/>
      <c r="B613" s="164"/>
      <c r="C613" s="337"/>
      <c r="D613" s="164"/>
      <c r="E613" s="337"/>
      <c r="F613" s="164"/>
      <c r="G613" s="337"/>
      <c r="H613" s="164"/>
      <c r="I613" s="365"/>
      <c r="J613" s="184"/>
      <c r="K613" s="365"/>
      <c r="L613" s="184"/>
      <c r="M613" s="337"/>
      <c r="N613" s="164"/>
      <c r="O613" s="337"/>
      <c r="P613" s="164"/>
      <c r="Q613" s="366"/>
      <c r="R613" s="366"/>
      <c r="S613" s="17"/>
      <c r="T613" s="17"/>
      <c r="U613" s="17"/>
      <c r="V613" s="17"/>
    </row>
    <row r="614">
      <c r="A614" s="337"/>
      <c r="B614" s="164"/>
      <c r="C614" s="337"/>
      <c r="D614" s="164"/>
      <c r="E614" s="337"/>
      <c r="F614" s="164"/>
      <c r="G614" s="337"/>
      <c r="H614" s="164"/>
      <c r="I614" s="365"/>
      <c r="J614" s="184"/>
      <c r="K614" s="365"/>
      <c r="L614" s="184"/>
      <c r="M614" s="337"/>
      <c r="N614" s="164"/>
      <c r="O614" s="337"/>
      <c r="P614" s="164"/>
      <c r="Q614" s="366"/>
      <c r="R614" s="366"/>
      <c r="S614" s="17"/>
      <c r="T614" s="17"/>
      <c r="U614" s="17"/>
      <c r="V614" s="17"/>
    </row>
    <row r="615">
      <c r="A615" s="337"/>
      <c r="B615" s="164"/>
      <c r="C615" s="337"/>
      <c r="D615" s="164"/>
      <c r="E615" s="337"/>
      <c r="F615" s="164"/>
      <c r="G615" s="337"/>
      <c r="H615" s="164"/>
      <c r="I615" s="365"/>
      <c r="J615" s="184"/>
      <c r="K615" s="365"/>
      <c r="L615" s="184"/>
      <c r="M615" s="337"/>
      <c r="N615" s="164"/>
      <c r="O615" s="337"/>
      <c r="P615" s="164"/>
      <c r="Q615" s="366"/>
      <c r="R615" s="366"/>
      <c r="S615" s="17"/>
      <c r="T615" s="17"/>
      <c r="U615" s="17"/>
      <c r="V615" s="17"/>
    </row>
    <row r="616">
      <c r="A616" s="337"/>
      <c r="B616" s="164"/>
      <c r="C616" s="337"/>
      <c r="D616" s="164"/>
      <c r="E616" s="337"/>
      <c r="F616" s="164"/>
      <c r="G616" s="337"/>
      <c r="H616" s="164"/>
      <c r="I616" s="365"/>
      <c r="J616" s="184"/>
      <c r="K616" s="365"/>
      <c r="L616" s="184"/>
      <c r="M616" s="337"/>
      <c r="N616" s="164"/>
      <c r="O616" s="337"/>
      <c r="P616" s="164"/>
      <c r="Q616" s="366"/>
      <c r="R616" s="366"/>
      <c r="S616" s="17"/>
      <c r="T616" s="17"/>
      <c r="U616" s="17"/>
      <c r="V616" s="17"/>
    </row>
    <row r="617">
      <c r="A617" s="337"/>
      <c r="B617" s="164"/>
      <c r="C617" s="337"/>
      <c r="D617" s="164"/>
      <c r="E617" s="337"/>
      <c r="F617" s="164"/>
      <c r="G617" s="337"/>
      <c r="H617" s="164"/>
      <c r="I617" s="365"/>
      <c r="J617" s="184"/>
      <c r="K617" s="365"/>
      <c r="L617" s="184"/>
      <c r="M617" s="337"/>
      <c r="N617" s="164"/>
      <c r="O617" s="337"/>
      <c r="P617" s="164"/>
      <c r="Q617" s="366"/>
      <c r="R617" s="366"/>
      <c r="S617" s="17"/>
      <c r="T617" s="17"/>
      <c r="U617" s="17"/>
      <c r="V617" s="17"/>
    </row>
    <row r="618">
      <c r="A618" s="337"/>
      <c r="B618" s="164"/>
      <c r="C618" s="337"/>
      <c r="D618" s="164"/>
      <c r="E618" s="337"/>
      <c r="F618" s="164"/>
      <c r="G618" s="337"/>
      <c r="H618" s="164"/>
      <c r="I618" s="365"/>
      <c r="J618" s="184"/>
      <c r="K618" s="365"/>
      <c r="L618" s="184"/>
      <c r="M618" s="337"/>
      <c r="N618" s="164"/>
      <c r="O618" s="337"/>
      <c r="P618" s="164"/>
      <c r="Q618" s="366"/>
      <c r="R618" s="366"/>
      <c r="S618" s="17"/>
      <c r="T618" s="17"/>
      <c r="U618" s="17"/>
      <c r="V618" s="17"/>
    </row>
    <row r="619">
      <c r="A619" s="337"/>
      <c r="B619" s="164"/>
      <c r="C619" s="337"/>
      <c r="D619" s="164"/>
      <c r="E619" s="337"/>
      <c r="F619" s="164"/>
      <c r="G619" s="337"/>
      <c r="H619" s="164"/>
      <c r="I619" s="365"/>
      <c r="J619" s="184"/>
      <c r="K619" s="365"/>
      <c r="L619" s="184"/>
      <c r="M619" s="337"/>
      <c r="N619" s="164"/>
      <c r="O619" s="337"/>
      <c r="P619" s="164"/>
      <c r="Q619" s="366"/>
      <c r="R619" s="366"/>
      <c r="S619" s="17"/>
      <c r="T619" s="17"/>
      <c r="U619" s="17"/>
      <c r="V619" s="17"/>
    </row>
    <row r="620">
      <c r="A620" s="337"/>
      <c r="B620" s="164"/>
      <c r="C620" s="337"/>
      <c r="D620" s="164"/>
      <c r="E620" s="337"/>
      <c r="F620" s="164"/>
      <c r="G620" s="337"/>
      <c r="H620" s="164"/>
      <c r="I620" s="365"/>
      <c r="J620" s="184"/>
      <c r="K620" s="365"/>
      <c r="L620" s="184"/>
      <c r="M620" s="337"/>
      <c r="N620" s="164"/>
      <c r="O620" s="337"/>
      <c r="P620" s="164"/>
      <c r="Q620" s="366"/>
      <c r="R620" s="366"/>
      <c r="S620" s="17"/>
      <c r="T620" s="17"/>
      <c r="U620" s="17"/>
      <c r="V620" s="17"/>
    </row>
    <row r="621">
      <c r="A621" s="337"/>
      <c r="B621" s="164"/>
      <c r="C621" s="337"/>
      <c r="D621" s="164"/>
      <c r="E621" s="337"/>
      <c r="F621" s="164"/>
      <c r="G621" s="337"/>
      <c r="H621" s="164"/>
      <c r="I621" s="365"/>
      <c r="J621" s="184"/>
      <c r="K621" s="365"/>
      <c r="L621" s="184"/>
      <c r="M621" s="337"/>
      <c r="N621" s="164"/>
      <c r="O621" s="337"/>
      <c r="P621" s="164"/>
      <c r="Q621" s="366"/>
      <c r="R621" s="366"/>
      <c r="S621" s="17"/>
      <c r="T621" s="17"/>
      <c r="U621" s="17"/>
      <c r="V621" s="17"/>
    </row>
    <row r="622">
      <c r="A622" s="337"/>
      <c r="B622" s="164"/>
      <c r="C622" s="337"/>
      <c r="D622" s="164"/>
      <c r="E622" s="337"/>
      <c r="F622" s="164"/>
      <c r="G622" s="337"/>
      <c r="H622" s="164"/>
      <c r="I622" s="365"/>
      <c r="J622" s="184"/>
      <c r="K622" s="365"/>
      <c r="L622" s="184"/>
      <c r="M622" s="337"/>
      <c r="N622" s="164"/>
      <c r="O622" s="337"/>
      <c r="P622" s="164"/>
      <c r="Q622" s="366"/>
      <c r="R622" s="366"/>
      <c r="S622" s="17"/>
      <c r="T622" s="17"/>
      <c r="U622" s="17"/>
      <c r="V622" s="17"/>
    </row>
    <row r="623">
      <c r="A623" s="337"/>
      <c r="B623" s="164"/>
      <c r="C623" s="337"/>
      <c r="D623" s="164"/>
      <c r="E623" s="337"/>
      <c r="F623" s="164"/>
      <c r="G623" s="337"/>
      <c r="H623" s="164"/>
      <c r="I623" s="365"/>
      <c r="J623" s="184"/>
      <c r="K623" s="365"/>
      <c r="L623" s="184"/>
      <c r="M623" s="337"/>
      <c r="N623" s="164"/>
      <c r="O623" s="337"/>
      <c r="P623" s="164"/>
      <c r="Q623" s="366"/>
      <c r="R623" s="366"/>
      <c r="S623" s="17"/>
      <c r="T623" s="17"/>
      <c r="U623" s="17"/>
      <c r="V623" s="17"/>
    </row>
    <row r="624">
      <c r="A624" s="337"/>
      <c r="B624" s="164"/>
      <c r="C624" s="337"/>
      <c r="D624" s="164"/>
      <c r="E624" s="337"/>
      <c r="F624" s="164"/>
      <c r="G624" s="337"/>
      <c r="H624" s="164"/>
      <c r="I624" s="365"/>
      <c r="J624" s="184"/>
      <c r="K624" s="365"/>
      <c r="L624" s="184"/>
      <c r="M624" s="337"/>
      <c r="N624" s="164"/>
      <c r="O624" s="337"/>
      <c r="P624" s="164"/>
      <c r="Q624" s="366"/>
      <c r="R624" s="366"/>
      <c r="S624" s="17"/>
      <c r="T624" s="17"/>
      <c r="U624" s="17"/>
      <c r="V624" s="17"/>
    </row>
    <row r="625">
      <c r="A625" s="337"/>
      <c r="B625" s="164"/>
      <c r="C625" s="337"/>
      <c r="D625" s="164"/>
      <c r="E625" s="337"/>
      <c r="F625" s="164"/>
      <c r="G625" s="337"/>
      <c r="H625" s="164"/>
      <c r="I625" s="365"/>
      <c r="J625" s="184"/>
      <c r="K625" s="365"/>
      <c r="L625" s="184"/>
      <c r="M625" s="337"/>
      <c r="N625" s="164"/>
      <c r="O625" s="337"/>
      <c r="P625" s="164"/>
      <c r="Q625" s="366"/>
      <c r="R625" s="366"/>
      <c r="S625" s="17"/>
      <c r="T625" s="17"/>
      <c r="U625" s="17"/>
      <c r="V625" s="17"/>
    </row>
    <row r="626">
      <c r="A626" s="337"/>
      <c r="B626" s="164"/>
      <c r="C626" s="337"/>
      <c r="D626" s="164"/>
      <c r="E626" s="337"/>
      <c r="F626" s="164"/>
      <c r="G626" s="337"/>
      <c r="H626" s="164"/>
      <c r="I626" s="365"/>
      <c r="J626" s="184"/>
      <c r="K626" s="365"/>
      <c r="L626" s="184"/>
      <c r="M626" s="337"/>
      <c r="N626" s="164"/>
      <c r="O626" s="337"/>
      <c r="P626" s="164"/>
      <c r="Q626" s="366"/>
      <c r="R626" s="366"/>
      <c r="S626" s="17"/>
      <c r="T626" s="17"/>
      <c r="U626" s="17"/>
      <c r="V626" s="17"/>
    </row>
    <row r="627">
      <c r="A627" s="337"/>
      <c r="B627" s="164"/>
      <c r="C627" s="337"/>
      <c r="D627" s="164"/>
      <c r="E627" s="337"/>
      <c r="F627" s="164"/>
      <c r="G627" s="337"/>
      <c r="H627" s="164"/>
      <c r="I627" s="365"/>
      <c r="J627" s="184"/>
      <c r="K627" s="365"/>
      <c r="L627" s="184"/>
      <c r="M627" s="337"/>
      <c r="N627" s="164"/>
      <c r="O627" s="337"/>
      <c r="P627" s="164"/>
      <c r="Q627" s="366"/>
      <c r="R627" s="366"/>
      <c r="S627" s="17"/>
      <c r="T627" s="17"/>
      <c r="U627" s="17"/>
      <c r="V627" s="17"/>
    </row>
    <row r="628">
      <c r="A628" s="337"/>
      <c r="B628" s="164"/>
      <c r="C628" s="337"/>
      <c r="D628" s="164"/>
      <c r="E628" s="337"/>
      <c r="F628" s="164"/>
      <c r="G628" s="337"/>
      <c r="H628" s="164"/>
      <c r="I628" s="365"/>
      <c r="J628" s="184"/>
      <c r="K628" s="365"/>
      <c r="L628" s="184"/>
      <c r="M628" s="337"/>
      <c r="N628" s="164"/>
      <c r="O628" s="337"/>
      <c r="P628" s="164"/>
      <c r="Q628" s="366"/>
      <c r="R628" s="366"/>
      <c r="S628" s="17"/>
      <c r="T628" s="17"/>
      <c r="U628" s="17"/>
      <c r="V628" s="17"/>
    </row>
    <row r="629">
      <c r="A629" s="337"/>
      <c r="B629" s="164"/>
      <c r="C629" s="337"/>
      <c r="D629" s="164"/>
      <c r="E629" s="337"/>
      <c r="F629" s="164"/>
      <c r="G629" s="337"/>
      <c r="H629" s="164"/>
      <c r="I629" s="365"/>
      <c r="J629" s="184"/>
      <c r="K629" s="365"/>
      <c r="L629" s="184"/>
      <c r="M629" s="337"/>
      <c r="N629" s="164"/>
      <c r="O629" s="337"/>
      <c r="P629" s="164"/>
      <c r="Q629" s="366"/>
      <c r="R629" s="366"/>
      <c r="S629" s="17"/>
      <c r="T629" s="17"/>
      <c r="U629" s="17"/>
      <c r="V629" s="17"/>
    </row>
    <row r="630">
      <c r="A630" s="337"/>
      <c r="B630" s="164"/>
      <c r="C630" s="337"/>
      <c r="D630" s="164"/>
      <c r="E630" s="337"/>
      <c r="F630" s="164"/>
      <c r="G630" s="337"/>
      <c r="H630" s="164"/>
      <c r="I630" s="365"/>
      <c r="J630" s="184"/>
      <c r="K630" s="365"/>
      <c r="L630" s="184"/>
      <c r="M630" s="337"/>
      <c r="N630" s="164"/>
      <c r="O630" s="337"/>
      <c r="P630" s="164"/>
      <c r="Q630" s="366"/>
      <c r="R630" s="366"/>
      <c r="S630" s="17"/>
      <c r="T630" s="17"/>
      <c r="U630" s="17"/>
      <c r="V630" s="17"/>
    </row>
    <row r="631">
      <c r="A631" s="337"/>
      <c r="B631" s="164"/>
      <c r="C631" s="337"/>
      <c r="D631" s="164"/>
      <c r="E631" s="337"/>
      <c r="F631" s="164"/>
      <c r="G631" s="337"/>
      <c r="H631" s="164"/>
      <c r="I631" s="365"/>
      <c r="J631" s="184"/>
      <c r="K631" s="365"/>
      <c r="L631" s="184"/>
      <c r="M631" s="337"/>
      <c r="N631" s="164"/>
      <c r="O631" s="337"/>
      <c r="P631" s="164"/>
      <c r="Q631" s="366"/>
      <c r="R631" s="366"/>
      <c r="S631" s="17"/>
      <c r="T631" s="17"/>
      <c r="U631" s="17"/>
      <c r="V631" s="17"/>
    </row>
    <row r="632">
      <c r="A632" s="337"/>
      <c r="B632" s="164"/>
      <c r="C632" s="337"/>
      <c r="D632" s="164"/>
      <c r="E632" s="337"/>
      <c r="F632" s="164"/>
      <c r="G632" s="337"/>
      <c r="H632" s="164"/>
      <c r="I632" s="365"/>
      <c r="J632" s="184"/>
      <c r="K632" s="365"/>
      <c r="L632" s="184"/>
      <c r="M632" s="337"/>
      <c r="N632" s="164"/>
      <c r="O632" s="337"/>
      <c r="P632" s="164"/>
      <c r="Q632" s="366"/>
      <c r="R632" s="366"/>
      <c r="S632" s="17"/>
      <c r="T632" s="17"/>
      <c r="U632" s="17"/>
      <c r="V632" s="17"/>
    </row>
    <row r="633">
      <c r="A633" s="337"/>
      <c r="B633" s="164"/>
      <c r="C633" s="337"/>
      <c r="D633" s="164"/>
      <c r="E633" s="337"/>
      <c r="F633" s="164"/>
      <c r="G633" s="337"/>
      <c r="H633" s="164"/>
      <c r="I633" s="365"/>
      <c r="J633" s="184"/>
      <c r="K633" s="365"/>
      <c r="L633" s="184"/>
      <c r="M633" s="337"/>
      <c r="N633" s="164"/>
      <c r="O633" s="337"/>
      <c r="P633" s="164"/>
      <c r="Q633" s="366"/>
      <c r="R633" s="366"/>
      <c r="S633" s="17"/>
      <c r="T633" s="17"/>
      <c r="U633" s="17"/>
      <c r="V633" s="17"/>
    </row>
    <row r="634">
      <c r="A634" s="337"/>
      <c r="B634" s="164"/>
      <c r="C634" s="337"/>
      <c r="D634" s="164"/>
      <c r="E634" s="337"/>
      <c r="F634" s="164"/>
      <c r="G634" s="337"/>
      <c r="H634" s="164"/>
      <c r="I634" s="365"/>
      <c r="J634" s="184"/>
      <c r="K634" s="365"/>
      <c r="L634" s="184"/>
      <c r="M634" s="337"/>
      <c r="N634" s="164"/>
      <c r="O634" s="337"/>
      <c r="P634" s="164"/>
      <c r="Q634" s="366"/>
      <c r="R634" s="366"/>
      <c r="S634" s="17"/>
      <c r="T634" s="17"/>
      <c r="U634" s="17"/>
      <c r="V634" s="17"/>
    </row>
    <row r="635">
      <c r="A635" s="337"/>
      <c r="B635" s="164"/>
      <c r="C635" s="337"/>
      <c r="D635" s="164"/>
      <c r="E635" s="337"/>
      <c r="F635" s="164"/>
      <c r="G635" s="337"/>
      <c r="H635" s="164"/>
      <c r="I635" s="365"/>
      <c r="J635" s="184"/>
      <c r="K635" s="365"/>
      <c r="L635" s="184"/>
      <c r="M635" s="337"/>
      <c r="N635" s="164"/>
      <c r="O635" s="337"/>
      <c r="P635" s="164"/>
      <c r="Q635" s="366"/>
      <c r="R635" s="366"/>
      <c r="S635" s="17"/>
      <c r="T635" s="17"/>
      <c r="U635" s="17"/>
      <c r="V635" s="17"/>
    </row>
    <row r="636">
      <c r="A636" s="337"/>
      <c r="B636" s="164"/>
      <c r="C636" s="337"/>
      <c r="D636" s="164"/>
      <c r="E636" s="337"/>
      <c r="F636" s="164"/>
      <c r="G636" s="337"/>
      <c r="H636" s="164"/>
      <c r="I636" s="365"/>
      <c r="J636" s="184"/>
      <c r="K636" s="365"/>
      <c r="L636" s="184"/>
      <c r="M636" s="337"/>
      <c r="N636" s="164"/>
      <c r="O636" s="337"/>
      <c r="P636" s="164"/>
      <c r="Q636" s="366"/>
      <c r="R636" s="366"/>
      <c r="S636" s="17"/>
      <c r="T636" s="17"/>
      <c r="U636" s="17"/>
      <c r="V636" s="17"/>
    </row>
    <row r="637">
      <c r="A637" s="337"/>
      <c r="B637" s="164"/>
      <c r="C637" s="337"/>
      <c r="D637" s="164"/>
      <c r="E637" s="337"/>
      <c r="F637" s="164"/>
      <c r="G637" s="337"/>
      <c r="H637" s="164"/>
      <c r="I637" s="365"/>
      <c r="J637" s="184"/>
      <c r="K637" s="365"/>
      <c r="L637" s="184"/>
      <c r="M637" s="337"/>
      <c r="N637" s="164"/>
      <c r="O637" s="337"/>
      <c r="P637" s="164"/>
      <c r="Q637" s="366"/>
      <c r="R637" s="366"/>
      <c r="S637" s="17"/>
      <c r="T637" s="17"/>
      <c r="U637" s="17"/>
      <c r="V637" s="17"/>
    </row>
    <row r="638">
      <c r="A638" s="337"/>
      <c r="B638" s="164"/>
      <c r="C638" s="337"/>
      <c r="D638" s="164"/>
      <c r="E638" s="337"/>
      <c r="F638" s="164"/>
      <c r="G638" s="337"/>
      <c r="H638" s="164"/>
      <c r="I638" s="365"/>
      <c r="J638" s="184"/>
      <c r="K638" s="365"/>
      <c r="L638" s="184"/>
      <c r="M638" s="337"/>
      <c r="N638" s="164"/>
      <c r="O638" s="337"/>
      <c r="P638" s="164"/>
      <c r="Q638" s="366"/>
      <c r="R638" s="366"/>
      <c r="S638" s="17"/>
      <c r="T638" s="17"/>
      <c r="U638" s="17"/>
      <c r="V638" s="17"/>
    </row>
    <row r="639">
      <c r="A639" s="337"/>
      <c r="B639" s="164"/>
      <c r="C639" s="337"/>
      <c r="D639" s="164"/>
      <c r="E639" s="337"/>
      <c r="F639" s="164"/>
      <c r="G639" s="337"/>
      <c r="H639" s="164"/>
      <c r="I639" s="365"/>
      <c r="J639" s="184"/>
      <c r="K639" s="365"/>
      <c r="L639" s="184"/>
      <c r="M639" s="337"/>
      <c r="N639" s="164"/>
      <c r="O639" s="337"/>
      <c r="P639" s="164"/>
      <c r="Q639" s="366"/>
      <c r="R639" s="366"/>
      <c r="S639" s="17"/>
      <c r="T639" s="17"/>
      <c r="U639" s="17"/>
      <c r="V639" s="17"/>
    </row>
    <row r="640">
      <c r="A640" s="337"/>
      <c r="B640" s="164"/>
      <c r="C640" s="337"/>
      <c r="D640" s="164"/>
      <c r="E640" s="337"/>
      <c r="F640" s="164"/>
      <c r="G640" s="337"/>
      <c r="H640" s="164"/>
      <c r="I640" s="365"/>
      <c r="J640" s="184"/>
      <c r="K640" s="365"/>
      <c r="L640" s="184"/>
      <c r="M640" s="337"/>
      <c r="N640" s="164"/>
      <c r="O640" s="337"/>
      <c r="P640" s="164"/>
      <c r="Q640" s="366"/>
      <c r="R640" s="366"/>
      <c r="S640" s="17"/>
      <c r="T640" s="17"/>
      <c r="U640" s="17"/>
      <c r="V640" s="17"/>
    </row>
    <row r="641">
      <c r="A641" s="337"/>
      <c r="B641" s="164"/>
      <c r="C641" s="337"/>
      <c r="D641" s="164"/>
      <c r="E641" s="337"/>
      <c r="F641" s="164"/>
      <c r="G641" s="337"/>
      <c r="H641" s="164"/>
      <c r="I641" s="365"/>
      <c r="J641" s="184"/>
      <c r="K641" s="365"/>
      <c r="L641" s="184"/>
      <c r="M641" s="337"/>
      <c r="N641" s="164"/>
      <c r="O641" s="337"/>
      <c r="P641" s="164"/>
      <c r="Q641" s="366"/>
      <c r="R641" s="366"/>
      <c r="S641" s="17"/>
      <c r="T641" s="17"/>
      <c r="U641" s="17"/>
      <c r="V641" s="17"/>
    </row>
    <row r="642">
      <c r="A642" s="337"/>
      <c r="B642" s="164"/>
      <c r="C642" s="337"/>
      <c r="D642" s="164"/>
      <c r="E642" s="337"/>
      <c r="F642" s="164"/>
      <c r="G642" s="337"/>
      <c r="H642" s="164"/>
      <c r="I642" s="365"/>
      <c r="J642" s="184"/>
      <c r="K642" s="365"/>
      <c r="L642" s="184"/>
      <c r="M642" s="337"/>
      <c r="N642" s="164"/>
      <c r="O642" s="337"/>
      <c r="P642" s="164"/>
      <c r="Q642" s="366"/>
      <c r="R642" s="366"/>
      <c r="S642" s="17"/>
      <c r="T642" s="17"/>
      <c r="U642" s="17"/>
      <c r="V642" s="17"/>
    </row>
    <row r="643">
      <c r="A643" s="337"/>
      <c r="B643" s="164"/>
      <c r="C643" s="337"/>
      <c r="D643" s="164"/>
      <c r="E643" s="337"/>
      <c r="F643" s="164"/>
      <c r="G643" s="337"/>
      <c r="H643" s="164"/>
      <c r="I643" s="365"/>
      <c r="J643" s="184"/>
      <c r="K643" s="365"/>
      <c r="L643" s="184"/>
      <c r="M643" s="337"/>
      <c r="N643" s="164"/>
      <c r="O643" s="337"/>
      <c r="P643" s="164"/>
      <c r="Q643" s="366"/>
      <c r="R643" s="366"/>
      <c r="S643" s="17"/>
      <c r="T643" s="17"/>
      <c r="U643" s="17"/>
      <c r="V643" s="17"/>
    </row>
    <row r="644">
      <c r="A644" s="337"/>
      <c r="B644" s="164"/>
      <c r="C644" s="337"/>
      <c r="D644" s="164"/>
      <c r="E644" s="337"/>
      <c r="F644" s="164"/>
      <c r="G644" s="337"/>
      <c r="H644" s="164"/>
      <c r="I644" s="365"/>
      <c r="J644" s="184"/>
      <c r="K644" s="365"/>
      <c r="L644" s="184"/>
      <c r="M644" s="337"/>
      <c r="N644" s="164"/>
      <c r="O644" s="337"/>
      <c r="P644" s="164"/>
      <c r="Q644" s="366"/>
      <c r="R644" s="366"/>
      <c r="S644" s="17"/>
      <c r="T644" s="17"/>
      <c r="U644" s="17"/>
      <c r="V644" s="17"/>
    </row>
    <row r="645">
      <c r="A645" s="337"/>
      <c r="B645" s="164"/>
      <c r="C645" s="337"/>
      <c r="D645" s="164"/>
      <c r="E645" s="337"/>
      <c r="F645" s="164"/>
      <c r="G645" s="337"/>
      <c r="H645" s="164"/>
      <c r="I645" s="365"/>
      <c r="J645" s="184"/>
      <c r="K645" s="365"/>
      <c r="L645" s="184"/>
      <c r="M645" s="337"/>
      <c r="N645" s="164"/>
      <c r="O645" s="337"/>
      <c r="P645" s="164"/>
      <c r="Q645" s="366"/>
      <c r="R645" s="366"/>
      <c r="S645" s="17"/>
      <c r="T645" s="17"/>
      <c r="U645" s="17"/>
      <c r="V645" s="17"/>
    </row>
    <row r="646">
      <c r="A646" s="337"/>
      <c r="B646" s="164"/>
      <c r="C646" s="337"/>
      <c r="D646" s="164"/>
      <c r="E646" s="337"/>
      <c r="F646" s="164"/>
      <c r="G646" s="337"/>
      <c r="H646" s="164"/>
      <c r="I646" s="365"/>
      <c r="J646" s="184"/>
      <c r="K646" s="365"/>
      <c r="L646" s="184"/>
      <c r="M646" s="337"/>
      <c r="N646" s="164"/>
      <c r="O646" s="337"/>
      <c r="P646" s="164"/>
      <c r="Q646" s="366"/>
      <c r="R646" s="366"/>
      <c r="S646" s="17"/>
      <c r="T646" s="17"/>
      <c r="U646" s="17"/>
      <c r="V646" s="17"/>
    </row>
    <row r="647">
      <c r="A647" s="337"/>
      <c r="B647" s="164"/>
      <c r="C647" s="337"/>
      <c r="D647" s="164"/>
      <c r="E647" s="337"/>
      <c r="F647" s="164"/>
      <c r="G647" s="337"/>
      <c r="H647" s="164"/>
      <c r="I647" s="365"/>
      <c r="J647" s="184"/>
      <c r="K647" s="365"/>
      <c r="L647" s="184"/>
      <c r="M647" s="337"/>
      <c r="N647" s="164"/>
      <c r="O647" s="337"/>
      <c r="P647" s="164"/>
      <c r="Q647" s="366"/>
      <c r="R647" s="366"/>
      <c r="S647" s="17"/>
      <c r="T647" s="17"/>
      <c r="U647" s="17"/>
      <c r="V647" s="17"/>
    </row>
    <row r="648">
      <c r="A648" s="337"/>
      <c r="B648" s="164"/>
      <c r="C648" s="337"/>
      <c r="D648" s="164"/>
      <c r="E648" s="337"/>
      <c r="F648" s="164"/>
      <c r="G648" s="337"/>
      <c r="H648" s="164"/>
      <c r="I648" s="365"/>
      <c r="J648" s="184"/>
      <c r="K648" s="365"/>
      <c r="L648" s="184"/>
      <c r="M648" s="337"/>
      <c r="N648" s="164"/>
      <c r="O648" s="337"/>
      <c r="P648" s="164"/>
      <c r="Q648" s="366"/>
      <c r="R648" s="366"/>
      <c r="S648" s="17"/>
      <c r="T648" s="17"/>
      <c r="U648" s="17"/>
      <c r="V648" s="17"/>
    </row>
    <row r="649">
      <c r="A649" s="337"/>
      <c r="B649" s="164"/>
      <c r="C649" s="337"/>
      <c r="D649" s="164"/>
      <c r="E649" s="337"/>
      <c r="F649" s="164"/>
      <c r="G649" s="337"/>
      <c r="H649" s="164"/>
      <c r="I649" s="365"/>
      <c r="J649" s="184"/>
      <c r="K649" s="365"/>
      <c r="L649" s="184"/>
      <c r="M649" s="337"/>
      <c r="N649" s="164"/>
      <c r="O649" s="337"/>
      <c r="P649" s="164"/>
      <c r="Q649" s="366"/>
      <c r="R649" s="366"/>
      <c r="S649" s="17"/>
      <c r="T649" s="17"/>
      <c r="U649" s="17"/>
      <c r="V649" s="17"/>
    </row>
    <row r="650">
      <c r="A650" s="337"/>
      <c r="B650" s="164"/>
      <c r="C650" s="337"/>
      <c r="D650" s="164"/>
      <c r="E650" s="337"/>
      <c r="F650" s="164"/>
      <c r="G650" s="337"/>
      <c r="H650" s="164"/>
      <c r="I650" s="365"/>
      <c r="J650" s="184"/>
      <c r="K650" s="365"/>
      <c r="L650" s="184"/>
      <c r="M650" s="337"/>
      <c r="N650" s="164"/>
      <c r="O650" s="337"/>
      <c r="P650" s="164"/>
      <c r="Q650" s="366"/>
      <c r="R650" s="366"/>
      <c r="S650" s="17"/>
      <c r="T650" s="17"/>
      <c r="U650" s="17"/>
      <c r="V650" s="17"/>
    </row>
    <row r="651">
      <c r="A651" s="337"/>
      <c r="B651" s="164"/>
      <c r="C651" s="337"/>
      <c r="D651" s="164"/>
      <c r="E651" s="337"/>
      <c r="F651" s="164"/>
      <c r="G651" s="337"/>
      <c r="H651" s="164"/>
      <c r="I651" s="365"/>
      <c r="J651" s="184"/>
      <c r="K651" s="365"/>
      <c r="L651" s="184"/>
      <c r="M651" s="337"/>
      <c r="N651" s="164"/>
      <c r="O651" s="337"/>
      <c r="P651" s="164"/>
      <c r="Q651" s="366"/>
      <c r="R651" s="366"/>
      <c r="S651" s="17"/>
      <c r="T651" s="17"/>
      <c r="U651" s="17"/>
      <c r="V651" s="17"/>
    </row>
    <row r="652">
      <c r="A652" s="337"/>
      <c r="B652" s="164"/>
      <c r="C652" s="337"/>
      <c r="D652" s="164"/>
      <c r="E652" s="337"/>
      <c r="F652" s="164"/>
      <c r="G652" s="337"/>
      <c r="H652" s="164"/>
      <c r="I652" s="365"/>
      <c r="J652" s="184"/>
      <c r="K652" s="365"/>
      <c r="L652" s="184"/>
      <c r="M652" s="337"/>
      <c r="N652" s="164"/>
      <c r="O652" s="337"/>
      <c r="P652" s="164"/>
      <c r="Q652" s="366"/>
      <c r="R652" s="366"/>
      <c r="S652" s="17"/>
      <c r="T652" s="17"/>
      <c r="U652" s="17"/>
      <c r="V652" s="17"/>
    </row>
    <row r="653">
      <c r="A653" s="337"/>
      <c r="B653" s="164"/>
      <c r="C653" s="337"/>
      <c r="D653" s="164"/>
      <c r="E653" s="337"/>
      <c r="F653" s="164"/>
      <c r="G653" s="337"/>
      <c r="H653" s="164"/>
      <c r="I653" s="365"/>
      <c r="J653" s="184"/>
      <c r="K653" s="365"/>
      <c r="L653" s="184"/>
      <c r="M653" s="337"/>
      <c r="N653" s="164"/>
      <c r="O653" s="337"/>
      <c r="P653" s="164"/>
      <c r="Q653" s="366"/>
      <c r="R653" s="366"/>
      <c r="S653" s="17"/>
      <c r="T653" s="17"/>
      <c r="U653" s="17"/>
      <c r="V653" s="17"/>
    </row>
    <row r="654">
      <c r="A654" s="337"/>
      <c r="B654" s="164"/>
      <c r="C654" s="337"/>
      <c r="D654" s="164"/>
      <c r="E654" s="337"/>
      <c r="F654" s="164"/>
      <c r="G654" s="337"/>
      <c r="H654" s="164"/>
      <c r="I654" s="365"/>
      <c r="J654" s="184"/>
      <c r="K654" s="365"/>
      <c r="L654" s="184"/>
      <c r="M654" s="337"/>
      <c r="N654" s="164"/>
      <c r="O654" s="337"/>
      <c r="P654" s="164"/>
      <c r="Q654" s="366"/>
      <c r="R654" s="366"/>
      <c r="S654" s="17"/>
      <c r="T654" s="17"/>
      <c r="U654" s="17"/>
      <c r="V654" s="17"/>
    </row>
    <row r="655">
      <c r="A655" s="337"/>
      <c r="B655" s="164"/>
      <c r="C655" s="337"/>
      <c r="D655" s="164"/>
      <c r="E655" s="337"/>
      <c r="F655" s="164"/>
      <c r="G655" s="337"/>
      <c r="H655" s="164"/>
      <c r="I655" s="365"/>
      <c r="J655" s="184"/>
      <c r="K655" s="365"/>
      <c r="L655" s="184"/>
      <c r="M655" s="337"/>
      <c r="N655" s="164"/>
      <c r="O655" s="337"/>
      <c r="P655" s="164"/>
      <c r="Q655" s="366"/>
      <c r="R655" s="366"/>
      <c r="S655" s="17"/>
      <c r="T655" s="17"/>
      <c r="U655" s="17"/>
      <c r="V655" s="17"/>
    </row>
    <row r="656">
      <c r="A656" s="337"/>
      <c r="B656" s="164"/>
      <c r="C656" s="337"/>
      <c r="D656" s="164"/>
      <c r="E656" s="337"/>
      <c r="F656" s="164"/>
      <c r="G656" s="337"/>
      <c r="H656" s="164"/>
      <c r="I656" s="365"/>
      <c r="J656" s="184"/>
      <c r="K656" s="365"/>
      <c r="L656" s="184"/>
      <c r="M656" s="337"/>
      <c r="N656" s="164"/>
      <c r="O656" s="337"/>
      <c r="P656" s="164"/>
      <c r="Q656" s="366"/>
      <c r="R656" s="366"/>
      <c r="S656" s="17"/>
      <c r="T656" s="17"/>
      <c r="U656" s="17"/>
      <c r="V656" s="17"/>
    </row>
    <row r="657">
      <c r="A657" s="337"/>
      <c r="B657" s="164"/>
      <c r="C657" s="337"/>
      <c r="D657" s="164"/>
      <c r="E657" s="337"/>
      <c r="F657" s="164"/>
      <c r="G657" s="337"/>
      <c r="H657" s="164"/>
      <c r="I657" s="365"/>
      <c r="J657" s="184"/>
      <c r="K657" s="365"/>
      <c r="L657" s="184"/>
      <c r="M657" s="337"/>
      <c r="N657" s="164"/>
      <c r="O657" s="337"/>
      <c r="P657" s="164"/>
      <c r="Q657" s="366"/>
      <c r="R657" s="366"/>
      <c r="S657" s="17"/>
      <c r="T657" s="17"/>
      <c r="U657" s="17"/>
      <c r="V657" s="17"/>
    </row>
    <row r="658">
      <c r="A658" s="337"/>
      <c r="B658" s="164"/>
      <c r="C658" s="337"/>
      <c r="D658" s="164"/>
      <c r="E658" s="337"/>
      <c r="F658" s="164"/>
      <c r="G658" s="337"/>
      <c r="H658" s="164"/>
      <c r="I658" s="365"/>
      <c r="J658" s="184"/>
      <c r="K658" s="365"/>
      <c r="L658" s="184"/>
      <c r="M658" s="337"/>
      <c r="N658" s="164"/>
      <c r="O658" s="337"/>
      <c r="P658" s="164"/>
      <c r="Q658" s="366"/>
      <c r="R658" s="366"/>
      <c r="S658" s="17"/>
      <c r="T658" s="17"/>
      <c r="U658" s="17"/>
      <c r="V658" s="17"/>
    </row>
    <row r="659">
      <c r="A659" s="337"/>
      <c r="B659" s="164"/>
      <c r="C659" s="337"/>
      <c r="D659" s="164"/>
      <c r="E659" s="337"/>
      <c r="F659" s="164"/>
      <c r="G659" s="337"/>
      <c r="H659" s="164"/>
      <c r="I659" s="365"/>
      <c r="J659" s="184"/>
      <c r="K659" s="365"/>
      <c r="L659" s="184"/>
      <c r="M659" s="337"/>
      <c r="N659" s="164"/>
      <c r="O659" s="337"/>
      <c r="P659" s="164"/>
      <c r="Q659" s="366"/>
      <c r="R659" s="366"/>
      <c r="S659" s="17"/>
      <c r="T659" s="17"/>
      <c r="U659" s="17"/>
      <c r="V659" s="17"/>
    </row>
    <row r="660">
      <c r="A660" s="337"/>
      <c r="B660" s="164"/>
      <c r="C660" s="337"/>
      <c r="D660" s="164"/>
      <c r="E660" s="337"/>
      <c r="F660" s="164"/>
      <c r="G660" s="337"/>
      <c r="H660" s="164"/>
      <c r="I660" s="365"/>
      <c r="J660" s="184"/>
      <c r="K660" s="365"/>
      <c r="L660" s="184"/>
      <c r="M660" s="337"/>
      <c r="N660" s="164"/>
      <c r="O660" s="337"/>
      <c r="P660" s="164"/>
      <c r="Q660" s="366"/>
      <c r="R660" s="366"/>
      <c r="S660" s="17"/>
      <c r="T660" s="17"/>
      <c r="U660" s="17"/>
      <c r="V660" s="17"/>
    </row>
    <row r="661">
      <c r="A661" s="337"/>
      <c r="B661" s="164"/>
      <c r="C661" s="337"/>
      <c r="D661" s="164"/>
      <c r="E661" s="337"/>
      <c r="F661" s="164"/>
      <c r="G661" s="337"/>
      <c r="H661" s="164"/>
      <c r="I661" s="365"/>
      <c r="J661" s="184"/>
      <c r="K661" s="365"/>
      <c r="L661" s="184"/>
      <c r="M661" s="337"/>
      <c r="N661" s="164"/>
      <c r="O661" s="337"/>
      <c r="P661" s="164"/>
      <c r="Q661" s="366"/>
      <c r="R661" s="366"/>
      <c r="S661" s="17"/>
      <c r="T661" s="17"/>
      <c r="U661" s="17"/>
      <c r="V661" s="17"/>
    </row>
    <row r="662">
      <c r="A662" s="337"/>
      <c r="B662" s="164"/>
      <c r="C662" s="337"/>
      <c r="D662" s="164"/>
      <c r="E662" s="337"/>
      <c r="F662" s="164"/>
      <c r="G662" s="337"/>
      <c r="H662" s="164"/>
      <c r="I662" s="365"/>
      <c r="J662" s="184"/>
      <c r="K662" s="365"/>
      <c r="L662" s="184"/>
      <c r="M662" s="337"/>
      <c r="N662" s="164"/>
      <c r="O662" s="337"/>
      <c r="P662" s="164"/>
      <c r="Q662" s="366"/>
      <c r="R662" s="366"/>
      <c r="S662" s="17"/>
      <c r="T662" s="17"/>
      <c r="U662" s="17"/>
      <c r="V662" s="17"/>
    </row>
    <row r="663">
      <c r="A663" s="337"/>
      <c r="B663" s="164"/>
      <c r="C663" s="337"/>
      <c r="D663" s="164"/>
      <c r="E663" s="337"/>
      <c r="F663" s="164"/>
      <c r="G663" s="337"/>
      <c r="H663" s="164"/>
      <c r="I663" s="365"/>
      <c r="J663" s="184"/>
      <c r="K663" s="365"/>
      <c r="L663" s="184"/>
      <c r="M663" s="337"/>
      <c r="N663" s="164"/>
      <c r="O663" s="337"/>
      <c r="P663" s="164"/>
      <c r="Q663" s="366"/>
      <c r="R663" s="366"/>
      <c r="S663" s="17"/>
      <c r="T663" s="17"/>
      <c r="U663" s="17"/>
      <c r="V663" s="17"/>
    </row>
    <row r="664">
      <c r="A664" s="337"/>
      <c r="B664" s="164"/>
      <c r="C664" s="337"/>
      <c r="D664" s="164"/>
      <c r="E664" s="337"/>
      <c r="F664" s="164"/>
      <c r="G664" s="337"/>
      <c r="H664" s="164"/>
      <c r="I664" s="365"/>
      <c r="J664" s="184"/>
      <c r="K664" s="365"/>
      <c r="L664" s="184"/>
      <c r="M664" s="337"/>
      <c r="N664" s="164"/>
      <c r="O664" s="337"/>
      <c r="P664" s="164"/>
      <c r="Q664" s="366"/>
      <c r="R664" s="366"/>
      <c r="S664" s="17"/>
      <c r="T664" s="17"/>
      <c r="U664" s="17"/>
      <c r="V664" s="17"/>
    </row>
    <row r="665">
      <c r="A665" s="337"/>
      <c r="B665" s="164"/>
      <c r="C665" s="337"/>
      <c r="D665" s="164"/>
      <c r="E665" s="337"/>
      <c r="F665" s="164"/>
      <c r="G665" s="337"/>
      <c r="H665" s="164"/>
      <c r="I665" s="365"/>
      <c r="J665" s="184"/>
      <c r="K665" s="365"/>
      <c r="L665" s="184"/>
      <c r="M665" s="337"/>
      <c r="N665" s="164"/>
      <c r="O665" s="337"/>
      <c r="P665" s="164"/>
      <c r="Q665" s="366"/>
      <c r="R665" s="366"/>
      <c r="S665" s="17"/>
      <c r="T665" s="17"/>
      <c r="U665" s="17"/>
      <c r="V665" s="17"/>
    </row>
    <row r="666">
      <c r="A666" s="337"/>
      <c r="B666" s="164"/>
      <c r="C666" s="337"/>
      <c r="D666" s="164"/>
      <c r="E666" s="337"/>
      <c r="F666" s="164"/>
      <c r="G666" s="337"/>
      <c r="H666" s="164"/>
      <c r="I666" s="365"/>
      <c r="J666" s="184"/>
      <c r="K666" s="365"/>
      <c r="L666" s="184"/>
      <c r="M666" s="337"/>
      <c r="N666" s="164"/>
      <c r="O666" s="337"/>
      <c r="P666" s="164"/>
      <c r="Q666" s="366"/>
      <c r="R666" s="366"/>
      <c r="S666" s="17"/>
      <c r="T666" s="17"/>
      <c r="U666" s="17"/>
      <c r="V666" s="17"/>
    </row>
    <row r="667">
      <c r="A667" s="337"/>
      <c r="B667" s="164"/>
      <c r="C667" s="337"/>
      <c r="D667" s="164"/>
      <c r="E667" s="337"/>
      <c r="F667" s="164"/>
      <c r="G667" s="337"/>
      <c r="H667" s="164"/>
      <c r="I667" s="365"/>
      <c r="J667" s="184"/>
      <c r="K667" s="365"/>
      <c r="L667" s="184"/>
      <c r="M667" s="337"/>
      <c r="N667" s="164"/>
      <c r="O667" s="337"/>
      <c r="P667" s="164"/>
      <c r="Q667" s="366"/>
      <c r="R667" s="366"/>
      <c r="S667" s="17"/>
      <c r="T667" s="17"/>
      <c r="U667" s="17"/>
      <c r="V667" s="17"/>
    </row>
    <row r="668">
      <c r="A668" s="337"/>
      <c r="B668" s="164"/>
      <c r="C668" s="337"/>
      <c r="D668" s="164"/>
      <c r="E668" s="337"/>
      <c r="F668" s="164"/>
      <c r="G668" s="337"/>
      <c r="H668" s="164"/>
      <c r="I668" s="365"/>
      <c r="J668" s="184"/>
      <c r="K668" s="365"/>
      <c r="L668" s="184"/>
      <c r="M668" s="337"/>
      <c r="N668" s="164"/>
      <c r="O668" s="337"/>
      <c r="P668" s="164"/>
      <c r="Q668" s="366"/>
      <c r="R668" s="366"/>
      <c r="S668" s="17"/>
      <c r="T668" s="17"/>
      <c r="U668" s="17"/>
      <c r="V668" s="17"/>
    </row>
    <row r="669">
      <c r="A669" s="337"/>
      <c r="B669" s="164"/>
      <c r="C669" s="337"/>
      <c r="D669" s="164"/>
      <c r="E669" s="337"/>
      <c r="F669" s="164"/>
      <c r="G669" s="337"/>
      <c r="H669" s="164"/>
      <c r="I669" s="365"/>
      <c r="J669" s="184"/>
      <c r="K669" s="365"/>
      <c r="L669" s="184"/>
      <c r="M669" s="337"/>
      <c r="N669" s="164"/>
      <c r="O669" s="337"/>
      <c r="P669" s="164"/>
      <c r="Q669" s="366"/>
      <c r="R669" s="366"/>
      <c r="S669" s="17"/>
      <c r="T669" s="17"/>
      <c r="U669" s="17"/>
      <c r="V669" s="17"/>
    </row>
    <row r="670">
      <c r="A670" s="337"/>
      <c r="B670" s="164"/>
      <c r="C670" s="337"/>
      <c r="D670" s="164"/>
      <c r="E670" s="337"/>
      <c r="F670" s="164"/>
      <c r="G670" s="337"/>
      <c r="H670" s="164"/>
      <c r="I670" s="365"/>
      <c r="J670" s="184"/>
      <c r="K670" s="365"/>
      <c r="L670" s="184"/>
      <c r="M670" s="337"/>
      <c r="N670" s="164"/>
      <c r="O670" s="337"/>
      <c r="P670" s="164"/>
      <c r="Q670" s="366"/>
      <c r="R670" s="366"/>
      <c r="S670" s="17"/>
      <c r="T670" s="17"/>
      <c r="U670" s="17"/>
      <c r="V670" s="17"/>
    </row>
    <row r="671">
      <c r="A671" s="337"/>
      <c r="B671" s="164"/>
      <c r="C671" s="337"/>
      <c r="D671" s="164"/>
      <c r="E671" s="337"/>
      <c r="F671" s="164"/>
      <c r="G671" s="337"/>
      <c r="H671" s="164"/>
      <c r="I671" s="365"/>
      <c r="J671" s="184"/>
      <c r="K671" s="365"/>
      <c r="L671" s="184"/>
      <c r="M671" s="337"/>
      <c r="N671" s="164"/>
      <c r="O671" s="337"/>
      <c r="P671" s="164"/>
      <c r="Q671" s="366"/>
      <c r="R671" s="366"/>
      <c r="S671" s="17"/>
      <c r="T671" s="17"/>
      <c r="U671" s="17"/>
      <c r="V671" s="17"/>
    </row>
    <row r="672">
      <c r="A672" s="337"/>
      <c r="B672" s="164"/>
      <c r="C672" s="337"/>
      <c r="D672" s="164"/>
      <c r="E672" s="337"/>
      <c r="F672" s="164"/>
      <c r="G672" s="337"/>
      <c r="H672" s="164"/>
      <c r="I672" s="365"/>
      <c r="J672" s="184"/>
      <c r="K672" s="365"/>
      <c r="L672" s="184"/>
      <c r="M672" s="337"/>
      <c r="N672" s="164"/>
      <c r="O672" s="337"/>
      <c r="P672" s="164"/>
      <c r="Q672" s="366"/>
      <c r="R672" s="366"/>
      <c r="S672" s="17"/>
      <c r="T672" s="17"/>
      <c r="U672" s="17"/>
      <c r="V672" s="17"/>
    </row>
    <row r="673">
      <c r="A673" s="337"/>
      <c r="B673" s="164"/>
      <c r="C673" s="337"/>
      <c r="D673" s="164"/>
      <c r="E673" s="337"/>
      <c r="F673" s="164"/>
      <c r="G673" s="337"/>
      <c r="H673" s="164"/>
      <c r="I673" s="365"/>
      <c r="J673" s="184"/>
      <c r="K673" s="365"/>
      <c r="L673" s="184"/>
      <c r="M673" s="337"/>
      <c r="N673" s="164"/>
      <c r="O673" s="337"/>
      <c r="P673" s="164"/>
      <c r="Q673" s="366"/>
      <c r="R673" s="366"/>
      <c r="S673" s="17"/>
      <c r="T673" s="17"/>
      <c r="U673" s="17"/>
      <c r="V673" s="17"/>
    </row>
    <row r="674">
      <c r="A674" s="337"/>
      <c r="B674" s="164"/>
      <c r="C674" s="337"/>
      <c r="D674" s="164"/>
      <c r="E674" s="337"/>
      <c r="F674" s="164"/>
      <c r="G674" s="337"/>
      <c r="H674" s="164"/>
      <c r="I674" s="365"/>
      <c r="J674" s="184"/>
      <c r="K674" s="365"/>
      <c r="L674" s="184"/>
      <c r="M674" s="337"/>
      <c r="N674" s="164"/>
      <c r="O674" s="337"/>
      <c r="P674" s="164"/>
      <c r="Q674" s="366"/>
      <c r="R674" s="366"/>
      <c r="S674" s="17"/>
      <c r="T674" s="17"/>
      <c r="U674" s="17"/>
      <c r="V674" s="17"/>
    </row>
    <row r="675">
      <c r="A675" s="337"/>
      <c r="B675" s="164"/>
      <c r="C675" s="337"/>
      <c r="D675" s="164"/>
      <c r="E675" s="337"/>
      <c r="F675" s="164"/>
      <c r="G675" s="337"/>
      <c r="H675" s="164"/>
      <c r="I675" s="365"/>
      <c r="J675" s="184"/>
      <c r="K675" s="365"/>
      <c r="L675" s="184"/>
      <c r="M675" s="337"/>
      <c r="N675" s="164"/>
      <c r="O675" s="337"/>
      <c r="P675" s="164"/>
      <c r="Q675" s="366"/>
      <c r="R675" s="366"/>
      <c r="S675" s="17"/>
      <c r="T675" s="17"/>
      <c r="U675" s="17"/>
      <c r="V675" s="17"/>
    </row>
    <row r="676">
      <c r="A676" s="337"/>
      <c r="B676" s="164"/>
      <c r="C676" s="337"/>
      <c r="D676" s="164"/>
      <c r="E676" s="337"/>
      <c r="F676" s="164"/>
      <c r="G676" s="337"/>
      <c r="H676" s="164"/>
      <c r="I676" s="365"/>
      <c r="J676" s="184"/>
      <c r="K676" s="365"/>
      <c r="L676" s="184"/>
      <c r="M676" s="337"/>
      <c r="N676" s="164"/>
      <c r="O676" s="337"/>
      <c r="P676" s="164"/>
      <c r="Q676" s="366"/>
      <c r="R676" s="366"/>
      <c r="S676" s="17"/>
      <c r="T676" s="17"/>
      <c r="U676" s="17"/>
      <c r="V676" s="17"/>
    </row>
    <row r="677">
      <c r="A677" s="337"/>
      <c r="B677" s="164"/>
      <c r="C677" s="337"/>
      <c r="D677" s="164"/>
      <c r="E677" s="337"/>
      <c r="F677" s="164"/>
      <c r="G677" s="337"/>
      <c r="H677" s="164"/>
      <c r="I677" s="365"/>
      <c r="J677" s="184"/>
      <c r="K677" s="365"/>
      <c r="L677" s="184"/>
      <c r="M677" s="337"/>
      <c r="N677" s="164"/>
      <c r="O677" s="337"/>
      <c r="P677" s="164"/>
      <c r="Q677" s="366"/>
      <c r="R677" s="366"/>
      <c r="S677" s="17"/>
      <c r="T677" s="17"/>
      <c r="U677" s="17"/>
      <c r="V677" s="17"/>
    </row>
    <row r="678">
      <c r="A678" s="337"/>
      <c r="B678" s="164"/>
      <c r="C678" s="337"/>
      <c r="D678" s="164"/>
      <c r="E678" s="337"/>
      <c r="F678" s="164"/>
      <c r="G678" s="337"/>
      <c r="H678" s="164"/>
      <c r="I678" s="365"/>
      <c r="J678" s="184"/>
      <c r="K678" s="365"/>
      <c r="L678" s="184"/>
      <c r="M678" s="337"/>
      <c r="N678" s="164"/>
      <c r="O678" s="337"/>
      <c r="P678" s="164"/>
      <c r="Q678" s="366"/>
      <c r="R678" s="366"/>
      <c r="S678" s="17"/>
      <c r="T678" s="17"/>
      <c r="U678" s="17"/>
      <c r="V678" s="17"/>
    </row>
    <row r="679">
      <c r="A679" s="337"/>
      <c r="B679" s="164"/>
      <c r="C679" s="337"/>
      <c r="D679" s="164"/>
      <c r="E679" s="337"/>
      <c r="F679" s="164"/>
      <c r="G679" s="337"/>
      <c r="H679" s="164"/>
      <c r="I679" s="365"/>
      <c r="J679" s="184"/>
      <c r="K679" s="365"/>
      <c r="L679" s="184"/>
      <c r="M679" s="337"/>
      <c r="N679" s="164"/>
      <c r="O679" s="337"/>
      <c r="P679" s="164"/>
      <c r="Q679" s="366"/>
      <c r="R679" s="366"/>
      <c r="S679" s="17"/>
      <c r="T679" s="17"/>
      <c r="U679" s="17"/>
      <c r="V679" s="17"/>
    </row>
    <row r="680">
      <c r="A680" s="337"/>
      <c r="B680" s="164"/>
      <c r="C680" s="337"/>
      <c r="D680" s="164"/>
      <c r="E680" s="337"/>
      <c r="F680" s="164"/>
      <c r="G680" s="337"/>
      <c r="H680" s="164"/>
      <c r="I680" s="365"/>
      <c r="J680" s="184"/>
      <c r="K680" s="365"/>
      <c r="L680" s="184"/>
      <c r="M680" s="337"/>
      <c r="N680" s="164"/>
      <c r="O680" s="337"/>
      <c r="P680" s="164"/>
      <c r="Q680" s="366"/>
      <c r="R680" s="366"/>
      <c r="S680" s="17"/>
      <c r="T680" s="17"/>
      <c r="U680" s="17"/>
      <c r="V680" s="17"/>
    </row>
    <row r="681">
      <c r="A681" s="337"/>
      <c r="B681" s="164"/>
      <c r="C681" s="337"/>
      <c r="D681" s="164"/>
      <c r="E681" s="337"/>
      <c r="F681" s="164"/>
      <c r="G681" s="337"/>
      <c r="H681" s="164"/>
      <c r="I681" s="365"/>
      <c r="J681" s="184"/>
      <c r="K681" s="365"/>
      <c r="L681" s="184"/>
      <c r="M681" s="337"/>
      <c r="N681" s="164"/>
      <c r="O681" s="337"/>
      <c r="P681" s="164"/>
      <c r="Q681" s="366"/>
      <c r="R681" s="366"/>
      <c r="S681" s="17"/>
      <c r="T681" s="17"/>
      <c r="U681" s="17"/>
      <c r="V681" s="17"/>
    </row>
    <row r="682">
      <c r="A682" s="337"/>
      <c r="B682" s="164"/>
      <c r="C682" s="337"/>
      <c r="D682" s="164"/>
      <c r="E682" s="337"/>
      <c r="F682" s="164"/>
      <c r="G682" s="337"/>
      <c r="H682" s="164"/>
      <c r="I682" s="365"/>
      <c r="J682" s="184"/>
      <c r="K682" s="365"/>
      <c r="L682" s="184"/>
      <c r="M682" s="337"/>
      <c r="N682" s="164"/>
      <c r="O682" s="337"/>
      <c r="P682" s="164"/>
      <c r="Q682" s="366"/>
      <c r="R682" s="366"/>
      <c r="S682" s="17"/>
      <c r="T682" s="17"/>
      <c r="U682" s="17"/>
      <c r="V682" s="17"/>
    </row>
    <row r="683">
      <c r="A683" s="337"/>
      <c r="B683" s="164"/>
      <c r="C683" s="337"/>
      <c r="D683" s="164"/>
      <c r="E683" s="337"/>
      <c r="F683" s="164"/>
      <c r="G683" s="337"/>
      <c r="H683" s="164"/>
      <c r="I683" s="365"/>
      <c r="J683" s="184"/>
      <c r="K683" s="365"/>
      <c r="L683" s="184"/>
      <c r="M683" s="337"/>
      <c r="N683" s="164"/>
      <c r="O683" s="337"/>
      <c r="P683" s="164"/>
      <c r="Q683" s="366"/>
      <c r="R683" s="366"/>
      <c r="S683" s="17"/>
      <c r="T683" s="17"/>
      <c r="U683" s="17"/>
      <c r="V683" s="17"/>
    </row>
    <row r="684">
      <c r="A684" s="337"/>
      <c r="B684" s="164"/>
      <c r="C684" s="337"/>
      <c r="D684" s="164"/>
      <c r="E684" s="337"/>
      <c r="F684" s="164"/>
      <c r="G684" s="337"/>
      <c r="H684" s="164"/>
      <c r="I684" s="365"/>
      <c r="J684" s="184"/>
      <c r="K684" s="365"/>
      <c r="L684" s="184"/>
      <c r="M684" s="337"/>
      <c r="N684" s="164"/>
      <c r="O684" s="337"/>
      <c r="P684" s="164"/>
      <c r="Q684" s="366"/>
      <c r="R684" s="366"/>
      <c r="S684" s="17"/>
      <c r="T684" s="17"/>
      <c r="U684" s="17"/>
      <c r="V684" s="17"/>
    </row>
    <row r="685">
      <c r="A685" s="337"/>
      <c r="B685" s="164"/>
      <c r="C685" s="337"/>
      <c r="D685" s="164"/>
      <c r="E685" s="337"/>
      <c r="F685" s="164"/>
      <c r="G685" s="337"/>
      <c r="H685" s="164"/>
      <c r="I685" s="365"/>
      <c r="J685" s="184"/>
      <c r="K685" s="365"/>
      <c r="L685" s="184"/>
      <c r="M685" s="337"/>
      <c r="N685" s="164"/>
      <c r="O685" s="337"/>
      <c r="P685" s="164"/>
      <c r="Q685" s="366"/>
      <c r="R685" s="366"/>
      <c r="S685" s="17"/>
      <c r="T685" s="17"/>
      <c r="U685" s="17"/>
      <c r="V685" s="17"/>
    </row>
    <row r="686">
      <c r="A686" s="337"/>
      <c r="B686" s="164"/>
      <c r="C686" s="337"/>
      <c r="D686" s="164"/>
      <c r="E686" s="337"/>
      <c r="F686" s="164"/>
      <c r="G686" s="337"/>
      <c r="H686" s="164"/>
      <c r="I686" s="365"/>
      <c r="J686" s="184"/>
      <c r="K686" s="365"/>
      <c r="L686" s="184"/>
      <c r="M686" s="337"/>
      <c r="N686" s="164"/>
      <c r="O686" s="337"/>
      <c r="P686" s="164"/>
      <c r="Q686" s="366"/>
      <c r="R686" s="366"/>
      <c r="S686" s="17"/>
      <c r="T686" s="17"/>
      <c r="U686" s="17"/>
      <c r="V686" s="17"/>
    </row>
    <row r="687">
      <c r="A687" s="337"/>
      <c r="B687" s="164"/>
      <c r="C687" s="337"/>
      <c r="D687" s="164"/>
      <c r="E687" s="337"/>
      <c r="F687" s="164"/>
      <c r="G687" s="337"/>
      <c r="H687" s="164"/>
      <c r="I687" s="365"/>
      <c r="J687" s="184"/>
      <c r="K687" s="365"/>
      <c r="L687" s="184"/>
      <c r="M687" s="337"/>
      <c r="N687" s="164"/>
      <c r="O687" s="337"/>
      <c r="P687" s="164"/>
      <c r="Q687" s="366"/>
      <c r="R687" s="366"/>
      <c r="S687" s="17"/>
      <c r="T687" s="17"/>
      <c r="U687" s="17"/>
      <c r="V687" s="17"/>
    </row>
    <row r="688">
      <c r="A688" s="337"/>
      <c r="B688" s="164"/>
      <c r="C688" s="337"/>
      <c r="D688" s="164"/>
      <c r="E688" s="337"/>
      <c r="F688" s="164"/>
      <c r="G688" s="337"/>
      <c r="H688" s="164"/>
      <c r="I688" s="365"/>
      <c r="J688" s="184"/>
      <c r="K688" s="365"/>
      <c r="L688" s="184"/>
      <c r="M688" s="337"/>
      <c r="N688" s="164"/>
      <c r="O688" s="337"/>
      <c r="P688" s="164"/>
      <c r="Q688" s="366"/>
      <c r="R688" s="366"/>
      <c r="S688" s="17"/>
      <c r="T688" s="17"/>
      <c r="U688" s="17"/>
      <c r="V688" s="17"/>
    </row>
    <row r="689">
      <c r="A689" s="337"/>
      <c r="B689" s="164"/>
      <c r="C689" s="337"/>
      <c r="D689" s="164"/>
      <c r="E689" s="337"/>
      <c r="F689" s="164"/>
      <c r="G689" s="337"/>
      <c r="H689" s="164"/>
      <c r="I689" s="365"/>
      <c r="J689" s="184"/>
      <c r="K689" s="365"/>
      <c r="L689" s="184"/>
      <c r="M689" s="337"/>
      <c r="N689" s="164"/>
      <c r="O689" s="337"/>
      <c r="P689" s="164"/>
      <c r="Q689" s="366"/>
      <c r="R689" s="366"/>
      <c r="S689" s="17"/>
      <c r="T689" s="17"/>
      <c r="U689" s="17"/>
      <c r="V689" s="17"/>
    </row>
    <row r="690">
      <c r="A690" s="337"/>
      <c r="B690" s="164"/>
      <c r="C690" s="337"/>
      <c r="D690" s="164"/>
      <c r="E690" s="337"/>
      <c r="F690" s="164"/>
      <c r="G690" s="337"/>
      <c r="H690" s="164"/>
      <c r="I690" s="365"/>
      <c r="J690" s="184"/>
      <c r="K690" s="365"/>
      <c r="L690" s="184"/>
      <c r="M690" s="337"/>
      <c r="N690" s="164"/>
      <c r="O690" s="337"/>
      <c r="P690" s="164"/>
      <c r="Q690" s="366"/>
      <c r="R690" s="366"/>
      <c r="S690" s="17"/>
      <c r="T690" s="17"/>
      <c r="U690" s="17"/>
      <c r="V690" s="17"/>
    </row>
    <row r="691">
      <c r="A691" s="337"/>
      <c r="B691" s="164"/>
      <c r="C691" s="337"/>
      <c r="D691" s="164"/>
      <c r="E691" s="337"/>
      <c r="F691" s="164"/>
      <c r="G691" s="337"/>
      <c r="H691" s="164"/>
      <c r="I691" s="365"/>
      <c r="J691" s="184"/>
      <c r="K691" s="365"/>
      <c r="L691" s="184"/>
      <c r="M691" s="337"/>
      <c r="N691" s="164"/>
      <c r="O691" s="337"/>
      <c r="P691" s="164"/>
      <c r="Q691" s="366"/>
      <c r="R691" s="366"/>
      <c r="S691" s="17"/>
      <c r="T691" s="17"/>
      <c r="U691" s="17"/>
      <c r="V691" s="17"/>
    </row>
    <row r="692">
      <c r="A692" s="337"/>
      <c r="B692" s="164"/>
      <c r="C692" s="337"/>
      <c r="D692" s="164"/>
      <c r="E692" s="337"/>
      <c r="F692" s="164"/>
      <c r="G692" s="337"/>
      <c r="H692" s="164"/>
      <c r="I692" s="365"/>
      <c r="J692" s="184"/>
      <c r="K692" s="365"/>
      <c r="L692" s="184"/>
      <c r="M692" s="337"/>
      <c r="N692" s="164"/>
      <c r="O692" s="337"/>
      <c r="P692" s="164"/>
      <c r="Q692" s="366"/>
      <c r="R692" s="366"/>
      <c r="S692" s="17"/>
      <c r="T692" s="17"/>
      <c r="U692" s="17"/>
      <c r="V692" s="17"/>
    </row>
    <row r="693">
      <c r="A693" s="337"/>
      <c r="B693" s="164"/>
      <c r="C693" s="337"/>
      <c r="D693" s="164"/>
      <c r="E693" s="337"/>
      <c r="F693" s="164"/>
      <c r="G693" s="337"/>
      <c r="H693" s="164"/>
      <c r="I693" s="365"/>
      <c r="J693" s="184"/>
      <c r="K693" s="365"/>
      <c r="L693" s="184"/>
      <c r="M693" s="337"/>
      <c r="N693" s="164"/>
      <c r="O693" s="337"/>
      <c r="P693" s="164"/>
      <c r="Q693" s="366"/>
      <c r="R693" s="366"/>
      <c r="S693" s="17"/>
      <c r="T693" s="17"/>
      <c r="U693" s="17"/>
      <c r="V693" s="17"/>
    </row>
    <row r="694">
      <c r="A694" s="337"/>
      <c r="B694" s="164"/>
      <c r="C694" s="337"/>
      <c r="D694" s="164"/>
      <c r="E694" s="337"/>
      <c r="F694" s="164"/>
      <c r="G694" s="337"/>
      <c r="H694" s="164"/>
      <c r="I694" s="365"/>
      <c r="J694" s="184"/>
      <c r="K694" s="365"/>
      <c r="L694" s="184"/>
      <c r="M694" s="337"/>
      <c r="N694" s="164"/>
      <c r="O694" s="337"/>
      <c r="P694" s="164"/>
      <c r="Q694" s="366"/>
      <c r="R694" s="366"/>
      <c r="S694" s="17"/>
      <c r="T694" s="17"/>
      <c r="U694" s="17"/>
      <c r="V694" s="17"/>
    </row>
    <row r="695">
      <c r="A695" s="337"/>
      <c r="B695" s="164"/>
      <c r="C695" s="337"/>
      <c r="D695" s="164"/>
      <c r="E695" s="337"/>
      <c r="F695" s="164"/>
      <c r="G695" s="337"/>
      <c r="H695" s="164"/>
      <c r="I695" s="365"/>
      <c r="J695" s="184"/>
      <c r="K695" s="365"/>
      <c r="L695" s="184"/>
      <c r="M695" s="337"/>
      <c r="N695" s="164"/>
      <c r="O695" s="337"/>
      <c r="P695" s="164"/>
      <c r="Q695" s="366"/>
      <c r="R695" s="366"/>
      <c r="S695" s="17"/>
      <c r="T695" s="17"/>
      <c r="U695" s="17"/>
      <c r="V695" s="17"/>
    </row>
    <row r="696">
      <c r="A696" s="337"/>
      <c r="B696" s="164"/>
      <c r="C696" s="337"/>
      <c r="D696" s="164"/>
      <c r="E696" s="337"/>
      <c r="F696" s="164"/>
      <c r="G696" s="337"/>
      <c r="H696" s="164"/>
      <c r="I696" s="365"/>
      <c r="J696" s="184"/>
      <c r="K696" s="365"/>
      <c r="L696" s="184"/>
      <c r="M696" s="337"/>
      <c r="N696" s="164"/>
      <c r="O696" s="337"/>
      <c r="P696" s="164"/>
      <c r="Q696" s="366"/>
      <c r="R696" s="366"/>
      <c r="S696" s="17"/>
      <c r="T696" s="17"/>
      <c r="U696" s="17"/>
      <c r="V696" s="17"/>
    </row>
    <row r="697">
      <c r="A697" s="337"/>
      <c r="B697" s="164"/>
      <c r="C697" s="337"/>
      <c r="D697" s="164"/>
      <c r="E697" s="337"/>
      <c r="F697" s="164"/>
      <c r="G697" s="337"/>
      <c r="H697" s="164"/>
      <c r="I697" s="365"/>
      <c r="J697" s="184"/>
      <c r="K697" s="365"/>
      <c r="L697" s="184"/>
      <c r="M697" s="337"/>
      <c r="N697" s="164"/>
      <c r="O697" s="337"/>
      <c r="P697" s="164"/>
      <c r="Q697" s="366"/>
      <c r="R697" s="366"/>
      <c r="S697" s="17"/>
      <c r="T697" s="17"/>
      <c r="U697" s="17"/>
      <c r="V697" s="17"/>
    </row>
    <row r="698">
      <c r="A698" s="337"/>
      <c r="B698" s="164"/>
      <c r="C698" s="337"/>
      <c r="D698" s="164"/>
      <c r="E698" s="337"/>
      <c r="F698" s="164"/>
      <c r="G698" s="337"/>
      <c r="H698" s="164"/>
      <c r="I698" s="365"/>
      <c r="J698" s="184"/>
      <c r="K698" s="365"/>
      <c r="L698" s="184"/>
      <c r="M698" s="337"/>
      <c r="N698" s="164"/>
      <c r="O698" s="337"/>
      <c r="P698" s="164"/>
      <c r="Q698" s="366"/>
      <c r="R698" s="366"/>
      <c r="S698" s="17"/>
      <c r="T698" s="17"/>
      <c r="U698" s="17"/>
      <c r="V698" s="17"/>
    </row>
    <row r="699">
      <c r="A699" s="337"/>
      <c r="B699" s="164"/>
      <c r="C699" s="337"/>
      <c r="D699" s="164"/>
      <c r="E699" s="337"/>
      <c r="F699" s="164"/>
      <c r="G699" s="337"/>
      <c r="H699" s="164"/>
      <c r="I699" s="365"/>
      <c r="J699" s="184"/>
      <c r="K699" s="365"/>
      <c r="L699" s="184"/>
      <c r="M699" s="337"/>
      <c r="N699" s="164"/>
      <c r="O699" s="337"/>
      <c r="P699" s="164"/>
      <c r="Q699" s="366"/>
      <c r="R699" s="366"/>
      <c r="S699" s="17"/>
      <c r="T699" s="17"/>
      <c r="U699" s="17"/>
      <c r="V699" s="17"/>
    </row>
    <row r="700">
      <c r="A700" s="337"/>
      <c r="B700" s="164"/>
      <c r="C700" s="337"/>
      <c r="D700" s="164"/>
      <c r="E700" s="337"/>
      <c r="F700" s="164"/>
      <c r="G700" s="337"/>
      <c r="H700" s="164"/>
      <c r="I700" s="365"/>
      <c r="J700" s="184"/>
      <c r="K700" s="365"/>
      <c r="L700" s="184"/>
      <c r="M700" s="337"/>
      <c r="N700" s="164"/>
      <c r="O700" s="337"/>
      <c r="P700" s="164"/>
      <c r="Q700" s="366"/>
      <c r="R700" s="366"/>
      <c r="S700" s="17"/>
      <c r="T700" s="17"/>
      <c r="U700" s="17"/>
      <c r="V700" s="17"/>
    </row>
    <row r="701">
      <c r="A701" s="337"/>
      <c r="B701" s="164"/>
      <c r="C701" s="337"/>
      <c r="D701" s="164"/>
      <c r="E701" s="337"/>
      <c r="F701" s="164"/>
      <c r="G701" s="337"/>
      <c r="H701" s="164"/>
      <c r="I701" s="365"/>
      <c r="J701" s="184"/>
      <c r="K701" s="365"/>
      <c r="L701" s="184"/>
      <c r="M701" s="337"/>
      <c r="N701" s="164"/>
      <c r="O701" s="337"/>
      <c r="P701" s="164"/>
      <c r="Q701" s="366"/>
      <c r="R701" s="366"/>
      <c r="S701" s="17"/>
      <c r="T701" s="17"/>
      <c r="U701" s="17"/>
      <c r="V701" s="17"/>
    </row>
    <row r="702">
      <c r="A702" s="337"/>
      <c r="B702" s="164"/>
      <c r="C702" s="337"/>
      <c r="D702" s="164"/>
      <c r="E702" s="337"/>
      <c r="F702" s="164"/>
      <c r="G702" s="337"/>
      <c r="H702" s="164"/>
      <c r="I702" s="365"/>
      <c r="J702" s="184"/>
      <c r="K702" s="365"/>
      <c r="L702" s="184"/>
      <c r="M702" s="337"/>
      <c r="N702" s="164"/>
      <c r="O702" s="337"/>
      <c r="P702" s="164"/>
      <c r="Q702" s="366"/>
      <c r="R702" s="366"/>
      <c r="S702" s="17"/>
      <c r="T702" s="17"/>
      <c r="U702" s="17"/>
      <c r="V702" s="17"/>
    </row>
    <row r="703">
      <c r="A703" s="337"/>
      <c r="B703" s="164"/>
      <c r="C703" s="337"/>
      <c r="D703" s="164"/>
      <c r="E703" s="337"/>
      <c r="F703" s="164"/>
      <c r="G703" s="337"/>
      <c r="H703" s="164"/>
      <c r="I703" s="365"/>
      <c r="J703" s="184"/>
      <c r="K703" s="365"/>
      <c r="L703" s="184"/>
      <c r="M703" s="337"/>
      <c r="N703" s="164"/>
      <c r="O703" s="337"/>
      <c r="P703" s="164"/>
      <c r="Q703" s="366"/>
      <c r="R703" s="366"/>
      <c r="S703" s="17"/>
      <c r="T703" s="17"/>
      <c r="U703" s="17"/>
      <c r="V703" s="17"/>
    </row>
    <row r="704">
      <c r="A704" s="337"/>
      <c r="B704" s="164"/>
      <c r="C704" s="337"/>
      <c r="D704" s="164"/>
      <c r="E704" s="337"/>
      <c r="F704" s="164"/>
      <c r="G704" s="337"/>
      <c r="H704" s="164"/>
      <c r="I704" s="365"/>
      <c r="J704" s="184"/>
      <c r="K704" s="365"/>
      <c r="L704" s="184"/>
      <c r="M704" s="337"/>
      <c r="N704" s="164"/>
      <c r="O704" s="337"/>
      <c r="P704" s="164"/>
      <c r="Q704" s="366"/>
      <c r="R704" s="366"/>
      <c r="S704" s="17"/>
      <c r="T704" s="17"/>
      <c r="U704" s="17"/>
      <c r="V704" s="17"/>
    </row>
    <row r="705">
      <c r="A705" s="337"/>
      <c r="B705" s="164"/>
      <c r="C705" s="337"/>
      <c r="D705" s="164"/>
      <c r="E705" s="337"/>
      <c r="F705" s="164"/>
      <c r="G705" s="337"/>
      <c r="H705" s="164"/>
      <c r="I705" s="365"/>
      <c r="J705" s="184"/>
      <c r="K705" s="365"/>
      <c r="L705" s="184"/>
      <c r="M705" s="337"/>
      <c r="N705" s="164"/>
      <c r="O705" s="337"/>
      <c r="P705" s="164"/>
      <c r="Q705" s="366"/>
      <c r="R705" s="366"/>
      <c r="S705" s="17"/>
      <c r="T705" s="17"/>
      <c r="U705" s="17"/>
      <c r="V705" s="17"/>
    </row>
    <row r="706">
      <c r="A706" s="337"/>
      <c r="B706" s="164"/>
      <c r="C706" s="337"/>
      <c r="D706" s="164"/>
      <c r="E706" s="337"/>
      <c r="F706" s="164"/>
      <c r="G706" s="337"/>
      <c r="H706" s="164"/>
      <c r="I706" s="365"/>
      <c r="J706" s="184"/>
      <c r="K706" s="365"/>
      <c r="L706" s="184"/>
      <c r="M706" s="337"/>
      <c r="N706" s="164"/>
      <c r="O706" s="337"/>
      <c r="P706" s="164"/>
      <c r="Q706" s="366"/>
      <c r="R706" s="366"/>
      <c r="S706" s="17"/>
      <c r="T706" s="17"/>
      <c r="U706" s="17"/>
      <c r="V706" s="17"/>
    </row>
    <row r="707">
      <c r="A707" s="337"/>
      <c r="B707" s="164"/>
      <c r="C707" s="337"/>
      <c r="D707" s="164"/>
      <c r="E707" s="337"/>
      <c r="F707" s="164"/>
      <c r="G707" s="337"/>
      <c r="H707" s="164"/>
      <c r="I707" s="365"/>
      <c r="J707" s="184"/>
      <c r="K707" s="365"/>
      <c r="L707" s="184"/>
      <c r="M707" s="337"/>
      <c r="N707" s="164"/>
      <c r="O707" s="337"/>
      <c r="P707" s="164"/>
      <c r="Q707" s="366"/>
      <c r="R707" s="366"/>
      <c r="S707" s="17"/>
      <c r="T707" s="17"/>
      <c r="U707" s="17"/>
      <c r="V707" s="17"/>
    </row>
    <row r="708">
      <c r="A708" s="337"/>
      <c r="B708" s="164"/>
      <c r="C708" s="337"/>
      <c r="D708" s="164"/>
      <c r="E708" s="337"/>
      <c r="F708" s="164"/>
      <c r="G708" s="337"/>
      <c r="H708" s="164"/>
      <c r="I708" s="365"/>
      <c r="J708" s="184"/>
      <c r="K708" s="365"/>
      <c r="L708" s="184"/>
      <c r="M708" s="337"/>
      <c r="N708" s="164"/>
      <c r="O708" s="337"/>
      <c r="P708" s="164"/>
      <c r="Q708" s="366"/>
      <c r="R708" s="366"/>
      <c r="S708" s="17"/>
      <c r="T708" s="17"/>
      <c r="U708" s="17"/>
      <c r="V708" s="17"/>
    </row>
    <row r="709">
      <c r="A709" s="337"/>
      <c r="B709" s="164"/>
      <c r="C709" s="337"/>
      <c r="D709" s="164"/>
      <c r="E709" s="337"/>
      <c r="F709" s="164"/>
      <c r="G709" s="337"/>
      <c r="H709" s="164"/>
      <c r="I709" s="365"/>
      <c r="J709" s="184"/>
      <c r="K709" s="365"/>
      <c r="L709" s="184"/>
      <c r="M709" s="337"/>
      <c r="N709" s="164"/>
      <c r="O709" s="337"/>
      <c r="P709" s="164"/>
      <c r="Q709" s="366"/>
      <c r="R709" s="366"/>
      <c r="S709" s="17"/>
      <c r="T709" s="17"/>
      <c r="U709" s="17"/>
      <c r="V709" s="17"/>
    </row>
    <row r="710">
      <c r="A710" s="337"/>
      <c r="B710" s="164"/>
      <c r="C710" s="337"/>
      <c r="D710" s="164"/>
      <c r="E710" s="337"/>
      <c r="F710" s="164"/>
      <c r="G710" s="337"/>
      <c r="H710" s="164"/>
      <c r="I710" s="365"/>
      <c r="J710" s="184"/>
      <c r="K710" s="365"/>
      <c r="L710" s="184"/>
      <c r="M710" s="337"/>
      <c r="N710" s="164"/>
      <c r="O710" s="337"/>
      <c r="P710" s="164"/>
      <c r="Q710" s="366"/>
      <c r="R710" s="366"/>
      <c r="S710" s="17"/>
      <c r="T710" s="17"/>
      <c r="U710" s="17"/>
      <c r="V710" s="17"/>
    </row>
    <row r="711">
      <c r="A711" s="337"/>
      <c r="B711" s="164"/>
      <c r="C711" s="337"/>
      <c r="D711" s="164"/>
      <c r="E711" s="337"/>
      <c r="F711" s="164"/>
      <c r="G711" s="337"/>
      <c r="H711" s="164"/>
      <c r="I711" s="365"/>
      <c r="J711" s="184"/>
      <c r="K711" s="365"/>
      <c r="L711" s="184"/>
      <c r="M711" s="337"/>
      <c r="N711" s="164"/>
      <c r="O711" s="337"/>
      <c r="P711" s="164"/>
      <c r="Q711" s="366"/>
      <c r="R711" s="366"/>
      <c r="S711" s="17"/>
      <c r="T711" s="17"/>
      <c r="U711" s="17"/>
      <c r="V711" s="17"/>
    </row>
    <row r="712">
      <c r="A712" s="337"/>
      <c r="B712" s="164"/>
      <c r="C712" s="337"/>
      <c r="D712" s="164"/>
      <c r="E712" s="337"/>
      <c r="F712" s="164"/>
      <c r="G712" s="337"/>
      <c r="H712" s="164"/>
      <c r="I712" s="365"/>
      <c r="J712" s="184"/>
      <c r="K712" s="365"/>
      <c r="L712" s="184"/>
      <c r="M712" s="337"/>
      <c r="N712" s="164"/>
      <c r="O712" s="337"/>
      <c r="P712" s="164"/>
      <c r="Q712" s="366"/>
      <c r="R712" s="366"/>
      <c r="S712" s="17"/>
      <c r="T712" s="17"/>
      <c r="U712" s="17"/>
      <c r="V712" s="17"/>
    </row>
    <row r="713">
      <c r="A713" s="337"/>
      <c r="B713" s="164"/>
      <c r="C713" s="337"/>
      <c r="D713" s="164"/>
      <c r="E713" s="337"/>
      <c r="F713" s="164"/>
      <c r="G713" s="337"/>
      <c r="H713" s="164"/>
      <c r="I713" s="365"/>
      <c r="J713" s="184"/>
      <c r="K713" s="365"/>
      <c r="L713" s="184"/>
      <c r="M713" s="337"/>
      <c r="N713" s="164"/>
      <c r="O713" s="337"/>
      <c r="P713" s="164"/>
      <c r="Q713" s="366"/>
      <c r="R713" s="366"/>
      <c r="S713" s="17"/>
      <c r="T713" s="17"/>
      <c r="U713" s="17"/>
      <c r="V713" s="17"/>
    </row>
    <row r="714">
      <c r="A714" s="337"/>
      <c r="B714" s="164"/>
      <c r="C714" s="337"/>
      <c r="D714" s="164"/>
      <c r="E714" s="337"/>
      <c r="F714" s="164"/>
      <c r="G714" s="337"/>
      <c r="H714" s="164"/>
      <c r="I714" s="365"/>
      <c r="J714" s="184"/>
      <c r="K714" s="365"/>
      <c r="L714" s="184"/>
      <c r="M714" s="337"/>
      <c r="N714" s="164"/>
      <c r="O714" s="337"/>
      <c r="P714" s="164"/>
      <c r="Q714" s="366"/>
      <c r="R714" s="366"/>
      <c r="S714" s="17"/>
      <c r="T714" s="17"/>
      <c r="U714" s="17"/>
      <c r="V714" s="17"/>
    </row>
    <row r="715">
      <c r="A715" s="337"/>
      <c r="B715" s="164"/>
      <c r="C715" s="337"/>
      <c r="D715" s="164"/>
      <c r="E715" s="337"/>
      <c r="F715" s="164"/>
      <c r="G715" s="337"/>
      <c r="H715" s="164"/>
      <c r="I715" s="365"/>
      <c r="J715" s="184"/>
      <c r="K715" s="365"/>
      <c r="L715" s="184"/>
      <c r="M715" s="337"/>
      <c r="N715" s="164"/>
      <c r="O715" s="337"/>
      <c r="P715" s="164"/>
      <c r="Q715" s="366"/>
      <c r="R715" s="366"/>
      <c r="S715" s="17"/>
      <c r="T715" s="17"/>
      <c r="U715" s="17"/>
      <c r="V715" s="17"/>
    </row>
    <row r="716">
      <c r="A716" s="337"/>
      <c r="B716" s="164"/>
      <c r="C716" s="337"/>
      <c r="D716" s="164"/>
      <c r="E716" s="337"/>
      <c r="F716" s="164"/>
      <c r="G716" s="337"/>
      <c r="H716" s="164"/>
      <c r="I716" s="365"/>
      <c r="J716" s="184"/>
      <c r="K716" s="365"/>
      <c r="L716" s="184"/>
      <c r="M716" s="337"/>
      <c r="N716" s="164"/>
      <c r="O716" s="337"/>
      <c r="P716" s="164"/>
      <c r="Q716" s="366"/>
      <c r="R716" s="366"/>
      <c r="S716" s="17"/>
      <c r="T716" s="17"/>
      <c r="U716" s="17"/>
      <c r="V716" s="17"/>
    </row>
    <row r="717">
      <c r="A717" s="337"/>
      <c r="B717" s="164"/>
      <c r="C717" s="337"/>
      <c r="D717" s="164"/>
      <c r="E717" s="337"/>
      <c r="F717" s="164"/>
      <c r="G717" s="337"/>
      <c r="H717" s="164"/>
      <c r="I717" s="365"/>
      <c r="J717" s="184"/>
      <c r="K717" s="365"/>
      <c r="L717" s="184"/>
      <c r="M717" s="337"/>
      <c r="N717" s="164"/>
      <c r="O717" s="337"/>
      <c r="P717" s="164"/>
      <c r="Q717" s="366"/>
      <c r="R717" s="366"/>
      <c r="S717" s="17"/>
      <c r="T717" s="17"/>
      <c r="U717" s="17"/>
      <c r="V717" s="17"/>
    </row>
    <row r="718">
      <c r="A718" s="337"/>
      <c r="B718" s="164"/>
      <c r="C718" s="337"/>
      <c r="D718" s="164"/>
      <c r="E718" s="337"/>
      <c r="F718" s="164"/>
      <c r="G718" s="337"/>
      <c r="H718" s="164"/>
      <c r="I718" s="365"/>
      <c r="J718" s="184"/>
      <c r="K718" s="365"/>
      <c r="L718" s="184"/>
      <c r="M718" s="337"/>
      <c r="N718" s="164"/>
      <c r="O718" s="337"/>
      <c r="P718" s="164"/>
      <c r="Q718" s="366"/>
      <c r="R718" s="366"/>
      <c r="S718" s="17"/>
      <c r="T718" s="17"/>
      <c r="U718" s="17"/>
      <c r="V718" s="17"/>
    </row>
    <row r="719">
      <c r="A719" s="337"/>
      <c r="B719" s="164"/>
      <c r="C719" s="337"/>
      <c r="D719" s="164"/>
      <c r="E719" s="337"/>
      <c r="F719" s="164"/>
      <c r="G719" s="337"/>
      <c r="H719" s="164"/>
      <c r="I719" s="365"/>
      <c r="J719" s="184"/>
      <c r="K719" s="365"/>
      <c r="L719" s="184"/>
      <c r="M719" s="337"/>
      <c r="N719" s="164"/>
      <c r="O719" s="337"/>
      <c r="P719" s="164"/>
      <c r="Q719" s="366"/>
      <c r="R719" s="366"/>
      <c r="S719" s="17"/>
      <c r="T719" s="17"/>
      <c r="U719" s="17"/>
      <c r="V719" s="17"/>
    </row>
    <row r="720">
      <c r="A720" s="337"/>
      <c r="B720" s="164"/>
      <c r="C720" s="337"/>
      <c r="D720" s="164"/>
      <c r="E720" s="337"/>
      <c r="F720" s="164"/>
      <c r="G720" s="337"/>
      <c r="H720" s="164"/>
      <c r="I720" s="365"/>
      <c r="J720" s="184"/>
      <c r="K720" s="365"/>
      <c r="L720" s="184"/>
      <c r="M720" s="337"/>
      <c r="N720" s="164"/>
      <c r="O720" s="337"/>
      <c r="P720" s="164"/>
      <c r="Q720" s="366"/>
      <c r="R720" s="366"/>
      <c r="S720" s="17"/>
      <c r="T720" s="17"/>
      <c r="U720" s="17"/>
      <c r="V720" s="17"/>
    </row>
    <row r="721">
      <c r="A721" s="337"/>
      <c r="B721" s="164"/>
      <c r="C721" s="337"/>
      <c r="D721" s="164"/>
      <c r="E721" s="337"/>
      <c r="F721" s="164"/>
      <c r="G721" s="337"/>
      <c r="H721" s="164"/>
      <c r="I721" s="365"/>
      <c r="J721" s="184"/>
      <c r="K721" s="365"/>
      <c r="L721" s="184"/>
      <c r="M721" s="337"/>
      <c r="N721" s="164"/>
      <c r="O721" s="337"/>
      <c r="P721" s="164"/>
      <c r="Q721" s="366"/>
      <c r="R721" s="366"/>
      <c r="S721" s="17"/>
      <c r="T721" s="17"/>
      <c r="U721" s="17"/>
      <c r="V721" s="17"/>
    </row>
    <row r="722">
      <c r="A722" s="337"/>
      <c r="B722" s="164"/>
      <c r="C722" s="337"/>
      <c r="D722" s="164"/>
      <c r="E722" s="337"/>
      <c r="F722" s="164"/>
      <c r="G722" s="337"/>
      <c r="H722" s="164"/>
      <c r="I722" s="365"/>
      <c r="J722" s="184"/>
      <c r="K722" s="365"/>
      <c r="L722" s="184"/>
      <c r="M722" s="337"/>
      <c r="N722" s="164"/>
      <c r="O722" s="337"/>
      <c r="P722" s="164"/>
      <c r="Q722" s="366"/>
      <c r="R722" s="366"/>
      <c r="S722" s="17"/>
      <c r="T722" s="17"/>
      <c r="U722" s="17"/>
      <c r="V722" s="17"/>
    </row>
    <row r="723">
      <c r="A723" s="337"/>
      <c r="B723" s="164"/>
      <c r="C723" s="337"/>
      <c r="D723" s="164"/>
      <c r="E723" s="337"/>
      <c r="F723" s="164"/>
      <c r="G723" s="337"/>
      <c r="H723" s="164"/>
      <c r="I723" s="365"/>
      <c r="J723" s="184"/>
      <c r="K723" s="365"/>
      <c r="L723" s="184"/>
      <c r="M723" s="337"/>
      <c r="N723" s="164"/>
      <c r="O723" s="337"/>
      <c r="P723" s="164"/>
      <c r="Q723" s="366"/>
      <c r="R723" s="366"/>
      <c r="S723" s="17"/>
      <c r="T723" s="17"/>
      <c r="U723" s="17"/>
      <c r="V723" s="17"/>
    </row>
    <row r="724">
      <c r="A724" s="337"/>
      <c r="B724" s="164"/>
      <c r="C724" s="337"/>
      <c r="D724" s="164"/>
      <c r="E724" s="337"/>
      <c r="F724" s="164"/>
      <c r="G724" s="337"/>
      <c r="H724" s="164"/>
      <c r="I724" s="365"/>
      <c r="J724" s="184"/>
      <c r="K724" s="365"/>
      <c r="L724" s="184"/>
      <c r="M724" s="337"/>
      <c r="N724" s="164"/>
      <c r="O724" s="337"/>
      <c r="P724" s="164"/>
      <c r="Q724" s="366"/>
      <c r="R724" s="366"/>
      <c r="S724" s="17"/>
      <c r="T724" s="17"/>
      <c r="U724" s="17"/>
      <c r="V724" s="17"/>
    </row>
    <row r="725">
      <c r="A725" s="337"/>
      <c r="B725" s="164"/>
      <c r="C725" s="337"/>
      <c r="D725" s="164"/>
      <c r="E725" s="337"/>
      <c r="F725" s="164"/>
      <c r="G725" s="337"/>
      <c r="H725" s="164"/>
      <c r="I725" s="365"/>
      <c r="J725" s="184"/>
      <c r="K725" s="365"/>
      <c r="L725" s="184"/>
      <c r="M725" s="337"/>
      <c r="N725" s="164"/>
      <c r="O725" s="337"/>
      <c r="P725" s="164"/>
      <c r="Q725" s="366"/>
      <c r="R725" s="366"/>
      <c r="S725" s="17"/>
      <c r="T725" s="17"/>
      <c r="U725" s="17"/>
      <c r="V725" s="17"/>
    </row>
    <row r="726">
      <c r="A726" s="337"/>
      <c r="B726" s="164"/>
      <c r="C726" s="337"/>
      <c r="D726" s="164"/>
      <c r="E726" s="337"/>
      <c r="F726" s="164"/>
      <c r="G726" s="337"/>
      <c r="H726" s="164"/>
      <c r="I726" s="365"/>
      <c r="J726" s="184"/>
      <c r="K726" s="365"/>
      <c r="L726" s="184"/>
      <c r="M726" s="337"/>
      <c r="N726" s="164"/>
      <c r="O726" s="337"/>
      <c r="P726" s="164"/>
      <c r="Q726" s="366"/>
      <c r="R726" s="366"/>
      <c r="S726" s="17"/>
      <c r="T726" s="17"/>
      <c r="U726" s="17"/>
      <c r="V726" s="17"/>
    </row>
    <row r="727">
      <c r="A727" s="337"/>
      <c r="B727" s="164"/>
      <c r="C727" s="337"/>
      <c r="D727" s="164"/>
      <c r="E727" s="337"/>
      <c r="F727" s="164"/>
      <c r="G727" s="337"/>
      <c r="H727" s="164"/>
      <c r="I727" s="365"/>
      <c r="J727" s="184"/>
      <c r="K727" s="365"/>
      <c r="L727" s="184"/>
      <c r="M727" s="337"/>
      <c r="N727" s="164"/>
      <c r="O727" s="337"/>
      <c r="P727" s="164"/>
      <c r="Q727" s="366"/>
      <c r="R727" s="366"/>
      <c r="S727" s="17"/>
      <c r="T727" s="17"/>
      <c r="U727" s="17"/>
      <c r="V727" s="17"/>
    </row>
    <row r="728">
      <c r="A728" s="337"/>
      <c r="B728" s="164"/>
      <c r="C728" s="337"/>
      <c r="D728" s="164"/>
      <c r="E728" s="337"/>
      <c r="F728" s="164"/>
      <c r="G728" s="337"/>
      <c r="H728" s="164"/>
      <c r="I728" s="365"/>
      <c r="J728" s="184"/>
      <c r="K728" s="365"/>
      <c r="L728" s="184"/>
      <c r="M728" s="337"/>
      <c r="N728" s="164"/>
      <c r="O728" s="337"/>
      <c r="P728" s="164"/>
      <c r="Q728" s="366"/>
      <c r="R728" s="366"/>
      <c r="S728" s="17"/>
      <c r="T728" s="17"/>
      <c r="U728" s="17"/>
      <c r="V728" s="17"/>
    </row>
    <row r="729">
      <c r="A729" s="337"/>
      <c r="B729" s="164"/>
      <c r="C729" s="337"/>
      <c r="D729" s="164"/>
      <c r="E729" s="337"/>
      <c r="F729" s="164"/>
      <c r="G729" s="337"/>
      <c r="H729" s="164"/>
      <c r="I729" s="365"/>
      <c r="J729" s="184"/>
      <c r="K729" s="365"/>
      <c r="L729" s="184"/>
      <c r="M729" s="337"/>
      <c r="N729" s="164"/>
      <c r="O729" s="337"/>
      <c r="P729" s="164"/>
      <c r="Q729" s="366"/>
      <c r="R729" s="366"/>
      <c r="S729" s="17"/>
      <c r="T729" s="17"/>
      <c r="U729" s="17"/>
      <c r="V729" s="17"/>
    </row>
    <row r="730">
      <c r="A730" s="337"/>
      <c r="B730" s="164"/>
      <c r="C730" s="337"/>
      <c r="D730" s="164"/>
      <c r="E730" s="337"/>
      <c r="F730" s="164"/>
      <c r="G730" s="337"/>
      <c r="H730" s="164"/>
      <c r="I730" s="365"/>
      <c r="J730" s="184"/>
      <c r="K730" s="365"/>
      <c r="L730" s="184"/>
      <c r="M730" s="337"/>
      <c r="N730" s="164"/>
      <c r="O730" s="337"/>
      <c r="P730" s="164"/>
      <c r="Q730" s="366"/>
      <c r="R730" s="366"/>
      <c r="S730" s="17"/>
      <c r="T730" s="17"/>
      <c r="U730" s="17"/>
      <c r="V730" s="17"/>
    </row>
    <row r="731">
      <c r="A731" s="337"/>
      <c r="B731" s="164"/>
      <c r="C731" s="337"/>
      <c r="D731" s="164"/>
      <c r="E731" s="337"/>
      <c r="F731" s="164"/>
      <c r="G731" s="337"/>
      <c r="H731" s="164"/>
      <c r="I731" s="365"/>
      <c r="J731" s="184"/>
      <c r="K731" s="365"/>
      <c r="L731" s="184"/>
      <c r="M731" s="337"/>
      <c r="N731" s="164"/>
      <c r="O731" s="337"/>
      <c r="P731" s="164"/>
      <c r="Q731" s="366"/>
      <c r="R731" s="366"/>
      <c r="S731" s="17"/>
      <c r="T731" s="17"/>
      <c r="U731" s="17"/>
      <c r="V731" s="17"/>
    </row>
    <row r="732">
      <c r="A732" s="337"/>
      <c r="B732" s="164"/>
      <c r="C732" s="337"/>
      <c r="D732" s="164"/>
      <c r="E732" s="337"/>
      <c r="F732" s="164"/>
      <c r="G732" s="337"/>
      <c r="H732" s="164"/>
      <c r="I732" s="365"/>
      <c r="J732" s="184"/>
      <c r="K732" s="365"/>
      <c r="L732" s="184"/>
      <c r="M732" s="337"/>
      <c r="N732" s="164"/>
      <c r="O732" s="337"/>
      <c r="P732" s="164"/>
      <c r="Q732" s="366"/>
      <c r="R732" s="366"/>
      <c r="S732" s="17"/>
      <c r="T732" s="17"/>
      <c r="U732" s="17"/>
      <c r="V732" s="17"/>
    </row>
    <row r="733">
      <c r="A733" s="337"/>
      <c r="B733" s="164"/>
      <c r="C733" s="337"/>
      <c r="D733" s="164"/>
      <c r="E733" s="337"/>
      <c r="F733" s="164"/>
      <c r="G733" s="337"/>
      <c r="H733" s="164"/>
      <c r="I733" s="365"/>
      <c r="J733" s="184"/>
      <c r="K733" s="365"/>
      <c r="L733" s="184"/>
      <c r="M733" s="337"/>
      <c r="N733" s="164"/>
      <c r="O733" s="337"/>
      <c r="P733" s="164"/>
      <c r="Q733" s="366"/>
      <c r="R733" s="366"/>
      <c r="S733" s="17"/>
      <c r="T733" s="17"/>
      <c r="U733" s="17"/>
      <c r="V733" s="17"/>
    </row>
    <row r="734">
      <c r="A734" s="337"/>
      <c r="B734" s="164"/>
      <c r="C734" s="337"/>
      <c r="D734" s="164"/>
      <c r="E734" s="337"/>
      <c r="F734" s="164"/>
      <c r="G734" s="337"/>
      <c r="H734" s="164"/>
      <c r="I734" s="365"/>
      <c r="J734" s="184"/>
      <c r="K734" s="365"/>
      <c r="L734" s="184"/>
      <c r="M734" s="337"/>
      <c r="N734" s="164"/>
      <c r="O734" s="337"/>
      <c r="P734" s="164"/>
      <c r="Q734" s="366"/>
      <c r="R734" s="366"/>
      <c r="S734" s="17"/>
      <c r="T734" s="17"/>
      <c r="U734" s="17"/>
      <c r="V734" s="17"/>
    </row>
    <row r="735">
      <c r="A735" s="337"/>
      <c r="B735" s="164"/>
      <c r="C735" s="337"/>
      <c r="D735" s="164"/>
      <c r="E735" s="337"/>
      <c r="F735" s="164"/>
      <c r="G735" s="337"/>
      <c r="H735" s="164"/>
      <c r="I735" s="365"/>
      <c r="J735" s="184"/>
      <c r="K735" s="365"/>
      <c r="L735" s="184"/>
      <c r="M735" s="337"/>
      <c r="N735" s="164"/>
      <c r="O735" s="337"/>
      <c r="P735" s="164"/>
      <c r="Q735" s="366"/>
      <c r="R735" s="366"/>
      <c r="S735" s="17"/>
      <c r="T735" s="17"/>
      <c r="U735" s="17"/>
      <c r="V735" s="17"/>
    </row>
    <row r="736">
      <c r="A736" s="337"/>
      <c r="B736" s="164"/>
      <c r="C736" s="337"/>
      <c r="D736" s="164"/>
      <c r="E736" s="337"/>
      <c r="F736" s="164"/>
      <c r="G736" s="337"/>
      <c r="H736" s="164"/>
      <c r="I736" s="365"/>
      <c r="J736" s="184"/>
      <c r="K736" s="365"/>
      <c r="L736" s="184"/>
      <c r="M736" s="337"/>
      <c r="N736" s="164"/>
      <c r="O736" s="337"/>
      <c r="P736" s="164"/>
      <c r="Q736" s="366"/>
      <c r="R736" s="366"/>
      <c r="S736" s="17"/>
      <c r="T736" s="17"/>
      <c r="U736" s="17"/>
      <c r="V736" s="17"/>
    </row>
    <row r="737">
      <c r="A737" s="337"/>
      <c r="B737" s="164"/>
      <c r="C737" s="337"/>
      <c r="D737" s="164"/>
      <c r="E737" s="337"/>
      <c r="F737" s="164"/>
      <c r="G737" s="337"/>
      <c r="H737" s="164"/>
      <c r="I737" s="365"/>
      <c r="J737" s="184"/>
      <c r="K737" s="365"/>
      <c r="L737" s="184"/>
      <c r="M737" s="337"/>
      <c r="N737" s="164"/>
      <c r="O737" s="337"/>
      <c r="P737" s="164"/>
      <c r="Q737" s="366"/>
      <c r="R737" s="366"/>
      <c r="S737" s="17"/>
      <c r="T737" s="17"/>
      <c r="U737" s="17"/>
      <c r="V737" s="17"/>
    </row>
    <row r="738">
      <c r="A738" s="337"/>
      <c r="B738" s="164"/>
      <c r="C738" s="337"/>
      <c r="D738" s="164"/>
      <c r="E738" s="337"/>
      <c r="F738" s="164"/>
      <c r="G738" s="337"/>
      <c r="H738" s="164"/>
      <c r="I738" s="365"/>
      <c r="J738" s="184"/>
      <c r="K738" s="365"/>
      <c r="L738" s="184"/>
      <c r="M738" s="337"/>
      <c r="N738" s="164"/>
      <c r="O738" s="337"/>
      <c r="P738" s="164"/>
      <c r="Q738" s="366"/>
      <c r="R738" s="366"/>
      <c r="S738" s="17"/>
      <c r="T738" s="17"/>
      <c r="U738" s="17"/>
      <c r="V738" s="17"/>
    </row>
    <row r="739">
      <c r="A739" s="337"/>
      <c r="B739" s="164"/>
      <c r="C739" s="337"/>
      <c r="D739" s="164"/>
      <c r="E739" s="337"/>
      <c r="F739" s="164"/>
      <c r="G739" s="337"/>
      <c r="H739" s="164"/>
      <c r="I739" s="365"/>
      <c r="J739" s="184"/>
      <c r="K739" s="365"/>
      <c r="L739" s="184"/>
      <c r="M739" s="337"/>
      <c r="N739" s="164"/>
      <c r="O739" s="337"/>
      <c r="P739" s="164"/>
      <c r="Q739" s="366"/>
      <c r="R739" s="366"/>
      <c r="S739" s="17"/>
      <c r="T739" s="17"/>
      <c r="U739" s="17"/>
      <c r="V739" s="17"/>
    </row>
    <row r="740">
      <c r="A740" s="337"/>
      <c r="B740" s="164"/>
      <c r="C740" s="337"/>
      <c r="D740" s="164"/>
      <c r="E740" s="337"/>
      <c r="F740" s="164"/>
      <c r="G740" s="337"/>
      <c r="H740" s="164"/>
      <c r="I740" s="365"/>
      <c r="J740" s="184"/>
      <c r="K740" s="365"/>
      <c r="L740" s="184"/>
      <c r="M740" s="337"/>
      <c r="N740" s="164"/>
      <c r="O740" s="337"/>
      <c r="P740" s="164"/>
      <c r="Q740" s="366"/>
      <c r="R740" s="366"/>
      <c r="S740" s="17"/>
      <c r="T740" s="17"/>
      <c r="U740" s="17"/>
      <c r="V740" s="17"/>
    </row>
    <row r="741">
      <c r="A741" s="337"/>
      <c r="B741" s="164"/>
      <c r="C741" s="337"/>
      <c r="D741" s="164"/>
      <c r="E741" s="337"/>
      <c r="F741" s="164"/>
      <c r="G741" s="337"/>
      <c r="H741" s="164"/>
      <c r="I741" s="365"/>
      <c r="J741" s="184"/>
      <c r="K741" s="365"/>
      <c r="L741" s="184"/>
      <c r="M741" s="337"/>
      <c r="N741" s="164"/>
      <c r="O741" s="337"/>
      <c r="P741" s="164"/>
      <c r="Q741" s="366"/>
      <c r="R741" s="366"/>
      <c r="S741" s="17"/>
      <c r="T741" s="17"/>
      <c r="U741" s="17"/>
      <c r="V741" s="17"/>
    </row>
    <row r="742">
      <c r="A742" s="337"/>
      <c r="B742" s="164"/>
      <c r="C742" s="337"/>
      <c r="D742" s="164"/>
      <c r="E742" s="337"/>
      <c r="F742" s="164"/>
      <c r="G742" s="337"/>
      <c r="H742" s="164"/>
      <c r="I742" s="365"/>
      <c r="J742" s="184"/>
      <c r="K742" s="365"/>
      <c r="L742" s="184"/>
      <c r="M742" s="337"/>
      <c r="N742" s="164"/>
      <c r="O742" s="337"/>
      <c r="P742" s="164"/>
      <c r="Q742" s="366"/>
      <c r="R742" s="366"/>
      <c r="S742" s="17"/>
      <c r="T742" s="17"/>
      <c r="U742" s="17"/>
      <c r="V742" s="17"/>
    </row>
    <row r="743">
      <c r="A743" s="337"/>
      <c r="B743" s="164"/>
      <c r="C743" s="337"/>
      <c r="D743" s="164"/>
      <c r="E743" s="337"/>
      <c r="F743" s="164"/>
      <c r="G743" s="337"/>
      <c r="H743" s="164"/>
      <c r="I743" s="365"/>
      <c r="J743" s="184"/>
      <c r="K743" s="365"/>
      <c r="L743" s="184"/>
      <c r="M743" s="337"/>
      <c r="N743" s="164"/>
      <c r="O743" s="337"/>
      <c r="P743" s="164"/>
      <c r="Q743" s="366"/>
      <c r="R743" s="366"/>
      <c r="S743" s="17"/>
      <c r="T743" s="17"/>
      <c r="U743" s="17"/>
      <c r="V743" s="17"/>
    </row>
    <row r="744">
      <c r="A744" s="337"/>
      <c r="B744" s="164"/>
      <c r="C744" s="337"/>
      <c r="D744" s="164"/>
      <c r="E744" s="337"/>
      <c r="F744" s="164"/>
      <c r="G744" s="337"/>
      <c r="H744" s="164"/>
      <c r="I744" s="365"/>
      <c r="J744" s="184"/>
      <c r="K744" s="365"/>
      <c r="L744" s="184"/>
      <c r="M744" s="337"/>
      <c r="N744" s="164"/>
      <c r="O744" s="337"/>
      <c r="P744" s="164"/>
      <c r="Q744" s="366"/>
      <c r="R744" s="366"/>
      <c r="S744" s="17"/>
      <c r="T744" s="17"/>
      <c r="U744" s="17"/>
      <c r="V744" s="17"/>
    </row>
    <row r="745">
      <c r="A745" s="337"/>
      <c r="B745" s="164"/>
      <c r="C745" s="337"/>
      <c r="D745" s="164"/>
      <c r="E745" s="337"/>
      <c r="F745" s="164"/>
      <c r="G745" s="337"/>
      <c r="H745" s="164"/>
      <c r="I745" s="365"/>
      <c r="J745" s="184"/>
      <c r="K745" s="365"/>
      <c r="L745" s="184"/>
      <c r="M745" s="337"/>
      <c r="N745" s="164"/>
      <c r="O745" s="337"/>
      <c r="P745" s="164"/>
      <c r="Q745" s="366"/>
      <c r="R745" s="366"/>
      <c r="S745" s="17"/>
      <c r="T745" s="17"/>
      <c r="U745" s="17"/>
      <c r="V745" s="17"/>
    </row>
    <row r="746">
      <c r="A746" s="337"/>
      <c r="B746" s="164"/>
      <c r="C746" s="337"/>
      <c r="D746" s="164"/>
      <c r="E746" s="337"/>
      <c r="F746" s="164"/>
      <c r="G746" s="337"/>
      <c r="H746" s="164"/>
      <c r="I746" s="365"/>
      <c r="J746" s="184"/>
      <c r="K746" s="365"/>
      <c r="L746" s="184"/>
      <c r="M746" s="337"/>
      <c r="N746" s="164"/>
      <c r="O746" s="337"/>
      <c r="P746" s="164"/>
      <c r="Q746" s="366"/>
      <c r="R746" s="366"/>
      <c r="S746" s="17"/>
      <c r="T746" s="17"/>
      <c r="U746" s="17"/>
      <c r="V746" s="17"/>
    </row>
    <row r="747">
      <c r="A747" s="337"/>
      <c r="B747" s="164"/>
      <c r="C747" s="337"/>
      <c r="D747" s="164"/>
      <c r="E747" s="337"/>
      <c r="F747" s="164"/>
      <c r="G747" s="337"/>
      <c r="H747" s="164"/>
      <c r="I747" s="365"/>
      <c r="J747" s="184"/>
      <c r="K747" s="365"/>
      <c r="L747" s="184"/>
      <c r="M747" s="337"/>
      <c r="N747" s="164"/>
      <c r="O747" s="337"/>
      <c r="P747" s="164"/>
      <c r="Q747" s="366"/>
      <c r="R747" s="366"/>
      <c r="S747" s="17"/>
      <c r="T747" s="17"/>
      <c r="U747" s="17"/>
      <c r="V747" s="17"/>
    </row>
    <row r="748">
      <c r="A748" s="337"/>
      <c r="B748" s="164"/>
      <c r="C748" s="337"/>
      <c r="D748" s="164"/>
      <c r="E748" s="337"/>
      <c r="F748" s="164"/>
      <c r="G748" s="337"/>
      <c r="H748" s="164"/>
      <c r="I748" s="365"/>
      <c r="J748" s="184"/>
      <c r="K748" s="365"/>
      <c r="L748" s="184"/>
      <c r="M748" s="337"/>
      <c r="N748" s="164"/>
      <c r="O748" s="337"/>
      <c r="P748" s="164"/>
      <c r="Q748" s="366"/>
      <c r="R748" s="366"/>
      <c r="S748" s="17"/>
      <c r="T748" s="17"/>
      <c r="U748" s="17"/>
      <c r="V748" s="17"/>
    </row>
    <row r="749">
      <c r="A749" s="337"/>
      <c r="B749" s="164"/>
      <c r="C749" s="337"/>
      <c r="D749" s="164"/>
      <c r="E749" s="337"/>
      <c r="F749" s="164"/>
      <c r="G749" s="337"/>
      <c r="H749" s="164"/>
      <c r="I749" s="365"/>
      <c r="J749" s="184"/>
      <c r="K749" s="365"/>
      <c r="L749" s="184"/>
      <c r="M749" s="337"/>
      <c r="N749" s="164"/>
      <c r="O749" s="337"/>
      <c r="P749" s="164"/>
      <c r="Q749" s="366"/>
      <c r="R749" s="366"/>
      <c r="S749" s="17"/>
      <c r="T749" s="17"/>
      <c r="U749" s="17"/>
      <c r="V749" s="17"/>
    </row>
    <row r="750">
      <c r="A750" s="337"/>
      <c r="B750" s="164"/>
      <c r="C750" s="337"/>
      <c r="D750" s="164"/>
      <c r="E750" s="337"/>
      <c r="F750" s="164"/>
      <c r="G750" s="337"/>
      <c r="H750" s="164"/>
      <c r="I750" s="365"/>
      <c r="J750" s="184"/>
      <c r="K750" s="365"/>
      <c r="L750" s="184"/>
      <c r="M750" s="337"/>
      <c r="N750" s="164"/>
      <c r="O750" s="337"/>
      <c r="P750" s="164"/>
      <c r="Q750" s="366"/>
      <c r="R750" s="366"/>
      <c r="S750" s="17"/>
      <c r="T750" s="17"/>
      <c r="U750" s="17"/>
      <c r="V750" s="17"/>
    </row>
    <row r="751">
      <c r="A751" s="337"/>
      <c r="B751" s="164"/>
      <c r="C751" s="337"/>
      <c r="D751" s="164"/>
      <c r="E751" s="337"/>
      <c r="F751" s="164"/>
      <c r="G751" s="337"/>
      <c r="H751" s="164"/>
      <c r="I751" s="365"/>
      <c r="J751" s="184"/>
      <c r="K751" s="365"/>
      <c r="L751" s="184"/>
      <c r="M751" s="337"/>
      <c r="N751" s="164"/>
      <c r="O751" s="337"/>
      <c r="P751" s="164"/>
      <c r="Q751" s="366"/>
      <c r="R751" s="366"/>
      <c r="S751" s="17"/>
      <c r="T751" s="17"/>
      <c r="U751" s="17"/>
      <c r="V751" s="17"/>
    </row>
    <row r="752">
      <c r="A752" s="337"/>
      <c r="B752" s="164"/>
      <c r="C752" s="337"/>
      <c r="D752" s="164"/>
      <c r="E752" s="337"/>
      <c r="F752" s="164"/>
      <c r="G752" s="337"/>
      <c r="H752" s="164"/>
      <c r="I752" s="365"/>
      <c r="J752" s="184"/>
      <c r="K752" s="365"/>
      <c r="L752" s="184"/>
      <c r="M752" s="337"/>
      <c r="N752" s="164"/>
      <c r="O752" s="337"/>
      <c r="P752" s="164"/>
      <c r="Q752" s="366"/>
      <c r="R752" s="366"/>
      <c r="S752" s="17"/>
      <c r="T752" s="17"/>
      <c r="U752" s="17"/>
      <c r="V752" s="17"/>
    </row>
    <row r="753">
      <c r="A753" s="337"/>
      <c r="B753" s="164"/>
      <c r="C753" s="337"/>
      <c r="D753" s="164"/>
      <c r="E753" s="337"/>
      <c r="F753" s="164"/>
      <c r="G753" s="337"/>
      <c r="H753" s="164"/>
      <c r="I753" s="365"/>
      <c r="J753" s="184"/>
      <c r="K753" s="365"/>
      <c r="L753" s="184"/>
      <c r="M753" s="337"/>
      <c r="N753" s="164"/>
      <c r="O753" s="337"/>
      <c r="P753" s="164"/>
      <c r="Q753" s="366"/>
      <c r="R753" s="366"/>
      <c r="S753" s="17"/>
      <c r="T753" s="17"/>
      <c r="U753" s="17"/>
      <c r="V753" s="17"/>
    </row>
    <row r="754">
      <c r="A754" s="337"/>
      <c r="B754" s="164"/>
      <c r="C754" s="337"/>
      <c r="D754" s="164"/>
      <c r="E754" s="337"/>
      <c r="F754" s="164"/>
      <c r="G754" s="337"/>
      <c r="H754" s="164"/>
      <c r="I754" s="365"/>
      <c r="J754" s="184"/>
      <c r="K754" s="365"/>
      <c r="L754" s="184"/>
      <c r="M754" s="337"/>
      <c r="N754" s="164"/>
      <c r="O754" s="337"/>
      <c r="P754" s="164"/>
      <c r="Q754" s="366"/>
      <c r="R754" s="366"/>
      <c r="S754" s="17"/>
      <c r="T754" s="17"/>
      <c r="U754" s="17"/>
      <c r="V754" s="17"/>
    </row>
    <row r="755">
      <c r="A755" s="337"/>
      <c r="B755" s="164"/>
      <c r="C755" s="337"/>
      <c r="D755" s="164"/>
      <c r="E755" s="337"/>
      <c r="F755" s="164"/>
      <c r="G755" s="337"/>
      <c r="H755" s="164"/>
      <c r="I755" s="365"/>
      <c r="J755" s="184"/>
      <c r="K755" s="365"/>
      <c r="L755" s="184"/>
      <c r="M755" s="337"/>
      <c r="N755" s="164"/>
      <c r="O755" s="337"/>
      <c r="P755" s="164"/>
      <c r="Q755" s="366"/>
      <c r="R755" s="366"/>
      <c r="S755" s="17"/>
      <c r="T755" s="17"/>
      <c r="U755" s="17"/>
      <c r="V755" s="17"/>
    </row>
    <row r="756">
      <c r="A756" s="337"/>
      <c r="B756" s="164"/>
      <c r="C756" s="337"/>
      <c r="D756" s="164"/>
      <c r="E756" s="337"/>
      <c r="F756" s="164"/>
      <c r="G756" s="337"/>
      <c r="H756" s="164"/>
      <c r="I756" s="365"/>
      <c r="J756" s="184"/>
      <c r="K756" s="365"/>
      <c r="L756" s="184"/>
      <c r="M756" s="337"/>
      <c r="N756" s="164"/>
      <c r="O756" s="337"/>
      <c r="P756" s="164"/>
      <c r="Q756" s="366"/>
      <c r="R756" s="366"/>
      <c r="S756" s="17"/>
      <c r="T756" s="17"/>
      <c r="U756" s="17"/>
      <c r="V756" s="17"/>
    </row>
    <row r="757">
      <c r="A757" s="337"/>
      <c r="B757" s="164"/>
      <c r="C757" s="337"/>
      <c r="D757" s="164"/>
      <c r="E757" s="337"/>
      <c r="F757" s="164"/>
      <c r="G757" s="337"/>
      <c r="H757" s="164"/>
      <c r="I757" s="365"/>
      <c r="J757" s="184"/>
      <c r="K757" s="365"/>
      <c r="L757" s="184"/>
      <c r="M757" s="337"/>
      <c r="N757" s="164"/>
      <c r="O757" s="337"/>
      <c r="P757" s="164"/>
      <c r="Q757" s="366"/>
      <c r="R757" s="366"/>
      <c r="S757" s="17"/>
      <c r="T757" s="17"/>
      <c r="U757" s="17"/>
      <c r="V757" s="17"/>
    </row>
    <row r="758">
      <c r="A758" s="337"/>
      <c r="B758" s="164"/>
      <c r="C758" s="337"/>
      <c r="D758" s="164"/>
      <c r="E758" s="337"/>
      <c r="F758" s="164"/>
      <c r="G758" s="337"/>
      <c r="H758" s="164"/>
      <c r="I758" s="365"/>
      <c r="J758" s="184"/>
      <c r="K758" s="365"/>
      <c r="L758" s="184"/>
      <c r="M758" s="337"/>
      <c r="N758" s="164"/>
      <c r="O758" s="337"/>
      <c r="P758" s="164"/>
      <c r="Q758" s="366"/>
      <c r="R758" s="366"/>
      <c r="S758" s="17"/>
      <c r="T758" s="17"/>
      <c r="U758" s="17"/>
      <c r="V758" s="17"/>
    </row>
    <row r="759">
      <c r="A759" s="337"/>
      <c r="B759" s="164"/>
      <c r="C759" s="337"/>
      <c r="D759" s="164"/>
      <c r="E759" s="337"/>
      <c r="F759" s="164"/>
      <c r="G759" s="337"/>
      <c r="H759" s="164"/>
      <c r="I759" s="365"/>
      <c r="J759" s="184"/>
      <c r="K759" s="365"/>
      <c r="L759" s="184"/>
      <c r="M759" s="337"/>
      <c r="N759" s="164"/>
      <c r="O759" s="337"/>
      <c r="P759" s="164"/>
      <c r="Q759" s="366"/>
      <c r="R759" s="366"/>
      <c r="S759" s="17"/>
      <c r="T759" s="17"/>
      <c r="U759" s="17"/>
      <c r="V759" s="17"/>
    </row>
    <row r="760">
      <c r="A760" s="337"/>
      <c r="B760" s="164"/>
      <c r="C760" s="337"/>
      <c r="D760" s="164"/>
      <c r="E760" s="337"/>
      <c r="F760" s="164"/>
      <c r="G760" s="337"/>
      <c r="H760" s="164"/>
      <c r="I760" s="365"/>
      <c r="J760" s="184"/>
      <c r="K760" s="365"/>
      <c r="L760" s="184"/>
      <c r="M760" s="337"/>
      <c r="N760" s="164"/>
      <c r="O760" s="337"/>
      <c r="P760" s="164"/>
      <c r="Q760" s="366"/>
      <c r="R760" s="366"/>
      <c r="S760" s="17"/>
      <c r="T760" s="17"/>
      <c r="U760" s="17"/>
      <c r="V760" s="17"/>
    </row>
    <row r="761">
      <c r="A761" s="337"/>
      <c r="B761" s="164"/>
      <c r="C761" s="337"/>
      <c r="D761" s="164"/>
      <c r="E761" s="337"/>
      <c r="F761" s="164"/>
      <c r="G761" s="337"/>
      <c r="H761" s="164"/>
      <c r="I761" s="365"/>
      <c r="J761" s="184"/>
      <c r="K761" s="365"/>
      <c r="L761" s="184"/>
      <c r="M761" s="337"/>
      <c r="N761" s="164"/>
      <c r="O761" s="337"/>
      <c r="P761" s="164"/>
      <c r="Q761" s="366"/>
      <c r="R761" s="366"/>
      <c r="S761" s="17"/>
      <c r="T761" s="17"/>
      <c r="U761" s="17"/>
      <c r="V761" s="17"/>
    </row>
    <row r="762">
      <c r="A762" s="337"/>
      <c r="B762" s="164"/>
      <c r="C762" s="337"/>
      <c r="D762" s="164"/>
      <c r="E762" s="337"/>
      <c r="F762" s="164"/>
      <c r="G762" s="337"/>
      <c r="H762" s="164"/>
      <c r="I762" s="365"/>
      <c r="J762" s="184"/>
      <c r="K762" s="365"/>
      <c r="L762" s="184"/>
      <c r="M762" s="337"/>
      <c r="N762" s="164"/>
      <c r="O762" s="337"/>
      <c r="P762" s="164"/>
      <c r="Q762" s="366"/>
      <c r="R762" s="366"/>
      <c r="S762" s="17"/>
      <c r="T762" s="17"/>
      <c r="U762" s="17"/>
      <c r="V762" s="17"/>
    </row>
    <row r="763">
      <c r="A763" s="337"/>
      <c r="B763" s="164"/>
      <c r="C763" s="337"/>
      <c r="D763" s="164"/>
      <c r="E763" s="337"/>
      <c r="F763" s="164"/>
      <c r="G763" s="337"/>
      <c r="H763" s="164"/>
      <c r="I763" s="365"/>
      <c r="J763" s="184"/>
      <c r="K763" s="365"/>
      <c r="L763" s="184"/>
      <c r="M763" s="337"/>
      <c r="N763" s="164"/>
      <c r="O763" s="337"/>
      <c r="P763" s="164"/>
      <c r="Q763" s="366"/>
      <c r="R763" s="366"/>
      <c r="S763" s="17"/>
      <c r="T763" s="17"/>
      <c r="U763" s="17"/>
      <c r="V763" s="17"/>
    </row>
    <row r="764">
      <c r="A764" s="337"/>
      <c r="B764" s="164"/>
      <c r="C764" s="337"/>
      <c r="D764" s="164"/>
      <c r="E764" s="337"/>
      <c r="F764" s="164"/>
      <c r="G764" s="337"/>
      <c r="H764" s="164"/>
      <c r="I764" s="365"/>
      <c r="J764" s="184"/>
      <c r="K764" s="365"/>
      <c r="L764" s="184"/>
      <c r="M764" s="337"/>
      <c r="N764" s="164"/>
      <c r="O764" s="337"/>
      <c r="P764" s="164"/>
      <c r="Q764" s="366"/>
      <c r="R764" s="366"/>
      <c r="S764" s="17"/>
      <c r="T764" s="17"/>
      <c r="U764" s="17"/>
      <c r="V764" s="17"/>
    </row>
    <row r="765">
      <c r="A765" s="337"/>
      <c r="B765" s="164"/>
      <c r="C765" s="337"/>
      <c r="D765" s="164"/>
      <c r="E765" s="337"/>
      <c r="F765" s="164"/>
      <c r="G765" s="337"/>
      <c r="H765" s="164"/>
      <c r="I765" s="365"/>
      <c r="J765" s="184"/>
      <c r="K765" s="365"/>
      <c r="L765" s="184"/>
      <c r="M765" s="337"/>
      <c r="N765" s="164"/>
      <c r="O765" s="337"/>
      <c r="P765" s="164"/>
      <c r="Q765" s="366"/>
      <c r="R765" s="366"/>
      <c r="S765" s="17"/>
      <c r="T765" s="17"/>
      <c r="U765" s="17"/>
      <c r="V765" s="17"/>
    </row>
    <row r="766">
      <c r="A766" s="337"/>
      <c r="B766" s="164"/>
      <c r="C766" s="337"/>
      <c r="D766" s="164"/>
      <c r="E766" s="337"/>
      <c r="F766" s="164"/>
      <c r="G766" s="337"/>
      <c r="H766" s="164"/>
      <c r="I766" s="365"/>
      <c r="J766" s="184"/>
      <c r="K766" s="365"/>
      <c r="L766" s="184"/>
      <c r="M766" s="337"/>
      <c r="N766" s="164"/>
      <c r="O766" s="337"/>
      <c r="P766" s="164"/>
      <c r="Q766" s="366"/>
      <c r="R766" s="366"/>
      <c r="S766" s="17"/>
      <c r="T766" s="17"/>
      <c r="U766" s="17"/>
      <c r="V766" s="17"/>
    </row>
    <row r="767">
      <c r="A767" s="337"/>
      <c r="B767" s="164"/>
      <c r="C767" s="337"/>
      <c r="D767" s="164"/>
      <c r="E767" s="337"/>
      <c r="F767" s="164"/>
      <c r="G767" s="337"/>
      <c r="H767" s="164"/>
      <c r="I767" s="365"/>
      <c r="J767" s="184"/>
      <c r="K767" s="365"/>
      <c r="L767" s="184"/>
      <c r="M767" s="337"/>
      <c r="N767" s="164"/>
      <c r="O767" s="337"/>
      <c r="P767" s="164"/>
      <c r="Q767" s="366"/>
      <c r="R767" s="366"/>
      <c r="S767" s="17"/>
      <c r="T767" s="17"/>
      <c r="U767" s="17"/>
      <c r="V767" s="17"/>
    </row>
    <row r="768">
      <c r="A768" s="337"/>
      <c r="B768" s="164"/>
      <c r="C768" s="337"/>
      <c r="D768" s="164"/>
      <c r="E768" s="337"/>
      <c r="F768" s="164"/>
      <c r="G768" s="337"/>
      <c r="H768" s="164"/>
      <c r="I768" s="365"/>
      <c r="J768" s="184"/>
      <c r="K768" s="365"/>
      <c r="L768" s="184"/>
      <c r="M768" s="337"/>
      <c r="N768" s="164"/>
      <c r="O768" s="337"/>
      <c r="P768" s="164"/>
      <c r="Q768" s="366"/>
      <c r="R768" s="366"/>
      <c r="S768" s="17"/>
      <c r="T768" s="17"/>
      <c r="U768" s="17"/>
      <c r="V768" s="17"/>
    </row>
    <row r="769">
      <c r="A769" s="337"/>
      <c r="B769" s="164"/>
      <c r="C769" s="337"/>
      <c r="D769" s="164"/>
      <c r="E769" s="337"/>
      <c r="F769" s="164"/>
      <c r="G769" s="337"/>
      <c r="H769" s="164"/>
      <c r="I769" s="365"/>
      <c r="J769" s="184"/>
      <c r="K769" s="365"/>
      <c r="L769" s="184"/>
      <c r="M769" s="337"/>
      <c r="N769" s="164"/>
      <c r="O769" s="337"/>
      <c r="P769" s="164"/>
      <c r="Q769" s="366"/>
      <c r="R769" s="366"/>
      <c r="S769" s="17"/>
      <c r="T769" s="17"/>
      <c r="U769" s="17"/>
      <c r="V769" s="17"/>
    </row>
    <row r="770">
      <c r="A770" s="337"/>
      <c r="B770" s="164"/>
      <c r="C770" s="337"/>
      <c r="D770" s="164"/>
      <c r="E770" s="337"/>
      <c r="F770" s="164"/>
      <c r="G770" s="337"/>
      <c r="H770" s="164"/>
      <c r="I770" s="365"/>
      <c r="J770" s="184"/>
      <c r="K770" s="365"/>
      <c r="L770" s="184"/>
      <c r="M770" s="337"/>
      <c r="N770" s="164"/>
      <c r="O770" s="337"/>
      <c r="P770" s="164"/>
      <c r="Q770" s="366"/>
      <c r="R770" s="366"/>
      <c r="S770" s="17"/>
      <c r="T770" s="17"/>
      <c r="U770" s="17"/>
      <c r="V770" s="17"/>
    </row>
    <row r="771">
      <c r="A771" s="337"/>
      <c r="B771" s="164"/>
      <c r="C771" s="337"/>
      <c r="D771" s="164"/>
      <c r="E771" s="337"/>
      <c r="F771" s="164"/>
      <c r="G771" s="337"/>
      <c r="H771" s="164"/>
      <c r="I771" s="365"/>
      <c r="J771" s="184"/>
      <c r="K771" s="365"/>
      <c r="L771" s="184"/>
      <c r="M771" s="337"/>
      <c r="N771" s="164"/>
      <c r="O771" s="337"/>
      <c r="P771" s="164"/>
      <c r="Q771" s="366"/>
      <c r="R771" s="366"/>
      <c r="S771" s="17"/>
      <c r="T771" s="17"/>
      <c r="U771" s="17"/>
      <c r="V771" s="17"/>
    </row>
    <row r="772">
      <c r="A772" s="337"/>
      <c r="B772" s="164"/>
      <c r="C772" s="337"/>
      <c r="D772" s="164"/>
      <c r="E772" s="337"/>
      <c r="F772" s="164"/>
      <c r="G772" s="337"/>
      <c r="H772" s="164"/>
      <c r="I772" s="365"/>
      <c r="J772" s="184"/>
      <c r="K772" s="365"/>
      <c r="L772" s="184"/>
      <c r="M772" s="337"/>
      <c r="N772" s="164"/>
      <c r="O772" s="337"/>
      <c r="P772" s="164"/>
      <c r="Q772" s="366"/>
      <c r="R772" s="366"/>
      <c r="S772" s="17"/>
      <c r="T772" s="17"/>
      <c r="U772" s="17"/>
      <c r="V772" s="17"/>
    </row>
    <row r="773">
      <c r="A773" s="337"/>
      <c r="B773" s="164"/>
      <c r="C773" s="337"/>
      <c r="D773" s="164"/>
      <c r="E773" s="337"/>
      <c r="F773" s="164"/>
      <c r="G773" s="337"/>
      <c r="H773" s="164"/>
      <c r="I773" s="365"/>
      <c r="J773" s="184"/>
      <c r="K773" s="365"/>
      <c r="L773" s="184"/>
      <c r="M773" s="337"/>
      <c r="N773" s="164"/>
      <c r="O773" s="337"/>
      <c r="P773" s="164"/>
      <c r="Q773" s="366"/>
      <c r="R773" s="366"/>
      <c r="S773" s="17"/>
      <c r="T773" s="17"/>
      <c r="U773" s="17"/>
      <c r="V773" s="17"/>
    </row>
    <row r="774">
      <c r="A774" s="337"/>
      <c r="B774" s="164"/>
      <c r="C774" s="337"/>
      <c r="D774" s="164"/>
      <c r="E774" s="337"/>
      <c r="F774" s="164"/>
      <c r="G774" s="337"/>
      <c r="H774" s="164"/>
      <c r="I774" s="365"/>
      <c r="J774" s="184"/>
      <c r="K774" s="365"/>
      <c r="L774" s="184"/>
      <c r="M774" s="337"/>
      <c r="N774" s="164"/>
      <c r="O774" s="337"/>
      <c r="P774" s="164"/>
      <c r="Q774" s="366"/>
      <c r="R774" s="366"/>
      <c r="S774" s="17"/>
      <c r="T774" s="17"/>
      <c r="U774" s="17"/>
      <c r="V774" s="17"/>
    </row>
    <row r="775">
      <c r="A775" s="337"/>
      <c r="B775" s="164"/>
      <c r="C775" s="337"/>
      <c r="D775" s="164"/>
      <c r="E775" s="337"/>
      <c r="F775" s="164"/>
      <c r="G775" s="337"/>
      <c r="H775" s="164"/>
      <c r="I775" s="365"/>
      <c r="J775" s="184"/>
      <c r="K775" s="365"/>
      <c r="L775" s="184"/>
      <c r="M775" s="337"/>
      <c r="N775" s="164"/>
      <c r="O775" s="337"/>
      <c r="P775" s="164"/>
      <c r="Q775" s="366"/>
      <c r="R775" s="366"/>
      <c r="S775" s="17"/>
      <c r="T775" s="17"/>
      <c r="U775" s="17"/>
      <c r="V775" s="17"/>
    </row>
    <row r="776">
      <c r="A776" s="337"/>
      <c r="B776" s="164"/>
      <c r="C776" s="337"/>
      <c r="D776" s="164"/>
      <c r="E776" s="337"/>
      <c r="F776" s="164"/>
      <c r="G776" s="337"/>
      <c r="H776" s="164"/>
      <c r="I776" s="365"/>
      <c r="J776" s="184"/>
      <c r="K776" s="365"/>
      <c r="L776" s="184"/>
      <c r="M776" s="337"/>
      <c r="N776" s="164"/>
      <c r="O776" s="337"/>
      <c r="P776" s="164"/>
      <c r="Q776" s="366"/>
      <c r="R776" s="366"/>
      <c r="S776" s="17"/>
      <c r="T776" s="17"/>
      <c r="U776" s="17"/>
      <c r="V776" s="17"/>
    </row>
    <row r="777">
      <c r="A777" s="337"/>
      <c r="B777" s="164"/>
      <c r="C777" s="337"/>
      <c r="D777" s="164"/>
      <c r="E777" s="337"/>
      <c r="F777" s="164"/>
      <c r="G777" s="337"/>
      <c r="H777" s="164"/>
      <c r="I777" s="365"/>
      <c r="J777" s="184"/>
      <c r="K777" s="365"/>
      <c r="L777" s="184"/>
      <c r="M777" s="337"/>
      <c r="N777" s="164"/>
      <c r="O777" s="337"/>
      <c r="P777" s="164"/>
      <c r="Q777" s="366"/>
      <c r="R777" s="366"/>
      <c r="S777" s="17"/>
      <c r="T777" s="17"/>
      <c r="U777" s="17"/>
      <c r="V777" s="17"/>
    </row>
    <row r="778">
      <c r="A778" s="337"/>
      <c r="B778" s="164"/>
      <c r="C778" s="337"/>
      <c r="D778" s="164"/>
      <c r="E778" s="337"/>
      <c r="F778" s="164"/>
      <c r="G778" s="337"/>
      <c r="H778" s="164"/>
      <c r="I778" s="365"/>
      <c r="J778" s="184"/>
      <c r="K778" s="365"/>
      <c r="L778" s="184"/>
      <c r="M778" s="337"/>
      <c r="N778" s="164"/>
      <c r="O778" s="337"/>
      <c r="P778" s="164"/>
      <c r="Q778" s="366"/>
      <c r="R778" s="366"/>
      <c r="S778" s="17"/>
      <c r="T778" s="17"/>
      <c r="U778" s="17"/>
      <c r="V778" s="17"/>
    </row>
    <row r="779">
      <c r="A779" s="337"/>
      <c r="B779" s="164"/>
      <c r="C779" s="337"/>
      <c r="D779" s="164"/>
      <c r="E779" s="337"/>
      <c r="F779" s="164"/>
      <c r="G779" s="337"/>
      <c r="H779" s="164"/>
      <c r="I779" s="365"/>
      <c r="J779" s="184"/>
      <c r="K779" s="365"/>
      <c r="L779" s="184"/>
      <c r="M779" s="337"/>
      <c r="N779" s="164"/>
      <c r="O779" s="337"/>
      <c r="P779" s="164"/>
      <c r="Q779" s="366"/>
      <c r="R779" s="366"/>
      <c r="S779" s="17"/>
      <c r="T779" s="17"/>
      <c r="U779" s="17"/>
      <c r="V779" s="17"/>
    </row>
    <row r="780">
      <c r="A780" s="337"/>
      <c r="B780" s="164"/>
      <c r="C780" s="337"/>
      <c r="D780" s="164"/>
      <c r="E780" s="337"/>
      <c r="F780" s="164"/>
      <c r="G780" s="337"/>
      <c r="H780" s="164"/>
      <c r="I780" s="365"/>
      <c r="J780" s="184"/>
      <c r="K780" s="365"/>
      <c r="L780" s="184"/>
      <c r="M780" s="337"/>
      <c r="N780" s="164"/>
      <c r="O780" s="337"/>
      <c r="P780" s="164"/>
      <c r="Q780" s="366"/>
      <c r="R780" s="366"/>
      <c r="S780" s="17"/>
      <c r="T780" s="17"/>
      <c r="U780" s="17"/>
      <c r="V780" s="17"/>
    </row>
    <row r="781">
      <c r="A781" s="337"/>
      <c r="B781" s="164"/>
      <c r="C781" s="337"/>
      <c r="D781" s="164"/>
      <c r="E781" s="337"/>
      <c r="F781" s="164"/>
      <c r="G781" s="337"/>
      <c r="H781" s="164"/>
      <c r="I781" s="365"/>
      <c r="J781" s="184"/>
      <c r="K781" s="365"/>
      <c r="L781" s="184"/>
      <c r="M781" s="337"/>
      <c r="N781" s="164"/>
      <c r="O781" s="337"/>
      <c r="P781" s="164"/>
      <c r="Q781" s="366"/>
      <c r="R781" s="366"/>
      <c r="S781" s="17"/>
      <c r="T781" s="17"/>
      <c r="U781" s="17"/>
      <c r="V781" s="17"/>
    </row>
    <row r="782">
      <c r="A782" s="337"/>
      <c r="B782" s="164"/>
      <c r="C782" s="337"/>
      <c r="D782" s="164"/>
      <c r="E782" s="337"/>
      <c r="F782" s="164"/>
      <c r="G782" s="337"/>
      <c r="H782" s="164"/>
      <c r="I782" s="365"/>
      <c r="J782" s="184"/>
      <c r="K782" s="365"/>
      <c r="L782" s="184"/>
      <c r="M782" s="337"/>
      <c r="N782" s="164"/>
      <c r="O782" s="337"/>
      <c r="P782" s="164"/>
      <c r="Q782" s="366"/>
      <c r="R782" s="366"/>
      <c r="S782" s="17"/>
      <c r="T782" s="17"/>
      <c r="U782" s="17"/>
      <c r="V782" s="17"/>
    </row>
    <row r="783">
      <c r="A783" s="337"/>
      <c r="B783" s="164"/>
      <c r="C783" s="337"/>
      <c r="D783" s="164"/>
      <c r="E783" s="337"/>
      <c r="F783" s="164"/>
      <c r="G783" s="337"/>
      <c r="H783" s="164"/>
      <c r="I783" s="365"/>
      <c r="J783" s="184"/>
      <c r="K783" s="365"/>
      <c r="L783" s="184"/>
      <c r="M783" s="337"/>
      <c r="N783" s="164"/>
      <c r="O783" s="337"/>
      <c r="P783" s="164"/>
      <c r="Q783" s="366"/>
      <c r="R783" s="366"/>
      <c r="S783" s="17"/>
      <c r="T783" s="17"/>
      <c r="U783" s="17"/>
      <c r="V783" s="17"/>
    </row>
    <row r="784">
      <c r="A784" s="337"/>
      <c r="B784" s="164"/>
      <c r="C784" s="337"/>
      <c r="D784" s="164"/>
      <c r="E784" s="337"/>
      <c r="F784" s="164"/>
      <c r="G784" s="337"/>
      <c r="H784" s="164"/>
      <c r="I784" s="365"/>
      <c r="J784" s="184"/>
      <c r="K784" s="365"/>
      <c r="L784" s="184"/>
      <c r="M784" s="337"/>
      <c r="N784" s="164"/>
      <c r="O784" s="337"/>
      <c r="P784" s="164"/>
      <c r="Q784" s="366"/>
      <c r="R784" s="366"/>
      <c r="S784" s="17"/>
      <c r="T784" s="17"/>
      <c r="U784" s="17"/>
      <c r="V784" s="17"/>
    </row>
    <row r="785">
      <c r="A785" s="337"/>
      <c r="B785" s="164"/>
      <c r="C785" s="337"/>
      <c r="D785" s="164"/>
      <c r="E785" s="337"/>
      <c r="F785" s="164"/>
      <c r="G785" s="337"/>
      <c r="H785" s="164"/>
      <c r="I785" s="365"/>
      <c r="J785" s="184"/>
      <c r="K785" s="365"/>
      <c r="L785" s="184"/>
      <c r="M785" s="337"/>
      <c r="N785" s="164"/>
      <c r="O785" s="337"/>
      <c r="P785" s="164"/>
      <c r="Q785" s="366"/>
      <c r="R785" s="366"/>
      <c r="S785" s="17"/>
      <c r="T785" s="17"/>
      <c r="U785" s="17"/>
      <c r="V785" s="17"/>
    </row>
    <row r="786">
      <c r="A786" s="337"/>
      <c r="B786" s="164"/>
      <c r="C786" s="337"/>
      <c r="D786" s="164"/>
      <c r="E786" s="337"/>
      <c r="F786" s="164"/>
      <c r="G786" s="337"/>
      <c r="H786" s="164"/>
      <c r="I786" s="365"/>
      <c r="J786" s="184"/>
      <c r="K786" s="365"/>
      <c r="L786" s="184"/>
      <c r="M786" s="337"/>
      <c r="N786" s="164"/>
      <c r="O786" s="337"/>
      <c r="P786" s="164"/>
      <c r="Q786" s="366"/>
      <c r="R786" s="366"/>
      <c r="S786" s="17"/>
      <c r="T786" s="17"/>
      <c r="U786" s="17"/>
      <c r="V786" s="17"/>
    </row>
    <row r="787">
      <c r="A787" s="337"/>
      <c r="B787" s="164"/>
      <c r="C787" s="337"/>
      <c r="D787" s="164"/>
      <c r="E787" s="337"/>
      <c r="F787" s="164"/>
      <c r="G787" s="337"/>
      <c r="H787" s="164"/>
      <c r="I787" s="365"/>
      <c r="J787" s="184"/>
      <c r="K787" s="365"/>
      <c r="L787" s="184"/>
      <c r="M787" s="337"/>
      <c r="N787" s="164"/>
      <c r="O787" s="337"/>
      <c r="P787" s="164"/>
      <c r="Q787" s="366"/>
      <c r="R787" s="366"/>
      <c r="S787" s="17"/>
      <c r="T787" s="17"/>
      <c r="U787" s="17"/>
      <c r="V787" s="17"/>
    </row>
    <row r="788">
      <c r="A788" s="337"/>
      <c r="B788" s="164"/>
      <c r="C788" s="337"/>
      <c r="D788" s="164"/>
      <c r="E788" s="337"/>
      <c r="F788" s="164"/>
      <c r="G788" s="337"/>
      <c r="H788" s="164"/>
      <c r="I788" s="365"/>
      <c r="J788" s="184"/>
      <c r="K788" s="365"/>
      <c r="L788" s="184"/>
      <c r="M788" s="337"/>
      <c r="N788" s="164"/>
      <c r="O788" s="337"/>
      <c r="P788" s="164"/>
      <c r="Q788" s="366"/>
      <c r="R788" s="366"/>
      <c r="S788" s="17"/>
      <c r="T788" s="17"/>
      <c r="U788" s="17"/>
      <c r="V788" s="17"/>
    </row>
    <row r="789">
      <c r="A789" s="337"/>
      <c r="B789" s="164"/>
      <c r="C789" s="337"/>
      <c r="D789" s="164"/>
      <c r="E789" s="337"/>
      <c r="F789" s="164"/>
      <c r="G789" s="337"/>
      <c r="H789" s="164"/>
      <c r="I789" s="365"/>
      <c r="J789" s="184"/>
      <c r="K789" s="365"/>
      <c r="L789" s="184"/>
      <c r="M789" s="337"/>
      <c r="N789" s="164"/>
      <c r="O789" s="337"/>
      <c r="P789" s="164"/>
      <c r="Q789" s="366"/>
      <c r="R789" s="366"/>
      <c r="S789" s="17"/>
      <c r="T789" s="17"/>
      <c r="U789" s="17"/>
      <c r="V789" s="17"/>
    </row>
    <row r="790">
      <c r="A790" s="337"/>
      <c r="B790" s="164"/>
      <c r="C790" s="337"/>
      <c r="D790" s="164"/>
      <c r="E790" s="337"/>
      <c r="F790" s="164"/>
      <c r="G790" s="337"/>
      <c r="H790" s="164"/>
      <c r="I790" s="365"/>
      <c r="J790" s="184"/>
      <c r="K790" s="365"/>
      <c r="L790" s="184"/>
      <c r="M790" s="337"/>
      <c r="N790" s="164"/>
      <c r="O790" s="337"/>
      <c r="P790" s="164"/>
      <c r="Q790" s="366"/>
      <c r="R790" s="366"/>
      <c r="S790" s="17"/>
      <c r="T790" s="17"/>
      <c r="U790" s="17"/>
      <c r="V790" s="17"/>
    </row>
    <row r="791">
      <c r="A791" s="337"/>
      <c r="B791" s="164"/>
      <c r="C791" s="337"/>
      <c r="D791" s="164"/>
      <c r="E791" s="337"/>
      <c r="F791" s="164"/>
      <c r="G791" s="337"/>
      <c r="H791" s="164"/>
      <c r="I791" s="365"/>
      <c r="J791" s="184"/>
      <c r="K791" s="365"/>
      <c r="L791" s="184"/>
      <c r="M791" s="337"/>
      <c r="N791" s="164"/>
      <c r="O791" s="337"/>
      <c r="P791" s="164"/>
      <c r="Q791" s="366"/>
      <c r="R791" s="366"/>
      <c r="S791" s="17"/>
      <c r="T791" s="17"/>
      <c r="U791" s="17"/>
      <c r="V791" s="17"/>
    </row>
    <row r="792">
      <c r="A792" s="337"/>
      <c r="B792" s="164"/>
      <c r="C792" s="337"/>
      <c r="D792" s="164"/>
      <c r="E792" s="337"/>
      <c r="F792" s="164"/>
      <c r="G792" s="337"/>
      <c r="H792" s="164"/>
      <c r="I792" s="365"/>
      <c r="J792" s="184"/>
      <c r="K792" s="365"/>
      <c r="L792" s="184"/>
      <c r="M792" s="337"/>
      <c r="N792" s="164"/>
      <c r="O792" s="337"/>
      <c r="P792" s="164"/>
      <c r="Q792" s="366"/>
      <c r="R792" s="366"/>
      <c r="S792" s="17"/>
      <c r="T792" s="17"/>
      <c r="U792" s="17"/>
      <c r="V792" s="17"/>
    </row>
    <row r="793">
      <c r="A793" s="337"/>
      <c r="B793" s="164"/>
      <c r="C793" s="337"/>
      <c r="D793" s="164"/>
      <c r="E793" s="337"/>
      <c r="F793" s="164"/>
      <c r="G793" s="337"/>
      <c r="H793" s="164"/>
      <c r="I793" s="365"/>
      <c r="J793" s="184"/>
      <c r="K793" s="365"/>
      <c r="L793" s="184"/>
      <c r="M793" s="337"/>
      <c r="N793" s="164"/>
      <c r="O793" s="337"/>
      <c r="P793" s="164"/>
      <c r="Q793" s="366"/>
      <c r="R793" s="366"/>
      <c r="S793" s="17"/>
      <c r="T793" s="17"/>
      <c r="U793" s="17"/>
      <c r="V793" s="17"/>
    </row>
    <row r="794">
      <c r="A794" s="337"/>
      <c r="B794" s="164"/>
      <c r="C794" s="337"/>
      <c r="D794" s="164"/>
      <c r="E794" s="337"/>
      <c r="F794" s="164"/>
      <c r="G794" s="337"/>
      <c r="H794" s="164"/>
      <c r="I794" s="365"/>
      <c r="J794" s="184"/>
      <c r="K794" s="365"/>
      <c r="L794" s="184"/>
      <c r="M794" s="337"/>
      <c r="N794" s="164"/>
      <c r="O794" s="337"/>
      <c r="P794" s="164"/>
      <c r="Q794" s="366"/>
      <c r="R794" s="366"/>
      <c r="S794" s="17"/>
      <c r="T794" s="17"/>
      <c r="U794" s="17"/>
      <c r="V794" s="17"/>
    </row>
    <row r="795">
      <c r="A795" s="337"/>
      <c r="B795" s="164"/>
      <c r="C795" s="337"/>
      <c r="D795" s="164"/>
      <c r="E795" s="337"/>
      <c r="F795" s="164"/>
      <c r="G795" s="337"/>
      <c r="H795" s="164"/>
      <c r="I795" s="365"/>
      <c r="J795" s="184"/>
      <c r="K795" s="365"/>
      <c r="L795" s="184"/>
      <c r="M795" s="337"/>
      <c r="N795" s="164"/>
      <c r="O795" s="337"/>
      <c r="P795" s="164"/>
      <c r="Q795" s="366"/>
      <c r="R795" s="366"/>
      <c r="S795" s="17"/>
      <c r="T795" s="17"/>
      <c r="U795" s="17"/>
      <c r="V795" s="17"/>
    </row>
    <row r="796">
      <c r="A796" s="337"/>
      <c r="B796" s="164"/>
      <c r="C796" s="337"/>
      <c r="D796" s="164"/>
      <c r="E796" s="337"/>
      <c r="F796" s="164"/>
      <c r="G796" s="337"/>
      <c r="H796" s="164"/>
      <c r="I796" s="365"/>
      <c r="J796" s="184"/>
      <c r="K796" s="365"/>
      <c r="L796" s="184"/>
      <c r="M796" s="337"/>
      <c r="N796" s="164"/>
      <c r="O796" s="337"/>
      <c r="P796" s="164"/>
      <c r="Q796" s="366"/>
      <c r="R796" s="366"/>
      <c r="S796" s="17"/>
      <c r="T796" s="17"/>
      <c r="U796" s="17"/>
      <c r="V796" s="17"/>
    </row>
    <row r="797">
      <c r="A797" s="337"/>
      <c r="B797" s="164"/>
      <c r="C797" s="337"/>
      <c r="D797" s="164"/>
      <c r="E797" s="337"/>
      <c r="F797" s="164"/>
      <c r="G797" s="337"/>
      <c r="H797" s="164"/>
      <c r="I797" s="365"/>
      <c r="J797" s="184"/>
      <c r="K797" s="365"/>
      <c r="L797" s="184"/>
      <c r="M797" s="337"/>
      <c r="N797" s="164"/>
      <c r="O797" s="337"/>
      <c r="P797" s="164"/>
      <c r="Q797" s="366"/>
      <c r="R797" s="366"/>
      <c r="S797" s="17"/>
      <c r="T797" s="17"/>
      <c r="U797" s="17"/>
      <c r="V797" s="17"/>
    </row>
    <row r="798">
      <c r="A798" s="337"/>
      <c r="B798" s="164"/>
      <c r="C798" s="337"/>
      <c r="D798" s="164"/>
      <c r="E798" s="337"/>
      <c r="F798" s="164"/>
      <c r="G798" s="337"/>
      <c r="H798" s="164"/>
      <c r="I798" s="365"/>
      <c r="J798" s="184"/>
      <c r="K798" s="365"/>
      <c r="L798" s="184"/>
      <c r="M798" s="337"/>
      <c r="N798" s="164"/>
      <c r="O798" s="337"/>
      <c r="P798" s="164"/>
      <c r="Q798" s="366"/>
      <c r="R798" s="366"/>
      <c r="S798" s="17"/>
      <c r="T798" s="17"/>
      <c r="U798" s="17"/>
      <c r="V798" s="17"/>
    </row>
    <row r="799">
      <c r="A799" s="337"/>
      <c r="B799" s="164"/>
      <c r="C799" s="337"/>
      <c r="D799" s="164"/>
      <c r="E799" s="337"/>
      <c r="F799" s="164"/>
      <c r="G799" s="337"/>
      <c r="H799" s="164"/>
      <c r="I799" s="365"/>
      <c r="J799" s="184"/>
      <c r="K799" s="365"/>
      <c r="L799" s="184"/>
      <c r="M799" s="337"/>
      <c r="N799" s="164"/>
      <c r="O799" s="337"/>
      <c r="P799" s="164"/>
      <c r="Q799" s="366"/>
      <c r="R799" s="366"/>
      <c r="S799" s="17"/>
      <c r="T799" s="17"/>
      <c r="U799" s="17"/>
      <c r="V799" s="17"/>
    </row>
    <row r="800">
      <c r="A800" s="337"/>
      <c r="B800" s="164"/>
      <c r="C800" s="337"/>
      <c r="D800" s="164"/>
      <c r="E800" s="337"/>
      <c r="F800" s="164"/>
      <c r="G800" s="337"/>
      <c r="H800" s="164"/>
      <c r="I800" s="365"/>
      <c r="J800" s="184"/>
      <c r="K800" s="365"/>
      <c r="L800" s="184"/>
      <c r="M800" s="337"/>
      <c r="N800" s="164"/>
      <c r="O800" s="337"/>
      <c r="P800" s="164"/>
      <c r="Q800" s="366"/>
      <c r="R800" s="366"/>
      <c r="S800" s="17"/>
      <c r="T800" s="17"/>
      <c r="U800" s="17"/>
      <c r="V800" s="17"/>
    </row>
    <row r="801">
      <c r="A801" s="337"/>
      <c r="B801" s="164"/>
      <c r="C801" s="337"/>
      <c r="D801" s="164"/>
      <c r="E801" s="337"/>
      <c r="F801" s="164"/>
      <c r="G801" s="337"/>
      <c r="H801" s="164"/>
      <c r="I801" s="365"/>
      <c r="J801" s="184"/>
      <c r="K801" s="365"/>
      <c r="L801" s="184"/>
      <c r="M801" s="337"/>
      <c r="N801" s="164"/>
      <c r="O801" s="337"/>
      <c r="P801" s="164"/>
      <c r="Q801" s="366"/>
      <c r="R801" s="366"/>
      <c r="S801" s="17"/>
      <c r="T801" s="17"/>
      <c r="U801" s="17"/>
      <c r="V801" s="17"/>
    </row>
    <row r="802">
      <c r="A802" s="337"/>
      <c r="B802" s="164"/>
      <c r="C802" s="337"/>
      <c r="D802" s="164"/>
      <c r="E802" s="337"/>
      <c r="F802" s="164"/>
      <c r="G802" s="337"/>
      <c r="H802" s="164"/>
      <c r="I802" s="365"/>
      <c r="J802" s="184"/>
      <c r="K802" s="365"/>
      <c r="L802" s="184"/>
      <c r="M802" s="337"/>
      <c r="N802" s="164"/>
      <c r="O802" s="337"/>
      <c r="P802" s="164"/>
      <c r="Q802" s="366"/>
      <c r="R802" s="366"/>
      <c r="S802" s="17"/>
      <c r="T802" s="17"/>
      <c r="U802" s="17"/>
      <c r="V802" s="17"/>
    </row>
    <row r="803">
      <c r="A803" s="337"/>
      <c r="B803" s="164"/>
      <c r="C803" s="337"/>
      <c r="D803" s="164"/>
      <c r="E803" s="337"/>
      <c r="F803" s="164"/>
      <c r="G803" s="337"/>
      <c r="H803" s="164"/>
      <c r="I803" s="365"/>
      <c r="J803" s="184"/>
      <c r="K803" s="365"/>
      <c r="L803" s="184"/>
      <c r="M803" s="337"/>
      <c r="N803" s="164"/>
      <c r="O803" s="337"/>
      <c r="P803" s="164"/>
      <c r="Q803" s="366"/>
      <c r="R803" s="366"/>
      <c r="S803" s="17"/>
      <c r="T803" s="17"/>
      <c r="U803" s="17"/>
      <c r="V803" s="17"/>
    </row>
    <row r="804">
      <c r="A804" s="337"/>
      <c r="B804" s="164"/>
      <c r="C804" s="337"/>
      <c r="D804" s="164"/>
      <c r="E804" s="337"/>
      <c r="F804" s="164"/>
      <c r="G804" s="337"/>
      <c r="H804" s="164"/>
      <c r="I804" s="365"/>
      <c r="J804" s="184"/>
      <c r="K804" s="365"/>
      <c r="L804" s="184"/>
      <c r="M804" s="337"/>
      <c r="N804" s="164"/>
      <c r="O804" s="337"/>
      <c r="P804" s="164"/>
      <c r="Q804" s="366"/>
      <c r="R804" s="366"/>
      <c r="S804" s="17"/>
      <c r="T804" s="17"/>
      <c r="U804" s="17"/>
      <c r="V804" s="17"/>
    </row>
    <row r="805">
      <c r="A805" s="337"/>
      <c r="B805" s="164"/>
      <c r="C805" s="337"/>
      <c r="D805" s="164"/>
      <c r="E805" s="337"/>
      <c r="F805" s="164"/>
      <c r="G805" s="337"/>
      <c r="H805" s="164"/>
      <c r="I805" s="365"/>
      <c r="J805" s="184"/>
      <c r="K805" s="365"/>
      <c r="L805" s="184"/>
      <c r="M805" s="337"/>
      <c r="N805" s="164"/>
      <c r="O805" s="337"/>
      <c r="P805" s="164"/>
      <c r="Q805" s="366"/>
      <c r="R805" s="366"/>
      <c r="S805" s="17"/>
      <c r="T805" s="17"/>
      <c r="U805" s="17"/>
      <c r="V805" s="17"/>
    </row>
    <row r="806">
      <c r="A806" s="337"/>
      <c r="B806" s="164"/>
      <c r="C806" s="337"/>
      <c r="D806" s="164"/>
      <c r="E806" s="337"/>
      <c r="F806" s="164"/>
      <c r="G806" s="337"/>
      <c r="H806" s="164"/>
      <c r="I806" s="365"/>
      <c r="J806" s="184"/>
      <c r="K806" s="365"/>
      <c r="L806" s="184"/>
      <c r="M806" s="337"/>
      <c r="N806" s="164"/>
      <c r="O806" s="337"/>
      <c r="P806" s="164"/>
      <c r="Q806" s="366"/>
      <c r="R806" s="366"/>
      <c r="S806" s="17"/>
      <c r="T806" s="17"/>
      <c r="U806" s="17"/>
      <c r="V806" s="17"/>
    </row>
    <row r="807">
      <c r="A807" s="337"/>
      <c r="B807" s="164"/>
      <c r="C807" s="337"/>
      <c r="D807" s="164"/>
      <c r="E807" s="337"/>
      <c r="F807" s="164"/>
      <c r="G807" s="337"/>
      <c r="H807" s="164"/>
      <c r="I807" s="365"/>
      <c r="J807" s="184"/>
      <c r="K807" s="365"/>
      <c r="L807" s="184"/>
      <c r="M807" s="337"/>
      <c r="N807" s="164"/>
      <c r="O807" s="337"/>
      <c r="P807" s="164"/>
      <c r="Q807" s="366"/>
      <c r="R807" s="366"/>
      <c r="S807" s="17"/>
      <c r="T807" s="17"/>
      <c r="U807" s="17"/>
      <c r="V807" s="17"/>
    </row>
    <row r="808">
      <c r="A808" s="337"/>
      <c r="B808" s="164"/>
      <c r="C808" s="337"/>
      <c r="D808" s="164"/>
      <c r="E808" s="337"/>
      <c r="F808" s="164"/>
      <c r="G808" s="337"/>
      <c r="H808" s="164"/>
      <c r="I808" s="365"/>
      <c r="J808" s="184"/>
      <c r="K808" s="365"/>
      <c r="L808" s="184"/>
      <c r="M808" s="337"/>
      <c r="N808" s="164"/>
      <c r="O808" s="337"/>
      <c r="P808" s="164"/>
      <c r="Q808" s="366"/>
      <c r="R808" s="366"/>
      <c r="S808" s="17"/>
      <c r="T808" s="17"/>
      <c r="U808" s="17"/>
      <c r="V808" s="17"/>
    </row>
    <row r="809">
      <c r="A809" s="337"/>
      <c r="B809" s="164"/>
      <c r="C809" s="337"/>
      <c r="D809" s="164"/>
      <c r="E809" s="337"/>
      <c r="F809" s="164"/>
      <c r="G809" s="337"/>
      <c r="H809" s="164"/>
      <c r="I809" s="365"/>
      <c r="J809" s="184"/>
      <c r="K809" s="365"/>
      <c r="L809" s="184"/>
      <c r="M809" s="337"/>
      <c r="N809" s="164"/>
      <c r="O809" s="337"/>
      <c r="P809" s="164"/>
      <c r="Q809" s="366"/>
      <c r="R809" s="366"/>
      <c r="S809" s="17"/>
      <c r="T809" s="17"/>
      <c r="U809" s="17"/>
      <c r="V809" s="17"/>
    </row>
    <row r="810">
      <c r="A810" s="337"/>
      <c r="B810" s="164"/>
      <c r="C810" s="337"/>
      <c r="D810" s="164"/>
      <c r="E810" s="337"/>
      <c r="F810" s="164"/>
      <c r="G810" s="337"/>
      <c r="H810" s="164"/>
      <c r="I810" s="365"/>
      <c r="J810" s="184"/>
      <c r="K810" s="365"/>
      <c r="L810" s="184"/>
      <c r="M810" s="337"/>
      <c r="N810" s="164"/>
      <c r="O810" s="337"/>
      <c r="P810" s="164"/>
      <c r="Q810" s="366"/>
      <c r="R810" s="366"/>
      <c r="S810" s="17"/>
      <c r="T810" s="17"/>
      <c r="U810" s="17"/>
      <c r="V810" s="17"/>
    </row>
    <row r="811">
      <c r="A811" s="337"/>
      <c r="B811" s="164"/>
      <c r="C811" s="337"/>
      <c r="D811" s="164"/>
      <c r="E811" s="337"/>
      <c r="F811" s="164"/>
      <c r="G811" s="337"/>
      <c r="H811" s="164"/>
      <c r="I811" s="365"/>
      <c r="J811" s="184"/>
      <c r="K811" s="365"/>
      <c r="L811" s="184"/>
      <c r="M811" s="337"/>
      <c r="N811" s="164"/>
      <c r="O811" s="337"/>
      <c r="P811" s="164"/>
      <c r="Q811" s="366"/>
      <c r="R811" s="366"/>
      <c r="S811" s="17"/>
      <c r="T811" s="17"/>
      <c r="U811" s="17"/>
      <c r="V811" s="17"/>
    </row>
    <row r="812">
      <c r="A812" s="337"/>
      <c r="B812" s="164"/>
      <c r="C812" s="337"/>
      <c r="D812" s="164"/>
      <c r="E812" s="337"/>
      <c r="F812" s="164"/>
      <c r="G812" s="337"/>
      <c r="H812" s="164"/>
      <c r="I812" s="365"/>
      <c r="J812" s="184"/>
      <c r="K812" s="365"/>
      <c r="L812" s="184"/>
      <c r="M812" s="337"/>
      <c r="N812" s="164"/>
      <c r="O812" s="337"/>
      <c r="P812" s="164"/>
      <c r="Q812" s="366"/>
      <c r="R812" s="366"/>
      <c r="S812" s="17"/>
      <c r="T812" s="17"/>
      <c r="U812" s="17"/>
      <c r="V812" s="17"/>
    </row>
    <row r="813">
      <c r="A813" s="337"/>
      <c r="B813" s="164"/>
      <c r="C813" s="337"/>
      <c r="D813" s="164"/>
      <c r="E813" s="337"/>
      <c r="F813" s="164"/>
      <c r="G813" s="337"/>
      <c r="H813" s="164"/>
      <c r="I813" s="365"/>
      <c r="J813" s="184"/>
      <c r="K813" s="365"/>
      <c r="L813" s="184"/>
      <c r="M813" s="337"/>
      <c r="N813" s="164"/>
      <c r="O813" s="337"/>
      <c r="P813" s="164"/>
      <c r="Q813" s="366"/>
      <c r="R813" s="366"/>
      <c r="S813" s="17"/>
      <c r="T813" s="17"/>
      <c r="U813" s="17"/>
      <c r="V813" s="17"/>
    </row>
    <row r="814">
      <c r="A814" s="337"/>
      <c r="B814" s="164"/>
      <c r="C814" s="337"/>
      <c r="D814" s="164"/>
      <c r="E814" s="337"/>
      <c r="F814" s="164"/>
      <c r="G814" s="337"/>
      <c r="H814" s="164"/>
      <c r="I814" s="365"/>
      <c r="J814" s="184"/>
      <c r="K814" s="365"/>
      <c r="L814" s="184"/>
      <c r="M814" s="337"/>
      <c r="N814" s="164"/>
      <c r="O814" s="337"/>
      <c r="P814" s="164"/>
      <c r="Q814" s="366"/>
      <c r="R814" s="366"/>
      <c r="S814" s="17"/>
      <c r="T814" s="17"/>
      <c r="U814" s="17"/>
      <c r="V814" s="17"/>
    </row>
    <row r="815">
      <c r="A815" s="337"/>
      <c r="B815" s="164"/>
      <c r="C815" s="337"/>
      <c r="D815" s="164"/>
      <c r="E815" s="337"/>
      <c r="F815" s="164"/>
      <c r="G815" s="337"/>
      <c r="H815" s="164"/>
      <c r="I815" s="365"/>
      <c r="J815" s="184"/>
      <c r="K815" s="365"/>
      <c r="L815" s="184"/>
      <c r="M815" s="337"/>
      <c r="N815" s="164"/>
      <c r="O815" s="337"/>
      <c r="P815" s="164"/>
      <c r="Q815" s="366"/>
      <c r="R815" s="366"/>
      <c r="S815" s="17"/>
      <c r="T815" s="17"/>
      <c r="U815" s="17"/>
      <c r="V815" s="17"/>
    </row>
    <row r="816">
      <c r="A816" s="337"/>
      <c r="B816" s="164"/>
      <c r="C816" s="337"/>
      <c r="D816" s="164"/>
      <c r="E816" s="337"/>
      <c r="F816" s="164"/>
      <c r="G816" s="337"/>
      <c r="H816" s="164"/>
      <c r="I816" s="365"/>
      <c r="J816" s="184"/>
      <c r="K816" s="365"/>
      <c r="L816" s="184"/>
      <c r="M816" s="337"/>
      <c r="N816" s="164"/>
      <c r="O816" s="337"/>
      <c r="P816" s="164"/>
      <c r="Q816" s="366"/>
      <c r="R816" s="366"/>
      <c r="S816" s="17"/>
      <c r="T816" s="17"/>
      <c r="U816" s="17"/>
      <c r="V816" s="17"/>
    </row>
    <row r="817">
      <c r="A817" s="337"/>
      <c r="B817" s="164"/>
      <c r="C817" s="337"/>
      <c r="D817" s="164"/>
      <c r="E817" s="337"/>
      <c r="F817" s="164"/>
      <c r="G817" s="337"/>
      <c r="H817" s="164"/>
      <c r="I817" s="365"/>
      <c r="J817" s="184"/>
      <c r="K817" s="365"/>
      <c r="L817" s="184"/>
      <c r="M817" s="337"/>
      <c r="N817" s="164"/>
      <c r="O817" s="337"/>
      <c r="P817" s="164"/>
      <c r="Q817" s="366"/>
      <c r="R817" s="366"/>
      <c r="S817" s="17"/>
      <c r="T817" s="17"/>
      <c r="U817" s="17"/>
      <c r="V817" s="17"/>
    </row>
    <row r="818">
      <c r="A818" s="337"/>
      <c r="B818" s="164"/>
      <c r="C818" s="337"/>
      <c r="D818" s="164"/>
      <c r="E818" s="337"/>
      <c r="F818" s="164"/>
      <c r="G818" s="337"/>
      <c r="H818" s="164"/>
      <c r="I818" s="365"/>
      <c r="J818" s="184"/>
      <c r="K818" s="365"/>
      <c r="L818" s="184"/>
      <c r="M818" s="337"/>
      <c r="N818" s="164"/>
      <c r="O818" s="337"/>
      <c r="P818" s="164"/>
      <c r="Q818" s="366"/>
      <c r="R818" s="366"/>
      <c r="S818" s="17"/>
      <c r="T818" s="17"/>
      <c r="U818" s="17"/>
      <c r="V818" s="17"/>
    </row>
    <row r="819">
      <c r="A819" s="337"/>
      <c r="B819" s="164"/>
      <c r="C819" s="337"/>
      <c r="D819" s="164"/>
      <c r="E819" s="337"/>
      <c r="F819" s="164"/>
      <c r="G819" s="337"/>
      <c r="H819" s="164"/>
      <c r="I819" s="365"/>
      <c r="J819" s="184"/>
      <c r="K819" s="365"/>
      <c r="L819" s="184"/>
      <c r="M819" s="337"/>
      <c r="N819" s="164"/>
      <c r="O819" s="337"/>
      <c r="P819" s="164"/>
      <c r="Q819" s="366"/>
      <c r="R819" s="366"/>
      <c r="S819" s="17"/>
      <c r="T819" s="17"/>
      <c r="U819" s="17"/>
      <c r="V819" s="17"/>
    </row>
    <row r="820">
      <c r="A820" s="337"/>
      <c r="B820" s="164"/>
      <c r="C820" s="337"/>
      <c r="D820" s="164"/>
      <c r="E820" s="337"/>
      <c r="F820" s="164"/>
      <c r="G820" s="337"/>
      <c r="H820" s="164"/>
      <c r="I820" s="365"/>
      <c r="J820" s="184"/>
      <c r="K820" s="365"/>
      <c r="L820" s="184"/>
      <c r="M820" s="337"/>
      <c r="N820" s="164"/>
      <c r="O820" s="337"/>
      <c r="P820" s="164"/>
      <c r="Q820" s="366"/>
      <c r="R820" s="366"/>
      <c r="S820" s="17"/>
      <c r="T820" s="17"/>
      <c r="U820" s="17"/>
      <c r="V820" s="17"/>
    </row>
    <row r="821">
      <c r="A821" s="337"/>
      <c r="B821" s="164"/>
      <c r="C821" s="337"/>
      <c r="D821" s="164"/>
      <c r="E821" s="337"/>
      <c r="F821" s="164"/>
      <c r="G821" s="337"/>
      <c r="H821" s="164"/>
      <c r="I821" s="365"/>
      <c r="J821" s="184"/>
      <c r="K821" s="365"/>
      <c r="L821" s="184"/>
      <c r="M821" s="337"/>
      <c r="N821" s="164"/>
      <c r="O821" s="337"/>
      <c r="P821" s="164"/>
      <c r="Q821" s="366"/>
      <c r="R821" s="366"/>
      <c r="S821" s="17"/>
      <c r="T821" s="17"/>
      <c r="U821" s="17"/>
      <c r="V821" s="17"/>
    </row>
    <row r="822">
      <c r="A822" s="337"/>
      <c r="B822" s="164"/>
      <c r="C822" s="337"/>
      <c r="D822" s="164"/>
      <c r="E822" s="337"/>
      <c r="F822" s="164"/>
      <c r="G822" s="337"/>
      <c r="H822" s="164"/>
      <c r="I822" s="365"/>
      <c r="J822" s="184"/>
      <c r="K822" s="365"/>
      <c r="L822" s="184"/>
      <c r="M822" s="337"/>
      <c r="N822" s="164"/>
      <c r="O822" s="337"/>
      <c r="P822" s="164"/>
      <c r="Q822" s="366"/>
      <c r="R822" s="366"/>
      <c r="S822" s="17"/>
      <c r="T822" s="17"/>
      <c r="U822" s="17"/>
      <c r="V822" s="17"/>
    </row>
    <row r="823">
      <c r="A823" s="337"/>
      <c r="B823" s="164"/>
      <c r="C823" s="337"/>
      <c r="D823" s="164"/>
      <c r="E823" s="337"/>
      <c r="F823" s="164"/>
      <c r="G823" s="337"/>
      <c r="H823" s="164"/>
      <c r="I823" s="365"/>
      <c r="J823" s="184"/>
      <c r="K823" s="365"/>
      <c r="L823" s="184"/>
      <c r="M823" s="337"/>
      <c r="N823" s="164"/>
      <c r="O823" s="337"/>
      <c r="P823" s="164"/>
      <c r="Q823" s="366"/>
      <c r="R823" s="366"/>
      <c r="S823" s="17"/>
      <c r="T823" s="17"/>
      <c r="U823" s="17"/>
      <c r="V823" s="17"/>
    </row>
    <row r="824">
      <c r="A824" s="337"/>
      <c r="B824" s="164"/>
      <c r="C824" s="337"/>
      <c r="D824" s="164"/>
      <c r="E824" s="337"/>
      <c r="F824" s="164"/>
      <c r="G824" s="337"/>
      <c r="H824" s="164"/>
      <c r="I824" s="365"/>
      <c r="J824" s="184"/>
      <c r="K824" s="365"/>
      <c r="L824" s="184"/>
      <c r="M824" s="337"/>
      <c r="N824" s="164"/>
      <c r="O824" s="337"/>
      <c r="P824" s="164"/>
      <c r="Q824" s="366"/>
      <c r="R824" s="366"/>
      <c r="S824" s="17"/>
      <c r="T824" s="17"/>
      <c r="U824" s="17"/>
      <c r="V824" s="17"/>
    </row>
    <row r="825">
      <c r="A825" s="337"/>
      <c r="B825" s="164"/>
      <c r="C825" s="337"/>
      <c r="D825" s="164"/>
      <c r="E825" s="337"/>
      <c r="F825" s="164"/>
      <c r="G825" s="337"/>
      <c r="H825" s="164"/>
      <c r="I825" s="365"/>
      <c r="J825" s="184"/>
      <c r="K825" s="365"/>
      <c r="L825" s="184"/>
      <c r="M825" s="337"/>
      <c r="N825" s="164"/>
      <c r="O825" s="337"/>
      <c r="P825" s="164"/>
      <c r="Q825" s="366"/>
      <c r="R825" s="366"/>
      <c r="S825" s="17"/>
      <c r="T825" s="17"/>
      <c r="U825" s="17"/>
      <c r="V825" s="17"/>
    </row>
    <row r="826">
      <c r="A826" s="337"/>
      <c r="B826" s="164"/>
      <c r="C826" s="337"/>
      <c r="D826" s="164"/>
      <c r="E826" s="337"/>
      <c r="F826" s="164"/>
      <c r="G826" s="337"/>
      <c r="H826" s="164"/>
      <c r="I826" s="365"/>
      <c r="J826" s="184"/>
      <c r="K826" s="365"/>
      <c r="L826" s="184"/>
      <c r="M826" s="337"/>
      <c r="N826" s="164"/>
      <c r="O826" s="337"/>
      <c r="P826" s="164"/>
      <c r="Q826" s="366"/>
      <c r="R826" s="366"/>
      <c r="S826" s="17"/>
      <c r="T826" s="17"/>
      <c r="U826" s="17"/>
      <c r="V826" s="17"/>
    </row>
    <row r="827">
      <c r="A827" s="337"/>
      <c r="B827" s="164"/>
      <c r="C827" s="337"/>
      <c r="D827" s="164"/>
      <c r="E827" s="337"/>
      <c r="F827" s="164"/>
      <c r="G827" s="337"/>
      <c r="H827" s="164"/>
      <c r="I827" s="365"/>
      <c r="J827" s="184"/>
      <c r="K827" s="365"/>
      <c r="L827" s="184"/>
      <c r="M827" s="337"/>
      <c r="N827" s="164"/>
      <c r="O827" s="337"/>
      <c r="P827" s="164"/>
      <c r="Q827" s="366"/>
      <c r="R827" s="366"/>
      <c r="S827" s="17"/>
      <c r="T827" s="17"/>
      <c r="U827" s="17"/>
      <c r="V827" s="17"/>
    </row>
    <row r="828">
      <c r="A828" s="337"/>
      <c r="B828" s="164"/>
      <c r="C828" s="337"/>
      <c r="D828" s="164"/>
      <c r="E828" s="337"/>
      <c r="F828" s="164"/>
      <c r="G828" s="337"/>
      <c r="H828" s="164"/>
      <c r="I828" s="365"/>
      <c r="J828" s="184"/>
      <c r="K828" s="365"/>
      <c r="L828" s="184"/>
      <c r="M828" s="337"/>
      <c r="N828" s="164"/>
      <c r="O828" s="337"/>
      <c r="P828" s="164"/>
      <c r="Q828" s="366"/>
      <c r="R828" s="366"/>
      <c r="S828" s="17"/>
      <c r="T828" s="17"/>
      <c r="U828" s="17"/>
      <c r="V828" s="17"/>
    </row>
    <row r="829">
      <c r="A829" s="337"/>
      <c r="B829" s="164"/>
      <c r="C829" s="337"/>
      <c r="D829" s="164"/>
      <c r="E829" s="337"/>
      <c r="F829" s="164"/>
      <c r="G829" s="337"/>
      <c r="H829" s="164"/>
      <c r="I829" s="365"/>
      <c r="J829" s="184"/>
      <c r="K829" s="365"/>
      <c r="L829" s="184"/>
      <c r="M829" s="337"/>
      <c r="N829" s="164"/>
      <c r="O829" s="337"/>
      <c r="P829" s="164"/>
      <c r="Q829" s="366"/>
      <c r="R829" s="366"/>
      <c r="S829" s="17"/>
      <c r="T829" s="17"/>
      <c r="U829" s="17"/>
      <c r="V829" s="17"/>
    </row>
    <row r="830">
      <c r="A830" s="337"/>
      <c r="B830" s="164"/>
      <c r="C830" s="337"/>
      <c r="D830" s="164"/>
      <c r="E830" s="337"/>
      <c r="F830" s="164"/>
      <c r="G830" s="337"/>
      <c r="H830" s="164"/>
      <c r="I830" s="365"/>
      <c r="J830" s="184"/>
      <c r="K830" s="365"/>
      <c r="L830" s="184"/>
      <c r="M830" s="337"/>
      <c r="N830" s="164"/>
      <c r="O830" s="337"/>
      <c r="P830" s="164"/>
      <c r="Q830" s="366"/>
      <c r="R830" s="366"/>
      <c r="S830" s="17"/>
      <c r="T830" s="17"/>
      <c r="U830" s="17"/>
      <c r="V830" s="17"/>
    </row>
    <row r="831">
      <c r="A831" s="337"/>
      <c r="B831" s="164"/>
      <c r="C831" s="337"/>
      <c r="D831" s="164"/>
      <c r="E831" s="337"/>
      <c r="F831" s="164"/>
      <c r="G831" s="337"/>
      <c r="H831" s="164"/>
      <c r="I831" s="365"/>
      <c r="J831" s="184"/>
      <c r="K831" s="365"/>
      <c r="L831" s="184"/>
      <c r="M831" s="337"/>
      <c r="N831" s="164"/>
      <c r="O831" s="337"/>
      <c r="P831" s="164"/>
      <c r="Q831" s="366"/>
      <c r="R831" s="366"/>
      <c r="S831" s="17"/>
      <c r="T831" s="17"/>
      <c r="U831" s="17"/>
      <c r="V831" s="17"/>
    </row>
    <row r="832">
      <c r="A832" s="337"/>
      <c r="B832" s="164"/>
      <c r="C832" s="337"/>
      <c r="D832" s="164"/>
      <c r="E832" s="337"/>
      <c r="F832" s="164"/>
      <c r="G832" s="337"/>
      <c r="H832" s="164"/>
      <c r="I832" s="365"/>
      <c r="J832" s="184"/>
      <c r="K832" s="365"/>
      <c r="L832" s="184"/>
      <c r="M832" s="337"/>
      <c r="N832" s="164"/>
      <c r="O832" s="337"/>
      <c r="P832" s="164"/>
      <c r="Q832" s="366"/>
      <c r="R832" s="366"/>
      <c r="S832" s="17"/>
      <c r="T832" s="17"/>
      <c r="U832" s="17"/>
      <c r="V832" s="17"/>
    </row>
    <row r="833">
      <c r="A833" s="337"/>
      <c r="B833" s="164"/>
      <c r="C833" s="337"/>
      <c r="D833" s="164"/>
      <c r="E833" s="337"/>
      <c r="F833" s="164"/>
      <c r="G833" s="337"/>
      <c r="H833" s="164"/>
      <c r="I833" s="365"/>
      <c r="J833" s="184"/>
      <c r="K833" s="365"/>
      <c r="L833" s="184"/>
      <c r="M833" s="337"/>
      <c r="N833" s="164"/>
      <c r="O833" s="337"/>
      <c r="P833" s="164"/>
      <c r="Q833" s="366"/>
      <c r="R833" s="366"/>
      <c r="S833" s="17"/>
      <c r="T833" s="17"/>
      <c r="U833" s="17"/>
      <c r="V833" s="17"/>
    </row>
    <row r="834">
      <c r="A834" s="337"/>
      <c r="B834" s="164"/>
      <c r="C834" s="337"/>
      <c r="D834" s="164"/>
      <c r="E834" s="337"/>
      <c r="F834" s="164"/>
      <c r="G834" s="337"/>
      <c r="H834" s="164"/>
      <c r="I834" s="365"/>
      <c r="J834" s="184"/>
      <c r="K834" s="365"/>
      <c r="L834" s="184"/>
      <c r="M834" s="337"/>
      <c r="N834" s="164"/>
      <c r="O834" s="337"/>
      <c r="P834" s="164"/>
      <c r="Q834" s="366"/>
      <c r="R834" s="366"/>
      <c r="S834" s="17"/>
      <c r="T834" s="17"/>
      <c r="U834" s="17"/>
      <c r="V834" s="17"/>
    </row>
    <row r="835">
      <c r="A835" s="337"/>
      <c r="B835" s="164"/>
      <c r="C835" s="337"/>
      <c r="D835" s="164"/>
      <c r="E835" s="337"/>
      <c r="F835" s="164"/>
      <c r="G835" s="337"/>
      <c r="H835" s="164"/>
      <c r="I835" s="365"/>
      <c r="J835" s="184"/>
      <c r="K835" s="365"/>
      <c r="L835" s="184"/>
      <c r="M835" s="337"/>
      <c r="N835" s="164"/>
      <c r="O835" s="337"/>
      <c r="P835" s="164"/>
      <c r="Q835" s="366"/>
      <c r="R835" s="366"/>
      <c r="S835" s="17"/>
      <c r="T835" s="17"/>
      <c r="U835" s="17"/>
      <c r="V835" s="17"/>
    </row>
    <row r="836">
      <c r="A836" s="337"/>
      <c r="B836" s="164"/>
      <c r="C836" s="337"/>
      <c r="D836" s="164"/>
      <c r="E836" s="337"/>
      <c r="F836" s="164"/>
      <c r="G836" s="337"/>
      <c r="H836" s="164"/>
      <c r="I836" s="365"/>
      <c r="J836" s="184"/>
      <c r="K836" s="365"/>
      <c r="L836" s="184"/>
      <c r="M836" s="337"/>
      <c r="N836" s="164"/>
      <c r="O836" s="337"/>
      <c r="P836" s="164"/>
      <c r="Q836" s="366"/>
      <c r="R836" s="366"/>
      <c r="S836" s="17"/>
      <c r="T836" s="17"/>
      <c r="U836" s="17"/>
      <c r="V836" s="17"/>
    </row>
    <row r="837">
      <c r="A837" s="337"/>
      <c r="B837" s="164"/>
      <c r="C837" s="337"/>
      <c r="D837" s="164"/>
      <c r="E837" s="337"/>
      <c r="F837" s="164"/>
      <c r="G837" s="337"/>
      <c r="H837" s="164"/>
      <c r="I837" s="365"/>
      <c r="J837" s="184"/>
      <c r="K837" s="365"/>
      <c r="L837" s="184"/>
      <c r="M837" s="337"/>
      <c r="N837" s="164"/>
      <c r="O837" s="337"/>
      <c r="P837" s="164"/>
      <c r="Q837" s="366"/>
      <c r="R837" s="366"/>
      <c r="S837" s="17"/>
      <c r="T837" s="17"/>
      <c r="U837" s="17"/>
      <c r="V837" s="17"/>
    </row>
    <row r="838">
      <c r="A838" s="337"/>
      <c r="B838" s="164"/>
      <c r="C838" s="337"/>
      <c r="D838" s="164"/>
      <c r="E838" s="337"/>
      <c r="F838" s="164"/>
      <c r="G838" s="337"/>
      <c r="H838" s="164"/>
      <c r="I838" s="365"/>
      <c r="J838" s="184"/>
      <c r="K838" s="365"/>
      <c r="L838" s="184"/>
      <c r="M838" s="337"/>
      <c r="N838" s="164"/>
      <c r="O838" s="337"/>
      <c r="P838" s="164"/>
      <c r="Q838" s="366"/>
      <c r="R838" s="366"/>
      <c r="S838" s="17"/>
      <c r="T838" s="17"/>
      <c r="U838" s="17"/>
      <c r="V838" s="17"/>
    </row>
    <row r="839">
      <c r="A839" s="337"/>
      <c r="B839" s="164"/>
      <c r="C839" s="337"/>
      <c r="D839" s="164"/>
      <c r="E839" s="337"/>
      <c r="F839" s="164"/>
      <c r="G839" s="337"/>
      <c r="H839" s="164"/>
      <c r="I839" s="365"/>
      <c r="J839" s="184"/>
      <c r="K839" s="365"/>
      <c r="L839" s="184"/>
      <c r="M839" s="337"/>
      <c r="N839" s="164"/>
      <c r="O839" s="337"/>
      <c r="P839" s="164"/>
      <c r="Q839" s="366"/>
      <c r="R839" s="366"/>
      <c r="S839" s="17"/>
      <c r="T839" s="17"/>
      <c r="U839" s="17"/>
      <c r="V839" s="17"/>
    </row>
    <row r="840">
      <c r="A840" s="337"/>
      <c r="B840" s="164"/>
      <c r="C840" s="337"/>
      <c r="D840" s="164"/>
      <c r="E840" s="337"/>
      <c r="F840" s="164"/>
      <c r="G840" s="337"/>
      <c r="H840" s="164"/>
      <c r="I840" s="365"/>
      <c r="J840" s="184"/>
      <c r="K840" s="365"/>
      <c r="L840" s="184"/>
      <c r="M840" s="337"/>
      <c r="N840" s="164"/>
      <c r="O840" s="337"/>
      <c r="P840" s="164"/>
      <c r="Q840" s="366"/>
      <c r="R840" s="366"/>
      <c r="S840" s="17"/>
      <c r="T840" s="17"/>
      <c r="U840" s="17"/>
      <c r="V840" s="17"/>
    </row>
    <row r="841">
      <c r="A841" s="337"/>
      <c r="B841" s="164"/>
      <c r="C841" s="337"/>
      <c r="D841" s="164"/>
      <c r="E841" s="337"/>
      <c r="F841" s="164"/>
      <c r="G841" s="337"/>
      <c r="H841" s="164"/>
      <c r="I841" s="365"/>
      <c r="J841" s="184"/>
      <c r="K841" s="365"/>
      <c r="L841" s="184"/>
      <c r="M841" s="337"/>
      <c r="N841" s="164"/>
      <c r="O841" s="337"/>
      <c r="P841" s="164"/>
      <c r="Q841" s="366"/>
      <c r="R841" s="366"/>
      <c r="S841" s="17"/>
      <c r="T841" s="17"/>
      <c r="U841" s="17"/>
      <c r="V841" s="17"/>
    </row>
    <row r="842">
      <c r="A842" s="337"/>
      <c r="B842" s="164"/>
      <c r="C842" s="337"/>
      <c r="D842" s="164"/>
      <c r="E842" s="337"/>
      <c r="F842" s="164"/>
      <c r="G842" s="337"/>
      <c r="H842" s="164"/>
      <c r="I842" s="365"/>
      <c r="J842" s="184"/>
      <c r="K842" s="365"/>
      <c r="L842" s="184"/>
      <c r="M842" s="337"/>
      <c r="N842" s="164"/>
      <c r="O842" s="337"/>
      <c r="P842" s="164"/>
      <c r="Q842" s="366"/>
      <c r="R842" s="366"/>
      <c r="S842" s="17"/>
      <c r="T842" s="17"/>
      <c r="U842" s="17"/>
      <c r="V842" s="17"/>
    </row>
    <row r="843">
      <c r="A843" s="337"/>
      <c r="B843" s="164"/>
      <c r="C843" s="337"/>
      <c r="D843" s="164"/>
      <c r="E843" s="337"/>
      <c r="F843" s="164"/>
      <c r="G843" s="337"/>
      <c r="H843" s="164"/>
      <c r="I843" s="365"/>
      <c r="J843" s="184"/>
      <c r="K843" s="365"/>
      <c r="L843" s="184"/>
      <c r="M843" s="337"/>
      <c r="N843" s="164"/>
      <c r="O843" s="337"/>
      <c r="P843" s="164"/>
      <c r="Q843" s="366"/>
      <c r="R843" s="366"/>
      <c r="S843" s="17"/>
      <c r="T843" s="17"/>
      <c r="U843" s="17"/>
      <c r="V843" s="17"/>
    </row>
    <row r="844">
      <c r="A844" s="337"/>
      <c r="B844" s="164"/>
      <c r="C844" s="337"/>
      <c r="D844" s="164"/>
      <c r="E844" s="337"/>
      <c r="F844" s="164"/>
      <c r="G844" s="337"/>
      <c r="H844" s="164"/>
      <c r="I844" s="365"/>
      <c r="J844" s="184"/>
      <c r="K844" s="365"/>
      <c r="L844" s="184"/>
      <c r="M844" s="337"/>
      <c r="N844" s="164"/>
      <c r="O844" s="337"/>
      <c r="P844" s="164"/>
      <c r="Q844" s="366"/>
      <c r="R844" s="366"/>
      <c r="S844" s="17"/>
      <c r="T844" s="17"/>
      <c r="U844" s="17"/>
      <c r="V844" s="17"/>
    </row>
    <row r="845">
      <c r="A845" s="337"/>
      <c r="B845" s="164"/>
      <c r="C845" s="337"/>
      <c r="D845" s="164"/>
      <c r="E845" s="337"/>
      <c r="F845" s="164"/>
      <c r="G845" s="337"/>
      <c r="H845" s="164"/>
      <c r="I845" s="365"/>
      <c r="J845" s="184"/>
      <c r="K845" s="365"/>
      <c r="L845" s="184"/>
      <c r="M845" s="337"/>
      <c r="N845" s="164"/>
      <c r="O845" s="337"/>
      <c r="P845" s="164"/>
      <c r="Q845" s="366"/>
      <c r="R845" s="366"/>
      <c r="S845" s="17"/>
      <c r="T845" s="17"/>
      <c r="U845" s="17"/>
      <c r="V845" s="17"/>
    </row>
    <row r="846">
      <c r="A846" s="337"/>
      <c r="B846" s="164"/>
      <c r="C846" s="337"/>
      <c r="D846" s="164"/>
      <c r="E846" s="337"/>
      <c r="F846" s="164"/>
      <c r="G846" s="337"/>
      <c r="H846" s="164"/>
      <c r="I846" s="365"/>
      <c r="J846" s="184"/>
      <c r="K846" s="365"/>
      <c r="L846" s="184"/>
      <c r="M846" s="337"/>
      <c r="N846" s="164"/>
      <c r="O846" s="337"/>
      <c r="P846" s="164"/>
      <c r="Q846" s="366"/>
      <c r="R846" s="366"/>
      <c r="S846" s="17"/>
      <c r="T846" s="17"/>
      <c r="U846" s="17"/>
      <c r="V846" s="17"/>
    </row>
    <row r="847">
      <c r="A847" s="337"/>
      <c r="B847" s="164"/>
      <c r="C847" s="337"/>
      <c r="D847" s="164"/>
      <c r="E847" s="337"/>
      <c r="F847" s="164"/>
      <c r="G847" s="337"/>
      <c r="H847" s="164"/>
      <c r="I847" s="365"/>
      <c r="J847" s="184"/>
      <c r="K847" s="365"/>
      <c r="L847" s="184"/>
      <c r="M847" s="337"/>
      <c r="N847" s="164"/>
      <c r="O847" s="337"/>
      <c r="P847" s="164"/>
      <c r="Q847" s="366"/>
      <c r="R847" s="366"/>
      <c r="S847" s="17"/>
      <c r="T847" s="17"/>
      <c r="U847" s="17"/>
      <c r="V847" s="17"/>
    </row>
    <row r="848">
      <c r="A848" s="337"/>
      <c r="B848" s="164"/>
      <c r="C848" s="337"/>
      <c r="D848" s="164"/>
      <c r="E848" s="337"/>
      <c r="F848" s="164"/>
      <c r="G848" s="337"/>
      <c r="H848" s="164"/>
      <c r="I848" s="365"/>
      <c r="J848" s="184"/>
      <c r="K848" s="365"/>
      <c r="L848" s="184"/>
      <c r="M848" s="337"/>
      <c r="N848" s="164"/>
      <c r="O848" s="337"/>
      <c r="P848" s="164"/>
      <c r="Q848" s="366"/>
      <c r="R848" s="366"/>
      <c r="S848" s="17"/>
      <c r="T848" s="17"/>
      <c r="U848" s="17"/>
      <c r="V848" s="17"/>
    </row>
    <row r="849">
      <c r="A849" s="337"/>
      <c r="B849" s="164"/>
      <c r="C849" s="337"/>
      <c r="D849" s="164"/>
      <c r="E849" s="337"/>
      <c r="F849" s="164"/>
      <c r="G849" s="337"/>
      <c r="H849" s="164"/>
      <c r="I849" s="365"/>
      <c r="J849" s="184"/>
      <c r="K849" s="365"/>
      <c r="L849" s="184"/>
      <c r="M849" s="337"/>
      <c r="N849" s="164"/>
      <c r="O849" s="337"/>
      <c r="P849" s="164"/>
      <c r="Q849" s="366"/>
      <c r="R849" s="366"/>
      <c r="S849" s="17"/>
      <c r="T849" s="17"/>
      <c r="U849" s="17"/>
      <c r="V849" s="17"/>
    </row>
    <row r="850">
      <c r="A850" s="337"/>
      <c r="B850" s="164"/>
      <c r="C850" s="337"/>
      <c r="D850" s="164"/>
      <c r="E850" s="337"/>
      <c r="F850" s="164"/>
      <c r="G850" s="337"/>
      <c r="H850" s="164"/>
      <c r="I850" s="365"/>
      <c r="J850" s="184"/>
      <c r="K850" s="365"/>
      <c r="L850" s="184"/>
      <c r="M850" s="337"/>
      <c r="N850" s="164"/>
      <c r="O850" s="337"/>
      <c r="P850" s="164"/>
      <c r="Q850" s="366"/>
      <c r="R850" s="366"/>
      <c r="S850" s="17"/>
      <c r="T850" s="17"/>
      <c r="U850" s="17"/>
      <c r="V850" s="17"/>
    </row>
    <row r="851">
      <c r="A851" s="337"/>
      <c r="B851" s="164"/>
      <c r="C851" s="337"/>
      <c r="D851" s="164"/>
      <c r="E851" s="337"/>
      <c r="F851" s="164"/>
      <c r="G851" s="337"/>
      <c r="H851" s="164"/>
      <c r="I851" s="365"/>
      <c r="J851" s="184"/>
      <c r="K851" s="365"/>
      <c r="L851" s="184"/>
      <c r="M851" s="337"/>
      <c r="N851" s="164"/>
      <c r="O851" s="337"/>
      <c r="P851" s="164"/>
      <c r="Q851" s="366"/>
      <c r="R851" s="366"/>
      <c r="S851" s="17"/>
      <c r="T851" s="17"/>
      <c r="U851" s="17"/>
      <c r="V851" s="17"/>
    </row>
    <row r="852">
      <c r="A852" s="337"/>
      <c r="B852" s="164"/>
      <c r="C852" s="337"/>
      <c r="D852" s="164"/>
      <c r="E852" s="337"/>
      <c r="F852" s="164"/>
      <c r="G852" s="337"/>
      <c r="H852" s="164"/>
      <c r="I852" s="365"/>
      <c r="J852" s="184"/>
      <c r="K852" s="365"/>
      <c r="L852" s="184"/>
      <c r="M852" s="337"/>
      <c r="N852" s="164"/>
      <c r="O852" s="337"/>
      <c r="P852" s="164"/>
      <c r="Q852" s="366"/>
      <c r="R852" s="366"/>
      <c r="S852" s="17"/>
      <c r="T852" s="17"/>
      <c r="U852" s="17"/>
      <c r="V852" s="17"/>
    </row>
    <row r="853">
      <c r="A853" s="337"/>
      <c r="B853" s="164"/>
      <c r="C853" s="337"/>
      <c r="D853" s="164"/>
      <c r="E853" s="337"/>
      <c r="F853" s="164"/>
      <c r="G853" s="337"/>
      <c r="H853" s="164"/>
      <c r="I853" s="365"/>
      <c r="J853" s="184"/>
      <c r="K853" s="365"/>
      <c r="L853" s="184"/>
      <c r="M853" s="337"/>
      <c r="N853" s="164"/>
      <c r="O853" s="337"/>
      <c r="P853" s="164"/>
      <c r="Q853" s="366"/>
      <c r="R853" s="366"/>
      <c r="S853" s="17"/>
      <c r="T853" s="17"/>
      <c r="U853" s="17"/>
      <c r="V853" s="17"/>
    </row>
    <row r="854">
      <c r="A854" s="337"/>
      <c r="B854" s="164"/>
      <c r="C854" s="337"/>
      <c r="D854" s="164"/>
      <c r="E854" s="337"/>
      <c r="F854" s="164"/>
      <c r="G854" s="337"/>
      <c r="H854" s="164"/>
      <c r="I854" s="365"/>
      <c r="J854" s="184"/>
      <c r="K854" s="365"/>
      <c r="L854" s="184"/>
      <c r="M854" s="337"/>
      <c r="N854" s="164"/>
      <c r="O854" s="337"/>
      <c r="P854" s="164"/>
      <c r="Q854" s="366"/>
      <c r="R854" s="366"/>
      <c r="S854" s="17"/>
      <c r="T854" s="17"/>
      <c r="U854" s="17"/>
      <c r="V854" s="17"/>
    </row>
    <row r="855">
      <c r="A855" s="337"/>
      <c r="B855" s="164"/>
      <c r="C855" s="337"/>
      <c r="D855" s="164"/>
      <c r="E855" s="337"/>
      <c r="F855" s="164"/>
      <c r="G855" s="337"/>
      <c r="H855" s="164"/>
      <c r="I855" s="365"/>
      <c r="J855" s="184"/>
      <c r="K855" s="365"/>
      <c r="L855" s="184"/>
      <c r="M855" s="337"/>
      <c r="N855" s="164"/>
      <c r="O855" s="337"/>
      <c r="P855" s="164"/>
      <c r="Q855" s="366"/>
      <c r="R855" s="366"/>
      <c r="S855" s="17"/>
      <c r="T855" s="17"/>
      <c r="U855" s="17"/>
      <c r="V855" s="17"/>
    </row>
    <row r="856">
      <c r="A856" s="337"/>
      <c r="B856" s="164"/>
      <c r="C856" s="337"/>
      <c r="D856" s="164"/>
      <c r="E856" s="337"/>
      <c r="F856" s="164"/>
      <c r="G856" s="337"/>
      <c r="H856" s="164"/>
      <c r="I856" s="365"/>
      <c r="J856" s="184"/>
      <c r="K856" s="365"/>
      <c r="L856" s="184"/>
      <c r="M856" s="337"/>
      <c r="N856" s="164"/>
      <c r="O856" s="337"/>
      <c r="P856" s="164"/>
      <c r="Q856" s="366"/>
      <c r="R856" s="366"/>
      <c r="S856" s="17"/>
      <c r="T856" s="17"/>
      <c r="U856" s="17"/>
      <c r="V856" s="17"/>
    </row>
    <row r="857">
      <c r="A857" s="337"/>
      <c r="B857" s="164"/>
      <c r="C857" s="337"/>
      <c r="D857" s="164"/>
      <c r="E857" s="337"/>
      <c r="F857" s="164"/>
      <c r="G857" s="337"/>
      <c r="H857" s="164"/>
      <c r="I857" s="365"/>
      <c r="J857" s="184"/>
      <c r="K857" s="365"/>
      <c r="L857" s="184"/>
      <c r="M857" s="337"/>
      <c r="N857" s="164"/>
      <c r="O857" s="337"/>
      <c r="P857" s="164"/>
      <c r="Q857" s="366"/>
      <c r="R857" s="366"/>
      <c r="S857" s="17"/>
      <c r="T857" s="17"/>
      <c r="U857" s="17"/>
      <c r="V857" s="17"/>
    </row>
    <row r="858">
      <c r="A858" s="337"/>
      <c r="B858" s="164"/>
      <c r="C858" s="337"/>
      <c r="D858" s="164"/>
      <c r="E858" s="337"/>
      <c r="F858" s="164"/>
      <c r="G858" s="337"/>
      <c r="H858" s="164"/>
      <c r="I858" s="365"/>
      <c r="J858" s="184"/>
      <c r="K858" s="365"/>
      <c r="L858" s="184"/>
      <c r="M858" s="337"/>
      <c r="N858" s="164"/>
      <c r="O858" s="337"/>
      <c r="P858" s="164"/>
      <c r="Q858" s="366"/>
      <c r="R858" s="366"/>
      <c r="S858" s="17"/>
      <c r="T858" s="17"/>
      <c r="U858" s="17"/>
      <c r="V858" s="17"/>
    </row>
    <row r="859">
      <c r="A859" s="337"/>
      <c r="B859" s="164"/>
      <c r="C859" s="337"/>
      <c r="D859" s="164"/>
      <c r="E859" s="337"/>
      <c r="F859" s="164"/>
      <c r="G859" s="337"/>
      <c r="H859" s="164"/>
      <c r="I859" s="365"/>
      <c r="J859" s="184"/>
      <c r="K859" s="365"/>
      <c r="L859" s="184"/>
      <c r="M859" s="337"/>
      <c r="N859" s="164"/>
      <c r="O859" s="337"/>
      <c r="P859" s="164"/>
      <c r="Q859" s="366"/>
      <c r="R859" s="366"/>
      <c r="S859" s="17"/>
      <c r="T859" s="17"/>
      <c r="U859" s="17"/>
      <c r="V859" s="17"/>
    </row>
    <row r="860">
      <c r="A860" s="337"/>
      <c r="B860" s="164"/>
      <c r="C860" s="337"/>
      <c r="D860" s="164"/>
      <c r="E860" s="337"/>
      <c r="F860" s="164"/>
      <c r="G860" s="337"/>
      <c r="H860" s="164"/>
      <c r="I860" s="365"/>
      <c r="J860" s="184"/>
      <c r="K860" s="365"/>
      <c r="L860" s="184"/>
      <c r="M860" s="337"/>
      <c r="N860" s="164"/>
      <c r="O860" s="337"/>
      <c r="P860" s="164"/>
      <c r="Q860" s="366"/>
      <c r="R860" s="366"/>
      <c r="S860" s="17"/>
      <c r="T860" s="17"/>
      <c r="U860" s="17"/>
      <c r="V860" s="17"/>
    </row>
    <row r="861">
      <c r="A861" s="337"/>
      <c r="B861" s="164"/>
      <c r="C861" s="337"/>
      <c r="D861" s="164"/>
      <c r="E861" s="337"/>
      <c r="F861" s="164"/>
      <c r="G861" s="337"/>
      <c r="H861" s="164"/>
      <c r="I861" s="365"/>
      <c r="J861" s="184"/>
      <c r="K861" s="365"/>
      <c r="L861" s="184"/>
      <c r="M861" s="337"/>
      <c r="N861" s="164"/>
      <c r="O861" s="337"/>
      <c r="P861" s="164"/>
      <c r="Q861" s="366"/>
      <c r="R861" s="366"/>
      <c r="S861" s="17"/>
      <c r="T861" s="17"/>
      <c r="U861" s="17"/>
      <c r="V861" s="17"/>
    </row>
    <row r="862">
      <c r="A862" s="337"/>
      <c r="B862" s="164"/>
      <c r="C862" s="337"/>
      <c r="D862" s="164"/>
      <c r="E862" s="337"/>
      <c r="F862" s="164"/>
      <c r="G862" s="337"/>
      <c r="H862" s="164"/>
      <c r="I862" s="365"/>
      <c r="J862" s="184"/>
      <c r="K862" s="365"/>
      <c r="L862" s="184"/>
      <c r="M862" s="337"/>
      <c r="N862" s="164"/>
      <c r="O862" s="337"/>
      <c r="P862" s="164"/>
      <c r="Q862" s="366"/>
      <c r="R862" s="366"/>
      <c r="S862" s="17"/>
      <c r="T862" s="17"/>
      <c r="U862" s="17"/>
      <c r="V862" s="17"/>
    </row>
    <row r="863">
      <c r="A863" s="337"/>
      <c r="B863" s="164"/>
      <c r="C863" s="337"/>
      <c r="D863" s="164"/>
      <c r="E863" s="337"/>
      <c r="F863" s="164"/>
      <c r="G863" s="337"/>
      <c r="H863" s="164"/>
      <c r="I863" s="365"/>
      <c r="J863" s="184"/>
      <c r="K863" s="365"/>
      <c r="L863" s="184"/>
      <c r="M863" s="337"/>
      <c r="N863" s="164"/>
      <c r="O863" s="337"/>
      <c r="P863" s="164"/>
      <c r="Q863" s="366"/>
      <c r="R863" s="366"/>
      <c r="S863" s="17"/>
      <c r="T863" s="17"/>
      <c r="U863" s="17"/>
      <c r="V863" s="17"/>
    </row>
    <row r="864">
      <c r="A864" s="337"/>
      <c r="B864" s="164"/>
      <c r="C864" s="337"/>
      <c r="D864" s="164"/>
      <c r="E864" s="337"/>
      <c r="F864" s="164"/>
      <c r="G864" s="337"/>
      <c r="H864" s="164"/>
      <c r="I864" s="365"/>
      <c r="J864" s="184"/>
      <c r="K864" s="365"/>
      <c r="L864" s="184"/>
      <c r="M864" s="337"/>
      <c r="N864" s="164"/>
      <c r="O864" s="337"/>
      <c r="P864" s="164"/>
      <c r="Q864" s="366"/>
      <c r="R864" s="366"/>
      <c r="S864" s="17"/>
      <c r="T864" s="17"/>
      <c r="U864" s="17"/>
      <c r="V864" s="17"/>
    </row>
    <row r="865">
      <c r="A865" s="337"/>
      <c r="B865" s="164"/>
      <c r="C865" s="337"/>
      <c r="D865" s="164"/>
      <c r="E865" s="337"/>
      <c r="F865" s="164"/>
      <c r="G865" s="337"/>
      <c r="H865" s="164"/>
      <c r="I865" s="365"/>
      <c r="J865" s="184"/>
      <c r="K865" s="365"/>
      <c r="L865" s="184"/>
      <c r="M865" s="337"/>
      <c r="N865" s="164"/>
      <c r="O865" s="337"/>
      <c r="P865" s="164"/>
      <c r="Q865" s="366"/>
      <c r="R865" s="366"/>
      <c r="S865" s="17"/>
      <c r="T865" s="17"/>
      <c r="U865" s="17"/>
      <c r="V865" s="17"/>
    </row>
    <row r="866">
      <c r="A866" s="337"/>
      <c r="B866" s="164"/>
      <c r="C866" s="337"/>
      <c r="D866" s="164"/>
      <c r="E866" s="337"/>
      <c r="F866" s="164"/>
      <c r="G866" s="337"/>
      <c r="H866" s="164"/>
      <c r="I866" s="365"/>
      <c r="J866" s="184"/>
      <c r="K866" s="365"/>
      <c r="L866" s="184"/>
      <c r="M866" s="337"/>
      <c r="N866" s="164"/>
      <c r="O866" s="337"/>
      <c r="P866" s="164"/>
      <c r="Q866" s="366"/>
      <c r="R866" s="366"/>
      <c r="S866" s="17"/>
      <c r="T866" s="17"/>
      <c r="U866" s="17"/>
      <c r="V866" s="17"/>
    </row>
    <row r="867">
      <c r="A867" s="337"/>
      <c r="B867" s="164"/>
      <c r="C867" s="337"/>
      <c r="D867" s="164"/>
      <c r="E867" s="337"/>
      <c r="F867" s="164"/>
      <c r="G867" s="337"/>
      <c r="H867" s="164"/>
      <c r="I867" s="365"/>
      <c r="J867" s="184"/>
      <c r="K867" s="365"/>
      <c r="L867" s="184"/>
      <c r="M867" s="337"/>
      <c r="N867" s="164"/>
      <c r="O867" s="337"/>
      <c r="P867" s="164"/>
      <c r="Q867" s="366"/>
      <c r="R867" s="366"/>
      <c r="S867" s="17"/>
      <c r="T867" s="17"/>
      <c r="U867" s="17"/>
      <c r="V867" s="17"/>
    </row>
    <row r="868">
      <c r="A868" s="337"/>
      <c r="B868" s="164"/>
      <c r="C868" s="337"/>
      <c r="D868" s="164"/>
      <c r="E868" s="337"/>
      <c r="F868" s="164"/>
      <c r="G868" s="337"/>
      <c r="H868" s="164"/>
      <c r="I868" s="365"/>
      <c r="J868" s="184"/>
      <c r="K868" s="365"/>
      <c r="L868" s="184"/>
      <c r="M868" s="337"/>
      <c r="N868" s="164"/>
      <c r="O868" s="337"/>
      <c r="P868" s="164"/>
      <c r="Q868" s="366"/>
      <c r="R868" s="366"/>
      <c r="S868" s="17"/>
      <c r="T868" s="17"/>
      <c r="U868" s="17"/>
      <c r="V868" s="17"/>
    </row>
    <row r="869">
      <c r="A869" s="337"/>
      <c r="B869" s="164"/>
      <c r="C869" s="337"/>
      <c r="D869" s="164"/>
      <c r="E869" s="337"/>
      <c r="F869" s="164"/>
      <c r="G869" s="337"/>
      <c r="H869" s="164"/>
      <c r="I869" s="365"/>
      <c r="J869" s="184"/>
      <c r="K869" s="365"/>
      <c r="L869" s="184"/>
      <c r="M869" s="337"/>
      <c r="N869" s="164"/>
      <c r="O869" s="337"/>
      <c r="P869" s="164"/>
      <c r="Q869" s="366"/>
      <c r="R869" s="366"/>
      <c r="S869" s="17"/>
      <c r="T869" s="17"/>
      <c r="U869" s="17"/>
      <c r="V869" s="17"/>
    </row>
    <row r="870">
      <c r="A870" s="337"/>
      <c r="B870" s="164"/>
      <c r="C870" s="337"/>
      <c r="D870" s="164"/>
      <c r="E870" s="337"/>
      <c r="F870" s="164"/>
      <c r="G870" s="337"/>
      <c r="H870" s="164"/>
      <c r="I870" s="365"/>
      <c r="J870" s="184"/>
      <c r="K870" s="365"/>
      <c r="L870" s="184"/>
      <c r="M870" s="337"/>
      <c r="N870" s="164"/>
      <c r="O870" s="337"/>
      <c r="P870" s="164"/>
      <c r="Q870" s="366"/>
      <c r="R870" s="366"/>
      <c r="S870" s="17"/>
      <c r="T870" s="17"/>
      <c r="U870" s="17"/>
      <c r="V870" s="17"/>
    </row>
    <row r="871">
      <c r="A871" s="337"/>
      <c r="B871" s="164"/>
      <c r="C871" s="337"/>
      <c r="D871" s="164"/>
      <c r="E871" s="337"/>
      <c r="F871" s="164"/>
      <c r="G871" s="337"/>
      <c r="H871" s="164"/>
      <c r="I871" s="365"/>
      <c r="J871" s="184"/>
      <c r="K871" s="365"/>
      <c r="L871" s="184"/>
      <c r="M871" s="337"/>
      <c r="N871" s="164"/>
      <c r="O871" s="337"/>
      <c r="P871" s="164"/>
      <c r="Q871" s="366"/>
      <c r="R871" s="366"/>
      <c r="S871" s="17"/>
      <c r="T871" s="17"/>
      <c r="U871" s="17"/>
      <c r="V871" s="17"/>
    </row>
    <row r="872">
      <c r="A872" s="337"/>
      <c r="B872" s="164"/>
      <c r="C872" s="337"/>
      <c r="D872" s="164"/>
      <c r="E872" s="337"/>
      <c r="F872" s="164"/>
      <c r="G872" s="337"/>
      <c r="H872" s="164"/>
      <c r="I872" s="365"/>
      <c r="J872" s="184"/>
      <c r="K872" s="365"/>
      <c r="L872" s="184"/>
      <c r="M872" s="337"/>
      <c r="N872" s="164"/>
      <c r="O872" s="337"/>
      <c r="P872" s="164"/>
      <c r="Q872" s="366"/>
      <c r="R872" s="366"/>
      <c r="S872" s="17"/>
      <c r="T872" s="17"/>
      <c r="U872" s="17"/>
      <c r="V872" s="17"/>
    </row>
    <row r="873">
      <c r="A873" s="337"/>
      <c r="B873" s="164"/>
      <c r="C873" s="337"/>
      <c r="D873" s="164"/>
      <c r="E873" s="337"/>
      <c r="F873" s="164"/>
      <c r="G873" s="337"/>
      <c r="H873" s="164"/>
      <c r="I873" s="365"/>
      <c r="J873" s="184"/>
      <c r="K873" s="365"/>
      <c r="L873" s="184"/>
      <c r="M873" s="337"/>
      <c r="N873" s="164"/>
      <c r="O873" s="337"/>
      <c r="P873" s="164"/>
      <c r="Q873" s="366"/>
      <c r="R873" s="366"/>
      <c r="S873" s="17"/>
      <c r="T873" s="17"/>
      <c r="U873" s="17"/>
      <c r="V873" s="17"/>
    </row>
    <row r="874">
      <c r="A874" s="337"/>
      <c r="B874" s="164"/>
      <c r="C874" s="337"/>
      <c r="D874" s="164"/>
      <c r="E874" s="337"/>
      <c r="F874" s="164"/>
      <c r="G874" s="337"/>
      <c r="H874" s="164"/>
      <c r="I874" s="365"/>
      <c r="J874" s="184"/>
      <c r="K874" s="365"/>
      <c r="L874" s="184"/>
      <c r="M874" s="337"/>
      <c r="N874" s="164"/>
      <c r="O874" s="337"/>
      <c r="P874" s="164"/>
      <c r="Q874" s="366"/>
      <c r="R874" s="366"/>
      <c r="S874" s="17"/>
      <c r="T874" s="17"/>
      <c r="U874" s="17"/>
      <c r="V874" s="17"/>
    </row>
    <row r="875">
      <c r="A875" s="337"/>
      <c r="B875" s="164"/>
      <c r="C875" s="337"/>
      <c r="D875" s="164"/>
      <c r="E875" s="337"/>
      <c r="F875" s="164"/>
      <c r="G875" s="337"/>
      <c r="H875" s="164"/>
      <c r="I875" s="365"/>
      <c r="J875" s="184"/>
      <c r="K875" s="365"/>
      <c r="L875" s="184"/>
      <c r="M875" s="337"/>
      <c r="N875" s="164"/>
      <c r="O875" s="337"/>
      <c r="P875" s="164"/>
      <c r="Q875" s="366"/>
      <c r="R875" s="366"/>
      <c r="S875" s="17"/>
      <c r="T875" s="17"/>
      <c r="U875" s="17"/>
      <c r="V875" s="17"/>
    </row>
    <row r="876">
      <c r="A876" s="337"/>
      <c r="B876" s="164"/>
      <c r="C876" s="337"/>
      <c r="D876" s="164"/>
      <c r="E876" s="337"/>
      <c r="F876" s="164"/>
      <c r="G876" s="337"/>
      <c r="H876" s="164"/>
      <c r="I876" s="365"/>
      <c r="J876" s="184"/>
      <c r="K876" s="365"/>
      <c r="L876" s="184"/>
      <c r="M876" s="337"/>
      <c r="N876" s="164"/>
      <c r="O876" s="337"/>
      <c r="P876" s="164"/>
      <c r="Q876" s="366"/>
      <c r="R876" s="366"/>
      <c r="S876" s="17"/>
      <c r="T876" s="17"/>
      <c r="U876" s="17"/>
      <c r="V876" s="17"/>
    </row>
    <row r="877">
      <c r="A877" s="337"/>
      <c r="B877" s="164"/>
      <c r="C877" s="337"/>
      <c r="D877" s="164"/>
      <c r="E877" s="337"/>
      <c r="F877" s="164"/>
      <c r="G877" s="337"/>
      <c r="H877" s="164"/>
      <c r="I877" s="365"/>
      <c r="J877" s="184"/>
      <c r="K877" s="365"/>
      <c r="L877" s="184"/>
      <c r="M877" s="337"/>
      <c r="N877" s="164"/>
      <c r="O877" s="337"/>
      <c r="P877" s="164"/>
      <c r="Q877" s="366"/>
      <c r="R877" s="366"/>
      <c r="S877" s="17"/>
      <c r="T877" s="17"/>
      <c r="U877" s="17"/>
      <c r="V877" s="17"/>
    </row>
    <row r="878">
      <c r="A878" s="337"/>
      <c r="B878" s="164"/>
      <c r="C878" s="337"/>
      <c r="D878" s="164"/>
      <c r="E878" s="337"/>
      <c r="F878" s="164"/>
      <c r="G878" s="337"/>
      <c r="H878" s="164"/>
      <c r="I878" s="365"/>
      <c r="J878" s="184"/>
      <c r="K878" s="365"/>
      <c r="L878" s="184"/>
      <c r="M878" s="337"/>
      <c r="N878" s="164"/>
      <c r="O878" s="337"/>
      <c r="P878" s="164"/>
      <c r="Q878" s="366"/>
      <c r="R878" s="366"/>
      <c r="S878" s="17"/>
      <c r="T878" s="17"/>
      <c r="U878" s="17"/>
      <c r="V878" s="17"/>
    </row>
    <row r="879">
      <c r="A879" s="337"/>
      <c r="B879" s="164"/>
      <c r="C879" s="337"/>
      <c r="D879" s="164"/>
      <c r="E879" s="337"/>
      <c r="F879" s="164"/>
      <c r="G879" s="337"/>
      <c r="H879" s="164"/>
      <c r="I879" s="365"/>
      <c r="J879" s="184"/>
      <c r="K879" s="365"/>
      <c r="L879" s="184"/>
      <c r="M879" s="337"/>
      <c r="N879" s="164"/>
      <c r="O879" s="337"/>
      <c r="P879" s="164"/>
      <c r="Q879" s="366"/>
      <c r="R879" s="366"/>
      <c r="S879" s="17"/>
      <c r="T879" s="17"/>
      <c r="U879" s="17"/>
      <c r="V879" s="17"/>
    </row>
    <row r="880">
      <c r="A880" s="337"/>
      <c r="B880" s="164"/>
      <c r="C880" s="337"/>
      <c r="D880" s="164"/>
      <c r="E880" s="337"/>
      <c r="F880" s="164"/>
      <c r="G880" s="337"/>
      <c r="H880" s="164"/>
      <c r="I880" s="365"/>
      <c r="J880" s="184"/>
      <c r="K880" s="365"/>
      <c r="L880" s="184"/>
      <c r="M880" s="337"/>
      <c r="N880" s="164"/>
      <c r="O880" s="337"/>
      <c r="P880" s="164"/>
      <c r="Q880" s="366"/>
      <c r="R880" s="366"/>
      <c r="S880" s="17"/>
      <c r="T880" s="17"/>
      <c r="U880" s="17"/>
      <c r="V880" s="17"/>
    </row>
    <row r="881">
      <c r="A881" s="337"/>
      <c r="B881" s="164"/>
      <c r="C881" s="337"/>
      <c r="D881" s="164"/>
      <c r="E881" s="337"/>
      <c r="F881" s="164"/>
      <c r="G881" s="337"/>
      <c r="H881" s="164"/>
      <c r="I881" s="365"/>
      <c r="J881" s="184"/>
      <c r="K881" s="365"/>
      <c r="L881" s="184"/>
      <c r="M881" s="337"/>
      <c r="N881" s="164"/>
      <c r="O881" s="337"/>
      <c r="P881" s="164"/>
      <c r="Q881" s="366"/>
      <c r="R881" s="366"/>
      <c r="S881" s="17"/>
      <c r="T881" s="17"/>
      <c r="U881" s="17"/>
      <c r="V881" s="17"/>
    </row>
    <row r="882">
      <c r="A882" s="337"/>
      <c r="B882" s="164"/>
      <c r="C882" s="337"/>
      <c r="D882" s="164"/>
      <c r="E882" s="337"/>
      <c r="F882" s="164"/>
      <c r="G882" s="337"/>
      <c r="H882" s="164"/>
      <c r="I882" s="365"/>
      <c r="J882" s="184"/>
      <c r="K882" s="365"/>
      <c r="L882" s="184"/>
      <c r="M882" s="337"/>
      <c r="N882" s="164"/>
      <c r="O882" s="337"/>
      <c r="P882" s="164"/>
      <c r="Q882" s="366"/>
      <c r="R882" s="366"/>
      <c r="S882" s="17"/>
      <c r="T882" s="17"/>
      <c r="U882" s="17"/>
      <c r="V882" s="17"/>
    </row>
    <row r="883">
      <c r="A883" s="337"/>
      <c r="B883" s="164"/>
      <c r="C883" s="337"/>
      <c r="D883" s="164"/>
      <c r="E883" s="337"/>
      <c r="F883" s="164"/>
      <c r="G883" s="337"/>
      <c r="H883" s="164"/>
      <c r="I883" s="365"/>
      <c r="J883" s="184"/>
      <c r="K883" s="365"/>
      <c r="L883" s="184"/>
      <c r="M883" s="337"/>
      <c r="N883" s="164"/>
      <c r="O883" s="337"/>
      <c r="P883" s="164"/>
      <c r="Q883" s="366"/>
      <c r="R883" s="366"/>
      <c r="S883" s="17"/>
      <c r="T883" s="17"/>
      <c r="U883" s="17"/>
      <c r="V883" s="17"/>
    </row>
    <row r="884">
      <c r="A884" s="337"/>
      <c r="B884" s="164"/>
      <c r="C884" s="337"/>
      <c r="D884" s="164"/>
      <c r="E884" s="337"/>
      <c r="F884" s="164"/>
      <c r="G884" s="337"/>
      <c r="H884" s="164"/>
      <c r="I884" s="365"/>
      <c r="J884" s="184"/>
      <c r="K884" s="365"/>
      <c r="L884" s="184"/>
      <c r="M884" s="337"/>
      <c r="N884" s="164"/>
      <c r="O884" s="337"/>
      <c r="P884" s="164"/>
      <c r="Q884" s="366"/>
      <c r="R884" s="366"/>
      <c r="S884" s="17"/>
      <c r="T884" s="17"/>
      <c r="U884" s="17"/>
      <c r="V884" s="17"/>
    </row>
    <row r="885">
      <c r="A885" s="337"/>
      <c r="B885" s="164"/>
      <c r="C885" s="337"/>
      <c r="D885" s="164"/>
      <c r="E885" s="337"/>
      <c r="F885" s="164"/>
      <c r="G885" s="337"/>
      <c r="H885" s="164"/>
      <c r="I885" s="365"/>
      <c r="J885" s="184"/>
      <c r="K885" s="365"/>
      <c r="L885" s="184"/>
      <c r="M885" s="337"/>
      <c r="N885" s="164"/>
      <c r="O885" s="337"/>
      <c r="P885" s="164"/>
      <c r="Q885" s="366"/>
      <c r="R885" s="366"/>
      <c r="S885" s="17"/>
      <c r="T885" s="17"/>
      <c r="U885" s="17"/>
      <c r="V885" s="17"/>
    </row>
    <row r="886">
      <c r="A886" s="337"/>
      <c r="B886" s="164"/>
      <c r="C886" s="337"/>
      <c r="D886" s="164"/>
      <c r="E886" s="337"/>
      <c r="F886" s="164"/>
      <c r="G886" s="337"/>
      <c r="H886" s="164"/>
      <c r="I886" s="365"/>
      <c r="J886" s="184"/>
      <c r="K886" s="365"/>
      <c r="L886" s="184"/>
      <c r="M886" s="337"/>
      <c r="N886" s="164"/>
      <c r="O886" s="337"/>
      <c r="P886" s="164"/>
      <c r="Q886" s="366"/>
      <c r="R886" s="366"/>
      <c r="S886" s="17"/>
      <c r="T886" s="17"/>
      <c r="U886" s="17"/>
      <c r="V886" s="17"/>
    </row>
    <row r="887">
      <c r="A887" s="337"/>
      <c r="B887" s="164"/>
      <c r="C887" s="337"/>
      <c r="D887" s="164"/>
      <c r="E887" s="337"/>
      <c r="F887" s="164"/>
      <c r="G887" s="337"/>
      <c r="H887" s="164"/>
      <c r="I887" s="365"/>
      <c r="J887" s="184"/>
      <c r="K887" s="365"/>
      <c r="L887" s="184"/>
      <c r="M887" s="337"/>
      <c r="N887" s="164"/>
      <c r="O887" s="337"/>
      <c r="P887" s="164"/>
      <c r="Q887" s="366"/>
      <c r="R887" s="366"/>
      <c r="S887" s="17"/>
      <c r="T887" s="17"/>
      <c r="U887" s="17"/>
      <c r="V887" s="17"/>
    </row>
    <row r="888">
      <c r="A888" s="337"/>
      <c r="B888" s="164"/>
      <c r="C888" s="337"/>
      <c r="D888" s="164"/>
      <c r="E888" s="337"/>
      <c r="F888" s="164"/>
      <c r="G888" s="337"/>
      <c r="H888" s="164"/>
      <c r="I888" s="365"/>
      <c r="J888" s="184"/>
      <c r="K888" s="365"/>
      <c r="L888" s="184"/>
      <c r="M888" s="337"/>
      <c r="N888" s="164"/>
      <c r="O888" s="337"/>
      <c r="P888" s="164"/>
      <c r="Q888" s="366"/>
      <c r="R888" s="366"/>
      <c r="S888" s="17"/>
      <c r="T888" s="17"/>
      <c r="U888" s="17"/>
      <c r="V888" s="17"/>
    </row>
    <row r="889">
      <c r="A889" s="337"/>
      <c r="B889" s="164"/>
      <c r="C889" s="337"/>
      <c r="D889" s="164"/>
      <c r="E889" s="337"/>
      <c r="F889" s="164"/>
      <c r="G889" s="337"/>
      <c r="H889" s="164"/>
      <c r="I889" s="365"/>
      <c r="J889" s="184"/>
      <c r="K889" s="365"/>
      <c r="L889" s="184"/>
      <c r="M889" s="337"/>
      <c r="N889" s="164"/>
      <c r="O889" s="337"/>
      <c r="P889" s="164"/>
      <c r="Q889" s="366"/>
      <c r="R889" s="366"/>
      <c r="S889" s="17"/>
      <c r="T889" s="17"/>
      <c r="U889" s="17"/>
      <c r="V889" s="17"/>
    </row>
    <row r="890">
      <c r="A890" s="337"/>
      <c r="B890" s="164"/>
      <c r="C890" s="337"/>
      <c r="D890" s="164"/>
      <c r="E890" s="337"/>
      <c r="F890" s="164"/>
      <c r="G890" s="337"/>
      <c r="H890" s="164"/>
      <c r="I890" s="365"/>
      <c r="J890" s="184"/>
      <c r="K890" s="365"/>
      <c r="L890" s="184"/>
      <c r="M890" s="337"/>
      <c r="N890" s="164"/>
      <c r="O890" s="337"/>
      <c r="P890" s="164"/>
      <c r="Q890" s="366"/>
      <c r="R890" s="366"/>
      <c r="S890" s="17"/>
      <c r="T890" s="17"/>
      <c r="U890" s="17"/>
      <c r="V890" s="17"/>
    </row>
    <row r="891">
      <c r="A891" s="337"/>
      <c r="B891" s="164"/>
      <c r="C891" s="337"/>
      <c r="D891" s="164"/>
      <c r="E891" s="337"/>
      <c r="F891" s="164"/>
      <c r="G891" s="337"/>
      <c r="H891" s="164"/>
      <c r="I891" s="365"/>
      <c r="J891" s="184"/>
      <c r="K891" s="365"/>
      <c r="L891" s="184"/>
      <c r="M891" s="337"/>
      <c r="N891" s="164"/>
      <c r="O891" s="337"/>
      <c r="P891" s="164"/>
      <c r="Q891" s="366"/>
      <c r="R891" s="366"/>
      <c r="S891" s="17"/>
      <c r="T891" s="17"/>
      <c r="U891" s="17"/>
      <c r="V891" s="17"/>
    </row>
    <row r="892">
      <c r="A892" s="337"/>
      <c r="B892" s="164"/>
      <c r="C892" s="337"/>
      <c r="D892" s="164"/>
      <c r="E892" s="337"/>
      <c r="F892" s="164"/>
      <c r="G892" s="337"/>
      <c r="H892" s="164"/>
      <c r="I892" s="365"/>
      <c r="J892" s="184"/>
      <c r="K892" s="365"/>
      <c r="L892" s="184"/>
      <c r="M892" s="337"/>
      <c r="N892" s="164"/>
      <c r="O892" s="337"/>
      <c r="P892" s="164"/>
      <c r="Q892" s="366"/>
      <c r="R892" s="366"/>
      <c r="S892" s="17"/>
      <c r="T892" s="17"/>
      <c r="U892" s="17"/>
      <c r="V892" s="17"/>
    </row>
    <row r="893">
      <c r="A893" s="337"/>
      <c r="B893" s="164"/>
      <c r="C893" s="337"/>
      <c r="D893" s="164"/>
      <c r="E893" s="337"/>
      <c r="F893" s="164"/>
      <c r="G893" s="337"/>
      <c r="H893" s="164"/>
      <c r="I893" s="365"/>
      <c r="J893" s="184"/>
      <c r="K893" s="365"/>
      <c r="L893" s="184"/>
      <c r="M893" s="337"/>
      <c r="N893" s="164"/>
      <c r="O893" s="337"/>
      <c r="P893" s="164"/>
      <c r="Q893" s="366"/>
      <c r="R893" s="366"/>
      <c r="S893" s="17"/>
      <c r="T893" s="17"/>
      <c r="U893" s="17"/>
      <c r="V893" s="17"/>
    </row>
    <row r="894">
      <c r="A894" s="337"/>
      <c r="B894" s="164"/>
      <c r="C894" s="337"/>
      <c r="D894" s="164"/>
      <c r="E894" s="337"/>
      <c r="F894" s="164"/>
      <c r="G894" s="337"/>
      <c r="H894" s="164"/>
      <c r="I894" s="365"/>
      <c r="J894" s="184"/>
      <c r="K894" s="365"/>
      <c r="L894" s="184"/>
      <c r="M894" s="337"/>
      <c r="N894" s="164"/>
      <c r="O894" s="337"/>
      <c r="P894" s="164"/>
      <c r="Q894" s="366"/>
      <c r="R894" s="366"/>
      <c r="S894" s="17"/>
      <c r="T894" s="17"/>
      <c r="U894" s="17"/>
      <c r="V894" s="17"/>
    </row>
    <row r="895">
      <c r="A895" s="337"/>
      <c r="B895" s="164"/>
      <c r="C895" s="337"/>
      <c r="D895" s="164"/>
      <c r="E895" s="337"/>
      <c r="F895" s="164"/>
      <c r="G895" s="337"/>
      <c r="H895" s="164"/>
      <c r="I895" s="365"/>
      <c r="J895" s="184"/>
      <c r="K895" s="365"/>
      <c r="L895" s="184"/>
      <c r="M895" s="337"/>
      <c r="N895" s="164"/>
      <c r="O895" s="337"/>
      <c r="P895" s="164"/>
      <c r="Q895" s="366"/>
      <c r="R895" s="366"/>
      <c r="S895" s="17"/>
      <c r="T895" s="17"/>
      <c r="U895" s="17"/>
      <c r="V895" s="17"/>
    </row>
    <row r="896">
      <c r="A896" s="337"/>
      <c r="B896" s="164"/>
      <c r="C896" s="337"/>
      <c r="D896" s="164"/>
      <c r="E896" s="337"/>
      <c r="F896" s="164"/>
      <c r="G896" s="337"/>
      <c r="H896" s="164"/>
      <c r="I896" s="365"/>
      <c r="J896" s="184"/>
      <c r="K896" s="365"/>
      <c r="L896" s="184"/>
      <c r="M896" s="337"/>
      <c r="N896" s="164"/>
      <c r="O896" s="337"/>
      <c r="P896" s="164"/>
      <c r="Q896" s="366"/>
      <c r="R896" s="366"/>
      <c r="S896" s="17"/>
      <c r="T896" s="17"/>
      <c r="U896" s="17"/>
      <c r="V896" s="17"/>
    </row>
    <row r="897">
      <c r="A897" s="337"/>
      <c r="B897" s="164"/>
      <c r="C897" s="337"/>
      <c r="D897" s="164"/>
      <c r="E897" s="337"/>
      <c r="F897" s="164"/>
      <c r="G897" s="337"/>
      <c r="H897" s="164"/>
      <c r="I897" s="365"/>
      <c r="J897" s="184"/>
      <c r="K897" s="365"/>
      <c r="L897" s="184"/>
      <c r="M897" s="337"/>
      <c r="N897" s="164"/>
      <c r="O897" s="337"/>
      <c r="P897" s="164"/>
      <c r="Q897" s="366"/>
      <c r="R897" s="366"/>
      <c r="S897" s="17"/>
      <c r="T897" s="17"/>
      <c r="U897" s="17"/>
      <c r="V897" s="17"/>
    </row>
    <row r="898">
      <c r="A898" s="337"/>
      <c r="B898" s="164"/>
      <c r="C898" s="337"/>
      <c r="D898" s="164"/>
      <c r="E898" s="337"/>
      <c r="F898" s="164"/>
      <c r="G898" s="337"/>
      <c r="H898" s="164"/>
      <c r="I898" s="365"/>
      <c r="J898" s="184"/>
      <c r="K898" s="365"/>
      <c r="L898" s="184"/>
      <c r="M898" s="337"/>
      <c r="N898" s="164"/>
      <c r="O898" s="337"/>
      <c r="P898" s="164"/>
      <c r="Q898" s="366"/>
      <c r="R898" s="366"/>
      <c r="S898" s="17"/>
      <c r="T898" s="17"/>
      <c r="U898" s="17"/>
      <c r="V898" s="17"/>
    </row>
    <row r="899">
      <c r="A899" s="337"/>
      <c r="B899" s="164"/>
      <c r="C899" s="337"/>
      <c r="D899" s="164"/>
      <c r="E899" s="337"/>
      <c r="F899" s="164"/>
      <c r="G899" s="337"/>
      <c r="H899" s="164"/>
      <c r="I899" s="365"/>
      <c r="J899" s="184"/>
      <c r="K899" s="365"/>
      <c r="L899" s="184"/>
      <c r="M899" s="337"/>
      <c r="N899" s="164"/>
      <c r="O899" s="337"/>
      <c r="P899" s="164"/>
      <c r="Q899" s="366"/>
      <c r="R899" s="366"/>
      <c r="S899" s="17"/>
      <c r="T899" s="17"/>
      <c r="U899" s="17"/>
      <c r="V899" s="17"/>
    </row>
    <row r="900">
      <c r="A900" s="337"/>
      <c r="B900" s="164"/>
      <c r="C900" s="337"/>
      <c r="D900" s="164"/>
      <c r="E900" s="337"/>
      <c r="F900" s="164"/>
      <c r="G900" s="337"/>
      <c r="H900" s="164"/>
      <c r="I900" s="365"/>
      <c r="J900" s="184"/>
      <c r="K900" s="365"/>
      <c r="L900" s="184"/>
      <c r="M900" s="337"/>
      <c r="N900" s="164"/>
      <c r="O900" s="337"/>
      <c r="P900" s="164"/>
      <c r="Q900" s="366"/>
      <c r="R900" s="366"/>
      <c r="S900" s="17"/>
      <c r="T900" s="17"/>
      <c r="U900" s="17"/>
      <c r="V900" s="17"/>
    </row>
    <row r="901">
      <c r="A901" s="337"/>
      <c r="B901" s="164"/>
      <c r="C901" s="337"/>
      <c r="D901" s="164"/>
      <c r="E901" s="337"/>
      <c r="F901" s="164"/>
      <c r="G901" s="337"/>
      <c r="H901" s="164"/>
      <c r="I901" s="365"/>
      <c r="J901" s="184"/>
      <c r="K901" s="365"/>
      <c r="L901" s="184"/>
      <c r="M901" s="337"/>
      <c r="N901" s="164"/>
      <c r="O901" s="337"/>
      <c r="P901" s="164"/>
      <c r="Q901" s="366"/>
      <c r="R901" s="366"/>
      <c r="S901" s="17"/>
      <c r="T901" s="17"/>
      <c r="U901" s="17"/>
      <c r="V901" s="17"/>
    </row>
    <row r="902">
      <c r="A902" s="337"/>
      <c r="B902" s="164"/>
      <c r="C902" s="337"/>
      <c r="D902" s="164"/>
      <c r="E902" s="337"/>
      <c r="F902" s="164"/>
      <c r="G902" s="337"/>
      <c r="H902" s="164"/>
      <c r="I902" s="365"/>
      <c r="J902" s="184"/>
      <c r="K902" s="365"/>
      <c r="L902" s="184"/>
      <c r="M902" s="337"/>
      <c r="N902" s="164"/>
      <c r="O902" s="337"/>
      <c r="P902" s="164"/>
      <c r="Q902" s="366"/>
      <c r="R902" s="366"/>
      <c r="S902" s="17"/>
      <c r="T902" s="17"/>
      <c r="U902" s="17"/>
      <c r="V902" s="17"/>
    </row>
    <row r="903">
      <c r="A903" s="337"/>
      <c r="B903" s="164"/>
      <c r="C903" s="337"/>
      <c r="D903" s="164"/>
      <c r="E903" s="337"/>
      <c r="F903" s="164"/>
      <c r="G903" s="337"/>
      <c r="H903" s="164"/>
      <c r="I903" s="365"/>
      <c r="J903" s="184"/>
      <c r="K903" s="365"/>
      <c r="L903" s="184"/>
      <c r="M903" s="337"/>
      <c r="N903" s="164"/>
      <c r="O903" s="337"/>
      <c r="P903" s="164"/>
      <c r="Q903" s="366"/>
      <c r="R903" s="366"/>
      <c r="S903" s="17"/>
      <c r="T903" s="17"/>
      <c r="U903" s="17"/>
      <c r="V903" s="17"/>
    </row>
    <row r="904">
      <c r="A904" s="337"/>
      <c r="B904" s="164"/>
      <c r="C904" s="337"/>
      <c r="D904" s="164"/>
      <c r="E904" s="337"/>
      <c r="F904" s="164"/>
      <c r="G904" s="337"/>
      <c r="H904" s="164"/>
      <c r="I904" s="365"/>
      <c r="J904" s="184"/>
      <c r="K904" s="365"/>
      <c r="L904" s="184"/>
      <c r="M904" s="337"/>
      <c r="N904" s="164"/>
      <c r="O904" s="337"/>
      <c r="P904" s="164"/>
      <c r="Q904" s="366"/>
      <c r="R904" s="366"/>
      <c r="S904" s="17"/>
      <c r="T904" s="17"/>
      <c r="U904" s="17"/>
      <c r="V904" s="17"/>
    </row>
    <row r="905">
      <c r="A905" s="337"/>
      <c r="B905" s="164"/>
      <c r="C905" s="337"/>
      <c r="D905" s="164"/>
      <c r="E905" s="337"/>
      <c r="F905" s="164"/>
      <c r="G905" s="337"/>
      <c r="H905" s="164"/>
      <c r="I905" s="365"/>
      <c r="J905" s="184"/>
      <c r="K905" s="365"/>
      <c r="L905" s="184"/>
      <c r="M905" s="337"/>
      <c r="N905" s="164"/>
      <c r="O905" s="337"/>
      <c r="P905" s="164"/>
      <c r="Q905" s="366"/>
      <c r="R905" s="366"/>
      <c r="S905" s="17"/>
      <c r="T905" s="17"/>
      <c r="U905" s="17"/>
      <c r="V905" s="17"/>
    </row>
    <row r="906">
      <c r="A906" s="337"/>
      <c r="B906" s="164"/>
      <c r="C906" s="337"/>
      <c r="D906" s="164"/>
      <c r="E906" s="337"/>
      <c r="F906" s="164"/>
      <c r="G906" s="337"/>
      <c r="H906" s="164"/>
      <c r="I906" s="365"/>
      <c r="J906" s="184"/>
      <c r="K906" s="365"/>
      <c r="L906" s="184"/>
      <c r="M906" s="337"/>
      <c r="N906" s="164"/>
      <c r="O906" s="337"/>
      <c r="P906" s="164"/>
      <c r="Q906" s="366"/>
      <c r="R906" s="366"/>
      <c r="S906" s="17"/>
      <c r="T906" s="17"/>
      <c r="U906" s="17"/>
      <c r="V906" s="17"/>
    </row>
    <row r="907">
      <c r="A907" s="337"/>
      <c r="B907" s="164"/>
      <c r="C907" s="337"/>
      <c r="D907" s="164"/>
      <c r="E907" s="337"/>
      <c r="F907" s="164"/>
      <c r="G907" s="337"/>
      <c r="H907" s="164"/>
      <c r="I907" s="365"/>
      <c r="J907" s="184"/>
      <c r="K907" s="365"/>
      <c r="L907" s="184"/>
      <c r="M907" s="337"/>
      <c r="N907" s="164"/>
      <c r="O907" s="337"/>
      <c r="P907" s="164"/>
      <c r="Q907" s="366"/>
      <c r="R907" s="366"/>
      <c r="S907" s="17"/>
      <c r="T907" s="17"/>
      <c r="U907" s="17"/>
      <c r="V907" s="17"/>
    </row>
    <row r="908">
      <c r="A908" s="337"/>
      <c r="B908" s="164"/>
      <c r="C908" s="337"/>
      <c r="D908" s="164"/>
      <c r="E908" s="337"/>
      <c r="F908" s="164"/>
      <c r="G908" s="337"/>
      <c r="H908" s="164"/>
      <c r="I908" s="365"/>
      <c r="J908" s="184"/>
      <c r="K908" s="365"/>
      <c r="L908" s="184"/>
      <c r="M908" s="337"/>
      <c r="N908" s="164"/>
      <c r="O908" s="337"/>
      <c r="P908" s="164"/>
      <c r="Q908" s="366"/>
      <c r="R908" s="366"/>
      <c r="S908" s="17"/>
      <c r="T908" s="17"/>
      <c r="U908" s="17"/>
      <c r="V908" s="17"/>
    </row>
    <row r="909">
      <c r="A909" s="337"/>
      <c r="B909" s="164"/>
      <c r="C909" s="337"/>
      <c r="D909" s="164"/>
      <c r="E909" s="337"/>
      <c r="F909" s="164"/>
      <c r="G909" s="337"/>
      <c r="H909" s="164"/>
      <c r="I909" s="365"/>
      <c r="J909" s="184"/>
      <c r="K909" s="365"/>
      <c r="L909" s="184"/>
      <c r="M909" s="337"/>
      <c r="N909" s="164"/>
      <c r="O909" s="337"/>
      <c r="P909" s="164"/>
      <c r="Q909" s="366"/>
      <c r="R909" s="366"/>
      <c r="S909" s="17"/>
      <c r="T909" s="17"/>
      <c r="U909" s="17"/>
      <c r="V909" s="17"/>
    </row>
    <row r="910">
      <c r="A910" s="337"/>
      <c r="B910" s="164"/>
      <c r="C910" s="337"/>
      <c r="D910" s="164"/>
      <c r="E910" s="337"/>
      <c r="F910" s="164"/>
      <c r="G910" s="337"/>
      <c r="H910" s="164"/>
      <c r="I910" s="365"/>
      <c r="J910" s="184"/>
      <c r="K910" s="365"/>
      <c r="L910" s="184"/>
      <c r="M910" s="337"/>
      <c r="N910" s="164"/>
      <c r="O910" s="337"/>
      <c r="P910" s="164"/>
      <c r="Q910" s="366"/>
      <c r="R910" s="366"/>
      <c r="S910" s="17"/>
      <c r="T910" s="17"/>
      <c r="U910" s="17"/>
      <c r="V910" s="17"/>
    </row>
    <row r="911">
      <c r="A911" s="337"/>
      <c r="B911" s="164"/>
      <c r="C911" s="337"/>
      <c r="D911" s="164"/>
      <c r="E911" s="337"/>
      <c r="F911" s="164"/>
      <c r="G911" s="337"/>
      <c r="H911" s="164"/>
      <c r="I911" s="365"/>
      <c r="J911" s="184"/>
      <c r="K911" s="365"/>
      <c r="L911" s="184"/>
      <c r="M911" s="337"/>
      <c r="N911" s="164"/>
      <c r="O911" s="337"/>
      <c r="P911" s="164"/>
      <c r="Q911" s="366"/>
      <c r="R911" s="366"/>
      <c r="S911" s="17"/>
      <c r="T911" s="17"/>
      <c r="U911" s="17"/>
      <c r="V911" s="17"/>
    </row>
    <row r="912">
      <c r="A912" s="337"/>
      <c r="B912" s="164"/>
      <c r="C912" s="337"/>
      <c r="D912" s="164"/>
      <c r="E912" s="337"/>
      <c r="F912" s="164"/>
      <c r="G912" s="337"/>
      <c r="H912" s="164"/>
      <c r="I912" s="365"/>
      <c r="J912" s="184"/>
      <c r="K912" s="365"/>
      <c r="L912" s="184"/>
      <c r="M912" s="337"/>
      <c r="N912" s="164"/>
      <c r="O912" s="337"/>
      <c r="P912" s="164"/>
      <c r="Q912" s="366"/>
      <c r="R912" s="366"/>
      <c r="S912" s="17"/>
      <c r="T912" s="17"/>
      <c r="U912" s="17"/>
      <c r="V912" s="17"/>
    </row>
    <row r="913">
      <c r="A913" s="337"/>
      <c r="B913" s="164"/>
      <c r="C913" s="337"/>
      <c r="D913" s="164"/>
      <c r="E913" s="337"/>
      <c r="F913" s="164"/>
      <c r="G913" s="337"/>
      <c r="H913" s="164"/>
      <c r="I913" s="365"/>
      <c r="J913" s="184"/>
      <c r="K913" s="365"/>
      <c r="L913" s="184"/>
      <c r="M913" s="337"/>
      <c r="N913" s="164"/>
      <c r="O913" s="337"/>
      <c r="P913" s="164"/>
      <c r="Q913" s="366"/>
      <c r="R913" s="366"/>
      <c r="S913" s="17"/>
      <c r="T913" s="17"/>
      <c r="U913" s="17"/>
      <c r="V913" s="17"/>
    </row>
    <row r="914">
      <c r="A914" s="337"/>
      <c r="B914" s="164"/>
      <c r="C914" s="337"/>
      <c r="D914" s="164"/>
      <c r="E914" s="337"/>
      <c r="F914" s="164"/>
      <c r="G914" s="337"/>
      <c r="H914" s="164"/>
      <c r="I914" s="365"/>
      <c r="J914" s="184"/>
      <c r="K914" s="365"/>
      <c r="L914" s="184"/>
      <c r="M914" s="337"/>
      <c r="N914" s="164"/>
      <c r="O914" s="337"/>
      <c r="P914" s="164"/>
      <c r="Q914" s="366"/>
      <c r="R914" s="366"/>
      <c r="S914" s="17"/>
      <c r="T914" s="17"/>
      <c r="U914" s="17"/>
      <c r="V914" s="17"/>
    </row>
    <row r="915">
      <c r="A915" s="337"/>
      <c r="B915" s="164"/>
      <c r="C915" s="337"/>
      <c r="D915" s="164"/>
      <c r="E915" s="337"/>
      <c r="F915" s="164"/>
      <c r="G915" s="337"/>
      <c r="H915" s="164"/>
      <c r="I915" s="365"/>
      <c r="J915" s="184"/>
      <c r="K915" s="365"/>
      <c r="L915" s="184"/>
      <c r="M915" s="337"/>
      <c r="N915" s="164"/>
      <c r="O915" s="337"/>
      <c r="P915" s="164"/>
      <c r="Q915" s="366"/>
      <c r="R915" s="366"/>
      <c r="S915" s="17"/>
      <c r="T915" s="17"/>
      <c r="U915" s="17"/>
      <c r="V915" s="17"/>
    </row>
    <row r="916">
      <c r="A916" s="337"/>
      <c r="B916" s="164"/>
      <c r="C916" s="337"/>
      <c r="D916" s="164"/>
      <c r="E916" s="337"/>
      <c r="F916" s="164"/>
      <c r="G916" s="337"/>
      <c r="H916" s="164"/>
      <c r="I916" s="365"/>
      <c r="J916" s="184"/>
      <c r="K916" s="365"/>
      <c r="L916" s="184"/>
      <c r="M916" s="337"/>
      <c r="N916" s="164"/>
      <c r="O916" s="337"/>
      <c r="P916" s="164"/>
      <c r="Q916" s="366"/>
      <c r="R916" s="366"/>
      <c r="S916" s="17"/>
      <c r="T916" s="17"/>
      <c r="U916" s="17"/>
      <c r="V916" s="17"/>
    </row>
    <row r="917">
      <c r="A917" s="337"/>
      <c r="B917" s="164"/>
      <c r="C917" s="337"/>
      <c r="D917" s="164"/>
      <c r="E917" s="337"/>
      <c r="F917" s="164"/>
      <c r="G917" s="337"/>
      <c r="H917" s="164"/>
      <c r="I917" s="365"/>
      <c r="J917" s="184"/>
      <c r="K917" s="365"/>
      <c r="L917" s="184"/>
      <c r="M917" s="337"/>
      <c r="N917" s="164"/>
      <c r="O917" s="337"/>
      <c r="P917" s="164"/>
      <c r="Q917" s="366"/>
      <c r="R917" s="366"/>
      <c r="S917" s="17"/>
      <c r="T917" s="17"/>
      <c r="U917" s="17"/>
      <c r="V917" s="17"/>
    </row>
    <row r="918">
      <c r="A918" s="337"/>
      <c r="B918" s="164"/>
      <c r="C918" s="337"/>
      <c r="D918" s="164"/>
      <c r="E918" s="337"/>
      <c r="F918" s="164"/>
      <c r="G918" s="337"/>
      <c r="H918" s="164"/>
      <c r="I918" s="365"/>
      <c r="J918" s="184"/>
      <c r="K918" s="365"/>
      <c r="L918" s="184"/>
      <c r="M918" s="337"/>
      <c r="N918" s="164"/>
      <c r="O918" s="337"/>
      <c r="P918" s="164"/>
      <c r="Q918" s="366"/>
      <c r="R918" s="366"/>
      <c r="S918" s="17"/>
      <c r="T918" s="17"/>
      <c r="U918" s="17"/>
      <c r="V918" s="17"/>
    </row>
    <row r="919">
      <c r="A919" s="337"/>
      <c r="B919" s="164"/>
      <c r="C919" s="337"/>
      <c r="D919" s="164"/>
      <c r="E919" s="337"/>
      <c r="F919" s="164"/>
      <c r="G919" s="337"/>
      <c r="H919" s="164"/>
      <c r="I919" s="365"/>
      <c r="J919" s="184"/>
      <c r="K919" s="365"/>
      <c r="L919" s="184"/>
      <c r="M919" s="337"/>
      <c r="N919" s="164"/>
      <c r="O919" s="337"/>
      <c r="P919" s="164"/>
      <c r="Q919" s="366"/>
      <c r="R919" s="366"/>
      <c r="S919" s="17"/>
      <c r="T919" s="17"/>
      <c r="U919" s="17"/>
      <c r="V919" s="17"/>
    </row>
    <row r="920">
      <c r="A920" s="337"/>
      <c r="B920" s="164"/>
      <c r="C920" s="337"/>
      <c r="D920" s="164"/>
      <c r="E920" s="337"/>
      <c r="F920" s="164"/>
      <c r="G920" s="337"/>
      <c r="H920" s="164"/>
      <c r="I920" s="365"/>
      <c r="J920" s="184"/>
      <c r="K920" s="365"/>
      <c r="L920" s="184"/>
      <c r="M920" s="337"/>
      <c r="N920" s="164"/>
      <c r="O920" s="337"/>
      <c r="P920" s="164"/>
      <c r="Q920" s="366"/>
      <c r="R920" s="366"/>
      <c r="S920" s="17"/>
      <c r="T920" s="17"/>
      <c r="U920" s="17"/>
      <c r="V920" s="17"/>
    </row>
    <row r="921">
      <c r="A921" s="337"/>
      <c r="B921" s="164"/>
      <c r="C921" s="337"/>
      <c r="D921" s="164"/>
      <c r="E921" s="337"/>
      <c r="F921" s="164"/>
      <c r="G921" s="337"/>
      <c r="H921" s="164"/>
      <c r="I921" s="365"/>
      <c r="J921" s="184"/>
      <c r="K921" s="365"/>
      <c r="L921" s="184"/>
      <c r="M921" s="337"/>
      <c r="N921" s="164"/>
      <c r="O921" s="337"/>
      <c r="P921" s="164"/>
      <c r="Q921" s="366"/>
      <c r="R921" s="366"/>
      <c r="S921" s="17"/>
      <c r="T921" s="17"/>
      <c r="U921" s="17"/>
      <c r="V921" s="17"/>
    </row>
    <row r="922">
      <c r="A922" s="337"/>
      <c r="B922" s="164"/>
      <c r="C922" s="337"/>
      <c r="D922" s="164"/>
      <c r="E922" s="337"/>
      <c r="F922" s="164"/>
      <c r="G922" s="337"/>
      <c r="H922" s="164"/>
      <c r="I922" s="365"/>
      <c r="J922" s="184"/>
      <c r="K922" s="365"/>
      <c r="L922" s="184"/>
      <c r="M922" s="337"/>
      <c r="N922" s="164"/>
      <c r="O922" s="337"/>
      <c r="P922" s="164"/>
      <c r="Q922" s="366"/>
      <c r="R922" s="366"/>
      <c r="S922" s="17"/>
      <c r="T922" s="17"/>
      <c r="U922" s="17"/>
      <c r="V922" s="17"/>
    </row>
    <row r="923">
      <c r="A923" s="337"/>
      <c r="B923" s="164"/>
      <c r="C923" s="337"/>
      <c r="D923" s="164"/>
      <c r="E923" s="337"/>
      <c r="F923" s="164"/>
      <c r="G923" s="337"/>
      <c r="H923" s="164"/>
      <c r="I923" s="365"/>
      <c r="J923" s="184"/>
      <c r="K923" s="365"/>
      <c r="L923" s="184"/>
      <c r="M923" s="337"/>
      <c r="N923" s="164"/>
      <c r="O923" s="337"/>
      <c r="P923" s="164"/>
      <c r="Q923" s="366"/>
      <c r="R923" s="366"/>
      <c r="S923" s="17"/>
      <c r="T923" s="17"/>
      <c r="U923" s="17"/>
      <c r="V923" s="17"/>
    </row>
    <row r="924">
      <c r="A924" s="337"/>
      <c r="B924" s="164"/>
      <c r="C924" s="337"/>
      <c r="D924" s="164"/>
      <c r="E924" s="337"/>
      <c r="F924" s="164"/>
      <c r="G924" s="337"/>
      <c r="H924" s="164"/>
      <c r="I924" s="365"/>
      <c r="J924" s="184"/>
      <c r="K924" s="365"/>
      <c r="L924" s="184"/>
      <c r="M924" s="337"/>
      <c r="N924" s="164"/>
      <c r="O924" s="337"/>
      <c r="P924" s="164"/>
      <c r="Q924" s="366"/>
      <c r="R924" s="366"/>
      <c r="S924" s="17"/>
      <c r="T924" s="17"/>
      <c r="U924" s="17"/>
      <c r="V924" s="17"/>
    </row>
    <row r="925">
      <c r="A925" s="337"/>
      <c r="B925" s="164"/>
      <c r="C925" s="337"/>
      <c r="D925" s="164"/>
      <c r="E925" s="337"/>
      <c r="F925" s="164"/>
      <c r="G925" s="337"/>
      <c r="H925" s="164"/>
      <c r="I925" s="365"/>
      <c r="J925" s="184"/>
      <c r="K925" s="365"/>
      <c r="L925" s="184"/>
      <c r="M925" s="337"/>
      <c r="N925" s="164"/>
      <c r="O925" s="337"/>
      <c r="P925" s="164"/>
      <c r="Q925" s="366"/>
      <c r="R925" s="366"/>
      <c r="S925" s="17"/>
      <c r="T925" s="17"/>
      <c r="U925" s="17"/>
      <c r="V925" s="17"/>
    </row>
    <row r="926">
      <c r="A926" s="337"/>
      <c r="B926" s="164"/>
      <c r="C926" s="337"/>
      <c r="D926" s="164"/>
      <c r="E926" s="337"/>
      <c r="F926" s="164"/>
      <c r="G926" s="337"/>
      <c r="H926" s="164"/>
      <c r="I926" s="365"/>
      <c r="J926" s="184"/>
      <c r="K926" s="365"/>
      <c r="L926" s="184"/>
      <c r="M926" s="337"/>
      <c r="N926" s="164"/>
      <c r="O926" s="337"/>
      <c r="P926" s="164"/>
      <c r="Q926" s="366"/>
      <c r="R926" s="366"/>
      <c r="S926" s="17"/>
      <c r="T926" s="17"/>
      <c r="U926" s="17"/>
      <c r="V926" s="17"/>
    </row>
    <row r="927">
      <c r="A927" s="337"/>
      <c r="B927" s="164"/>
      <c r="C927" s="337"/>
      <c r="D927" s="164"/>
      <c r="E927" s="337"/>
      <c r="F927" s="164"/>
      <c r="G927" s="337"/>
      <c r="H927" s="164"/>
      <c r="I927" s="365"/>
      <c r="J927" s="184"/>
      <c r="K927" s="365"/>
      <c r="L927" s="184"/>
      <c r="M927" s="337"/>
      <c r="N927" s="164"/>
      <c r="O927" s="337"/>
      <c r="P927" s="164"/>
      <c r="Q927" s="366"/>
      <c r="R927" s="366"/>
      <c r="S927" s="17"/>
      <c r="T927" s="17"/>
      <c r="U927" s="17"/>
      <c r="V927" s="17"/>
    </row>
    <row r="928">
      <c r="A928" s="337"/>
      <c r="B928" s="164"/>
      <c r="C928" s="337"/>
      <c r="D928" s="164"/>
      <c r="E928" s="337"/>
      <c r="F928" s="164"/>
      <c r="G928" s="337"/>
      <c r="H928" s="164"/>
      <c r="I928" s="365"/>
      <c r="J928" s="184"/>
      <c r="K928" s="365"/>
      <c r="L928" s="184"/>
      <c r="M928" s="337"/>
      <c r="N928" s="164"/>
      <c r="O928" s="337"/>
      <c r="P928" s="164"/>
      <c r="Q928" s="366"/>
      <c r="R928" s="366"/>
      <c r="S928" s="17"/>
      <c r="T928" s="17"/>
      <c r="U928" s="17"/>
      <c r="V928" s="17"/>
    </row>
    <row r="929">
      <c r="A929" s="337"/>
      <c r="B929" s="164"/>
      <c r="C929" s="337"/>
      <c r="D929" s="164"/>
      <c r="E929" s="337"/>
      <c r="F929" s="164"/>
      <c r="G929" s="337"/>
      <c r="H929" s="164"/>
      <c r="I929" s="365"/>
      <c r="J929" s="184"/>
      <c r="K929" s="365"/>
      <c r="L929" s="184"/>
      <c r="M929" s="337"/>
      <c r="N929" s="164"/>
      <c r="O929" s="337"/>
      <c r="P929" s="164"/>
      <c r="Q929" s="366"/>
      <c r="R929" s="366"/>
      <c r="S929" s="17"/>
      <c r="T929" s="17"/>
      <c r="U929" s="17"/>
      <c r="V929" s="17"/>
    </row>
    <row r="930">
      <c r="A930" s="337"/>
      <c r="B930" s="164"/>
      <c r="C930" s="337"/>
      <c r="D930" s="164"/>
      <c r="E930" s="337"/>
      <c r="F930" s="164"/>
      <c r="G930" s="337"/>
      <c r="H930" s="164"/>
      <c r="I930" s="365"/>
      <c r="J930" s="184"/>
      <c r="K930" s="365"/>
      <c r="L930" s="184"/>
      <c r="M930" s="337"/>
      <c r="N930" s="164"/>
      <c r="O930" s="337"/>
      <c r="P930" s="164"/>
      <c r="Q930" s="366"/>
      <c r="R930" s="366"/>
      <c r="S930" s="17"/>
      <c r="T930" s="17"/>
      <c r="U930" s="17"/>
      <c r="V930" s="17"/>
    </row>
    <row r="931">
      <c r="A931" s="337"/>
      <c r="B931" s="164"/>
      <c r="C931" s="337"/>
      <c r="D931" s="164"/>
      <c r="E931" s="337"/>
      <c r="F931" s="164"/>
      <c r="G931" s="337"/>
      <c r="H931" s="164"/>
      <c r="I931" s="365"/>
      <c r="J931" s="184"/>
      <c r="K931" s="365"/>
      <c r="L931" s="184"/>
      <c r="M931" s="337"/>
      <c r="N931" s="164"/>
      <c r="O931" s="337"/>
      <c r="P931" s="164"/>
      <c r="Q931" s="366"/>
      <c r="R931" s="366"/>
      <c r="S931" s="17"/>
      <c r="T931" s="17"/>
      <c r="U931" s="17"/>
      <c r="V931" s="17"/>
    </row>
    <row r="932">
      <c r="A932" s="337"/>
      <c r="B932" s="164"/>
      <c r="C932" s="337"/>
      <c r="D932" s="164"/>
      <c r="E932" s="337"/>
      <c r="F932" s="164"/>
      <c r="G932" s="337"/>
      <c r="H932" s="164"/>
      <c r="I932" s="365"/>
      <c r="J932" s="184"/>
      <c r="K932" s="365"/>
      <c r="L932" s="184"/>
      <c r="M932" s="337"/>
      <c r="N932" s="164"/>
      <c r="O932" s="337"/>
      <c r="P932" s="164"/>
      <c r="Q932" s="366"/>
      <c r="R932" s="366"/>
      <c r="S932" s="17"/>
      <c r="T932" s="17"/>
      <c r="U932" s="17"/>
      <c r="V932" s="17"/>
    </row>
    <row r="933">
      <c r="A933" s="337"/>
      <c r="B933" s="164"/>
      <c r="C933" s="337"/>
      <c r="D933" s="164"/>
      <c r="E933" s="337"/>
      <c r="F933" s="164"/>
      <c r="G933" s="337"/>
      <c r="H933" s="164"/>
      <c r="I933" s="365"/>
      <c r="J933" s="184"/>
      <c r="K933" s="365"/>
      <c r="L933" s="184"/>
      <c r="M933" s="337"/>
      <c r="N933" s="164"/>
      <c r="O933" s="337"/>
      <c r="P933" s="164"/>
      <c r="Q933" s="366"/>
      <c r="R933" s="366"/>
      <c r="S933" s="17"/>
      <c r="T933" s="17"/>
      <c r="U933" s="17"/>
      <c r="V933" s="17"/>
    </row>
    <row r="934">
      <c r="A934" s="337"/>
      <c r="B934" s="164"/>
      <c r="C934" s="337"/>
      <c r="D934" s="164"/>
      <c r="E934" s="337"/>
      <c r="F934" s="164"/>
      <c r="G934" s="337"/>
      <c r="H934" s="164"/>
      <c r="I934" s="365"/>
      <c r="J934" s="184"/>
      <c r="K934" s="365"/>
      <c r="L934" s="184"/>
      <c r="M934" s="337"/>
      <c r="N934" s="164"/>
      <c r="O934" s="337"/>
      <c r="P934" s="164"/>
      <c r="Q934" s="366"/>
      <c r="R934" s="366"/>
      <c r="S934" s="17"/>
      <c r="T934" s="17"/>
      <c r="U934" s="17"/>
      <c r="V934" s="17"/>
    </row>
    <row r="935">
      <c r="A935" s="337"/>
      <c r="B935" s="164"/>
      <c r="C935" s="337"/>
      <c r="D935" s="164"/>
      <c r="E935" s="337"/>
      <c r="F935" s="164"/>
      <c r="G935" s="337"/>
      <c r="H935" s="164"/>
      <c r="I935" s="365"/>
      <c r="J935" s="184"/>
      <c r="K935" s="365"/>
      <c r="L935" s="184"/>
      <c r="M935" s="337"/>
      <c r="N935" s="164"/>
      <c r="O935" s="337"/>
      <c r="P935" s="164"/>
      <c r="Q935" s="366"/>
      <c r="R935" s="366"/>
      <c r="S935" s="17"/>
      <c r="T935" s="17"/>
      <c r="U935" s="17"/>
      <c r="V935" s="17"/>
    </row>
    <row r="936">
      <c r="A936" s="337"/>
      <c r="B936" s="164"/>
      <c r="C936" s="337"/>
      <c r="D936" s="164"/>
      <c r="E936" s="337"/>
      <c r="F936" s="164"/>
      <c r="G936" s="337"/>
      <c r="H936" s="164"/>
      <c r="I936" s="365"/>
      <c r="J936" s="184"/>
      <c r="K936" s="365"/>
      <c r="L936" s="184"/>
      <c r="M936" s="337"/>
      <c r="N936" s="164"/>
      <c r="O936" s="337"/>
      <c r="P936" s="164"/>
      <c r="Q936" s="366"/>
      <c r="R936" s="366"/>
      <c r="S936" s="17"/>
      <c r="T936" s="17"/>
      <c r="U936" s="17"/>
      <c r="V936" s="17"/>
    </row>
    <row r="937">
      <c r="A937" s="337"/>
      <c r="B937" s="164"/>
      <c r="C937" s="337"/>
      <c r="D937" s="164"/>
      <c r="E937" s="337"/>
      <c r="F937" s="164"/>
      <c r="G937" s="337"/>
      <c r="H937" s="164"/>
      <c r="I937" s="365"/>
      <c r="J937" s="184"/>
      <c r="K937" s="365"/>
      <c r="L937" s="184"/>
      <c r="M937" s="337"/>
      <c r="N937" s="164"/>
      <c r="O937" s="337"/>
      <c r="P937" s="164"/>
      <c r="Q937" s="366"/>
      <c r="R937" s="366"/>
      <c r="S937" s="17"/>
      <c r="T937" s="17"/>
      <c r="U937" s="17"/>
      <c r="V937" s="17"/>
    </row>
    <row r="938">
      <c r="A938" s="337"/>
      <c r="B938" s="164"/>
      <c r="C938" s="337"/>
      <c r="D938" s="164"/>
      <c r="E938" s="337"/>
      <c r="F938" s="164"/>
      <c r="G938" s="337"/>
      <c r="H938" s="164"/>
      <c r="I938" s="365"/>
      <c r="J938" s="184"/>
      <c r="K938" s="365"/>
      <c r="L938" s="184"/>
      <c r="M938" s="337"/>
      <c r="N938" s="164"/>
      <c r="O938" s="337"/>
      <c r="P938" s="164"/>
      <c r="Q938" s="366"/>
      <c r="R938" s="366"/>
      <c r="S938" s="17"/>
      <c r="T938" s="17"/>
      <c r="U938" s="17"/>
      <c r="V938" s="17"/>
    </row>
    <row r="939">
      <c r="A939" s="337"/>
      <c r="B939" s="164"/>
      <c r="C939" s="337"/>
      <c r="D939" s="164"/>
      <c r="E939" s="337"/>
      <c r="F939" s="164"/>
      <c r="G939" s="337"/>
      <c r="H939" s="164"/>
      <c r="I939" s="365"/>
      <c r="J939" s="184"/>
      <c r="K939" s="365"/>
      <c r="L939" s="184"/>
      <c r="M939" s="337"/>
      <c r="N939" s="164"/>
      <c r="O939" s="337"/>
      <c r="P939" s="164"/>
      <c r="Q939" s="366"/>
      <c r="R939" s="366"/>
      <c r="S939" s="17"/>
      <c r="T939" s="17"/>
      <c r="U939" s="17"/>
      <c r="V939" s="17"/>
    </row>
    <row r="940">
      <c r="A940" s="337"/>
      <c r="B940" s="164"/>
      <c r="C940" s="337"/>
      <c r="D940" s="164"/>
      <c r="E940" s="337"/>
      <c r="F940" s="164"/>
      <c r="G940" s="337"/>
      <c r="H940" s="164"/>
      <c r="I940" s="365"/>
      <c r="J940" s="184"/>
      <c r="K940" s="365"/>
      <c r="L940" s="184"/>
      <c r="M940" s="337"/>
      <c r="N940" s="164"/>
      <c r="O940" s="337"/>
      <c r="P940" s="164"/>
      <c r="Q940" s="366"/>
      <c r="R940" s="366"/>
      <c r="S940" s="17"/>
      <c r="T940" s="17"/>
      <c r="U940" s="17"/>
      <c r="V940" s="17"/>
    </row>
    <row r="941">
      <c r="A941" s="337"/>
      <c r="B941" s="164"/>
      <c r="C941" s="337"/>
      <c r="D941" s="164"/>
      <c r="E941" s="337"/>
      <c r="F941" s="164"/>
      <c r="G941" s="337"/>
      <c r="H941" s="164"/>
      <c r="I941" s="365"/>
      <c r="J941" s="184"/>
      <c r="K941" s="365"/>
      <c r="L941" s="184"/>
      <c r="M941" s="337"/>
      <c r="N941" s="164"/>
      <c r="O941" s="337"/>
      <c r="P941" s="164"/>
      <c r="Q941" s="366"/>
      <c r="R941" s="366"/>
      <c r="S941" s="17"/>
      <c r="T941" s="17"/>
      <c r="U941" s="17"/>
      <c r="V941" s="17"/>
    </row>
    <row r="942">
      <c r="A942" s="337"/>
      <c r="B942" s="164"/>
      <c r="C942" s="337"/>
      <c r="D942" s="164"/>
      <c r="E942" s="337"/>
      <c r="F942" s="164"/>
      <c r="G942" s="337"/>
      <c r="H942" s="164"/>
      <c r="I942" s="365"/>
      <c r="J942" s="184"/>
      <c r="K942" s="365"/>
      <c r="L942" s="184"/>
      <c r="M942" s="337"/>
      <c r="N942" s="164"/>
      <c r="O942" s="337"/>
      <c r="P942" s="164"/>
      <c r="Q942" s="366"/>
      <c r="R942" s="366"/>
      <c r="S942" s="17"/>
      <c r="T942" s="17"/>
      <c r="U942" s="17"/>
      <c r="V942" s="17"/>
    </row>
    <row r="943">
      <c r="A943" s="337"/>
      <c r="B943" s="164"/>
      <c r="C943" s="337"/>
      <c r="D943" s="164"/>
      <c r="E943" s="337"/>
      <c r="F943" s="164"/>
      <c r="G943" s="337"/>
      <c r="H943" s="164"/>
      <c r="I943" s="365"/>
      <c r="J943" s="184"/>
      <c r="K943" s="365"/>
      <c r="L943" s="184"/>
      <c r="M943" s="337"/>
      <c r="N943" s="164"/>
      <c r="O943" s="337"/>
      <c r="P943" s="164"/>
      <c r="Q943" s="366"/>
      <c r="R943" s="366"/>
      <c r="S943" s="17"/>
      <c r="T943" s="17"/>
      <c r="U943" s="17"/>
      <c r="V943" s="17"/>
    </row>
    <row r="944">
      <c r="A944" s="337"/>
      <c r="B944" s="164"/>
      <c r="C944" s="337"/>
      <c r="D944" s="164"/>
      <c r="E944" s="337"/>
      <c r="F944" s="164"/>
      <c r="G944" s="337"/>
      <c r="H944" s="164"/>
      <c r="I944" s="365"/>
      <c r="J944" s="184"/>
      <c r="K944" s="365"/>
      <c r="L944" s="184"/>
      <c r="M944" s="337"/>
      <c r="N944" s="164"/>
      <c r="O944" s="337"/>
      <c r="P944" s="164"/>
      <c r="Q944" s="366"/>
      <c r="R944" s="366"/>
      <c r="S944" s="17"/>
      <c r="T944" s="17"/>
      <c r="U944" s="17"/>
      <c r="V944" s="17"/>
    </row>
    <row r="945">
      <c r="A945" s="337"/>
      <c r="B945" s="164"/>
      <c r="C945" s="337"/>
      <c r="D945" s="164"/>
      <c r="E945" s="337"/>
      <c r="F945" s="164"/>
      <c r="G945" s="337"/>
      <c r="H945" s="164"/>
      <c r="I945" s="365"/>
      <c r="J945" s="184"/>
      <c r="K945" s="365"/>
      <c r="L945" s="184"/>
      <c r="M945" s="337"/>
      <c r="N945" s="164"/>
      <c r="O945" s="337"/>
      <c r="P945" s="164"/>
      <c r="Q945" s="366"/>
      <c r="R945" s="366"/>
      <c r="S945" s="17"/>
      <c r="T945" s="17"/>
      <c r="U945" s="17"/>
      <c r="V945" s="17"/>
    </row>
    <row r="946">
      <c r="A946" s="337"/>
      <c r="B946" s="164"/>
      <c r="C946" s="337"/>
      <c r="D946" s="164"/>
      <c r="E946" s="337"/>
      <c r="F946" s="164"/>
      <c r="G946" s="337"/>
      <c r="H946" s="164"/>
      <c r="I946" s="365"/>
      <c r="J946" s="184"/>
      <c r="K946" s="365"/>
      <c r="L946" s="184"/>
      <c r="M946" s="337"/>
      <c r="N946" s="164"/>
      <c r="O946" s="337"/>
      <c r="P946" s="164"/>
      <c r="Q946" s="366"/>
      <c r="R946" s="366"/>
      <c r="S946" s="17"/>
      <c r="T946" s="17"/>
      <c r="U946" s="17"/>
      <c r="V946" s="17"/>
    </row>
    <row r="947">
      <c r="A947" s="337"/>
      <c r="B947" s="164"/>
      <c r="C947" s="337"/>
      <c r="D947" s="164"/>
      <c r="E947" s="337"/>
      <c r="F947" s="164"/>
      <c r="G947" s="337"/>
      <c r="H947" s="164"/>
      <c r="I947" s="365"/>
      <c r="J947" s="184"/>
      <c r="K947" s="365"/>
      <c r="L947" s="184"/>
      <c r="M947" s="337"/>
      <c r="N947" s="164"/>
      <c r="O947" s="337"/>
      <c r="P947" s="164"/>
      <c r="Q947" s="366"/>
      <c r="R947" s="366"/>
      <c r="S947" s="17"/>
      <c r="T947" s="17"/>
      <c r="U947" s="17"/>
      <c r="V947" s="17"/>
    </row>
    <row r="948">
      <c r="A948" s="337"/>
      <c r="B948" s="164"/>
      <c r="C948" s="337"/>
      <c r="D948" s="164"/>
      <c r="E948" s="337"/>
      <c r="F948" s="164"/>
      <c r="G948" s="337"/>
      <c r="H948" s="164"/>
      <c r="I948" s="365"/>
      <c r="J948" s="184"/>
      <c r="K948" s="365"/>
      <c r="L948" s="184"/>
      <c r="M948" s="337"/>
      <c r="N948" s="164"/>
      <c r="O948" s="337"/>
      <c r="P948" s="164"/>
      <c r="Q948" s="366"/>
      <c r="R948" s="366"/>
      <c r="S948" s="17"/>
      <c r="T948" s="17"/>
      <c r="U948" s="17"/>
      <c r="V948" s="17"/>
    </row>
    <row r="949">
      <c r="A949" s="337"/>
      <c r="B949" s="164"/>
      <c r="C949" s="337"/>
      <c r="D949" s="164"/>
      <c r="E949" s="337"/>
      <c r="F949" s="164"/>
      <c r="G949" s="337"/>
      <c r="H949" s="164"/>
      <c r="I949" s="365"/>
      <c r="J949" s="184"/>
      <c r="K949" s="365"/>
      <c r="L949" s="184"/>
      <c r="M949" s="337"/>
      <c r="N949" s="164"/>
      <c r="O949" s="337"/>
      <c r="P949" s="164"/>
      <c r="Q949" s="366"/>
      <c r="R949" s="366"/>
      <c r="S949" s="17"/>
      <c r="T949" s="17"/>
      <c r="U949" s="17"/>
      <c r="V949" s="17"/>
    </row>
    <row r="950">
      <c r="A950" s="337"/>
      <c r="B950" s="164"/>
      <c r="C950" s="337"/>
      <c r="D950" s="164"/>
      <c r="E950" s="337"/>
      <c r="F950" s="164"/>
      <c r="G950" s="337"/>
      <c r="H950" s="164"/>
      <c r="I950" s="365"/>
      <c r="J950" s="184"/>
      <c r="K950" s="365"/>
      <c r="L950" s="184"/>
      <c r="M950" s="337"/>
      <c r="N950" s="164"/>
      <c r="O950" s="337"/>
      <c r="P950" s="164"/>
      <c r="Q950" s="366"/>
      <c r="R950" s="366"/>
      <c r="S950" s="17"/>
      <c r="T950" s="17"/>
      <c r="U950" s="17"/>
      <c r="V950" s="17"/>
    </row>
    <row r="951">
      <c r="A951" s="337"/>
      <c r="B951" s="164"/>
      <c r="C951" s="337"/>
      <c r="D951" s="164"/>
      <c r="E951" s="337"/>
      <c r="F951" s="164"/>
      <c r="G951" s="337"/>
      <c r="H951" s="164"/>
      <c r="I951" s="365"/>
      <c r="J951" s="184"/>
      <c r="K951" s="365"/>
      <c r="L951" s="184"/>
      <c r="M951" s="337"/>
      <c r="N951" s="164"/>
      <c r="O951" s="337"/>
      <c r="P951" s="164"/>
      <c r="Q951" s="366"/>
      <c r="R951" s="366"/>
      <c r="S951" s="17"/>
      <c r="T951" s="17"/>
      <c r="U951" s="17"/>
      <c r="V951" s="17"/>
    </row>
    <row r="952">
      <c r="A952" s="337"/>
      <c r="B952" s="164"/>
      <c r="C952" s="337"/>
      <c r="D952" s="164"/>
      <c r="E952" s="337"/>
      <c r="F952" s="164"/>
      <c r="G952" s="337"/>
      <c r="H952" s="164"/>
      <c r="I952" s="365"/>
      <c r="J952" s="184"/>
      <c r="K952" s="365"/>
      <c r="L952" s="184"/>
      <c r="M952" s="337"/>
      <c r="N952" s="164"/>
      <c r="O952" s="337"/>
      <c r="P952" s="164"/>
      <c r="Q952" s="366"/>
      <c r="R952" s="366"/>
      <c r="S952" s="17"/>
      <c r="T952" s="17"/>
      <c r="U952" s="17"/>
      <c r="V952" s="17"/>
    </row>
    <row r="953">
      <c r="A953" s="337"/>
      <c r="B953" s="164"/>
      <c r="C953" s="337"/>
      <c r="D953" s="164"/>
      <c r="E953" s="337"/>
      <c r="F953" s="164"/>
      <c r="G953" s="337"/>
      <c r="H953" s="164"/>
      <c r="I953" s="365"/>
      <c r="J953" s="184"/>
      <c r="K953" s="365"/>
      <c r="L953" s="184"/>
      <c r="M953" s="337"/>
      <c r="N953" s="164"/>
      <c r="O953" s="337"/>
      <c r="P953" s="164"/>
      <c r="Q953" s="366"/>
      <c r="R953" s="366"/>
      <c r="S953" s="17"/>
      <c r="T953" s="17"/>
      <c r="U953" s="17"/>
      <c r="V953" s="17"/>
    </row>
    <row r="954">
      <c r="A954" s="337"/>
      <c r="B954" s="164"/>
      <c r="C954" s="337"/>
      <c r="D954" s="164"/>
      <c r="E954" s="337"/>
      <c r="F954" s="164"/>
      <c r="G954" s="337"/>
      <c r="H954" s="164"/>
      <c r="I954" s="365"/>
      <c r="J954" s="184"/>
      <c r="K954" s="365"/>
      <c r="L954" s="184"/>
      <c r="M954" s="337"/>
      <c r="N954" s="164"/>
      <c r="O954" s="337"/>
      <c r="P954" s="164"/>
      <c r="Q954" s="366"/>
      <c r="R954" s="366"/>
      <c r="S954" s="17"/>
      <c r="T954" s="17"/>
      <c r="U954" s="17"/>
      <c r="V954" s="17"/>
    </row>
    <row r="955">
      <c r="A955" s="337"/>
      <c r="B955" s="164"/>
      <c r="C955" s="337"/>
      <c r="D955" s="164"/>
      <c r="E955" s="337"/>
      <c r="F955" s="164"/>
      <c r="G955" s="337"/>
      <c r="H955" s="164"/>
      <c r="I955" s="365"/>
      <c r="J955" s="184"/>
      <c r="K955" s="365"/>
      <c r="L955" s="184"/>
      <c r="M955" s="337"/>
      <c r="N955" s="164"/>
      <c r="O955" s="337"/>
      <c r="P955" s="164"/>
      <c r="Q955" s="366"/>
      <c r="R955" s="366"/>
      <c r="S955" s="17"/>
      <c r="T955" s="17"/>
      <c r="U955" s="17"/>
      <c r="V955" s="17"/>
    </row>
    <row r="956">
      <c r="A956" s="337"/>
      <c r="B956" s="164"/>
      <c r="C956" s="337"/>
      <c r="D956" s="164"/>
      <c r="E956" s="337"/>
      <c r="F956" s="164"/>
      <c r="G956" s="337"/>
      <c r="H956" s="164"/>
      <c r="I956" s="365"/>
      <c r="J956" s="184"/>
      <c r="K956" s="365"/>
      <c r="L956" s="184"/>
      <c r="M956" s="337"/>
      <c r="N956" s="164"/>
      <c r="O956" s="337"/>
      <c r="P956" s="164"/>
      <c r="Q956" s="366"/>
      <c r="R956" s="366"/>
      <c r="S956" s="17"/>
      <c r="T956" s="17"/>
      <c r="U956" s="17"/>
      <c r="V956" s="17"/>
    </row>
    <row r="957">
      <c r="A957" s="337"/>
      <c r="B957" s="164"/>
      <c r="C957" s="337"/>
      <c r="D957" s="164"/>
      <c r="E957" s="337"/>
      <c r="F957" s="164"/>
      <c r="G957" s="337"/>
      <c r="H957" s="164"/>
      <c r="I957" s="365"/>
      <c r="J957" s="184"/>
      <c r="K957" s="365"/>
      <c r="L957" s="184"/>
      <c r="M957" s="337"/>
      <c r="N957" s="164"/>
      <c r="O957" s="337"/>
      <c r="P957" s="164"/>
      <c r="Q957" s="366"/>
      <c r="R957" s="366"/>
      <c r="S957" s="17"/>
      <c r="T957" s="17"/>
      <c r="U957" s="17"/>
      <c r="V957" s="17"/>
    </row>
    <row r="958">
      <c r="A958" s="337"/>
      <c r="B958" s="164"/>
      <c r="C958" s="337"/>
      <c r="D958" s="164"/>
      <c r="E958" s="337"/>
      <c r="F958" s="164"/>
      <c r="G958" s="337"/>
      <c r="H958" s="164"/>
      <c r="I958" s="365"/>
      <c r="J958" s="184"/>
      <c r="K958" s="365"/>
      <c r="L958" s="184"/>
      <c r="M958" s="337"/>
      <c r="N958" s="164"/>
      <c r="O958" s="337"/>
      <c r="P958" s="164"/>
      <c r="Q958" s="366"/>
      <c r="R958" s="366"/>
      <c r="S958" s="17"/>
      <c r="T958" s="17"/>
      <c r="U958" s="17"/>
      <c r="V958" s="17"/>
    </row>
    <row r="959">
      <c r="A959" s="337"/>
      <c r="B959" s="164"/>
      <c r="C959" s="337"/>
      <c r="D959" s="164"/>
      <c r="E959" s="337"/>
      <c r="F959" s="164"/>
      <c r="G959" s="337"/>
      <c r="H959" s="164"/>
      <c r="I959" s="365"/>
      <c r="J959" s="184"/>
      <c r="K959" s="365"/>
      <c r="L959" s="184"/>
      <c r="M959" s="337"/>
      <c r="N959" s="164"/>
      <c r="O959" s="337"/>
      <c r="P959" s="164"/>
      <c r="Q959" s="366"/>
      <c r="R959" s="366"/>
      <c r="S959" s="17"/>
      <c r="T959" s="17"/>
      <c r="U959" s="17"/>
      <c r="V959" s="17"/>
    </row>
    <row r="960">
      <c r="A960" s="337"/>
      <c r="B960" s="164"/>
      <c r="C960" s="337"/>
      <c r="D960" s="164"/>
      <c r="E960" s="337"/>
      <c r="F960" s="164"/>
      <c r="G960" s="337"/>
      <c r="H960" s="164"/>
      <c r="I960" s="365"/>
      <c r="J960" s="184"/>
      <c r="K960" s="365"/>
      <c r="L960" s="184"/>
      <c r="M960" s="337"/>
      <c r="N960" s="164"/>
      <c r="O960" s="337"/>
      <c r="P960" s="164"/>
      <c r="Q960" s="366"/>
      <c r="R960" s="366"/>
      <c r="S960" s="17"/>
      <c r="T960" s="17"/>
      <c r="U960" s="17"/>
      <c r="V960" s="17"/>
    </row>
    <row r="961">
      <c r="A961" s="337"/>
      <c r="B961" s="164"/>
      <c r="C961" s="337"/>
      <c r="D961" s="164"/>
      <c r="E961" s="337"/>
      <c r="F961" s="164"/>
      <c r="G961" s="337"/>
      <c r="H961" s="164"/>
      <c r="I961" s="365"/>
      <c r="J961" s="184"/>
      <c r="K961" s="365"/>
      <c r="L961" s="184"/>
      <c r="M961" s="337"/>
      <c r="N961" s="164"/>
      <c r="O961" s="337"/>
      <c r="P961" s="164"/>
      <c r="Q961" s="366"/>
      <c r="R961" s="366"/>
      <c r="S961" s="17"/>
      <c r="T961" s="17"/>
      <c r="U961" s="17"/>
      <c r="V961" s="17"/>
    </row>
    <row r="962">
      <c r="A962" s="337"/>
      <c r="B962" s="164"/>
      <c r="C962" s="337"/>
      <c r="D962" s="164"/>
      <c r="E962" s="337"/>
      <c r="F962" s="164"/>
      <c r="G962" s="337"/>
      <c r="H962" s="164"/>
      <c r="I962" s="365"/>
      <c r="J962" s="184"/>
      <c r="K962" s="365"/>
      <c r="L962" s="184"/>
      <c r="M962" s="337"/>
      <c r="N962" s="164"/>
      <c r="O962" s="337"/>
      <c r="P962" s="164"/>
      <c r="Q962" s="366"/>
      <c r="R962" s="366"/>
      <c r="S962" s="17"/>
      <c r="T962" s="17"/>
      <c r="U962" s="17"/>
      <c r="V962" s="17"/>
    </row>
    <row r="963">
      <c r="A963" s="337"/>
      <c r="B963" s="164"/>
      <c r="C963" s="337"/>
      <c r="D963" s="164"/>
      <c r="E963" s="337"/>
      <c r="F963" s="164"/>
      <c r="G963" s="337"/>
      <c r="H963" s="164"/>
      <c r="I963" s="365"/>
      <c r="J963" s="184"/>
      <c r="K963" s="365"/>
      <c r="L963" s="184"/>
      <c r="M963" s="337"/>
      <c r="N963" s="164"/>
      <c r="O963" s="337"/>
      <c r="P963" s="164"/>
      <c r="Q963" s="366"/>
      <c r="R963" s="366"/>
      <c r="S963" s="17"/>
      <c r="T963" s="17"/>
      <c r="U963" s="17"/>
      <c r="V963" s="17"/>
    </row>
    <row r="964">
      <c r="A964" s="337"/>
      <c r="B964" s="164"/>
      <c r="C964" s="337"/>
      <c r="D964" s="164"/>
      <c r="E964" s="337"/>
      <c r="F964" s="164"/>
      <c r="G964" s="337"/>
      <c r="H964" s="164"/>
      <c r="I964" s="365"/>
      <c r="J964" s="184"/>
      <c r="K964" s="365"/>
      <c r="L964" s="184"/>
      <c r="M964" s="337"/>
      <c r="N964" s="164"/>
      <c r="O964" s="337"/>
      <c r="P964" s="164"/>
      <c r="Q964" s="366"/>
      <c r="R964" s="366"/>
      <c r="S964" s="17"/>
      <c r="T964" s="17"/>
      <c r="U964" s="17"/>
      <c r="V964" s="17"/>
    </row>
    <row r="965">
      <c r="A965" s="337"/>
      <c r="B965" s="164"/>
      <c r="C965" s="337"/>
      <c r="D965" s="164"/>
      <c r="E965" s="337"/>
      <c r="F965" s="164"/>
      <c r="G965" s="337"/>
      <c r="H965" s="164"/>
      <c r="I965" s="365"/>
      <c r="J965" s="184"/>
      <c r="K965" s="365"/>
      <c r="L965" s="184"/>
      <c r="M965" s="337"/>
      <c r="N965" s="164"/>
      <c r="O965" s="337"/>
      <c r="P965" s="164"/>
      <c r="Q965" s="366"/>
      <c r="R965" s="366"/>
      <c r="S965" s="17"/>
      <c r="T965" s="17"/>
      <c r="U965" s="17"/>
      <c r="V965" s="17"/>
    </row>
    <row r="966">
      <c r="A966" s="337"/>
      <c r="B966" s="164"/>
      <c r="C966" s="337"/>
      <c r="D966" s="164"/>
      <c r="E966" s="337"/>
      <c r="F966" s="164"/>
      <c r="G966" s="337"/>
      <c r="H966" s="164"/>
      <c r="I966" s="365"/>
      <c r="J966" s="184"/>
      <c r="K966" s="365"/>
      <c r="L966" s="184"/>
      <c r="M966" s="337"/>
      <c r="N966" s="164"/>
      <c r="O966" s="337"/>
      <c r="P966" s="164"/>
      <c r="Q966" s="366"/>
      <c r="R966" s="366"/>
      <c r="S966" s="17"/>
      <c r="T966" s="17"/>
      <c r="U966" s="17"/>
      <c r="V966" s="17"/>
    </row>
    <row r="967">
      <c r="A967" s="337"/>
      <c r="B967" s="164"/>
      <c r="C967" s="337"/>
      <c r="D967" s="164"/>
      <c r="E967" s="337"/>
      <c r="F967" s="164"/>
      <c r="G967" s="337"/>
      <c r="H967" s="164"/>
      <c r="I967" s="365"/>
      <c r="J967" s="184"/>
      <c r="K967" s="365"/>
      <c r="L967" s="184"/>
      <c r="M967" s="337"/>
      <c r="N967" s="164"/>
      <c r="O967" s="337"/>
      <c r="P967" s="164"/>
      <c r="Q967" s="366"/>
      <c r="R967" s="366"/>
      <c r="S967" s="17"/>
      <c r="T967" s="17"/>
      <c r="U967" s="17"/>
      <c r="V967" s="17"/>
    </row>
    <row r="968">
      <c r="A968" s="337"/>
      <c r="B968" s="164"/>
      <c r="C968" s="337"/>
      <c r="D968" s="164"/>
      <c r="E968" s="337"/>
      <c r="F968" s="164"/>
      <c r="G968" s="337"/>
      <c r="H968" s="164"/>
      <c r="I968" s="365"/>
      <c r="J968" s="184"/>
      <c r="K968" s="365"/>
      <c r="L968" s="184"/>
      <c r="M968" s="337"/>
      <c r="N968" s="164"/>
      <c r="O968" s="337"/>
      <c r="P968" s="164"/>
      <c r="Q968" s="366"/>
      <c r="R968" s="366"/>
      <c r="S968" s="17"/>
      <c r="T968" s="17"/>
      <c r="U968" s="17"/>
      <c r="V968" s="17"/>
    </row>
    <row r="969">
      <c r="A969" s="337"/>
      <c r="B969" s="164"/>
      <c r="C969" s="337"/>
      <c r="D969" s="164"/>
      <c r="E969" s="337"/>
      <c r="F969" s="164"/>
      <c r="G969" s="337"/>
      <c r="H969" s="164"/>
      <c r="I969" s="365"/>
      <c r="J969" s="184"/>
      <c r="K969" s="365"/>
      <c r="L969" s="184"/>
      <c r="M969" s="337"/>
      <c r="N969" s="164"/>
      <c r="O969" s="337"/>
      <c r="P969" s="164"/>
      <c r="Q969" s="366"/>
      <c r="R969" s="366"/>
      <c r="S969" s="17"/>
      <c r="T969" s="17"/>
      <c r="U969" s="17"/>
      <c r="V969" s="17"/>
    </row>
    <row r="970">
      <c r="A970" s="337"/>
      <c r="B970" s="164"/>
      <c r="C970" s="337"/>
      <c r="D970" s="164"/>
      <c r="E970" s="337"/>
      <c r="F970" s="164"/>
      <c r="G970" s="337"/>
      <c r="H970" s="164"/>
      <c r="I970" s="365"/>
      <c r="J970" s="184"/>
      <c r="K970" s="365"/>
      <c r="L970" s="184"/>
      <c r="M970" s="337"/>
      <c r="N970" s="164"/>
      <c r="O970" s="337"/>
      <c r="P970" s="164"/>
      <c r="Q970" s="366"/>
      <c r="R970" s="366"/>
      <c r="S970" s="17"/>
      <c r="T970" s="17"/>
      <c r="U970" s="17"/>
      <c r="V970" s="17"/>
    </row>
    <row r="971">
      <c r="A971" s="337"/>
      <c r="B971" s="164"/>
      <c r="C971" s="337"/>
      <c r="D971" s="164"/>
      <c r="E971" s="337"/>
      <c r="F971" s="164"/>
      <c r="G971" s="337"/>
      <c r="H971" s="164"/>
      <c r="I971" s="365"/>
      <c r="J971" s="184"/>
      <c r="K971" s="365"/>
      <c r="L971" s="184"/>
      <c r="M971" s="337"/>
      <c r="N971" s="164"/>
      <c r="O971" s="337"/>
      <c r="P971" s="164"/>
      <c r="Q971" s="366"/>
      <c r="R971" s="366"/>
      <c r="S971" s="17"/>
      <c r="T971" s="17"/>
      <c r="U971" s="17"/>
      <c r="V971" s="17"/>
    </row>
    <row r="972">
      <c r="A972" s="337"/>
      <c r="B972" s="164"/>
      <c r="C972" s="337"/>
      <c r="D972" s="164"/>
      <c r="E972" s="337"/>
      <c r="F972" s="164"/>
      <c r="G972" s="337"/>
      <c r="H972" s="164"/>
      <c r="I972" s="365"/>
      <c r="J972" s="184"/>
      <c r="K972" s="365"/>
      <c r="L972" s="184"/>
      <c r="M972" s="337"/>
      <c r="N972" s="164"/>
      <c r="O972" s="337"/>
      <c r="P972" s="164"/>
      <c r="Q972" s="366"/>
      <c r="R972" s="366"/>
      <c r="S972" s="17"/>
      <c r="T972" s="17"/>
      <c r="U972" s="17"/>
      <c r="V972" s="17"/>
    </row>
    <row r="973">
      <c r="A973" s="337"/>
      <c r="B973" s="164"/>
      <c r="C973" s="337"/>
      <c r="D973" s="164"/>
      <c r="E973" s="337"/>
      <c r="F973" s="164"/>
      <c r="G973" s="337"/>
      <c r="H973" s="164"/>
      <c r="I973" s="365"/>
      <c r="J973" s="184"/>
      <c r="K973" s="365"/>
      <c r="L973" s="184"/>
      <c r="M973" s="337"/>
      <c r="N973" s="164"/>
      <c r="O973" s="337"/>
      <c r="P973" s="164"/>
      <c r="Q973" s="366"/>
      <c r="R973" s="366"/>
      <c r="S973" s="17"/>
      <c r="T973" s="17"/>
      <c r="U973" s="17"/>
      <c r="V973" s="17"/>
    </row>
    <row r="974">
      <c r="A974" s="337"/>
      <c r="B974" s="164"/>
      <c r="C974" s="337"/>
      <c r="D974" s="164"/>
      <c r="E974" s="337"/>
      <c r="F974" s="164"/>
      <c r="G974" s="337"/>
      <c r="H974" s="164"/>
      <c r="I974" s="365"/>
      <c r="J974" s="184"/>
      <c r="K974" s="365"/>
      <c r="L974" s="184"/>
      <c r="M974" s="337"/>
      <c r="N974" s="164"/>
      <c r="O974" s="337"/>
      <c r="P974" s="164"/>
      <c r="Q974" s="366"/>
      <c r="R974" s="366"/>
      <c r="S974" s="17"/>
      <c r="T974" s="17"/>
      <c r="U974" s="17"/>
      <c r="V974" s="17"/>
    </row>
    <row r="975">
      <c r="A975" s="337"/>
      <c r="B975" s="164"/>
      <c r="C975" s="337"/>
      <c r="D975" s="164"/>
      <c r="E975" s="337"/>
      <c r="F975" s="164"/>
      <c r="G975" s="337"/>
      <c r="H975" s="164"/>
      <c r="I975" s="365"/>
      <c r="J975" s="184"/>
      <c r="K975" s="365"/>
      <c r="L975" s="184"/>
      <c r="M975" s="337"/>
      <c r="N975" s="164"/>
      <c r="O975" s="337"/>
      <c r="P975" s="164"/>
      <c r="Q975" s="366"/>
      <c r="R975" s="366"/>
      <c r="S975" s="17"/>
      <c r="T975" s="17"/>
      <c r="U975" s="17"/>
      <c r="V975" s="17"/>
    </row>
    <row r="976">
      <c r="A976" s="337"/>
      <c r="B976" s="164"/>
      <c r="C976" s="337"/>
      <c r="D976" s="164"/>
      <c r="E976" s="337"/>
      <c r="F976" s="164"/>
      <c r="G976" s="337"/>
      <c r="H976" s="164"/>
      <c r="I976" s="365"/>
      <c r="J976" s="184"/>
      <c r="K976" s="365"/>
      <c r="L976" s="184"/>
      <c r="M976" s="337"/>
      <c r="N976" s="164"/>
      <c r="O976" s="337"/>
      <c r="P976" s="164"/>
      <c r="Q976" s="366"/>
      <c r="R976" s="366"/>
      <c r="S976" s="17"/>
      <c r="T976" s="17"/>
      <c r="U976" s="17"/>
      <c r="V976" s="17"/>
    </row>
    <row r="977">
      <c r="A977" s="337"/>
      <c r="B977" s="164"/>
      <c r="C977" s="337"/>
      <c r="D977" s="164"/>
      <c r="E977" s="337"/>
      <c r="F977" s="164"/>
      <c r="G977" s="337"/>
      <c r="H977" s="164"/>
      <c r="I977" s="365"/>
      <c r="J977" s="184"/>
      <c r="K977" s="365"/>
      <c r="L977" s="184"/>
      <c r="M977" s="337"/>
      <c r="N977" s="164"/>
      <c r="O977" s="337"/>
      <c r="P977" s="164"/>
      <c r="Q977" s="366"/>
      <c r="R977" s="366"/>
      <c r="S977" s="17"/>
      <c r="T977" s="17"/>
      <c r="U977" s="17"/>
      <c r="V977" s="17"/>
    </row>
    <row r="978">
      <c r="A978" s="337"/>
      <c r="B978" s="164"/>
      <c r="C978" s="337"/>
      <c r="D978" s="164"/>
      <c r="E978" s="337"/>
      <c r="F978" s="164"/>
      <c r="G978" s="337"/>
      <c r="H978" s="164"/>
      <c r="I978" s="365"/>
      <c r="J978" s="184"/>
      <c r="K978" s="365"/>
      <c r="L978" s="184"/>
      <c r="M978" s="337"/>
      <c r="N978" s="164"/>
      <c r="O978" s="337"/>
      <c r="P978" s="164"/>
      <c r="Q978" s="366"/>
      <c r="R978" s="366"/>
      <c r="S978" s="17"/>
      <c r="T978" s="17"/>
      <c r="U978" s="17"/>
      <c r="V978" s="17"/>
    </row>
    <row r="979">
      <c r="A979" s="337"/>
      <c r="B979" s="164"/>
      <c r="C979" s="337"/>
      <c r="D979" s="164"/>
      <c r="E979" s="337"/>
      <c r="F979" s="164"/>
      <c r="G979" s="337"/>
      <c r="H979" s="164"/>
      <c r="I979" s="365"/>
      <c r="J979" s="184"/>
      <c r="K979" s="365"/>
      <c r="L979" s="184"/>
      <c r="M979" s="337"/>
      <c r="N979" s="164"/>
      <c r="O979" s="337"/>
      <c r="P979" s="164"/>
      <c r="Q979" s="366"/>
      <c r="R979" s="366"/>
      <c r="S979" s="17"/>
      <c r="T979" s="17"/>
      <c r="U979" s="17"/>
      <c r="V979" s="17"/>
    </row>
    <row r="980">
      <c r="A980" s="337"/>
      <c r="B980" s="164"/>
      <c r="C980" s="337"/>
      <c r="D980" s="164"/>
      <c r="E980" s="337"/>
      <c r="F980" s="164"/>
      <c r="G980" s="337"/>
      <c r="H980" s="164"/>
      <c r="I980" s="365"/>
      <c r="J980" s="184"/>
      <c r="K980" s="365"/>
      <c r="L980" s="184"/>
      <c r="M980" s="337"/>
      <c r="N980" s="164"/>
      <c r="O980" s="337"/>
      <c r="P980" s="164"/>
      <c r="Q980" s="366"/>
      <c r="R980" s="366"/>
      <c r="S980" s="17"/>
      <c r="T980" s="17"/>
      <c r="U980" s="17"/>
      <c r="V980" s="17"/>
    </row>
    <row r="981">
      <c r="A981" s="337"/>
      <c r="B981" s="164"/>
      <c r="C981" s="337"/>
      <c r="D981" s="164"/>
      <c r="E981" s="337"/>
      <c r="F981" s="164"/>
      <c r="G981" s="337"/>
      <c r="H981" s="164"/>
      <c r="I981" s="365"/>
      <c r="J981" s="184"/>
      <c r="K981" s="365"/>
      <c r="L981" s="184"/>
      <c r="M981" s="337"/>
      <c r="N981" s="164"/>
      <c r="O981" s="337"/>
      <c r="P981" s="164"/>
      <c r="Q981" s="366"/>
      <c r="R981" s="366"/>
      <c r="S981" s="17"/>
      <c r="T981" s="17"/>
      <c r="U981" s="17"/>
      <c r="V981" s="17"/>
    </row>
    <row r="982">
      <c r="A982" s="337"/>
      <c r="B982" s="164"/>
      <c r="C982" s="337"/>
      <c r="D982" s="164"/>
      <c r="E982" s="337"/>
      <c r="F982" s="164"/>
      <c r="G982" s="337"/>
      <c r="H982" s="164"/>
      <c r="I982" s="365"/>
      <c r="J982" s="184"/>
      <c r="K982" s="365"/>
      <c r="L982" s="184"/>
      <c r="M982" s="337"/>
      <c r="N982" s="164"/>
      <c r="O982" s="337"/>
      <c r="P982" s="164"/>
      <c r="Q982" s="366"/>
      <c r="R982" s="366"/>
      <c r="S982" s="17"/>
      <c r="T982" s="17"/>
      <c r="U982" s="17"/>
      <c r="V982" s="17"/>
    </row>
    <row r="983">
      <c r="A983" s="337"/>
      <c r="B983" s="164"/>
      <c r="C983" s="337"/>
      <c r="D983" s="164"/>
      <c r="E983" s="337"/>
      <c r="F983" s="164"/>
      <c r="G983" s="337"/>
      <c r="H983" s="164"/>
      <c r="I983" s="365"/>
      <c r="J983" s="184"/>
      <c r="K983" s="365"/>
      <c r="L983" s="184"/>
      <c r="M983" s="337"/>
      <c r="N983" s="164"/>
      <c r="O983" s="337"/>
      <c r="P983" s="164"/>
      <c r="Q983" s="366"/>
      <c r="R983" s="366"/>
      <c r="S983" s="17"/>
      <c r="T983" s="17"/>
      <c r="U983" s="17"/>
      <c r="V983" s="17"/>
    </row>
    <row r="984">
      <c r="A984" s="337"/>
      <c r="B984" s="164"/>
      <c r="C984" s="337"/>
      <c r="D984" s="164"/>
      <c r="E984" s="337"/>
      <c r="F984" s="164"/>
      <c r="G984" s="337"/>
      <c r="H984" s="164"/>
      <c r="I984" s="365"/>
      <c r="J984" s="184"/>
      <c r="K984" s="365"/>
      <c r="L984" s="184"/>
      <c r="M984" s="337"/>
      <c r="N984" s="164"/>
      <c r="O984" s="337"/>
      <c r="P984" s="164"/>
      <c r="Q984" s="366"/>
      <c r="R984" s="366"/>
      <c r="S984" s="17"/>
      <c r="T984" s="17"/>
      <c r="U984" s="17"/>
      <c r="V984" s="17"/>
    </row>
    <row r="985">
      <c r="A985" s="337"/>
      <c r="B985" s="164"/>
      <c r="C985" s="337"/>
      <c r="D985" s="164"/>
      <c r="E985" s="337"/>
      <c r="F985" s="164"/>
      <c r="G985" s="337"/>
      <c r="H985" s="164"/>
      <c r="I985" s="365"/>
      <c r="J985" s="184"/>
      <c r="K985" s="365"/>
      <c r="L985" s="184"/>
      <c r="M985" s="337"/>
      <c r="N985" s="164"/>
      <c r="O985" s="337"/>
      <c r="P985" s="164"/>
      <c r="Q985" s="366"/>
      <c r="R985" s="366"/>
      <c r="S985" s="17"/>
      <c r="T985" s="17"/>
      <c r="U985" s="17"/>
      <c r="V985" s="17"/>
    </row>
    <row r="986">
      <c r="A986" s="337"/>
      <c r="B986" s="164"/>
      <c r="C986" s="337"/>
      <c r="D986" s="164"/>
      <c r="E986" s="337"/>
      <c r="F986" s="164"/>
      <c r="G986" s="337"/>
      <c r="H986" s="164"/>
      <c r="I986" s="365"/>
      <c r="J986" s="184"/>
      <c r="K986" s="365"/>
      <c r="L986" s="184"/>
      <c r="M986" s="337"/>
      <c r="N986" s="164"/>
      <c r="O986" s="337"/>
      <c r="P986" s="164"/>
      <c r="Q986" s="366"/>
      <c r="R986" s="366"/>
      <c r="S986" s="17"/>
      <c r="T986" s="17"/>
      <c r="U986" s="17"/>
      <c r="V986" s="17"/>
    </row>
    <row r="987">
      <c r="A987" s="337"/>
      <c r="B987" s="164"/>
      <c r="C987" s="337"/>
      <c r="D987" s="164"/>
      <c r="E987" s="337"/>
      <c r="F987" s="164"/>
      <c r="G987" s="337"/>
      <c r="H987" s="164"/>
      <c r="I987" s="365"/>
      <c r="J987" s="184"/>
      <c r="K987" s="365"/>
      <c r="L987" s="184"/>
      <c r="M987" s="337"/>
      <c r="N987" s="164"/>
      <c r="O987" s="337"/>
      <c r="P987" s="164"/>
      <c r="Q987" s="366"/>
      <c r="R987" s="366"/>
      <c r="S987" s="17"/>
      <c r="T987" s="17"/>
      <c r="U987" s="17"/>
      <c r="V987" s="17"/>
    </row>
    <row r="988">
      <c r="A988" s="337"/>
      <c r="B988" s="164"/>
      <c r="C988" s="337"/>
      <c r="D988" s="164"/>
      <c r="E988" s="337"/>
      <c r="F988" s="164"/>
      <c r="G988" s="337"/>
      <c r="H988" s="164"/>
      <c r="I988" s="365"/>
      <c r="J988" s="184"/>
      <c r="K988" s="365"/>
      <c r="L988" s="184"/>
      <c r="M988" s="337"/>
      <c r="N988" s="164"/>
      <c r="O988" s="337"/>
      <c r="P988" s="164"/>
      <c r="Q988" s="366"/>
      <c r="R988" s="366"/>
      <c r="S988" s="17"/>
      <c r="T988" s="17"/>
      <c r="U988" s="17"/>
      <c r="V988" s="17"/>
    </row>
    <row r="989">
      <c r="A989" s="337"/>
      <c r="B989" s="164"/>
      <c r="C989" s="337"/>
      <c r="D989" s="164"/>
      <c r="E989" s="337"/>
      <c r="F989" s="164"/>
      <c r="G989" s="337"/>
      <c r="H989" s="164"/>
      <c r="I989" s="365"/>
      <c r="J989" s="184"/>
      <c r="K989" s="365"/>
      <c r="L989" s="184"/>
      <c r="M989" s="337"/>
      <c r="N989" s="164"/>
      <c r="O989" s="337"/>
      <c r="P989" s="164"/>
      <c r="Q989" s="366"/>
      <c r="R989" s="366"/>
      <c r="S989" s="17"/>
      <c r="T989" s="17"/>
      <c r="U989" s="17"/>
      <c r="V989" s="17"/>
    </row>
    <row r="990">
      <c r="A990" s="337"/>
      <c r="B990" s="164"/>
      <c r="C990" s="337"/>
      <c r="D990" s="164"/>
      <c r="E990" s="337"/>
      <c r="F990" s="164"/>
      <c r="G990" s="337"/>
      <c r="H990" s="164"/>
      <c r="I990" s="365"/>
      <c r="J990" s="184"/>
      <c r="K990" s="365"/>
      <c r="L990" s="184"/>
      <c r="M990" s="337"/>
      <c r="N990" s="164"/>
      <c r="O990" s="337"/>
      <c r="P990" s="164"/>
      <c r="Q990" s="366"/>
      <c r="R990" s="366"/>
      <c r="S990" s="17"/>
      <c r="T990" s="17"/>
      <c r="U990" s="17"/>
      <c r="V990" s="17"/>
    </row>
    <row r="991">
      <c r="A991" s="337"/>
      <c r="B991" s="164"/>
      <c r="C991" s="337"/>
      <c r="D991" s="164"/>
      <c r="E991" s="337"/>
      <c r="F991" s="164"/>
      <c r="G991" s="337"/>
      <c r="H991" s="164"/>
      <c r="I991" s="365"/>
      <c r="J991" s="184"/>
      <c r="K991" s="365"/>
      <c r="L991" s="184"/>
      <c r="M991" s="337"/>
      <c r="N991" s="164"/>
      <c r="O991" s="337"/>
      <c r="P991" s="164"/>
      <c r="Q991" s="366"/>
      <c r="R991" s="366"/>
      <c r="S991" s="17"/>
      <c r="T991" s="17"/>
      <c r="U991" s="17"/>
      <c r="V991" s="17"/>
    </row>
    <row r="992">
      <c r="A992" s="337"/>
      <c r="B992" s="164"/>
      <c r="C992" s="337"/>
      <c r="D992" s="164"/>
      <c r="E992" s="337"/>
      <c r="F992" s="164"/>
      <c r="G992" s="337"/>
      <c r="H992" s="164"/>
      <c r="I992" s="365"/>
      <c r="J992" s="184"/>
      <c r="K992" s="365"/>
      <c r="L992" s="184"/>
      <c r="M992" s="337"/>
      <c r="N992" s="164"/>
      <c r="O992" s="337"/>
      <c r="P992" s="164"/>
      <c r="Q992" s="366"/>
      <c r="R992" s="366"/>
      <c r="S992" s="17"/>
      <c r="T992" s="17"/>
      <c r="U992" s="17"/>
      <c r="V992" s="17"/>
    </row>
    <row r="993">
      <c r="A993" s="337"/>
      <c r="B993" s="164"/>
      <c r="C993" s="337"/>
      <c r="D993" s="164"/>
      <c r="E993" s="337"/>
      <c r="F993" s="164"/>
      <c r="G993" s="337"/>
      <c r="H993" s="164"/>
      <c r="I993" s="365"/>
      <c r="J993" s="184"/>
      <c r="K993" s="365"/>
      <c r="L993" s="184"/>
      <c r="M993" s="337"/>
      <c r="N993" s="164"/>
      <c r="O993" s="337"/>
      <c r="P993" s="164"/>
      <c r="Q993" s="366"/>
      <c r="R993" s="366"/>
      <c r="S993" s="17"/>
      <c r="T993" s="17"/>
      <c r="U993" s="17"/>
      <c r="V993" s="17"/>
    </row>
    <row r="994">
      <c r="A994" s="337"/>
      <c r="B994" s="164"/>
      <c r="C994" s="337"/>
      <c r="D994" s="164"/>
      <c r="E994" s="337"/>
      <c r="F994" s="164"/>
      <c r="G994" s="337"/>
      <c r="H994" s="164"/>
      <c r="I994" s="365"/>
      <c r="J994" s="184"/>
      <c r="K994" s="365"/>
      <c r="L994" s="184"/>
      <c r="M994" s="337"/>
      <c r="N994" s="164"/>
      <c r="O994" s="337"/>
      <c r="P994" s="164"/>
      <c r="Q994" s="366"/>
      <c r="R994" s="366"/>
      <c r="S994" s="17"/>
      <c r="T994" s="17"/>
      <c r="U994" s="17"/>
      <c r="V994" s="17"/>
    </row>
    <row r="995">
      <c r="A995" s="337"/>
      <c r="B995" s="164"/>
      <c r="C995" s="337"/>
      <c r="D995" s="164"/>
      <c r="E995" s="337"/>
      <c r="F995" s="164"/>
      <c r="G995" s="337"/>
      <c r="H995" s="164"/>
      <c r="I995" s="365"/>
      <c r="J995" s="184"/>
      <c r="K995" s="365"/>
      <c r="L995" s="184"/>
      <c r="M995" s="337"/>
      <c r="N995" s="164"/>
      <c r="O995" s="337"/>
      <c r="P995" s="164"/>
      <c r="Q995" s="366"/>
      <c r="R995" s="366"/>
      <c r="S995" s="17"/>
      <c r="T995" s="17"/>
      <c r="U995" s="17"/>
      <c r="V995" s="17"/>
    </row>
    <row r="996">
      <c r="A996" s="337"/>
      <c r="B996" s="164"/>
      <c r="C996" s="337"/>
      <c r="D996" s="164"/>
      <c r="E996" s="337"/>
      <c r="F996" s="164"/>
      <c r="G996" s="337"/>
      <c r="H996" s="164"/>
      <c r="I996" s="365"/>
      <c r="J996" s="184"/>
      <c r="K996" s="365"/>
      <c r="L996" s="184"/>
      <c r="M996" s="337"/>
      <c r="N996" s="164"/>
      <c r="O996" s="337"/>
      <c r="P996" s="164"/>
      <c r="Q996" s="366"/>
      <c r="R996" s="366"/>
      <c r="S996" s="17"/>
      <c r="T996" s="17"/>
      <c r="U996" s="17"/>
      <c r="V996" s="17"/>
    </row>
    <row r="997">
      <c r="A997" s="337"/>
      <c r="B997" s="164"/>
      <c r="C997" s="337"/>
      <c r="D997" s="164"/>
      <c r="E997" s="337"/>
      <c r="F997" s="164"/>
      <c r="G997" s="337"/>
      <c r="H997" s="164"/>
      <c r="I997" s="365"/>
      <c r="J997" s="184"/>
      <c r="K997" s="365"/>
      <c r="L997" s="184"/>
      <c r="M997" s="337"/>
      <c r="N997" s="164"/>
      <c r="O997" s="337"/>
      <c r="P997" s="164"/>
      <c r="Q997" s="366"/>
      <c r="R997" s="366"/>
      <c r="S997" s="17"/>
      <c r="T997" s="17"/>
      <c r="U997" s="17"/>
      <c r="V997" s="17"/>
    </row>
    <row r="998">
      <c r="A998" s="337"/>
      <c r="B998" s="164"/>
      <c r="C998" s="337"/>
      <c r="D998" s="164"/>
      <c r="E998" s="337"/>
      <c r="F998" s="164"/>
      <c r="G998" s="337"/>
      <c r="H998" s="164"/>
      <c r="I998" s="365"/>
      <c r="J998" s="184"/>
      <c r="K998" s="365"/>
      <c r="L998" s="184"/>
      <c r="M998" s="337"/>
      <c r="N998" s="164"/>
      <c r="O998" s="337"/>
      <c r="P998" s="164"/>
      <c r="Q998" s="366"/>
      <c r="R998" s="366"/>
      <c r="S998" s="17"/>
      <c r="T998" s="17"/>
      <c r="U998" s="17"/>
      <c r="V998" s="17"/>
    </row>
    <row r="999">
      <c r="A999" s="337"/>
      <c r="B999" s="164"/>
      <c r="C999" s="337"/>
      <c r="D999" s="164"/>
      <c r="E999" s="337"/>
      <c r="F999" s="164"/>
      <c r="G999" s="337"/>
      <c r="H999" s="164"/>
      <c r="I999" s="365"/>
      <c r="J999" s="184"/>
      <c r="K999" s="365"/>
      <c r="L999" s="184"/>
      <c r="M999" s="337"/>
      <c r="N999" s="164"/>
      <c r="O999" s="337"/>
      <c r="P999" s="164"/>
      <c r="Q999" s="366"/>
      <c r="R999" s="366"/>
      <c r="S999" s="17"/>
      <c r="T999" s="17"/>
      <c r="U999" s="17"/>
      <c r="V999" s="17"/>
    </row>
    <row r="1000">
      <c r="A1000" s="337"/>
      <c r="B1000" s="164"/>
      <c r="C1000" s="337"/>
      <c r="D1000" s="164"/>
      <c r="E1000" s="337"/>
      <c r="F1000" s="164"/>
      <c r="G1000" s="337"/>
      <c r="H1000" s="164"/>
      <c r="I1000" s="365"/>
      <c r="J1000" s="184"/>
      <c r="K1000" s="365"/>
      <c r="L1000" s="184"/>
      <c r="M1000" s="337"/>
      <c r="N1000" s="164"/>
      <c r="O1000" s="337"/>
      <c r="P1000" s="164"/>
      <c r="Q1000" s="366"/>
      <c r="R1000" s="366"/>
      <c r="S1000" s="17"/>
      <c r="T1000" s="17"/>
      <c r="U1000" s="17"/>
      <c r="V1000" s="17"/>
    </row>
    <row r="1001">
      <c r="A1001" s="337"/>
      <c r="B1001" s="164"/>
      <c r="C1001" s="337"/>
      <c r="D1001" s="164"/>
      <c r="E1001" s="337"/>
      <c r="F1001" s="164"/>
      <c r="G1001" s="337"/>
      <c r="H1001" s="164"/>
      <c r="I1001" s="365"/>
      <c r="J1001" s="184"/>
      <c r="K1001" s="365"/>
      <c r="L1001" s="184"/>
      <c r="M1001" s="337"/>
      <c r="N1001" s="164"/>
      <c r="O1001" s="337"/>
      <c r="P1001" s="164"/>
      <c r="Q1001" s="337"/>
      <c r="R1001" s="164"/>
      <c r="S1001" s="17"/>
      <c r="T1001" s="17"/>
      <c r="U1001" s="17"/>
      <c r="V1001" s="17"/>
    </row>
  </sheetData>
  <mergeCells count="9">
    <mergeCell ref="O1:P1"/>
    <mergeCell ref="Q1:R1"/>
    <mergeCell ref="A1:B1"/>
    <mergeCell ref="C1:D1"/>
    <mergeCell ref="E1:F1"/>
    <mergeCell ref="G1:H1"/>
    <mergeCell ref="I1:J1"/>
    <mergeCell ref="K1:L1"/>
    <mergeCell ref="M1:N1"/>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6" max="6" width="31.75"/>
    <col customWidth="1" min="11" max="11" width="33.5"/>
    <col customWidth="1" min="13" max="13" width="15.63"/>
    <col customWidth="1" min="14" max="14" width="15.13"/>
    <col customWidth="1" min="15" max="15" width="14.13"/>
    <col customWidth="1" min="16" max="16" width="32.0"/>
    <col customWidth="1" min="18" max="20" width="13.0"/>
    <col customWidth="1" min="21" max="21" width="32.0"/>
    <col customWidth="1" min="23" max="25" width="13.0"/>
    <col customWidth="1" min="26" max="26" width="32.0"/>
    <col customWidth="1" min="28" max="30" width="13.0"/>
    <col customWidth="1" min="31" max="31" width="32.0"/>
    <col customWidth="1" min="33" max="35" width="13.0"/>
    <col customWidth="1" min="36" max="36" width="32.0"/>
    <col customWidth="1" min="38" max="40" width="13.0"/>
    <col customWidth="1" min="41" max="41" width="31.75"/>
    <col customWidth="1" min="43" max="45" width="13.0"/>
  </cols>
  <sheetData>
    <row r="1" ht="75.0" customHeight="1">
      <c r="A1" s="367" t="s">
        <v>5989</v>
      </c>
      <c r="B1" s="368" t="s">
        <v>237</v>
      </c>
      <c r="C1" s="369" t="s">
        <v>5990</v>
      </c>
      <c r="F1" s="367" t="s">
        <v>5991</v>
      </c>
      <c r="G1" s="368" t="s">
        <v>237</v>
      </c>
      <c r="H1" s="370" t="s">
        <v>5992</v>
      </c>
      <c r="K1" s="367" t="s">
        <v>5993</v>
      </c>
      <c r="L1" s="368" t="s">
        <v>237</v>
      </c>
      <c r="M1" s="370" t="s">
        <v>5994</v>
      </c>
      <c r="P1" s="367" t="str">
        <f>IFERROR(__xludf.DUMMYFUNCTION("GOOGLETRANSLATE(A1,""zh-tw"",""zh"")"),"吃饱效果(夜袭时间延长)")</f>
        <v>吃饱效果(夜袭时间延长)</v>
      </c>
      <c r="Q1" s="368" t="str">
        <f>IFERROR(__xludf.DUMMYFUNCTION("GOOGLETRANSLATE(B1,""zh-tw"",""zh"")"),"A")</f>
        <v>A</v>
      </c>
      <c r="R1" s="177" t="str">
        <f>IFERROR(__xludf.DUMMYFUNCTION("GOOGLETRANSLATE(C1,""zh-tw"",""zh"")"),"食材的材料举例: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f>
        <v>食材的材料举例:
食材只是权重分配，有一定的机率性、共通性，因此不见得每次都能成功。
比如胡萝卜这个食材，它同时持有Carrot,Vegetable,Red三个标签。
并且同一组食材也有可能产生出不同的料理。
每道料理都可以加辣椒，所以有机率多产生辣的效果。另外每多加一个辣椒都会增加被辣到的机率。</v>
      </c>
      <c r="U1" s="367" t="str">
        <f>IFERROR(__xludf.DUMMYFUNCTION("GOOGLETRANSLATE(A1,""zh-tw"",""es-MX"")"),"El efecto de estar bien alimentado (prolonga la duración de las incursiones nocturnas)")</f>
        <v>El efecto de estar bien alimentado (prolonga la duración de las incursiones nocturnas)</v>
      </c>
      <c r="V1" s="368" t="s">
        <v>237</v>
      </c>
      <c r="W1" s="371" t="str">
        <f>IFERROR(__xludf.DUMMYFUNCTION("GOOGLETRANSLATE(C1,""zh-tw"",""es-MX"")"),"Ejemplos de ingredientes: Los ingredientes solo tienen una ponderación y un cierto grado de probabilidad y frecuencia, por lo que el éxito no está garantizado siempre.
Por ejemplo, el ingrediente zanahoria puede tener simultáneamente las etiquetas Zanaho"&amp;"ria, Verdura y Rojo.
Además, con el mismo conjunto de ingredientes se pueden obtener platos diferentes.
A cada plato se le pueden añadir chiles, lo que aumenta la probabilidad de que sea más picante. Asimismo, cada chile adicional incrementa la probabil"&amp;"idad de que el plato sea picante.")</f>
        <v>Ejemplos de ingredientes: Los ingredientes solo tienen una ponderación y un cierto grado de probabilidad y frecuencia, por lo que el éxito no está garantizado siempre.
Por ejemplo, el ingrediente zanahoria puede tener simultáneamente las etiquetas Zanahoria, Verdura y Rojo.
Además, con el mismo conjunto de ingredientes se pueden obtener platos diferentes.
A cada plato se le pueden añadir chiles, lo que aumenta la probabilidad de que sea más picante. Asimismo, cada chile adicional incrementa la probabilidad de que el plato sea picante.</v>
      </c>
      <c r="Z1" s="367" t="str">
        <f>IFERROR(__xludf.DUMMYFUNCTION("GOOGLETRANSLATE(A1,""zh-tw"",""KO"")"),"배불리 먹는 효과 (야간 습격 지속 시간 연장)")</f>
        <v>배불리 먹는 효과 (야간 습격 지속 시간 연장)</v>
      </c>
      <c r="AA1" s="368" t="s">
        <v>237</v>
      </c>
      <c r="AB1" s="371" t="str">
        <f>IFERROR(__xludf.DUMMYFUNCTION("GOOGLETRANSLATE(C1,""zh-tw"",""ko"")"),"재료 예시: 재료는 가중치만 적용되고 일정 확률과 공통성을 가지므로 항상 성공이 보장되는 것은 아닙니다.
예를 들어, 재료 '당근'에는 '당근', '야채', '빨간색' 태그가 동시에 붙습니다.
더 나아가, 같은 재료 세트로 다양한 요리가 만들어질 수 있습니다.
각 요리에 고추를 추가할 수 있으므로 더 매운 효과를 낼 가능성이 있습니다. 또한, 고추를 추가할 때마다 매운맛이 더해질 확률이 높아집니다.")</f>
        <v>재료 예시: 재료는 가중치만 적용되고 일정 확률과 공통성을 가지므로 항상 성공이 보장되는 것은 아닙니다.
예를 들어, 재료 '당근'에는 '당근', '야채', '빨간색' 태그가 동시에 붙습니다.
더 나아가, 같은 재료 세트로 다양한 요리가 만들어질 수 있습니다.
각 요리에 고추를 추가할 수 있으므로 더 매운 효과를 낼 가능성이 있습니다. 또한, 고추를 추가할 때마다 매운맛이 더해질 확률이 높아집니다.</v>
      </c>
      <c r="AE1" s="367" t="str">
        <f>IFERROR(__xludf.DUMMYFUNCTION("GOOGLETRANSLATE(A1,""zh-tw"",""ru"")"),"Эффект сытости (увеличивает продолжительность ночного рейда)")</f>
        <v>Эффект сытости (увеличивает продолжительность ночного рейда)</v>
      </c>
      <c r="AF1" s="368" t="s">
        <v>237</v>
      </c>
      <c r="AG1" s="371" t="str">
        <f>IFERROR(__xludf.DUMMYFUNCTION("GOOGLETRANSLATE(C1,""zh-tw"",""ru"")"),"Примеры ингредиентов: Ингредиенты имеют лишь вес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из одного и того "&amp;"же набора ингредиентов могут получаться разные блюда.
В каждое блюдо можно добавить перец чили, что даёт шанс создать более острый эффект. Кроме того, каждый дополнительный перец чили увеличивает вероятность получения острого блюда.")</f>
        <v>Примеры ингредиентов: Ингредиенты имеют лишь вес и определённую степень вероятности и общности, поэтому успех не гарантирован каждый раз.
Например, ингредиент «морковь» одновременно имеет теги «морковь», «овощ» и «красный».
Более того, из одного и того же набора ингредиентов могут получаться разные блюда.
В каждое блюдо можно добавить перец чили, что даёт шанс создать более острый эффект. Кроме того, каждый дополнительный перец чили увеличивает вероятность получения острого блюда.</v>
      </c>
      <c r="AJ1" s="372" t="s">
        <v>5995</v>
      </c>
      <c r="AK1" s="368" t="s">
        <v>237</v>
      </c>
      <c r="AL1" s="369" t="s">
        <v>5996</v>
      </c>
      <c r="AO1" s="373" t="s">
        <v>5997</v>
      </c>
      <c r="AP1" s="374" t="s">
        <v>237</v>
      </c>
      <c r="AQ1" s="184" t="s">
        <v>5998</v>
      </c>
    </row>
    <row r="2" ht="75.0" customHeight="1">
      <c r="A2" s="367" t="s">
        <v>5999</v>
      </c>
      <c r="B2" s="368" t="s">
        <v>788</v>
      </c>
      <c r="F2" s="367" t="s">
        <v>6000</v>
      </c>
      <c r="G2" s="368" t="s">
        <v>788</v>
      </c>
      <c r="K2" s="367" t="s">
        <v>6001</v>
      </c>
      <c r="L2" s="368" t="s">
        <v>788</v>
      </c>
      <c r="P2" s="367" t="str">
        <f>IFERROR(__xludf.DUMMYFUNCTION("GOOGLETRANSLATE(A2,""zh-tw"",""zh"")"),"妹妹辣到哭了(机率触发)")</f>
        <v>妹妹辣到哭了(机率触发)</v>
      </c>
      <c r="Q2" s="368" t="str">
        <f>IFERROR(__xludf.DUMMYFUNCTION("GOOGLETRANSLATE(B2,""zh-tw"",""zh"")"),"B")</f>
        <v>B</v>
      </c>
      <c r="U2" s="367" t="str">
        <f>IFERROR(__xludf.DUMMYFUNCTION("GOOGLETRANSLATE(A2,""zh-tw"",""es-MX"")"),"Mi hermana lloró porque la comida estaba muy picante (desencadenante fortuito).")</f>
        <v>Mi hermana lloró porque la comida estaba muy picante (desencadenante fortuito).</v>
      </c>
      <c r="V2" s="368" t="s">
        <v>788</v>
      </c>
      <c r="Z2" s="367" t="str">
        <f>IFERROR(__xludf.DUMMYFUNCTION("GOOGLETRANSLATE(A2,""zh-tw"",""KO"")"),"언니는 음식이 너무 매워서 울었어요(우연에 의한 트리거).")</f>
        <v>언니는 음식이 너무 매워서 울었어요(우연에 의한 트리거).</v>
      </c>
      <c r="AA2" s="368" t="s">
        <v>788</v>
      </c>
      <c r="AE2" s="367" t="str">
        <f>IFERROR(__xludf.DUMMYFUNCTION("GOOGLETRANSLATE(A2,""zh-tw"",""ru"")"),"Моя сестра плакала, потому что еда была очень острой (случайный триггер).")</f>
        <v>Моя сестра плакала, потому что еда была очень острой (случайный триггер).</v>
      </c>
      <c r="AF2" s="368" t="s">
        <v>788</v>
      </c>
      <c r="AJ2" s="372" t="s">
        <v>6002</v>
      </c>
      <c r="AK2" s="368" t="s">
        <v>788</v>
      </c>
      <c r="AO2" s="182" t="s">
        <v>6003</v>
      </c>
      <c r="AP2" s="375" t="s">
        <v>788</v>
      </c>
    </row>
    <row r="3">
      <c r="A3" s="376" t="s">
        <v>6004</v>
      </c>
      <c r="B3" s="377" t="s">
        <v>5550</v>
      </c>
      <c r="F3" s="376" t="str">
        <f>IFERROR(__xludf.DUMMYFUNCTION("GOOGLETRANSLATE(A3,""zh-tw"",""ja"")"),"料理名")</f>
        <v>料理名</v>
      </c>
      <c r="G3" s="377" t="str">
        <f>IFERROR(__xludf.DUMMYFUNCTION("GOOGLETRANSLATE(B3,""zh-tw"",""ja"")"),"効果")</f>
        <v>効果</v>
      </c>
      <c r="K3" s="376" t="s">
        <v>6005</v>
      </c>
      <c r="L3" s="377" t="s">
        <v>6006</v>
      </c>
      <c r="P3" s="67" t="str">
        <f>IFERROR(__xludf.DUMMYFUNCTION("GOOGLETRANSLATE(A3,""zh-tw"",""zh"")"),"料理名")</f>
        <v>料理名</v>
      </c>
      <c r="Q3" s="66" t="str">
        <f>IFERROR(__xludf.DUMMYFUNCTION("GOOGLETRANSLATE(B3,""zh-tw"",""zh"")"),"效果")</f>
        <v>效果</v>
      </c>
      <c r="U3" s="376" t="str">
        <f>IFERROR(__xludf.DUMMYFUNCTION("GOOGLETRANSLATE(A3,""zh-tw"",""es-MX"")"),"Nombre del plato")</f>
        <v>Nombre del plato</v>
      </c>
      <c r="V3" s="377" t="str">
        <f>IFERROR(__xludf.DUMMYFUNCTION("GOOGLETRANSLATE(B3,""zh-tw"",""es-MX"")"),"Efecto")</f>
        <v>Efecto</v>
      </c>
      <c r="Z3" s="376" t="str">
        <f>IFERROR(__xludf.DUMMYFUNCTION("GOOGLETRANSLATE(A3,""zh-tw"",""KO"")"),"요리 이름")</f>
        <v>요리 이름</v>
      </c>
      <c r="AA3" s="378" t="str">
        <f>IFERROR(__xludf.DUMMYFUNCTION("GOOGLETRANSLATE(B3,""zh-tw"",""KO"")"),"효과")</f>
        <v>효과</v>
      </c>
      <c r="AE3" s="376" t="str">
        <f>IFERROR(__xludf.DUMMYFUNCTION("GOOGLETRANSLATE(A3,""zh-tw"",""ru"")"),"Название блюда")</f>
        <v>Название блюда</v>
      </c>
      <c r="AF3" s="377" t="str">
        <f>IFERROR(__xludf.DUMMYFUNCTION("GOOGLETRANSLATE(B3,""zh-tw"",""ru"")"),"Эффект")</f>
        <v>Эффект</v>
      </c>
      <c r="AJ3" s="379" t="s">
        <v>6007</v>
      </c>
      <c r="AK3" s="378" t="s">
        <v>6008</v>
      </c>
      <c r="AO3" s="380" t="s">
        <v>6009</v>
      </c>
      <c r="AP3" s="381" t="s">
        <v>4398</v>
      </c>
    </row>
    <row r="4">
      <c r="A4" s="382" t="s">
        <v>6010</v>
      </c>
      <c r="B4" s="383"/>
      <c r="C4" s="165" t="s">
        <v>6011</v>
      </c>
      <c r="D4" s="177"/>
      <c r="E4" s="177"/>
      <c r="F4" s="382" t="s">
        <v>6012</v>
      </c>
      <c r="G4" s="383"/>
      <c r="H4" s="165" t="s">
        <v>6013</v>
      </c>
      <c r="I4" s="177"/>
      <c r="J4" s="177"/>
      <c r="K4" s="103" t="s">
        <v>6014</v>
      </c>
      <c r="L4" s="383"/>
      <c r="M4" s="163" t="s">
        <v>6015</v>
      </c>
      <c r="N4" s="164"/>
      <c r="O4" s="164"/>
      <c r="P4" s="384" t="str">
        <f>IFERROR(__xludf.DUMMYFUNCTION("GOOGLETRANSLATE(A4,""zh-tw"",""zh"")"),"史莱姆果冻")</f>
        <v>史莱姆果冻</v>
      </c>
      <c r="Q4" s="66"/>
      <c r="R4" s="69" t="str">
        <f>IFERROR(__xludf.DUMMYFUNCTION("GOOGLETRANSLATE(C4,""zh-tw"",""zh"")"),"史莱姆黏液")</f>
        <v>史莱姆黏液</v>
      </c>
      <c r="S4" s="69"/>
      <c r="T4" s="69"/>
      <c r="U4" s="382" t="str">
        <f>IFERROR(__xludf.DUMMYFUNCTION("GOOGLETRANSLATE(A4,""zh-tw"",""es-MX"")"),"Gelatina de baba")</f>
        <v>Gelatina de baba</v>
      </c>
      <c r="V4" s="377"/>
      <c r="W4" s="165" t="str">
        <f>IFERROR(__xludf.DUMMYFUNCTION("GOOGLETRANSLATE(C4,""zh-tw"",""es-MX"")"),"limo")</f>
        <v>limo</v>
      </c>
      <c r="X4" s="165"/>
      <c r="Y4" s="165"/>
      <c r="Z4" s="385" t="str">
        <f>IFERROR(__xludf.DUMMYFUNCTION("GOOGLETRANSLATE(A4,""zh-tw"",""KO"")"),"슬라임 젤리")</f>
        <v>슬라임 젤리</v>
      </c>
      <c r="AA4" s="378"/>
      <c r="AB4" s="163" t="s">
        <v>6016</v>
      </c>
      <c r="AC4" s="177"/>
      <c r="AD4" s="177"/>
      <c r="AE4" s="382" t="str">
        <f>IFERROR(__xludf.DUMMYFUNCTION("GOOGLETRANSLATE(A4,""zh-tw"",""ru"")"),"Слизистое желе")</f>
        <v>Слизистое желе</v>
      </c>
      <c r="AF4" s="377"/>
      <c r="AG4" s="165" t="str">
        <f>IFERROR(__xludf.DUMMYFUNCTION("GOOGLETRANSLATE(C4,""zh-tw"",""ru"")"),"слизь")</f>
        <v>слизь</v>
      </c>
      <c r="AH4" s="165"/>
      <c r="AI4" s="165"/>
      <c r="AJ4" s="386" t="s">
        <v>6017</v>
      </c>
      <c r="AK4" s="378"/>
      <c r="AL4" s="163" t="s">
        <v>6018</v>
      </c>
      <c r="AM4" s="164"/>
      <c r="AN4" s="164"/>
      <c r="AO4" s="181" t="s">
        <v>6019</v>
      </c>
      <c r="AP4" s="191"/>
      <c r="AQ4" s="183" t="s">
        <v>6020</v>
      </c>
      <c r="AR4" s="184"/>
      <c r="AS4" s="184"/>
    </row>
    <row r="5">
      <c r="A5" s="382" t="s">
        <v>6021</v>
      </c>
      <c r="B5" s="383"/>
      <c r="C5" s="165" t="s">
        <v>6022</v>
      </c>
      <c r="D5" s="165" t="s">
        <v>6023</v>
      </c>
      <c r="E5" s="177"/>
      <c r="F5" s="382" t="s">
        <v>6024</v>
      </c>
      <c r="G5" s="383"/>
      <c r="H5" s="165" t="s">
        <v>6025</v>
      </c>
      <c r="I5" s="165" t="s">
        <v>6026</v>
      </c>
      <c r="J5" s="177"/>
      <c r="K5" s="99" t="s">
        <v>6027</v>
      </c>
      <c r="L5" s="383"/>
      <c r="M5" s="163" t="s">
        <v>6028</v>
      </c>
      <c r="N5" s="163" t="s">
        <v>6029</v>
      </c>
      <c r="O5" s="164"/>
      <c r="P5" s="384" t="str">
        <f>IFERROR(__xludf.DUMMYFUNCTION("GOOGLETRANSLATE(A5,""zh-tw"",""zh"")"),"咖喱饭")</f>
        <v>咖喱饭</v>
      </c>
      <c r="Q5" s="66"/>
      <c r="R5" s="69" t="str">
        <f>IFERROR(__xludf.DUMMYFUNCTION("GOOGLETRANSLATE(C5,""zh-tw"",""zh"")"),"白米饭")</f>
        <v>白米饭</v>
      </c>
      <c r="S5" s="69" t="str">
        <f>IFERROR(__xludf.DUMMYFUNCTION("GOOGLETRANSLATE(D5,""zh-tw"",""zh"")"),"咖喱块")</f>
        <v>咖喱块</v>
      </c>
      <c r="T5" s="69"/>
      <c r="U5" s="382" t="str">
        <f>IFERROR(__xludf.DUMMYFUNCTION("GOOGLETRANSLATE(A5,""zh-tw"",""es-MX"")"),"Arroz al curry")</f>
        <v>Arroz al curry</v>
      </c>
      <c r="V5" s="377"/>
      <c r="W5" s="165" t="str">
        <f>IFERROR(__xludf.DUMMYFUNCTION("GOOGLETRANSLATE(C5,""zh-tw"",""es-MX"")"),"arroz blanco")</f>
        <v>arroz blanco</v>
      </c>
      <c r="X5" s="165" t="str">
        <f>IFERROR(__xludf.DUMMYFUNCTION("GOOGLETRANSLATE(D5,""zh-tw"",""es-MX"")"),"cubos de curry")</f>
        <v>cubos de curry</v>
      </c>
      <c r="Y5" s="165"/>
      <c r="Z5" s="385" t="str">
        <f>IFERROR(__xludf.DUMMYFUNCTION("GOOGLETRANSLATE(A5,""zh-tw"",""KO"")"),"카레라이스")</f>
        <v>카레라이스</v>
      </c>
      <c r="AA5" s="378"/>
      <c r="AB5" s="164" t="str">
        <f>IFERROR(__xludf.DUMMYFUNCTION("GOOGLETRANSLATE(C5,""zh-tw"",""KO"")"),"흰쌀")</f>
        <v>흰쌀</v>
      </c>
      <c r="AC5" s="163" t="s">
        <v>6030</v>
      </c>
      <c r="AD5" s="164"/>
      <c r="AE5" s="382" t="str">
        <f>IFERROR(__xludf.DUMMYFUNCTION("GOOGLETRANSLATE(A5,""zh-tw"",""ru"")"),"Карри с рисом")</f>
        <v>Карри с рисом</v>
      </c>
      <c r="AF5" s="377"/>
      <c r="AG5" s="165" t="str">
        <f>IFERROR(__xludf.DUMMYFUNCTION("GOOGLETRANSLATE(C5,""zh-tw"",""ru"")"),"Белый рис")</f>
        <v>Белый рис</v>
      </c>
      <c r="AH5" s="165" t="str">
        <f>IFERROR(__xludf.DUMMYFUNCTION("GOOGLETRANSLATE(D5,""zh-tw"",""ru"")"),"кубики карри")</f>
        <v>кубики карри</v>
      </c>
      <c r="AI5" s="165"/>
      <c r="AJ5" s="386" t="s">
        <v>6031</v>
      </c>
      <c r="AK5" s="378"/>
      <c r="AL5" s="163" t="s">
        <v>6032</v>
      </c>
      <c r="AM5" s="163" t="s">
        <v>6033</v>
      </c>
      <c r="AN5" s="164"/>
      <c r="AO5" s="181" t="s">
        <v>6034</v>
      </c>
      <c r="AP5" s="191"/>
      <c r="AQ5" s="183" t="s">
        <v>6035</v>
      </c>
      <c r="AR5" s="183" t="s">
        <v>6036</v>
      </c>
      <c r="AS5" s="184"/>
    </row>
    <row r="6">
      <c r="A6" s="382" t="s">
        <v>6037</v>
      </c>
      <c r="B6" s="383"/>
      <c r="C6" s="165" t="s">
        <v>6038</v>
      </c>
      <c r="D6" s="165" t="s">
        <v>6039</v>
      </c>
      <c r="E6" s="177"/>
      <c r="F6" s="382" t="s">
        <v>6040</v>
      </c>
      <c r="G6" s="383"/>
      <c r="H6" s="165" t="s">
        <v>6041</v>
      </c>
      <c r="I6" s="165" t="s">
        <v>6042</v>
      </c>
      <c r="J6" s="177"/>
      <c r="K6" s="103" t="s">
        <v>6043</v>
      </c>
      <c r="L6" s="383"/>
      <c r="M6" s="163" t="s">
        <v>6044</v>
      </c>
      <c r="N6" s="163" t="s">
        <v>6045</v>
      </c>
      <c r="O6" s="164"/>
      <c r="P6" s="384" t="str">
        <f>IFERROR(__xludf.DUMMYFUNCTION("GOOGLETRANSLATE(A6,""zh-tw"",""zh"")"),"苹果派")</f>
        <v>苹果派</v>
      </c>
      <c r="Q6" s="66"/>
      <c r="R6" s="69" t="str">
        <f>IFERROR(__xludf.DUMMYFUNCTION("GOOGLETRANSLATE(C6,""zh-tw"",""zh"")"),"苹果")</f>
        <v>苹果</v>
      </c>
      <c r="S6" s="69" t="str">
        <f>IFERROR(__xludf.DUMMYFUNCTION("GOOGLETRANSLATE(D6,""zh-tw"",""zh"")"),"小麦粉")</f>
        <v>小麦粉</v>
      </c>
      <c r="T6" s="69"/>
      <c r="U6" s="382" t="str">
        <f>IFERROR(__xludf.DUMMYFUNCTION("GOOGLETRANSLATE(A6,""zh-tw"",""es-MX"")"),"Tarta de manzana")</f>
        <v>Tarta de manzana</v>
      </c>
      <c r="V6" s="377"/>
      <c r="W6" s="165" t="str">
        <f>IFERROR(__xludf.DUMMYFUNCTION("GOOGLETRANSLATE(C6,""zh-tw"",""es-MX"")"),"manzana")</f>
        <v>manzana</v>
      </c>
      <c r="X6" s="165" t="str">
        <f>IFERROR(__xludf.DUMMYFUNCTION("GOOGLETRANSLATE(D6,""zh-tw"",""es-MX"")"),"harina de trigo")</f>
        <v>harina de trigo</v>
      </c>
      <c r="Y6" s="165"/>
      <c r="Z6" s="385" t="str">
        <f>IFERROR(__xludf.DUMMYFUNCTION("GOOGLETRANSLATE(A6,""zh-tw"",""KO"")"),"애플파이")</f>
        <v>애플파이</v>
      </c>
      <c r="AA6" s="378"/>
      <c r="AB6" s="164" t="str">
        <f>IFERROR(__xludf.DUMMYFUNCTION("GOOGLETRANSLATE(C6,""zh-tw"",""KO"")"),"사과")</f>
        <v>사과</v>
      </c>
      <c r="AC6" s="164" t="str">
        <f>IFERROR(__xludf.DUMMYFUNCTION("GOOGLETRANSLATE(D6,""zh-tw"",""KO"")"),"밀가루")</f>
        <v>밀가루</v>
      </c>
      <c r="AD6" s="164"/>
      <c r="AE6" s="382" t="str">
        <f>IFERROR(__xludf.DUMMYFUNCTION("GOOGLETRANSLATE(A6,""zh-tw"",""ru"")"),"Яблочный пирог")</f>
        <v>Яблочный пирог</v>
      </c>
      <c r="AF6" s="377"/>
      <c r="AG6" s="165" t="str">
        <f>IFERROR(__xludf.DUMMYFUNCTION("GOOGLETRANSLATE(C6,""zh-tw"",""ru"")"),"яблоко")</f>
        <v>яблоко</v>
      </c>
      <c r="AH6" s="165" t="str">
        <f>IFERROR(__xludf.DUMMYFUNCTION("GOOGLETRANSLATE(D6,""zh-tw"",""ru"")"),"пшеничная мука")</f>
        <v>пшеничная мука</v>
      </c>
      <c r="AI6" s="165"/>
      <c r="AJ6" s="386" t="s">
        <v>6046</v>
      </c>
      <c r="AK6" s="378"/>
      <c r="AL6" s="163" t="s">
        <v>6047</v>
      </c>
      <c r="AM6" s="163" t="s">
        <v>6048</v>
      </c>
      <c r="AN6" s="164"/>
      <c r="AO6" s="181" t="s">
        <v>6049</v>
      </c>
      <c r="AP6" s="191"/>
      <c r="AQ6" s="183" t="s">
        <v>6050</v>
      </c>
      <c r="AR6" s="183" t="s">
        <v>6051</v>
      </c>
      <c r="AS6" s="184"/>
    </row>
    <row r="7">
      <c r="A7" s="382" t="s">
        <v>6052</v>
      </c>
      <c r="B7" s="383"/>
      <c r="C7" s="165" t="s">
        <v>6038</v>
      </c>
      <c r="D7" s="177"/>
      <c r="E7" s="177"/>
      <c r="F7" s="382" t="s">
        <v>6053</v>
      </c>
      <c r="G7" s="383"/>
      <c r="H7" s="165" t="s">
        <v>6041</v>
      </c>
      <c r="I7" s="177"/>
      <c r="J7" s="177"/>
      <c r="K7" s="103" t="s">
        <v>6054</v>
      </c>
      <c r="L7" s="383"/>
      <c r="M7" s="163" t="s">
        <v>6044</v>
      </c>
      <c r="N7" s="164"/>
      <c r="O7" s="164"/>
      <c r="P7" s="384" t="str">
        <f>IFERROR(__xludf.DUMMYFUNCTION("GOOGLETRANSLATE(A7,""zh-tw"",""zh"")"),"烤苹果")</f>
        <v>烤苹果</v>
      </c>
      <c r="Q7" s="66"/>
      <c r="R7" s="69" t="str">
        <f>IFERROR(__xludf.DUMMYFUNCTION("GOOGLETRANSLATE(C7,""zh-tw"",""zh"")"),"苹果")</f>
        <v>苹果</v>
      </c>
      <c r="S7" s="69"/>
      <c r="T7" s="69"/>
      <c r="U7" s="382" t="str">
        <f>IFERROR(__xludf.DUMMYFUNCTION("GOOGLETRANSLATE(A7,""zh-tw"",""es-MX"")"),"Manzanas al horno")</f>
        <v>Manzanas al horno</v>
      </c>
      <c r="V7" s="377"/>
      <c r="W7" s="165" t="str">
        <f>IFERROR(__xludf.DUMMYFUNCTION("GOOGLETRANSLATE(C7,""zh-tw"",""es-MX"")"),"manzana")</f>
        <v>manzana</v>
      </c>
      <c r="X7" s="165"/>
      <c r="Y7" s="165"/>
      <c r="Z7" s="385" t="str">
        <f>IFERROR(__xludf.DUMMYFUNCTION("GOOGLETRANSLATE(A7,""zh-tw"",""KO"")"),"구운 사과")</f>
        <v>구운 사과</v>
      </c>
      <c r="AA7" s="378"/>
      <c r="AB7" s="164" t="str">
        <f>IFERROR(__xludf.DUMMYFUNCTION("GOOGLETRANSLATE(C7,""zh-tw"",""KO"")"),"사과")</f>
        <v>사과</v>
      </c>
      <c r="AC7" s="164"/>
      <c r="AD7" s="164"/>
      <c r="AE7" s="382" t="str">
        <f>IFERROR(__xludf.DUMMYFUNCTION("GOOGLETRANSLATE(A7,""zh-tw"",""ru"")"),"Печеные яблоки")</f>
        <v>Печеные яблоки</v>
      </c>
      <c r="AF7" s="377"/>
      <c r="AG7" s="165" t="str">
        <f>IFERROR(__xludf.DUMMYFUNCTION("GOOGLETRANSLATE(C7,""zh-tw"",""ru"")"),"яблоко")</f>
        <v>яблоко</v>
      </c>
      <c r="AH7" s="165"/>
      <c r="AI7" s="165"/>
      <c r="AJ7" s="386" t="s">
        <v>6055</v>
      </c>
      <c r="AK7" s="378"/>
      <c r="AL7" s="163" t="s">
        <v>6047</v>
      </c>
      <c r="AM7" s="164"/>
      <c r="AN7" s="164"/>
      <c r="AO7" s="181" t="s">
        <v>6056</v>
      </c>
      <c r="AP7" s="191"/>
      <c r="AQ7" s="183" t="s">
        <v>6050</v>
      </c>
      <c r="AR7" s="184"/>
      <c r="AS7" s="184"/>
    </row>
    <row r="8">
      <c r="A8" s="382" t="s">
        <v>6057</v>
      </c>
      <c r="B8" s="383"/>
      <c r="C8" s="165" t="s">
        <v>6058</v>
      </c>
      <c r="F8" s="382" t="s">
        <v>6059</v>
      </c>
      <c r="G8" s="383"/>
      <c r="H8" s="165" t="s">
        <v>594</v>
      </c>
      <c r="I8" s="177"/>
      <c r="J8" s="177"/>
      <c r="K8" s="103" t="s">
        <v>6060</v>
      </c>
      <c r="L8" s="383"/>
      <c r="M8" s="163" t="s">
        <v>6061</v>
      </c>
      <c r="N8" s="164"/>
      <c r="O8" s="164"/>
      <c r="P8" s="384" t="str">
        <f>IFERROR(__xludf.DUMMYFUNCTION("GOOGLETRANSLATE(A8,""zh-tw"",""zh"")"),"炒贝类")</f>
        <v>炒贝类</v>
      </c>
      <c r="Q8" s="66"/>
      <c r="R8" s="69" t="str">
        <f>IFERROR(__xludf.DUMMYFUNCTION("GOOGLETRANSLATE(C8,""zh-tw"",""zh"")"),"未实装(之后河边炸鱼可以炸出贝壳)")</f>
        <v>未实装(之后河边炸鱼可以炸出贝壳)</v>
      </c>
      <c r="U8" s="382" t="str">
        <f>IFERROR(__xludf.DUMMYFUNCTION("GOOGLETRANSLATE(A8,""zh-tw"",""es-MX"")"),"mariscos salteados")</f>
        <v>mariscos salteados</v>
      </c>
      <c r="V8" s="377"/>
      <c r="W8" s="165" t="str">
        <f>IFERROR(__xludf.DUMMYFUNCTION("GOOGLETRANSLATE(C8,""zh-tw"",""es-MX"")"),"Aún no implementado (más adelante, podrás pescar peces en el río y obtener conchas marinas).")</f>
        <v>Aún no implementado (más adelante, podrás pescar peces en el río y obtener conchas marinas).</v>
      </c>
      <c r="Z8" s="386" t="s">
        <v>6062</v>
      </c>
      <c r="AA8" s="378"/>
      <c r="AB8" s="163" t="s">
        <v>603</v>
      </c>
      <c r="AE8" s="382" t="str">
        <f>IFERROR(__xludf.DUMMYFUNCTION("GOOGLETRANSLATE(A8,""zh-tw"",""ru"")"),"Жареные моллюски")</f>
        <v>Жареные моллюски</v>
      </c>
      <c r="AF8" s="377"/>
      <c r="AG8" s="165" t="str">
        <f>IFERROR(__xludf.DUMMYFUNCTION("GOOGLETRANSLATE(C8,""zh-tw"",""ru"")"),"Пока не реализовано (позже вы сможете взрывать рыбу в реке и получать ракушки).")</f>
        <v>Пока не реализовано (позже вы сможете взрывать рыбу в реке и получать ракушки).</v>
      </c>
      <c r="AJ8" s="386" t="s">
        <v>6063</v>
      </c>
      <c r="AK8" s="378"/>
      <c r="AL8" s="163" t="s">
        <v>6064</v>
      </c>
      <c r="AO8" s="181" t="s">
        <v>6065</v>
      </c>
      <c r="AP8" s="191"/>
      <c r="AQ8" s="183" t="s">
        <v>6066</v>
      </c>
      <c r="AR8" s="184"/>
      <c r="AS8" s="184"/>
    </row>
    <row r="9">
      <c r="A9" s="382" t="s">
        <v>6067</v>
      </c>
      <c r="B9" s="383"/>
      <c r="C9" s="165" t="s">
        <v>6068</v>
      </c>
      <c r="D9" s="177"/>
      <c r="E9" s="177"/>
      <c r="F9" s="382" t="s">
        <v>6069</v>
      </c>
      <c r="G9" s="383"/>
      <c r="H9" s="165" t="s">
        <v>6068</v>
      </c>
      <c r="I9" s="177"/>
      <c r="J9" s="177"/>
      <c r="K9" s="103" t="s">
        <v>6070</v>
      </c>
      <c r="L9" s="383"/>
      <c r="M9" s="163" t="s">
        <v>6071</v>
      </c>
      <c r="N9" s="164"/>
      <c r="O9" s="164"/>
      <c r="P9" s="384" t="str">
        <f>IFERROR(__xludf.DUMMYFUNCTION("GOOGLETRANSLATE(A9,""zh-tw"",""zh"")"),"煎鱼")</f>
        <v>煎鱼</v>
      </c>
      <c r="Q9" s="66"/>
      <c r="R9" s="69" t="str">
        <f>IFERROR(__xludf.DUMMYFUNCTION("GOOGLETRANSLATE(C9,""zh-tw"",""zh"")"),"鱼类")</f>
        <v>鱼类</v>
      </c>
      <c r="S9" s="69"/>
      <c r="T9" s="69"/>
      <c r="U9" s="382" t="str">
        <f>IFERROR(__xludf.DUMMYFUNCTION("GOOGLETRANSLATE(A9,""zh-tw"",""es-MX"")"),"pescado frito")</f>
        <v>pescado frito</v>
      </c>
      <c r="V9" s="377"/>
      <c r="W9" s="165" t="str">
        <f>IFERROR(__xludf.DUMMYFUNCTION("GOOGLETRANSLATE(C9,""zh-tw"",""es-MX"")"),"Pez")</f>
        <v>Pez</v>
      </c>
      <c r="X9" s="165"/>
      <c r="Y9" s="165"/>
      <c r="Z9" s="386" t="s">
        <v>6072</v>
      </c>
      <c r="AA9" s="378"/>
      <c r="AB9" s="164" t="str">
        <f>IFERROR(__xludf.DUMMYFUNCTION("GOOGLETRANSLATE(C9,""zh-tw"",""KO"")"),"물고기")</f>
        <v>물고기</v>
      </c>
      <c r="AC9" s="164"/>
      <c r="AD9" s="164"/>
      <c r="AE9" s="382" t="str">
        <f>IFERROR(__xludf.DUMMYFUNCTION("GOOGLETRANSLATE(A9,""zh-tw"",""ru"")"),"Жареная рыба")</f>
        <v>Жареная рыба</v>
      </c>
      <c r="AF9" s="377"/>
      <c r="AG9" s="165" t="str">
        <f>IFERROR(__xludf.DUMMYFUNCTION("GOOGLETRANSLATE(C9,""zh-tw"",""ru"")"),"Рыба")</f>
        <v>Рыба</v>
      </c>
      <c r="AH9" s="165"/>
      <c r="AI9" s="165"/>
      <c r="AJ9" s="386" t="s">
        <v>6073</v>
      </c>
      <c r="AK9" s="378"/>
      <c r="AL9" s="163" t="s">
        <v>6074</v>
      </c>
      <c r="AM9" s="164"/>
      <c r="AN9" s="164"/>
      <c r="AO9" s="181" t="s">
        <v>6075</v>
      </c>
      <c r="AP9" s="191"/>
      <c r="AQ9" s="183" t="s">
        <v>6076</v>
      </c>
      <c r="AR9" s="184"/>
      <c r="AS9" s="184"/>
    </row>
    <row r="10">
      <c r="A10" s="382" t="s">
        <v>6077</v>
      </c>
      <c r="B10" s="383"/>
      <c r="C10" s="165" t="s">
        <v>4029</v>
      </c>
      <c r="D10" s="165" t="s">
        <v>4029</v>
      </c>
      <c r="E10" s="165" t="s">
        <v>4029</v>
      </c>
      <c r="F10" s="382" t="s">
        <v>6078</v>
      </c>
      <c r="G10" s="383"/>
      <c r="H10" s="165" t="s">
        <v>6079</v>
      </c>
      <c r="I10" s="165" t="s">
        <v>6079</v>
      </c>
      <c r="J10" s="165" t="s">
        <v>6079</v>
      </c>
      <c r="K10" s="103" t="s">
        <v>6080</v>
      </c>
      <c r="L10" s="383"/>
      <c r="M10" s="163" t="s">
        <v>4034</v>
      </c>
      <c r="N10" s="163" t="s">
        <v>4034</v>
      </c>
      <c r="O10" s="163" t="s">
        <v>4034</v>
      </c>
      <c r="P10" s="384" t="str">
        <f>IFERROR(__xludf.DUMMYFUNCTION("GOOGLETRANSLATE(A10,""zh-tw"",""zh"")"),"炒蘑菇")</f>
        <v>炒蘑菇</v>
      </c>
      <c r="Q10" s="66"/>
      <c r="R10" s="69" t="str">
        <f>IFERROR(__xludf.DUMMYFUNCTION("GOOGLETRANSLATE(C10,""zh-tw"",""zh"")"),"香菇")</f>
        <v>香菇</v>
      </c>
      <c r="S10" s="69" t="str">
        <f>IFERROR(__xludf.DUMMYFUNCTION("GOOGLETRANSLATE(D10,""zh-tw"",""zh"")"),"香菇")</f>
        <v>香菇</v>
      </c>
      <c r="T10" s="69" t="str">
        <f>IFERROR(__xludf.DUMMYFUNCTION("GOOGLETRANSLATE(E10,""zh-tw"",""zh"")"),"香菇")</f>
        <v>香菇</v>
      </c>
      <c r="U10" s="382" t="str">
        <f>IFERROR(__xludf.DUMMYFUNCTION("GOOGLETRANSLATE(A10,""zh-tw"",""es-MX"")"),"Champiñones salteados")</f>
        <v>Champiñones salteados</v>
      </c>
      <c r="V10" s="377"/>
      <c r="W10" s="165" t="str">
        <f>IFERROR(__xludf.DUMMYFUNCTION("GOOGLETRANSLATE(C10,""zh-tw"",""es-MX"")"),"champiñón")</f>
        <v>champiñón</v>
      </c>
      <c r="X10" s="165" t="str">
        <f>IFERROR(__xludf.DUMMYFUNCTION("GOOGLETRANSLATE(D10,""zh-tw"",""es-MX"")"),"champiñón")</f>
        <v>champiñón</v>
      </c>
      <c r="Y10" s="165" t="str">
        <f>IFERROR(__xludf.DUMMYFUNCTION("GOOGLETRANSLATE(E10,""zh-tw"",""es-MX"")"),"champiñón")</f>
        <v>champiñón</v>
      </c>
      <c r="Z10" s="386" t="s">
        <v>6081</v>
      </c>
      <c r="AA10" s="378"/>
      <c r="AB10" s="164" t="str">
        <f>IFERROR(__xludf.DUMMYFUNCTION("GOOGLETRANSLATE(C10,""zh-tw"",""KO"")"),"버섯")</f>
        <v>버섯</v>
      </c>
      <c r="AC10" s="164" t="str">
        <f>IFERROR(__xludf.DUMMYFUNCTION("GOOGLETRANSLATE(D10,""zh-tw"",""KO"")"),"버섯")</f>
        <v>버섯</v>
      </c>
      <c r="AD10" s="164" t="str">
        <f>IFERROR(__xludf.DUMMYFUNCTION("GOOGLETRANSLATE(E10,""zh-tw"",""KO"")"),"버섯")</f>
        <v>버섯</v>
      </c>
      <c r="AE10" s="382" t="str">
        <f>IFERROR(__xludf.DUMMYFUNCTION("GOOGLETRANSLATE(A10,""zh-tw"",""ru"")"),"Жареные грибы")</f>
        <v>Жареные грибы</v>
      </c>
      <c r="AF10" s="377"/>
      <c r="AG10" s="165" t="str">
        <f>IFERROR(__xludf.DUMMYFUNCTION("GOOGLETRANSLATE(C10,""zh-tw"",""ru"")"),"гриб")</f>
        <v>гриб</v>
      </c>
      <c r="AH10" s="165" t="str">
        <f>IFERROR(__xludf.DUMMYFUNCTION("GOOGLETRANSLATE(D10,""zh-tw"",""ru"")"),"гриб")</f>
        <v>гриб</v>
      </c>
      <c r="AI10" s="165" t="str">
        <f>IFERROR(__xludf.DUMMYFUNCTION("GOOGLETRANSLATE(E10,""zh-tw"",""ru"")"),"гриб")</f>
        <v>гриб</v>
      </c>
      <c r="AJ10" s="386" t="s">
        <v>6082</v>
      </c>
      <c r="AK10" s="378"/>
      <c r="AL10" s="163" t="s">
        <v>6083</v>
      </c>
      <c r="AM10" s="163" t="s">
        <v>6083</v>
      </c>
      <c r="AN10" s="163" t="s">
        <v>6083</v>
      </c>
      <c r="AO10" s="181" t="s">
        <v>6084</v>
      </c>
      <c r="AP10" s="191"/>
      <c r="AQ10" s="183" t="s">
        <v>4042</v>
      </c>
      <c r="AR10" s="183" t="s">
        <v>4042</v>
      </c>
      <c r="AS10" s="183" t="s">
        <v>4042</v>
      </c>
    </row>
    <row r="11">
      <c r="A11" s="387" t="s">
        <v>6085</v>
      </c>
      <c r="B11" s="383"/>
      <c r="C11" s="165" t="s">
        <v>6086</v>
      </c>
      <c r="D11" s="165" t="s">
        <v>4206</v>
      </c>
      <c r="E11" s="177"/>
      <c r="F11" s="382" t="s">
        <v>6087</v>
      </c>
      <c r="G11" s="383"/>
      <c r="H11" s="165" t="s">
        <v>6088</v>
      </c>
      <c r="I11" s="165" t="s">
        <v>6089</v>
      </c>
      <c r="J11" s="177"/>
      <c r="K11" s="103" t="s">
        <v>6090</v>
      </c>
      <c r="L11" s="383"/>
      <c r="M11" s="163" t="s">
        <v>6091</v>
      </c>
      <c r="N11" s="163" t="s">
        <v>4208</v>
      </c>
      <c r="O11" s="164"/>
      <c r="P11" s="384" t="str">
        <f>IFERROR(__xludf.DUMMYFUNCTION("GOOGLETRANSLATE(A11,""zh-tw"",""zh"")"),"烤串")</f>
        <v>烤串</v>
      </c>
      <c r="Q11" s="66"/>
      <c r="R11" s="69" t="str">
        <f>IFERROR(__xludf.DUMMYFUNCTION("GOOGLETRANSLATE(C11,""zh-tw"",""zh"")"),"大块兽肉")</f>
        <v>大块兽肉</v>
      </c>
      <c r="S11" s="69" t="str">
        <f>IFERROR(__xludf.DUMMYFUNCTION("GOOGLETRANSLATE(D11,""zh-tw"",""zh"")"),"土豆")</f>
        <v>土豆</v>
      </c>
      <c r="T11" s="69"/>
      <c r="U11" s="382" t="str">
        <f>IFERROR(__xludf.DUMMYFUNCTION("GOOGLETRANSLATE(A11,""zh-tw"",""es-MX"")"),"Brochetas a la parrilla")</f>
        <v>Brochetas a la parrilla</v>
      </c>
      <c r="V11" s="377"/>
      <c r="W11" s="165" t="str">
        <f>IFERROR(__xludf.DUMMYFUNCTION("GOOGLETRANSLATE(C11,""zh-tw"",""es-MX"")"),"Grandes trozos de carne")</f>
        <v>Grandes trozos de carne</v>
      </c>
      <c r="X11" s="165" t="str">
        <f>IFERROR(__xludf.DUMMYFUNCTION("GOOGLETRANSLATE(D11,""zh-tw"",""es-MX"")"),"Papa")</f>
        <v>Papa</v>
      </c>
      <c r="Y11" s="165"/>
      <c r="Z11" s="386" t="s">
        <v>6092</v>
      </c>
      <c r="AA11" s="378"/>
      <c r="AB11" s="163" t="s">
        <v>6093</v>
      </c>
      <c r="AC11" s="164" t="str">
        <f>IFERROR(__xludf.DUMMYFUNCTION("GOOGLETRANSLATE(D11,""zh-tw"",""KO"")"),"감자")</f>
        <v>감자</v>
      </c>
      <c r="AD11" s="164"/>
      <c r="AE11" s="382" t="str">
        <f>IFERROR(__xludf.DUMMYFUNCTION("GOOGLETRANSLATE(A11,""zh-tw"",""ru"")"),"Жареные на гриле шашлычки")</f>
        <v>Жареные на гриле шашлычки</v>
      </c>
      <c r="AF11" s="377"/>
      <c r="AG11" s="165" t="str">
        <f>IFERROR(__xludf.DUMMYFUNCTION("GOOGLETRANSLATE(C11,""zh-tw"",""ru"")"),"Большие куски мяса")</f>
        <v>Большие куски мяса</v>
      </c>
      <c r="AH11" s="165" t="str">
        <f>IFERROR(__xludf.DUMMYFUNCTION("GOOGLETRANSLATE(D11,""zh-tw"",""ru"")"),"Картофель")</f>
        <v>Картофель</v>
      </c>
      <c r="AI11" s="165"/>
      <c r="AJ11" s="386" t="s">
        <v>6094</v>
      </c>
      <c r="AK11" s="378"/>
      <c r="AL11" s="163" t="s">
        <v>6095</v>
      </c>
      <c r="AM11" s="163" t="s">
        <v>4211</v>
      </c>
      <c r="AN11" s="164"/>
      <c r="AO11" s="156" t="s">
        <v>6090</v>
      </c>
      <c r="AP11" s="191"/>
      <c r="AQ11" s="183" t="s">
        <v>6096</v>
      </c>
      <c r="AR11" s="183" t="s">
        <v>4213</v>
      </c>
      <c r="AS11" s="184"/>
    </row>
    <row r="12">
      <c r="A12" s="382" t="s">
        <v>6097</v>
      </c>
      <c r="B12" s="383"/>
      <c r="C12" s="165" t="s">
        <v>6022</v>
      </c>
      <c r="D12" s="177"/>
      <c r="E12" s="177"/>
      <c r="F12" s="382" t="s">
        <v>6098</v>
      </c>
      <c r="G12" s="383"/>
      <c r="H12" s="165" t="s">
        <v>6025</v>
      </c>
      <c r="I12" s="177"/>
      <c r="J12" s="177"/>
      <c r="K12" s="103" t="s">
        <v>6099</v>
      </c>
      <c r="L12" s="383"/>
      <c r="M12" s="163" t="s">
        <v>6028</v>
      </c>
      <c r="N12" s="164"/>
      <c r="O12" s="164"/>
      <c r="P12" s="384" t="str">
        <f>IFERROR(__xludf.DUMMYFUNCTION("GOOGLETRANSLATE(A12,""zh-tw"",""zh"")"),"饭团")</f>
        <v>饭团</v>
      </c>
      <c r="Q12" s="66"/>
      <c r="R12" s="69" t="str">
        <f>IFERROR(__xludf.DUMMYFUNCTION("GOOGLETRANSLATE(C12,""zh-tw"",""zh"")"),"白米饭")</f>
        <v>白米饭</v>
      </c>
      <c r="S12" s="69"/>
      <c r="T12" s="69"/>
      <c r="U12" s="382" t="str">
        <f>IFERROR(__xludf.DUMMYFUNCTION("GOOGLETRANSLATE(A12,""zh-tw"",""es-MX"")"),"bola de arroz")</f>
        <v>bola de arroz</v>
      </c>
      <c r="V12" s="377"/>
      <c r="W12" s="165" t="str">
        <f>IFERROR(__xludf.DUMMYFUNCTION("GOOGLETRANSLATE(C12,""zh-tw"",""es-MX"")"),"arroz blanco")</f>
        <v>arroz blanco</v>
      </c>
      <c r="X12" s="165"/>
      <c r="Y12" s="165"/>
      <c r="Z12" s="385" t="str">
        <f>IFERROR(__xludf.DUMMYFUNCTION("GOOGLETRANSLATE(A12,""zh-tw"",""KO"")"),"주먹밥")</f>
        <v>주먹밥</v>
      </c>
      <c r="AA12" s="378"/>
      <c r="AB12" s="164" t="str">
        <f>IFERROR(__xludf.DUMMYFUNCTION("GOOGLETRANSLATE(C12,""zh-tw"",""KO"")"),"흰쌀")</f>
        <v>흰쌀</v>
      </c>
      <c r="AC12" s="164"/>
      <c r="AD12" s="164"/>
      <c r="AE12" s="382" t="str">
        <f>IFERROR(__xludf.DUMMYFUNCTION("GOOGLETRANSLATE(A12,""zh-tw"",""ru"")"),"Рисовый шарик")</f>
        <v>Рисовый шарик</v>
      </c>
      <c r="AF12" s="377"/>
      <c r="AG12" s="165" t="str">
        <f>IFERROR(__xludf.DUMMYFUNCTION("GOOGLETRANSLATE(C12,""zh-tw"",""ru"")"),"Белый рис")</f>
        <v>Белый рис</v>
      </c>
      <c r="AH12" s="165"/>
      <c r="AI12" s="165"/>
      <c r="AJ12" s="386" t="s">
        <v>6100</v>
      </c>
      <c r="AK12" s="378"/>
      <c r="AL12" s="163" t="s">
        <v>6032</v>
      </c>
      <c r="AM12" s="164"/>
      <c r="AN12" s="164"/>
      <c r="AO12" s="181" t="s">
        <v>6101</v>
      </c>
      <c r="AP12" s="191"/>
      <c r="AQ12" s="183" t="s">
        <v>6035</v>
      </c>
      <c r="AR12" s="184"/>
      <c r="AS12" s="184"/>
    </row>
    <row r="13">
      <c r="A13" s="382" t="s">
        <v>6102</v>
      </c>
      <c r="B13" s="383"/>
      <c r="C13" s="165" t="s">
        <v>6022</v>
      </c>
      <c r="D13" s="165" t="s">
        <v>6023</v>
      </c>
      <c r="E13" s="165" t="s">
        <v>6086</v>
      </c>
      <c r="F13" s="382" t="s">
        <v>6103</v>
      </c>
      <c r="G13" s="383"/>
      <c r="H13" s="165" t="s">
        <v>6025</v>
      </c>
      <c r="I13" s="165" t="s">
        <v>6026</v>
      </c>
      <c r="J13" s="165" t="s">
        <v>6088</v>
      </c>
      <c r="K13" s="99" t="s">
        <v>6104</v>
      </c>
      <c r="L13" s="383"/>
      <c r="M13" s="163" t="s">
        <v>6028</v>
      </c>
      <c r="N13" s="163" t="s">
        <v>6029</v>
      </c>
      <c r="O13" s="163" t="s">
        <v>6091</v>
      </c>
      <c r="P13" s="384" t="str">
        <f>IFERROR(__xludf.DUMMYFUNCTION("GOOGLETRANSLATE(A13,""zh-tw"",""zh"")"),"肉排咖喱饭")</f>
        <v>肉排咖喱饭</v>
      </c>
      <c r="Q13" s="66"/>
      <c r="R13" s="69" t="str">
        <f>IFERROR(__xludf.DUMMYFUNCTION("GOOGLETRANSLATE(C13,""zh-tw"",""zh"")"),"白米饭")</f>
        <v>白米饭</v>
      </c>
      <c r="S13" s="69" t="str">
        <f>IFERROR(__xludf.DUMMYFUNCTION("GOOGLETRANSLATE(D13,""zh-tw"",""zh"")"),"咖喱块")</f>
        <v>咖喱块</v>
      </c>
      <c r="T13" s="69" t="str">
        <f>IFERROR(__xludf.DUMMYFUNCTION("GOOGLETRANSLATE(E13,""zh-tw"",""zh"")"),"大块兽肉")</f>
        <v>大块兽肉</v>
      </c>
      <c r="U13" s="382" t="str">
        <f>IFERROR(__xludf.DUMMYFUNCTION("GOOGLETRANSLATE(A13,""zh-tw"",""es-MX"")"),"Arroz al curry con chuleta de cerdo")</f>
        <v>Arroz al curry con chuleta de cerdo</v>
      </c>
      <c r="V13" s="377"/>
      <c r="W13" s="165" t="str">
        <f>IFERROR(__xludf.DUMMYFUNCTION("GOOGLETRANSLATE(C13,""zh-tw"",""es-MX"")"),"arroz blanco")</f>
        <v>arroz blanco</v>
      </c>
      <c r="X13" s="165" t="str">
        <f>IFERROR(__xludf.DUMMYFUNCTION("GOOGLETRANSLATE(D13,""zh-tw"",""es-MX"")"),"cubos de curry")</f>
        <v>cubos de curry</v>
      </c>
      <c r="Y13" s="165" t="str">
        <f>IFERROR(__xludf.DUMMYFUNCTION("GOOGLETRANSLATE(E13,""zh-tw"",""es-MX"")"),"Grandes trozos de carne")</f>
        <v>Grandes trozos de carne</v>
      </c>
      <c r="Z13" s="386" t="s">
        <v>6105</v>
      </c>
      <c r="AA13" s="378"/>
      <c r="AB13" s="164" t="str">
        <f>IFERROR(__xludf.DUMMYFUNCTION("GOOGLETRANSLATE(C13,""zh-tw"",""KO"")"),"흰쌀")</f>
        <v>흰쌀</v>
      </c>
      <c r="AC13" s="163" t="s">
        <v>6030</v>
      </c>
      <c r="AD13" s="163" t="s">
        <v>6093</v>
      </c>
      <c r="AE13" s="382" t="str">
        <f>IFERROR(__xludf.DUMMYFUNCTION("GOOGLETRANSLATE(A13,""zh-tw"",""ru"")"),"Свиная отбивная с карри и рисом")</f>
        <v>Свиная отбивная с карри и рисом</v>
      </c>
      <c r="AF13" s="377"/>
      <c r="AG13" s="165" t="str">
        <f>IFERROR(__xludf.DUMMYFUNCTION("GOOGLETRANSLATE(C13,""zh-tw"",""ru"")"),"Белый рис")</f>
        <v>Белый рис</v>
      </c>
      <c r="AH13" s="165" t="str">
        <f>IFERROR(__xludf.DUMMYFUNCTION("GOOGLETRANSLATE(D13,""zh-tw"",""ru"")"),"кубики карри")</f>
        <v>кубики карри</v>
      </c>
      <c r="AI13" s="165" t="str">
        <f>IFERROR(__xludf.DUMMYFUNCTION("GOOGLETRANSLATE(E13,""zh-tw"",""ru"")"),"Большие куски мяса")</f>
        <v>Большие куски мяса</v>
      </c>
      <c r="AJ13" s="386" t="s">
        <v>6106</v>
      </c>
      <c r="AK13" s="378"/>
      <c r="AL13" s="163" t="s">
        <v>6032</v>
      </c>
      <c r="AM13" s="163" t="s">
        <v>6033</v>
      </c>
      <c r="AN13" s="163" t="s">
        <v>6095</v>
      </c>
      <c r="AO13" s="181" t="s">
        <v>6107</v>
      </c>
      <c r="AP13" s="191"/>
      <c r="AQ13" s="183" t="s">
        <v>6035</v>
      </c>
      <c r="AR13" s="183" t="s">
        <v>6036</v>
      </c>
      <c r="AS13" s="183" t="s">
        <v>6096</v>
      </c>
    </row>
    <row r="14">
      <c r="A14" s="382" t="s">
        <v>6108</v>
      </c>
      <c r="B14" s="368" t="s">
        <v>237</v>
      </c>
      <c r="C14" s="165" t="s">
        <v>6109</v>
      </c>
      <c r="D14" s="177"/>
      <c r="E14" s="177"/>
      <c r="F14" s="382" t="s">
        <v>6110</v>
      </c>
      <c r="G14" s="368" t="s">
        <v>237</v>
      </c>
      <c r="H14" s="165" t="s">
        <v>6111</v>
      </c>
      <c r="I14" s="177"/>
      <c r="J14" s="177"/>
      <c r="K14" s="103" t="s">
        <v>6112</v>
      </c>
      <c r="L14" s="368" t="s">
        <v>237</v>
      </c>
      <c r="M14" s="163" t="s">
        <v>4234</v>
      </c>
      <c r="N14" s="164"/>
      <c r="O14" s="164"/>
      <c r="P14" s="384" t="str">
        <f>IFERROR(__xludf.DUMMYFUNCTION("GOOGLETRANSLATE(A14,""zh-tw"",""zh"")"),"肉汤")</f>
        <v>肉汤</v>
      </c>
      <c r="Q14" s="66" t="str">
        <f>IFERROR(__xludf.DUMMYFUNCTION("GOOGLETRANSLATE(B14,""zh-tw"",""zh"")"),"A")</f>
        <v>A</v>
      </c>
      <c r="R14" s="69" t="str">
        <f>IFERROR(__xludf.DUMMYFUNCTION("GOOGLETRANSLATE(C14,""zh-tw"",""zh"")"),"小块兽肉")</f>
        <v>小块兽肉</v>
      </c>
      <c r="S14" s="69"/>
      <c r="T14" s="69"/>
      <c r="U14" s="382" t="str">
        <f>IFERROR(__xludf.DUMMYFUNCTION("GOOGLETRANSLATE(A14,""zh-tw"",""es-MX"")"),"caldo")</f>
        <v>caldo</v>
      </c>
      <c r="V14" s="377" t="str">
        <f>IFERROR(__xludf.DUMMYFUNCTION("GOOGLETRANSLATE(B14,""zh-tw"",""es-MX"")"),"A")</f>
        <v>A</v>
      </c>
      <c r="W14" s="165" t="str">
        <f>IFERROR(__xludf.DUMMYFUNCTION("GOOGLETRANSLATE(C14,""zh-tw"",""es-MX"")"),"Trozos pequeños de carne")</f>
        <v>Trozos pequeños de carne</v>
      </c>
      <c r="X14" s="165"/>
      <c r="Y14" s="165"/>
      <c r="Z14" s="386" t="s">
        <v>6113</v>
      </c>
      <c r="AA14" s="378" t="s">
        <v>237</v>
      </c>
      <c r="AB14" s="163" t="s">
        <v>4236</v>
      </c>
      <c r="AC14" s="164"/>
      <c r="AD14" s="164"/>
      <c r="AE14" s="382" t="str">
        <f>IFERROR(__xludf.DUMMYFUNCTION("GOOGLETRANSLATE(A14,""zh-tw"",""ru"")"),"бульон")</f>
        <v>бульон</v>
      </c>
      <c r="AF14" s="377" t="str">
        <f>IFERROR(__xludf.DUMMYFUNCTION("GOOGLETRANSLATE(L14,""zh-tw"",""es-MX"")"),"A")</f>
        <v>A</v>
      </c>
      <c r="AG14" s="165" t="str">
        <f>IFERROR(__xludf.DUMMYFUNCTION("GOOGLETRANSLATE(C14,""zh-tw"",""ru"")"),"Небольшие кусочки мяса")</f>
        <v>Небольшие кусочки мяса</v>
      </c>
      <c r="AH14" s="165"/>
      <c r="AI14" s="165"/>
      <c r="AJ14" s="386" t="s">
        <v>6114</v>
      </c>
      <c r="AK14" s="378" t="s">
        <v>237</v>
      </c>
      <c r="AL14" s="163" t="s">
        <v>6115</v>
      </c>
      <c r="AM14" s="164"/>
      <c r="AN14" s="164"/>
      <c r="AO14" s="181" t="s">
        <v>6116</v>
      </c>
      <c r="AP14" s="388" t="s">
        <v>237</v>
      </c>
      <c r="AQ14" s="183" t="s">
        <v>4240</v>
      </c>
      <c r="AR14" s="184"/>
      <c r="AS14" s="184"/>
    </row>
    <row r="15">
      <c r="A15" s="382" t="s">
        <v>6117</v>
      </c>
      <c r="B15" s="368" t="s">
        <v>237</v>
      </c>
      <c r="C15" s="165" t="s">
        <v>6086</v>
      </c>
      <c r="D15" s="177"/>
      <c r="E15" s="177"/>
      <c r="F15" s="382" t="s">
        <v>6118</v>
      </c>
      <c r="G15" s="368" t="s">
        <v>237</v>
      </c>
      <c r="H15" s="165" t="s">
        <v>6088</v>
      </c>
      <c r="I15" s="177"/>
      <c r="J15" s="177"/>
      <c r="K15" s="103" t="s">
        <v>6119</v>
      </c>
      <c r="L15" s="368" t="s">
        <v>237</v>
      </c>
      <c r="M15" s="163" t="s">
        <v>6091</v>
      </c>
      <c r="N15" s="164"/>
      <c r="O15" s="164"/>
      <c r="P15" s="384" t="str">
        <f>IFERROR(__xludf.DUMMYFUNCTION("GOOGLETRANSLATE(A15,""zh-tw"",""zh"")"),"烤肉块")</f>
        <v>烤肉块</v>
      </c>
      <c r="Q15" s="66" t="str">
        <f>IFERROR(__xludf.DUMMYFUNCTION("GOOGLETRANSLATE(B15,""zh-tw"",""zh"")"),"A")</f>
        <v>A</v>
      </c>
      <c r="R15" s="69" t="str">
        <f>IFERROR(__xludf.DUMMYFUNCTION("GOOGLETRANSLATE(C15,""zh-tw"",""zh"")"),"大块兽肉")</f>
        <v>大块兽肉</v>
      </c>
      <c r="S15" s="69"/>
      <c r="T15" s="69"/>
      <c r="U15" s="382" t="str">
        <f>IFERROR(__xludf.DUMMYFUNCTION("GOOGLETRANSLATE(A15,""zh-tw"",""es-MX"")"),"trozos de carne asada")</f>
        <v>trozos de carne asada</v>
      </c>
      <c r="V15" s="377" t="str">
        <f>IFERROR(__xludf.DUMMYFUNCTION("GOOGLETRANSLATE(B15,""zh-tw"",""es-MX"")"),"A")</f>
        <v>A</v>
      </c>
      <c r="W15" s="165" t="str">
        <f>IFERROR(__xludf.DUMMYFUNCTION("GOOGLETRANSLATE(C15,""zh-tw"",""es-MX"")"),"Grandes trozos de carne")</f>
        <v>Grandes trozos de carne</v>
      </c>
      <c r="X15" s="165"/>
      <c r="Y15" s="165"/>
      <c r="Z15" s="385" t="str">
        <f>IFERROR(__xludf.DUMMYFUNCTION("GOOGLETRANSLATE(A15,""zh-tw"",""KO"")"),"구운 고기 덩어리")</f>
        <v>구운 고기 덩어리</v>
      </c>
      <c r="AA15" s="378" t="s">
        <v>237</v>
      </c>
      <c r="AB15" s="163" t="s">
        <v>6093</v>
      </c>
      <c r="AC15" s="164"/>
      <c r="AD15" s="164"/>
      <c r="AE15" s="382" t="str">
        <f>IFERROR(__xludf.DUMMYFUNCTION("GOOGLETRANSLATE(A15,""zh-tw"",""ru"")"),"Кусочки жареного мяса")</f>
        <v>Кусочки жареного мяса</v>
      </c>
      <c r="AF15" s="377" t="str">
        <f>IFERROR(__xludf.DUMMYFUNCTION("GOOGLETRANSLATE(L15,""zh-tw"",""es-MX"")"),"A")</f>
        <v>A</v>
      </c>
      <c r="AG15" s="165" t="str">
        <f>IFERROR(__xludf.DUMMYFUNCTION("GOOGLETRANSLATE(C15,""zh-tw"",""ru"")"),"Большие куски мяса")</f>
        <v>Большие куски мяса</v>
      </c>
      <c r="AH15" s="165"/>
      <c r="AI15" s="165"/>
      <c r="AJ15" s="386" t="s">
        <v>6120</v>
      </c>
      <c r="AK15" s="378" t="s">
        <v>237</v>
      </c>
      <c r="AL15" s="163" t="s">
        <v>6095</v>
      </c>
      <c r="AM15" s="164"/>
      <c r="AN15" s="164"/>
      <c r="AO15" s="181" t="s">
        <v>6121</v>
      </c>
      <c r="AP15" s="388" t="s">
        <v>237</v>
      </c>
      <c r="AQ15" s="183" t="s">
        <v>6096</v>
      </c>
      <c r="AR15" s="184"/>
      <c r="AS15" s="184"/>
    </row>
    <row r="16">
      <c r="A16" s="382" t="s">
        <v>6122</v>
      </c>
      <c r="B16" s="368" t="s">
        <v>237</v>
      </c>
      <c r="C16" s="165" t="s">
        <v>6086</v>
      </c>
      <c r="D16" s="165" t="s">
        <v>6086</v>
      </c>
      <c r="E16" s="177"/>
      <c r="F16" s="382" t="s">
        <v>6123</v>
      </c>
      <c r="G16" s="368" t="s">
        <v>237</v>
      </c>
      <c r="H16" s="165" t="s">
        <v>6088</v>
      </c>
      <c r="I16" s="165" t="s">
        <v>6088</v>
      </c>
      <c r="J16" s="177"/>
      <c r="K16" s="103" t="s">
        <v>6124</v>
      </c>
      <c r="L16" s="368" t="s">
        <v>237</v>
      </c>
      <c r="M16" s="163" t="s">
        <v>6091</v>
      </c>
      <c r="N16" s="163" t="s">
        <v>6091</v>
      </c>
      <c r="O16" s="164"/>
      <c r="P16" s="384" t="str">
        <f>IFERROR(__xludf.DUMMYFUNCTION("GOOGLETRANSLATE(A16,""zh-tw"",""zh"")"),"牛排肉")</f>
        <v>牛排肉</v>
      </c>
      <c r="Q16" s="66" t="str">
        <f>IFERROR(__xludf.DUMMYFUNCTION("GOOGLETRANSLATE(B16,""zh-tw"",""zh"")"),"A")</f>
        <v>A</v>
      </c>
      <c r="R16" s="69" t="str">
        <f>IFERROR(__xludf.DUMMYFUNCTION("GOOGLETRANSLATE(C16,""zh-tw"",""zh"")"),"大块兽肉")</f>
        <v>大块兽肉</v>
      </c>
      <c r="S16" s="69" t="str">
        <f>IFERROR(__xludf.DUMMYFUNCTION("GOOGLETRANSLATE(D16,""zh-tw"",""zh"")"),"大块兽肉")</f>
        <v>大块兽肉</v>
      </c>
      <c r="T16" s="69"/>
      <c r="U16" s="382" t="str">
        <f>IFERROR(__xludf.DUMMYFUNCTION("GOOGLETRANSLATE(A16,""zh-tw"",""es-MX"")"),"Filete de res")</f>
        <v>Filete de res</v>
      </c>
      <c r="V16" s="377" t="str">
        <f>IFERROR(__xludf.DUMMYFUNCTION("GOOGLETRANSLATE(B16,""zh-tw"",""es-MX"")"),"A")</f>
        <v>A</v>
      </c>
      <c r="W16" s="165" t="str">
        <f>IFERROR(__xludf.DUMMYFUNCTION("GOOGLETRANSLATE(C16,""zh-tw"",""es-MX"")"),"Grandes trozos de carne")</f>
        <v>Grandes trozos de carne</v>
      </c>
      <c r="X16" s="165" t="str">
        <f>IFERROR(__xludf.DUMMYFUNCTION("GOOGLETRANSLATE(D16,""zh-tw"",""es-MX"")"),"Grandes trozos de carne")</f>
        <v>Grandes trozos de carne</v>
      </c>
      <c r="Y16" s="165"/>
      <c r="Z16" s="386" t="s">
        <v>6125</v>
      </c>
      <c r="AA16" s="378" t="s">
        <v>237</v>
      </c>
      <c r="AB16" s="163" t="s">
        <v>6093</v>
      </c>
      <c r="AC16" s="163" t="s">
        <v>6093</v>
      </c>
      <c r="AD16" s="164"/>
      <c r="AE16" s="382" t="str">
        <f>IFERROR(__xludf.DUMMYFUNCTION("GOOGLETRANSLATE(A16,""zh-tw"",""ru"")"),"Говяжий стейк")</f>
        <v>Говяжий стейк</v>
      </c>
      <c r="AF16" s="377" t="str">
        <f>IFERROR(__xludf.DUMMYFUNCTION("GOOGLETRANSLATE(L16,""zh-tw"",""es-MX"")"),"A")</f>
        <v>A</v>
      </c>
      <c r="AG16" s="165" t="str">
        <f>IFERROR(__xludf.DUMMYFUNCTION("GOOGLETRANSLATE(C16,""zh-tw"",""ru"")"),"Большие куски мяса")</f>
        <v>Большие куски мяса</v>
      </c>
      <c r="AH16" s="165" t="str">
        <f>IFERROR(__xludf.DUMMYFUNCTION("GOOGLETRANSLATE(D16,""zh-tw"",""ru"")"),"Большие куски мяса")</f>
        <v>Большие куски мяса</v>
      </c>
      <c r="AI16" s="165"/>
      <c r="AJ16" s="386" t="s">
        <v>6126</v>
      </c>
      <c r="AK16" s="378" t="s">
        <v>237</v>
      </c>
      <c r="AL16" s="163" t="s">
        <v>6095</v>
      </c>
      <c r="AM16" s="163" t="s">
        <v>6095</v>
      </c>
      <c r="AN16" s="164"/>
      <c r="AO16" s="181" t="s">
        <v>6127</v>
      </c>
      <c r="AP16" s="388" t="s">
        <v>237</v>
      </c>
      <c r="AQ16" s="183" t="s">
        <v>6096</v>
      </c>
      <c r="AR16" s="183" t="s">
        <v>6096</v>
      </c>
      <c r="AS16" s="184"/>
    </row>
    <row r="17">
      <c r="A17" s="387" t="s">
        <v>6128</v>
      </c>
      <c r="B17" s="368" t="s">
        <v>237</v>
      </c>
      <c r="C17" s="165" t="s">
        <v>6086</v>
      </c>
      <c r="D17" s="165" t="s">
        <v>6086</v>
      </c>
      <c r="E17" s="165" t="s">
        <v>6086</v>
      </c>
      <c r="F17" s="382" t="s">
        <v>6129</v>
      </c>
      <c r="G17" s="368" t="s">
        <v>237</v>
      </c>
      <c r="H17" s="165" t="s">
        <v>6088</v>
      </c>
      <c r="I17" s="165" t="s">
        <v>6088</v>
      </c>
      <c r="J17" s="165" t="s">
        <v>6088</v>
      </c>
      <c r="K17" s="103" t="s">
        <v>6130</v>
      </c>
      <c r="L17" s="368" t="s">
        <v>237</v>
      </c>
      <c r="M17" s="163" t="s">
        <v>6091</v>
      </c>
      <c r="N17" s="163" t="s">
        <v>6091</v>
      </c>
      <c r="O17" s="163" t="s">
        <v>6091</v>
      </c>
      <c r="P17" s="384" t="str">
        <f>IFERROR(__xludf.DUMMYFUNCTION("GOOGLETRANSLATE(A17,""zh-tw"",""zh"")"),"酱牛肉")</f>
        <v>酱牛肉</v>
      </c>
      <c r="Q17" s="66" t="str">
        <f>IFERROR(__xludf.DUMMYFUNCTION("GOOGLETRANSLATE(B17,""zh-tw"",""zh"")"),"A")</f>
        <v>A</v>
      </c>
      <c r="R17" s="69" t="str">
        <f>IFERROR(__xludf.DUMMYFUNCTION("GOOGLETRANSLATE(C17,""zh-tw"",""zh"")"),"大块兽肉")</f>
        <v>大块兽肉</v>
      </c>
      <c r="S17" s="69" t="str">
        <f>IFERROR(__xludf.DUMMYFUNCTION("GOOGLETRANSLATE(D17,""zh-tw"",""zh"")"),"大块兽肉")</f>
        <v>大块兽肉</v>
      </c>
      <c r="T17" s="69" t="str">
        <f>IFERROR(__xludf.DUMMYFUNCTION("GOOGLETRANSLATE(E17,""zh-tw"",""zh"")"),"大块兽肉")</f>
        <v>大块兽肉</v>
      </c>
      <c r="U17" s="382" t="str">
        <f>IFERROR(__xludf.DUMMYFUNCTION("GOOGLETRANSLATE(A17,""zh-tw"",""es-MX"")"),"Carne de res estofada")</f>
        <v>Carne de res estofada</v>
      </c>
      <c r="V17" s="377" t="str">
        <f>IFERROR(__xludf.DUMMYFUNCTION("GOOGLETRANSLATE(B17,""zh-tw"",""es-MX"")"),"A")</f>
        <v>A</v>
      </c>
      <c r="W17" s="165" t="str">
        <f>IFERROR(__xludf.DUMMYFUNCTION("GOOGLETRANSLATE(C17,""zh-tw"",""es-MX"")"),"Grandes trozos de carne")</f>
        <v>Grandes trozos de carne</v>
      </c>
      <c r="X17" s="165" t="str">
        <f>IFERROR(__xludf.DUMMYFUNCTION("GOOGLETRANSLATE(D17,""zh-tw"",""es-MX"")"),"Grandes trozos de carne")</f>
        <v>Grandes trozos de carne</v>
      </c>
      <c r="Y17" s="165" t="str">
        <f>IFERROR(__xludf.DUMMYFUNCTION("GOOGLETRANSLATE(E17,""zh-tw"",""es-MX"")"),"Grandes trozos de carne")</f>
        <v>Grandes trozos de carne</v>
      </c>
      <c r="Z17" s="386" t="s">
        <v>6131</v>
      </c>
      <c r="AA17" s="378" t="s">
        <v>237</v>
      </c>
      <c r="AB17" s="163" t="s">
        <v>6093</v>
      </c>
      <c r="AC17" s="319" t="s">
        <v>6093</v>
      </c>
      <c r="AD17" s="319" t="s">
        <v>6093</v>
      </c>
      <c r="AE17" s="382" t="str">
        <f>IFERROR(__xludf.DUMMYFUNCTION("GOOGLETRANSLATE(A17,""zh-tw"",""ru"")"),"Тушеная говядина")</f>
        <v>Тушеная говядина</v>
      </c>
      <c r="AF17" s="377" t="str">
        <f>IFERROR(__xludf.DUMMYFUNCTION("GOOGLETRANSLATE(L17,""zh-tw"",""es-MX"")"),"A")</f>
        <v>A</v>
      </c>
      <c r="AG17" s="165" t="str">
        <f>IFERROR(__xludf.DUMMYFUNCTION("GOOGLETRANSLATE(C17,""zh-tw"",""ru"")"),"Большие куски мяса")</f>
        <v>Большие куски мяса</v>
      </c>
      <c r="AH17" s="165" t="str">
        <f>IFERROR(__xludf.DUMMYFUNCTION("GOOGLETRANSLATE(D17,""zh-tw"",""ru"")"),"Большие куски мяса")</f>
        <v>Большие куски мяса</v>
      </c>
      <c r="AI17" s="165" t="str">
        <f>IFERROR(__xludf.DUMMYFUNCTION("GOOGLETRANSLATE(E17,""zh-tw"",""ru"")"),"Большие куски мяса")</f>
        <v>Большие куски мяса</v>
      </c>
      <c r="AJ17" s="386" t="s">
        <v>6132</v>
      </c>
      <c r="AK17" s="378" t="s">
        <v>237</v>
      </c>
      <c r="AL17" s="163" t="s">
        <v>6095</v>
      </c>
      <c r="AM17" s="163" t="s">
        <v>6095</v>
      </c>
      <c r="AN17" s="163" t="s">
        <v>6095</v>
      </c>
      <c r="AO17" s="156" t="s">
        <v>6133</v>
      </c>
      <c r="AP17" s="388" t="s">
        <v>237</v>
      </c>
      <c r="AQ17" s="183" t="s">
        <v>6096</v>
      </c>
      <c r="AR17" s="183" t="s">
        <v>6096</v>
      </c>
      <c r="AS17" s="183" t="s">
        <v>6096</v>
      </c>
    </row>
    <row r="18">
      <c r="A18" s="382" t="s">
        <v>6134</v>
      </c>
      <c r="B18" s="368" t="s">
        <v>237</v>
      </c>
      <c r="C18" s="165" t="s">
        <v>6022</v>
      </c>
      <c r="D18" s="165" t="s">
        <v>6086</v>
      </c>
      <c r="E18" s="177"/>
      <c r="F18" s="382" t="s">
        <v>6135</v>
      </c>
      <c r="G18" s="368" t="s">
        <v>237</v>
      </c>
      <c r="H18" s="165" t="s">
        <v>6025</v>
      </c>
      <c r="I18" s="165" t="s">
        <v>6088</v>
      </c>
      <c r="J18" s="177"/>
      <c r="K18" s="103" t="s">
        <v>6136</v>
      </c>
      <c r="L18" s="368" t="s">
        <v>237</v>
      </c>
      <c r="M18" s="163" t="s">
        <v>6137</v>
      </c>
      <c r="N18" s="163" t="s">
        <v>6091</v>
      </c>
      <c r="O18" s="164"/>
      <c r="P18" s="384" t="str">
        <f>IFERROR(__xludf.DUMMYFUNCTION("GOOGLETRANSLATE(A18,""zh-tw"",""zh"")"),"牛肉饭团")</f>
        <v>牛肉饭团</v>
      </c>
      <c r="Q18" s="66" t="str">
        <f>IFERROR(__xludf.DUMMYFUNCTION("GOOGLETRANSLATE(B18,""zh-tw"",""zh"")"),"A")</f>
        <v>A</v>
      </c>
      <c r="R18" s="69" t="str">
        <f>IFERROR(__xludf.DUMMYFUNCTION("GOOGLETRANSLATE(C18,""zh-tw"",""zh"")"),"白米饭")</f>
        <v>白米饭</v>
      </c>
      <c r="S18" s="69" t="str">
        <f>IFERROR(__xludf.DUMMYFUNCTION("GOOGLETRANSLATE(D18,""zh-tw"",""zh"")"),"大块兽肉")</f>
        <v>大块兽肉</v>
      </c>
      <c r="T18" s="69"/>
      <c r="U18" s="382" t="str">
        <f>IFERROR(__xludf.DUMMYFUNCTION("GOOGLETRANSLATE(A18,""zh-tw"",""es-MX"")"),"Bola de arroz con carne")</f>
        <v>Bola de arroz con carne</v>
      </c>
      <c r="V18" s="377" t="str">
        <f>IFERROR(__xludf.DUMMYFUNCTION("GOOGLETRANSLATE(B18,""zh-tw"",""es-MX"")"),"A")</f>
        <v>A</v>
      </c>
      <c r="W18" s="165" t="str">
        <f>IFERROR(__xludf.DUMMYFUNCTION("GOOGLETRANSLATE(C18,""zh-tw"",""es-MX"")"),"arroz blanco")</f>
        <v>arroz blanco</v>
      </c>
      <c r="X18" s="165" t="str">
        <f>IFERROR(__xludf.DUMMYFUNCTION("GOOGLETRANSLATE(D18,""zh-tw"",""es-MX"")"),"Grandes trozos de carne")</f>
        <v>Grandes trozos de carne</v>
      </c>
      <c r="Y18" s="165"/>
      <c r="Z18" s="386" t="s">
        <v>6138</v>
      </c>
      <c r="AA18" s="378" t="s">
        <v>237</v>
      </c>
      <c r="AB18" s="164" t="str">
        <f>IFERROR(__xludf.DUMMYFUNCTION("GOOGLETRANSLATE(C18,""zh-tw"",""KO"")"),"흰쌀")</f>
        <v>흰쌀</v>
      </c>
      <c r="AC18" s="163" t="s">
        <v>6093</v>
      </c>
      <c r="AD18" s="164"/>
      <c r="AE18" s="382" t="str">
        <f>IFERROR(__xludf.DUMMYFUNCTION("GOOGLETRANSLATE(A18,""zh-tw"",""ru"")"),"Рисовые шарики с говядиной")</f>
        <v>Рисовые шарики с говядиной</v>
      </c>
      <c r="AF18" s="377" t="str">
        <f>IFERROR(__xludf.DUMMYFUNCTION("GOOGLETRANSLATE(L18,""zh-tw"",""es-MX"")"),"A")</f>
        <v>A</v>
      </c>
      <c r="AG18" s="165" t="str">
        <f>IFERROR(__xludf.DUMMYFUNCTION("GOOGLETRANSLATE(C18,""zh-tw"",""ru"")"),"Белый рис")</f>
        <v>Белый рис</v>
      </c>
      <c r="AH18" s="165" t="str">
        <f>IFERROR(__xludf.DUMMYFUNCTION("GOOGLETRANSLATE(D18,""zh-tw"",""ru"")"),"Большие куски мяса")</f>
        <v>Большие куски мяса</v>
      </c>
      <c r="AI18" s="165"/>
      <c r="AJ18" s="386" t="s">
        <v>6139</v>
      </c>
      <c r="AK18" s="378" t="s">
        <v>237</v>
      </c>
      <c r="AL18" s="163" t="s">
        <v>6032</v>
      </c>
      <c r="AM18" s="163" t="s">
        <v>6095</v>
      </c>
      <c r="AN18" s="164"/>
      <c r="AO18" s="181" t="s">
        <v>6140</v>
      </c>
      <c r="AP18" s="388" t="s">
        <v>237</v>
      </c>
      <c r="AQ18" s="183" t="s">
        <v>6035</v>
      </c>
      <c r="AR18" s="183" t="s">
        <v>6096</v>
      </c>
      <c r="AS18" s="184"/>
    </row>
    <row r="19">
      <c r="A19" s="382" t="s">
        <v>6141</v>
      </c>
      <c r="B19" s="383"/>
      <c r="C19" s="165" t="s">
        <v>6142</v>
      </c>
      <c r="D19" s="177"/>
      <c r="E19" s="177"/>
      <c r="F19" s="382" t="s">
        <v>6143</v>
      </c>
      <c r="G19" s="383"/>
      <c r="H19" s="165" t="s">
        <v>6144</v>
      </c>
      <c r="I19" s="177"/>
      <c r="J19" s="177"/>
      <c r="K19" s="99" t="s">
        <v>6145</v>
      </c>
      <c r="L19" s="383"/>
      <c r="M19" s="163" t="s">
        <v>6146</v>
      </c>
      <c r="N19" s="164"/>
      <c r="O19" s="164"/>
      <c r="P19" s="384" t="str">
        <f>IFERROR(__xludf.DUMMYFUNCTION("GOOGLETRANSLATE(A19,""zh-tw"",""zh"")"),"奇怪的史莱姆果冻(蓝色)")</f>
        <v>奇怪的史莱姆果冻(蓝色)</v>
      </c>
      <c r="Q19" s="66"/>
      <c r="R19" s="69" t="str">
        <f>IFERROR(__xludf.DUMMYFUNCTION("GOOGLETRANSLATE(C19,""zh-tw"",""zh"")"),"水怪黏液")</f>
        <v>水怪黏液</v>
      </c>
      <c r="S19" s="69"/>
      <c r="T19" s="69"/>
      <c r="U19" s="382" t="str">
        <f>IFERROR(__xludf.DUMMYFUNCTION("GOOGLETRANSLATE(A19,""zh-tw"",""es-MX"")"),"Gelatina viscosa extraña (azul)")</f>
        <v>Gelatina viscosa extraña (azul)</v>
      </c>
      <c r="V19" s="377"/>
      <c r="W19" s="165" t="str">
        <f>IFERROR(__xludf.DUMMYFUNCTION("GOOGLETRANSLATE(C19,""zh-tw"",""es-MX"")"),"Monstruo de agua viscoso")</f>
        <v>Monstruo de agua viscoso</v>
      </c>
      <c r="X19" s="165"/>
      <c r="Y19" s="165"/>
      <c r="Z19" s="385" t="str">
        <f>IFERROR(__xludf.DUMMYFUNCTION("GOOGLETRANSLATE(A19,""zh-tw"",""KO"")"),"이상한 슬라임 젤리(파란색)")</f>
        <v>이상한 슬라임 젤리(파란색)</v>
      </c>
      <c r="AA19" s="378"/>
      <c r="AB19" s="163" t="s">
        <v>6147</v>
      </c>
      <c r="AC19" s="164"/>
      <c r="AD19" s="164"/>
      <c r="AE19" s="382" t="str">
        <f>IFERROR(__xludf.DUMMYFUNCTION("GOOGLETRANSLATE(A19,""zh-tw"",""ru"")"),"Странное желеобразное лизун (синее)")</f>
        <v>Странное желеобразное лизун (синее)</v>
      </c>
      <c r="AF19" s="377"/>
      <c r="AG19" s="165" t="str">
        <f>IFERROR(__xludf.DUMMYFUNCTION("GOOGLETRANSLATE(C19,""zh-tw"",""ru"")"),"Водяной монстр-слизь")</f>
        <v>Водяной монстр-слизь</v>
      </c>
      <c r="AH19" s="165"/>
      <c r="AI19" s="165"/>
      <c r="AJ19" s="386" t="s">
        <v>6148</v>
      </c>
      <c r="AK19" s="378"/>
      <c r="AL19" s="163" t="s">
        <v>6149</v>
      </c>
      <c r="AM19" s="164"/>
      <c r="AN19" s="164"/>
      <c r="AO19" s="181" t="s">
        <v>6150</v>
      </c>
      <c r="AP19" s="191"/>
      <c r="AQ19" s="183" t="s">
        <v>6151</v>
      </c>
      <c r="AR19" s="184"/>
      <c r="AS19" s="184"/>
    </row>
    <row r="20">
      <c r="A20" s="382" t="s">
        <v>6152</v>
      </c>
      <c r="B20" s="383"/>
      <c r="C20" s="165" t="s">
        <v>6011</v>
      </c>
      <c r="D20" s="165" t="s">
        <v>3871</v>
      </c>
      <c r="E20" s="177"/>
      <c r="F20" s="382" t="s">
        <v>6153</v>
      </c>
      <c r="G20" s="383"/>
      <c r="H20" s="165" t="s">
        <v>6013</v>
      </c>
      <c r="I20" s="165" t="s">
        <v>6154</v>
      </c>
      <c r="J20" s="177"/>
      <c r="K20" s="103" t="s">
        <v>6155</v>
      </c>
      <c r="L20" s="383"/>
      <c r="M20" s="163" t="s">
        <v>6015</v>
      </c>
      <c r="N20" s="163" t="s">
        <v>3873</v>
      </c>
      <c r="O20" s="164"/>
      <c r="P20" s="384" t="str">
        <f>IFERROR(__xludf.DUMMYFUNCTION("GOOGLETRANSLATE(A20,""zh-tw"",""zh"")"),"奇怪的史莱姆果冻(粉色)")</f>
        <v>奇怪的史莱姆果冻(粉色)</v>
      </c>
      <c r="Q20" s="66"/>
      <c r="R20" s="69" t="str">
        <f>IFERROR(__xludf.DUMMYFUNCTION("GOOGLETRANSLATE(C20,""zh-tw"",""zh"")"),"史莱姆黏液")</f>
        <v>史莱姆黏液</v>
      </c>
      <c r="S20" s="69" t="str">
        <f>IFERROR(__xludf.DUMMYFUNCTION("GOOGLETRANSLATE(D20,""zh-tw"",""zh"")"),"苹果妖精")</f>
        <v>苹果妖精</v>
      </c>
      <c r="T20" s="69"/>
      <c r="U20" s="382" t="str">
        <f>IFERROR(__xludf.DUMMYFUNCTION("GOOGLETRANSLATE(A20,""zh-tw"",""es-MX"")"),"Extraña gelatina viscosa (rosa)")</f>
        <v>Extraña gelatina viscosa (rosa)</v>
      </c>
      <c r="V20" s="377"/>
      <c r="W20" s="165" t="str">
        <f>IFERROR(__xludf.DUMMYFUNCTION("GOOGLETRANSLATE(C20,""zh-tw"",""es-MX"")"),"limo")</f>
        <v>limo</v>
      </c>
      <c r="X20" s="165" t="str">
        <f>IFERROR(__xludf.DUMMYFUNCTION("GOOGLETRANSLATE(D20,""zh-tw"",""es-MX"")"),"Hada de la manzana")</f>
        <v>Hada de la manzana</v>
      </c>
      <c r="Y20" s="165"/>
      <c r="Z20" s="386" t="s">
        <v>6156</v>
      </c>
      <c r="AA20" s="378"/>
      <c r="AB20" s="163" t="s">
        <v>6016</v>
      </c>
      <c r="AC20" s="163" t="s">
        <v>3875</v>
      </c>
      <c r="AD20" s="164"/>
      <c r="AE20" s="382" t="str">
        <f>IFERROR(__xludf.DUMMYFUNCTION("GOOGLETRANSLATE(A20,""zh-tw"",""ru"")"),"Странное желеобразное лизун (розовое)")</f>
        <v>Странное желеобразное лизун (розовое)</v>
      </c>
      <c r="AF20" s="377"/>
      <c r="AG20" s="165" t="str">
        <f>IFERROR(__xludf.DUMMYFUNCTION("GOOGLETRANSLATE(C20,""zh-tw"",""ru"")"),"слизь")</f>
        <v>слизь</v>
      </c>
      <c r="AH20" s="165" t="str">
        <f>IFERROR(__xludf.DUMMYFUNCTION("GOOGLETRANSLATE(D20,""zh-tw"",""ru"")"),"Яблочная Фея")</f>
        <v>Яблочная Фея</v>
      </c>
      <c r="AI20" s="165"/>
      <c r="AJ20" s="386" t="s">
        <v>6157</v>
      </c>
      <c r="AK20" s="378"/>
      <c r="AL20" s="163" t="s">
        <v>6018</v>
      </c>
      <c r="AM20" s="163" t="s">
        <v>3877</v>
      </c>
      <c r="AN20" s="164"/>
      <c r="AO20" s="181" t="s">
        <v>6158</v>
      </c>
      <c r="AP20" s="191"/>
      <c r="AQ20" s="183" t="s">
        <v>6020</v>
      </c>
      <c r="AR20" s="183" t="s">
        <v>6159</v>
      </c>
      <c r="AS20" s="184"/>
    </row>
    <row r="21">
      <c r="A21" s="382" t="s">
        <v>6160</v>
      </c>
      <c r="B21" s="383"/>
      <c r="C21" s="165" t="s">
        <v>6011</v>
      </c>
      <c r="D21" s="165" t="s">
        <v>6161</v>
      </c>
      <c r="E21" s="177"/>
      <c r="F21" s="382" t="s">
        <v>6162</v>
      </c>
      <c r="G21" s="383"/>
      <c r="H21" s="165" t="s">
        <v>6013</v>
      </c>
      <c r="I21" s="165" t="s">
        <v>6163</v>
      </c>
      <c r="J21" s="177"/>
      <c r="K21" s="103" t="s">
        <v>6164</v>
      </c>
      <c r="L21" s="383"/>
      <c r="M21" s="163" t="s">
        <v>6015</v>
      </c>
      <c r="N21" s="163" t="s">
        <v>6165</v>
      </c>
      <c r="O21" s="164"/>
      <c r="P21" s="384" t="str">
        <f>IFERROR(__xludf.DUMMYFUNCTION("GOOGLETRANSLATE(A21,""zh-tw"",""zh"")"),"奇怪的史莱姆果冻(黑色)")</f>
        <v>奇怪的史莱姆果冻(黑色)</v>
      </c>
      <c r="Q21" s="66"/>
      <c r="R21" s="69" t="str">
        <f>IFERROR(__xludf.DUMMYFUNCTION("GOOGLETRANSLATE(C21,""zh-tw"",""zh"")"),"史莱姆黏液")</f>
        <v>史莱姆黏液</v>
      </c>
      <c r="S21" s="69" t="str">
        <f>IFERROR(__xludf.DUMMYFUNCTION("GOOGLETRANSLATE(D21,""zh-tw"",""zh"")"),"垃圾")</f>
        <v>垃圾</v>
      </c>
      <c r="T21" s="69"/>
      <c r="U21" s="382" t="str">
        <f>IFERROR(__xludf.DUMMYFUNCTION("GOOGLETRANSLATE(A21,""zh-tw"",""es-MX"")"),"Extraña gelatina viscosa (negra)")</f>
        <v>Extraña gelatina viscosa (negra)</v>
      </c>
      <c r="V21" s="377"/>
      <c r="W21" s="165" t="str">
        <f>IFERROR(__xludf.DUMMYFUNCTION("GOOGLETRANSLATE(C21,""zh-tw"",""es-MX"")"),"limo")</f>
        <v>limo</v>
      </c>
      <c r="X21" s="165" t="str">
        <f>IFERROR(__xludf.DUMMYFUNCTION("GOOGLETRANSLATE(D21,""zh-tw"",""es-MX"")"),"Basura")</f>
        <v>Basura</v>
      </c>
      <c r="Y21" s="165"/>
      <c r="Z21" s="385" t="str">
        <f>IFERROR(__xludf.DUMMYFUNCTION("GOOGLETRANSLATE(A21,""zh-tw"",""KO"")"),"이상한 슬라임 젤리(검은색)")</f>
        <v>이상한 슬라임 젤리(검은색)</v>
      </c>
      <c r="AA21" s="378"/>
      <c r="AB21" s="163" t="s">
        <v>6016</v>
      </c>
      <c r="AC21" s="164" t="str">
        <f>IFERROR(__xludf.DUMMYFUNCTION("GOOGLETRANSLATE(D21,""zh-tw"",""KO"")"),"쓰레기")</f>
        <v>쓰레기</v>
      </c>
      <c r="AD21" s="164"/>
      <c r="AE21" s="382" t="str">
        <f>IFERROR(__xludf.DUMMYFUNCTION("GOOGLETRANSLATE(A21,""zh-tw"",""ru"")"),"Странная слизь-желе (черная)")</f>
        <v>Странная слизь-желе (черная)</v>
      </c>
      <c r="AF21" s="377"/>
      <c r="AG21" s="165" t="str">
        <f>IFERROR(__xludf.DUMMYFUNCTION("GOOGLETRANSLATE(C21,""zh-tw"",""ru"")"),"слизь")</f>
        <v>слизь</v>
      </c>
      <c r="AH21" s="165" t="str">
        <f>IFERROR(__xludf.DUMMYFUNCTION("GOOGLETRANSLATE(D21,""zh-tw"",""ru"")"),"Мусор")</f>
        <v>Мусор</v>
      </c>
      <c r="AI21" s="165"/>
      <c r="AJ21" s="386" t="s">
        <v>6166</v>
      </c>
      <c r="AK21" s="378"/>
      <c r="AL21" s="163" t="s">
        <v>6018</v>
      </c>
      <c r="AM21" s="163" t="s">
        <v>6167</v>
      </c>
      <c r="AN21" s="164"/>
      <c r="AO21" s="181" t="s">
        <v>6168</v>
      </c>
      <c r="AP21" s="191"/>
      <c r="AQ21" s="183" t="s">
        <v>6020</v>
      </c>
      <c r="AR21" s="183" t="s">
        <v>6169</v>
      </c>
      <c r="AS21" s="184"/>
    </row>
    <row r="22">
      <c r="A22" s="382" t="s">
        <v>6170</v>
      </c>
      <c r="B22" s="383"/>
      <c r="C22" s="165" t="s">
        <v>6142</v>
      </c>
      <c r="D22" s="165" t="s">
        <v>544</v>
      </c>
      <c r="E22" s="177"/>
      <c r="F22" s="382" t="s">
        <v>6171</v>
      </c>
      <c r="G22" s="383"/>
      <c r="H22" s="165" t="s">
        <v>6013</v>
      </c>
      <c r="I22" s="165" t="s">
        <v>547</v>
      </c>
      <c r="J22" s="177"/>
      <c r="K22" s="103" t="s">
        <v>6172</v>
      </c>
      <c r="L22" s="383"/>
      <c r="M22" s="163" t="s">
        <v>6015</v>
      </c>
      <c r="N22" s="163" t="s">
        <v>6173</v>
      </c>
      <c r="O22" s="164"/>
      <c r="P22" s="384" t="str">
        <f>IFERROR(__xludf.DUMMYFUNCTION("GOOGLETRANSLATE(A22,""zh-tw"",""zh"")"),"奇怪的史莱姆果冻(彩色)")</f>
        <v>奇怪的史莱姆果冻(彩色)</v>
      </c>
      <c r="Q22" s="66"/>
      <c r="R22" s="69" t="str">
        <f>IFERROR(__xludf.DUMMYFUNCTION("GOOGLETRANSLATE(C22,""zh-tw"",""zh"")"),"水怪黏液")</f>
        <v>水怪黏液</v>
      </c>
      <c r="S22" s="69" t="str">
        <f>IFERROR(__xludf.DUMMYFUNCTION("GOOGLETRANSLATE(D22,""zh-tw"",""zh"")"),"呆毛")</f>
        <v>呆毛</v>
      </c>
      <c r="T22" s="69"/>
      <c r="U22" s="382" t="str">
        <f>IFERROR(__xludf.DUMMYFUNCTION("GOOGLETRANSLATE(A22,""zh-tw"",""es-MX"")"),"Extraña gelatina viscosa (colorida)")</f>
        <v>Extraña gelatina viscosa (colorida)</v>
      </c>
      <c r="V22" s="377"/>
      <c r="W22" s="165" t="str">
        <f>IFERROR(__xludf.DUMMYFUNCTION("GOOGLETRANSLATE(C22,""zh-tw"",""es-MX"")"),"Monstruo de agua viscoso")</f>
        <v>Monstruo de agua viscoso</v>
      </c>
      <c r="X22" s="165" t="str">
        <f>IFERROR(__xludf.DUMMYFUNCTION("GOOGLETRANSLATE(D22,""zh-tw"",""es-MX"")"),"ahoge")</f>
        <v>ahoge</v>
      </c>
      <c r="Y22" s="165"/>
      <c r="Z22" s="385" t="str">
        <f>IFERROR(__xludf.DUMMYFUNCTION("GOOGLETRANSLATE(A22,""zh-tw"",""KO"")"),"이상한 슬라임 젤리 (컬러풀)")</f>
        <v>이상한 슬라임 젤리 (컬러풀)</v>
      </c>
      <c r="AA22" s="378"/>
      <c r="AB22" s="163" t="s">
        <v>6147</v>
      </c>
      <c r="AC22" s="163" t="s">
        <v>556</v>
      </c>
      <c r="AD22" s="164"/>
      <c r="AE22" s="382" t="str">
        <f>IFERROR(__xludf.DUMMYFUNCTION("GOOGLETRANSLATE(A22,""zh-tw"",""ru"")"),"Странная слизь-желе (цветная)")</f>
        <v>Странная слизь-желе (цветная)</v>
      </c>
      <c r="AF22" s="377"/>
      <c r="AG22" s="165" t="str">
        <f>IFERROR(__xludf.DUMMYFUNCTION("GOOGLETRANSLATE(C22,""zh-tw"",""ru"")"),"Водяной монстр-слизь")</f>
        <v>Водяной монстр-слизь</v>
      </c>
      <c r="AH22" s="165" t="str">
        <f>IFERROR(__xludf.DUMMYFUNCTION("GOOGLETRANSLATE(D22,""zh-tw"",""ru"")"),"ахоге")</f>
        <v>ахоге</v>
      </c>
      <c r="AI22" s="165"/>
      <c r="AJ22" s="386" t="s">
        <v>6174</v>
      </c>
      <c r="AK22" s="378"/>
      <c r="AL22" s="163" t="s">
        <v>6149</v>
      </c>
      <c r="AM22" s="163" t="s">
        <v>6175</v>
      </c>
      <c r="AN22" s="164"/>
      <c r="AO22" s="181" t="s">
        <v>6176</v>
      </c>
      <c r="AP22" s="191"/>
      <c r="AQ22" s="183" t="s">
        <v>6020</v>
      </c>
      <c r="AR22" s="183" t="s">
        <v>6177</v>
      </c>
      <c r="AS22" s="184"/>
    </row>
    <row r="23">
      <c r="A23" s="382" t="s">
        <v>6178</v>
      </c>
      <c r="B23" s="383"/>
      <c r="C23" s="165" t="s">
        <v>6179</v>
      </c>
      <c r="D23" s="177"/>
      <c r="E23" s="177"/>
      <c r="F23" s="382" t="s">
        <v>6180</v>
      </c>
      <c r="G23" s="383"/>
      <c r="H23" s="165" t="s">
        <v>6181</v>
      </c>
      <c r="I23" s="177"/>
      <c r="J23" s="177"/>
      <c r="K23" s="99" t="s">
        <v>6182</v>
      </c>
      <c r="L23" s="383"/>
      <c r="M23" s="163" t="s">
        <v>6183</v>
      </c>
      <c r="N23" s="164"/>
      <c r="O23" s="164"/>
      <c r="P23" s="384" t="str">
        <f>IFERROR(__xludf.DUMMYFUNCTION("GOOGLETRANSLATE(A23,""zh-tw"",""zh"")"),"烤香蕉")</f>
        <v>烤香蕉</v>
      </c>
      <c r="Q23" s="66"/>
      <c r="R23" s="69" t="str">
        <f>IFERROR(__xludf.DUMMYFUNCTION("GOOGLETRANSLATE(C23,""zh-tw"",""zh"")"),"香蕉")</f>
        <v>香蕉</v>
      </c>
      <c r="S23" s="69"/>
      <c r="T23" s="69"/>
      <c r="U23" s="382" t="str">
        <f>IFERROR(__xludf.DUMMYFUNCTION("GOOGLETRANSLATE(A23,""zh-tw"",""es-MX"")"),"plátanos horneados")</f>
        <v>plátanos horneados</v>
      </c>
      <c r="V23" s="377"/>
      <c r="W23" s="165" t="str">
        <f>IFERROR(__xludf.DUMMYFUNCTION("GOOGLETRANSLATE(C23,""zh-tw"",""es-MX"")"),"banana")</f>
        <v>banana</v>
      </c>
      <c r="X23" s="165"/>
      <c r="Y23" s="165"/>
      <c r="Z23" s="385" t="str">
        <f>IFERROR(__xludf.DUMMYFUNCTION("GOOGLETRANSLATE(A23,""zh-tw"",""KO"")"),"구운 바나나")</f>
        <v>구운 바나나</v>
      </c>
      <c r="AA23" s="378"/>
      <c r="AB23" s="164" t="str">
        <f>IFERROR(__xludf.DUMMYFUNCTION("GOOGLETRANSLATE(C23,""zh-tw"",""KO"")"),"바나나")</f>
        <v>바나나</v>
      </c>
      <c r="AC23" s="164"/>
      <c r="AD23" s="164"/>
      <c r="AE23" s="382" t="str">
        <f>IFERROR(__xludf.DUMMYFUNCTION("GOOGLETRANSLATE(A23,""zh-tw"",""ru"")"),"Печеные бананы")</f>
        <v>Печеные бананы</v>
      </c>
      <c r="AF23" s="377"/>
      <c r="AG23" s="165" t="str">
        <f>IFERROR(__xludf.DUMMYFUNCTION("GOOGLETRANSLATE(C23,""zh-tw"",""ru"")"),"банан")</f>
        <v>банан</v>
      </c>
      <c r="AH23" s="165"/>
      <c r="AI23" s="165"/>
      <c r="AJ23" s="386" t="s">
        <v>6184</v>
      </c>
      <c r="AK23" s="378"/>
      <c r="AL23" s="163" t="s">
        <v>6185</v>
      </c>
      <c r="AM23" s="164"/>
      <c r="AN23" s="164"/>
      <c r="AO23" s="181" t="s">
        <v>6186</v>
      </c>
      <c r="AP23" s="191"/>
      <c r="AQ23" s="183" t="s">
        <v>6187</v>
      </c>
      <c r="AR23" s="184"/>
      <c r="AS23" s="184"/>
    </row>
    <row r="24">
      <c r="A24" s="382" t="s">
        <v>6188</v>
      </c>
      <c r="B24" s="383"/>
      <c r="C24" s="165" t="s">
        <v>6109</v>
      </c>
      <c r="D24" s="165" t="s">
        <v>4206</v>
      </c>
      <c r="E24" s="165" t="s">
        <v>6189</v>
      </c>
      <c r="F24" s="382" t="s">
        <v>6190</v>
      </c>
      <c r="G24" s="383"/>
      <c r="H24" s="165" t="s">
        <v>6111</v>
      </c>
      <c r="I24" s="165" t="s">
        <v>6191</v>
      </c>
      <c r="J24" s="165" t="s">
        <v>6192</v>
      </c>
      <c r="K24" s="103" t="s">
        <v>6193</v>
      </c>
      <c r="L24" s="383"/>
      <c r="M24" s="163" t="s">
        <v>4234</v>
      </c>
      <c r="N24" s="163" t="s">
        <v>4208</v>
      </c>
      <c r="O24" s="163" t="s">
        <v>6194</v>
      </c>
      <c r="P24" s="384" t="str">
        <f>IFERROR(__xludf.DUMMYFUNCTION("GOOGLETRANSLATE(A24,""zh-tw"",""zh"")"),"罗宋汤")</f>
        <v>罗宋汤</v>
      </c>
      <c r="Q24" s="66"/>
      <c r="R24" s="69" t="str">
        <f>IFERROR(__xludf.DUMMYFUNCTION("GOOGLETRANSLATE(C24,""zh-tw"",""zh"")"),"小块兽肉")</f>
        <v>小块兽肉</v>
      </c>
      <c r="S24" s="69" t="str">
        <f>IFERROR(__xludf.DUMMYFUNCTION("GOOGLETRANSLATE(D24,""zh-tw"",""zh"")"),"土豆")</f>
        <v>土豆</v>
      </c>
      <c r="T24" s="69" t="str">
        <f>IFERROR(__xludf.DUMMYFUNCTION("GOOGLETRANSLATE(E24,""zh-tw"",""zh"")"),"胡萝卜")</f>
        <v>胡萝卜</v>
      </c>
      <c r="U24" s="382" t="str">
        <f>IFERROR(__xludf.DUMMYFUNCTION("GOOGLETRANSLATE(A24,""zh-tw"",""es-MX"")"),"Sopa de remolacha")</f>
        <v>Sopa de remolacha</v>
      </c>
      <c r="V24" s="377"/>
      <c r="W24" s="165" t="str">
        <f>IFERROR(__xludf.DUMMYFUNCTION("GOOGLETRANSLATE(C24,""zh-tw"",""es-MX"")"),"Trozos pequeños de carne")</f>
        <v>Trozos pequeños de carne</v>
      </c>
      <c r="X24" s="165" t="str">
        <f>IFERROR(__xludf.DUMMYFUNCTION("GOOGLETRANSLATE(D24,""zh-tw"",""es-MX"")"),"Papa")</f>
        <v>Papa</v>
      </c>
      <c r="Y24" s="165" t="str">
        <f>IFERROR(__xludf.DUMMYFUNCTION("GOOGLETRANSLATE(E24,""zh-tw"",""es-MX"")"),"zanahoria")</f>
        <v>zanahoria</v>
      </c>
      <c r="Z24" s="385" t="str">
        <f>IFERROR(__xludf.DUMMYFUNCTION("GOOGLETRANSLATE(A24,""zh-tw"",""KO"")"),"보르시치")</f>
        <v>보르시치</v>
      </c>
      <c r="AA24" s="378"/>
      <c r="AB24" s="163" t="s">
        <v>4236</v>
      </c>
      <c r="AC24" s="164" t="str">
        <f>IFERROR(__xludf.DUMMYFUNCTION("GOOGLETRANSLATE(D24,""zh-tw"",""KO"")"),"감자")</f>
        <v>감자</v>
      </c>
      <c r="AD24" s="164" t="str">
        <f>IFERROR(__xludf.DUMMYFUNCTION("GOOGLETRANSLATE(E24,""zh-tw"",""KO"")"),"당근")</f>
        <v>당근</v>
      </c>
      <c r="AE24" s="382" t="str">
        <f>IFERROR(__xludf.DUMMYFUNCTION("GOOGLETRANSLATE(A24,""zh-tw"",""ru"")"),"Борщ")</f>
        <v>Борщ</v>
      </c>
      <c r="AF24" s="377"/>
      <c r="AG24" s="165" t="str">
        <f>IFERROR(__xludf.DUMMYFUNCTION("GOOGLETRANSLATE(C24,""zh-tw"",""ru"")"),"Небольшие кусочки мяса")</f>
        <v>Небольшие кусочки мяса</v>
      </c>
      <c r="AH24" s="165" t="str">
        <f>IFERROR(__xludf.DUMMYFUNCTION("GOOGLETRANSLATE(D24,""zh-tw"",""ru"")"),"Картофель")</f>
        <v>Картофель</v>
      </c>
      <c r="AI24" s="165" t="str">
        <f>IFERROR(__xludf.DUMMYFUNCTION("GOOGLETRANSLATE(E24,""zh-tw"",""ru"")"),"морковь")</f>
        <v>морковь</v>
      </c>
      <c r="AJ24" s="386" t="s">
        <v>6195</v>
      </c>
      <c r="AK24" s="378"/>
      <c r="AL24" s="163" t="s">
        <v>6115</v>
      </c>
      <c r="AM24" s="163" t="s">
        <v>4211</v>
      </c>
      <c r="AN24" s="163" t="s">
        <v>4211</v>
      </c>
      <c r="AO24" s="181" t="s">
        <v>6196</v>
      </c>
      <c r="AP24" s="191"/>
      <c r="AQ24" s="183" t="s">
        <v>4240</v>
      </c>
      <c r="AR24" s="183" t="s">
        <v>4213</v>
      </c>
      <c r="AS24" s="183" t="s">
        <v>6197</v>
      </c>
    </row>
    <row r="25">
      <c r="A25" s="382" t="s">
        <v>6198</v>
      </c>
      <c r="B25" s="383"/>
      <c r="C25" s="165" t="s">
        <v>6199</v>
      </c>
      <c r="D25" s="177"/>
      <c r="E25" s="177"/>
      <c r="F25" s="382" t="s">
        <v>6200</v>
      </c>
      <c r="G25" s="383"/>
      <c r="H25" s="165" t="s">
        <v>6201</v>
      </c>
      <c r="I25" s="177"/>
      <c r="J25" s="177"/>
      <c r="K25" s="103" t="s">
        <v>6202</v>
      </c>
      <c r="L25" s="383"/>
      <c r="M25" s="163" t="s">
        <v>6203</v>
      </c>
      <c r="N25" s="164"/>
      <c r="O25" s="164"/>
      <c r="P25" s="384" t="str">
        <f>IFERROR(__xludf.DUMMYFUNCTION("GOOGLETRANSLATE(A25,""zh-tw"",""zh"")"),"烤章鱼脚")</f>
        <v>烤章鱼脚</v>
      </c>
      <c r="Q25" s="66"/>
      <c r="R25" s="69" t="str">
        <f>IFERROR(__xludf.DUMMYFUNCTION("GOOGLETRANSLATE(C25,""zh-tw"",""zh"")"),"章鱼脚")</f>
        <v>章鱼脚</v>
      </c>
      <c r="S25" s="69"/>
      <c r="T25" s="69"/>
      <c r="U25" s="382" t="str">
        <f>IFERROR(__xludf.DUMMYFUNCTION("GOOGLETRANSLATE(A25,""zh-tw"",""es-MX"")"),"Patas de pulpo a la parrilla")</f>
        <v>Patas de pulpo a la parrilla</v>
      </c>
      <c r="V25" s="377"/>
      <c r="W25" s="165" t="str">
        <f>IFERROR(__xludf.DUMMYFUNCTION("GOOGLETRANSLATE(C25,""zh-tw"",""es-MX"")"),"Patas de pulpo")</f>
        <v>Patas de pulpo</v>
      </c>
      <c r="X25" s="165"/>
      <c r="Y25" s="165"/>
      <c r="Z25" s="386" t="s">
        <v>6204</v>
      </c>
      <c r="AA25" s="378"/>
      <c r="AB25" s="163" t="s">
        <v>6205</v>
      </c>
      <c r="AC25" s="164"/>
      <c r="AD25" s="164"/>
      <c r="AE25" s="382" t="str">
        <f>IFERROR(__xludf.DUMMYFUNCTION("GOOGLETRANSLATE(A25,""zh-tw"",""ru"")"),"Жареные ножки осьминога")</f>
        <v>Жареные ножки осьминога</v>
      </c>
      <c r="AF25" s="377"/>
      <c r="AG25" s="165" t="str">
        <f>IFERROR(__xludf.DUMMYFUNCTION("GOOGLETRANSLATE(C25,""zh-tw"",""ru"")"),"Ноги осьминога")</f>
        <v>Ноги осьминога</v>
      </c>
      <c r="AH25" s="165"/>
      <c r="AI25" s="165"/>
      <c r="AJ25" s="386" t="s">
        <v>6206</v>
      </c>
      <c r="AK25" s="378"/>
      <c r="AL25" s="163" t="s">
        <v>6207</v>
      </c>
      <c r="AM25" s="164"/>
      <c r="AN25" s="164"/>
      <c r="AO25" s="181" t="s">
        <v>6208</v>
      </c>
      <c r="AP25" s="191"/>
      <c r="AQ25" s="183" t="s">
        <v>6209</v>
      </c>
      <c r="AR25" s="184"/>
      <c r="AS25" s="184"/>
    </row>
    <row r="26">
      <c r="A26" s="387" t="s">
        <v>6210</v>
      </c>
      <c r="B26" s="383"/>
      <c r="C26" s="165" t="s">
        <v>6211</v>
      </c>
      <c r="D26" s="165" t="s">
        <v>6211</v>
      </c>
      <c r="E26" s="165" t="s">
        <v>6211</v>
      </c>
      <c r="F26" s="382" t="s">
        <v>6212</v>
      </c>
      <c r="G26" s="383"/>
      <c r="H26" s="165" t="s">
        <v>6192</v>
      </c>
      <c r="I26" s="165" t="s">
        <v>6192</v>
      </c>
      <c r="J26" s="165" t="s">
        <v>6192</v>
      </c>
      <c r="K26" s="99" t="s">
        <v>6213</v>
      </c>
      <c r="L26" s="383"/>
      <c r="M26" s="163" t="s">
        <v>6194</v>
      </c>
      <c r="N26" s="163" t="s">
        <v>6194</v>
      </c>
      <c r="O26" s="163" t="s">
        <v>6194</v>
      </c>
      <c r="P26" s="384" t="str">
        <f>IFERROR(__xludf.DUMMYFUNCTION("GOOGLETRANSLATE(A26,""zh-tw"",""zh"")"),"蔬菜沙拉")</f>
        <v>蔬菜沙拉</v>
      </c>
      <c r="Q26" s="66"/>
      <c r="R26" s="69" t="str">
        <f>IFERROR(__xludf.DUMMYFUNCTION("GOOGLETRANSLATE(C26,""zh-tw"",""zh"")"),"蔬菜")</f>
        <v>蔬菜</v>
      </c>
      <c r="S26" s="69" t="str">
        <f>IFERROR(__xludf.DUMMYFUNCTION("GOOGLETRANSLATE(D26,""zh-tw"",""zh"")"),"蔬菜")</f>
        <v>蔬菜</v>
      </c>
      <c r="T26" s="69" t="str">
        <f>IFERROR(__xludf.DUMMYFUNCTION("GOOGLETRANSLATE(E26,""zh-tw"",""zh"")"),"蔬菜")</f>
        <v>蔬菜</v>
      </c>
      <c r="U26" s="382" t="str">
        <f>IFERROR(__xludf.DUMMYFUNCTION("GOOGLETRANSLATE(A26,""zh-tw"",""es-MX"")"),"Ensalada de verduras")</f>
        <v>Ensalada de verduras</v>
      </c>
      <c r="V26" s="377"/>
      <c r="W26" s="165" t="str">
        <f>IFERROR(__xludf.DUMMYFUNCTION("GOOGLETRANSLATE(C26,""zh-tw"",""es-MX"")"),"verdura")</f>
        <v>verdura</v>
      </c>
      <c r="X26" s="165" t="str">
        <f>IFERROR(__xludf.DUMMYFUNCTION("GOOGLETRANSLATE(D26,""zh-tw"",""es-MX"")"),"verdura")</f>
        <v>verdura</v>
      </c>
      <c r="Y26" s="165" t="str">
        <f>IFERROR(__xludf.DUMMYFUNCTION("GOOGLETRANSLATE(E26,""zh-tw"",""es-MX"")"),"verdura")</f>
        <v>verdura</v>
      </c>
      <c r="Z26" s="386" t="s">
        <v>6214</v>
      </c>
      <c r="AA26" s="378"/>
      <c r="AB26" s="389" t="s">
        <v>6215</v>
      </c>
      <c r="AC26" s="389" t="s">
        <v>6215</v>
      </c>
      <c r="AD26" s="163" t="s">
        <v>6215</v>
      </c>
      <c r="AE26" s="382" t="str">
        <f>IFERROR(__xludf.DUMMYFUNCTION("GOOGLETRANSLATE(A26,""zh-tw"",""ru"")"),"Овощной салат")</f>
        <v>Овощной салат</v>
      </c>
      <c r="AF26" s="377"/>
      <c r="AG26" s="165" t="str">
        <f>IFERROR(__xludf.DUMMYFUNCTION("GOOGLETRANSLATE(C26,""zh-tw"",""ru"")"),"овощ")</f>
        <v>овощ</v>
      </c>
      <c r="AH26" s="165" t="str">
        <f>IFERROR(__xludf.DUMMYFUNCTION("GOOGLETRANSLATE(D26,""zh-tw"",""ru"")"),"овощ")</f>
        <v>овощ</v>
      </c>
      <c r="AI26" s="165" t="str">
        <f>IFERROR(__xludf.DUMMYFUNCTION("GOOGLETRANSLATE(E26,""zh-tw"",""ru"")"),"овощ")</f>
        <v>овощ</v>
      </c>
      <c r="AJ26" s="386" t="s">
        <v>6216</v>
      </c>
      <c r="AK26" s="378"/>
      <c r="AL26" s="163" t="s">
        <v>6217</v>
      </c>
      <c r="AM26" s="163" t="s">
        <v>6217</v>
      </c>
      <c r="AN26" s="163" t="s">
        <v>6217</v>
      </c>
      <c r="AO26" s="156" t="s">
        <v>6218</v>
      </c>
      <c r="AP26" s="191"/>
      <c r="AQ26" s="183" t="s">
        <v>6197</v>
      </c>
      <c r="AR26" s="183" t="s">
        <v>6197</v>
      </c>
      <c r="AS26" s="183" t="s">
        <v>6197</v>
      </c>
    </row>
    <row r="27">
      <c r="A27" s="382" t="s">
        <v>6219</v>
      </c>
      <c r="B27" s="383"/>
      <c r="C27" s="165" t="s">
        <v>4206</v>
      </c>
      <c r="D27" s="177"/>
      <c r="E27" s="177"/>
      <c r="F27" s="382" t="s">
        <v>6220</v>
      </c>
      <c r="G27" s="383"/>
      <c r="H27" s="165" t="s">
        <v>6191</v>
      </c>
      <c r="I27" s="177"/>
      <c r="J27" s="177"/>
      <c r="K27" s="103" t="s">
        <v>6221</v>
      </c>
      <c r="L27" s="383"/>
      <c r="M27" s="163" t="s">
        <v>4208</v>
      </c>
      <c r="N27" s="164"/>
      <c r="O27" s="164"/>
      <c r="P27" s="384" t="str">
        <f>IFERROR(__xludf.DUMMYFUNCTION("GOOGLETRANSLATE(A27,""zh-tw"",""zh"")"),"土豆泥")</f>
        <v>土豆泥</v>
      </c>
      <c r="Q27" s="66"/>
      <c r="R27" s="69" t="str">
        <f>IFERROR(__xludf.DUMMYFUNCTION("GOOGLETRANSLATE(C27,""zh-tw"",""zh"")"),"土豆")</f>
        <v>土豆</v>
      </c>
      <c r="S27" s="69"/>
      <c r="T27" s="69"/>
      <c r="U27" s="382" t="str">
        <f>IFERROR(__xludf.DUMMYFUNCTION("GOOGLETRANSLATE(A27,""zh-tw"",""es-MX"")"),"Puré de papas")</f>
        <v>Puré de papas</v>
      </c>
      <c r="V27" s="377"/>
      <c r="W27" s="165" t="str">
        <f>IFERROR(__xludf.DUMMYFUNCTION("GOOGLETRANSLATE(C27,""zh-tw"",""es-MX"")"),"Papa")</f>
        <v>Papa</v>
      </c>
      <c r="X27" s="165"/>
      <c r="Y27" s="165"/>
      <c r="Z27" s="386" t="s">
        <v>6222</v>
      </c>
      <c r="AA27" s="378"/>
      <c r="AB27" s="164" t="str">
        <f>IFERROR(__xludf.DUMMYFUNCTION("GOOGLETRANSLATE(C27,""zh-tw"",""KO"")"),"감자")</f>
        <v>감자</v>
      </c>
      <c r="AC27" s="164"/>
      <c r="AD27" s="164"/>
      <c r="AE27" s="382" t="str">
        <f>IFERROR(__xludf.DUMMYFUNCTION("GOOGLETRANSLATE(A27,""zh-tw"",""ru"")"),"Картофельное пюре")</f>
        <v>Картофельное пюре</v>
      </c>
      <c r="AF27" s="377"/>
      <c r="AG27" s="165" t="str">
        <f>IFERROR(__xludf.DUMMYFUNCTION("GOOGLETRANSLATE(C27,""zh-tw"",""ru"")"),"Картофель")</f>
        <v>Картофель</v>
      </c>
      <c r="AH27" s="165"/>
      <c r="AI27" s="165"/>
      <c r="AJ27" s="386" t="s">
        <v>6223</v>
      </c>
      <c r="AK27" s="378"/>
      <c r="AL27" s="163" t="s">
        <v>4211</v>
      </c>
      <c r="AM27" s="164"/>
      <c r="AN27" s="164"/>
      <c r="AO27" s="181" t="s">
        <v>6224</v>
      </c>
      <c r="AP27" s="191"/>
      <c r="AQ27" s="183" t="s">
        <v>4213</v>
      </c>
      <c r="AR27" s="184"/>
      <c r="AS27" s="184"/>
    </row>
    <row r="28">
      <c r="A28" s="382" t="s">
        <v>6225</v>
      </c>
      <c r="B28" s="383"/>
      <c r="C28" s="165" t="s">
        <v>6189</v>
      </c>
      <c r="D28" s="165" t="s">
        <v>6226</v>
      </c>
      <c r="E28" s="177"/>
      <c r="F28" s="382" t="s">
        <v>6227</v>
      </c>
      <c r="G28" s="383"/>
      <c r="H28" s="165" t="s">
        <v>6192</v>
      </c>
      <c r="I28" s="165" t="s">
        <v>6228</v>
      </c>
      <c r="J28" s="177"/>
      <c r="K28" s="103" t="s">
        <v>6229</v>
      </c>
      <c r="L28" s="383"/>
      <c r="M28" s="163" t="s">
        <v>6194</v>
      </c>
      <c r="N28" s="163" t="s">
        <v>4034</v>
      </c>
      <c r="O28" s="164"/>
      <c r="P28" s="384" t="str">
        <f>IFERROR(__xludf.DUMMYFUNCTION("GOOGLETRANSLATE(A28,""zh-tw"",""zh"")"),"萝卜菇片汤")</f>
        <v>萝卜菇片汤</v>
      </c>
      <c r="Q28" s="66"/>
      <c r="R28" s="69" t="str">
        <f>IFERROR(__xludf.DUMMYFUNCTION("GOOGLETRANSLATE(C28,""zh-tw"",""zh"")"),"胡萝卜")</f>
        <v>胡萝卜</v>
      </c>
      <c r="S28" s="69" t="str">
        <f>IFERROR(__xludf.DUMMYFUNCTION("GOOGLETRANSLATE(D28,""zh-tw"",""zh"")"),"菇类")</f>
        <v>菇类</v>
      </c>
      <c r="T28" s="69"/>
      <c r="U28" s="382" t="str">
        <f>IFERROR(__xludf.DUMMYFUNCTION("GOOGLETRANSLATE(A28,""zh-tw"",""es-MX"")"),"Sopa de rábano y champiñones")</f>
        <v>Sopa de rábano y champiñones</v>
      </c>
      <c r="V28" s="377"/>
      <c r="W28" s="165" t="str">
        <f>IFERROR(__xludf.DUMMYFUNCTION("GOOGLETRANSLATE(C28,""zh-tw"",""es-MX"")"),"zanahoria")</f>
        <v>zanahoria</v>
      </c>
      <c r="X28" s="165" t="str">
        <f>IFERROR(__xludf.DUMMYFUNCTION("GOOGLETRANSLATE(D28,""zh-tw"",""es-MX"")"),"Hongos")</f>
        <v>Hongos</v>
      </c>
      <c r="Y28" s="165"/>
      <c r="Z28" s="386" t="s">
        <v>6230</v>
      </c>
      <c r="AA28" s="378"/>
      <c r="AB28" s="164" t="str">
        <f>IFERROR(__xludf.DUMMYFUNCTION("GOOGLETRANSLATE(C28,""zh-tw"",""KO"")"),"당근")</f>
        <v>당근</v>
      </c>
      <c r="AC28" s="164" t="str">
        <f>IFERROR(__xludf.DUMMYFUNCTION("GOOGLETRANSLATE(D28,""zh-tw"",""KO"")"),"버섯")</f>
        <v>버섯</v>
      </c>
      <c r="AD28" s="164"/>
      <c r="AE28" s="382" t="str">
        <f>IFERROR(__xludf.DUMMYFUNCTION("GOOGLETRANSLATE(A28,""zh-tw"",""ru"")"),"Суп из редиса и грибов")</f>
        <v>Суп из редиса и грибов</v>
      </c>
      <c r="AF28" s="377"/>
      <c r="AG28" s="165" t="str">
        <f>IFERROR(__xludf.DUMMYFUNCTION("GOOGLETRANSLATE(C28,""zh-tw"",""ru"")"),"морковь")</f>
        <v>морковь</v>
      </c>
      <c r="AH28" s="165" t="str">
        <f>IFERROR(__xludf.DUMMYFUNCTION("GOOGLETRANSLATE(D28,""zh-tw"",""ru"")"),"Грибы")</f>
        <v>Грибы</v>
      </c>
      <c r="AI28" s="165"/>
      <c r="AJ28" s="386" t="s">
        <v>6231</v>
      </c>
      <c r="AK28" s="378"/>
      <c r="AL28" s="163" t="s">
        <v>6232</v>
      </c>
      <c r="AM28" s="164" t="str">
        <f>IFERROR(__xludf.DUMMYFUNCTION("GOOGLETRANSLATE(D28,""zh-tw"",""de"")"),"Pilze")</f>
        <v>Pilze</v>
      </c>
      <c r="AN28" s="164"/>
      <c r="AO28" s="181" t="s">
        <v>6233</v>
      </c>
      <c r="AP28" s="191"/>
      <c r="AQ28" s="183" t="s">
        <v>6197</v>
      </c>
      <c r="AR28" s="183" t="s">
        <v>4042</v>
      </c>
      <c r="AS28" s="184"/>
    </row>
    <row r="29">
      <c r="A29" s="382" t="s">
        <v>6234</v>
      </c>
      <c r="B29" s="383"/>
      <c r="C29" s="165" t="s">
        <v>6235</v>
      </c>
      <c r="D29" s="177"/>
      <c r="E29" s="177"/>
      <c r="F29" s="382" t="s">
        <v>6236</v>
      </c>
      <c r="G29" s="383"/>
      <c r="H29" s="165" t="s">
        <v>6237</v>
      </c>
      <c r="I29" s="177"/>
      <c r="J29" s="177"/>
      <c r="K29" s="103" t="s">
        <v>6238</v>
      </c>
      <c r="L29" s="383"/>
      <c r="M29" s="163" t="s">
        <v>6239</v>
      </c>
      <c r="N29" s="164"/>
      <c r="O29" s="164"/>
      <c r="P29" s="384" t="str">
        <f>IFERROR(__xludf.DUMMYFUNCTION("GOOGLETRANSLATE(A29,""zh-tw"",""zh"")"),"意面")</f>
        <v>意面</v>
      </c>
      <c r="Q29" s="66"/>
      <c r="R29" s="69" t="str">
        <f>IFERROR(__xludf.DUMMYFUNCTION("GOOGLETRANSLATE(C29,""zh-tw"",""zh"")"),"意大利面")</f>
        <v>意大利面</v>
      </c>
      <c r="S29" s="69"/>
      <c r="T29" s="69"/>
      <c r="U29" s="382" t="str">
        <f>IFERROR(__xludf.DUMMYFUNCTION("GOOGLETRANSLATE(A29,""zh-tw"",""es-MX"")"),"pastas")</f>
        <v>pastas</v>
      </c>
      <c r="V29" s="377"/>
      <c r="W29" s="165" t="str">
        <f>IFERROR(__xludf.DUMMYFUNCTION("GOOGLETRANSLATE(C29,""zh-tw"",""es-MX"")"),"espaguetis")</f>
        <v>espaguetis</v>
      </c>
      <c r="X29" s="165"/>
      <c r="Y29" s="165"/>
      <c r="Z29" s="385" t="str">
        <f>IFERROR(__xludf.DUMMYFUNCTION("GOOGLETRANSLATE(A29,""zh-tw"",""KO"")"),"파스타")</f>
        <v>파스타</v>
      </c>
      <c r="AA29" s="378"/>
      <c r="AB29" s="164" t="str">
        <f>IFERROR(__xludf.DUMMYFUNCTION("GOOGLETRANSLATE(C29,""zh-tw"",""KO"")"),"스파게티")</f>
        <v>스파게티</v>
      </c>
      <c r="AC29" s="164"/>
      <c r="AD29" s="164"/>
      <c r="AE29" s="382" t="str">
        <f>IFERROR(__xludf.DUMMYFUNCTION("GOOGLETRANSLATE(A29,""zh-tw"",""ru"")"),"макароны")</f>
        <v>макароны</v>
      </c>
      <c r="AF29" s="377"/>
      <c r="AG29" s="165" t="str">
        <f>IFERROR(__xludf.DUMMYFUNCTION("GOOGLETRANSLATE(C29,""zh-tw"",""ru"")"),"спагетти")</f>
        <v>спагетти</v>
      </c>
      <c r="AH29" s="165"/>
      <c r="AI29" s="165"/>
      <c r="AJ29" s="386" t="s">
        <v>6240</v>
      </c>
      <c r="AK29" s="378"/>
      <c r="AL29" s="163" t="s">
        <v>6239</v>
      </c>
      <c r="AM29" s="164"/>
      <c r="AN29" s="164"/>
      <c r="AO29" s="181" t="s">
        <v>6238</v>
      </c>
      <c r="AP29" s="191"/>
      <c r="AQ29" s="183" t="s">
        <v>6241</v>
      </c>
      <c r="AR29" s="184"/>
      <c r="AS29" s="184"/>
    </row>
    <row r="30">
      <c r="A30" s="382" t="s">
        <v>6242</v>
      </c>
      <c r="B30" s="383"/>
      <c r="C30" s="165" t="s">
        <v>6235</v>
      </c>
      <c r="D30" s="165" t="s">
        <v>6243</v>
      </c>
      <c r="E30" s="177"/>
      <c r="F30" s="382" t="s">
        <v>6244</v>
      </c>
      <c r="G30" s="383"/>
      <c r="H30" s="165" t="s">
        <v>6237</v>
      </c>
      <c r="I30" s="165" t="s">
        <v>6245</v>
      </c>
      <c r="J30" s="177"/>
      <c r="K30" s="103" t="s">
        <v>6246</v>
      </c>
      <c r="L30" s="383"/>
      <c r="M30" s="163" t="s">
        <v>6239</v>
      </c>
      <c r="N30" s="163" t="s">
        <v>6247</v>
      </c>
      <c r="O30" s="164"/>
      <c r="P30" s="384" t="str">
        <f>IFERROR(__xludf.DUMMYFUNCTION("GOOGLETRANSLATE(A30,""zh-tw"",""zh"")"),"番茄意面")</f>
        <v>番茄意面</v>
      </c>
      <c r="Q30" s="66"/>
      <c r="R30" s="69" t="str">
        <f>IFERROR(__xludf.DUMMYFUNCTION("GOOGLETRANSLATE(C30,""zh-tw"",""zh"")"),"意大利面")</f>
        <v>意大利面</v>
      </c>
      <c r="S30" s="69" t="str">
        <f>IFERROR(__xludf.DUMMYFUNCTION("GOOGLETRANSLATE(D30,""zh-tw"",""zh"")"),"番茄酱")</f>
        <v>番茄酱</v>
      </c>
      <c r="T30" s="69"/>
      <c r="U30" s="382" t="str">
        <f>IFERROR(__xludf.DUMMYFUNCTION("GOOGLETRANSLATE(A30,""zh-tw"",""es-MX"")"),"Pasta con tomate")</f>
        <v>Pasta con tomate</v>
      </c>
      <c r="V30" s="377"/>
      <c r="W30" s="165" t="str">
        <f>IFERROR(__xludf.DUMMYFUNCTION("GOOGLETRANSLATE(C30,""zh-tw"",""es-MX"")"),"espaguetis")</f>
        <v>espaguetis</v>
      </c>
      <c r="X30" s="165" t="str">
        <f>IFERROR(__xludf.DUMMYFUNCTION("GOOGLETRANSLATE(D30,""zh-tw"",""es-MX"")"),"salsa de tomate")</f>
        <v>salsa de tomate</v>
      </c>
      <c r="Y30" s="165"/>
      <c r="Z30" s="385" t="str">
        <f>IFERROR(__xludf.DUMMYFUNCTION("GOOGLETRANSLATE(A30,""zh-tw"",""KO"")"),"토마토 파스타")</f>
        <v>토마토 파스타</v>
      </c>
      <c r="AA30" s="378"/>
      <c r="AB30" s="164" t="str">
        <f>IFERROR(__xludf.DUMMYFUNCTION("GOOGLETRANSLATE(C30,""zh-tw"",""KO"")"),"스파게티")</f>
        <v>스파게티</v>
      </c>
      <c r="AC30" s="164" t="str">
        <f>IFERROR(__xludf.DUMMYFUNCTION("GOOGLETRANSLATE(D30,""zh-tw"",""KO"")"),"토마토 소스")</f>
        <v>토마토 소스</v>
      </c>
      <c r="AD30" s="164"/>
      <c r="AE30" s="382" t="str">
        <f>IFERROR(__xludf.DUMMYFUNCTION("GOOGLETRANSLATE(A30,""zh-tw"",""ru"")"),"Томатная паста")</f>
        <v>Томатная паста</v>
      </c>
      <c r="AF30" s="377"/>
      <c r="AG30" s="165" t="str">
        <f>IFERROR(__xludf.DUMMYFUNCTION("GOOGLETRANSLATE(C30,""zh-tw"",""ru"")"),"спагетти")</f>
        <v>спагетти</v>
      </c>
      <c r="AH30" s="165" t="str">
        <f>IFERROR(__xludf.DUMMYFUNCTION("GOOGLETRANSLATE(D30,""zh-tw"",""ru"")"),"Томатный соус")</f>
        <v>Томатный соус</v>
      </c>
      <c r="AI30" s="165"/>
      <c r="AJ30" s="386" t="s">
        <v>6248</v>
      </c>
      <c r="AK30" s="378"/>
      <c r="AL30" s="163" t="s">
        <v>6239</v>
      </c>
      <c r="AM30" s="163" t="s">
        <v>6249</v>
      </c>
      <c r="AN30" s="164"/>
      <c r="AO30" s="181" t="s">
        <v>6250</v>
      </c>
      <c r="AP30" s="191"/>
      <c r="AQ30" s="183" t="s">
        <v>6241</v>
      </c>
      <c r="AR30" s="183" t="s">
        <v>6251</v>
      </c>
      <c r="AS30" s="184"/>
    </row>
    <row r="31">
      <c r="A31" s="382" t="s">
        <v>6252</v>
      </c>
      <c r="B31" s="383"/>
      <c r="C31" s="165" t="s">
        <v>6235</v>
      </c>
      <c r="D31" s="165" t="s">
        <v>6253</v>
      </c>
      <c r="E31" s="177"/>
      <c r="F31" s="382" t="s">
        <v>6254</v>
      </c>
      <c r="G31" s="383"/>
      <c r="H31" s="165" t="s">
        <v>6237</v>
      </c>
      <c r="I31" s="165" t="s">
        <v>6255</v>
      </c>
      <c r="J31" s="177"/>
      <c r="K31" s="103" t="s">
        <v>6256</v>
      </c>
      <c r="L31" s="383"/>
      <c r="M31" s="163" t="s">
        <v>6239</v>
      </c>
      <c r="N31" s="163" t="s">
        <v>6257</v>
      </c>
      <c r="O31" s="164"/>
      <c r="P31" s="384" t="str">
        <f>IFERROR(__xludf.DUMMYFUNCTION("GOOGLETRANSLATE(A31,""zh-tw"",""zh"")"),"海鲜意面")</f>
        <v>海鲜意面</v>
      </c>
      <c r="Q31" s="66"/>
      <c r="R31" s="69" t="str">
        <f>IFERROR(__xludf.DUMMYFUNCTION("GOOGLETRANSLATE(C31,""zh-tw"",""zh"")"),"意大利面")</f>
        <v>意大利面</v>
      </c>
      <c r="S31" s="69" t="str">
        <f>IFERROR(__xludf.DUMMYFUNCTION("GOOGLETRANSLATE(D31,""zh-tw"",""zh"")"),"甜虾")</f>
        <v>甜虾</v>
      </c>
      <c r="T31" s="69"/>
      <c r="U31" s="382" t="str">
        <f>IFERROR(__xludf.DUMMYFUNCTION("GOOGLETRANSLATE(A31,""zh-tw"",""es-MX"")"),"Pasta con mariscos")</f>
        <v>Pasta con mariscos</v>
      </c>
      <c r="V31" s="377"/>
      <c r="W31" s="165" t="str">
        <f>IFERROR(__xludf.DUMMYFUNCTION("GOOGLETRANSLATE(C31,""zh-tw"",""es-MX"")"),"espaguetis")</f>
        <v>espaguetis</v>
      </c>
      <c r="X31" s="165" t="str">
        <f>IFERROR(__xludf.DUMMYFUNCTION("GOOGLETRANSLATE(D31,""zh-tw"",""es-MX"")"),"Camarones dulces")</f>
        <v>Camarones dulces</v>
      </c>
      <c r="Y31" s="165"/>
      <c r="Z31" s="385" t="str">
        <f>IFERROR(__xludf.DUMMYFUNCTION("GOOGLETRANSLATE(A31,""zh-tw"",""KO"")"),"해산물 파스타")</f>
        <v>해산물 파스타</v>
      </c>
      <c r="AA31" s="378"/>
      <c r="AB31" s="164" t="str">
        <f>IFERROR(__xludf.DUMMYFUNCTION("GOOGLETRANSLATE(C31,""zh-tw"",""KO"")"),"스파게티")</f>
        <v>스파게티</v>
      </c>
      <c r="AC31" s="163" t="s">
        <v>6258</v>
      </c>
      <c r="AD31" s="164"/>
      <c r="AE31" s="382" t="str">
        <f>IFERROR(__xludf.DUMMYFUNCTION("GOOGLETRANSLATE(A31,""zh-tw"",""ru"")"),"Паста с морепродуктами")</f>
        <v>Паста с морепродуктами</v>
      </c>
      <c r="AF31" s="377"/>
      <c r="AG31" s="165" t="str">
        <f>IFERROR(__xludf.DUMMYFUNCTION("GOOGLETRANSLATE(C31,""zh-tw"",""ru"")"),"спагетти")</f>
        <v>спагетти</v>
      </c>
      <c r="AH31" s="165" t="str">
        <f>IFERROR(__xludf.DUMMYFUNCTION("GOOGLETRANSLATE(D31,""zh-tw"",""ru"")"),"Сладкие креветки")</f>
        <v>Сладкие креветки</v>
      </c>
      <c r="AI31" s="165"/>
      <c r="AJ31" s="386" t="s">
        <v>6259</v>
      </c>
      <c r="AK31" s="378"/>
      <c r="AL31" s="163" t="s">
        <v>6239</v>
      </c>
      <c r="AM31" s="163" t="s">
        <v>6260</v>
      </c>
      <c r="AN31" s="164"/>
      <c r="AO31" s="181" t="s">
        <v>6261</v>
      </c>
      <c r="AP31" s="191"/>
      <c r="AQ31" s="183" t="s">
        <v>6241</v>
      </c>
      <c r="AR31" s="183" t="s">
        <v>6262</v>
      </c>
      <c r="AS31" s="184"/>
    </row>
    <row r="32">
      <c r="A32" s="382" t="s">
        <v>6263</v>
      </c>
      <c r="B32" s="383"/>
      <c r="C32" s="165" t="s">
        <v>6022</v>
      </c>
      <c r="D32" s="165" t="s">
        <v>6023</v>
      </c>
      <c r="E32" s="165" t="s">
        <v>4016</v>
      </c>
      <c r="F32" s="382" t="s">
        <v>6264</v>
      </c>
      <c r="G32" s="383"/>
      <c r="H32" s="165" t="s">
        <v>6025</v>
      </c>
      <c r="I32" s="165" t="s">
        <v>6026</v>
      </c>
      <c r="J32" s="165" t="s">
        <v>6265</v>
      </c>
      <c r="K32" s="99" t="s">
        <v>6266</v>
      </c>
      <c r="L32" s="383"/>
      <c r="M32" s="163" t="s">
        <v>6028</v>
      </c>
      <c r="N32" s="163" t="s">
        <v>6029</v>
      </c>
      <c r="O32" s="163" t="s">
        <v>4019</v>
      </c>
      <c r="P32" s="384" t="str">
        <f>IFERROR(__xludf.DUMMYFUNCTION("GOOGLETRANSLATE(A32,""zh-tw"",""zh"")"),"鸡蛋咖喱饭")</f>
        <v>鸡蛋咖喱饭</v>
      </c>
      <c r="Q32" s="66"/>
      <c r="R32" s="69" t="str">
        <f>IFERROR(__xludf.DUMMYFUNCTION("GOOGLETRANSLATE(C32,""zh-tw"",""zh"")"),"白米饭")</f>
        <v>白米饭</v>
      </c>
      <c r="S32" s="69" t="str">
        <f>IFERROR(__xludf.DUMMYFUNCTION("GOOGLETRANSLATE(D32,""zh-tw"",""zh"")"),"咖喱块")</f>
        <v>咖喱块</v>
      </c>
      <c r="T32" s="69" t="str">
        <f>IFERROR(__xludf.DUMMYFUNCTION("GOOGLETRANSLATE(E32,""zh-tw"",""zh"")"),"很大的蛋")</f>
        <v>很大的蛋</v>
      </c>
      <c r="U32" s="382" t="str">
        <f>IFERROR(__xludf.DUMMYFUNCTION("GOOGLETRANSLATE(A32,""zh-tw"",""es-MX"")"),"arroz con curry de huevo")</f>
        <v>arroz con curry de huevo</v>
      </c>
      <c r="V32" s="377"/>
      <c r="W32" s="165" t="str">
        <f>IFERROR(__xludf.DUMMYFUNCTION("GOOGLETRANSLATE(C32,""zh-tw"",""es-MX"")"),"arroz blanco")</f>
        <v>arroz blanco</v>
      </c>
      <c r="X32" s="165" t="str">
        <f>IFERROR(__xludf.DUMMYFUNCTION("GOOGLETRANSLATE(D32,""zh-tw"",""es-MX"")"),"cubos de curry")</f>
        <v>cubos de curry</v>
      </c>
      <c r="Y32" s="165" t="str">
        <f>IFERROR(__xludf.DUMMYFUNCTION("GOOGLETRANSLATE(E32,""zh-tw"",""es-MX"")"),"Un huevo muy grande")</f>
        <v>Un huevo muy grande</v>
      </c>
      <c r="Z32" s="385" t="str">
        <f>IFERROR(__xludf.DUMMYFUNCTION("GOOGLETRANSLATE(A32,""zh-tw"",""KO"")"),"계란 카레 라이스")</f>
        <v>계란 카레 라이스</v>
      </c>
      <c r="AA32" s="378"/>
      <c r="AB32" s="164" t="str">
        <f>IFERROR(__xludf.DUMMYFUNCTION("GOOGLETRANSLATE(C32,""zh-tw"",""KO"")"),"흰쌀")</f>
        <v>흰쌀</v>
      </c>
      <c r="AC32" s="163" t="s">
        <v>6030</v>
      </c>
      <c r="AD32" s="163" t="s">
        <v>4021</v>
      </c>
      <c r="AE32" s="382" t="str">
        <f>IFERROR(__xludf.DUMMYFUNCTION("GOOGLETRANSLATE(A32,""zh-tw"",""ru"")"),"Яичный карри с рисом")</f>
        <v>Яичный карри с рисом</v>
      </c>
      <c r="AF32" s="377"/>
      <c r="AG32" s="165" t="str">
        <f>IFERROR(__xludf.DUMMYFUNCTION("GOOGLETRANSLATE(C32,""zh-tw"",""ru"")"),"Белый рис")</f>
        <v>Белый рис</v>
      </c>
      <c r="AH32" s="165" t="str">
        <f>IFERROR(__xludf.DUMMYFUNCTION("GOOGLETRANSLATE(D32,""zh-tw"",""ru"")"),"кубики карри")</f>
        <v>кубики карри</v>
      </c>
      <c r="AI32" s="165" t="str">
        <f>IFERROR(__xludf.DUMMYFUNCTION("GOOGLETRANSLATE(E32,""zh-tw"",""ru"")"),"Очень большое яйцо")</f>
        <v>Очень большое яйцо</v>
      </c>
      <c r="AJ32" s="386" t="s">
        <v>6267</v>
      </c>
      <c r="AK32" s="378"/>
      <c r="AL32" s="163" t="s">
        <v>6032</v>
      </c>
      <c r="AM32" s="163" t="s">
        <v>6033</v>
      </c>
      <c r="AN32" s="163" t="s">
        <v>6268</v>
      </c>
      <c r="AO32" s="181" t="s">
        <v>6269</v>
      </c>
      <c r="AP32" s="191"/>
      <c r="AQ32" s="183" t="s">
        <v>6035</v>
      </c>
      <c r="AR32" s="183" t="s">
        <v>6036</v>
      </c>
      <c r="AS32" s="183" t="s">
        <v>4026</v>
      </c>
    </row>
    <row r="33">
      <c r="A33" s="382" t="s">
        <v>6270</v>
      </c>
      <c r="B33" s="383"/>
      <c r="C33" s="165" t="s">
        <v>6022</v>
      </c>
      <c r="D33" s="165" t="s">
        <v>4016</v>
      </c>
      <c r="E33" s="177"/>
      <c r="F33" s="382" t="s">
        <v>6271</v>
      </c>
      <c r="G33" s="383"/>
      <c r="H33" s="165" t="s">
        <v>6025</v>
      </c>
      <c r="I33" s="165" t="s">
        <v>6265</v>
      </c>
      <c r="J33" s="177"/>
      <c r="K33" s="103" t="s">
        <v>6272</v>
      </c>
      <c r="L33" s="383"/>
      <c r="M33" s="163" t="s">
        <v>6028</v>
      </c>
      <c r="N33" s="163" t="s">
        <v>6273</v>
      </c>
      <c r="O33" s="164"/>
      <c r="P33" s="384" t="str">
        <f>IFERROR(__xludf.DUMMYFUNCTION("GOOGLETRANSLATE(A33,""zh-tw"",""zh"")"),"蛋包饭")</f>
        <v>蛋包饭</v>
      </c>
      <c r="Q33" s="66"/>
      <c r="R33" s="69" t="str">
        <f>IFERROR(__xludf.DUMMYFUNCTION("GOOGLETRANSLATE(C33,""zh-tw"",""zh"")"),"白米饭")</f>
        <v>白米饭</v>
      </c>
      <c r="S33" s="69" t="str">
        <f>IFERROR(__xludf.DUMMYFUNCTION("GOOGLETRANSLATE(D33,""zh-tw"",""zh"")"),"很大的蛋")</f>
        <v>很大的蛋</v>
      </c>
      <c r="T33" s="69"/>
      <c r="U33" s="382" t="str">
        <f>IFERROR(__xludf.DUMMYFUNCTION("GOOGLETRANSLATE(A33,""zh-tw"",""es-MX"")"),"Arroz con tortilla")</f>
        <v>Arroz con tortilla</v>
      </c>
      <c r="V33" s="377"/>
      <c r="W33" s="165" t="str">
        <f>IFERROR(__xludf.DUMMYFUNCTION("GOOGLETRANSLATE(C33,""zh-tw"",""es-MX"")"),"arroz blanco")</f>
        <v>arroz blanco</v>
      </c>
      <c r="X33" s="165" t="str">
        <f>IFERROR(__xludf.DUMMYFUNCTION("GOOGLETRANSLATE(D33,""zh-tw"",""es-MX"")"),"Un huevo muy grande")</f>
        <v>Un huevo muy grande</v>
      </c>
      <c r="Y33" s="165"/>
      <c r="Z33" s="386" t="s">
        <v>6274</v>
      </c>
      <c r="AA33" s="378"/>
      <c r="AB33" s="164" t="str">
        <f>IFERROR(__xludf.DUMMYFUNCTION("GOOGLETRANSLATE(C33,""zh-tw"",""KO"")"),"흰쌀")</f>
        <v>흰쌀</v>
      </c>
      <c r="AC33" s="319" t="s">
        <v>4021</v>
      </c>
      <c r="AD33" s="164"/>
      <c r="AE33" s="382" t="str">
        <f>IFERROR(__xludf.DUMMYFUNCTION("GOOGLETRANSLATE(A33,""zh-tw"",""ru"")"),"Омлет с рисом")</f>
        <v>Омлет с рисом</v>
      </c>
      <c r="AF33" s="377"/>
      <c r="AG33" s="165" t="str">
        <f>IFERROR(__xludf.DUMMYFUNCTION("GOOGLETRANSLATE(C33,""zh-tw"",""ru"")"),"Белый рис")</f>
        <v>Белый рис</v>
      </c>
      <c r="AH33" s="165" t="str">
        <f>IFERROR(__xludf.DUMMYFUNCTION("GOOGLETRANSLATE(D33,""zh-tw"",""ru"")"),"Очень большое яйцо")</f>
        <v>Очень большое яйцо</v>
      </c>
      <c r="AI33" s="165"/>
      <c r="AJ33" s="386" t="s">
        <v>6275</v>
      </c>
      <c r="AK33" s="378"/>
      <c r="AL33" s="163" t="s">
        <v>6032</v>
      </c>
      <c r="AM33" s="163" t="s">
        <v>6268</v>
      </c>
      <c r="AN33" s="164"/>
      <c r="AO33" s="181" t="s">
        <v>6272</v>
      </c>
      <c r="AP33" s="191"/>
      <c r="AQ33" s="183" t="s">
        <v>6035</v>
      </c>
      <c r="AR33" s="183" t="s">
        <v>4026</v>
      </c>
      <c r="AS33" s="184"/>
    </row>
    <row r="34">
      <c r="A34" s="382" t="s">
        <v>6276</v>
      </c>
      <c r="B34" s="383"/>
      <c r="C34" s="165" t="s">
        <v>6022</v>
      </c>
      <c r="D34" s="165" t="s">
        <v>4016</v>
      </c>
      <c r="E34" s="165" t="s">
        <v>4215</v>
      </c>
      <c r="F34" s="382" t="s">
        <v>6277</v>
      </c>
      <c r="G34" s="383"/>
      <c r="H34" s="165" t="s">
        <v>6025</v>
      </c>
      <c r="I34" s="165" t="s">
        <v>6265</v>
      </c>
      <c r="J34" s="165" t="s">
        <v>6278</v>
      </c>
      <c r="K34" s="103" t="s">
        <v>6279</v>
      </c>
      <c r="L34" s="383"/>
      <c r="M34" s="163" t="s">
        <v>6028</v>
      </c>
      <c r="N34" s="163" t="s">
        <v>6273</v>
      </c>
      <c r="O34" s="163" t="s">
        <v>4217</v>
      </c>
      <c r="P34" s="384" t="str">
        <f>IFERROR(__xludf.DUMMYFUNCTION("GOOGLETRANSLATE(A34,""zh-tw"",""zh"")"),"番茄蛋包饭")</f>
        <v>番茄蛋包饭</v>
      </c>
      <c r="Q34" s="66"/>
      <c r="R34" s="69" t="str">
        <f>IFERROR(__xludf.DUMMYFUNCTION("GOOGLETRANSLATE(C34,""zh-tw"",""zh"")"),"白米饭")</f>
        <v>白米饭</v>
      </c>
      <c r="S34" s="69" t="str">
        <f>IFERROR(__xludf.DUMMYFUNCTION("GOOGLETRANSLATE(D34,""zh-tw"",""zh"")"),"很大的蛋")</f>
        <v>很大的蛋</v>
      </c>
      <c r="T34" s="69" t="str">
        <f>IFERROR(__xludf.DUMMYFUNCTION("GOOGLETRANSLATE(E34,""zh-tw"",""zh"")"),"番茄")</f>
        <v>番茄</v>
      </c>
      <c r="U34" s="382" t="str">
        <f>IFERROR(__xludf.DUMMYFUNCTION("GOOGLETRANSLATE(A34,""zh-tw"",""es-MX"")"),"Arroz con tortilla de tomate")</f>
        <v>Arroz con tortilla de tomate</v>
      </c>
      <c r="V34" s="377"/>
      <c r="W34" s="165" t="str">
        <f>IFERROR(__xludf.DUMMYFUNCTION("GOOGLETRANSLATE(C34,""zh-tw"",""es-MX"")"),"arroz blanco")</f>
        <v>arroz blanco</v>
      </c>
      <c r="X34" s="165" t="str">
        <f>IFERROR(__xludf.DUMMYFUNCTION("GOOGLETRANSLATE(D34,""zh-tw"",""es-MX"")"),"Un huevo muy grande")</f>
        <v>Un huevo muy grande</v>
      </c>
      <c r="Y34" s="165" t="str">
        <f>IFERROR(__xludf.DUMMYFUNCTION("GOOGLETRANSLATE(E34,""zh-tw"",""es-MX"")"),"tomate")</f>
        <v>tomate</v>
      </c>
      <c r="Z34" s="386" t="s">
        <v>6280</v>
      </c>
      <c r="AA34" s="378"/>
      <c r="AB34" s="164" t="str">
        <f>IFERROR(__xludf.DUMMYFUNCTION("GOOGLETRANSLATE(C34,""zh-tw"",""KO"")"),"흰쌀")</f>
        <v>흰쌀</v>
      </c>
      <c r="AC34" s="319" t="s">
        <v>4021</v>
      </c>
      <c r="AD34" s="164" t="str">
        <f>IFERROR(__xludf.DUMMYFUNCTION("GOOGLETRANSLATE(E34,""zh-tw"",""KO"")"),"토마토")</f>
        <v>토마토</v>
      </c>
      <c r="AE34" s="382" t="str">
        <f>IFERROR(__xludf.DUMMYFUNCTION("GOOGLETRANSLATE(A34,""zh-tw"",""ru"")"),"Омлет с томатным рисом")</f>
        <v>Омлет с томатным рисом</v>
      </c>
      <c r="AF34" s="377"/>
      <c r="AG34" s="165" t="str">
        <f>IFERROR(__xludf.DUMMYFUNCTION("GOOGLETRANSLATE(C34,""zh-tw"",""ru"")"),"Белый рис")</f>
        <v>Белый рис</v>
      </c>
      <c r="AH34" s="165" t="str">
        <f>IFERROR(__xludf.DUMMYFUNCTION("GOOGLETRANSLATE(D34,""zh-tw"",""ru"")"),"Очень большое яйцо")</f>
        <v>Очень большое яйцо</v>
      </c>
      <c r="AI34" s="165" t="str">
        <f>IFERROR(__xludf.DUMMYFUNCTION("GOOGLETRANSLATE(E34,""zh-tw"",""ru"")"),"помидор")</f>
        <v>помидор</v>
      </c>
      <c r="AJ34" s="386" t="s">
        <v>6281</v>
      </c>
      <c r="AK34" s="378"/>
      <c r="AL34" s="163" t="s">
        <v>6032</v>
      </c>
      <c r="AM34" s="163" t="s">
        <v>6268</v>
      </c>
      <c r="AN34" s="163" t="s">
        <v>6282</v>
      </c>
      <c r="AO34" s="181" t="s">
        <v>6283</v>
      </c>
      <c r="AP34" s="191"/>
      <c r="AQ34" s="183" t="s">
        <v>6035</v>
      </c>
      <c r="AR34" s="183" t="s">
        <v>4026</v>
      </c>
      <c r="AS34" s="183" t="s">
        <v>4221</v>
      </c>
    </row>
    <row r="35">
      <c r="A35" s="382" t="s">
        <v>6284</v>
      </c>
      <c r="B35" s="383"/>
      <c r="C35" s="165" t="s">
        <v>6022</v>
      </c>
      <c r="D35" s="165" t="s">
        <v>6285</v>
      </c>
      <c r="E35" s="177"/>
      <c r="F35" s="382" t="s">
        <v>6286</v>
      </c>
      <c r="G35" s="383"/>
      <c r="H35" s="165" t="s">
        <v>6025</v>
      </c>
      <c r="I35" s="165" t="s">
        <v>6287</v>
      </c>
      <c r="J35" s="177"/>
      <c r="K35" s="103" t="s">
        <v>6288</v>
      </c>
      <c r="L35" s="383"/>
      <c r="M35" s="163" t="s">
        <v>6028</v>
      </c>
      <c r="N35" s="163" t="s">
        <v>6257</v>
      </c>
      <c r="O35" s="164"/>
      <c r="P35" s="384" t="str">
        <f>IFERROR(__xludf.DUMMYFUNCTION("GOOGLETRANSLATE(A35,""zh-tw"",""zh"")"),"海鲜炖饭")</f>
        <v>海鲜炖饭</v>
      </c>
      <c r="Q35" s="66"/>
      <c r="R35" s="69" t="str">
        <f>IFERROR(__xludf.DUMMYFUNCTION("GOOGLETRANSLATE(C35,""zh-tw"",""zh"")"),"白米饭")</f>
        <v>白米饭</v>
      </c>
      <c r="S35" s="69" t="str">
        <f>IFERROR(__xludf.DUMMYFUNCTION("GOOGLETRANSLATE(D35,""zh-tw"",""zh"")"),"大龙虾")</f>
        <v>大龙虾</v>
      </c>
      <c r="T35" s="69"/>
      <c r="U35" s="382" t="str">
        <f>IFERROR(__xludf.DUMMYFUNCTION("GOOGLETRANSLATE(A35,""zh-tw"",""es-MX"")"),"Risotto de mariscos")</f>
        <v>Risotto de mariscos</v>
      </c>
      <c r="V35" s="377"/>
      <c r="W35" s="165" t="str">
        <f>IFERROR(__xludf.DUMMYFUNCTION("GOOGLETRANSLATE(C35,""zh-tw"",""es-MX"")"),"arroz blanco")</f>
        <v>arroz blanco</v>
      </c>
      <c r="X35" s="165" t="str">
        <f>IFERROR(__xludf.DUMMYFUNCTION("GOOGLETRANSLATE(D35,""zh-tw"",""es-MX"")"),"Langosta")</f>
        <v>Langosta</v>
      </c>
      <c r="Y35" s="165"/>
      <c r="Z35" s="385" t="str">
        <f>IFERROR(__xludf.DUMMYFUNCTION("GOOGLETRANSLATE(A35,""zh-tw"",""KO"")"),"해산물 리조또")</f>
        <v>해산물 리조또</v>
      </c>
      <c r="AA35" s="378"/>
      <c r="AB35" s="164" t="str">
        <f>IFERROR(__xludf.DUMMYFUNCTION("GOOGLETRANSLATE(C35,""zh-tw"",""KO"")"),"흰쌀")</f>
        <v>흰쌀</v>
      </c>
      <c r="AC35" s="163" t="s">
        <v>6289</v>
      </c>
      <c r="AD35" s="164"/>
      <c r="AE35" s="382" t="str">
        <f>IFERROR(__xludf.DUMMYFUNCTION("GOOGLETRANSLATE(A35,""zh-tw"",""ru"")"),"Ризотто с морепродуктами")</f>
        <v>Ризотто с морепродуктами</v>
      </c>
      <c r="AF35" s="377"/>
      <c r="AG35" s="165" t="str">
        <f>IFERROR(__xludf.DUMMYFUNCTION("GOOGLETRANSLATE(C35,""zh-tw"",""ru"")"),"Белый рис")</f>
        <v>Белый рис</v>
      </c>
      <c r="AH35" s="165" t="str">
        <f>IFERROR(__xludf.DUMMYFUNCTION("GOOGLETRANSLATE(D35,""zh-tw"",""ru"")"),"Омар")</f>
        <v>Омар</v>
      </c>
      <c r="AI35" s="165"/>
      <c r="AJ35" s="386" t="s">
        <v>6290</v>
      </c>
      <c r="AK35" s="378"/>
      <c r="AL35" s="163" t="s">
        <v>6032</v>
      </c>
      <c r="AM35" s="163" t="s">
        <v>6291</v>
      </c>
      <c r="AN35" s="164"/>
      <c r="AO35" s="181" t="s">
        <v>6292</v>
      </c>
      <c r="AP35" s="191"/>
      <c r="AQ35" s="183" t="s">
        <v>6035</v>
      </c>
      <c r="AR35" s="183" t="s">
        <v>6262</v>
      </c>
      <c r="AS35" s="184"/>
    </row>
    <row r="36">
      <c r="A36" s="382" t="s">
        <v>6293</v>
      </c>
      <c r="B36" s="383"/>
      <c r="C36" s="165" t="s">
        <v>6294</v>
      </c>
      <c r="D36" s="177"/>
      <c r="E36" s="177"/>
      <c r="F36" s="382" t="s">
        <v>6295</v>
      </c>
      <c r="G36" s="383"/>
      <c r="H36" s="165" t="s">
        <v>6296</v>
      </c>
      <c r="I36" s="177"/>
      <c r="J36" s="177"/>
      <c r="K36" s="99" t="s">
        <v>6297</v>
      </c>
      <c r="L36" s="383"/>
      <c r="M36" s="163" t="s">
        <v>6298</v>
      </c>
      <c r="N36" s="164"/>
      <c r="O36" s="164"/>
      <c r="P36" s="384" t="str">
        <f>IFERROR(__xludf.DUMMYFUNCTION("GOOGLETRANSLATE(A36,""zh-tw"",""zh"")"),"菠萝饮")</f>
        <v>菠萝饮</v>
      </c>
      <c r="Q36" s="66"/>
      <c r="R36" s="69" t="str">
        <f>IFERROR(__xludf.DUMMYFUNCTION("GOOGLETRANSLATE(C36,""zh-tw"",""zh"")"),"菠萝")</f>
        <v>菠萝</v>
      </c>
      <c r="S36" s="69"/>
      <c r="T36" s="69"/>
      <c r="U36" s="382" t="str">
        <f>IFERROR(__xludf.DUMMYFUNCTION("GOOGLETRANSLATE(A36,""zh-tw"",""es-MX"")"),"Bebida de piña")</f>
        <v>Bebida de piña</v>
      </c>
      <c r="V36" s="377"/>
      <c r="W36" s="165" t="str">
        <f>IFERROR(__xludf.DUMMYFUNCTION("GOOGLETRANSLATE(C36,""zh-tw"",""es-MX"")"),"Piña")</f>
        <v>Piña</v>
      </c>
      <c r="X36" s="165"/>
      <c r="Y36" s="165"/>
      <c r="Z36" s="386" t="s">
        <v>6299</v>
      </c>
      <c r="AA36" s="378"/>
      <c r="AB36" s="164" t="str">
        <f>IFERROR(__xludf.DUMMYFUNCTION("GOOGLETRANSLATE(C36,""zh-tw"",""KO"")"),"파인애플")</f>
        <v>파인애플</v>
      </c>
      <c r="AC36" s="164"/>
      <c r="AD36" s="164"/>
      <c r="AE36" s="382" t="str">
        <f>IFERROR(__xludf.DUMMYFUNCTION("GOOGLETRANSLATE(A36,""zh-tw"",""ru"")"),"Ананасовый напиток")</f>
        <v>Ананасовый напиток</v>
      </c>
      <c r="AF36" s="377"/>
      <c r="AG36" s="165" t="str">
        <f>IFERROR(__xludf.DUMMYFUNCTION("GOOGLETRANSLATE(C36,""zh-tw"",""ru"")"),"Ананас")</f>
        <v>Ананас</v>
      </c>
      <c r="AH36" s="165"/>
      <c r="AI36" s="165"/>
      <c r="AJ36" s="386" t="s">
        <v>6300</v>
      </c>
      <c r="AK36" s="378"/>
      <c r="AL36" s="163" t="s">
        <v>6301</v>
      </c>
      <c r="AM36" s="164"/>
      <c r="AN36" s="164"/>
      <c r="AO36" s="181" t="s">
        <v>6302</v>
      </c>
      <c r="AP36" s="191"/>
      <c r="AQ36" s="183" t="s">
        <v>6303</v>
      </c>
      <c r="AR36" s="184"/>
      <c r="AS36" s="184"/>
    </row>
    <row r="37">
      <c r="A37" s="387" t="s">
        <v>6304</v>
      </c>
      <c r="B37" s="383"/>
      <c r="C37" s="165" t="s">
        <v>6211</v>
      </c>
      <c r="D37" s="165" t="s">
        <v>6211</v>
      </c>
      <c r="E37" s="177"/>
      <c r="F37" s="382" t="s">
        <v>6305</v>
      </c>
      <c r="G37" s="383"/>
      <c r="H37" s="165" t="s">
        <v>6306</v>
      </c>
      <c r="I37" s="165" t="s">
        <v>6306</v>
      </c>
      <c r="J37" s="177"/>
      <c r="K37" s="103" t="s">
        <v>6307</v>
      </c>
      <c r="L37" s="383"/>
      <c r="M37" s="163" t="s">
        <v>6308</v>
      </c>
      <c r="N37" s="163" t="s">
        <v>6308</v>
      </c>
      <c r="O37" s="164"/>
      <c r="P37" s="384" t="str">
        <f>IFERROR(__xludf.DUMMYFUNCTION("GOOGLETRANSLATE(A37,""zh-tw"",""zh"")"),"冲绳杂炒")</f>
        <v>冲绳杂炒</v>
      </c>
      <c r="Q37" s="66"/>
      <c r="R37" s="69" t="str">
        <f>IFERROR(__xludf.DUMMYFUNCTION("GOOGLETRANSLATE(C37,""zh-tw"",""zh"")"),"蔬菜")</f>
        <v>蔬菜</v>
      </c>
      <c r="S37" s="69" t="str">
        <f>IFERROR(__xludf.DUMMYFUNCTION("GOOGLETRANSLATE(D37,""zh-tw"",""zh"")"),"蔬菜")</f>
        <v>蔬菜</v>
      </c>
      <c r="T37" s="69"/>
      <c r="U37" s="382" t="str">
        <f>IFERROR(__xludf.DUMMYFUNCTION("GOOGLETRANSLATE(A37,""zh-tw"",""es-MX"")"),"Salteado de Okinawa")</f>
        <v>Salteado de Okinawa</v>
      </c>
      <c r="V37" s="377"/>
      <c r="W37" s="165" t="str">
        <f>IFERROR(__xludf.DUMMYFUNCTION("GOOGLETRANSLATE(C37,""zh-tw"",""es-MX"")"),"verdura")</f>
        <v>verdura</v>
      </c>
      <c r="X37" s="165" t="str">
        <f>IFERROR(__xludf.DUMMYFUNCTION("GOOGLETRANSLATE(D37,""zh-tw"",""es-MX"")"),"verdura")</f>
        <v>verdura</v>
      </c>
      <c r="Y37" s="165"/>
      <c r="Z37" s="386" t="s">
        <v>6309</v>
      </c>
      <c r="AA37" s="378"/>
      <c r="AB37" s="164" t="str">
        <f>IFERROR(__xludf.DUMMYFUNCTION("GOOGLETRANSLATE(C37,""zh-tw"",""KO"")"),"채소")</f>
        <v>채소</v>
      </c>
      <c r="AC37" s="164" t="str">
        <f>IFERROR(__xludf.DUMMYFUNCTION("GOOGLETRANSLATE(D37,""zh-tw"",""KO"")"),"채소")</f>
        <v>채소</v>
      </c>
      <c r="AD37" s="164"/>
      <c r="AE37" s="382" t="str">
        <f>IFERROR(__xludf.DUMMYFUNCTION("GOOGLETRANSLATE(A37,""zh-tw"",""ru"")"),"Окинавское жаркое")</f>
        <v>Окинавское жаркое</v>
      </c>
      <c r="AF37" s="377"/>
      <c r="AG37" s="165" t="str">
        <f>IFERROR(__xludf.DUMMYFUNCTION("GOOGLETRANSLATE(C37,""zh-tw"",""ru"")"),"овощ")</f>
        <v>овощ</v>
      </c>
      <c r="AH37" s="165" t="str">
        <f>IFERROR(__xludf.DUMMYFUNCTION("GOOGLETRANSLATE(D37,""zh-tw"",""ru"")"),"овощ")</f>
        <v>овощ</v>
      </c>
      <c r="AI37" s="165"/>
      <c r="AJ37" s="386" t="s">
        <v>6310</v>
      </c>
      <c r="AK37" s="378"/>
      <c r="AL37" s="163" t="s">
        <v>6217</v>
      </c>
      <c r="AM37" s="163" t="s">
        <v>6217</v>
      </c>
      <c r="AN37" s="164"/>
      <c r="AO37" s="156" t="s">
        <v>6311</v>
      </c>
      <c r="AP37" s="191"/>
      <c r="AQ37" s="183" t="s">
        <v>6312</v>
      </c>
      <c r="AR37" s="183" t="s">
        <v>6312</v>
      </c>
      <c r="AS37" s="184"/>
    </row>
    <row r="38">
      <c r="A38" s="382" t="s">
        <v>6313</v>
      </c>
      <c r="B38" s="368" t="s">
        <v>237</v>
      </c>
      <c r="C38" s="165" t="s">
        <v>6314</v>
      </c>
      <c r="D38" s="165" t="s">
        <v>6314</v>
      </c>
      <c r="E38" s="165" t="s">
        <v>6039</v>
      </c>
      <c r="F38" s="382" t="s">
        <v>6315</v>
      </c>
      <c r="G38" s="368" t="s">
        <v>237</v>
      </c>
      <c r="H38" s="165" t="s">
        <v>6316</v>
      </c>
      <c r="I38" s="165" t="s">
        <v>6316</v>
      </c>
      <c r="J38" s="165" t="s">
        <v>6042</v>
      </c>
      <c r="K38" s="99" t="s">
        <v>6317</v>
      </c>
      <c r="L38" s="368" t="s">
        <v>237</v>
      </c>
      <c r="M38" s="163" t="s">
        <v>6318</v>
      </c>
      <c r="N38" s="163" t="s">
        <v>6318</v>
      </c>
      <c r="O38" s="163" t="s">
        <v>6045</v>
      </c>
      <c r="P38" s="384" t="str">
        <f>IFERROR(__xludf.DUMMYFUNCTION("GOOGLETRANSLATE(A38,""zh-tw"",""zh"")"),"炸鸡桶")</f>
        <v>炸鸡桶</v>
      </c>
      <c r="Q38" s="66" t="str">
        <f>IFERROR(__xludf.DUMMYFUNCTION("GOOGLETRANSLATE(B38,""zh-tw"",""zh"")"),"A")</f>
        <v>A</v>
      </c>
      <c r="R38" s="69" t="str">
        <f>IFERROR(__xludf.DUMMYFUNCTION("GOOGLETRANSLATE(C38,""zh-tw"",""zh"")"),"鸡腿肉")</f>
        <v>鸡腿肉</v>
      </c>
      <c r="S38" s="69" t="str">
        <f>IFERROR(__xludf.DUMMYFUNCTION("GOOGLETRANSLATE(D38,""zh-tw"",""zh"")"),"鸡腿肉")</f>
        <v>鸡腿肉</v>
      </c>
      <c r="T38" s="69" t="str">
        <f>IFERROR(__xludf.DUMMYFUNCTION("GOOGLETRANSLATE(E38,""zh-tw"",""zh"")"),"小麦粉")</f>
        <v>小麦粉</v>
      </c>
      <c r="U38" s="382" t="str">
        <f>IFERROR(__xludf.DUMMYFUNCTION("GOOGLETRANSLATE(A38,""zh-tw"",""es-MX"")"),"Cubo de pollo frito")</f>
        <v>Cubo de pollo frito</v>
      </c>
      <c r="V38" s="377" t="str">
        <f>IFERROR(__xludf.DUMMYFUNCTION("GOOGLETRANSLATE(B38,""zh-tw"",""es-MX"")"),"A")</f>
        <v>A</v>
      </c>
      <c r="W38" s="165" t="str">
        <f>IFERROR(__xludf.DUMMYFUNCTION("GOOGLETRANSLATE(C38,""zh-tw"",""es-MX"")"),"muslos de pollo")</f>
        <v>muslos de pollo</v>
      </c>
      <c r="X38" s="165" t="str">
        <f>IFERROR(__xludf.DUMMYFUNCTION("GOOGLETRANSLATE(D38,""zh-tw"",""es-MX"")"),"muslos de pollo")</f>
        <v>muslos de pollo</v>
      </c>
      <c r="Y38" s="165" t="str">
        <f>IFERROR(__xludf.DUMMYFUNCTION("GOOGLETRANSLATE(E38,""zh-tw"",""es-MX"")"),"harina de trigo")</f>
        <v>harina de trigo</v>
      </c>
      <c r="Z38" s="386" t="s">
        <v>6319</v>
      </c>
      <c r="AA38" s="390" t="s">
        <v>237</v>
      </c>
      <c r="AB38" s="163" t="s">
        <v>6320</v>
      </c>
      <c r="AC38" s="163" t="s">
        <v>6320</v>
      </c>
      <c r="AD38" s="164" t="str">
        <f>IFERROR(__xludf.DUMMYFUNCTION("GOOGLETRANSLATE(E38,""zh-tw"",""KO"")"),"밀가루")</f>
        <v>밀가루</v>
      </c>
      <c r="AE38" s="382" t="str">
        <f>IFERROR(__xludf.DUMMYFUNCTION("GOOGLETRANSLATE(A38,""zh-tw"",""ru"")"),"Ведро жареной курицы")</f>
        <v>Ведро жареной курицы</v>
      </c>
      <c r="AF38" s="377" t="str">
        <f>IFERROR(__xludf.DUMMYFUNCTION("GOOGLETRANSLATE(L38,""zh-tw"",""es-MX"")"),"A")</f>
        <v>A</v>
      </c>
      <c r="AG38" s="165" t="str">
        <f>IFERROR(__xludf.DUMMYFUNCTION("GOOGLETRANSLATE(C38,""zh-tw"",""ru"")"),"Мясо куриного бедра")</f>
        <v>Мясо куриного бедра</v>
      </c>
      <c r="AH38" s="165" t="str">
        <f>IFERROR(__xludf.DUMMYFUNCTION("GOOGLETRANSLATE(D38,""zh-tw"",""ru"")"),"Мясо куриного бедра")</f>
        <v>Мясо куриного бедра</v>
      </c>
      <c r="AI38" s="165" t="str">
        <f>IFERROR(__xludf.DUMMYFUNCTION("GOOGLETRANSLATE(E38,""zh-tw"",""ru"")"),"пшеничная мука")</f>
        <v>пшеничная мука</v>
      </c>
      <c r="AJ38" s="386" t="s">
        <v>6321</v>
      </c>
      <c r="AK38" s="378" t="s">
        <v>237</v>
      </c>
      <c r="AL38" s="163" t="s">
        <v>6322</v>
      </c>
      <c r="AM38" s="163" t="s">
        <v>6322</v>
      </c>
      <c r="AN38" s="163" t="s">
        <v>6048</v>
      </c>
      <c r="AO38" s="181" t="s">
        <v>6323</v>
      </c>
      <c r="AP38" s="388" t="s">
        <v>237</v>
      </c>
      <c r="AQ38" s="183" t="s">
        <v>6324</v>
      </c>
      <c r="AR38" s="183" t="s">
        <v>6324</v>
      </c>
      <c r="AS38" s="183" t="s">
        <v>6051</v>
      </c>
    </row>
    <row r="39">
      <c r="A39" s="387" t="s">
        <v>6325</v>
      </c>
      <c r="B39" s="368" t="s">
        <v>237</v>
      </c>
      <c r="C39" s="165" t="s">
        <v>6314</v>
      </c>
      <c r="D39" s="177"/>
      <c r="E39" s="177"/>
      <c r="F39" s="382" t="s">
        <v>6326</v>
      </c>
      <c r="G39" s="368" t="s">
        <v>237</v>
      </c>
      <c r="H39" s="165" t="s">
        <v>6316</v>
      </c>
      <c r="I39" s="177"/>
      <c r="J39" s="177"/>
      <c r="K39" s="103" t="s">
        <v>6327</v>
      </c>
      <c r="L39" s="368" t="s">
        <v>237</v>
      </c>
      <c r="M39" s="163" t="s">
        <v>6318</v>
      </c>
      <c r="N39" s="164"/>
      <c r="O39" s="164"/>
      <c r="P39" s="384" t="str">
        <f>IFERROR(__xludf.DUMMYFUNCTION("GOOGLETRANSLATE(A39,""zh-tw"",""zh"")"),"炸鸡腿")</f>
        <v>炸鸡腿</v>
      </c>
      <c r="Q39" s="66" t="str">
        <f>IFERROR(__xludf.DUMMYFUNCTION("GOOGLETRANSLATE(B39,""zh-tw"",""zh"")"),"A")</f>
        <v>A</v>
      </c>
      <c r="R39" s="69" t="str">
        <f>IFERROR(__xludf.DUMMYFUNCTION("GOOGLETRANSLATE(C39,""zh-tw"",""zh"")"),"鸡腿肉")</f>
        <v>鸡腿肉</v>
      </c>
      <c r="S39" s="69"/>
      <c r="T39" s="69"/>
      <c r="U39" s="382" t="str">
        <f>IFERROR(__xludf.DUMMYFUNCTION("GOOGLETRANSLATE(A39,""zh-tw"",""es-MX"")"),"muslos de pollo fritos")</f>
        <v>muslos de pollo fritos</v>
      </c>
      <c r="V39" s="377" t="str">
        <f>IFERROR(__xludf.DUMMYFUNCTION("GOOGLETRANSLATE(B39,""zh-tw"",""es-MX"")"),"A")</f>
        <v>A</v>
      </c>
      <c r="W39" s="165" t="str">
        <f>IFERROR(__xludf.DUMMYFUNCTION("GOOGLETRANSLATE(C39,""zh-tw"",""es-MX"")"),"muslos de pollo")</f>
        <v>muslos de pollo</v>
      </c>
      <c r="X39" s="165"/>
      <c r="Y39" s="165"/>
      <c r="Z39" s="385" t="str">
        <f>IFERROR(__xludf.DUMMYFUNCTION("GOOGLETRANSLATE(A39,""zh-tw"",""KO"")"),"튀긴 닭다리")</f>
        <v>튀긴 닭다리</v>
      </c>
      <c r="AA39" s="390" t="s">
        <v>237</v>
      </c>
      <c r="AB39" s="163" t="s">
        <v>6320</v>
      </c>
      <c r="AC39" s="164"/>
      <c r="AD39" s="164"/>
      <c r="AE39" s="382" t="str">
        <f>IFERROR(__xludf.DUMMYFUNCTION("GOOGLETRANSLATE(A39,""zh-tw"",""ru"")"),"Жареные куриные ножки")</f>
        <v>Жареные куриные ножки</v>
      </c>
      <c r="AF39" s="377" t="str">
        <f>IFERROR(__xludf.DUMMYFUNCTION("GOOGLETRANSLATE(L39,""zh-tw"",""es-MX"")"),"A")</f>
        <v>A</v>
      </c>
      <c r="AG39" s="165" t="str">
        <f>IFERROR(__xludf.DUMMYFUNCTION("GOOGLETRANSLATE(C39,""zh-tw"",""ru"")"),"Мясо куриного бедра")</f>
        <v>Мясо куриного бедра</v>
      </c>
      <c r="AH39" s="165"/>
      <c r="AI39" s="165"/>
      <c r="AJ39" s="386" t="s">
        <v>6328</v>
      </c>
      <c r="AK39" s="378" t="s">
        <v>237</v>
      </c>
      <c r="AL39" s="163" t="s">
        <v>6322</v>
      </c>
      <c r="AM39" s="164"/>
      <c r="AN39" s="164"/>
      <c r="AO39" s="156" t="s">
        <v>6329</v>
      </c>
      <c r="AP39" s="388" t="s">
        <v>237</v>
      </c>
      <c r="AQ39" s="183" t="s">
        <v>6324</v>
      </c>
      <c r="AR39" s="184"/>
      <c r="AS39" s="184"/>
    </row>
    <row r="40">
      <c r="A40" s="382" t="s">
        <v>6330</v>
      </c>
      <c r="B40" s="368" t="s">
        <v>237</v>
      </c>
      <c r="C40" s="165" t="s">
        <v>6022</v>
      </c>
      <c r="D40" s="165" t="s">
        <v>6314</v>
      </c>
      <c r="E40" s="177"/>
      <c r="F40" s="382" t="s">
        <v>6331</v>
      </c>
      <c r="G40" s="368" t="s">
        <v>237</v>
      </c>
      <c r="H40" s="165" t="s">
        <v>6025</v>
      </c>
      <c r="I40" s="165" t="s">
        <v>6316</v>
      </c>
      <c r="J40" s="177"/>
      <c r="K40" s="103" t="s">
        <v>6332</v>
      </c>
      <c r="L40" s="368" t="s">
        <v>237</v>
      </c>
      <c r="M40" s="163" t="s">
        <v>6137</v>
      </c>
      <c r="N40" s="163" t="s">
        <v>6318</v>
      </c>
      <c r="O40" s="164"/>
      <c r="P40" s="384" t="str">
        <f>IFERROR(__xludf.DUMMYFUNCTION("GOOGLETRANSLATE(A40,""zh-tw"",""zh"")"),"天妇罗饭团")</f>
        <v>天妇罗饭团</v>
      </c>
      <c r="Q40" s="66" t="str">
        <f>IFERROR(__xludf.DUMMYFUNCTION("GOOGLETRANSLATE(B40,""zh-tw"",""zh"")"),"A")</f>
        <v>A</v>
      </c>
      <c r="R40" s="69" t="str">
        <f>IFERROR(__xludf.DUMMYFUNCTION("GOOGLETRANSLATE(C40,""zh-tw"",""zh"")"),"白米饭")</f>
        <v>白米饭</v>
      </c>
      <c r="S40" s="69" t="str">
        <f>IFERROR(__xludf.DUMMYFUNCTION("GOOGLETRANSLATE(D40,""zh-tw"",""zh"")"),"鸡腿肉")</f>
        <v>鸡腿肉</v>
      </c>
      <c r="T40" s="69"/>
      <c r="U40" s="382" t="str">
        <f>IFERROR(__xludf.DUMMYFUNCTION("GOOGLETRANSLATE(A40,""zh-tw"",""es-MX"")"),"bola de arroz tempura")</f>
        <v>bola de arroz tempura</v>
      </c>
      <c r="V40" s="377" t="str">
        <f>IFERROR(__xludf.DUMMYFUNCTION("GOOGLETRANSLATE(B40,""zh-tw"",""es-MX"")"),"A")</f>
        <v>A</v>
      </c>
      <c r="W40" s="165" t="str">
        <f>IFERROR(__xludf.DUMMYFUNCTION("GOOGLETRANSLATE(C40,""zh-tw"",""es-MX"")"),"arroz blanco")</f>
        <v>arroz blanco</v>
      </c>
      <c r="X40" s="165" t="str">
        <f>IFERROR(__xludf.DUMMYFUNCTION("GOOGLETRANSLATE(D40,""zh-tw"",""es-MX"")"),"muslos de pollo")</f>
        <v>muslos de pollo</v>
      </c>
      <c r="Y40" s="165"/>
      <c r="Z40" s="386" t="s">
        <v>6333</v>
      </c>
      <c r="AA40" s="390" t="s">
        <v>237</v>
      </c>
      <c r="AB40" s="164" t="str">
        <f>IFERROR(__xludf.DUMMYFUNCTION("GOOGLETRANSLATE(C40,""zh-tw"",""KO"")"),"흰쌀")</f>
        <v>흰쌀</v>
      </c>
      <c r="AC40" s="163" t="s">
        <v>6320</v>
      </c>
      <c r="AD40" s="164"/>
      <c r="AE40" s="382" t="str">
        <f>IFERROR(__xludf.DUMMYFUNCTION("GOOGLETRANSLATE(A40,""zh-tw"",""ru"")"),"Рисовые шарики темпура")</f>
        <v>Рисовые шарики темпура</v>
      </c>
      <c r="AF40" s="377" t="str">
        <f>IFERROR(__xludf.DUMMYFUNCTION("GOOGLETRANSLATE(L40,""zh-tw"",""es-MX"")"),"A")</f>
        <v>A</v>
      </c>
      <c r="AG40" s="165" t="str">
        <f>IFERROR(__xludf.DUMMYFUNCTION("GOOGLETRANSLATE(C40,""zh-tw"",""ru"")"),"Белый рис")</f>
        <v>Белый рис</v>
      </c>
      <c r="AH40" s="165" t="str">
        <f>IFERROR(__xludf.DUMMYFUNCTION("GOOGLETRANSLATE(D40,""zh-tw"",""ru"")"),"Мясо куриного бедра")</f>
        <v>Мясо куриного бедра</v>
      </c>
      <c r="AI40" s="165"/>
      <c r="AJ40" s="386" t="s">
        <v>6334</v>
      </c>
      <c r="AK40" s="378" t="s">
        <v>237</v>
      </c>
      <c r="AL40" s="163" t="s">
        <v>6032</v>
      </c>
      <c r="AM40" s="163" t="s">
        <v>6322</v>
      </c>
      <c r="AN40" s="164"/>
      <c r="AO40" s="181" t="s">
        <v>6332</v>
      </c>
      <c r="AP40" s="388" t="s">
        <v>237</v>
      </c>
      <c r="AQ40" s="183" t="s">
        <v>6035</v>
      </c>
      <c r="AR40" s="183" t="s">
        <v>6324</v>
      </c>
      <c r="AS40" s="184"/>
    </row>
    <row r="41">
      <c r="A41" s="382" t="s">
        <v>6335</v>
      </c>
      <c r="B41" s="383"/>
      <c r="C41" s="165" t="s">
        <v>6336</v>
      </c>
      <c r="D41" s="165" t="s">
        <v>6336</v>
      </c>
      <c r="E41" s="165" t="s">
        <v>6336</v>
      </c>
      <c r="F41" s="382" t="s">
        <v>6337</v>
      </c>
      <c r="G41" s="383"/>
      <c r="H41" s="165" t="s">
        <v>6287</v>
      </c>
      <c r="I41" s="165" t="s">
        <v>6287</v>
      </c>
      <c r="J41" s="165" t="s">
        <v>6287</v>
      </c>
      <c r="K41" s="103" t="s">
        <v>6338</v>
      </c>
      <c r="L41" s="383"/>
      <c r="M41" s="163" t="s">
        <v>6339</v>
      </c>
      <c r="N41" s="163" t="s">
        <v>6339</v>
      </c>
      <c r="O41" s="163" t="s">
        <v>6339</v>
      </c>
      <c r="P41" s="384" t="str">
        <f>IFERROR(__xludf.DUMMYFUNCTION("GOOGLETRANSLATE(A41,""zh-tw"",""zh"")"),"焗龙虾")</f>
        <v>焗龙虾</v>
      </c>
      <c r="Q41" s="66"/>
      <c r="R41" s="69" t="str">
        <f>IFERROR(__xludf.DUMMYFUNCTION("GOOGLETRANSLATE(C41,""zh-tw"",""zh"")"),"龙虾")</f>
        <v>龙虾</v>
      </c>
      <c r="S41" s="69" t="str">
        <f>IFERROR(__xludf.DUMMYFUNCTION("GOOGLETRANSLATE(D41,""zh-tw"",""zh"")"),"龙虾")</f>
        <v>龙虾</v>
      </c>
      <c r="T41" s="69" t="str">
        <f>IFERROR(__xludf.DUMMYFUNCTION("GOOGLETRANSLATE(E41,""zh-tw"",""zh"")"),"龙虾")</f>
        <v>龙虾</v>
      </c>
      <c r="U41" s="382" t="str">
        <f>IFERROR(__xludf.DUMMYFUNCTION("GOOGLETRANSLATE(A41,""zh-tw"",""es-MX"")"),"Langosta al horno")</f>
        <v>Langosta al horno</v>
      </c>
      <c r="V41" s="377"/>
      <c r="W41" s="165" t="str">
        <f>IFERROR(__xludf.DUMMYFUNCTION("GOOGLETRANSLATE(C41,""zh-tw"",""es-MX"")"),"langosta")</f>
        <v>langosta</v>
      </c>
      <c r="X41" s="165" t="str">
        <f>IFERROR(__xludf.DUMMYFUNCTION("GOOGLETRANSLATE(D41,""zh-tw"",""es-MX"")"),"langosta")</f>
        <v>langosta</v>
      </c>
      <c r="Y41" s="165" t="str">
        <f>IFERROR(__xludf.DUMMYFUNCTION("GOOGLETRANSLATE(E41,""zh-tw"",""es-MX"")"),"langosta")</f>
        <v>langosta</v>
      </c>
      <c r="Z41" s="386" t="s">
        <v>6340</v>
      </c>
      <c r="AA41" s="378"/>
      <c r="AB41" s="163" t="s">
        <v>6289</v>
      </c>
      <c r="AC41" s="163" t="s">
        <v>6289</v>
      </c>
      <c r="AD41" s="163" t="s">
        <v>6289</v>
      </c>
      <c r="AE41" s="382" t="str">
        <f>IFERROR(__xludf.DUMMYFUNCTION("GOOGLETRANSLATE(A41,""zh-tw"",""ru"")"),"Запеченный лобстер")</f>
        <v>Запеченный лобстер</v>
      </c>
      <c r="AF41" s="377"/>
      <c r="AG41" s="165" t="str">
        <f>IFERROR(__xludf.DUMMYFUNCTION("GOOGLETRANSLATE(C41,""zh-tw"",""ru"")"),"Омар")</f>
        <v>Омар</v>
      </c>
      <c r="AH41" s="165" t="str">
        <f>IFERROR(__xludf.DUMMYFUNCTION("GOOGLETRANSLATE(D41,""zh-tw"",""ru"")"),"Омар")</f>
        <v>Омар</v>
      </c>
      <c r="AI41" s="165" t="str">
        <f>IFERROR(__xludf.DUMMYFUNCTION("GOOGLETRANSLATE(E41,""zh-tw"",""ru"")"),"Омар")</f>
        <v>Омар</v>
      </c>
      <c r="AJ41" s="386" t="s">
        <v>6341</v>
      </c>
      <c r="AK41" s="378"/>
      <c r="AL41" s="163" t="s">
        <v>6291</v>
      </c>
      <c r="AM41" s="163" t="s">
        <v>6291</v>
      </c>
      <c r="AN41" s="163" t="s">
        <v>6291</v>
      </c>
      <c r="AO41" s="181" t="s">
        <v>6342</v>
      </c>
      <c r="AP41" s="191"/>
      <c r="AQ41" s="183" t="s">
        <v>6343</v>
      </c>
      <c r="AR41" s="183" t="s">
        <v>6343</v>
      </c>
      <c r="AS41" s="183" t="s">
        <v>6343</v>
      </c>
    </row>
    <row r="42">
      <c r="A42" s="382" t="s">
        <v>6344</v>
      </c>
      <c r="B42" s="383"/>
      <c r="C42" s="165" t="s">
        <v>6345</v>
      </c>
      <c r="D42" s="165" t="s">
        <v>6345</v>
      </c>
      <c r="E42" s="165" t="s">
        <v>6345</v>
      </c>
      <c r="F42" s="382" t="s">
        <v>6346</v>
      </c>
      <c r="G42" s="383"/>
      <c r="H42" s="165" t="s">
        <v>6347</v>
      </c>
      <c r="I42" s="165" t="s">
        <v>6347</v>
      </c>
      <c r="J42" s="165" t="s">
        <v>6347</v>
      </c>
      <c r="K42" s="103" t="s">
        <v>6348</v>
      </c>
      <c r="L42" s="383"/>
      <c r="M42" s="163" t="s">
        <v>6349</v>
      </c>
      <c r="N42" s="163" t="s">
        <v>6349</v>
      </c>
      <c r="O42" s="163" t="s">
        <v>6349</v>
      </c>
      <c r="P42" s="384" t="str">
        <f>IFERROR(__xludf.DUMMYFUNCTION("GOOGLETRANSLATE(A42,""zh-tw"",""zh"")"),"煮螃蟹")</f>
        <v>煮螃蟹</v>
      </c>
      <c r="Q42" s="66"/>
      <c r="R42" s="69" t="str">
        <f>IFERROR(__xludf.DUMMYFUNCTION("GOOGLETRANSLATE(C42,""zh-tw"",""zh"")"),"毛蟹")</f>
        <v>毛蟹</v>
      </c>
      <c r="S42" s="69" t="str">
        <f>IFERROR(__xludf.DUMMYFUNCTION("GOOGLETRANSLATE(D42,""zh-tw"",""zh"")"),"毛蟹")</f>
        <v>毛蟹</v>
      </c>
      <c r="T42" s="69" t="str">
        <f>IFERROR(__xludf.DUMMYFUNCTION("GOOGLETRANSLATE(E42,""zh-tw"",""zh"")"),"毛蟹")</f>
        <v>毛蟹</v>
      </c>
      <c r="U42" s="382" t="str">
        <f>IFERROR(__xludf.DUMMYFUNCTION("GOOGLETRANSLATE(A42,""zh-tw"",""es-MX"")"),"cangrejo hervido")</f>
        <v>cangrejo hervido</v>
      </c>
      <c r="V42" s="377"/>
      <c r="W42" s="165" t="str">
        <f>IFERROR(__xludf.DUMMYFUNCTION("GOOGLETRANSLATE(C42,""zh-tw"",""es-MX"")"),"cangrejo peludo")</f>
        <v>cangrejo peludo</v>
      </c>
      <c r="X42" s="165" t="str">
        <f>IFERROR(__xludf.DUMMYFUNCTION("GOOGLETRANSLATE(D42,""zh-tw"",""es-MX"")"),"cangrejo peludo")</f>
        <v>cangrejo peludo</v>
      </c>
      <c r="Y42" s="165" t="str">
        <f>IFERROR(__xludf.DUMMYFUNCTION("GOOGLETRANSLATE(E42,""zh-tw"",""es-MX"")"),"cangrejo peludo")</f>
        <v>cangrejo peludo</v>
      </c>
      <c r="Z42" s="386" t="s">
        <v>6350</v>
      </c>
      <c r="AA42" s="378"/>
      <c r="AB42" s="164" t="str">
        <f>IFERROR(__xludf.DUMMYFUNCTION("GOOGLETRANSLATE(C42,""zh-tw"",""KO"")"),"털게")</f>
        <v>털게</v>
      </c>
      <c r="AC42" s="164" t="str">
        <f>IFERROR(__xludf.DUMMYFUNCTION("GOOGLETRANSLATE(D42,""zh-tw"",""KO"")"),"털게")</f>
        <v>털게</v>
      </c>
      <c r="AD42" s="164" t="str">
        <f>IFERROR(__xludf.DUMMYFUNCTION("GOOGLETRANSLATE(E42,""zh-tw"",""KO"")"),"털게")</f>
        <v>털게</v>
      </c>
      <c r="AE42" s="382" t="str">
        <f>IFERROR(__xludf.DUMMYFUNCTION("GOOGLETRANSLATE(A42,""zh-tw"",""ru"")"),"Вареный краб")</f>
        <v>Вареный краб</v>
      </c>
      <c r="AF42" s="377"/>
      <c r="AG42" s="165" t="str">
        <f>IFERROR(__xludf.DUMMYFUNCTION("GOOGLETRANSLATE(C42,""zh-tw"",""ru"")"),"волосатый краб")</f>
        <v>волосатый краб</v>
      </c>
      <c r="AH42" s="165" t="str">
        <f>IFERROR(__xludf.DUMMYFUNCTION("GOOGLETRANSLATE(D42,""zh-tw"",""ru"")"),"волосатый краб")</f>
        <v>волосатый краб</v>
      </c>
      <c r="AI42" s="165" t="str">
        <f>IFERROR(__xludf.DUMMYFUNCTION("GOOGLETRANSLATE(E42,""zh-tw"",""ru"")"),"волосатый краб")</f>
        <v>волосатый краб</v>
      </c>
      <c r="AJ42" s="386" t="s">
        <v>6351</v>
      </c>
      <c r="AK42" s="378"/>
      <c r="AL42" s="163" t="s">
        <v>6352</v>
      </c>
      <c r="AM42" s="163" t="s">
        <v>6352</v>
      </c>
      <c r="AN42" s="163" t="s">
        <v>6352</v>
      </c>
      <c r="AO42" s="181" t="s">
        <v>6353</v>
      </c>
      <c r="AP42" s="191"/>
      <c r="AQ42" s="183" t="s">
        <v>6354</v>
      </c>
      <c r="AR42" s="183" t="s">
        <v>6354</v>
      </c>
      <c r="AS42" s="183" t="s">
        <v>6354</v>
      </c>
    </row>
    <row r="43">
      <c r="A43" s="387" t="s">
        <v>6355</v>
      </c>
      <c r="B43" s="383"/>
      <c r="C43" s="165" t="s">
        <v>6356</v>
      </c>
      <c r="D43" s="177"/>
      <c r="E43" s="177"/>
      <c r="F43" s="382" t="s">
        <v>6357</v>
      </c>
      <c r="G43" s="383"/>
      <c r="H43" s="165" t="s">
        <v>6358</v>
      </c>
      <c r="I43" s="177"/>
      <c r="J43" s="177"/>
      <c r="K43" s="103" t="s">
        <v>6359</v>
      </c>
      <c r="L43" s="383"/>
      <c r="M43" s="163" t="s">
        <v>6360</v>
      </c>
      <c r="N43" s="164"/>
      <c r="O43" s="164"/>
      <c r="P43" s="384" t="str">
        <f>IFERROR(__xludf.DUMMYFUNCTION("GOOGLETRANSLATE(A43,""zh-tw"",""zh"")"),"金枪鱼头")</f>
        <v>金枪鱼头</v>
      </c>
      <c r="Q43" s="66"/>
      <c r="R43" s="69" t="str">
        <f>IFERROR(__xludf.DUMMYFUNCTION("GOOGLETRANSLATE(C43,""zh-tw"",""zh"")"),"金枪鱼")</f>
        <v>金枪鱼</v>
      </c>
      <c r="S43" s="69"/>
      <c r="T43" s="69"/>
      <c r="U43" s="382" t="str">
        <f>IFERROR(__xludf.DUMMYFUNCTION("GOOGLETRANSLATE(A43,""zh-tw"",""es-MX"")"),"Cabeza de atún")</f>
        <v>Cabeza de atún</v>
      </c>
      <c r="V43" s="377"/>
      <c r="W43" s="165" t="str">
        <f>IFERROR(__xludf.DUMMYFUNCTION("GOOGLETRANSLATE(C43,""zh-tw"",""es-MX"")"),"atún")</f>
        <v>atún</v>
      </c>
      <c r="X43" s="165"/>
      <c r="Y43" s="165"/>
      <c r="Z43" s="385" t="str">
        <f>IFERROR(__xludf.DUMMYFUNCTION("GOOGLETRANSLATE(A43,""zh-tw"",""KO"")"),"참치 머리")</f>
        <v>참치 머리</v>
      </c>
      <c r="AA43" s="378"/>
      <c r="AB43" s="164" t="str">
        <f>IFERROR(__xludf.DUMMYFUNCTION("GOOGLETRANSLATE(C43,""zh-tw"",""KO"")"),"참치")</f>
        <v>참치</v>
      </c>
      <c r="AC43" s="164"/>
      <c r="AD43" s="164"/>
      <c r="AE43" s="382" t="str">
        <f>IFERROR(__xludf.DUMMYFUNCTION("GOOGLETRANSLATE(A43,""zh-tw"",""ru"")"),"Голова тунца")</f>
        <v>Голова тунца</v>
      </c>
      <c r="AF43" s="377"/>
      <c r="AG43" s="165" t="str">
        <f>IFERROR(__xludf.DUMMYFUNCTION("GOOGLETRANSLATE(C43,""zh-tw"",""ru"")"),"тунец")</f>
        <v>тунец</v>
      </c>
      <c r="AH43" s="165"/>
      <c r="AI43" s="165"/>
      <c r="AJ43" s="386" t="s">
        <v>6361</v>
      </c>
      <c r="AK43" s="378"/>
      <c r="AL43" s="163" t="s">
        <v>6362</v>
      </c>
      <c r="AM43" s="164"/>
      <c r="AN43" s="164"/>
      <c r="AO43" s="156" t="s">
        <v>6363</v>
      </c>
      <c r="AP43" s="191"/>
      <c r="AQ43" s="183" t="s">
        <v>6364</v>
      </c>
      <c r="AR43" s="183" t="s">
        <v>6051</v>
      </c>
      <c r="AS43" s="184"/>
    </row>
    <row r="44">
      <c r="A44" s="382" t="s">
        <v>6365</v>
      </c>
      <c r="B44" s="383"/>
      <c r="C44" s="165" t="s">
        <v>6199</v>
      </c>
      <c r="D44" s="165" t="s">
        <v>6039</v>
      </c>
      <c r="E44" s="177"/>
      <c r="F44" s="382" t="s">
        <v>6366</v>
      </c>
      <c r="G44" s="383"/>
      <c r="H44" s="165" t="s">
        <v>6201</v>
      </c>
      <c r="I44" s="165" t="s">
        <v>6042</v>
      </c>
      <c r="J44" s="177"/>
      <c r="K44" s="103" t="s">
        <v>6367</v>
      </c>
      <c r="L44" s="383"/>
      <c r="M44" s="163" t="s">
        <v>6203</v>
      </c>
      <c r="N44" s="163" t="s">
        <v>6045</v>
      </c>
      <c r="O44" s="164"/>
      <c r="P44" s="384" t="str">
        <f>IFERROR(__xludf.DUMMYFUNCTION("GOOGLETRANSLATE(A44,""zh-tw"",""zh"")"),"章鱼丸子")</f>
        <v>章鱼丸子</v>
      </c>
      <c r="Q44" s="66"/>
      <c r="R44" s="69" t="str">
        <f>IFERROR(__xludf.DUMMYFUNCTION("GOOGLETRANSLATE(C44,""zh-tw"",""zh"")"),"章鱼脚")</f>
        <v>章鱼脚</v>
      </c>
      <c r="S44" s="69" t="str">
        <f>IFERROR(__xludf.DUMMYFUNCTION("GOOGLETRANSLATE(D44,""zh-tw"",""zh"")"),"小麦粉")</f>
        <v>小麦粉</v>
      </c>
      <c r="T44" s="69"/>
      <c r="U44" s="382" t="str">
        <f>IFERROR(__xludf.DUMMYFUNCTION("GOOGLETRANSLATE(A44,""zh-tw"",""es-MX"")"),"Takoyaki")</f>
        <v>Takoyaki</v>
      </c>
      <c r="V44" s="377"/>
      <c r="W44" s="165" t="str">
        <f>IFERROR(__xludf.DUMMYFUNCTION("GOOGLETRANSLATE(C44,""zh-tw"",""es-MX"")"),"Patas de pulpo")</f>
        <v>Patas de pulpo</v>
      </c>
      <c r="X44" s="165" t="str">
        <f>IFERROR(__xludf.DUMMYFUNCTION("GOOGLETRANSLATE(D44,""zh-tw"",""es-MX"")"),"harina de trigo")</f>
        <v>harina de trigo</v>
      </c>
      <c r="Y44" s="165"/>
      <c r="Z44" s="386" t="s">
        <v>6368</v>
      </c>
      <c r="AA44" s="378"/>
      <c r="AB44" s="163" t="s">
        <v>6205</v>
      </c>
      <c r="AC44" s="164" t="str">
        <f>IFERROR(__xludf.DUMMYFUNCTION("GOOGLETRANSLATE(D44,""zh-tw"",""KO"")"),"밀가루")</f>
        <v>밀가루</v>
      </c>
      <c r="AD44" s="164"/>
      <c r="AE44" s="382" t="str">
        <f>IFERROR(__xludf.DUMMYFUNCTION("GOOGLETRANSLATE(A44,""zh-tw"",""ru"")"),"Такояки")</f>
        <v>Такояки</v>
      </c>
      <c r="AF44" s="377"/>
      <c r="AG44" s="165" t="str">
        <f>IFERROR(__xludf.DUMMYFUNCTION("GOOGLETRANSLATE(C44,""zh-tw"",""ru"")"),"Ноги осьминога")</f>
        <v>Ноги осьминога</v>
      </c>
      <c r="AH44" s="165" t="str">
        <f>IFERROR(__xludf.DUMMYFUNCTION("GOOGLETRANSLATE(D44,""zh-tw"",""ru"")"),"пшеничная мука")</f>
        <v>пшеничная мука</v>
      </c>
      <c r="AI44" s="165"/>
      <c r="AJ44" s="386" t="s">
        <v>6369</v>
      </c>
      <c r="AK44" s="378"/>
      <c r="AL44" s="163" t="s">
        <v>6207</v>
      </c>
      <c r="AM44" s="163" t="s">
        <v>6048</v>
      </c>
      <c r="AN44" s="164"/>
      <c r="AO44" s="181" t="s">
        <v>6367</v>
      </c>
      <c r="AP44" s="191"/>
      <c r="AQ44" s="183" t="s">
        <v>6209</v>
      </c>
      <c r="AR44" s="184"/>
      <c r="AS44" s="184"/>
    </row>
    <row r="45">
      <c r="A45" s="382" t="s">
        <v>6370</v>
      </c>
      <c r="B45" s="383"/>
      <c r="C45" s="165" t="s">
        <v>6086</v>
      </c>
      <c r="D45" s="177"/>
      <c r="E45" s="177"/>
      <c r="F45" s="382" t="s">
        <v>6118</v>
      </c>
      <c r="G45" s="383"/>
      <c r="H45" s="165" t="s">
        <v>6088</v>
      </c>
      <c r="I45" s="177"/>
      <c r="J45" s="177"/>
      <c r="K45" s="103" t="s">
        <v>6371</v>
      </c>
      <c r="L45" s="383"/>
      <c r="M45" s="163" t="s">
        <v>6091</v>
      </c>
      <c r="N45" s="164"/>
      <c r="O45" s="164"/>
      <c r="P45" s="384" t="str">
        <f>IFERROR(__xludf.DUMMYFUNCTION("GOOGLETRANSLATE(A45,""zh-tw"",""zh"")"),"汉堡肉")</f>
        <v>汉堡肉</v>
      </c>
      <c r="Q45" s="66"/>
      <c r="R45" s="69" t="str">
        <f>IFERROR(__xludf.DUMMYFUNCTION("GOOGLETRANSLATE(C45,""zh-tw"",""zh"")"),"大块兽肉")</f>
        <v>大块兽肉</v>
      </c>
      <c r="S45" s="69"/>
      <c r="T45" s="69"/>
      <c r="U45" s="382" t="str">
        <f>IFERROR(__xludf.DUMMYFUNCTION("GOOGLETRANSLATE(A45,""zh-tw"",""es-MX"")"),"hamburguesas")</f>
        <v>hamburguesas</v>
      </c>
      <c r="V45" s="377"/>
      <c r="W45" s="165" t="str">
        <f>IFERROR(__xludf.DUMMYFUNCTION("GOOGLETRANSLATE(C45,""zh-tw"",""es-MX"")"),"Grandes trozos de carne")</f>
        <v>Grandes trozos de carne</v>
      </c>
      <c r="X45" s="165"/>
      <c r="Y45" s="165"/>
      <c r="Z45" s="386" t="s">
        <v>6372</v>
      </c>
      <c r="AA45" s="378"/>
      <c r="AB45" s="163" t="s">
        <v>6093</v>
      </c>
      <c r="AC45" s="164"/>
      <c r="AD45" s="164"/>
      <c r="AE45" s="382" t="str">
        <f>IFERROR(__xludf.DUMMYFUNCTION("GOOGLETRANSLATE(A45,""zh-tw"",""ru"")"),"Котлеты для гамбургеров")</f>
        <v>Котлеты для гамбургеров</v>
      </c>
      <c r="AF45" s="377"/>
      <c r="AG45" s="165" t="str">
        <f>IFERROR(__xludf.DUMMYFUNCTION("GOOGLETRANSLATE(C45,""zh-tw"",""ru"")"),"Большие куски мяса")</f>
        <v>Большие куски мяса</v>
      </c>
      <c r="AH45" s="165"/>
      <c r="AI45" s="165"/>
      <c r="AJ45" s="386" t="s">
        <v>6373</v>
      </c>
      <c r="AK45" s="378"/>
      <c r="AL45" s="163" t="s">
        <v>6095</v>
      </c>
      <c r="AM45" s="164"/>
      <c r="AN45" s="164"/>
      <c r="AO45" s="181" t="s">
        <v>6374</v>
      </c>
      <c r="AP45" s="191"/>
      <c r="AQ45" s="183" t="s">
        <v>6096</v>
      </c>
      <c r="AR45" s="184"/>
      <c r="AS45" s="184"/>
    </row>
    <row r="46">
      <c r="A46" s="382" t="s">
        <v>6375</v>
      </c>
      <c r="B46" s="368" t="s">
        <v>788</v>
      </c>
      <c r="C46" s="165" t="s">
        <v>4206</v>
      </c>
      <c r="D46" s="165" t="s">
        <v>4223</v>
      </c>
      <c r="E46" s="177"/>
      <c r="F46" s="382" t="s">
        <v>6376</v>
      </c>
      <c r="G46" s="368" t="s">
        <v>788</v>
      </c>
      <c r="H46" s="165" t="s">
        <v>6191</v>
      </c>
      <c r="I46" s="165" t="s">
        <v>6377</v>
      </c>
      <c r="J46" s="177"/>
      <c r="K46" s="103" t="s">
        <v>6378</v>
      </c>
      <c r="L46" s="368" t="s">
        <v>788</v>
      </c>
      <c r="M46" s="163" t="s">
        <v>4208</v>
      </c>
      <c r="N46" s="163" t="s">
        <v>4225</v>
      </c>
      <c r="O46" s="164"/>
      <c r="P46" s="384" t="str">
        <f>IFERROR(__xludf.DUMMYFUNCTION("GOOGLETRANSLATE(A46,""zh-tw"",""zh"")"),"辣味土豆泥")</f>
        <v>辣味土豆泥</v>
      </c>
      <c r="Q46" s="66" t="str">
        <f>IFERROR(__xludf.DUMMYFUNCTION("GOOGLETRANSLATE(B46,""zh-tw"",""zh"")"),"B")</f>
        <v>B</v>
      </c>
      <c r="R46" s="69" t="str">
        <f>IFERROR(__xludf.DUMMYFUNCTION("GOOGLETRANSLATE(C46,""zh-tw"",""zh"")"),"土豆")</f>
        <v>土豆</v>
      </c>
      <c r="S46" s="69" t="str">
        <f>IFERROR(__xludf.DUMMYFUNCTION("GOOGLETRANSLATE(D46,""zh-tw"",""zh"")"),"辣椒")</f>
        <v>辣椒</v>
      </c>
      <c r="T46" s="69"/>
      <c r="U46" s="382" t="str">
        <f>IFERROR(__xludf.DUMMYFUNCTION("GOOGLETRANSLATE(A46,""zh-tw"",""es-MX"")"),"Puré de papas picante")</f>
        <v>Puré de papas picante</v>
      </c>
      <c r="V46" s="377" t="str">
        <f>IFERROR(__xludf.DUMMYFUNCTION("GOOGLETRANSLATE(B46,""zh-tw"",""es-MX"")"),"B")</f>
        <v>B</v>
      </c>
      <c r="W46" s="165" t="str">
        <f>IFERROR(__xludf.DUMMYFUNCTION("GOOGLETRANSLATE(C46,""zh-tw"",""es-MX"")"),"Papa")</f>
        <v>Papa</v>
      </c>
      <c r="X46" s="165" t="str">
        <f>IFERROR(__xludf.DUMMYFUNCTION("GOOGLETRANSLATE(D46,""zh-tw"",""es-MX"")"),"chile")</f>
        <v>chile</v>
      </c>
      <c r="Y46" s="165"/>
      <c r="Z46" s="386" t="s">
        <v>6379</v>
      </c>
      <c r="AA46" s="390" t="s">
        <v>788</v>
      </c>
      <c r="AB46" s="164" t="str">
        <f>IFERROR(__xludf.DUMMYFUNCTION("GOOGLETRANSLATE(C46,""zh-tw"",""KO"")"),"감자")</f>
        <v>감자</v>
      </c>
      <c r="AC46" s="319" t="s">
        <v>6380</v>
      </c>
      <c r="AD46" s="164"/>
      <c r="AE46" s="382" t="str">
        <f>IFERROR(__xludf.DUMMYFUNCTION("GOOGLETRANSLATE(A46,""zh-tw"",""ru"")"),"Острое картофельное пюре")</f>
        <v>Острое картофельное пюре</v>
      </c>
      <c r="AF46" s="377" t="str">
        <f>IFERROR(__xludf.DUMMYFUNCTION("GOOGLETRANSLATE(L46,""zh-tw"",""es-MX"")"),"B")</f>
        <v>B</v>
      </c>
      <c r="AG46" s="165" t="str">
        <f>IFERROR(__xludf.DUMMYFUNCTION("GOOGLETRANSLATE(C46,""zh-tw"",""ru"")"),"Картофель")</f>
        <v>Картофель</v>
      </c>
      <c r="AH46" s="165" t="str">
        <f>IFERROR(__xludf.DUMMYFUNCTION("GOOGLETRANSLATE(D46,""zh-tw"",""ru"")"),"чили")</f>
        <v>чили</v>
      </c>
      <c r="AI46" s="165"/>
      <c r="AJ46" s="386" t="s">
        <v>6381</v>
      </c>
      <c r="AK46" s="378" t="s">
        <v>788</v>
      </c>
      <c r="AL46" s="163" t="s">
        <v>4211</v>
      </c>
      <c r="AM46" s="163" t="s">
        <v>6382</v>
      </c>
      <c r="AN46" s="164"/>
      <c r="AO46" s="181" t="s">
        <v>6383</v>
      </c>
      <c r="AP46" s="388" t="s">
        <v>788</v>
      </c>
      <c r="AQ46" s="183" t="s">
        <v>4213</v>
      </c>
      <c r="AR46" s="183" t="s">
        <v>4229</v>
      </c>
      <c r="AS46" s="184"/>
    </row>
    <row r="47">
      <c r="A47" s="382" t="s">
        <v>6384</v>
      </c>
      <c r="B47" s="368" t="s">
        <v>788</v>
      </c>
      <c r="C47" s="165" t="s">
        <v>4223</v>
      </c>
      <c r="D47" s="177"/>
      <c r="E47" s="177"/>
      <c r="F47" s="382" t="s">
        <v>6385</v>
      </c>
      <c r="G47" s="368" t="s">
        <v>788</v>
      </c>
      <c r="H47" s="165" t="s">
        <v>6377</v>
      </c>
      <c r="I47" s="177"/>
      <c r="J47" s="177"/>
      <c r="K47" s="103" t="s">
        <v>6386</v>
      </c>
      <c r="L47" s="368" t="s">
        <v>788</v>
      </c>
      <c r="M47" s="163" t="s">
        <v>4225</v>
      </c>
      <c r="N47" s="164"/>
      <c r="O47" s="164"/>
      <c r="P47" s="384" t="str">
        <f>IFERROR(__xludf.DUMMYFUNCTION("GOOGLETRANSLATE(A47,""zh-tw"",""zh"")"),"辣椒水")</f>
        <v>辣椒水</v>
      </c>
      <c r="Q47" s="66" t="str">
        <f>IFERROR(__xludf.DUMMYFUNCTION("GOOGLETRANSLATE(B47,""zh-tw"",""zh"")"),"B")</f>
        <v>B</v>
      </c>
      <c r="R47" s="69" t="str">
        <f>IFERROR(__xludf.DUMMYFUNCTION("GOOGLETRANSLATE(C47,""zh-tw"",""zh"")"),"辣椒")</f>
        <v>辣椒</v>
      </c>
      <c r="S47" s="69"/>
      <c r="T47" s="69"/>
      <c r="U47" s="382" t="str">
        <f>IFERROR(__xludf.DUMMYFUNCTION("GOOGLETRANSLATE(A47,""zh-tw"",""es-MX"")"),"agua de chile")</f>
        <v>agua de chile</v>
      </c>
      <c r="V47" s="377" t="str">
        <f>IFERROR(__xludf.DUMMYFUNCTION("GOOGLETRANSLATE(B47,""zh-tw"",""es-MX"")"),"B")</f>
        <v>B</v>
      </c>
      <c r="W47" s="165" t="str">
        <f>IFERROR(__xludf.DUMMYFUNCTION("GOOGLETRANSLATE(C47,""zh-tw"",""es-MX"")"),"chile")</f>
        <v>chile</v>
      </c>
      <c r="X47" s="165"/>
      <c r="Y47" s="165"/>
      <c r="Z47" s="386" t="s">
        <v>6387</v>
      </c>
      <c r="AA47" s="390" t="s">
        <v>788</v>
      </c>
      <c r="AB47" s="319" t="s">
        <v>6380</v>
      </c>
      <c r="AC47" s="164"/>
      <c r="AD47" s="164"/>
      <c r="AE47" s="382" t="str">
        <f>IFERROR(__xludf.DUMMYFUNCTION("GOOGLETRANSLATE(A47,""zh-tw"",""ru"")"),"Вода чили")</f>
        <v>Вода чили</v>
      </c>
      <c r="AF47" s="377" t="str">
        <f>IFERROR(__xludf.DUMMYFUNCTION("GOOGLETRANSLATE(L47,""zh-tw"",""es-MX"")"),"B")</f>
        <v>B</v>
      </c>
      <c r="AG47" s="165" t="str">
        <f>IFERROR(__xludf.DUMMYFUNCTION("GOOGLETRANSLATE(C47,""zh-tw"",""ru"")"),"чили")</f>
        <v>чили</v>
      </c>
      <c r="AH47" s="165"/>
      <c r="AI47" s="165"/>
      <c r="AJ47" s="386" t="s">
        <v>6388</v>
      </c>
      <c r="AK47" s="378" t="s">
        <v>788</v>
      </c>
      <c r="AL47" s="163" t="s">
        <v>6382</v>
      </c>
      <c r="AM47" s="164"/>
      <c r="AN47" s="164"/>
      <c r="AO47" s="181" t="s">
        <v>6389</v>
      </c>
      <c r="AP47" s="388" t="s">
        <v>788</v>
      </c>
      <c r="AQ47" s="183" t="s">
        <v>4229</v>
      </c>
      <c r="AR47" s="184"/>
      <c r="AS47" s="184"/>
    </row>
    <row r="48">
      <c r="A48" s="382" t="s">
        <v>6390</v>
      </c>
      <c r="B48" s="383"/>
      <c r="C48" s="165" t="s">
        <v>6011</v>
      </c>
      <c r="D48" s="165" t="s">
        <v>6142</v>
      </c>
      <c r="E48" s="177"/>
      <c r="F48" s="382" t="s">
        <v>6391</v>
      </c>
      <c r="G48" s="383"/>
      <c r="H48" s="165" t="s">
        <v>6013</v>
      </c>
      <c r="I48" s="165" t="s">
        <v>6144</v>
      </c>
      <c r="J48" s="177"/>
      <c r="K48" s="103" t="s">
        <v>6392</v>
      </c>
      <c r="L48" s="383"/>
      <c r="M48" s="163" t="s">
        <v>6015</v>
      </c>
      <c r="N48" s="163" t="s">
        <v>6146</v>
      </c>
      <c r="O48" s="164"/>
      <c r="P48" s="384" t="str">
        <f>IFERROR(__xludf.DUMMYFUNCTION("GOOGLETRANSLATE(A48,""zh-tw"",""zh"")"),"水怪软糖")</f>
        <v>水怪软糖</v>
      </c>
      <c r="Q48" s="66"/>
      <c r="R48" s="69" t="str">
        <f>IFERROR(__xludf.DUMMYFUNCTION("GOOGLETRANSLATE(C48,""zh-tw"",""zh"")"),"史莱姆黏液")</f>
        <v>史莱姆黏液</v>
      </c>
      <c r="S48" s="69" t="str">
        <f>IFERROR(__xludf.DUMMYFUNCTION("GOOGLETRANSLATE(D48,""zh-tw"",""zh"")"),"水怪黏液")</f>
        <v>水怪黏液</v>
      </c>
      <c r="T48" s="69"/>
      <c r="U48" s="382" t="str">
        <f>IFERROR(__xludf.DUMMYFUNCTION("GOOGLETRANSLATE(A48,""zh-tw"",""es-MX"")"),"Gomita de monstruo de agua")</f>
        <v>Gomita de monstruo de agua</v>
      </c>
      <c r="V48" s="377"/>
      <c r="W48" s="165" t="str">
        <f>IFERROR(__xludf.DUMMYFUNCTION("GOOGLETRANSLATE(C48,""zh-tw"",""es-MX"")"),"limo")</f>
        <v>limo</v>
      </c>
      <c r="X48" s="165" t="str">
        <f>IFERROR(__xludf.DUMMYFUNCTION("GOOGLETRANSLATE(D48,""zh-tw"",""es-MX"")"),"Monstruo de agua viscoso")</f>
        <v>Monstruo de agua viscoso</v>
      </c>
      <c r="Y48" s="165"/>
      <c r="Z48" s="386" t="s">
        <v>6393</v>
      </c>
      <c r="AA48" s="378"/>
      <c r="AB48" s="319" t="s">
        <v>6016</v>
      </c>
      <c r="AC48" s="163" t="s">
        <v>6147</v>
      </c>
      <c r="AD48" s="164"/>
      <c r="AE48" s="382" t="str">
        <f>IFERROR(__xludf.DUMMYFUNCTION("GOOGLETRANSLATE(A48,""zh-tw"",""ru"")"),"Водный монстр жевательная резинка")</f>
        <v>Водный монстр жевательная резинка</v>
      </c>
      <c r="AF48" s="377"/>
      <c r="AG48" s="165" t="str">
        <f>IFERROR(__xludf.DUMMYFUNCTION("GOOGLETRANSLATE(C48,""zh-tw"",""ru"")"),"слизь")</f>
        <v>слизь</v>
      </c>
      <c r="AH48" s="165" t="str">
        <f>IFERROR(__xludf.DUMMYFUNCTION("GOOGLETRANSLATE(D48,""zh-tw"",""ru"")"),"Водяной монстр-слизь")</f>
        <v>Водяной монстр-слизь</v>
      </c>
      <c r="AI48" s="165"/>
      <c r="AJ48" s="386" t="s">
        <v>6394</v>
      </c>
      <c r="AK48" s="378"/>
      <c r="AL48" s="163" t="s">
        <v>6018</v>
      </c>
      <c r="AM48" s="163" t="s">
        <v>6149</v>
      </c>
      <c r="AN48" s="164"/>
      <c r="AO48" s="181" t="s">
        <v>6395</v>
      </c>
      <c r="AP48" s="191"/>
      <c r="AQ48" s="183" t="s">
        <v>6020</v>
      </c>
      <c r="AR48" s="183" t="s">
        <v>6151</v>
      </c>
      <c r="AS48" s="184"/>
    </row>
    <row r="49">
      <c r="A49" s="382" t="s">
        <v>6396</v>
      </c>
      <c r="B49" s="383"/>
      <c r="C49" s="165" t="s">
        <v>6011</v>
      </c>
      <c r="D49" s="165" t="s">
        <v>6142</v>
      </c>
      <c r="E49" s="177"/>
      <c r="F49" s="382" t="s">
        <v>6397</v>
      </c>
      <c r="G49" s="383"/>
      <c r="H49" s="165" t="s">
        <v>6013</v>
      </c>
      <c r="I49" s="165" t="s">
        <v>6144</v>
      </c>
      <c r="J49" s="177"/>
      <c r="K49" s="103" t="s">
        <v>6398</v>
      </c>
      <c r="L49" s="383"/>
      <c r="M49" s="163" t="s">
        <v>6015</v>
      </c>
      <c r="N49" s="163" t="s">
        <v>6146</v>
      </c>
      <c r="O49" s="164"/>
      <c r="P49" s="384" t="str">
        <f>IFERROR(__xludf.DUMMYFUNCTION("GOOGLETRANSLATE(A49,""zh-tw"",""zh"")"),"水怪刨冰")</f>
        <v>水怪刨冰</v>
      </c>
      <c r="Q49" s="66"/>
      <c r="R49" s="69" t="str">
        <f>IFERROR(__xludf.DUMMYFUNCTION("GOOGLETRANSLATE(C49,""zh-tw"",""zh"")"),"史莱姆黏液")</f>
        <v>史莱姆黏液</v>
      </c>
      <c r="S49" s="69" t="str">
        <f>IFERROR(__xludf.DUMMYFUNCTION("GOOGLETRANSLATE(D49,""zh-tw"",""zh"")"),"水怪黏液")</f>
        <v>水怪黏液</v>
      </c>
      <c r="T49" s="69"/>
      <c r="U49" s="382" t="str">
        <f>IFERROR(__xludf.DUMMYFUNCTION("GOOGLETRANSLATE(A49,""zh-tw"",""es-MX"")"),"Hielo raspado Monstruo de Agua")</f>
        <v>Hielo raspado Monstruo de Agua</v>
      </c>
      <c r="V49" s="377"/>
      <c r="W49" s="165" t="str">
        <f>IFERROR(__xludf.DUMMYFUNCTION("GOOGLETRANSLATE(C49,""zh-tw"",""es-MX"")"),"limo")</f>
        <v>limo</v>
      </c>
      <c r="X49" s="165" t="str">
        <f>IFERROR(__xludf.DUMMYFUNCTION("GOOGLETRANSLATE(D49,""zh-tw"",""es-MX"")"),"Monstruo de agua viscoso")</f>
        <v>Monstruo de agua viscoso</v>
      </c>
      <c r="Y49" s="165"/>
      <c r="Z49" s="386" t="s">
        <v>6399</v>
      </c>
      <c r="AA49" s="378"/>
      <c r="AB49" s="319" t="s">
        <v>6016</v>
      </c>
      <c r="AC49" s="319" t="s">
        <v>6147</v>
      </c>
      <c r="AD49" s="164"/>
      <c r="AE49" s="382" t="str">
        <f>IFERROR(__xludf.DUMMYFUNCTION("GOOGLETRANSLATE(A49,""zh-tw"",""ru"")"),"Водяной монстр, стругающийся лед")</f>
        <v>Водяной монстр, стругающийся лед</v>
      </c>
      <c r="AF49" s="377"/>
      <c r="AG49" s="165" t="str">
        <f>IFERROR(__xludf.DUMMYFUNCTION("GOOGLETRANSLATE(C49,""zh-tw"",""ru"")"),"слизь")</f>
        <v>слизь</v>
      </c>
      <c r="AH49" s="165" t="str">
        <f>IFERROR(__xludf.DUMMYFUNCTION("GOOGLETRANSLATE(D49,""zh-tw"",""ru"")"),"Водяной монстр-слизь")</f>
        <v>Водяной монстр-слизь</v>
      </c>
      <c r="AI49" s="165"/>
      <c r="AJ49" s="386" t="s">
        <v>6400</v>
      </c>
      <c r="AK49" s="378"/>
      <c r="AL49" s="163" t="s">
        <v>6018</v>
      </c>
      <c r="AM49" s="163" t="s">
        <v>6149</v>
      </c>
      <c r="AN49" s="164"/>
      <c r="AO49" s="181" t="s">
        <v>6401</v>
      </c>
      <c r="AP49" s="191"/>
      <c r="AQ49" s="183" t="s">
        <v>6020</v>
      </c>
      <c r="AR49" s="183" t="s">
        <v>6151</v>
      </c>
      <c r="AS49" s="184"/>
    </row>
    <row r="50">
      <c r="A50" s="382" t="s">
        <v>6402</v>
      </c>
      <c r="B50" s="173" t="s">
        <v>6403</v>
      </c>
      <c r="C50" s="165" t="s">
        <v>6011</v>
      </c>
      <c r="D50" s="165" t="s">
        <v>6142</v>
      </c>
      <c r="E50" s="165" t="s">
        <v>6404</v>
      </c>
      <c r="F50" s="382" t="s">
        <v>6405</v>
      </c>
      <c r="G50" s="173" t="s">
        <v>6406</v>
      </c>
      <c r="H50" s="165" t="s">
        <v>6013</v>
      </c>
      <c r="I50" s="165" t="s">
        <v>6144</v>
      </c>
      <c r="J50" s="165" t="s">
        <v>6407</v>
      </c>
      <c r="K50" s="103" t="s">
        <v>6408</v>
      </c>
      <c r="L50" s="173" t="s">
        <v>6409</v>
      </c>
      <c r="M50" s="163" t="s">
        <v>6015</v>
      </c>
      <c r="N50" s="163" t="s">
        <v>6146</v>
      </c>
      <c r="O50" s="163" t="s">
        <v>6410</v>
      </c>
      <c r="P50" s="384" t="str">
        <f>IFERROR(__xludf.DUMMYFUNCTION("GOOGLETRANSLATE(A50,""zh-tw"",""zh"")"),"水怪软糖(红)")</f>
        <v>水怪软糖(红)</v>
      </c>
      <c r="Q50" s="66"/>
      <c r="R50" s="69" t="str">
        <f>IFERROR(__xludf.DUMMYFUNCTION("GOOGLETRANSLATE(C50,""zh-tw"",""zh"")"),"史莱姆黏液")</f>
        <v>史莱姆黏液</v>
      </c>
      <c r="S50" s="69" t="str">
        <f>IFERROR(__xludf.DUMMYFUNCTION("GOOGLETRANSLATE(D50,""zh-tw"",""zh"")"),"水怪黏液")</f>
        <v>水怪黏液</v>
      </c>
      <c r="T50" s="69" t="str">
        <f>IFERROR(__xludf.DUMMYFUNCTION("GOOGLETRANSLATE(E50,""zh-tw"",""zh"")"),"番茄/辣椒")</f>
        <v>番茄/辣椒</v>
      </c>
      <c r="U50" s="382" t="str">
        <f>IFERROR(__xludf.DUMMYFUNCTION("GOOGLETRANSLATE(A50,""zh-tw"",""es-MX"")"),"Gomitas Monstruo de Agua (Rojas)")</f>
        <v>Gomitas Monstruo de Agua (Rojas)</v>
      </c>
      <c r="V50" s="377" t="str">
        <f>IFERROR(__xludf.DUMMYFUNCTION("GOOGLETRANSLATE(B50,""zh-tw"",""es-MX"")"),"(B) Chiles")</f>
        <v>(B) Chiles</v>
      </c>
      <c r="W50" s="165" t="str">
        <f>IFERROR(__xludf.DUMMYFUNCTION("GOOGLETRANSLATE(C50,""zh-tw"",""es-MX"")"),"limo")</f>
        <v>limo</v>
      </c>
      <c r="X50" s="165" t="str">
        <f>IFERROR(__xludf.DUMMYFUNCTION("GOOGLETRANSLATE(D50,""zh-tw"",""es-MX"")"),"Monstruo de agua viscoso")</f>
        <v>Monstruo de agua viscoso</v>
      </c>
      <c r="Y50" s="165" t="str">
        <f>IFERROR(__xludf.DUMMYFUNCTION("GOOGLETRANSLATE(E50,""zh-tw"",""es-MX"")"),"Tomates/Pimientos")</f>
        <v>Tomates/Pimientos</v>
      </c>
      <c r="Z50" s="386" t="s">
        <v>6411</v>
      </c>
      <c r="AA50" s="390" t="s">
        <v>6412</v>
      </c>
      <c r="AB50" s="163" t="s">
        <v>6016</v>
      </c>
      <c r="AC50" s="319" t="s">
        <v>6147</v>
      </c>
      <c r="AD50" s="164" t="str">
        <f>IFERROR(__xludf.DUMMYFUNCTION("GOOGLETRANSLATE(E50,""zh-tw"",""KO"")"),"토마토/고추")</f>
        <v>토마토/고추</v>
      </c>
      <c r="AE50" s="382" t="str">
        <f>IFERROR(__xludf.DUMMYFUNCTION("GOOGLETRANSLATE(A50,""zh-tw"",""ru"")"),"Жевательные конфеты Water Monster (красные)")</f>
        <v>Жевательные конфеты Water Monster (красные)</v>
      </c>
      <c r="AF50" s="377" t="str">
        <f>IFERROR(__xludf.DUMMYFUNCTION("GOOGLETRANSLATE(L50,""zh-tw"",""es-MX"")"),"B (Con chile)")</f>
        <v>B (Con chile)</v>
      </c>
      <c r="AG50" s="165" t="str">
        <f>IFERROR(__xludf.DUMMYFUNCTION("GOOGLETRANSLATE(C50,""zh-tw"",""ru"")"),"слизь")</f>
        <v>слизь</v>
      </c>
      <c r="AH50" s="165" t="str">
        <f>IFERROR(__xludf.DUMMYFUNCTION("GOOGLETRANSLATE(D50,""zh-tw"",""ru"")"),"Водяной монстр-слизь")</f>
        <v>Водяной монстр-слизь</v>
      </c>
      <c r="AI50" s="165" t="str">
        <f>IFERROR(__xludf.DUMMYFUNCTION("GOOGLETRANSLATE(E50,""zh-tw"",""ru"")"),"Помидоры/Перцы")</f>
        <v>Помидоры/Перцы</v>
      </c>
      <c r="AJ50" s="386" t="s">
        <v>6413</v>
      </c>
      <c r="AK50" s="378" t="s">
        <v>788</v>
      </c>
      <c r="AL50" s="163" t="s">
        <v>6018</v>
      </c>
      <c r="AM50" s="163" t="s">
        <v>6149</v>
      </c>
      <c r="AN50" s="164" t="str">
        <f>IFERROR(__xludf.DUMMYFUNCTION("GOOGLETRANSLATE(E50,""zh-tw"",""de"")"),"Tomaten/Paprika")</f>
        <v>Tomaten/Paprika</v>
      </c>
      <c r="AO50" s="181" t="s">
        <v>6414</v>
      </c>
      <c r="AP50" s="73" t="s">
        <v>6415</v>
      </c>
      <c r="AQ50" s="183" t="s">
        <v>6020</v>
      </c>
      <c r="AR50" s="183" t="s">
        <v>6151</v>
      </c>
      <c r="AS50" s="183" t="s">
        <v>6416</v>
      </c>
    </row>
    <row r="51">
      <c r="A51" s="382" t="s">
        <v>6417</v>
      </c>
      <c r="B51" s="383"/>
      <c r="C51" s="165" t="s">
        <v>6039</v>
      </c>
      <c r="D51" s="177"/>
      <c r="E51" s="177"/>
      <c r="F51" s="382" t="s">
        <v>6418</v>
      </c>
      <c r="G51" s="383"/>
      <c r="H51" s="165" t="s">
        <v>6042</v>
      </c>
      <c r="I51" s="177"/>
      <c r="J51" s="177"/>
      <c r="K51" s="103" t="s">
        <v>6419</v>
      </c>
      <c r="L51" s="383"/>
      <c r="M51" s="163" t="s">
        <v>6045</v>
      </c>
      <c r="N51" s="164"/>
      <c r="O51" s="164"/>
      <c r="P51" s="384" t="str">
        <f>IFERROR(__xludf.DUMMYFUNCTION("GOOGLETRANSLATE(A51,""zh-tw"",""zh"")"),"煎薄饼")</f>
        <v>煎薄饼</v>
      </c>
      <c r="Q51" s="66"/>
      <c r="R51" s="69" t="str">
        <f>IFERROR(__xludf.DUMMYFUNCTION("GOOGLETRANSLATE(C51,""zh-tw"",""zh"")"),"小麦粉")</f>
        <v>小麦粉</v>
      </c>
      <c r="S51" s="69"/>
      <c r="T51" s="69"/>
      <c r="U51" s="382" t="str">
        <f>IFERROR(__xludf.DUMMYFUNCTION("GOOGLETRANSLATE(A51,""zh-tw"",""es-MX"")"),"Panqueques")</f>
        <v>Panqueques</v>
      </c>
      <c r="V51" s="377"/>
      <c r="W51" s="165" t="str">
        <f>IFERROR(__xludf.DUMMYFUNCTION("GOOGLETRANSLATE(C51,""zh-tw"",""es-MX"")"),"harina de trigo")</f>
        <v>harina de trigo</v>
      </c>
      <c r="X51" s="165"/>
      <c r="Y51" s="165"/>
      <c r="Z51" s="385" t="str">
        <f>IFERROR(__xludf.DUMMYFUNCTION("GOOGLETRANSLATE(A51,""zh-tw"",""KO"")"),"팬케이크")</f>
        <v>팬케이크</v>
      </c>
      <c r="AA51" s="378"/>
      <c r="AB51" s="164" t="str">
        <f>IFERROR(__xludf.DUMMYFUNCTION("GOOGLETRANSLATE(C51,""zh-tw"",""KO"")"),"밀가루")</f>
        <v>밀가루</v>
      </c>
      <c r="AC51" s="164"/>
      <c r="AD51" s="164"/>
      <c r="AE51" s="382" t="str">
        <f>IFERROR(__xludf.DUMMYFUNCTION("GOOGLETRANSLATE(A51,""zh-tw"",""ru"")"),"Блины")</f>
        <v>Блины</v>
      </c>
      <c r="AF51" s="377"/>
      <c r="AG51" s="165" t="str">
        <f>IFERROR(__xludf.DUMMYFUNCTION("GOOGLETRANSLATE(C51,""zh-tw"",""ru"")"),"пшеничная мука")</f>
        <v>пшеничная мука</v>
      </c>
      <c r="AH51" s="165"/>
      <c r="AI51" s="165"/>
      <c r="AJ51" s="386" t="s">
        <v>6420</v>
      </c>
      <c r="AK51" s="378"/>
      <c r="AL51" s="163" t="s">
        <v>6048</v>
      </c>
      <c r="AM51" s="164"/>
      <c r="AN51" s="164"/>
      <c r="AO51" s="181" t="s">
        <v>6421</v>
      </c>
      <c r="AP51" s="191"/>
      <c r="AQ51" s="183" t="s">
        <v>6051</v>
      </c>
      <c r="AR51" s="184"/>
      <c r="AS51" s="184"/>
    </row>
    <row r="52">
      <c r="A52" s="382" t="s">
        <v>6422</v>
      </c>
      <c r="B52" s="383"/>
      <c r="C52" s="165" t="s">
        <v>4196</v>
      </c>
      <c r="D52" s="165" t="s">
        <v>6039</v>
      </c>
      <c r="E52" s="177"/>
      <c r="F52" s="382" t="s">
        <v>6423</v>
      </c>
      <c r="G52" s="383"/>
      <c r="H52" s="165" t="s">
        <v>6424</v>
      </c>
      <c r="I52" s="165" t="s">
        <v>6042</v>
      </c>
      <c r="J52" s="177"/>
      <c r="K52" s="103" t="s">
        <v>6425</v>
      </c>
      <c r="L52" s="383"/>
      <c r="M52" s="163" t="s">
        <v>4198</v>
      </c>
      <c r="N52" s="163" t="s">
        <v>6045</v>
      </c>
      <c r="O52" s="164"/>
      <c r="P52" s="384" t="str">
        <f>IFERROR(__xludf.DUMMYFUNCTION("GOOGLETRANSLATE(A52,""zh-tw"",""zh"")"),"草莓煎薄饼")</f>
        <v>草莓煎薄饼</v>
      </c>
      <c r="Q52" s="66"/>
      <c r="R52" s="69" t="str">
        <f>IFERROR(__xludf.DUMMYFUNCTION("GOOGLETRANSLATE(C52,""zh-tw"",""zh"")"),"草莓")</f>
        <v>草莓</v>
      </c>
      <c r="S52" s="69" t="str">
        <f>IFERROR(__xludf.DUMMYFUNCTION("GOOGLETRANSLATE(D52,""zh-tw"",""zh"")"),"小麦粉")</f>
        <v>小麦粉</v>
      </c>
      <c r="T52" s="69"/>
      <c r="U52" s="382" t="str">
        <f>IFERROR(__xludf.DUMMYFUNCTION("GOOGLETRANSLATE(A52,""zh-tw"",""es-MX"")"),"Tortitas de fresa")</f>
        <v>Tortitas de fresa</v>
      </c>
      <c r="V52" s="377"/>
      <c r="W52" s="165" t="str">
        <f>IFERROR(__xludf.DUMMYFUNCTION("GOOGLETRANSLATE(C52,""zh-tw"",""es-MX"")"),"fresa")</f>
        <v>fresa</v>
      </c>
      <c r="X52" s="165" t="str">
        <f>IFERROR(__xludf.DUMMYFUNCTION("GOOGLETRANSLATE(D52,""zh-tw"",""es-MX"")"),"harina de trigo")</f>
        <v>harina de trigo</v>
      </c>
      <c r="Y52" s="165"/>
      <c r="Z52" s="385" t="str">
        <f>IFERROR(__xludf.DUMMYFUNCTION("GOOGLETRANSLATE(A52,""zh-tw"",""KO"")"),"딸기 팬케이크")</f>
        <v>딸기 팬케이크</v>
      </c>
      <c r="AA52" s="378"/>
      <c r="AB52" s="164" t="str">
        <f>IFERROR(__xludf.DUMMYFUNCTION("GOOGLETRANSLATE(C52,""zh-tw"",""KO"")"),"딸기")</f>
        <v>딸기</v>
      </c>
      <c r="AC52" s="164" t="str">
        <f>IFERROR(__xludf.DUMMYFUNCTION("GOOGLETRANSLATE(D52,""zh-tw"",""KO"")"),"밀가루")</f>
        <v>밀가루</v>
      </c>
      <c r="AD52" s="164"/>
      <c r="AE52" s="382" t="str">
        <f>IFERROR(__xludf.DUMMYFUNCTION("GOOGLETRANSLATE(A52,""zh-tw"",""ru"")"),"Клубничные блинчики")</f>
        <v>Клубничные блинчики</v>
      </c>
      <c r="AF52" s="377"/>
      <c r="AG52" s="165" t="str">
        <f>IFERROR(__xludf.DUMMYFUNCTION("GOOGLETRANSLATE(C52,""zh-tw"",""ru"")"),"клубника")</f>
        <v>клубника</v>
      </c>
      <c r="AH52" s="165" t="str">
        <f>IFERROR(__xludf.DUMMYFUNCTION("GOOGLETRANSLATE(D52,""zh-tw"",""ru"")"),"пшеничная мука")</f>
        <v>пшеничная мука</v>
      </c>
      <c r="AI52" s="165"/>
      <c r="AJ52" s="386" t="s">
        <v>6426</v>
      </c>
      <c r="AK52" s="378"/>
      <c r="AL52" s="163" t="s">
        <v>6427</v>
      </c>
      <c r="AM52" s="163" t="s">
        <v>6048</v>
      </c>
      <c r="AN52" s="164"/>
      <c r="AO52" s="181" t="s">
        <v>6428</v>
      </c>
      <c r="AP52" s="191"/>
      <c r="AQ52" s="183" t="s">
        <v>4204</v>
      </c>
      <c r="AR52" s="183" t="s">
        <v>6051</v>
      </c>
      <c r="AS52" s="184"/>
    </row>
    <row r="53">
      <c r="A53" s="382" t="s">
        <v>6429</v>
      </c>
      <c r="B53" s="383"/>
      <c r="C53" s="165" t="s">
        <v>4215</v>
      </c>
      <c r="D53" s="177"/>
      <c r="E53" s="177"/>
      <c r="F53" s="382" t="s">
        <v>6430</v>
      </c>
      <c r="G53" s="383"/>
      <c r="H53" s="165" t="s">
        <v>6278</v>
      </c>
      <c r="I53" s="177"/>
      <c r="J53" s="177"/>
      <c r="K53" s="103" t="s">
        <v>6431</v>
      </c>
      <c r="L53" s="383"/>
      <c r="M53" s="163" t="s">
        <v>4217</v>
      </c>
      <c r="N53" s="164"/>
      <c r="O53" s="164"/>
      <c r="P53" s="384" t="str">
        <f>IFERROR(__xludf.DUMMYFUNCTION("GOOGLETRANSLATE(A53,""zh-tw"",""zh"")"),"番茄汤")</f>
        <v>番茄汤</v>
      </c>
      <c r="Q53" s="66"/>
      <c r="R53" s="69" t="str">
        <f>IFERROR(__xludf.DUMMYFUNCTION("GOOGLETRANSLATE(C53,""zh-tw"",""zh"")"),"番茄")</f>
        <v>番茄</v>
      </c>
      <c r="S53" s="69"/>
      <c r="T53" s="69"/>
      <c r="U53" s="382" t="str">
        <f>IFERROR(__xludf.DUMMYFUNCTION("GOOGLETRANSLATE(A53,""zh-tw"",""es-MX"")"),"Sopa de tomate")</f>
        <v>Sopa de tomate</v>
      </c>
      <c r="V53" s="377"/>
      <c r="W53" s="165" t="str">
        <f>IFERROR(__xludf.DUMMYFUNCTION("GOOGLETRANSLATE(C53,""zh-tw"",""es-MX"")"),"tomate")</f>
        <v>tomate</v>
      </c>
      <c r="X53" s="165"/>
      <c r="Y53" s="165"/>
      <c r="Z53" s="385" t="str">
        <f>IFERROR(__xludf.DUMMYFUNCTION("GOOGLETRANSLATE(A53,""zh-tw"",""KO"")"),"토마토 수프")</f>
        <v>토마토 수프</v>
      </c>
      <c r="AA53" s="378"/>
      <c r="AB53" s="164" t="str">
        <f>IFERROR(__xludf.DUMMYFUNCTION("GOOGLETRANSLATE(C53,""zh-tw"",""KO"")"),"토마토")</f>
        <v>토마토</v>
      </c>
      <c r="AC53" s="164"/>
      <c r="AD53" s="164"/>
      <c r="AE53" s="382" t="str">
        <f>IFERROR(__xludf.DUMMYFUNCTION("GOOGLETRANSLATE(A53,""zh-tw"",""ru"")"),"Томатный суп")</f>
        <v>Томатный суп</v>
      </c>
      <c r="AF53" s="377"/>
      <c r="AG53" s="165" t="str">
        <f>IFERROR(__xludf.DUMMYFUNCTION("GOOGLETRANSLATE(C53,""zh-tw"",""ru"")"),"помидор")</f>
        <v>помидор</v>
      </c>
      <c r="AH53" s="165"/>
      <c r="AI53" s="165"/>
      <c r="AJ53" s="386" t="s">
        <v>6432</v>
      </c>
      <c r="AK53" s="378"/>
      <c r="AL53" s="163" t="s">
        <v>6282</v>
      </c>
      <c r="AM53" s="164"/>
      <c r="AN53" s="164"/>
      <c r="AO53" s="181" t="s">
        <v>6433</v>
      </c>
      <c r="AP53" s="191"/>
      <c r="AQ53" s="183" t="s">
        <v>4213</v>
      </c>
      <c r="AR53" s="184"/>
      <c r="AS53" s="184"/>
    </row>
    <row r="54">
      <c r="A54" s="382" t="s">
        <v>4196</v>
      </c>
      <c r="B54" s="383"/>
      <c r="C54" s="165" t="s">
        <v>4196</v>
      </c>
      <c r="D54" s="177"/>
      <c r="E54" s="177"/>
      <c r="F54" s="382" t="s">
        <v>6434</v>
      </c>
      <c r="G54" s="383"/>
      <c r="H54" s="165" t="s">
        <v>6424</v>
      </c>
      <c r="I54" s="177"/>
      <c r="J54" s="177"/>
      <c r="K54" s="103" t="s">
        <v>4198</v>
      </c>
      <c r="L54" s="383"/>
      <c r="M54" s="163" t="s">
        <v>4198</v>
      </c>
      <c r="N54" s="164"/>
      <c r="O54" s="164"/>
      <c r="P54" s="384" t="str">
        <f>IFERROR(__xludf.DUMMYFUNCTION("GOOGLETRANSLATE(A54,""zh-tw"",""zh"")"),"草莓")</f>
        <v>草莓</v>
      </c>
      <c r="Q54" s="66"/>
      <c r="R54" s="69" t="str">
        <f>IFERROR(__xludf.DUMMYFUNCTION("GOOGLETRANSLATE(C54,""zh-tw"",""zh"")"),"草莓")</f>
        <v>草莓</v>
      </c>
      <c r="S54" s="69"/>
      <c r="T54" s="69"/>
      <c r="U54" s="382" t="str">
        <f>IFERROR(__xludf.DUMMYFUNCTION("GOOGLETRANSLATE(A54,""zh-tw"",""es-MX"")"),"fresa")</f>
        <v>fresa</v>
      </c>
      <c r="V54" s="377"/>
      <c r="W54" s="165" t="str">
        <f>IFERROR(__xludf.DUMMYFUNCTION("GOOGLETRANSLATE(C54,""zh-tw"",""es-MX"")"),"fresa")</f>
        <v>fresa</v>
      </c>
      <c r="X54" s="165"/>
      <c r="Y54" s="165"/>
      <c r="Z54" s="385" t="str">
        <f>IFERROR(__xludf.DUMMYFUNCTION("GOOGLETRANSLATE(A54,""zh-tw"",""KO"")"),"딸기")</f>
        <v>딸기</v>
      </c>
      <c r="AA54" s="378"/>
      <c r="AB54" s="164" t="str">
        <f>IFERROR(__xludf.DUMMYFUNCTION("GOOGLETRANSLATE(C54,""zh-tw"",""KO"")"),"딸기")</f>
        <v>딸기</v>
      </c>
      <c r="AC54" s="164"/>
      <c r="AD54" s="164"/>
      <c r="AE54" s="382" t="str">
        <f>IFERROR(__xludf.DUMMYFUNCTION("GOOGLETRANSLATE(A54,""zh-tw"",""ru"")"),"клубника")</f>
        <v>клубника</v>
      </c>
      <c r="AF54" s="377"/>
      <c r="AG54" s="165" t="str">
        <f>IFERROR(__xludf.DUMMYFUNCTION("GOOGLETRANSLATE(C54,""zh-tw"",""ru"")"),"клубника")</f>
        <v>клубника</v>
      </c>
      <c r="AH54" s="165"/>
      <c r="AI54" s="165"/>
      <c r="AJ54" s="386" t="s">
        <v>6427</v>
      </c>
      <c r="AK54" s="378"/>
      <c r="AL54" s="163" t="s">
        <v>6427</v>
      </c>
      <c r="AM54" s="164"/>
      <c r="AN54" s="164"/>
      <c r="AO54" s="181" t="s">
        <v>4204</v>
      </c>
      <c r="AP54" s="191"/>
      <c r="AQ54" s="183" t="s">
        <v>4204</v>
      </c>
      <c r="AR54" s="184"/>
      <c r="AS54" s="184"/>
    </row>
    <row r="55">
      <c r="A55" s="391"/>
      <c r="B55" s="383"/>
      <c r="C55" s="177"/>
      <c r="D55" s="177"/>
      <c r="E55" s="177"/>
      <c r="F55" s="391"/>
      <c r="G55" s="383"/>
      <c r="H55" s="177"/>
      <c r="I55" s="177"/>
      <c r="J55" s="177"/>
      <c r="K55" s="99"/>
      <c r="L55" s="151"/>
      <c r="M55" s="163"/>
      <c r="N55" s="163"/>
      <c r="O55" s="164"/>
      <c r="P55" s="88"/>
      <c r="Q55" s="151"/>
      <c r="R55" s="177"/>
      <c r="S55" s="177"/>
      <c r="T55" s="177"/>
      <c r="U55" s="391"/>
      <c r="V55" s="383"/>
      <c r="W55" s="177"/>
      <c r="X55" s="177"/>
      <c r="Y55" s="177"/>
      <c r="Z55" s="391"/>
      <c r="AA55" s="383"/>
      <c r="AB55" s="177"/>
      <c r="AC55" s="177"/>
      <c r="AD55" s="177"/>
      <c r="AE55" s="391"/>
      <c r="AF55" s="383"/>
      <c r="AG55" s="177"/>
      <c r="AH55" s="177"/>
      <c r="AI55" s="177"/>
      <c r="AJ55" s="391"/>
      <c r="AK55" s="383"/>
      <c r="AL55" s="177"/>
      <c r="AM55" s="177"/>
      <c r="AN55" s="177"/>
      <c r="AO55" s="192"/>
      <c r="AP55" s="191"/>
      <c r="AQ55" s="184"/>
      <c r="AR55" s="184"/>
      <c r="AS55" s="184"/>
    </row>
    <row r="56">
      <c r="A56" s="391"/>
      <c r="B56" s="383"/>
      <c r="C56" s="177"/>
      <c r="D56" s="177"/>
      <c r="E56" s="177"/>
      <c r="F56" s="391"/>
      <c r="G56" s="383"/>
      <c r="H56" s="177"/>
      <c r="I56" s="177"/>
      <c r="J56" s="177"/>
      <c r="K56" s="88"/>
      <c r="L56" s="383"/>
      <c r="M56" s="177"/>
      <c r="N56" s="177"/>
      <c r="O56" s="177"/>
      <c r="P56" s="88"/>
      <c r="Q56" s="151"/>
      <c r="R56" s="177"/>
      <c r="S56" s="177"/>
      <c r="T56" s="177"/>
      <c r="U56" s="391"/>
      <c r="V56" s="383"/>
      <c r="W56" s="177"/>
      <c r="X56" s="177"/>
      <c r="Y56" s="177"/>
      <c r="Z56" s="391"/>
      <c r="AA56" s="383"/>
      <c r="AB56" s="177"/>
      <c r="AC56" s="177"/>
      <c r="AD56" s="177"/>
      <c r="AE56" s="391"/>
      <c r="AF56" s="383"/>
      <c r="AG56" s="177"/>
      <c r="AH56" s="177"/>
      <c r="AI56" s="177"/>
      <c r="AJ56" s="391"/>
      <c r="AK56" s="383"/>
      <c r="AL56" s="177"/>
      <c r="AM56" s="177"/>
      <c r="AN56" s="177"/>
      <c r="AO56" s="192"/>
      <c r="AP56" s="191"/>
      <c r="AQ56" s="184"/>
      <c r="AR56" s="184"/>
      <c r="AS56" s="184"/>
    </row>
    <row r="57">
      <c r="A57" s="391"/>
      <c r="B57" s="383"/>
      <c r="C57" s="177"/>
      <c r="D57" s="177"/>
      <c r="E57" s="177"/>
      <c r="F57" s="391"/>
      <c r="G57" s="383"/>
      <c r="H57" s="177"/>
      <c r="I57" s="177"/>
      <c r="J57" s="177"/>
      <c r="K57" s="88"/>
      <c r="L57" s="383"/>
      <c r="M57" s="177"/>
      <c r="N57" s="177"/>
      <c r="O57" s="177"/>
      <c r="P57" s="88"/>
      <c r="Q57" s="151"/>
      <c r="R57" s="177"/>
      <c r="S57" s="177"/>
      <c r="T57" s="177"/>
      <c r="U57" s="391"/>
      <c r="V57" s="383"/>
      <c r="W57" s="177"/>
      <c r="X57" s="177"/>
      <c r="Y57" s="177"/>
      <c r="Z57" s="391"/>
      <c r="AA57" s="383"/>
      <c r="AB57" s="177"/>
      <c r="AC57" s="177"/>
      <c r="AD57" s="177"/>
      <c r="AE57" s="391"/>
      <c r="AF57" s="383"/>
      <c r="AG57" s="177"/>
      <c r="AH57" s="177"/>
      <c r="AI57" s="177"/>
      <c r="AJ57" s="391"/>
      <c r="AK57" s="383"/>
      <c r="AL57" s="177"/>
      <c r="AM57" s="177"/>
      <c r="AN57" s="177"/>
      <c r="AO57" s="192"/>
      <c r="AP57" s="191"/>
      <c r="AQ57" s="184"/>
      <c r="AR57" s="184"/>
      <c r="AS57" s="184"/>
    </row>
    <row r="58">
      <c r="A58" s="391"/>
      <c r="B58" s="383"/>
      <c r="C58" s="177"/>
      <c r="D58" s="177"/>
      <c r="E58" s="177"/>
      <c r="F58" s="391"/>
      <c r="G58" s="383"/>
      <c r="H58" s="177"/>
      <c r="I58" s="177"/>
      <c r="J58" s="177"/>
      <c r="K58" s="88"/>
      <c r="L58" s="383"/>
      <c r="M58" s="177"/>
      <c r="N58" s="177"/>
      <c r="O58" s="177"/>
      <c r="P58" s="88"/>
      <c r="Q58" s="151"/>
      <c r="R58" s="177"/>
      <c r="S58" s="177"/>
      <c r="T58" s="177"/>
      <c r="U58" s="391"/>
      <c r="V58" s="383"/>
      <c r="W58" s="177"/>
      <c r="X58" s="177"/>
      <c r="Y58" s="177"/>
      <c r="Z58" s="391"/>
      <c r="AA58" s="383"/>
      <c r="AB58" s="177"/>
      <c r="AC58" s="177"/>
      <c r="AD58" s="177"/>
      <c r="AE58" s="391"/>
      <c r="AF58" s="383"/>
      <c r="AG58" s="177"/>
      <c r="AH58" s="177"/>
      <c r="AI58" s="177"/>
      <c r="AJ58" s="391"/>
      <c r="AK58" s="383"/>
      <c r="AL58" s="177"/>
      <c r="AM58" s="177"/>
      <c r="AN58" s="177"/>
      <c r="AO58" s="192"/>
      <c r="AP58" s="191"/>
      <c r="AQ58" s="184"/>
      <c r="AR58" s="184"/>
      <c r="AS58" s="184"/>
    </row>
    <row r="59">
      <c r="A59" s="391"/>
      <c r="B59" s="383"/>
      <c r="C59" s="177"/>
      <c r="D59" s="177"/>
      <c r="E59" s="177"/>
      <c r="F59" s="391"/>
      <c r="G59" s="383"/>
      <c r="H59" s="177"/>
      <c r="I59" s="177"/>
      <c r="J59" s="177"/>
      <c r="K59" s="88"/>
      <c r="L59" s="383"/>
      <c r="M59" s="177"/>
      <c r="N59" s="177"/>
      <c r="O59" s="177"/>
      <c r="P59" s="88"/>
      <c r="Q59" s="151"/>
      <c r="R59" s="177"/>
      <c r="S59" s="177"/>
      <c r="T59" s="177"/>
      <c r="U59" s="391"/>
      <c r="V59" s="383"/>
      <c r="W59" s="177"/>
      <c r="X59" s="177"/>
      <c r="Y59" s="177"/>
      <c r="Z59" s="391"/>
      <c r="AA59" s="383"/>
      <c r="AB59" s="177"/>
      <c r="AC59" s="177"/>
      <c r="AD59" s="177"/>
      <c r="AE59" s="391"/>
      <c r="AF59" s="383"/>
      <c r="AG59" s="177"/>
      <c r="AH59" s="177"/>
      <c r="AI59" s="177"/>
      <c r="AJ59" s="391"/>
      <c r="AK59" s="383"/>
      <c r="AL59" s="177"/>
      <c r="AM59" s="177"/>
      <c r="AN59" s="177"/>
      <c r="AO59" s="192"/>
      <c r="AP59" s="191"/>
      <c r="AQ59" s="184"/>
      <c r="AR59" s="184"/>
      <c r="AS59" s="184"/>
    </row>
    <row r="60">
      <c r="A60" s="391"/>
      <c r="B60" s="383"/>
      <c r="C60" s="177"/>
      <c r="D60" s="177"/>
      <c r="E60" s="177"/>
      <c r="F60" s="391"/>
      <c r="G60" s="383"/>
      <c r="H60" s="177"/>
      <c r="I60" s="177"/>
      <c r="J60" s="177"/>
      <c r="K60" s="88"/>
      <c r="L60" s="383"/>
      <c r="M60" s="177"/>
      <c r="N60" s="177"/>
      <c r="O60" s="177"/>
      <c r="P60" s="88"/>
      <c r="Q60" s="151"/>
      <c r="R60" s="177"/>
      <c r="S60" s="177"/>
      <c r="T60" s="177"/>
      <c r="U60" s="391"/>
      <c r="V60" s="383"/>
      <c r="W60" s="177"/>
      <c r="X60" s="177"/>
      <c r="Y60" s="177"/>
      <c r="Z60" s="391"/>
      <c r="AA60" s="383"/>
      <c r="AB60" s="177"/>
      <c r="AC60" s="177"/>
      <c r="AD60" s="177"/>
      <c r="AE60" s="391"/>
      <c r="AF60" s="383"/>
      <c r="AG60" s="177"/>
      <c r="AH60" s="177"/>
      <c r="AI60" s="177"/>
      <c r="AJ60" s="391"/>
      <c r="AK60" s="383"/>
      <c r="AL60" s="177"/>
      <c r="AM60" s="177"/>
      <c r="AN60" s="177"/>
      <c r="AO60" s="192"/>
      <c r="AP60" s="191"/>
      <c r="AQ60" s="184"/>
      <c r="AR60" s="184"/>
      <c r="AS60" s="184"/>
    </row>
    <row r="61">
      <c r="A61" s="391"/>
      <c r="B61" s="383"/>
      <c r="C61" s="177"/>
      <c r="D61" s="177"/>
      <c r="E61" s="177"/>
      <c r="F61" s="391"/>
      <c r="G61" s="383"/>
      <c r="H61" s="177"/>
      <c r="I61" s="177"/>
      <c r="J61" s="177"/>
      <c r="K61" s="88"/>
      <c r="L61" s="383"/>
      <c r="M61" s="177"/>
      <c r="N61" s="177"/>
      <c r="O61" s="177"/>
      <c r="P61" s="88"/>
      <c r="Q61" s="151"/>
      <c r="R61" s="177"/>
      <c r="S61" s="177"/>
      <c r="T61" s="177"/>
      <c r="U61" s="391"/>
      <c r="V61" s="383"/>
      <c r="W61" s="177"/>
      <c r="X61" s="177"/>
      <c r="Y61" s="177"/>
      <c r="Z61" s="391"/>
      <c r="AA61" s="383"/>
      <c r="AB61" s="177"/>
      <c r="AC61" s="177"/>
      <c r="AD61" s="177"/>
      <c r="AE61" s="391"/>
      <c r="AF61" s="383"/>
      <c r="AG61" s="177"/>
      <c r="AH61" s="177"/>
      <c r="AI61" s="177"/>
      <c r="AJ61" s="391"/>
      <c r="AK61" s="383"/>
      <c r="AL61" s="177"/>
      <c r="AM61" s="177"/>
      <c r="AN61" s="177"/>
      <c r="AO61" s="192"/>
      <c r="AP61" s="191"/>
      <c r="AQ61" s="184"/>
      <c r="AR61" s="184"/>
      <c r="AS61" s="184"/>
    </row>
    <row r="62">
      <c r="A62" s="391"/>
      <c r="B62" s="383"/>
      <c r="C62" s="177"/>
      <c r="D62" s="177"/>
      <c r="E62" s="177"/>
      <c r="F62" s="391"/>
      <c r="G62" s="383"/>
      <c r="H62" s="177"/>
      <c r="I62" s="177"/>
      <c r="J62" s="177"/>
      <c r="K62" s="88"/>
      <c r="L62" s="383"/>
      <c r="M62" s="177"/>
      <c r="N62" s="177"/>
      <c r="O62" s="177"/>
      <c r="P62" s="88"/>
      <c r="Q62" s="151"/>
      <c r="R62" s="177"/>
      <c r="S62" s="177"/>
      <c r="T62" s="177"/>
      <c r="U62" s="391"/>
      <c r="V62" s="383"/>
      <c r="W62" s="177"/>
      <c r="X62" s="177"/>
      <c r="Y62" s="177"/>
      <c r="Z62" s="391"/>
      <c r="AA62" s="383"/>
      <c r="AB62" s="177"/>
      <c r="AC62" s="177"/>
      <c r="AD62" s="177"/>
      <c r="AE62" s="391"/>
      <c r="AF62" s="383"/>
      <c r="AG62" s="177"/>
      <c r="AH62" s="177"/>
      <c r="AI62" s="177"/>
      <c r="AJ62" s="391"/>
      <c r="AK62" s="383"/>
      <c r="AL62" s="177"/>
      <c r="AM62" s="177"/>
      <c r="AN62" s="177"/>
      <c r="AO62" s="192"/>
      <c r="AP62" s="191"/>
      <c r="AQ62" s="184"/>
      <c r="AR62" s="184"/>
      <c r="AS62" s="184"/>
    </row>
    <row r="63">
      <c r="A63" s="391"/>
      <c r="B63" s="383"/>
      <c r="C63" s="177"/>
      <c r="D63" s="177"/>
      <c r="E63" s="177"/>
      <c r="F63" s="391"/>
      <c r="G63" s="383"/>
      <c r="H63" s="177"/>
      <c r="I63" s="177"/>
      <c r="J63" s="177"/>
      <c r="K63" s="88"/>
      <c r="L63" s="383"/>
      <c r="M63" s="177"/>
      <c r="N63" s="177"/>
      <c r="O63" s="177"/>
      <c r="P63" s="88"/>
      <c r="Q63" s="151"/>
      <c r="R63" s="177"/>
      <c r="S63" s="177"/>
      <c r="T63" s="177"/>
      <c r="U63" s="391"/>
      <c r="V63" s="383"/>
      <c r="W63" s="177"/>
      <c r="X63" s="177"/>
      <c r="Y63" s="177"/>
      <c r="Z63" s="391"/>
      <c r="AA63" s="383"/>
      <c r="AB63" s="177"/>
      <c r="AC63" s="177"/>
      <c r="AD63" s="177"/>
      <c r="AE63" s="391"/>
      <c r="AF63" s="383"/>
      <c r="AG63" s="177"/>
      <c r="AH63" s="177"/>
      <c r="AI63" s="177"/>
      <c r="AJ63" s="391"/>
      <c r="AK63" s="383"/>
      <c r="AL63" s="177"/>
      <c r="AM63" s="177"/>
      <c r="AN63" s="177"/>
      <c r="AO63" s="192"/>
      <c r="AP63" s="191"/>
      <c r="AQ63" s="184"/>
      <c r="AR63" s="184"/>
      <c r="AS63" s="184"/>
    </row>
    <row r="64">
      <c r="A64" s="391"/>
      <c r="B64" s="383"/>
      <c r="C64" s="177"/>
      <c r="D64" s="177"/>
      <c r="E64" s="177"/>
      <c r="F64" s="391"/>
      <c r="G64" s="383"/>
      <c r="H64" s="177"/>
      <c r="I64" s="177"/>
      <c r="J64" s="177"/>
      <c r="K64" s="88"/>
      <c r="L64" s="383"/>
      <c r="M64" s="177"/>
      <c r="N64" s="177"/>
      <c r="O64" s="177"/>
      <c r="P64" s="88"/>
      <c r="Q64" s="151"/>
      <c r="R64" s="177"/>
      <c r="S64" s="177"/>
      <c r="T64" s="177"/>
      <c r="U64" s="391"/>
      <c r="V64" s="383"/>
      <c r="W64" s="177"/>
      <c r="X64" s="177"/>
      <c r="Y64" s="177"/>
      <c r="Z64" s="391"/>
      <c r="AA64" s="383"/>
      <c r="AB64" s="177"/>
      <c r="AC64" s="177"/>
      <c r="AD64" s="177"/>
      <c r="AE64" s="391"/>
      <c r="AF64" s="383"/>
      <c r="AG64" s="177"/>
      <c r="AH64" s="177"/>
      <c r="AI64" s="177"/>
      <c r="AJ64" s="391"/>
      <c r="AK64" s="383"/>
      <c r="AL64" s="177"/>
      <c r="AM64" s="177"/>
      <c r="AN64" s="177"/>
      <c r="AO64" s="192"/>
      <c r="AP64" s="191"/>
      <c r="AQ64" s="184"/>
      <c r="AR64" s="184"/>
      <c r="AS64" s="184"/>
    </row>
    <row r="65">
      <c r="A65" s="391"/>
      <c r="B65" s="383"/>
      <c r="C65" s="177"/>
      <c r="D65" s="177"/>
      <c r="E65" s="177"/>
      <c r="F65" s="391"/>
      <c r="G65" s="383"/>
      <c r="H65" s="177"/>
      <c r="I65" s="177"/>
      <c r="J65" s="177"/>
      <c r="K65" s="88"/>
      <c r="L65" s="383"/>
      <c r="M65" s="177"/>
      <c r="N65" s="177"/>
      <c r="O65" s="177"/>
      <c r="P65" s="88"/>
      <c r="Q65" s="151"/>
      <c r="R65" s="177"/>
      <c r="S65" s="177"/>
      <c r="T65" s="177"/>
      <c r="U65" s="391"/>
      <c r="V65" s="383"/>
      <c r="W65" s="177"/>
      <c r="X65" s="177"/>
      <c r="Y65" s="177"/>
      <c r="Z65" s="391"/>
      <c r="AA65" s="383"/>
      <c r="AB65" s="177"/>
      <c r="AC65" s="177"/>
      <c r="AD65" s="177"/>
      <c r="AE65" s="391"/>
      <c r="AF65" s="383"/>
      <c r="AG65" s="177"/>
      <c r="AH65" s="177"/>
      <c r="AI65" s="177"/>
      <c r="AJ65" s="391"/>
      <c r="AK65" s="383"/>
      <c r="AL65" s="177"/>
      <c r="AM65" s="177"/>
      <c r="AN65" s="177"/>
      <c r="AO65" s="192"/>
      <c r="AP65" s="191"/>
      <c r="AQ65" s="184"/>
      <c r="AR65" s="184"/>
      <c r="AS65" s="184"/>
    </row>
    <row r="66">
      <c r="A66" s="391"/>
      <c r="B66" s="383"/>
      <c r="C66" s="177"/>
      <c r="D66" s="177"/>
      <c r="E66" s="177"/>
      <c r="F66" s="391"/>
      <c r="G66" s="383"/>
      <c r="H66" s="177"/>
      <c r="I66" s="177"/>
      <c r="J66" s="177"/>
      <c r="K66" s="88"/>
      <c r="L66" s="383"/>
      <c r="M66" s="177"/>
      <c r="N66" s="177"/>
      <c r="O66" s="177"/>
      <c r="P66" s="88"/>
      <c r="Q66" s="151"/>
      <c r="R66" s="177"/>
      <c r="S66" s="177"/>
      <c r="T66" s="177"/>
      <c r="U66" s="391"/>
      <c r="V66" s="383"/>
      <c r="W66" s="177"/>
      <c r="X66" s="177"/>
      <c r="Y66" s="177"/>
      <c r="Z66" s="391"/>
      <c r="AA66" s="383"/>
      <c r="AB66" s="177"/>
      <c r="AC66" s="177"/>
      <c r="AD66" s="177"/>
      <c r="AE66" s="391"/>
      <c r="AF66" s="383"/>
      <c r="AG66" s="177"/>
      <c r="AH66" s="177"/>
      <c r="AI66" s="177"/>
      <c r="AJ66" s="391"/>
      <c r="AK66" s="383"/>
      <c r="AL66" s="177"/>
      <c r="AM66" s="177"/>
      <c r="AN66" s="177"/>
      <c r="AO66" s="192"/>
      <c r="AP66" s="191"/>
      <c r="AQ66" s="184"/>
      <c r="AR66" s="184"/>
      <c r="AS66" s="184"/>
    </row>
    <row r="67">
      <c r="A67" s="391"/>
      <c r="B67" s="383"/>
      <c r="C67" s="177"/>
      <c r="D67" s="177"/>
      <c r="E67" s="177"/>
      <c r="F67" s="391"/>
      <c r="G67" s="383"/>
      <c r="H67" s="177"/>
      <c r="I67" s="177"/>
      <c r="J67" s="177"/>
      <c r="K67" s="88"/>
      <c r="L67" s="383"/>
      <c r="M67" s="177"/>
      <c r="N67" s="177"/>
      <c r="O67" s="177"/>
      <c r="P67" s="88"/>
      <c r="Q67" s="151"/>
      <c r="R67" s="177"/>
      <c r="S67" s="177"/>
      <c r="T67" s="177"/>
      <c r="U67" s="391"/>
      <c r="V67" s="383"/>
      <c r="W67" s="177"/>
      <c r="X67" s="177"/>
      <c r="Y67" s="177"/>
      <c r="Z67" s="391"/>
      <c r="AA67" s="383"/>
      <c r="AB67" s="177"/>
      <c r="AC67" s="177"/>
      <c r="AD67" s="177"/>
      <c r="AE67" s="391"/>
      <c r="AF67" s="383"/>
      <c r="AG67" s="177"/>
      <c r="AH67" s="177"/>
      <c r="AI67" s="177"/>
      <c r="AJ67" s="391"/>
      <c r="AK67" s="383"/>
      <c r="AL67" s="177"/>
      <c r="AM67" s="177"/>
      <c r="AN67" s="177"/>
      <c r="AO67" s="192"/>
      <c r="AP67" s="191"/>
      <c r="AQ67" s="184"/>
      <c r="AR67" s="184"/>
      <c r="AS67" s="184"/>
    </row>
    <row r="68">
      <c r="A68" s="391"/>
      <c r="B68" s="383"/>
      <c r="C68" s="177"/>
      <c r="D68" s="177"/>
      <c r="E68" s="177"/>
      <c r="F68" s="391"/>
      <c r="G68" s="383"/>
      <c r="H68" s="177"/>
      <c r="I68" s="177"/>
      <c r="J68" s="177"/>
      <c r="K68" s="88"/>
      <c r="L68" s="383"/>
      <c r="M68" s="177"/>
      <c r="N68" s="177"/>
      <c r="O68" s="177"/>
      <c r="P68" s="88"/>
      <c r="Q68" s="151"/>
      <c r="R68" s="177"/>
      <c r="S68" s="177"/>
      <c r="T68" s="177"/>
      <c r="U68" s="391"/>
      <c r="V68" s="383"/>
      <c r="W68" s="177"/>
      <c r="X68" s="177"/>
      <c r="Y68" s="177"/>
      <c r="Z68" s="391"/>
      <c r="AA68" s="383"/>
      <c r="AB68" s="177"/>
      <c r="AC68" s="177"/>
      <c r="AD68" s="177"/>
      <c r="AE68" s="391"/>
      <c r="AF68" s="383"/>
      <c r="AG68" s="177"/>
      <c r="AH68" s="177"/>
      <c r="AI68" s="177"/>
      <c r="AJ68" s="391"/>
      <c r="AK68" s="383"/>
      <c r="AL68" s="177"/>
      <c r="AM68" s="177"/>
      <c r="AN68" s="177"/>
      <c r="AO68" s="192"/>
      <c r="AP68" s="191"/>
      <c r="AQ68" s="184"/>
      <c r="AR68" s="184"/>
      <c r="AS68" s="184"/>
    </row>
    <row r="69">
      <c r="A69" s="391"/>
      <c r="B69" s="383"/>
      <c r="C69" s="177"/>
      <c r="D69" s="177"/>
      <c r="E69" s="177"/>
      <c r="F69" s="391"/>
      <c r="G69" s="383"/>
      <c r="H69" s="177"/>
      <c r="I69" s="177"/>
      <c r="J69" s="177"/>
      <c r="K69" s="88"/>
      <c r="L69" s="383"/>
      <c r="M69" s="177"/>
      <c r="N69" s="177"/>
      <c r="O69" s="177"/>
      <c r="P69" s="88"/>
      <c r="Q69" s="151"/>
      <c r="R69" s="177"/>
      <c r="S69" s="177"/>
      <c r="T69" s="177"/>
      <c r="U69" s="391"/>
      <c r="V69" s="383"/>
      <c r="W69" s="177"/>
      <c r="X69" s="177"/>
      <c r="Y69" s="177"/>
      <c r="Z69" s="391"/>
      <c r="AA69" s="383"/>
      <c r="AB69" s="177"/>
      <c r="AC69" s="177"/>
      <c r="AD69" s="177"/>
      <c r="AE69" s="391"/>
      <c r="AF69" s="383"/>
      <c r="AG69" s="177"/>
      <c r="AH69" s="177"/>
      <c r="AI69" s="177"/>
      <c r="AJ69" s="391"/>
      <c r="AK69" s="383"/>
      <c r="AL69" s="177"/>
      <c r="AM69" s="177"/>
      <c r="AN69" s="177"/>
      <c r="AO69" s="192"/>
      <c r="AP69" s="191"/>
      <c r="AQ69" s="184"/>
      <c r="AR69" s="184"/>
      <c r="AS69" s="184"/>
    </row>
    <row r="70">
      <c r="A70" s="391"/>
      <c r="B70" s="383"/>
      <c r="C70" s="177"/>
      <c r="D70" s="177"/>
      <c r="E70" s="177"/>
      <c r="F70" s="391"/>
      <c r="G70" s="383"/>
      <c r="H70" s="177"/>
      <c r="I70" s="177"/>
      <c r="J70" s="177"/>
      <c r="K70" s="88"/>
      <c r="L70" s="383"/>
      <c r="M70" s="177"/>
      <c r="N70" s="177"/>
      <c r="O70" s="177"/>
      <c r="P70" s="88"/>
      <c r="Q70" s="151"/>
      <c r="R70" s="177"/>
      <c r="S70" s="177"/>
      <c r="T70" s="177"/>
      <c r="U70" s="391"/>
      <c r="V70" s="383"/>
      <c r="W70" s="177"/>
      <c r="X70" s="177"/>
      <c r="Y70" s="177"/>
      <c r="Z70" s="391"/>
      <c r="AA70" s="383"/>
      <c r="AB70" s="177"/>
      <c r="AC70" s="177"/>
      <c r="AD70" s="177"/>
      <c r="AE70" s="391"/>
      <c r="AF70" s="383"/>
      <c r="AG70" s="177"/>
      <c r="AH70" s="177"/>
      <c r="AI70" s="177"/>
      <c r="AJ70" s="391"/>
      <c r="AK70" s="383"/>
      <c r="AL70" s="177"/>
      <c r="AM70" s="177"/>
      <c r="AN70" s="177"/>
      <c r="AO70" s="192"/>
      <c r="AP70" s="191"/>
      <c r="AQ70" s="184"/>
      <c r="AR70" s="184"/>
      <c r="AS70" s="184"/>
    </row>
    <row r="71">
      <c r="A71" s="391"/>
      <c r="B71" s="383"/>
      <c r="C71" s="177"/>
      <c r="D71" s="177"/>
      <c r="E71" s="177"/>
      <c r="F71" s="391"/>
      <c r="G71" s="383"/>
      <c r="H71" s="177"/>
      <c r="I71" s="177"/>
      <c r="J71" s="177"/>
      <c r="K71" s="88"/>
      <c r="L71" s="383"/>
      <c r="M71" s="177"/>
      <c r="N71" s="177"/>
      <c r="O71" s="177"/>
      <c r="P71" s="88"/>
      <c r="Q71" s="151"/>
      <c r="R71" s="177"/>
      <c r="S71" s="177"/>
      <c r="T71" s="177"/>
      <c r="U71" s="391"/>
      <c r="V71" s="383"/>
      <c r="W71" s="177"/>
      <c r="X71" s="177"/>
      <c r="Y71" s="177"/>
      <c r="Z71" s="391"/>
      <c r="AA71" s="383"/>
      <c r="AB71" s="177"/>
      <c r="AC71" s="177"/>
      <c r="AD71" s="177"/>
      <c r="AE71" s="391"/>
      <c r="AF71" s="383"/>
      <c r="AG71" s="177"/>
      <c r="AH71" s="177"/>
      <c r="AI71" s="177"/>
      <c r="AJ71" s="391"/>
      <c r="AK71" s="383"/>
      <c r="AL71" s="177"/>
      <c r="AM71" s="177"/>
      <c r="AN71" s="177"/>
      <c r="AO71" s="192"/>
      <c r="AP71" s="191"/>
      <c r="AQ71" s="184"/>
      <c r="AR71" s="184"/>
      <c r="AS71" s="184"/>
    </row>
    <row r="72">
      <c r="A72" s="391"/>
      <c r="B72" s="383"/>
      <c r="C72" s="177"/>
      <c r="D72" s="177"/>
      <c r="E72" s="177"/>
      <c r="F72" s="391"/>
      <c r="G72" s="383"/>
      <c r="H72" s="177"/>
      <c r="I72" s="177"/>
      <c r="J72" s="177"/>
      <c r="K72" s="88"/>
      <c r="L72" s="383"/>
      <c r="M72" s="177"/>
      <c r="N72" s="177"/>
      <c r="O72" s="177"/>
      <c r="P72" s="88"/>
      <c r="Q72" s="151"/>
      <c r="R72" s="177"/>
      <c r="S72" s="177"/>
      <c r="T72" s="177"/>
      <c r="U72" s="391"/>
      <c r="V72" s="383"/>
      <c r="W72" s="177"/>
      <c r="X72" s="177"/>
      <c r="Y72" s="177"/>
      <c r="Z72" s="391"/>
      <c r="AA72" s="383"/>
      <c r="AB72" s="177"/>
      <c r="AC72" s="177"/>
      <c r="AD72" s="177"/>
      <c r="AE72" s="391"/>
      <c r="AF72" s="383"/>
      <c r="AG72" s="177"/>
      <c r="AH72" s="177"/>
      <c r="AI72" s="177"/>
      <c r="AJ72" s="391"/>
      <c r="AK72" s="383"/>
      <c r="AL72" s="177"/>
      <c r="AM72" s="177"/>
      <c r="AN72" s="177"/>
      <c r="AO72" s="192"/>
      <c r="AP72" s="191"/>
      <c r="AQ72" s="184"/>
      <c r="AR72" s="184"/>
      <c r="AS72" s="184"/>
    </row>
    <row r="73">
      <c r="A73" s="391"/>
      <c r="B73" s="383"/>
      <c r="C73" s="177"/>
      <c r="D73" s="177"/>
      <c r="E73" s="177"/>
      <c r="F73" s="391"/>
      <c r="G73" s="383"/>
      <c r="H73" s="177"/>
      <c r="I73" s="177"/>
      <c r="J73" s="177"/>
      <c r="K73" s="88"/>
      <c r="L73" s="383"/>
      <c r="M73" s="177"/>
      <c r="N73" s="177"/>
      <c r="O73" s="177"/>
      <c r="P73" s="88"/>
      <c r="Q73" s="151"/>
      <c r="R73" s="177"/>
      <c r="S73" s="177"/>
      <c r="T73" s="177"/>
      <c r="U73" s="391"/>
      <c r="V73" s="383"/>
      <c r="W73" s="177"/>
      <c r="X73" s="177"/>
      <c r="Y73" s="177"/>
      <c r="Z73" s="391"/>
      <c r="AA73" s="383"/>
      <c r="AB73" s="177"/>
      <c r="AC73" s="177"/>
      <c r="AD73" s="177"/>
      <c r="AE73" s="391"/>
      <c r="AF73" s="383"/>
      <c r="AG73" s="177"/>
      <c r="AH73" s="177"/>
      <c r="AI73" s="177"/>
      <c r="AJ73" s="391"/>
      <c r="AK73" s="383"/>
      <c r="AL73" s="177"/>
      <c r="AM73" s="177"/>
      <c r="AN73" s="177"/>
      <c r="AO73" s="192"/>
      <c r="AP73" s="191"/>
      <c r="AQ73" s="184"/>
      <c r="AR73" s="184"/>
      <c r="AS73" s="184"/>
    </row>
    <row r="74">
      <c r="A74" s="391"/>
      <c r="B74" s="383"/>
      <c r="C74" s="177"/>
      <c r="D74" s="177"/>
      <c r="E74" s="177"/>
      <c r="F74" s="391"/>
      <c r="G74" s="383"/>
      <c r="H74" s="177"/>
      <c r="I74" s="177"/>
      <c r="J74" s="177"/>
      <c r="K74" s="88"/>
      <c r="L74" s="383"/>
      <c r="M74" s="177"/>
      <c r="N74" s="177"/>
      <c r="O74" s="177"/>
      <c r="P74" s="88"/>
      <c r="Q74" s="151"/>
      <c r="R74" s="177"/>
      <c r="S74" s="177"/>
      <c r="T74" s="177"/>
      <c r="U74" s="391"/>
      <c r="V74" s="383"/>
      <c r="W74" s="177"/>
      <c r="X74" s="177"/>
      <c r="Y74" s="177"/>
      <c r="Z74" s="391"/>
      <c r="AA74" s="383"/>
      <c r="AB74" s="177"/>
      <c r="AC74" s="177"/>
      <c r="AD74" s="177"/>
      <c r="AE74" s="391"/>
      <c r="AF74" s="383"/>
      <c r="AG74" s="177"/>
      <c r="AH74" s="177"/>
      <c r="AI74" s="177"/>
      <c r="AJ74" s="391"/>
      <c r="AK74" s="383"/>
      <c r="AL74" s="177"/>
      <c r="AM74" s="177"/>
      <c r="AN74" s="177"/>
      <c r="AO74" s="192"/>
      <c r="AP74" s="191"/>
      <c r="AQ74" s="184"/>
      <c r="AR74" s="184"/>
      <c r="AS74" s="184"/>
    </row>
    <row r="75">
      <c r="A75" s="391"/>
      <c r="B75" s="383"/>
      <c r="C75" s="177"/>
      <c r="D75" s="177"/>
      <c r="E75" s="177"/>
      <c r="F75" s="391"/>
      <c r="G75" s="383"/>
      <c r="H75" s="177"/>
      <c r="I75" s="177"/>
      <c r="J75" s="177"/>
      <c r="K75" s="88"/>
      <c r="L75" s="383"/>
      <c r="M75" s="177"/>
      <c r="N75" s="177"/>
      <c r="O75" s="177"/>
      <c r="P75" s="88"/>
      <c r="Q75" s="151"/>
      <c r="R75" s="177"/>
      <c r="S75" s="177"/>
      <c r="T75" s="177"/>
      <c r="U75" s="391"/>
      <c r="V75" s="383"/>
      <c r="W75" s="177"/>
      <c r="X75" s="177"/>
      <c r="Y75" s="177"/>
      <c r="Z75" s="391"/>
      <c r="AA75" s="383"/>
      <c r="AB75" s="177"/>
      <c r="AC75" s="177"/>
      <c r="AD75" s="177"/>
      <c r="AE75" s="391"/>
      <c r="AF75" s="383"/>
      <c r="AG75" s="177"/>
      <c r="AH75" s="177"/>
      <c r="AI75" s="177"/>
      <c r="AJ75" s="391"/>
      <c r="AK75" s="383"/>
      <c r="AL75" s="177"/>
      <c r="AM75" s="177"/>
      <c r="AN75" s="177"/>
      <c r="AO75" s="192"/>
      <c r="AP75" s="191"/>
      <c r="AQ75" s="184"/>
      <c r="AR75" s="184"/>
      <c r="AS75" s="184"/>
    </row>
    <row r="76">
      <c r="A76" s="391"/>
      <c r="B76" s="383"/>
      <c r="C76" s="177"/>
      <c r="D76" s="177"/>
      <c r="E76" s="177"/>
      <c r="F76" s="391"/>
      <c r="G76" s="383"/>
      <c r="H76" s="177"/>
      <c r="I76" s="177"/>
      <c r="J76" s="177"/>
      <c r="K76" s="88"/>
      <c r="L76" s="383"/>
      <c r="M76" s="177"/>
      <c r="N76" s="177"/>
      <c r="O76" s="177"/>
      <c r="P76" s="88"/>
      <c r="Q76" s="151"/>
      <c r="R76" s="177"/>
      <c r="S76" s="177"/>
      <c r="T76" s="177"/>
      <c r="U76" s="391"/>
      <c r="V76" s="383"/>
      <c r="W76" s="177"/>
      <c r="X76" s="177"/>
      <c r="Y76" s="177"/>
      <c r="Z76" s="391"/>
      <c r="AA76" s="383"/>
      <c r="AB76" s="177"/>
      <c r="AC76" s="177"/>
      <c r="AD76" s="177"/>
      <c r="AE76" s="391"/>
      <c r="AF76" s="383"/>
      <c r="AG76" s="177"/>
      <c r="AH76" s="177"/>
      <c r="AI76" s="177"/>
      <c r="AJ76" s="391"/>
      <c r="AK76" s="383"/>
      <c r="AL76" s="177"/>
      <c r="AM76" s="177"/>
      <c r="AN76" s="177"/>
      <c r="AO76" s="192"/>
      <c r="AP76" s="191"/>
      <c r="AQ76" s="184"/>
      <c r="AR76" s="184"/>
      <c r="AS76" s="184"/>
    </row>
    <row r="77">
      <c r="A77" s="391"/>
      <c r="B77" s="383"/>
      <c r="C77" s="177"/>
      <c r="D77" s="177"/>
      <c r="E77" s="177"/>
      <c r="F77" s="391"/>
      <c r="G77" s="383"/>
      <c r="H77" s="177"/>
      <c r="I77" s="177"/>
      <c r="J77" s="177"/>
      <c r="K77" s="88"/>
      <c r="L77" s="383"/>
      <c r="M77" s="177"/>
      <c r="N77" s="177"/>
      <c r="O77" s="177"/>
      <c r="P77" s="88"/>
      <c r="Q77" s="151"/>
      <c r="R77" s="177"/>
      <c r="S77" s="177"/>
      <c r="T77" s="177"/>
      <c r="U77" s="391"/>
      <c r="V77" s="383"/>
      <c r="W77" s="177"/>
      <c r="X77" s="177"/>
      <c r="Y77" s="177"/>
      <c r="Z77" s="391"/>
      <c r="AA77" s="383"/>
      <c r="AB77" s="177"/>
      <c r="AC77" s="177"/>
      <c r="AD77" s="177"/>
      <c r="AE77" s="391"/>
      <c r="AF77" s="383"/>
      <c r="AG77" s="177"/>
      <c r="AH77" s="177"/>
      <c r="AI77" s="177"/>
      <c r="AJ77" s="391"/>
      <c r="AK77" s="383"/>
      <c r="AL77" s="177"/>
      <c r="AM77" s="177"/>
      <c r="AN77" s="177"/>
      <c r="AO77" s="192"/>
      <c r="AP77" s="191"/>
      <c r="AQ77" s="184"/>
      <c r="AR77" s="184"/>
      <c r="AS77" s="184"/>
    </row>
    <row r="78">
      <c r="A78" s="391"/>
      <c r="B78" s="383"/>
      <c r="C78" s="177"/>
      <c r="D78" s="177"/>
      <c r="E78" s="177"/>
      <c r="F78" s="391"/>
      <c r="G78" s="383"/>
      <c r="H78" s="177"/>
      <c r="I78" s="177"/>
      <c r="J78" s="177"/>
      <c r="K78" s="88"/>
      <c r="L78" s="383"/>
      <c r="M78" s="177"/>
      <c r="N78" s="177"/>
      <c r="O78" s="177"/>
      <c r="P78" s="88"/>
      <c r="Q78" s="151"/>
      <c r="R78" s="177"/>
      <c r="S78" s="177"/>
      <c r="T78" s="177"/>
      <c r="U78" s="391"/>
      <c r="V78" s="383"/>
      <c r="W78" s="177"/>
      <c r="X78" s="177"/>
      <c r="Y78" s="177"/>
      <c r="Z78" s="391"/>
      <c r="AA78" s="383"/>
      <c r="AB78" s="177"/>
      <c r="AC78" s="177"/>
      <c r="AD78" s="177"/>
      <c r="AE78" s="391"/>
      <c r="AF78" s="383"/>
      <c r="AG78" s="177"/>
      <c r="AH78" s="177"/>
      <c r="AI78" s="177"/>
      <c r="AJ78" s="391"/>
      <c r="AK78" s="383"/>
      <c r="AL78" s="177"/>
      <c r="AM78" s="177"/>
      <c r="AN78" s="177"/>
      <c r="AO78" s="192"/>
      <c r="AP78" s="191"/>
      <c r="AQ78" s="184"/>
      <c r="AR78" s="184"/>
      <c r="AS78" s="184"/>
    </row>
    <row r="79">
      <c r="A79" s="391"/>
      <c r="B79" s="383"/>
      <c r="C79" s="177"/>
      <c r="D79" s="177"/>
      <c r="E79" s="177"/>
      <c r="F79" s="391"/>
      <c r="G79" s="383"/>
      <c r="H79" s="177"/>
      <c r="I79" s="177"/>
      <c r="J79" s="177"/>
      <c r="K79" s="88"/>
      <c r="L79" s="383"/>
      <c r="M79" s="177"/>
      <c r="N79" s="177"/>
      <c r="O79" s="177"/>
      <c r="P79" s="88"/>
      <c r="Q79" s="151"/>
      <c r="R79" s="177"/>
      <c r="S79" s="177"/>
      <c r="T79" s="177"/>
      <c r="U79" s="391"/>
      <c r="V79" s="383"/>
      <c r="W79" s="177"/>
      <c r="X79" s="177"/>
      <c r="Y79" s="177"/>
      <c r="Z79" s="391"/>
      <c r="AA79" s="383"/>
      <c r="AB79" s="177"/>
      <c r="AC79" s="177"/>
      <c r="AD79" s="177"/>
      <c r="AE79" s="391"/>
      <c r="AF79" s="383"/>
      <c r="AG79" s="177"/>
      <c r="AH79" s="177"/>
      <c r="AI79" s="177"/>
      <c r="AJ79" s="391"/>
      <c r="AK79" s="383"/>
      <c r="AL79" s="177"/>
      <c r="AM79" s="177"/>
      <c r="AN79" s="177"/>
      <c r="AO79" s="192"/>
      <c r="AP79" s="191"/>
      <c r="AQ79" s="184"/>
      <c r="AR79" s="184"/>
      <c r="AS79" s="184"/>
    </row>
    <row r="80">
      <c r="A80" s="391"/>
      <c r="B80" s="383"/>
      <c r="C80" s="177"/>
      <c r="D80" s="177"/>
      <c r="E80" s="177"/>
      <c r="F80" s="391"/>
      <c r="G80" s="383"/>
      <c r="H80" s="177"/>
      <c r="I80" s="177"/>
      <c r="J80" s="177"/>
      <c r="K80" s="88"/>
      <c r="L80" s="383"/>
      <c r="M80" s="177"/>
      <c r="N80" s="177"/>
      <c r="O80" s="177"/>
      <c r="P80" s="88"/>
      <c r="Q80" s="151"/>
      <c r="R80" s="177"/>
      <c r="S80" s="177"/>
      <c r="T80" s="177"/>
      <c r="U80" s="391"/>
      <c r="V80" s="383"/>
      <c r="W80" s="177"/>
      <c r="X80" s="177"/>
      <c r="Y80" s="177"/>
      <c r="Z80" s="391"/>
      <c r="AA80" s="383"/>
      <c r="AB80" s="177"/>
      <c r="AC80" s="177"/>
      <c r="AD80" s="177"/>
      <c r="AE80" s="391"/>
      <c r="AF80" s="383"/>
      <c r="AG80" s="177"/>
      <c r="AH80" s="177"/>
      <c r="AI80" s="177"/>
      <c r="AJ80" s="391"/>
      <c r="AK80" s="383"/>
      <c r="AL80" s="177"/>
      <c r="AM80" s="177"/>
      <c r="AN80" s="177"/>
      <c r="AO80" s="192"/>
      <c r="AP80" s="191"/>
      <c r="AQ80" s="184"/>
      <c r="AR80" s="184"/>
      <c r="AS80" s="184"/>
    </row>
    <row r="81">
      <c r="A81" s="391"/>
      <c r="B81" s="383"/>
      <c r="C81" s="177"/>
      <c r="D81" s="177"/>
      <c r="E81" s="177"/>
      <c r="F81" s="391"/>
      <c r="G81" s="383"/>
      <c r="H81" s="177"/>
      <c r="I81" s="177"/>
      <c r="J81" s="177"/>
      <c r="K81" s="88"/>
      <c r="L81" s="383"/>
      <c r="M81" s="177"/>
      <c r="N81" s="177"/>
      <c r="O81" s="177"/>
      <c r="P81" s="88"/>
      <c r="Q81" s="151"/>
      <c r="R81" s="177"/>
      <c r="S81" s="177"/>
      <c r="T81" s="177"/>
      <c r="U81" s="391"/>
      <c r="V81" s="383"/>
      <c r="W81" s="177"/>
      <c r="X81" s="177"/>
      <c r="Y81" s="177"/>
      <c r="Z81" s="391"/>
      <c r="AA81" s="383"/>
      <c r="AB81" s="177"/>
      <c r="AC81" s="177"/>
      <c r="AD81" s="177"/>
      <c r="AE81" s="391"/>
      <c r="AF81" s="383"/>
      <c r="AG81" s="177"/>
      <c r="AH81" s="177"/>
      <c r="AI81" s="177"/>
      <c r="AJ81" s="391"/>
      <c r="AK81" s="383"/>
      <c r="AL81" s="177"/>
      <c r="AM81" s="177"/>
      <c r="AN81" s="177"/>
      <c r="AO81" s="192"/>
      <c r="AP81" s="191"/>
      <c r="AQ81" s="184"/>
      <c r="AR81" s="184"/>
      <c r="AS81" s="184"/>
    </row>
    <row r="82">
      <c r="A82" s="391"/>
      <c r="B82" s="383"/>
      <c r="C82" s="177"/>
      <c r="D82" s="177"/>
      <c r="E82" s="177"/>
      <c r="F82" s="391"/>
      <c r="G82" s="383"/>
      <c r="H82" s="177"/>
      <c r="I82" s="177"/>
      <c r="J82" s="177"/>
      <c r="K82" s="88"/>
      <c r="L82" s="383"/>
      <c r="M82" s="177"/>
      <c r="N82" s="177"/>
      <c r="O82" s="177"/>
      <c r="P82" s="88"/>
      <c r="Q82" s="151"/>
      <c r="R82" s="177"/>
      <c r="S82" s="177"/>
      <c r="T82" s="177"/>
      <c r="U82" s="391"/>
      <c r="V82" s="383"/>
      <c r="W82" s="177"/>
      <c r="X82" s="177"/>
      <c r="Y82" s="177"/>
      <c r="Z82" s="391"/>
      <c r="AA82" s="383"/>
      <c r="AB82" s="177"/>
      <c r="AC82" s="177"/>
      <c r="AD82" s="177"/>
      <c r="AE82" s="391"/>
      <c r="AF82" s="383"/>
      <c r="AG82" s="177"/>
      <c r="AH82" s="177"/>
      <c r="AI82" s="177"/>
      <c r="AJ82" s="391"/>
      <c r="AK82" s="383"/>
      <c r="AL82" s="177"/>
      <c r="AM82" s="177"/>
      <c r="AN82" s="177"/>
      <c r="AO82" s="192"/>
      <c r="AP82" s="191"/>
      <c r="AQ82" s="184"/>
      <c r="AR82" s="184"/>
      <c r="AS82" s="184"/>
    </row>
    <row r="83">
      <c r="A83" s="391"/>
      <c r="B83" s="383"/>
      <c r="C83" s="177"/>
      <c r="D83" s="177"/>
      <c r="E83" s="177"/>
      <c r="F83" s="391"/>
      <c r="G83" s="383"/>
      <c r="H83" s="177"/>
      <c r="I83" s="177"/>
      <c r="J83" s="177"/>
      <c r="K83" s="88"/>
      <c r="L83" s="383"/>
      <c r="M83" s="177"/>
      <c r="N83" s="177"/>
      <c r="O83" s="177"/>
      <c r="P83" s="88"/>
      <c r="Q83" s="151"/>
      <c r="R83" s="177"/>
      <c r="S83" s="177"/>
      <c r="T83" s="177"/>
      <c r="U83" s="391"/>
      <c r="V83" s="383"/>
      <c r="W83" s="177"/>
      <c r="X83" s="177"/>
      <c r="Y83" s="177"/>
      <c r="Z83" s="391"/>
      <c r="AA83" s="383"/>
      <c r="AB83" s="177"/>
      <c r="AC83" s="177"/>
      <c r="AD83" s="177"/>
      <c r="AE83" s="391"/>
      <c r="AF83" s="383"/>
      <c r="AG83" s="177"/>
      <c r="AH83" s="177"/>
      <c r="AI83" s="177"/>
      <c r="AJ83" s="391"/>
      <c r="AK83" s="383"/>
      <c r="AL83" s="177"/>
      <c r="AM83" s="177"/>
      <c r="AN83" s="177"/>
      <c r="AO83" s="192"/>
      <c r="AP83" s="191"/>
      <c r="AQ83" s="184"/>
      <c r="AR83" s="184"/>
      <c r="AS83" s="184"/>
    </row>
    <row r="84">
      <c r="A84" s="391"/>
      <c r="B84" s="383"/>
      <c r="C84" s="177"/>
      <c r="D84" s="177"/>
      <c r="E84" s="177"/>
      <c r="F84" s="391"/>
      <c r="G84" s="383"/>
      <c r="H84" s="177"/>
      <c r="I84" s="177"/>
      <c r="J84" s="177"/>
      <c r="K84" s="88"/>
      <c r="L84" s="383"/>
      <c r="M84" s="177"/>
      <c r="N84" s="177"/>
      <c r="O84" s="177"/>
      <c r="P84" s="88"/>
      <c r="Q84" s="151"/>
      <c r="R84" s="177"/>
      <c r="S84" s="177"/>
      <c r="T84" s="177"/>
      <c r="U84" s="391"/>
      <c r="V84" s="383"/>
      <c r="W84" s="177"/>
      <c r="X84" s="177"/>
      <c r="Y84" s="177"/>
      <c r="Z84" s="391"/>
      <c r="AA84" s="383"/>
      <c r="AB84" s="177"/>
      <c r="AC84" s="177"/>
      <c r="AD84" s="177"/>
      <c r="AE84" s="391"/>
      <c r="AF84" s="383"/>
      <c r="AG84" s="177"/>
      <c r="AH84" s="177"/>
      <c r="AI84" s="177"/>
      <c r="AJ84" s="391"/>
      <c r="AK84" s="383"/>
      <c r="AL84" s="177"/>
      <c r="AM84" s="177"/>
      <c r="AN84" s="177"/>
      <c r="AO84" s="192"/>
      <c r="AP84" s="191"/>
      <c r="AQ84" s="184"/>
      <c r="AR84" s="184"/>
      <c r="AS84" s="184"/>
    </row>
    <row r="85">
      <c r="A85" s="391"/>
      <c r="B85" s="383"/>
      <c r="C85" s="177"/>
      <c r="D85" s="177"/>
      <c r="E85" s="177"/>
      <c r="F85" s="391"/>
      <c r="G85" s="383"/>
      <c r="H85" s="177"/>
      <c r="I85" s="177"/>
      <c r="J85" s="177"/>
      <c r="K85" s="88"/>
      <c r="L85" s="383"/>
      <c r="M85" s="177"/>
      <c r="N85" s="177"/>
      <c r="O85" s="177"/>
      <c r="P85" s="88"/>
      <c r="Q85" s="151"/>
      <c r="R85" s="177"/>
      <c r="S85" s="177"/>
      <c r="T85" s="177"/>
      <c r="U85" s="391"/>
      <c r="V85" s="383"/>
      <c r="W85" s="177"/>
      <c r="X85" s="177"/>
      <c r="Y85" s="177"/>
      <c r="Z85" s="391"/>
      <c r="AA85" s="383"/>
      <c r="AB85" s="177"/>
      <c r="AC85" s="177"/>
      <c r="AD85" s="177"/>
      <c r="AE85" s="391"/>
      <c r="AF85" s="383"/>
      <c r="AG85" s="177"/>
      <c r="AH85" s="177"/>
      <c r="AI85" s="177"/>
      <c r="AJ85" s="391"/>
      <c r="AK85" s="383"/>
      <c r="AL85" s="177"/>
      <c r="AM85" s="177"/>
      <c r="AN85" s="177"/>
      <c r="AO85" s="192"/>
      <c r="AP85" s="191"/>
      <c r="AQ85" s="184"/>
      <c r="AR85" s="184"/>
      <c r="AS85" s="184"/>
    </row>
    <row r="86">
      <c r="A86" s="391"/>
      <c r="B86" s="383"/>
      <c r="C86" s="177"/>
      <c r="D86" s="177"/>
      <c r="E86" s="177"/>
      <c r="F86" s="391"/>
      <c r="G86" s="383"/>
      <c r="H86" s="177"/>
      <c r="I86" s="177"/>
      <c r="J86" s="177"/>
      <c r="K86" s="88"/>
      <c r="L86" s="383"/>
      <c r="M86" s="177"/>
      <c r="N86" s="177"/>
      <c r="O86" s="177"/>
      <c r="P86" s="88"/>
      <c r="Q86" s="151"/>
      <c r="R86" s="177"/>
      <c r="S86" s="177"/>
      <c r="T86" s="177"/>
      <c r="U86" s="391"/>
      <c r="V86" s="383"/>
      <c r="W86" s="177"/>
      <c r="X86" s="177"/>
      <c r="Y86" s="177"/>
      <c r="Z86" s="391"/>
      <c r="AA86" s="383"/>
      <c r="AB86" s="177"/>
      <c r="AC86" s="177"/>
      <c r="AD86" s="177"/>
      <c r="AE86" s="391"/>
      <c r="AF86" s="383"/>
      <c r="AG86" s="177"/>
      <c r="AH86" s="177"/>
      <c r="AI86" s="177"/>
      <c r="AJ86" s="391"/>
      <c r="AK86" s="383"/>
      <c r="AL86" s="177"/>
      <c r="AM86" s="177"/>
      <c r="AN86" s="177"/>
      <c r="AO86" s="192"/>
      <c r="AP86" s="191"/>
      <c r="AQ86" s="184"/>
      <c r="AR86" s="184"/>
      <c r="AS86" s="184"/>
    </row>
    <row r="87">
      <c r="A87" s="391"/>
      <c r="B87" s="383"/>
      <c r="C87" s="177"/>
      <c r="D87" s="177"/>
      <c r="E87" s="177"/>
      <c r="F87" s="391"/>
      <c r="G87" s="383"/>
      <c r="H87" s="177"/>
      <c r="I87" s="177"/>
      <c r="J87" s="177"/>
      <c r="K87" s="88"/>
      <c r="L87" s="383"/>
      <c r="M87" s="177"/>
      <c r="N87" s="177"/>
      <c r="O87" s="177"/>
      <c r="P87" s="88"/>
      <c r="Q87" s="151"/>
      <c r="R87" s="177"/>
      <c r="S87" s="177"/>
      <c r="T87" s="177"/>
      <c r="U87" s="391"/>
      <c r="V87" s="383"/>
      <c r="W87" s="177"/>
      <c r="X87" s="177"/>
      <c r="Y87" s="177"/>
      <c r="Z87" s="391"/>
      <c r="AA87" s="383"/>
      <c r="AB87" s="177"/>
      <c r="AC87" s="177"/>
      <c r="AD87" s="177"/>
      <c r="AE87" s="391"/>
      <c r="AF87" s="383"/>
      <c r="AG87" s="177"/>
      <c r="AH87" s="177"/>
      <c r="AI87" s="177"/>
      <c r="AJ87" s="391"/>
      <c r="AK87" s="383"/>
      <c r="AL87" s="177"/>
      <c r="AM87" s="177"/>
      <c r="AN87" s="177"/>
      <c r="AO87" s="192"/>
      <c r="AP87" s="191"/>
      <c r="AQ87" s="184"/>
      <c r="AR87" s="184"/>
      <c r="AS87" s="184"/>
    </row>
    <row r="88">
      <c r="A88" s="391"/>
      <c r="B88" s="383"/>
      <c r="C88" s="177"/>
      <c r="D88" s="177"/>
      <c r="E88" s="177"/>
      <c r="F88" s="391"/>
      <c r="G88" s="383"/>
      <c r="H88" s="177"/>
      <c r="I88" s="177"/>
      <c r="J88" s="177"/>
      <c r="K88" s="88"/>
      <c r="L88" s="383"/>
      <c r="M88" s="177"/>
      <c r="N88" s="177"/>
      <c r="O88" s="177"/>
      <c r="P88" s="88"/>
      <c r="Q88" s="151"/>
      <c r="R88" s="177"/>
      <c r="S88" s="177"/>
      <c r="T88" s="177"/>
      <c r="U88" s="391"/>
      <c r="V88" s="383"/>
      <c r="W88" s="177"/>
      <c r="X88" s="177"/>
      <c r="Y88" s="177"/>
      <c r="Z88" s="391"/>
      <c r="AA88" s="383"/>
      <c r="AB88" s="177"/>
      <c r="AC88" s="177"/>
      <c r="AD88" s="177"/>
      <c r="AE88" s="391"/>
      <c r="AF88" s="383"/>
      <c r="AG88" s="177"/>
      <c r="AH88" s="177"/>
      <c r="AI88" s="177"/>
      <c r="AJ88" s="391"/>
      <c r="AK88" s="383"/>
      <c r="AL88" s="177"/>
      <c r="AM88" s="177"/>
      <c r="AN88" s="177"/>
      <c r="AO88" s="192"/>
      <c r="AP88" s="191"/>
      <c r="AQ88" s="184"/>
      <c r="AR88" s="184"/>
      <c r="AS88" s="184"/>
    </row>
    <row r="89">
      <c r="A89" s="391"/>
      <c r="B89" s="383"/>
      <c r="C89" s="177"/>
      <c r="D89" s="177"/>
      <c r="E89" s="177"/>
      <c r="F89" s="391"/>
      <c r="G89" s="383"/>
      <c r="H89" s="177"/>
      <c r="I89" s="177"/>
      <c r="J89" s="177"/>
      <c r="K89" s="88"/>
      <c r="L89" s="383"/>
      <c r="M89" s="177"/>
      <c r="N89" s="177"/>
      <c r="O89" s="177"/>
      <c r="P89" s="88"/>
      <c r="Q89" s="151"/>
      <c r="R89" s="177"/>
      <c r="S89" s="177"/>
      <c r="T89" s="177"/>
      <c r="U89" s="391"/>
      <c r="V89" s="383"/>
      <c r="W89" s="177"/>
      <c r="X89" s="177"/>
      <c r="Y89" s="177"/>
      <c r="Z89" s="391"/>
      <c r="AA89" s="383"/>
      <c r="AB89" s="177"/>
      <c r="AC89" s="177"/>
      <c r="AD89" s="177"/>
      <c r="AE89" s="391"/>
      <c r="AF89" s="383"/>
      <c r="AG89" s="177"/>
      <c r="AH89" s="177"/>
      <c r="AI89" s="177"/>
      <c r="AJ89" s="391"/>
      <c r="AK89" s="383"/>
      <c r="AL89" s="177"/>
      <c r="AM89" s="177"/>
      <c r="AN89" s="177"/>
      <c r="AO89" s="192"/>
      <c r="AP89" s="191"/>
      <c r="AQ89" s="184"/>
      <c r="AR89" s="184"/>
      <c r="AS89" s="184"/>
    </row>
    <row r="90">
      <c r="A90" s="391"/>
      <c r="B90" s="383"/>
      <c r="C90" s="177"/>
      <c r="D90" s="177"/>
      <c r="E90" s="177"/>
      <c r="F90" s="391"/>
      <c r="G90" s="383"/>
      <c r="H90" s="177"/>
      <c r="I90" s="177"/>
      <c r="J90" s="177"/>
      <c r="K90" s="88"/>
      <c r="L90" s="383"/>
      <c r="M90" s="177"/>
      <c r="N90" s="177"/>
      <c r="O90" s="177"/>
      <c r="P90" s="88"/>
      <c r="Q90" s="151"/>
      <c r="R90" s="177"/>
      <c r="S90" s="177"/>
      <c r="T90" s="177"/>
      <c r="U90" s="391"/>
      <c r="V90" s="383"/>
      <c r="W90" s="177"/>
      <c r="X90" s="177"/>
      <c r="Y90" s="177"/>
      <c r="Z90" s="391"/>
      <c r="AA90" s="383"/>
      <c r="AB90" s="177"/>
      <c r="AC90" s="177"/>
      <c r="AD90" s="177"/>
      <c r="AE90" s="391"/>
      <c r="AF90" s="383"/>
      <c r="AG90" s="177"/>
      <c r="AH90" s="177"/>
      <c r="AI90" s="177"/>
      <c r="AJ90" s="391"/>
      <c r="AK90" s="383"/>
      <c r="AL90" s="177"/>
      <c r="AM90" s="177"/>
      <c r="AN90" s="177"/>
      <c r="AO90" s="192"/>
      <c r="AP90" s="191"/>
      <c r="AQ90" s="184"/>
      <c r="AR90" s="184"/>
      <c r="AS90" s="184"/>
    </row>
    <row r="91">
      <c r="A91" s="391"/>
      <c r="B91" s="383"/>
      <c r="C91" s="177"/>
      <c r="D91" s="177"/>
      <c r="E91" s="177"/>
      <c r="F91" s="391"/>
      <c r="G91" s="383"/>
      <c r="H91" s="177"/>
      <c r="I91" s="177"/>
      <c r="J91" s="177"/>
      <c r="K91" s="88"/>
      <c r="L91" s="383"/>
      <c r="M91" s="177"/>
      <c r="N91" s="177"/>
      <c r="O91" s="177"/>
      <c r="P91" s="88"/>
      <c r="Q91" s="151"/>
      <c r="R91" s="177"/>
      <c r="S91" s="177"/>
      <c r="T91" s="177"/>
      <c r="U91" s="391"/>
      <c r="V91" s="383"/>
      <c r="W91" s="177"/>
      <c r="X91" s="177"/>
      <c r="Y91" s="177"/>
      <c r="Z91" s="391"/>
      <c r="AA91" s="383"/>
      <c r="AB91" s="177"/>
      <c r="AC91" s="177"/>
      <c r="AD91" s="177"/>
      <c r="AE91" s="391"/>
      <c r="AF91" s="383"/>
      <c r="AG91" s="177"/>
      <c r="AH91" s="177"/>
      <c r="AI91" s="177"/>
      <c r="AJ91" s="391"/>
      <c r="AK91" s="383"/>
      <c r="AL91" s="177"/>
      <c r="AM91" s="177"/>
      <c r="AN91" s="177"/>
      <c r="AO91" s="192"/>
      <c r="AP91" s="191"/>
      <c r="AQ91" s="184"/>
      <c r="AR91" s="184"/>
      <c r="AS91" s="184"/>
    </row>
    <row r="92">
      <c r="A92" s="391"/>
      <c r="B92" s="383"/>
      <c r="C92" s="177"/>
      <c r="D92" s="177"/>
      <c r="E92" s="177"/>
      <c r="F92" s="391"/>
      <c r="G92" s="383"/>
      <c r="H92" s="177"/>
      <c r="I92" s="177"/>
      <c r="J92" s="177"/>
      <c r="K92" s="88"/>
      <c r="L92" s="383"/>
      <c r="M92" s="177"/>
      <c r="N92" s="177"/>
      <c r="O92" s="177"/>
      <c r="P92" s="88"/>
      <c r="Q92" s="151"/>
      <c r="R92" s="177"/>
      <c r="S92" s="177"/>
      <c r="T92" s="177"/>
      <c r="U92" s="391"/>
      <c r="V92" s="383"/>
      <c r="W92" s="177"/>
      <c r="X92" s="177"/>
      <c r="Y92" s="177"/>
      <c r="Z92" s="391"/>
      <c r="AA92" s="383"/>
      <c r="AB92" s="177"/>
      <c r="AC92" s="177"/>
      <c r="AD92" s="177"/>
      <c r="AE92" s="391"/>
      <c r="AF92" s="383"/>
      <c r="AG92" s="177"/>
      <c r="AH92" s="177"/>
      <c r="AI92" s="177"/>
      <c r="AJ92" s="391"/>
      <c r="AK92" s="383"/>
      <c r="AL92" s="177"/>
      <c r="AM92" s="177"/>
      <c r="AN92" s="177"/>
      <c r="AO92" s="192"/>
      <c r="AP92" s="191"/>
      <c r="AQ92" s="184"/>
      <c r="AR92" s="184"/>
      <c r="AS92" s="184"/>
    </row>
    <row r="93">
      <c r="A93" s="391"/>
      <c r="B93" s="383"/>
      <c r="C93" s="177"/>
      <c r="D93" s="177"/>
      <c r="E93" s="177"/>
      <c r="F93" s="391"/>
      <c r="G93" s="383"/>
      <c r="H93" s="177"/>
      <c r="I93" s="177"/>
      <c r="J93" s="177"/>
      <c r="K93" s="88"/>
      <c r="L93" s="383"/>
      <c r="M93" s="177"/>
      <c r="N93" s="177"/>
      <c r="O93" s="177"/>
      <c r="P93" s="88"/>
      <c r="Q93" s="151"/>
      <c r="R93" s="177"/>
      <c r="S93" s="177"/>
      <c r="T93" s="177"/>
      <c r="U93" s="391"/>
      <c r="V93" s="383"/>
      <c r="W93" s="177"/>
      <c r="X93" s="177"/>
      <c r="Y93" s="177"/>
      <c r="Z93" s="391"/>
      <c r="AA93" s="383"/>
      <c r="AB93" s="177"/>
      <c r="AC93" s="177"/>
      <c r="AD93" s="177"/>
      <c r="AE93" s="391"/>
      <c r="AF93" s="383"/>
      <c r="AG93" s="177"/>
      <c r="AH93" s="177"/>
      <c r="AI93" s="177"/>
      <c r="AJ93" s="391"/>
      <c r="AK93" s="383"/>
      <c r="AL93" s="177"/>
      <c r="AM93" s="177"/>
      <c r="AN93" s="177"/>
      <c r="AO93" s="192"/>
      <c r="AP93" s="191"/>
      <c r="AQ93" s="184"/>
      <c r="AR93" s="184"/>
      <c r="AS93" s="184"/>
    </row>
    <row r="94">
      <c r="A94" s="391"/>
      <c r="B94" s="383"/>
      <c r="C94" s="177"/>
      <c r="D94" s="177"/>
      <c r="E94" s="177"/>
      <c r="F94" s="391"/>
      <c r="G94" s="383"/>
      <c r="H94" s="177"/>
      <c r="I94" s="177"/>
      <c r="J94" s="177"/>
      <c r="K94" s="88"/>
      <c r="L94" s="383"/>
      <c r="M94" s="177"/>
      <c r="N94" s="177"/>
      <c r="O94" s="177"/>
      <c r="P94" s="88"/>
      <c r="Q94" s="151"/>
      <c r="R94" s="177"/>
      <c r="S94" s="177"/>
      <c r="T94" s="177"/>
      <c r="U94" s="391"/>
      <c r="V94" s="383"/>
      <c r="W94" s="177"/>
      <c r="X94" s="177"/>
      <c r="Y94" s="177"/>
      <c r="Z94" s="391"/>
      <c r="AA94" s="383"/>
      <c r="AB94" s="177"/>
      <c r="AC94" s="177"/>
      <c r="AD94" s="177"/>
      <c r="AE94" s="391"/>
      <c r="AF94" s="383"/>
      <c r="AG94" s="177"/>
      <c r="AH94" s="177"/>
      <c r="AI94" s="177"/>
      <c r="AJ94" s="391"/>
      <c r="AK94" s="383"/>
      <c r="AL94" s="177"/>
      <c r="AM94" s="177"/>
      <c r="AN94" s="177"/>
      <c r="AO94" s="192"/>
      <c r="AP94" s="191"/>
      <c r="AQ94" s="184"/>
      <c r="AR94" s="184"/>
      <c r="AS94" s="184"/>
    </row>
    <row r="95">
      <c r="A95" s="391"/>
      <c r="B95" s="383"/>
      <c r="C95" s="177"/>
      <c r="D95" s="177"/>
      <c r="E95" s="177"/>
      <c r="F95" s="391"/>
      <c r="G95" s="383"/>
      <c r="H95" s="177"/>
      <c r="I95" s="177"/>
      <c r="J95" s="177"/>
      <c r="K95" s="88"/>
      <c r="L95" s="383"/>
      <c r="M95" s="177"/>
      <c r="N95" s="177"/>
      <c r="O95" s="177"/>
      <c r="P95" s="88"/>
      <c r="Q95" s="151"/>
      <c r="R95" s="177"/>
      <c r="S95" s="177"/>
      <c r="T95" s="177"/>
      <c r="U95" s="391"/>
      <c r="V95" s="383"/>
      <c r="W95" s="177"/>
      <c r="X95" s="177"/>
      <c r="Y95" s="177"/>
      <c r="Z95" s="391"/>
      <c r="AA95" s="383"/>
      <c r="AB95" s="177"/>
      <c r="AC95" s="177"/>
      <c r="AD95" s="177"/>
      <c r="AE95" s="391"/>
      <c r="AF95" s="383"/>
      <c r="AG95" s="177"/>
      <c r="AH95" s="177"/>
      <c r="AI95" s="177"/>
      <c r="AJ95" s="391"/>
      <c r="AK95" s="383"/>
      <c r="AL95" s="177"/>
      <c r="AM95" s="177"/>
      <c r="AN95" s="177"/>
      <c r="AO95" s="192"/>
      <c r="AP95" s="191"/>
      <c r="AQ95" s="184"/>
      <c r="AR95" s="184"/>
      <c r="AS95" s="184"/>
    </row>
    <row r="96">
      <c r="A96" s="391"/>
      <c r="B96" s="383"/>
      <c r="C96" s="177"/>
      <c r="D96" s="177"/>
      <c r="E96" s="177"/>
      <c r="F96" s="391"/>
      <c r="G96" s="383"/>
      <c r="H96" s="177"/>
      <c r="I96" s="177"/>
      <c r="J96" s="177"/>
      <c r="K96" s="88"/>
      <c r="L96" s="383"/>
      <c r="M96" s="177"/>
      <c r="N96" s="177"/>
      <c r="O96" s="177"/>
      <c r="P96" s="88"/>
      <c r="Q96" s="151"/>
      <c r="R96" s="177"/>
      <c r="S96" s="177"/>
      <c r="T96" s="177"/>
      <c r="U96" s="391"/>
      <c r="V96" s="383"/>
      <c r="W96" s="177"/>
      <c r="X96" s="177"/>
      <c r="Y96" s="177"/>
      <c r="Z96" s="391"/>
      <c r="AA96" s="383"/>
      <c r="AB96" s="177"/>
      <c r="AC96" s="177"/>
      <c r="AD96" s="177"/>
      <c r="AE96" s="391"/>
      <c r="AF96" s="383"/>
      <c r="AG96" s="177"/>
      <c r="AH96" s="177"/>
      <c r="AI96" s="177"/>
      <c r="AJ96" s="391"/>
      <c r="AK96" s="383"/>
      <c r="AL96" s="177"/>
      <c r="AM96" s="177"/>
      <c r="AN96" s="177"/>
      <c r="AO96" s="192"/>
      <c r="AP96" s="191"/>
      <c r="AQ96" s="184"/>
      <c r="AR96" s="184"/>
      <c r="AS96" s="184"/>
    </row>
    <row r="97">
      <c r="A97" s="391"/>
      <c r="B97" s="383"/>
      <c r="C97" s="177"/>
      <c r="D97" s="177"/>
      <c r="E97" s="177"/>
      <c r="F97" s="391"/>
      <c r="G97" s="383"/>
      <c r="H97" s="177"/>
      <c r="I97" s="177"/>
      <c r="J97" s="177"/>
      <c r="K97" s="88"/>
      <c r="L97" s="383"/>
      <c r="M97" s="177"/>
      <c r="N97" s="177"/>
      <c r="O97" s="177"/>
      <c r="P97" s="88"/>
      <c r="Q97" s="151"/>
      <c r="R97" s="177"/>
      <c r="S97" s="177"/>
      <c r="T97" s="177"/>
      <c r="U97" s="391"/>
      <c r="V97" s="383"/>
      <c r="W97" s="177"/>
      <c r="X97" s="177"/>
      <c r="Y97" s="177"/>
      <c r="Z97" s="391"/>
      <c r="AA97" s="383"/>
      <c r="AB97" s="177"/>
      <c r="AC97" s="177"/>
      <c r="AD97" s="177"/>
      <c r="AE97" s="391"/>
      <c r="AF97" s="383"/>
      <c r="AG97" s="177"/>
      <c r="AH97" s="177"/>
      <c r="AI97" s="177"/>
      <c r="AJ97" s="391"/>
      <c r="AK97" s="383"/>
      <c r="AL97" s="177"/>
      <c r="AM97" s="177"/>
      <c r="AN97" s="177"/>
      <c r="AO97" s="192"/>
      <c r="AP97" s="191"/>
      <c r="AQ97" s="184"/>
      <c r="AR97" s="184"/>
      <c r="AS97" s="184"/>
    </row>
    <row r="98">
      <c r="A98" s="391"/>
      <c r="B98" s="383"/>
      <c r="C98" s="177"/>
      <c r="D98" s="177"/>
      <c r="E98" s="177"/>
      <c r="F98" s="391"/>
      <c r="G98" s="383"/>
      <c r="H98" s="177"/>
      <c r="I98" s="177"/>
      <c r="J98" s="177"/>
      <c r="K98" s="88"/>
      <c r="L98" s="383"/>
      <c r="M98" s="177"/>
      <c r="N98" s="177"/>
      <c r="O98" s="177"/>
      <c r="P98" s="88"/>
      <c r="Q98" s="151"/>
      <c r="R98" s="177"/>
      <c r="S98" s="177"/>
      <c r="T98" s="177"/>
      <c r="U98" s="391"/>
      <c r="V98" s="383"/>
      <c r="W98" s="177"/>
      <c r="X98" s="177"/>
      <c r="Y98" s="177"/>
      <c r="Z98" s="391"/>
      <c r="AA98" s="383"/>
      <c r="AB98" s="177"/>
      <c r="AC98" s="177"/>
      <c r="AD98" s="177"/>
      <c r="AE98" s="391"/>
      <c r="AF98" s="383"/>
      <c r="AG98" s="177"/>
      <c r="AH98" s="177"/>
      <c r="AI98" s="177"/>
      <c r="AJ98" s="391"/>
      <c r="AK98" s="383"/>
      <c r="AL98" s="177"/>
      <c r="AM98" s="177"/>
      <c r="AN98" s="177"/>
      <c r="AO98" s="192"/>
      <c r="AP98" s="191"/>
      <c r="AQ98" s="184"/>
      <c r="AR98" s="184"/>
      <c r="AS98" s="184"/>
    </row>
    <row r="99">
      <c r="A99" s="391"/>
      <c r="B99" s="383"/>
      <c r="C99" s="177"/>
      <c r="D99" s="177"/>
      <c r="E99" s="177"/>
      <c r="F99" s="391"/>
      <c r="G99" s="383"/>
      <c r="H99" s="177"/>
      <c r="I99" s="177"/>
      <c r="J99" s="177"/>
      <c r="K99" s="88"/>
      <c r="L99" s="383"/>
      <c r="M99" s="177"/>
      <c r="N99" s="177"/>
      <c r="O99" s="177"/>
      <c r="P99" s="88"/>
      <c r="Q99" s="151"/>
      <c r="R99" s="177"/>
      <c r="S99" s="177"/>
      <c r="T99" s="177"/>
      <c r="U99" s="391"/>
      <c r="V99" s="383"/>
      <c r="W99" s="177"/>
      <c r="X99" s="177"/>
      <c r="Y99" s="177"/>
      <c r="Z99" s="391"/>
      <c r="AA99" s="383"/>
      <c r="AB99" s="177"/>
      <c r="AC99" s="177"/>
      <c r="AD99" s="177"/>
      <c r="AE99" s="391"/>
      <c r="AF99" s="383"/>
      <c r="AG99" s="177"/>
      <c r="AH99" s="177"/>
      <c r="AI99" s="177"/>
      <c r="AJ99" s="391"/>
      <c r="AK99" s="383"/>
      <c r="AL99" s="177"/>
      <c r="AM99" s="177"/>
      <c r="AN99" s="177"/>
      <c r="AO99" s="192"/>
      <c r="AP99" s="191"/>
      <c r="AQ99" s="184"/>
      <c r="AR99" s="184"/>
      <c r="AS99" s="184"/>
    </row>
    <row r="100">
      <c r="A100" s="391"/>
      <c r="B100" s="383"/>
      <c r="C100" s="177"/>
      <c r="D100" s="177"/>
      <c r="E100" s="177"/>
      <c r="F100" s="391"/>
      <c r="G100" s="383"/>
      <c r="H100" s="177"/>
      <c r="I100" s="177"/>
      <c r="J100" s="177"/>
      <c r="K100" s="88"/>
      <c r="L100" s="383"/>
      <c r="M100" s="177"/>
      <c r="N100" s="177"/>
      <c r="O100" s="177"/>
      <c r="P100" s="88"/>
      <c r="Q100" s="151"/>
      <c r="R100" s="177"/>
      <c r="S100" s="177"/>
      <c r="T100" s="177"/>
      <c r="U100" s="391"/>
      <c r="V100" s="383"/>
      <c r="W100" s="177"/>
      <c r="X100" s="177"/>
      <c r="Y100" s="177"/>
      <c r="Z100" s="391"/>
      <c r="AA100" s="383"/>
      <c r="AB100" s="177"/>
      <c r="AC100" s="177"/>
      <c r="AD100" s="177"/>
      <c r="AE100" s="391"/>
      <c r="AF100" s="383"/>
      <c r="AG100" s="177"/>
      <c r="AH100" s="177"/>
      <c r="AI100" s="177"/>
      <c r="AJ100" s="391"/>
      <c r="AK100" s="383"/>
      <c r="AL100" s="177"/>
      <c r="AM100" s="177"/>
      <c r="AN100" s="177"/>
      <c r="AO100" s="192"/>
      <c r="AP100" s="191"/>
      <c r="AQ100" s="184"/>
      <c r="AR100" s="184"/>
      <c r="AS100" s="184"/>
    </row>
    <row r="101">
      <c r="A101" s="391"/>
      <c r="B101" s="383"/>
      <c r="C101" s="177"/>
      <c r="D101" s="177"/>
      <c r="E101" s="177"/>
      <c r="F101" s="391"/>
      <c r="G101" s="383"/>
      <c r="H101" s="177"/>
      <c r="I101" s="177"/>
      <c r="J101" s="177"/>
      <c r="K101" s="88"/>
      <c r="L101" s="383"/>
      <c r="M101" s="177"/>
      <c r="N101" s="177"/>
      <c r="O101" s="177"/>
      <c r="P101" s="88"/>
      <c r="Q101" s="151"/>
      <c r="R101" s="177"/>
      <c r="S101" s="177"/>
      <c r="T101" s="177"/>
      <c r="U101" s="391"/>
      <c r="V101" s="383"/>
      <c r="W101" s="177"/>
      <c r="X101" s="177"/>
      <c r="Y101" s="177"/>
      <c r="Z101" s="391"/>
      <c r="AA101" s="383"/>
      <c r="AB101" s="177"/>
      <c r="AC101" s="177"/>
      <c r="AD101" s="177"/>
      <c r="AE101" s="391"/>
      <c r="AF101" s="383"/>
      <c r="AG101" s="177"/>
      <c r="AH101" s="177"/>
      <c r="AI101" s="177"/>
      <c r="AJ101" s="391"/>
      <c r="AK101" s="383"/>
      <c r="AL101" s="177"/>
      <c r="AM101" s="177"/>
      <c r="AN101" s="177"/>
      <c r="AO101" s="192"/>
      <c r="AP101" s="191"/>
      <c r="AQ101" s="184"/>
      <c r="AR101" s="184"/>
      <c r="AS101" s="184"/>
    </row>
    <row r="102">
      <c r="A102" s="391"/>
      <c r="B102" s="383"/>
      <c r="C102" s="177"/>
      <c r="D102" s="177"/>
      <c r="E102" s="177"/>
      <c r="F102" s="391"/>
      <c r="G102" s="383"/>
      <c r="H102" s="177"/>
      <c r="I102" s="177"/>
      <c r="J102" s="177"/>
      <c r="K102" s="88"/>
      <c r="L102" s="383"/>
      <c r="M102" s="177"/>
      <c r="N102" s="177"/>
      <c r="O102" s="177"/>
      <c r="P102" s="88"/>
      <c r="Q102" s="151"/>
      <c r="R102" s="177"/>
      <c r="S102" s="177"/>
      <c r="T102" s="177"/>
      <c r="U102" s="391"/>
      <c r="V102" s="383"/>
      <c r="W102" s="177"/>
      <c r="X102" s="177"/>
      <c r="Y102" s="177"/>
      <c r="Z102" s="391"/>
      <c r="AA102" s="383"/>
      <c r="AB102" s="177"/>
      <c r="AC102" s="177"/>
      <c r="AD102" s="177"/>
      <c r="AE102" s="391"/>
      <c r="AF102" s="383"/>
      <c r="AG102" s="177"/>
      <c r="AH102" s="177"/>
      <c r="AI102" s="177"/>
      <c r="AJ102" s="391"/>
      <c r="AK102" s="383"/>
      <c r="AL102" s="177"/>
      <c r="AM102" s="177"/>
      <c r="AN102" s="177"/>
      <c r="AO102" s="192"/>
      <c r="AP102" s="191"/>
      <c r="AQ102" s="184"/>
      <c r="AR102" s="184"/>
      <c r="AS102" s="184"/>
    </row>
    <row r="103">
      <c r="A103" s="391"/>
      <c r="B103" s="383"/>
      <c r="C103" s="177"/>
      <c r="D103" s="177"/>
      <c r="E103" s="177"/>
      <c r="F103" s="391"/>
      <c r="G103" s="383"/>
      <c r="H103" s="177"/>
      <c r="I103" s="177"/>
      <c r="J103" s="177"/>
      <c r="K103" s="88"/>
      <c r="L103" s="383"/>
      <c r="M103" s="177"/>
      <c r="N103" s="177"/>
      <c r="O103" s="177"/>
      <c r="P103" s="88"/>
      <c r="Q103" s="151"/>
      <c r="R103" s="177"/>
      <c r="S103" s="177"/>
      <c r="T103" s="177"/>
      <c r="U103" s="391"/>
      <c r="V103" s="383"/>
      <c r="W103" s="177"/>
      <c r="X103" s="177"/>
      <c r="Y103" s="177"/>
      <c r="Z103" s="391"/>
      <c r="AA103" s="383"/>
      <c r="AB103" s="177"/>
      <c r="AC103" s="177"/>
      <c r="AD103" s="177"/>
      <c r="AE103" s="391"/>
      <c r="AF103" s="383"/>
      <c r="AG103" s="177"/>
      <c r="AH103" s="177"/>
      <c r="AI103" s="177"/>
      <c r="AJ103" s="391"/>
      <c r="AK103" s="383"/>
      <c r="AL103" s="177"/>
      <c r="AM103" s="177"/>
      <c r="AN103" s="177"/>
      <c r="AO103" s="192"/>
      <c r="AP103" s="191"/>
      <c r="AQ103" s="184"/>
      <c r="AR103" s="184"/>
      <c r="AS103" s="184"/>
    </row>
    <row r="104">
      <c r="A104" s="391"/>
      <c r="B104" s="383"/>
      <c r="C104" s="177"/>
      <c r="D104" s="177"/>
      <c r="E104" s="177"/>
      <c r="F104" s="391"/>
      <c r="G104" s="383"/>
      <c r="H104" s="177"/>
      <c r="I104" s="177"/>
      <c r="J104" s="177"/>
      <c r="K104" s="88"/>
      <c r="L104" s="383"/>
      <c r="M104" s="177"/>
      <c r="N104" s="177"/>
      <c r="O104" s="177"/>
      <c r="P104" s="88"/>
      <c r="Q104" s="151"/>
      <c r="R104" s="177"/>
      <c r="S104" s="177"/>
      <c r="T104" s="177"/>
      <c r="U104" s="391"/>
      <c r="V104" s="383"/>
      <c r="W104" s="177"/>
      <c r="X104" s="177"/>
      <c r="Y104" s="177"/>
      <c r="Z104" s="391"/>
      <c r="AA104" s="383"/>
      <c r="AB104" s="177"/>
      <c r="AC104" s="177"/>
      <c r="AD104" s="177"/>
      <c r="AE104" s="391"/>
      <c r="AF104" s="383"/>
      <c r="AG104" s="177"/>
      <c r="AH104" s="177"/>
      <c r="AI104" s="177"/>
      <c r="AJ104" s="391"/>
      <c r="AK104" s="383"/>
      <c r="AL104" s="177"/>
      <c r="AM104" s="177"/>
      <c r="AN104" s="177"/>
      <c r="AO104" s="192"/>
      <c r="AP104" s="191"/>
      <c r="AQ104" s="184"/>
      <c r="AR104" s="184"/>
      <c r="AS104" s="184"/>
    </row>
    <row r="105">
      <c r="A105" s="391"/>
      <c r="B105" s="383"/>
      <c r="C105" s="177"/>
      <c r="D105" s="177"/>
      <c r="E105" s="177"/>
      <c r="F105" s="391"/>
      <c r="G105" s="383"/>
      <c r="H105" s="177"/>
      <c r="I105" s="177"/>
      <c r="J105" s="177"/>
      <c r="K105" s="88"/>
      <c r="L105" s="383"/>
      <c r="M105" s="177"/>
      <c r="N105" s="177"/>
      <c r="O105" s="177"/>
      <c r="P105" s="88"/>
      <c r="Q105" s="151"/>
      <c r="R105" s="177"/>
      <c r="S105" s="177"/>
      <c r="T105" s="177"/>
      <c r="U105" s="391"/>
      <c r="V105" s="383"/>
      <c r="W105" s="177"/>
      <c r="X105" s="177"/>
      <c r="Y105" s="177"/>
      <c r="Z105" s="391"/>
      <c r="AA105" s="383"/>
      <c r="AB105" s="177"/>
      <c r="AC105" s="177"/>
      <c r="AD105" s="177"/>
      <c r="AE105" s="391"/>
      <c r="AF105" s="383"/>
      <c r="AG105" s="177"/>
      <c r="AH105" s="177"/>
      <c r="AI105" s="177"/>
      <c r="AJ105" s="391"/>
      <c r="AK105" s="383"/>
      <c r="AL105" s="177"/>
      <c r="AM105" s="177"/>
      <c r="AN105" s="177"/>
      <c r="AO105" s="192"/>
      <c r="AP105" s="191"/>
      <c r="AQ105" s="184"/>
      <c r="AR105" s="184"/>
      <c r="AS105" s="184"/>
    </row>
    <row r="106">
      <c r="A106" s="391"/>
      <c r="B106" s="383"/>
      <c r="C106" s="177"/>
      <c r="D106" s="177"/>
      <c r="E106" s="177"/>
      <c r="F106" s="391"/>
      <c r="G106" s="383"/>
      <c r="H106" s="177"/>
      <c r="I106" s="177"/>
      <c r="J106" s="177"/>
      <c r="K106" s="88"/>
      <c r="L106" s="383"/>
      <c r="M106" s="177"/>
      <c r="N106" s="177"/>
      <c r="O106" s="177"/>
      <c r="P106" s="88"/>
      <c r="Q106" s="151"/>
      <c r="R106" s="177"/>
      <c r="S106" s="177"/>
      <c r="T106" s="177"/>
      <c r="U106" s="391"/>
      <c r="V106" s="383"/>
      <c r="W106" s="177"/>
      <c r="X106" s="177"/>
      <c r="Y106" s="177"/>
      <c r="Z106" s="391"/>
      <c r="AA106" s="383"/>
      <c r="AB106" s="177"/>
      <c r="AC106" s="177"/>
      <c r="AD106" s="177"/>
      <c r="AE106" s="391"/>
      <c r="AF106" s="383"/>
      <c r="AG106" s="177"/>
      <c r="AH106" s="177"/>
      <c r="AI106" s="177"/>
      <c r="AJ106" s="391"/>
      <c r="AK106" s="383"/>
      <c r="AL106" s="177"/>
      <c r="AM106" s="177"/>
      <c r="AN106" s="177"/>
      <c r="AO106" s="192"/>
      <c r="AP106" s="191"/>
      <c r="AQ106" s="184"/>
      <c r="AR106" s="184"/>
      <c r="AS106" s="184"/>
    </row>
    <row r="107">
      <c r="A107" s="391"/>
      <c r="B107" s="383"/>
      <c r="C107" s="177"/>
      <c r="D107" s="177"/>
      <c r="E107" s="177"/>
      <c r="F107" s="391"/>
      <c r="G107" s="383"/>
      <c r="H107" s="177"/>
      <c r="I107" s="177"/>
      <c r="J107" s="177"/>
      <c r="K107" s="88"/>
      <c r="L107" s="383"/>
      <c r="M107" s="177"/>
      <c r="N107" s="177"/>
      <c r="O107" s="177"/>
      <c r="P107" s="88"/>
      <c r="Q107" s="151"/>
      <c r="R107" s="177"/>
      <c r="S107" s="177"/>
      <c r="T107" s="177"/>
      <c r="U107" s="391"/>
      <c r="V107" s="383"/>
      <c r="W107" s="177"/>
      <c r="X107" s="177"/>
      <c r="Y107" s="177"/>
      <c r="Z107" s="391"/>
      <c r="AA107" s="383"/>
      <c r="AB107" s="177"/>
      <c r="AC107" s="177"/>
      <c r="AD107" s="177"/>
      <c r="AE107" s="391"/>
      <c r="AF107" s="383"/>
      <c r="AG107" s="177"/>
      <c r="AH107" s="177"/>
      <c r="AI107" s="177"/>
      <c r="AJ107" s="391"/>
      <c r="AK107" s="383"/>
      <c r="AL107" s="177"/>
      <c r="AM107" s="177"/>
      <c r="AN107" s="177"/>
      <c r="AO107" s="192"/>
      <c r="AP107" s="191"/>
      <c r="AQ107" s="184"/>
      <c r="AR107" s="184"/>
      <c r="AS107" s="184"/>
    </row>
    <row r="108">
      <c r="A108" s="391"/>
      <c r="B108" s="383"/>
      <c r="C108" s="177"/>
      <c r="D108" s="177"/>
      <c r="E108" s="177"/>
      <c r="F108" s="391"/>
      <c r="G108" s="383"/>
      <c r="H108" s="177"/>
      <c r="I108" s="177"/>
      <c r="J108" s="177"/>
      <c r="K108" s="88"/>
      <c r="L108" s="383"/>
      <c r="M108" s="177"/>
      <c r="N108" s="177"/>
      <c r="O108" s="177"/>
      <c r="P108" s="88"/>
      <c r="Q108" s="151"/>
      <c r="R108" s="177"/>
      <c r="S108" s="177"/>
      <c r="T108" s="177"/>
      <c r="U108" s="391"/>
      <c r="V108" s="383"/>
      <c r="W108" s="177"/>
      <c r="X108" s="177"/>
      <c r="Y108" s="177"/>
      <c r="Z108" s="391"/>
      <c r="AA108" s="383"/>
      <c r="AB108" s="177"/>
      <c r="AC108" s="177"/>
      <c r="AD108" s="177"/>
      <c r="AE108" s="391"/>
      <c r="AF108" s="383"/>
      <c r="AG108" s="177"/>
      <c r="AH108" s="177"/>
      <c r="AI108" s="177"/>
      <c r="AJ108" s="391"/>
      <c r="AK108" s="383"/>
      <c r="AL108" s="177"/>
      <c r="AM108" s="177"/>
      <c r="AN108" s="177"/>
      <c r="AO108" s="192"/>
      <c r="AP108" s="191"/>
      <c r="AQ108" s="184"/>
      <c r="AR108" s="184"/>
      <c r="AS108" s="184"/>
    </row>
    <row r="109">
      <c r="A109" s="391"/>
      <c r="B109" s="383"/>
      <c r="C109" s="177"/>
      <c r="D109" s="177"/>
      <c r="E109" s="177"/>
      <c r="F109" s="391"/>
      <c r="G109" s="383"/>
      <c r="H109" s="177"/>
      <c r="I109" s="177"/>
      <c r="J109" s="177"/>
      <c r="K109" s="88"/>
      <c r="L109" s="383"/>
      <c r="M109" s="177"/>
      <c r="N109" s="177"/>
      <c r="O109" s="177"/>
      <c r="P109" s="88"/>
      <c r="Q109" s="151"/>
      <c r="R109" s="177"/>
      <c r="S109" s="177"/>
      <c r="T109" s="177"/>
      <c r="U109" s="391"/>
      <c r="V109" s="383"/>
      <c r="W109" s="177"/>
      <c r="X109" s="177"/>
      <c r="Y109" s="177"/>
      <c r="Z109" s="391"/>
      <c r="AA109" s="383"/>
      <c r="AB109" s="177"/>
      <c r="AC109" s="177"/>
      <c r="AD109" s="177"/>
      <c r="AE109" s="391"/>
      <c r="AF109" s="383"/>
      <c r="AG109" s="177"/>
      <c r="AH109" s="177"/>
      <c r="AI109" s="177"/>
      <c r="AJ109" s="391"/>
      <c r="AK109" s="383"/>
      <c r="AL109" s="177"/>
      <c r="AM109" s="177"/>
      <c r="AN109" s="177"/>
      <c r="AO109" s="192"/>
      <c r="AP109" s="191"/>
      <c r="AQ109" s="184"/>
      <c r="AR109" s="184"/>
      <c r="AS109" s="184"/>
    </row>
    <row r="110">
      <c r="A110" s="391"/>
      <c r="B110" s="383"/>
      <c r="C110" s="177"/>
      <c r="D110" s="177"/>
      <c r="E110" s="177"/>
      <c r="F110" s="391"/>
      <c r="G110" s="383"/>
      <c r="H110" s="177"/>
      <c r="I110" s="177"/>
      <c r="J110" s="177"/>
      <c r="K110" s="88"/>
      <c r="L110" s="383"/>
      <c r="M110" s="177"/>
      <c r="N110" s="177"/>
      <c r="O110" s="177"/>
      <c r="P110" s="88"/>
      <c r="Q110" s="151"/>
      <c r="R110" s="177"/>
      <c r="S110" s="177"/>
      <c r="T110" s="177"/>
      <c r="U110" s="391"/>
      <c r="V110" s="383"/>
      <c r="W110" s="177"/>
      <c r="X110" s="177"/>
      <c r="Y110" s="177"/>
      <c r="Z110" s="391"/>
      <c r="AA110" s="383"/>
      <c r="AB110" s="177"/>
      <c r="AC110" s="177"/>
      <c r="AD110" s="177"/>
      <c r="AE110" s="391"/>
      <c r="AF110" s="383"/>
      <c r="AG110" s="177"/>
      <c r="AH110" s="177"/>
      <c r="AI110" s="177"/>
      <c r="AJ110" s="391"/>
      <c r="AK110" s="383"/>
      <c r="AL110" s="177"/>
      <c r="AM110" s="177"/>
      <c r="AN110" s="177"/>
      <c r="AO110" s="192"/>
      <c r="AP110" s="191"/>
      <c r="AQ110" s="184"/>
      <c r="AR110" s="184"/>
      <c r="AS110" s="184"/>
    </row>
    <row r="111">
      <c r="A111" s="391"/>
      <c r="B111" s="383"/>
      <c r="C111" s="177"/>
      <c r="D111" s="177"/>
      <c r="E111" s="177"/>
      <c r="F111" s="391"/>
      <c r="G111" s="383"/>
      <c r="H111" s="177"/>
      <c r="I111" s="177"/>
      <c r="J111" s="177"/>
      <c r="K111" s="88"/>
      <c r="L111" s="383"/>
      <c r="M111" s="177"/>
      <c r="N111" s="177"/>
      <c r="O111" s="177"/>
      <c r="P111" s="88"/>
      <c r="Q111" s="151"/>
      <c r="R111" s="177"/>
      <c r="S111" s="177"/>
      <c r="T111" s="177"/>
      <c r="U111" s="391"/>
      <c r="V111" s="383"/>
      <c r="W111" s="177"/>
      <c r="X111" s="177"/>
      <c r="Y111" s="177"/>
      <c r="Z111" s="391"/>
      <c r="AA111" s="383"/>
      <c r="AB111" s="177"/>
      <c r="AC111" s="177"/>
      <c r="AD111" s="177"/>
      <c r="AE111" s="391"/>
      <c r="AF111" s="383"/>
      <c r="AG111" s="177"/>
      <c r="AH111" s="177"/>
      <c r="AI111" s="177"/>
      <c r="AJ111" s="391"/>
      <c r="AK111" s="383"/>
      <c r="AL111" s="177"/>
      <c r="AM111" s="177"/>
      <c r="AN111" s="177"/>
      <c r="AO111" s="192"/>
      <c r="AP111" s="191"/>
      <c r="AQ111" s="184"/>
      <c r="AR111" s="184"/>
      <c r="AS111" s="184"/>
    </row>
    <row r="112">
      <c r="A112" s="391"/>
      <c r="B112" s="383"/>
      <c r="C112" s="177"/>
      <c r="D112" s="177"/>
      <c r="E112" s="177"/>
      <c r="F112" s="391"/>
      <c r="G112" s="383"/>
      <c r="H112" s="177"/>
      <c r="I112" s="177"/>
      <c r="J112" s="177"/>
      <c r="K112" s="88"/>
      <c r="L112" s="383"/>
      <c r="M112" s="177"/>
      <c r="N112" s="177"/>
      <c r="O112" s="177"/>
      <c r="P112" s="88"/>
      <c r="Q112" s="151"/>
      <c r="R112" s="177"/>
      <c r="S112" s="177"/>
      <c r="T112" s="177"/>
      <c r="U112" s="391"/>
      <c r="V112" s="383"/>
      <c r="W112" s="177"/>
      <c r="X112" s="177"/>
      <c r="Y112" s="177"/>
      <c r="Z112" s="391"/>
      <c r="AA112" s="383"/>
      <c r="AB112" s="177"/>
      <c r="AC112" s="177"/>
      <c r="AD112" s="177"/>
      <c r="AE112" s="391"/>
      <c r="AF112" s="383"/>
      <c r="AG112" s="177"/>
      <c r="AH112" s="177"/>
      <c r="AI112" s="177"/>
      <c r="AJ112" s="391"/>
      <c r="AK112" s="383"/>
      <c r="AL112" s="177"/>
      <c r="AM112" s="177"/>
      <c r="AN112" s="177"/>
      <c r="AO112" s="192"/>
      <c r="AP112" s="191"/>
      <c r="AQ112" s="184"/>
      <c r="AR112" s="184"/>
      <c r="AS112" s="184"/>
    </row>
    <row r="113">
      <c r="A113" s="391"/>
      <c r="B113" s="383"/>
      <c r="C113" s="177"/>
      <c r="D113" s="177"/>
      <c r="E113" s="177"/>
      <c r="F113" s="391"/>
      <c r="G113" s="383"/>
      <c r="H113" s="177"/>
      <c r="I113" s="177"/>
      <c r="J113" s="177"/>
      <c r="K113" s="88"/>
      <c r="L113" s="383"/>
      <c r="M113" s="177"/>
      <c r="N113" s="177"/>
      <c r="O113" s="177"/>
      <c r="P113" s="88"/>
      <c r="Q113" s="151"/>
      <c r="R113" s="177"/>
      <c r="S113" s="177"/>
      <c r="T113" s="177"/>
      <c r="U113" s="391"/>
      <c r="V113" s="383"/>
      <c r="W113" s="177"/>
      <c r="X113" s="177"/>
      <c r="Y113" s="177"/>
      <c r="Z113" s="391"/>
      <c r="AA113" s="383"/>
      <c r="AB113" s="177"/>
      <c r="AC113" s="177"/>
      <c r="AD113" s="177"/>
      <c r="AE113" s="391"/>
      <c r="AF113" s="383"/>
      <c r="AG113" s="177"/>
      <c r="AH113" s="177"/>
      <c r="AI113" s="177"/>
      <c r="AJ113" s="391"/>
      <c r="AK113" s="383"/>
      <c r="AL113" s="177"/>
      <c r="AM113" s="177"/>
      <c r="AN113" s="177"/>
      <c r="AO113" s="192"/>
      <c r="AP113" s="191"/>
      <c r="AQ113" s="184"/>
      <c r="AR113" s="184"/>
      <c r="AS113" s="184"/>
    </row>
    <row r="114">
      <c r="A114" s="391"/>
      <c r="B114" s="383"/>
      <c r="C114" s="177"/>
      <c r="D114" s="177"/>
      <c r="E114" s="177"/>
      <c r="F114" s="391"/>
      <c r="G114" s="383"/>
      <c r="H114" s="177"/>
      <c r="I114" s="177"/>
      <c r="J114" s="177"/>
      <c r="K114" s="88"/>
      <c r="L114" s="383"/>
      <c r="M114" s="177"/>
      <c r="N114" s="177"/>
      <c r="O114" s="177"/>
      <c r="P114" s="88"/>
      <c r="Q114" s="151"/>
      <c r="R114" s="177"/>
      <c r="S114" s="177"/>
      <c r="T114" s="177"/>
      <c r="U114" s="391"/>
      <c r="V114" s="383"/>
      <c r="W114" s="177"/>
      <c r="X114" s="177"/>
      <c r="Y114" s="177"/>
      <c r="Z114" s="391"/>
      <c r="AA114" s="383"/>
      <c r="AB114" s="177"/>
      <c r="AC114" s="177"/>
      <c r="AD114" s="177"/>
      <c r="AE114" s="391"/>
      <c r="AF114" s="383"/>
      <c r="AG114" s="177"/>
      <c r="AH114" s="177"/>
      <c r="AI114" s="177"/>
      <c r="AJ114" s="391"/>
      <c r="AK114" s="383"/>
      <c r="AL114" s="177"/>
      <c r="AM114" s="177"/>
      <c r="AN114" s="177"/>
      <c r="AO114" s="192"/>
      <c r="AP114" s="191"/>
      <c r="AQ114" s="184"/>
      <c r="AR114" s="184"/>
      <c r="AS114" s="184"/>
    </row>
    <row r="115">
      <c r="A115" s="391"/>
      <c r="B115" s="383"/>
      <c r="C115" s="177"/>
      <c r="D115" s="177"/>
      <c r="E115" s="177"/>
      <c r="F115" s="391"/>
      <c r="G115" s="383"/>
      <c r="H115" s="177"/>
      <c r="I115" s="177"/>
      <c r="J115" s="177"/>
      <c r="K115" s="88"/>
      <c r="L115" s="383"/>
      <c r="M115" s="177"/>
      <c r="N115" s="177"/>
      <c r="O115" s="177"/>
      <c r="P115" s="88"/>
      <c r="Q115" s="151"/>
      <c r="R115" s="177"/>
      <c r="S115" s="177"/>
      <c r="T115" s="177"/>
      <c r="U115" s="391"/>
      <c r="V115" s="383"/>
      <c r="W115" s="177"/>
      <c r="X115" s="177"/>
      <c r="Y115" s="177"/>
      <c r="Z115" s="391"/>
      <c r="AA115" s="383"/>
      <c r="AB115" s="177"/>
      <c r="AC115" s="177"/>
      <c r="AD115" s="177"/>
      <c r="AE115" s="391"/>
      <c r="AF115" s="383"/>
      <c r="AG115" s="177"/>
      <c r="AH115" s="177"/>
      <c r="AI115" s="177"/>
      <c r="AJ115" s="391"/>
      <c r="AK115" s="383"/>
      <c r="AL115" s="177"/>
      <c r="AM115" s="177"/>
      <c r="AN115" s="177"/>
      <c r="AO115" s="192"/>
      <c r="AP115" s="191"/>
      <c r="AQ115" s="184"/>
      <c r="AR115" s="184"/>
      <c r="AS115" s="184"/>
    </row>
    <row r="116">
      <c r="A116" s="391"/>
      <c r="B116" s="383"/>
      <c r="C116" s="177"/>
      <c r="D116" s="177"/>
      <c r="E116" s="177"/>
      <c r="F116" s="391"/>
      <c r="G116" s="383"/>
      <c r="H116" s="177"/>
      <c r="I116" s="177"/>
      <c r="J116" s="177"/>
      <c r="K116" s="88"/>
      <c r="L116" s="383"/>
      <c r="M116" s="177"/>
      <c r="N116" s="177"/>
      <c r="O116" s="177"/>
      <c r="P116" s="88"/>
      <c r="Q116" s="151"/>
      <c r="R116" s="177"/>
      <c r="S116" s="177"/>
      <c r="T116" s="177"/>
      <c r="U116" s="391"/>
      <c r="V116" s="383"/>
      <c r="W116" s="177"/>
      <c r="X116" s="177"/>
      <c r="Y116" s="177"/>
      <c r="Z116" s="391"/>
      <c r="AA116" s="383"/>
      <c r="AB116" s="177"/>
      <c r="AC116" s="177"/>
      <c r="AD116" s="177"/>
      <c r="AE116" s="391"/>
      <c r="AF116" s="383"/>
      <c r="AG116" s="177"/>
      <c r="AH116" s="177"/>
      <c r="AI116" s="177"/>
      <c r="AJ116" s="391"/>
      <c r="AK116" s="383"/>
      <c r="AL116" s="177"/>
      <c r="AM116" s="177"/>
      <c r="AN116" s="177"/>
      <c r="AO116" s="192"/>
      <c r="AP116" s="191"/>
      <c r="AQ116" s="184"/>
      <c r="AR116" s="184"/>
      <c r="AS116" s="184"/>
    </row>
    <row r="117">
      <c r="A117" s="391"/>
      <c r="B117" s="383"/>
      <c r="C117" s="177"/>
      <c r="D117" s="177"/>
      <c r="E117" s="177"/>
      <c r="F117" s="391"/>
      <c r="G117" s="383"/>
      <c r="H117" s="177"/>
      <c r="I117" s="177"/>
      <c r="J117" s="177"/>
      <c r="K117" s="88"/>
      <c r="L117" s="383"/>
      <c r="M117" s="177"/>
      <c r="N117" s="177"/>
      <c r="O117" s="177"/>
      <c r="P117" s="88"/>
      <c r="Q117" s="151"/>
      <c r="R117" s="177"/>
      <c r="S117" s="177"/>
      <c r="T117" s="177"/>
      <c r="U117" s="391"/>
      <c r="V117" s="383"/>
      <c r="W117" s="177"/>
      <c r="X117" s="177"/>
      <c r="Y117" s="177"/>
      <c r="Z117" s="391"/>
      <c r="AA117" s="383"/>
      <c r="AB117" s="177"/>
      <c r="AC117" s="177"/>
      <c r="AD117" s="177"/>
      <c r="AE117" s="391"/>
      <c r="AF117" s="383"/>
      <c r="AG117" s="177"/>
      <c r="AH117" s="177"/>
      <c r="AI117" s="177"/>
      <c r="AJ117" s="391"/>
      <c r="AK117" s="383"/>
      <c r="AL117" s="177"/>
      <c r="AM117" s="177"/>
      <c r="AN117" s="177"/>
      <c r="AO117" s="192"/>
      <c r="AP117" s="191"/>
      <c r="AQ117" s="184"/>
      <c r="AR117" s="184"/>
      <c r="AS117" s="184"/>
    </row>
    <row r="118">
      <c r="A118" s="391"/>
      <c r="B118" s="383"/>
      <c r="C118" s="177"/>
      <c r="D118" s="177"/>
      <c r="E118" s="177"/>
      <c r="F118" s="391"/>
      <c r="G118" s="383"/>
      <c r="H118" s="177"/>
      <c r="I118" s="177"/>
      <c r="J118" s="177"/>
      <c r="K118" s="88"/>
      <c r="L118" s="383"/>
      <c r="M118" s="177"/>
      <c r="N118" s="177"/>
      <c r="O118" s="177"/>
      <c r="P118" s="88"/>
      <c r="Q118" s="151"/>
      <c r="R118" s="177"/>
      <c r="S118" s="177"/>
      <c r="T118" s="177"/>
      <c r="U118" s="391"/>
      <c r="V118" s="383"/>
      <c r="W118" s="177"/>
      <c r="X118" s="177"/>
      <c r="Y118" s="177"/>
      <c r="Z118" s="391"/>
      <c r="AA118" s="383"/>
      <c r="AB118" s="177"/>
      <c r="AC118" s="177"/>
      <c r="AD118" s="177"/>
      <c r="AE118" s="391"/>
      <c r="AF118" s="383"/>
      <c r="AG118" s="177"/>
      <c r="AH118" s="177"/>
      <c r="AI118" s="177"/>
      <c r="AJ118" s="391"/>
      <c r="AK118" s="383"/>
      <c r="AL118" s="177"/>
      <c r="AM118" s="177"/>
      <c r="AN118" s="177"/>
      <c r="AO118" s="192"/>
      <c r="AP118" s="191"/>
      <c r="AQ118" s="184"/>
      <c r="AR118" s="184"/>
      <c r="AS118" s="184"/>
    </row>
    <row r="119">
      <c r="A119" s="391"/>
      <c r="B119" s="383"/>
      <c r="C119" s="177"/>
      <c r="D119" s="177"/>
      <c r="E119" s="177"/>
      <c r="F119" s="391"/>
      <c r="G119" s="383"/>
      <c r="H119" s="177"/>
      <c r="I119" s="177"/>
      <c r="J119" s="177"/>
      <c r="K119" s="88"/>
      <c r="L119" s="383"/>
      <c r="M119" s="177"/>
      <c r="N119" s="177"/>
      <c r="O119" s="177"/>
      <c r="P119" s="88"/>
      <c r="Q119" s="151"/>
      <c r="R119" s="177"/>
      <c r="S119" s="177"/>
      <c r="T119" s="177"/>
      <c r="U119" s="391"/>
      <c r="V119" s="383"/>
      <c r="W119" s="177"/>
      <c r="X119" s="177"/>
      <c r="Y119" s="177"/>
      <c r="Z119" s="391"/>
      <c r="AA119" s="383"/>
      <c r="AB119" s="177"/>
      <c r="AC119" s="177"/>
      <c r="AD119" s="177"/>
      <c r="AE119" s="391"/>
      <c r="AF119" s="383"/>
      <c r="AG119" s="177"/>
      <c r="AH119" s="177"/>
      <c r="AI119" s="177"/>
      <c r="AJ119" s="391"/>
      <c r="AK119" s="383"/>
      <c r="AL119" s="177"/>
      <c r="AM119" s="177"/>
      <c r="AN119" s="177"/>
      <c r="AO119" s="192"/>
      <c r="AP119" s="191"/>
      <c r="AQ119" s="184"/>
      <c r="AR119" s="184"/>
      <c r="AS119" s="184"/>
    </row>
    <row r="120">
      <c r="A120" s="391"/>
      <c r="B120" s="383"/>
      <c r="C120" s="177"/>
      <c r="D120" s="177"/>
      <c r="E120" s="177"/>
      <c r="F120" s="391"/>
      <c r="G120" s="383"/>
      <c r="H120" s="177"/>
      <c r="I120" s="177"/>
      <c r="J120" s="177"/>
      <c r="K120" s="88"/>
      <c r="L120" s="383"/>
      <c r="M120" s="177"/>
      <c r="N120" s="177"/>
      <c r="O120" s="177"/>
      <c r="P120" s="88"/>
      <c r="Q120" s="151"/>
      <c r="R120" s="177"/>
      <c r="S120" s="177"/>
      <c r="T120" s="177"/>
      <c r="U120" s="391"/>
      <c r="V120" s="383"/>
      <c r="W120" s="177"/>
      <c r="X120" s="177"/>
      <c r="Y120" s="177"/>
      <c r="Z120" s="391"/>
      <c r="AA120" s="383"/>
      <c r="AB120" s="177"/>
      <c r="AC120" s="177"/>
      <c r="AD120" s="177"/>
      <c r="AE120" s="391"/>
      <c r="AF120" s="383"/>
      <c r="AG120" s="177"/>
      <c r="AH120" s="177"/>
      <c r="AI120" s="177"/>
      <c r="AJ120" s="391"/>
      <c r="AK120" s="383"/>
      <c r="AL120" s="177"/>
      <c r="AM120" s="177"/>
      <c r="AN120" s="177"/>
      <c r="AO120" s="192"/>
      <c r="AP120" s="191"/>
      <c r="AQ120" s="184"/>
      <c r="AR120" s="184"/>
      <c r="AS120" s="184"/>
    </row>
    <row r="121">
      <c r="A121" s="391"/>
      <c r="B121" s="383"/>
      <c r="C121" s="177"/>
      <c r="D121" s="177"/>
      <c r="E121" s="177"/>
      <c r="F121" s="391"/>
      <c r="G121" s="383"/>
      <c r="H121" s="177"/>
      <c r="I121" s="177"/>
      <c r="J121" s="177"/>
      <c r="K121" s="88"/>
      <c r="L121" s="383"/>
      <c r="M121" s="177"/>
      <c r="N121" s="177"/>
      <c r="O121" s="177"/>
      <c r="P121" s="88"/>
      <c r="Q121" s="151"/>
      <c r="R121" s="177"/>
      <c r="S121" s="177"/>
      <c r="T121" s="177"/>
      <c r="U121" s="391"/>
      <c r="V121" s="383"/>
      <c r="W121" s="177"/>
      <c r="X121" s="177"/>
      <c r="Y121" s="177"/>
      <c r="Z121" s="391"/>
      <c r="AA121" s="383"/>
      <c r="AB121" s="177"/>
      <c r="AC121" s="177"/>
      <c r="AD121" s="177"/>
      <c r="AE121" s="391"/>
      <c r="AF121" s="383"/>
      <c r="AG121" s="177"/>
      <c r="AH121" s="177"/>
      <c r="AI121" s="177"/>
      <c r="AJ121" s="391"/>
      <c r="AK121" s="383"/>
      <c r="AL121" s="177"/>
      <c r="AM121" s="177"/>
      <c r="AN121" s="177"/>
      <c r="AO121" s="192"/>
      <c r="AP121" s="191"/>
      <c r="AQ121" s="184"/>
      <c r="AR121" s="184"/>
      <c r="AS121" s="184"/>
    </row>
    <row r="122">
      <c r="A122" s="391"/>
      <c r="B122" s="383"/>
      <c r="C122" s="177"/>
      <c r="D122" s="177"/>
      <c r="E122" s="177"/>
      <c r="F122" s="391"/>
      <c r="G122" s="383"/>
      <c r="H122" s="177"/>
      <c r="I122" s="177"/>
      <c r="J122" s="177"/>
      <c r="K122" s="88"/>
      <c r="L122" s="383"/>
      <c r="M122" s="177"/>
      <c r="N122" s="177"/>
      <c r="O122" s="177"/>
      <c r="P122" s="88"/>
      <c r="Q122" s="151"/>
      <c r="R122" s="177"/>
      <c r="S122" s="177"/>
      <c r="T122" s="177"/>
      <c r="U122" s="391"/>
      <c r="V122" s="383"/>
      <c r="W122" s="177"/>
      <c r="X122" s="177"/>
      <c r="Y122" s="177"/>
      <c r="Z122" s="391"/>
      <c r="AA122" s="383"/>
      <c r="AB122" s="177"/>
      <c r="AC122" s="177"/>
      <c r="AD122" s="177"/>
      <c r="AE122" s="391"/>
      <c r="AF122" s="383"/>
      <c r="AG122" s="177"/>
      <c r="AH122" s="177"/>
      <c r="AI122" s="177"/>
      <c r="AJ122" s="391"/>
      <c r="AK122" s="383"/>
      <c r="AL122" s="177"/>
      <c r="AM122" s="177"/>
      <c r="AN122" s="177"/>
      <c r="AO122" s="192"/>
      <c r="AP122" s="191"/>
      <c r="AQ122" s="184"/>
      <c r="AR122" s="184"/>
      <c r="AS122" s="184"/>
    </row>
    <row r="123">
      <c r="A123" s="391"/>
      <c r="B123" s="383"/>
      <c r="C123" s="177"/>
      <c r="D123" s="177"/>
      <c r="E123" s="177"/>
      <c r="F123" s="391"/>
      <c r="G123" s="383"/>
      <c r="H123" s="177"/>
      <c r="I123" s="177"/>
      <c r="J123" s="177"/>
      <c r="K123" s="88"/>
      <c r="L123" s="383"/>
      <c r="M123" s="177"/>
      <c r="N123" s="177"/>
      <c r="O123" s="177"/>
      <c r="P123" s="88"/>
      <c r="Q123" s="151"/>
      <c r="R123" s="177"/>
      <c r="S123" s="177"/>
      <c r="T123" s="177"/>
      <c r="U123" s="391"/>
      <c r="V123" s="383"/>
      <c r="W123" s="177"/>
      <c r="X123" s="177"/>
      <c r="Y123" s="177"/>
      <c r="Z123" s="391"/>
      <c r="AA123" s="383"/>
      <c r="AB123" s="177"/>
      <c r="AC123" s="177"/>
      <c r="AD123" s="177"/>
      <c r="AE123" s="391"/>
      <c r="AF123" s="383"/>
      <c r="AG123" s="177"/>
      <c r="AH123" s="177"/>
      <c r="AI123" s="177"/>
      <c r="AJ123" s="391"/>
      <c r="AK123" s="383"/>
      <c r="AL123" s="177"/>
      <c r="AM123" s="177"/>
      <c r="AN123" s="177"/>
      <c r="AO123" s="192"/>
      <c r="AP123" s="191"/>
      <c r="AQ123" s="184"/>
      <c r="AR123" s="184"/>
      <c r="AS123" s="184"/>
    </row>
    <row r="124">
      <c r="A124" s="391"/>
      <c r="B124" s="383"/>
      <c r="C124" s="177"/>
      <c r="D124" s="177"/>
      <c r="E124" s="177"/>
      <c r="F124" s="391"/>
      <c r="G124" s="383"/>
      <c r="H124" s="177"/>
      <c r="I124" s="177"/>
      <c r="J124" s="177"/>
      <c r="K124" s="88"/>
      <c r="L124" s="383"/>
      <c r="M124" s="177"/>
      <c r="N124" s="177"/>
      <c r="O124" s="177"/>
      <c r="P124" s="88"/>
      <c r="Q124" s="151"/>
      <c r="R124" s="177"/>
      <c r="S124" s="177"/>
      <c r="T124" s="177"/>
      <c r="U124" s="391"/>
      <c r="V124" s="383"/>
      <c r="W124" s="177"/>
      <c r="X124" s="177"/>
      <c r="Y124" s="177"/>
      <c r="Z124" s="391"/>
      <c r="AA124" s="383"/>
      <c r="AB124" s="177"/>
      <c r="AC124" s="177"/>
      <c r="AD124" s="177"/>
      <c r="AE124" s="391"/>
      <c r="AF124" s="383"/>
      <c r="AG124" s="177"/>
      <c r="AH124" s="177"/>
      <c r="AI124" s="177"/>
      <c r="AJ124" s="391"/>
      <c r="AK124" s="383"/>
      <c r="AL124" s="177"/>
      <c r="AM124" s="177"/>
      <c r="AN124" s="177"/>
      <c r="AO124" s="192"/>
      <c r="AP124" s="191"/>
      <c r="AQ124" s="184"/>
      <c r="AR124" s="184"/>
      <c r="AS124" s="184"/>
    </row>
    <row r="125">
      <c r="A125" s="391"/>
      <c r="B125" s="383"/>
      <c r="C125" s="177"/>
      <c r="D125" s="177"/>
      <c r="E125" s="177"/>
      <c r="F125" s="391"/>
      <c r="G125" s="383"/>
      <c r="H125" s="177"/>
      <c r="I125" s="177"/>
      <c r="J125" s="177"/>
      <c r="K125" s="88"/>
      <c r="L125" s="383"/>
      <c r="M125" s="177"/>
      <c r="N125" s="177"/>
      <c r="O125" s="177"/>
      <c r="P125" s="88"/>
      <c r="Q125" s="151"/>
      <c r="R125" s="177"/>
      <c r="S125" s="177"/>
      <c r="T125" s="177"/>
      <c r="U125" s="391"/>
      <c r="V125" s="383"/>
      <c r="W125" s="177"/>
      <c r="X125" s="177"/>
      <c r="Y125" s="177"/>
      <c r="Z125" s="391"/>
      <c r="AA125" s="383"/>
      <c r="AB125" s="177"/>
      <c r="AC125" s="177"/>
      <c r="AD125" s="177"/>
      <c r="AE125" s="391"/>
      <c r="AF125" s="383"/>
      <c r="AG125" s="177"/>
      <c r="AH125" s="177"/>
      <c r="AI125" s="177"/>
      <c r="AJ125" s="391"/>
      <c r="AK125" s="383"/>
      <c r="AL125" s="177"/>
      <c r="AM125" s="177"/>
      <c r="AN125" s="177"/>
      <c r="AO125" s="192"/>
      <c r="AP125" s="191"/>
      <c r="AQ125" s="184"/>
      <c r="AR125" s="184"/>
      <c r="AS125" s="184"/>
    </row>
    <row r="126">
      <c r="A126" s="391"/>
      <c r="B126" s="383"/>
      <c r="C126" s="177"/>
      <c r="D126" s="177"/>
      <c r="E126" s="177"/>
      <c r="F126" s="391"/>
      <c r="G126" s="383"/>
      <c r="H126" s="177"/>
      <c r="I126" s="177"/>
      <c r="J126" s="177"/>
      <c r="K126" s="88"/>
      <c r="L126" s="383"/>
      <c r="M126" s="177"/>
      <c r="N126" s="177"/>
      <c r="O126" s="177"/>
      <c r="P126" s="88"/>
      <c r="Q126" s="151"/>
      <c r="R126" s="177"/>
      <c r="S126" s="177"/>
      <c r="T126" s="177"/>
      <c r="U126" s="391"/>
      <c r="V126" s="383"/>
      <c r="W126" s="177"/>
      <c r="X126" s="177"/>
      <c r="Y126" s="177"/>
      <c r="Z126" s="391"/>
      <c r="AA126" s="383"/>
      <c r="AB126" s="177"/>
      <c r="AC126" s="177"/>
      <c r="AD126" s="177"/>
      <c r="AE126" s="391"/>
      <c r="AF126" s="383"/>
      <c r="AG126" s="177"/>
      <c r="AH126" s="177"/>
      <c r="AI126" s="177"/>
      <c r="AJ126" s="391"/>
      <c r="AK126" s="383"/>
      <c r="AL126" s="177"/>
      <c r="AM126" s="177"/>
      <c r="AN126" s="177"/>
      <c r="AO126" s="192"/>
      <c r="AP126" s="191"/>
      <c r="AQ126" s="184"/>
      <c r="AR126" s="184"/>
      <c r="AS126" s="184"/>
    </row>
    <row r="127">
      <c r="A127" s="391"/>
      <c r="B127" s="383"/>
      <c r="C127" s="177"/>
      <c r="D127" s="177"/>
      <c r="E127" s="177"/>
      <c r="F127" s="391"/>
      <c r="G127" s="383"/>
      <c r="H127" s="177"/>
      <c r="I127" s="177"/>
      <c r="J127" s="177"/>
      <c r="K127" s="88"/>
      <c r="L127" s="383"/>
      <c r="M127" s="177"/>
      <c r="N127" s="177"/>
      <c r="O127" s="177"/>
      <c r="P127" s="88"/>
      <c r="Q127" s="151"/>
      <c r="R127" s="177"/>
      <c r="S127" s="177"/>
      <c r="T127" s="177"/>
      <c r="U127" s="391"/>
      <c r="V127" s="383"/>
      <c r="W127" s="177"/>
      <c r="X127" s="177"/>
      <c r="Y127" s="177"/>
      <c r="Z127" s="391"/>
      <c r="AA127" s="383"/>
      <c r="AB127" s="177"/>
      <c r="AC127" s="177"/>
      <c r="AD127" s="177"/>
      <c r="AE127" s="391"/>
      <c r="AF127" s="383"/>
      <c r="AG127" s="177"/>
      <c r="AH127" s="177"/>
      <c r="AI127" s="177"/>
      <c r="AJ127" s="391"/>
      <c r="AK127" s="383"/>
      <c r="AL127" s="177"/>
      <c r="AM127" s="177"/>
      <c r="AN127" s="177"/>
      <c r="AO127" s="192"/>
      <c r="AP127" s="191"/>
      <c r="AQ127" s="184"/>
      <c r="AR127" s="184"/>
      <c r="AS127" s="184"/>
    </row>
    <row r="128">
      <c r="A128" s="391"/>
      <c r="B128" s="383"/>
      <c r="C128" s="177"/>
      <c r="D128" s="177"/>
      <c r="E128" s="177"/>
      <c r="F128" s="391"/>
      <c r="G128" s="383"/>
      <c r="H128" s="177"/>
      <c r="I128" s="177"/>
      <c r="J128" s="177"/>
      <c r="K128" s="88"/>
      <c r="L128" s="383"/>
      <c r="M128" s="177"/>
      <c r="N128" s="177"/>
      <c r="O128" s="177"/>
      <c r="P128" s="88"/>
      <c r="Q128" s="151"/>
      <c r="R128" s="177"/>
      <c r="S128" s="177"/>
      <c r="T128" s="177"/>
      <c r="U128" s="391"/>
      <c r="V128" s="383"/>
      <c r="W128" s="177"/>
      <c r="X128" s="177"/>
      <c r="Y128" s="177"/>
      <c r="Z128" s="391"/>
      <c r="AA128" s="383"/>
      <c r="AB128" s="177"/>
      <c r="AC128" s="177"/>
      <c r="AD128" s="177"/>
      <c r="AE128" s="391"/>
      <c r="AF128" s="383"/>
      <c r="AG128" s="177"/>
      <c r="AH128" s="177"/>
      <c r="AI128" s="177"/>
      <c r="AJ128" s="391"/>
      <c r="AK128" s="383"/>
      <c r="AL128" s="177"/>
      <c r="AM128" s="177"/>
      <c r="AN128" s="177"/>
      <c r="AO128" s="192"/>
      <c r="AP128" s="191"/>
      <c r="AQ128" s="184"/>
      <c r="AR128" s="184"/>
      <c r="AS128" s="184"/>
    </row>
    <row r="129">
      <c r="A129" s="391"/>
      <c r="B129" s="383"/>
      <c r="C129" s="177"/>
      <c r="D129" s="177"/>
      <c r="E129" s="177"/>
      <c r="F129" s="391"/>
      <c r="G129" s="383"/>
      <c r="H129" s="177"/>
      <c r="I129" s="177"/>
      <c r="J129" s="177"/>
      <c r="K129" s="88"/>
      <c r="L129" s="383"/>
      <c r="M129" s="177"/>
      <c r="N129" s="177"/>
      <c r="O129" s="177"/>
      <c r="P129" s="88"/>
      <c r="Q129" s="151"/>
      <c r="R129" s="177"/>
      <c r="S129" s="177"/>
      <c r="T129" s="177"/>
      <c r="U129" s="391"/>
      <c r="V129" s="383"/>
      <c r="W129" s="177"/>
      <c r="X129" s="177"/>
      <c r="Y129" s="177"/>
      <c r="Z129" s="391"/>
      <c r="AA129" s="383"/>
      <c r="AB129" s="177"/>
      <c r="AC129" s="177"/>
      <c r="AD129" s="177"/>
      <c r="AE129" s="391"/>
      <c r="AF129" s="383"/>
      <c r="AG129" s="177"/>
      <c r="AH129" s="177"/>
      <c r="AI129" s="177"/>
      <c r="AJ129" s="391"/>
      <c r="AK129" s="383"/>
      <c r="AL129" s="177"/>
      <c r="AM129" s="177"/>
      <c r="AN129" s="177"/>
      <c r="AO129" s="192"/>
      <c r="AP129" s="191"/>
      <c r="AQ129" s="184"/>
      <c r="AR129" s="184"/>
      <c r="AS129" s="184"/>
    </row>
    <row r="130">
      <c r="A130" s="391"/>
      <c r="B130" s="383"/>
      <c r="C130" s="177"/>
      <c r="D130" s="177"/>
      <c r="E130" s="177"/>
      <c r="F130" s="391"/>
      <c r="G130" s="383"/>
      <c r="H130" s="177"/>
      <c r="I130" s="177"/>
      <c r="J130" s="177"/>
      <c r="K130" s="88"/>
      <c r="L130" s="383"/>
      <c r="M130" s="177"/>
      <c r="N130" s="177"/>
      <c r="O130" s="177"/>
      <c r="P130" s="88"/>
      <c r="Q130" s="151"/>
      <c r="R130" s="177"/>
      <c r="S130" s="177"/>
      <c r="T130" s="177"/>
      <c r="U130" s="391"/>
      <c r="V130" s="383"/>
      <c r="W130" s="177"/>
      <c r="X130" s="177"/>
      <c r="Y130" s="177"/>
      <c r="Z130" s="391"/>
      <c r="AA130" s="383"/>
      <c r="AB130" s="177"/>
      <c r="AC130" s="177"/>
      <c r="AD130" s="177"/>
      <c r="AE130" s="391"/>
      <c r="AF130" s="383"/>
      <c r="AG130" s="177"/>
      <c r="AH130" s="177"/>
      <c r="AI130" s="177"/>
      <c r="AJ130" s="391"/>
      <c r="AK130" s="383"/>
      <c r="AL130" s="177"/>
      <c r="AM130" s="177"/>
      <c r="AN130" s="177"/>
      <c r="AO130" s="192"/>
      <c r="AP130" s="191"/>
      <c r="AQ130" s="184"/>
      <c r="AR130" s="184"/>
      <c r="AS130" s="184"/>
    </row>
    <row r="131">
      <c r="A131" s="391"/>
      <c r="B131" s="383"/>
      <c r="C131" s="177"/>
      <c r="D131" s="177"/>
      <c r="E131" s="177"/>
      <c r="F131" s="391"/>
      <c r="G131" s="383"/>
      <c r="H131" s="177"/>
      <c r="I131" s="177"/>
      <c r="J131" s="177"/>
      <c r="K131" s="88"/>
      <c r="L131" s="383"/>
      <c r="M131" s="177"/>
      <c r="N131" s="177"/>
      <c r="O131" s="177"/>
      <c r="P131" s="88"/>
      <c r="Q131" s="151"/>
      <c r="R131" s="177"/>
      <c r="S131" s="177"/>
      <c r="T131" s="177"/>
      <c r="U131" s="391"/>
      <c r="V131" s="383"/>
      <c r="W131" s="177"/>
      <c r="X131" s="177"/>
      <c r="Y131" s="177"/>
      <c r="Z131" s="391"/>
      <c r="AA131" s="383"/>
      <c r="AB131" s="177"/>
      <c r="AC131" s="177"/>
      <c r="AD131" s="177"/>
      <c r="AE131" s="391"/>
      <c r="AF131" s="383"/>
      <c r="AG131" s="177"/>
      <c r="AH131" s="177"/>
      <c r="AI131" s="177"/>
      <c r="AJ131" s="391"/>
      <c r="AK131" s="383"/>
      <c r="AL131" s="177"/>
      <c r="AM131" s="177"/>
      <c r="AN131" s="177"/>
      <c r="AO131" s="192"/>
      <c r="AP131" s="191"/>
      <c r="AQ131" s="184"/>
      <c r="AR131" s="184"/>
      <c r="AS131" s="184"/>
    </row>
    <row r="132">
      <c r="A132" s="391"/>
      <c r="B132" s="383"/>
      <c r="C132" s="177"/>
      <c r="D132" s="177"/>
      <c r="E132" s="177"/>
      <c r="F132" s="391"/>
      <c r="G132" s="383"/>
      <c r="H132" s="177"/>
      <c r="I132" s="177"/>
      <c r="J132" s="177"/>
      <c r="K132" s="88"/>
      <c r="L132" s="383"/>
      <c r="M132" s="177"/>
      <c r="N132" s="177"/>
      <c r="O132" s="177"/>
      <c r="P132" s="88"/>
      <c r="Q132" s="151"/>
      <c r="R132" s="177"/>
      <c r="S132" s="177"/>
      <c r="T132" s="177"/>
      <c r="U132" s="391"/>
      <c r="V132" s="383"/>
      <c r="W132" s="177"/>
      <c r="X132" s="177"/>
      <c r="Y132" s="177"/>
      <c r="Z132" s="391"/>
      <c r="AA132" s="383"/>
      <c r="AB132" s="177"/>
      <c r="AC132" s="177"/>
      <c r="AD132" s="177"/>
      <c r="AE132" s="391"/>
      <c r="AF132" s="383"/>
      <c r="AG132" s="177"/>
      <c r="AH132" s="177"/>
      <c r="AI132" s="177"/>
      <c r="AJ132" s="391"/>
      <c r="AK132" s="383"/>
      <c r="AL132" s="177"/>
      <c r="AM132" s="177"/>
      <c r="AN132" s="177"/>
      <c r="AO132" s="192"/>
      <c r="AP132" s="191"/>
      <c r="AQ132" s="184"/>
      <c r="AR132" s="184"/>
      <c r="AS132" s="184"/>
    </row>
    <row r="133">
      <c r="A133" s="391"/>
      <c r="B133" s="383"/>
      <c r="C133" s="177"/>
      <c r="D133" s="177"/>
      <c r="E133" s="177"/>
      <c r="F133" s="391"/>
      <c r="G133" s="383"/>
      <c r="H133" s="177"/>
      <c r="I133" s="177"/>
      <c r="J133" s="177"/>
      <c r="K133" s="88"/>
      <c r="L133" s="383"/>
      <c r="M133" s="177"/>
      <c r="N133" s="177"/>
      <c r="O133" s="177"/>
      <c r="P133" s="88"/>
      <c r="Q133" s="151"/>
      <c r="R133" s="177"/>
      <c r="S133" s="177"/>
      <c r="T133" s="177"/>
      <c r="U133" s="391"/>
      <c r="V133" s="383"/>
      <c r="W133" s="177"/>
      <c r="X133" s="177"/>
      <c r="Y133" s="177"/>
      <c r="Z133" s="391"/>
      <c r="AA133" s="383"/>
      <c r="AB133" s="177"/>
      <c r="AC133" s="177"/>
      <c r="AD133" s="177"/>
      <c r="AE133" s="391"/>
      <c r="AF133" s="383"/>
      <c r="AG133" s="177"/>
      <c r="AH133" s="177"/>
      <c r="AI133" s="177"/>
      <c r="AJ133" s="391"/>
      <c r="AK133" s="383"/>
      <c r="AL133" s="177"/>
      <c r="AM133" s="177"/>
      <c r="AN133" s="177"/>
      <c r="AO133" s="192"/>
      <c r="AP133" s="191"/>
      <c r="AQ133" s="184"/>
      <c r="AR133" s="184"/>
      <c r="AS133" s="184"/>
    </row>
    <row r="134">
      <c r="A134" s="391"/>
      <c r="B134" s="383"/>
      <c r="C134" s="177"/>
      <c r="D134" s="177"/>
      <c r="E134" s="177"/>
      <c r="F134" s="391"/>
      <c r="G134" s="383"/>
      <c r="H134" s="177"/>
      <c r="I134" s="177"/>
      <c r="J134" s="177"/>
      <c r="K134" s="88"/>
      <c r="L134" s="383"/>
      <c r="M134" s="177"/>
      <c r="N134" s="177"/>
      <c r="O134" s="177"/>
      <c r="P134" s="88"/>
      <c r="Q134" s="151"/>
      <c r="R134" s="177"/>
      <c r="S134" s="177"/>
      <c r="T134" s="177"/>
      <c r="U134" s="391"/>
      <c r="V134" s="383"/>
      <c r="W134" s="177"/>
      <c r="X134" s="177"/>
      <c r="Y134" s="177"/>
      <c r="Z134" s="391"/>
      <c r="AA134" s="383"/>
      <c r="AB134" s="177"/>
      <c r="AC134" s="177"/>
      <c r="AD134" s="177"/>
      <c r="AE134" s="391"/>
      <c r="AF134" s="383"/>
      <c r="AG134" s="177"/>
      <c r="AH134" s="177"/>
      <c r="AI134" s="177"/>
      <c r="AJ134" s="391"/>
      <c r="AK134" s="383"/>
      <c r="AL134" s="177"/>
      <c r="AM134" s="177"/>
      <c r="AN134" s="177"/>
      <c r="AO134" s="192"/>
      <c r="AP134" s="191"/>
      <c r="AQ134" s="184"/>
      <c r="AR134" s="184"/>
      <c r="AS134" s="184"/>
    </row>
    <row r="135">
      <c r="A135" s="391"/>
      <c r="B135" s="383"/>
      <c r="C135" s="177"/>
      <c r="D135" s="177"/>
      <c r="E135" s="177"/>
      <c r="F135" s="391"/>
      <c r="G135" s="383"/>
      <c r="H135" s="177"/>
      <c r="I135" s="177"/>
      <c r="J135" s="177"/>
      <c r="K135" s="88"/>
      <c r="L135" s="383"/>
      <c r="M135" s="177"/>
      <c r="N135" s="177"/>
      <c r="O135" s="177"/>
      <c r="P135" s="88"/>
      <c r="Q135" s="151"/>
      <c r="R135" s="177"/>
      <c r="S135" s="177"/>
      <c r="T135" s="177"/>
      <c r="U135" s="391"/>
      <c r="V135" s="383"/>
      <c r="W135" s="177"/>
      <c r="X135" s="177"/>
      <c r="Y135" s="177"/>
      <c r="Z135" s="391"/>
      <c r="AA135" s="383"/>
      <c r="AB135" s="177"/>
      <c r="AC135" s="177"/>
      <c r="AD135" s="177"/>
      <c r="AE135" s="391"/>
      <c r="AF135" s="383"/>
      <c r="AG135" s="177"/>
      <c r="AH135" s="177"/>
      <c r="AI135" s="177"/>
      <c r="AJ135" s="391"/>
      <c r="AK135" s="383"/>
      <c r="AL135" s="177"/>
      <c r="AM135" s="177"/>
      <c r="AN135" s="177"/>
      <c r="AO135" s="192"/>
      <c r="AP135" s="191"/>
      <c r="AQ135" s="184"/>
      <c r="AR135" s="184"/>
      <c r="AS135" s="184"/>
    </row>
    <row r="136">
      <c r="A136" s="391"/>
      <c r="B136" s="383"/>
      <c r="C136" s="177"/>
      <c r="D136" s="177"/>
      <c r="E136" s="177"/>
      <c r="F136" s="391"/>
      <c r="G136" s="383"/>
      <c r="H136" s="177"/>
      <c r="I136" s="177"/>
      <c r="J136" s="177"/>
      <c r="K136" s="88"/>
      <c r="L136" s="383"/>
      <c r="M136" s="177"/>
      <c r="N136" s="177"/>
      <c r="O136" s="177"/>
      <c r="P136" s="88"/>
      <c r="Q136" s="151"/>
      <c r="R136" s="177"/>
      <c r="S136" s="177"/>
      <c r="T136" s="177"/>
      <c r="U136" s="391"/>
      <c r="V136" s="383"/>
      <c r="W136" s="177"/>
      <c r="X136" s="177"/>
      <c r="Y136" s="177"/>
      <c r="Z136" s="391"/>
      <c r="AA136" s="383"/>
      <c r="AB136" s="177"/>
      <c r="AC136" s="177"/>
      <c r="AD136" s="177"/>
      <c r="AE136" s="391"/>
      <c r="AF136" s="383"/>
      <c r="AG136" s="177"/>
      <c r="AH136" s="177"/>
      <c r="AI136" s="177"/>
      <c r="AJ136" s="391"/>
      <c r="AK136" s="383"/>
      <c r="AL136" s="177"/>
      <c r="AM136" s="177"/>
      <c r="AN136" s="177"/>
      <c r="AO136" s="192"/>
      <c r="AP136" s="191"/>
      <c r="AQ136" s="184"/>
      <c r="AR136" s="184"/>
      <c r="AS136" s="184"/>
    </row>
    <row r="137">
      <c r="A137" s="391"/>
      <c r="B137" s="383"/>
      <c r="C137" s="177"/>
      <c r="D137" s="177"/>
      <c r="E137" s="177"/>
      <c r="F137" s="391"/>
      <c r="G137" s="383"/>
      <c r="H137" s="177"/>
      <c r="I137" s="177"/>
      <c r="J137" s="177"/>
      <c r="K137" s="88"/>
      <c r="L137" s="383"/>
      <c r="M137" s="177"/>
      <c r="N137" s="177"/>
      <c r="O137" s="177"/>
      <c r="P137" s="88"/>
      <c r="Q137" s="151"/>
      <c r="R137" s="177"/>
      <c r="S137" s="177"/>
      <c r="T137" s="177"/>
      <c r="U137" s="391"/>
      <c r="V137" s="383"/>
      <c r="W137" s="177"/>
      <c r="X137" s="177"/>
      <c r="Y137" s="177"/>
      <c r="Z137" s="391"/>
      <c r="AA137" s="383"/>
      <c r="AB137" s="177"/>
      <c r="AC137" s="177"/>
      <c r="AD137" s="177"/>
      <c r="AE137" s="391"/>
      <c r="AF137" s="383"/>
      <c r="AG137" s="177"/>
      <c r="AH137" s="177"/>
      <c r="AI137" s="177"/>
      <c r="AJ137" s="391"/>
      <c r="AK137" s="383"/>
      <c r="AL137" s="177"/>
      <c r="AM137" s="177"/>
      <c r="AN137" s="177"/>
      <c r="AO137" s="192"/>
      <c r="AP137" s="191"/>
      <c r="AQ137" s="184"/>
      <c r="AR137" s="184"/>
      <c r="AS137" s="184"/>
    </row>
    <row r="138">
      <c r="A138" s="391"/>
      <c r="B138" s="383"/>
      <c r="C138" s="177"/>
      <c r="D138" s="177"/>
      <c r="E138" s="177"/>
      <c r="F138" s="391"/>
      <c r="G138" s="383"/>
      <c r="H138" s="177"/>
      <c r="I138" s="177"/>
      <c r="J138" s="177"/>
      <c r="K138" s="88"/>
      <c r="L138" s="383"/>
      <c r="M138" s="177"/>
      <c r="N138" s="177"/>
      <c r="O138" s="177"/>
      <c r="P138" s="88"/>
      <c r="Q138" s="151"/>
      <c r="R138" s="177"/>
      <c r="S138" s="177"/>
      <c r="T138" s="177"/>
      <c r="U138" s="391"/>
      <c r="V138" s="383"/>
      <c r="W138" s="177"/>
      <c r="X138" s="177"/>
      <c r="Y138" s="177"/>
      <c r="Z138" s="391"/>
      <c r="AA138" s="383"/>
      <c r="AB138" s="177"/>
      <c r="AC138" s="177"/>
      <c r="AD138" s="177"/>
      <c r="AE138" s="391"/>
      <c r="AF138" s="383"/>
      <c r="AG138" s="177"/>
      <c r="AH138" s="177"/>
      <c r="AI138" s="177"/>
      <c r="AJ138" s="391"/>
      <c r="AK138" s="383"/>
      <c r="AL138" s="177"/>
      <c r="AM138" s="177"/>
      <c r="AN138" s="177"/>
      <c r="AO138" s="192"/>
      <c r="AP138" s="191"/>
      <c r="AQ138" s="184"/>
      <c r="AR138" s="184"/>
      <c r="AS138" s="184"/>
    </row>
    <row r="139">
      <c r="A139" s="391"/>
      <c r="B139" s="383"/>
      <c r="C139" s="177"/>
      <c r="D139" s="177"/>
      <c r="E139" s="177"/>
      <c r="F139" s="391"/>
      <c r="G139" s="383"/>
      <c r="H139" s="177"/>
      <c r="I139" s="177"/>
      <c r="J139" s="177"/>
      <c r="K139" s="88"/>
      <c r="L139" s="383"/>
      <c r="M139" s="177"/>
      <c r="N139" s="177"/>
      <c r="O139" s="177"/>
      <c r="P139" s="88"/>
      <c r="Q139" s="151"/>
      <c r="R139" s="177"/>
      <c r="S139" s="177"/>
      <c r="T139" s="177"/>
      <c r="U139" s="391"/>
      <c r="V139" s="383"/>
      <c r="W139" s="177"/>
      <c r="X139" s="177"/>
      <c r="Y139" s="177"/>
      <c r="Z139" s="391"/>
      <c r="AA139" s="383"/>
      <c r="AB139" s="177"/>
      <c r="AC139" s="177"/>
      <c r="AD139" s="177"/>
      <c r="AE139" s="391"/>
      <c r="AF139" s="383"/>
      <c r="AG139" s="177"/>
      <c r="AH139" s="177"/>
      <c r="AI139" s="177"/>
      <c r="AJ139" s="391"/>
      <c r="AK139" s="383"/>
      <c r="AL139" s="177"/>
      <c r="AM139" s="177"/>
      <c r="AN139" s="177"/>
      <c r="AO139" s="192"/>
      <c r="AP139" s="191"/>
      <c r="AQ139" s="184"/>
      <c r="AR139" s="184"/>
      <c r="AS139" s="184"/>
    </row>
    <row r="140">
      <c r="A140" s="391"/>
      <c r="B140" s="383"/>
      <c r="C140" s="177"/>
      <c r="D140" s="177"/>
      <c r="E140" s="177"/>
      <c r="F140" s="391"/>
      <c r="G140" s="383"/>
      <c r="H140" s="177"/>
      <c r="I140" s="177"/>
      <c r="J140" s="177"/>
      <c r="K140" s="88"/>
      <c r="L140" s="383"/>
      <c r="M140" s="177"/>
      <c r="N140" s="177"/>
      <c r="O140" s="177"/>
      <c r="P140" s="88"/>
      <c r="Q140" s="151"/>
      <c r="R140" s="177"/>
      <c r="S140" s="177"/>
      <c r="T140" s="177"/>
      <c r="U140" s="391"/>
      <c r="V140" s="383"/>
      <c r="W140" s="177"/>
      <c r="X140" s="177"/>
      <c r="Y140" s="177"/>
      <c r="Z140" s="391"/>
      <c r="AA140" s="383"/>
      <c r="AB140" s="177"/>
      <c r="AC140" s="177"/>
      <c r="AD140" s="177"/>
      <c r="AE140" s="391"/>
      <c r="AF140" s="383"/>
      <c r="AG140" s="177"/>
      <c r="AH140" s="177"/>
      <c r="AI140" s="177"/>
      <c r="AJ140" s="391"/>
      <c r="AK140" s="383"/>
      <c r="AL140" s="177"/>
      <c r="AM140" s="177"/>
      <c r="AN140" s="177"/>
      <c r="AO140" s="192"/>
      <c r="AP140" s="191"/>
      <c r="AQ140" s="184"/>
      <c r="AR140" s="184"/>
      <c r="AS140" s="184"/>
    </row>
    <row r="141">
      <c r="A141" s="391"/>
      <c r="B141" s="383"/>
      <c r="C141" s="177"/>
      <c r="D141" s="177"/>
      <c r="E141" s="177"/>
      <c r="F141" s="391"/>
      <c r="G141" s="383"/>
      <c r="H141" s="177"/>
      <c r="I141" s="177"/>
      <c r="J141" s="177"/>
      <c r="K141" s="88"/>
      <c r="L141" s="383"/>
      <c r="M141" s="177"/>
      <c r="N141" s="177"/>
      <c r="O141" s="177"/>
      <c r="P141" s="88"/>
      <c r="Q141" s="151"/>
      <c r="R141" s="177"/>
      <c r="S141" s="177"/>
      <c r="T141" s="177"/>
      <c r="U141" s="391"/>
      <c r="V141" s="383"/>
      <c r="W141" s="177"/>
      <c r="X141" s="177"/>
      <c r="Y141" s="177"/>
      <c r="Z141" s="391"/>
      <c r="AA141" s="383"/>
      <c r="AB141" s="177"/>
      <c r="AC141" s="177"/>
      <c r="AD141" s="177"/>
      <c r="AE141" s="391"/>
      <c r="AF141" s="383"/>
      <c r="AG141" s="177"/>
      <c r="AH141" s="177"/>
      <c r="AI141" s="177"/>
      <c r="AJ141" s="391"/>
      <c r="AK141" s="383"/>
      <c r="AL141" s="177"/>
      <c r="AM141" s="177"/>
      <c r="AN141" s="177"/>
      <c r="AO141" s="192"/>
      <c r="AP141" s="191"/>
      <c r="AQ141" s="184"/>
      <c r="AR141" s="184"/>
      <c r="AS141" s="184"/>
    </row>
    <row r="142">
      <c r="A142" s="391"/>
      <c r="B142" s="383"/>
      <c r="C142" s="177"/>
      <c r="D142" s="177"/>
      <c r="E142" s="177"/>
      <c r="F142" s="391"/>
      <c r="G142" s="383"/>
      <c r="H142" s="177"/>
      <c r="I142" s="177"/>
      <c r="J142" s="177"/>
      <c r="K142" s="88"/>
      <c r="L142" s="383"/>
      <c r="M142" s="177"/>
      <c r="N142" s="177"/>
      <c r="O142" s="177"/>
      <c r="P142" s="88"/>
      <c r="Q142" s="151"/>
      <c r="R142" s="177"/>
      <c r="S142" s="177"/>
      <c r="T142" s="177"/>
      <c r="U142" s="391"/>
      <c r="V142" s="383"/>
      <c r="W142" s="177"/>
      <c r="X142" s="177"/>
      <c r="Y142" s="177"/>
      <c r="Z142" s="391"/>
      <c r="AA142" s="383"/>
      <c r="AB142" s="177"/>
      <c r="AC142" s="177"/>
      <c r="AD142" s="177"/>
      <c r="AE142" s="391"/>
      <c r="AF142" s="383"/>
      <c r="AG142" s="177"/>
      <c r="AH142" s="177"/>
      <c r="AI142" s="177"/>
      <c r="AJ142" s="391"/>
      <c r="AK142" s="383"/>
      <c r="AL142" s="177"/>
      <c r="AM142" s="177"/>
      <c r="AN142" s="177"/>
      <c r="AO142" s="192"/>
      <c r="AP142" s="191"/>
      <c r="AQ142" s="184"/>
      <c r="AR142" s="184"/>
      <c r="AS142" s="184"/>
    </row>
    <row r="143">
      <c r="A143" s="391"/>
      <c r="B143" s="383"/>
      <c r="C143" s="177"/>
      <c r="D143" s="177"/>
      <c r="E143" s="177"/>
      <c r="F143" s="391"/>
      <c r="G143" s="383"/>
      <c r="H143" s="177"/>
      <c r="I143" s="177"/>
      <c r="J143" s="177"/>
      <c r="K143" s="88"/>
      <c r="L143" s="383"/>
      <c r="M143" s="177"/>
      <c r="N143" s="177"/>
      <c r="O143" s="177"/>
      <c r="P143" s="88"/>
      <c r="Q143" s="151"/>
      <c r="R143" s="177"/>
      <c r="S143" s="177"/>
      <c r="T143" s="177"/>
      <c r="U143" s="391"/>
      <c r="V143" s="383"/>
      <c r="W143" s="177"/>
      <c r="X143" s="177"/>
      <c r="Y143" s="177"/>
      <c r="Z143" s="391"/>
      <c r="AA143" s="383"/>
      <c r="AB143" s="177"/>
      <c r="AC143" s="177"/>
      <c r="AD143" s="177"/>
      <c r="AE143" s="391"/>
      <c r="AF143" s="383"/>
      <c r="AG143" s="177"/>
      <c r="AH143" s="177"/>
      <c r="AI143" s="177"/>
      <c r="AJ143" s="391"/>
      <c r="AK143" s="383"/>
      <c r="AL143" s="177"/>
      <c r="AM143" s="177"/>
      <c r="AN143" s="177"/>
      <c r="AO143" s="192"/>
      <c r="AP143" s="191"/>
      <c r="AQ143" s="184"/>
      <c r="AR143" s="184"/>
      <c r="AS143" s="184"/>
    </row>
    <row r="144">
      <c r="A144" s="391"/>
      <c r="B144" s="383"/>
      <c r="C144" s="177"/>
      <c r="D144" s="177"/>
      <c r="E144" s="177"/>
      <c r="F144" s="391"/>
      <c r="G144" s="383"/>
      <c r="H144" s="177"/>
      <c r="I144" s="177"/>
      <c r="J144" s="177"/>
      <c r="K144" s="88"/>
      <c r="L144" s="383"/>
      <c r="M144" s="177"/>
      <c r="N144" s="177"/>
      <c r="O144" s="177"/>
      <c r="P144" s="88"/>
      <c r="Q144" s="151"/>
      <c r="R144" s="177"/>
      <c r="S144" s="177"/>
      <c r="T144" s="177"/>
      <c r="U144" s="391"/>
      <c r="V144" s="383"/>
      <c r="W144" s="177"/>
      <c r="X144" s="177"/>
      <c r="Y144" s="177"/>
      <c r="Z144" s="391"/>
      <c r="AA144" s="383"/>
      <c r="AB144" s="177"/>
      <c r="AC144" s="177"/>
      <c r="AD144" s="177"/>
      <c r="AE144" s="391"/>
      <c r="AF144" s="383"/>
      <c r="AG144" s="177"/>
      <c r="AH144" s="177"/>
      <c r="AI144" s="177"/>
      <c r="AJ144" s="391"/>
      <c r="AK144" s="383"/>
      <c r="AL144" s="177"/>
      <c r="AM144" s="177"/>
      <c r="AN144" s="177"/>
      <c r="AO144" s="192"/>
      <c r="AP144" s="191"/>
      <c r="AQ144" s="184"/>
      <c r="AR144" s="184"/>
      <c r="AS144" s="184"/>
    </row>
    <row r="145">
      <c r="A145" s="391"/>
      <c r="B145" s="383"/>
      <c r="C145" s="177"/>
      <c r="D145" s="177"/>
      <c r="E145" s="177"/>
      <c r="F145" s="391"/>
      <c r="G145" s="383"/>
      <c r="H145" s="177"/>
      <c r="I145" s="177"/>
      <c r="J145" s="177"/>
      <c r="K145" s="88"/>
      <c r="L145" s="383"/>
      <c r="M145" s="177"/>
      <c r="N145" s="177"/>
      <c r="O145" s="177"/>
      <c r="P145" s="88"/>
      <c r="Q145" s="151"/>
      <c r="R145" s="177"/>
      <c r="S145" s="177"/>
      <c r="T145" s="177"/>
      <c r="U145" s="391"/>
      <c r="V145" s="383"/>
      <c r="W145" s="177"/>
      <c r="X145" s="177"/>
      <c r="Y145" s="177"/>
      <c r="Z145" s="391"/>
      <c r="AA145" s="383"/>
      <c r="AB145" s="177"/>
      <c r="AC145" s="177"/>
      <c r="AD145" s="177"/>
      <c r="AE145" s="391"/>
      <c r="AF145" s="383"/>
      <c r="AG145" s="177"/>
      <c r="AH145" s="177"/>
      <c r="AI145" s="177"/>
      <c r="AJ145" s="391"/>
      <c r="AK145" s="383"/>
      <c r="AL145" s="177"/>
      <c r="AM145" s="177"/>
      <c r="AN145" s="177"/>
      <c r="AO145" s="192"/>
      <c r="AP145" s="191"/>
      <c r="AQ145" s="184"/>
      <c r="AR145" s="184"/>
      <c r="AS145" s="184"/>
    </row>
    <row r="146">
      <c r="A146" s="391"/>
      <c r="B146" s="383"/>
      <c r="C146" s="177"/>
      <c r="D146" s="177"/>
      <c r="E146" s="177"/>
      <c r="F146" s="391"/>
      <c r="G146" s="383"/>
      <c r="H146" s="177"/>
      <c r="I146" s="177"/>
      <c r="J146" s="177"/>
      <c r="K146" s="88"/>
      <c r="L146" s="383"/>
      <c r="M146" s="177"/>
      <c r="N146" s="177"/>
      <c r="O146" s="177"/>
      <c r="P146" s="88"/>
      <c r="Q146" s="151"/>
      <c r="R146" s="177"/>
      <c r="S146" s="177"/>
      <c r="T146" s="177"/>
      <c r="U146" s="391"/>
      <c r="V146" s="383"/>
      <c r="W146" s="177"/>
      <c r="X146" s="177"/>
      <c r="Y146" s="177"/>
      <c r="Z146" s="391"/>
      <c r="AA146" s="383"/>
      <c r="AB146" s="177"/>
      <c r="AC146" s="177"/>
      <c r="AD146" s="177"/>
      <c r="AE146" s="391"/>
      <c r="AF146" s="383"/>
      <c r="AG146" s="177"/>
      <c r="AH146" s="177"/>
      <c r="AI146" s="177"/>
      <c r="AJ146" s="391"/>
      <c r="AK146" s="383"/>
      <c r="AL146" s="177"/>
      <c r="AM146" s="177"/>
      <c r="AN146" s="177"/>
      <c r="AO146" s="192"/>
      <c r="AP146" s="191"/>
      <c r="AQ146" s="184"/>
      <c r="AR146" s="184"/>
      <c r="AS146" s="184"/>
    </row>
    <row r="147">
      <c r="A147" s="391"/>
      <c r="B147" s="383"/>
      <c r="C147" s="177"/>
      <c r="D147" s="177"/>
      <c r="E147" s="177"/>
      <c r="F147" s="391"/>
      <c r="G147" s="383"/>
      <c r="H147" s="177"/>
      <c r="I147" s="177"/>
      <c r="J147" s="177"/>
      <c r="K147" s="88"/>
      <c r="L147" s="383"/>
      <c r="M147" s="177"/>
      <c r="N147" s="177"/>
      <c r="O147" s="177"/>
      <c r="P147" s="88"/>
      <c r="Q147" s="151"/>
      <c r="R147" s="177"/>
      <c r="S147" s="177"/>
      <c r="T147" s="177"/>
      <c r="U147" s="391"/>
      <c r="V147" s="383"/>
      <c r="W147" s="177"/>
      <c r="X147" s="177"/>
      <c r="Y147" s="177"/>
      <c r="Z147" s="391"/>
      <c r="AA147" s="383"/>
      <c r="AB147" s="177"/>
      <c r="AC147" s="177"/>
      <c r="AD147" s="177"/>
      <c r="AE147" s="391"/>
      <c r="AF147" s="383"/>
      <c r="AG147" s="177"/>
      <c r="AH147" s="177"/>
      <c r="AI147" s="177"/>
      <c r="AJ147" s="391"/>
      <c r="AK147" s="383"/>
      <c r="AL147" s="177"/>
      <c r="AM147" s="177"/>
      <c r="AN147" s="177"/>
      <c r="AO147" s="192"/>
      <c r="AP147" s="191"/>
      <c r="AQ147" s="184"/>
      <c r="AR147" s="184"/>
      <c r="AS147" s="184"/>
    </row>
    <row r="148">
      <c r="A148" s="391"/>
      <c r="B148" s="383"/>
      <c r="C148" s="177"/>
      <c r="D148" s="177"/>
      <c r="E148" s="177"/>
      <c r="F148" s="391"/>
      <c r="G148" s="383"/>
      <c r="H148" s="177"/>
      <c r="I148" s="177"/>
      <c r="J148" s="177"/>
      <c r="K148" s="88"/>
      <c r="L148" s="383"/>
      <c r="M148" s="177"/>
      <c r="N148" s="177"/>
      <c r="O148" s="177"/>
      <c r="P148" s="88"/>
      <c r="Q148" s="151"/>
      <c r="R148" s="177"/>
      <c r="S148" s="177"/>
      <c r="T148" s="177"/>
      <c r="U148" s="391"/>
      <c r="V148" s="383"/>
      <c r="W148" s="177"/>
      <c r="X148" s="177"/>
      <c r="Y148" s="177"/>
      <c r="Z148" s="391"/>
      <c r="AA148" s="383"/>
      <c r="AB148" s="177"/>
      <c r="AC148" s="177"/>
      <c r="AD148" s="177"/>
      <c r="AE148" s="391"/>
      <c r="AF148" s="383"/>
      <c r="AG148" s="177"/>
      <c r="AH148" s="177"/>
      <c r="AI148" s="177"/>
      <c r="AJ148" s="391"/>
      <c r="AK148" s="383"/>
      <c r="AL148" s="177"/>
      <c r="AM148" s="177"/>
      <c r="AN148" s="177"/>
      <c r="AO148" s="192"/>
      <c r="AP148" s="191"/>
      <c r="AQ148" s="184"/>
      <c r="AR148" s="184"/>
      <c r="AS148" s="184"/>
    </row>
    <row r="149">
      <c r="A149" s="391"/>
      <c r="B149" s="383"/>
      <c r="C149" s="177"/>
      <c r="D149" s="177"/>
      <c r="E149" s="177"/>
      <c r="F149" s="391"/>
      <c r="G149" s="383"/>
      <c r="H149" s="177"/>
      <c r="I149" s="177"/>
      <c r="J149" s="177"/>
      <c r="K149" s="88"/>
      <c r="L149" s="383"/>
      <c r="M149" s="177"/>
      <c r="N149" s="177"/>
      <c r="O149" s="177"/>
      <c r="P149" s="88"/>
      <c r="Q149" s="151"/>
      <c r="R149" s="177"/>
      <c r="S149" s="177"/>
      <c r="T149" s="177"/>
      <c r="U149" s="391"/>
      <c r="V149" s="383"/>
      <c r="W149" s="177"/>
      <c r="X149" s="177"/>
      <c r="Y149" s="177"/>
      <c r="Z149" s="391"/>
      <c r="AA149" s="383"/>
      <c r="AB149" s="177"/>
      <c r="AC149" s="177"/>
      <c r="AD149" s="177"/>
      <c r="AE149" s="391"/>
      <c r="AF149" s="383"/>
      <c r="AG149" s="177"/>
      <c r="AH149" s="177"/>
      <c r="AI149" s="177"/>
      <c r="AJ149" s="391"/>
      <c r="AK149" s="383"/>
      <c r="AL149" s="177"/>
      <c r="AM149" s="177"/>
      <c r="AN149" s="177"/>
      <c r="AO149" s="192"/>
      <c r="AP149" s="191"/>
      <c r="AQ149" s="184"/>
      <c r="AR149" s="184"/>
      <c r="AS149" s="184"/>
    </row>
    <row r="150">
      <c r="A150" s="391"/>
      <c r="B150" s="383"/>
      <c r="C150" s="177"/>
      <c r="D150" s="177"/>
      <c r="E150" s="177"/>
      <c r="F150" s="391"/>
      <c r="G150" s="383"/>
      <c r="H150" s="177"/>
      <c r="I150" s="177"/>
      <c r="J150" s="177"/>
      <c r="K150" s="88"/>
      <c r="L150" s="383"/>
      <c r="M150" s="177"/>
      <c r="N150" s="177"/>
      <c r="O150" s="177"/>
      <c r="P150" s="88"/>
      <c r="Q150" s="151"/>
      <c r="R150" s="177"/>
      <c r="S150" s="177"/>
      <c r="T150" s="177"/>
      <c r="U150" s="391"/>
      <c r="V150" s="383"/>
      <c r="W150" s="177"/>
      <c r="X150" s="177"/>
      <c r="Y150" s="177"/>
      <c r="Z150" s="391"/>
      <c r="AA150" s="383"/>
      <c r="AB150" s="177"/>
      <c r="AC150" s="177"/>
      <c r="AD150" s="177"/>
      <c r="AE150" s="391"/>
      <c r="AF150" s="383"/>
      <c r="AG150" s="177"/>
      <c r="AH150" s="177"/>
      <c r="AI150" s="177"/>
      <c r="AJ150" s="391"/>
      <c r="AK150" s="383"/>
      <c r="AL150" s="177"/>
      <c r="AM150" s="177"/>
      <c r="AN150" s="177"/>
      <c r="AO150" s="192"/>
      <c r="AP150" s="191"/>
      <c r="AQ150" s="184"/>
      <c r="AR150" s="184"/>
      <c r="AS150" s="184"/>
    </row>
    <row r="151">
      <c r="A151" s="391"/>
      <c r="B151" s="383"/>
      <c r="C151" s="177"/>
      <c r="D151" s="177"/>
      <c r="E151" s="177"/>
      <c r="F151" s="391"/>
      <c r="G151" s="383"/>
      <c r="H151" s="177"/>
      <c r="I151" s="177"/>
      <c r="J151" s="177"/>
      <c r="K151" s="88"/>
      <c r="L151" s="383"/>
      <c r="M151" s="177"/>
      <c r="N151" s="177"/>
      <c r="O151" s="177"/>
      <c r="P151" s="88"/>
      <c r="Q151" s="151"/>
      <c r="R151" s="177"/>
      <c r="S151" s="177"/>
      <c r="T151" s="177"/>
      <c r="U151" s="391"/>
      <c r="V151" s="383"/>
      <c r="W151" s="177"/>
      <c r="X151" s="177"/>
      <c r="Y151" s="177"/>
      <c r="Z151" s="391"/>
      <c r="AA151" s="383"/>
      <c r="AB151" s="177"/>
      <c r="AC151" s="177"/>
      <c r="AD151" s="177"/>
      <c r="AE151" s="391"/>
      <c r="AF151" s="383"/>
      <c r="AG151" s="177"/>
      <c r="AH151" s="177"/>
      <c r="AI151" s="177"/>
      <c r="AJ151" s="391"/>
      <c r="AK151" s="383"/>
      <c r="AL151" s="177"/>
      <c r="AM151" s="177"/>
      <c r="AN151" s="177"/>
      <c r="AO151" s="192"/>
      <c r="AP151" s="191"/>
      <c r="AQ151" s="184"/>
      <c r="AR151" s="184"/>
      <c r="AS151" s="184"/>
    </row>
    <row r="152">
      <c r="A152" s="391"/>
      <c r="B152" s="383"/>
      <c r="C152" s="177"/>
      <c r="D152" s="177"/>
      <c r="E152" s="177"/>
      <c r="F152" s="391"/>
      <c r="G152" s="383"/>
      <c r="H152" s="177"/>
      <c r="I152" s="177"/>
      <c r="J152" s="177"/>
      <c r="K152" s="88"/>
      <c r="L152" s="383"/>
      <c r="M152" s="177"/>
      <c r="N152" s="177"/>
      <c r="O152" s="177"/>
      <c r="P152" s="88"/>
      <c r="Q152" s="151"/>
      <c r="R152" s="177"/>
      <c r="S152" s="177"/>
      <c r="T152" s="177"/>
      <c r="U152" s="391"/>
      <c r="V152" s="383"/>
      <c r="W152" s="177"/>
      <c r="X152" s="177"/>
      <c r="Y152" s="177"/>
      <c r="Z152" s="391"/>
      <c r="AA152" s="383"/>
      <c r="AB152" s="177"/>
      <c r="AC152" s="177"/>
      <c r="AD152" s="177"/>
      <c r="AE152" s="391"/>
      <c r="AF152" s="383"/>
      <c r="AG152" s="177"/>
      <c r="AH152" s="177"/>
      <c r="AI152" s="177"/>
      <c r="AJ152" s="391"/>
      <c r="AK152" s="383"/>
      <c r="AL152" s="177"/>
      <c r="AM152" s="177"/>
      <c r="AN152" s="177"/>
      <c r="AO152" s="192"/>
      <c r="AP152" s="191"/>
      <c r="AQ152" s="184"/>
      <c r="AR152" s="184"/>
      <c r="AS152" s="184"/>
    </row>
    <row r="153">
      <c r="A153" s="391"/>
      <c r="B153" s="383"/>
      <c r="C153" s="177"/>
      <c r="D153" s="177"/>
      <c r="E153" s="177"/>
      <c r="F153" s="391"/>
      <c r="G153" s="383"/>
      <c r="H153" s="177"/>
      <c r="I153" s="177"/>
      <c r="J153" s="177"/>
      <c r="K153" s="88"/>
      <c r="L153" s="383"/>
      <c r="M153" s="177"/>
      <c r="N153" s="177"/>
      <c r="O153" s="177"/>
      <c r="P153" s="88"/>
      <c r="Q153" s="151"/>
      <c r="R153" s="177"/>
      <c r="S153" s="177"/>
      <c r="T153" s="177"/>
      <c r="U153" s="391"/>
      <c r="V153" s="383"/>
      <c r="W153" s="177"/>
      <c r="X153" s="177"/>
      <c r="Y153" s="177"/>
      <c r="Z153" s="391"/>
      <c r="AA153" s="383"/>
      <c r="AB153" s="177"/>
      <c r="AC153" s="177"/>
      <c r="AD153" s="177"/>
      <c r="AE153" s="391"/>
      <c r="AF153" s="383"/>
      <c r="AG153" s="177"/>
      <c r="AH153" s="177"/>
      <c r="AI153" s="177"/>
      <c r="AJ153" s="391"/>
      <c r="AK153" s="383"/>
      <c r="AL153" s="177"/>
      <c r="AM153" s="177"/>
      <c r="AN153" s="177"/>
      <c r="AO153" s="192"/>
      <c r="AP153" s="191"/>
      <c r="AQ153" s="184"/>
      <c r="AR153" s="184"/>
      <c r="AS153" s="184"/>
    </row>
    <row r="154">
      <c r="A154" s="391"/>
      <c r="B154" s="383"/>
      <c r="C154" s="177"/>
      <c r="D154" s="177"/>
      <c r="E154" s="177"/>
      <c r="F154" s="391"/>
      <c r="G154" s="383"/>
      <c r="H154" s="177"/>
      <c r="I154" s="177"/>
      <c r="J154" s="177"/>
      <c r="K154" s="88"/>
      <c r="L154" s="383"/>
      <c r="M154" s="177"/>
      <c r="N154" s="177"/>
      <c r="O154" s="177"/>
      <c r="P154" s="88"/>
      <c r="Q154" s="151"/>
      <c r="R154" s="177"/>
      <c r="S154" s="177"/>
      <c r="T154" s="177"/>
      <c r="U154" s="391"/>
      <c r="V154" s="383"/>
      <c r="W154" s="177"/>
      <c r="X154" s="177"/>
      <c r="Y154" s="177"/>
      <c r="Z154" s="391"/>
      <c r="AA154" s="383"/>
      <c r="AB154" s="177"/>
      <c r="AC154" s="177"/>
      <c r="AD154" s="177"/>
      <c r="AE154" s="391"/>
      <c r="AF154" s="383"/>
      <c r="AG154" s="177"/>
      <c r="AH154" s="177"/>
      <c r="AI154" s="177"/>
      <c r="AJ154" s="391"/>
      <c r="AK154" s="383"/>
      <c r="AL154" s="177"/>
      <c r="AM154" s="177"/>
      <c r="AN154" s="177"/>
      <c r="AO154" s="192"/>
      <c r="AP154" s="191"/>
      <c r="AQ154" s="184"/>
      <c r="AR154" s="184"/>
      <c r="AS154" s="184"/>
    </row>
    <row r="155">
      <c r="A155" s="391"/>
      <c r="B155" s="383"/>
      <c r="C155" s="177"/>
      <c r="D155" s="177"/>
      <c r="E155" s="177"/>
      <c r="F155" s="391"/>
      <c r="G155" s="383"/>
      <c r="H155" s="177"/>
      <c r="I155" s="177"/>
      <c r="J155" s="177"/>
      <c r="K155" s="88"/>
      <c r="L155" s="383"/>
      <c r="M155" s="177"/>
      <c r="N155" s="177"/>
      <c r="O155" s="177"/>
      <c r="P155" s="88"/>
      <c r="Q155" s="151"/>
      <c r="R155" s="177"/>
      <c r="S155" s="177"/>
      <c r="T155" s="177"/>
      <c r="U155" s="391"/>
      <c r="V155" s="383"/>
      <c r="W155" s="177"/>
      <c r="X155" s="177"/>
      <c r="Y155" s="177"/>
      <c r="Z155" s="391"/>
      <c r="AA155" s="383"/>
      <c r="AB155" s="177"/>
      <c r="AC155" s="177"/>
      <c r="AD155" s="177"/>
      <c r="AE155" s="391"/>
      <c r="AF155" s="383"/>
      <c r="AG155" s="177"/>
      <c r="AH155" s="177"/>
      <c r="AI155" s="177"/>
      <c r="AJ155" s="391"/>
      <c r="AK155" s="383"/>
      <c r="AL155" s="177"/>
      <c r="AM155" s="177"/>
      <c r="AN155" s="177"/>
      <c r="AO155" s="192"/>
      <c r="AP155" s="191"/>
      <c r="AQ155" s="184"/>
      <c r="AR155" s="184"/>
      <c r="AS155" s="184"/>
    </row>
    <row r="156">
      <c r="A156" s="391"/>
      <c r="B156" s="383"/>
      <c r="C156" s="177"/>
      <c r="D156" s="177"/>
      <c r="E156" s="177"/>
      <c r="F156" s="391"/>
      <c r="G156" s="383"/>
      <c r="H156" s="177"/>
      <c r="I156" s="177"/>
      <c r="J156" s="177"/>
      <c r="K156" s="88"/>
      <c r="L156" s="383"/>
      <c r="M156" s="177"/>
      <c r="N156" s="177"/>
      <c r="O156" s="177"/>
      <c r="P156" s="88"/>
      <c r="Q156" s="151"/>
      <c r="R156" s="177"/>
      <c r="S156" s="177"/>
      <c r="T156" s="177"/>
      <c r="U156" s="391"/>
      <c r="V156" s="383"/>
      <c r="W156" s="177"/>
      <c r="X156" s="177"/>
      <c r="Y156" s="177"/>
      <c r="Z156" s="391"/>
      <c r="AA156" s="383"/>
      <c r="AB156" s="177"/>
      <c r="AC156" s="177"/>
      <c r="AD156" s="177"/>
      <c r="AE156" s="391"/>
      <c r="AF156" s="383"/>
      <c r="AG156" s="177"/>
      <c r="AH156" s="177"/>
      <c r="AI156" s="177"/>
      <c r="AJ156" s="391"/>
      <c r="AK156" s="383"/>
      <c r="AL156" s="177"/>
      <c r="AM156" s="177"/>
      <c r="AN156" s="177"/>
      <c r="AO156" s="192"/>
      <c r="AP156" s="191"/>
      <c r="AQ156" s="184"/>
      <c r="AR156" s="184"/>
      <c r="AS156" s="184"/>
    </row>
    <row r="157">
      <c r="A157" s="391"/>
      <c r="B157" s="383"/>
      <c r="C157" s="177"/>
      <c r="D157" s="177"/>
      <c r="E157" s="177"/>
      <c r="F157" s="391"/>
      <c r="G157" s="383"/>
      <c r="H157" s="177"/>
      <c r="I157" s="177"/>
      <c r="J157" s="177"/>
      <c r="K157" s="88"/>
      <c r="L157" s="383"/>
      <c r="M157" s="177"/>
      <c r="N157" s="177"/>
      <c r="O157" s="177"/>
      <c r="P157" s="88"/>
      <c r="Q157" s="151"/>
      <c r="R157" s="177"/>
      <c r="S157" s="177"/>
      <c r="T157" s="177"/>
      <c r="U157" s="391"/>
      <c r="V157" s="383"/>
      <c r="W157" s="177"/>
      <c r="X157" s="177"/>
      <c r="Y157" s="177"/>
      <c r="Z157" s="391"/>
      <c r="AA157" s="383"/>
      <c r="AB157" s="177"/>
      <c r="AC157" s="177"/>
      <c r="AD157" s="177"/>
      <c r="AE157" s="391"/>
      <c r="AF157" s="383"/>
      <c r="AG157" s="177"/>
      <c r="AH157" s="177"/>
      <c r="AI157" s="177"/>
      <c r="AJ157" s="391"/>
      <c r="AK157" s="383"/>
      <c r="AL157" s="177"/>
      <c r="AM157" s="177"/>
      <c r="AN157" s="177"/>
      <c r="AO157" s="192"/>
      <c r="AP157" s="191"/>
      <c r="AQ157" s="184"/>
      <c r="AR157" s="184"/>
      <c r="AS157" s="184"/>
    </row>
    <row r="158">
      <c r="A158" s="391"/>
      <c r="B158" s="383"/>
      <c r="C158" s="177"/>
      <c r="D158" s="177"/>
      <c r="E158" s="177"/>
      <c r="F158" s="391"/>
      <c r="G158" s="383"/>
      <c r="H158" s="177"/>
      <c r="I158" s="177"/>
      <c r="J158" s="177"/>
      <c r="K158" s="88"/>
      <c r="L158" s="383"/>
      <c r="M158" s="177"/>
      <c r="N158" s="177"/>
      <c r="O158" s="177"/>
      <c r="P158" s="88"/>
      <c r="Q158" s="151"/>
      <c r="R158" s="177"/>
      <c r="S158" s="177"/>
      <c r="T158" s="177"/>
      <c r="U158" s="391"/>
      <c r="V158" s="383"/>
      <c r="W158" s="177"/>
      <c r="X158" s="177"/>
      <c r="Y158" s="177"/>
      <c r="Z158" s="391"/>
      <c r="AA158" s="383"/>
      <c r="AB158" s="177"/>
      <c r="AC158" s="177"/>
      <c r="AD158" s="177"/>
      <c r="AE158" s="391"/>
      <c r="AF158" s="383"/>
      <c r="AG158" s="177"/>
      <c r="AH158" s="177"/>
      <c r="AI158" s="177"/>
      <c r="AJ158" s="391"/>
      <c r="AK158" s="383"/>
      <c r="AL158" s="177"/>
      <c r="AM158" s="177"/>
      <c r="AN158" s="177"/>
      <c r="AO158" s="192"/>
      <c r="AP158" s="191"/>
      <c r="AQ158" s="184"/>
      <c r="AR158" s="184"/>
      <c r="AS158" s="184"/>
    </row>
    <row r="159">
      <c r="A159" s="391"/>
      <c r="B159" s="383"/>
      <c r="C159" s="177"/>
      <c r="D159" s="177"/>
      <c r="E159" s="177"/>
      <c r="F159" s="391"/>
      <c r="G159" s="383"/>
      <c r="H159" s="177"/>
      <c r="I159" s="177"/>
      <c r="J159" s="177"/>
      <c r="K159" s="88"/>
      <c r="L159" s="383"/>
      <c r="M159" s="177"/>
      <c r="N159" s="177"/>
      <c r="O159" s="177"/>
      <c r="P159" s="88"/>
      <c r="Q159" s="151"/>
      <c r="R159" s="177"/>
      <c r="S159" s="177"/>
      <c r="T159" s="177"/>
      <c r="U159" s="391"/>
      <c r="V159" s="383"/>
      <c r="W159" s="177"/>
      <c r="X159" s="177"/>
      <c r="Y159" s="177"/>
      <c r="Z159" s="391"/>
      <c r="AA159" s="383"/>
      <c r="AB159" s="177"/>
      <c r="AC159" s="177"/>
      <c r="AD159" s="177"/>
      <c r="AE159" s="391"/>
      <c r="AF159" s="383"/>
      <c r="AG159" s="177"/>
      <c r="AH159" s="177"/>
      <c r="AI159" s="177"/>
      <c r="AJ159" s="391"/>
      <c r="AK159" s="383"/>
      <c r="AL159" s="177"/>
      <c r="AM159" s="177"/>
      <c r="AN159" s="177"/>
      <c r="AO159" s="192"/>
      <c r="AP159" s="191"/>
      <c r="AQ159" s="184"/>
      <c r="AR159" s="184"/>
      <c r="AS159" s="184"/>
    </row>
    <row r="160">
      <c r="A160" s="391"/>
      <c r="B160" s="383"/>
      <c r="C160" s="177"/>
      <c r="D160" s="177"/>
      <c r="E160" s="177"/>
      <c r="F160" s="391"/>
      <c r="G160" s="383"/>
      <c r="H160" s="177"/>
      <c r="I160" s="177"/>
      <c r="J160" s="177"/>
      <c r="K160" s="88"/>
      <c r="L160" s="383"/>
      <c r="M160" s="177"/>
      <c r="N160" s="177"/>
      <c r="O160" s="177"/>
      <c r="P160" s="88"/>
      <c r="Q160" s="151"/>
      <c r="R160" s="177"/>
      <c r="S160" s="177"/>
      <c r="T160" s="177"/>
      <c r="U160" s="391"/>
      <c r="V160" s="383"/>
      <c r="W160" s="177"/>
      <c r="X160" s="177"/>
      <c r="Y160" s="177"/>
      <c r="Z160" s="391"/>
      <c r="AA160" s="383"/>
      <c r="AB160" s="177"/>
      <c r="AC160" s="177"/>
      <c r="AD160" s="177"/>
      <c r="AE160" s="391"/>
      <c r="AF160" s="383"/>
      <c r="AG160" s="177"/>
      <c r="AH160" s="177"/>
      <c r="AI160" s="177"/>
      <c r="AJ160" s="391"/>
      <c r="AK160" s="383"/>
      <c r="AL160" s="177"/>
      <c r="AM160" s="177"/>
      <c r="AN160" s="177"/>
      <c r="AO160" s="192"/>
      <c r="AP160" s="191"/>
      <c r="AQ160" s="184"/>
      <c r="AR160" s="184"/>
      <c r="AS160" s="184"/>
    </row>
    <row r="161">
      <c r="A161" s="391"/>
      <c r="B161" s="383"/>
      <c r="C161" s="177"/>
      <c r="D161" s="177"/>
      <c r="E161" s="177"/>
      <c r="F161" s="391"/>
      <c r="G161" s="383"/>
      <c r="H161" s="177"/>
      <c r="I161" s="177"/>
      <c r="J161" s="177"/>
      <c r="K161" s="88"/>
      <c r="L161" s="383"/>
      <c r="M161" s="177"/>
      <c r="N161" s="177"/>
      <c r="O161" s="177"/>
      <c r="P161" s="88"/>
      <c r="Q161" s="151"/>
      <c r="R161" s="177"/>
      <c r="S161" s="177"/>
      <c r="T161" s="177"/>
      <c r="U161" s="391"/>
      <c r="V161" s="383"/>
      <c r="W161" s="177"/>
      <c r="X161" s="177"/>
      <c r="Y161" s="177"/>
      <c r="Z161" s="391"/>
      <c r="AA161" s="383"/>
      <c r="AB161" s="177"/>
      <c r="AC161" s="177"/>
      <c r="AD161" s="177"/>
      <c r="AE161" s="391"/>
      <c r="AF161" s="383"/>
      <c r="AG161" s="177"/>
      <c r="AH161" s="177"/>
      <c r="AI161" s="177"/>
      <c r="AJ161" s="391"/>
      <c r="AK161" s="383"/>
      <c r="AL161" s="177"/>
      <c r="AM161" s="177"/>
      <c r="AN161" s="177"/>
      <c r="AO161" s="192"/>
      <c r="AP161" s="191"/>
      <c r="AQ161" s="184"/>
      <c r="AR161" s="184"/>
      <c r="AS161" s="184"/>
    </row>
    <row r="162">
      <c r="A162" s="391"/>
      <c r="B162" s="383"/>
      <c r="C162" s="177"/>
      <c r="D162" s="177"/>
      <c r="E162" s="177"/>
      <c r="F162" s="391"/>
      <c r="G162" s="383"/>
      <c r="H162" s="177"/>
      <c r="I162" s="177"/>
      <c r="J162" s="177"/>
      <c r="K162" s="88"/>
      <c r="L162" s="383"/>
      <c r="M162" s="177"/>
      <c r="N162" s="177"/>
      <c r="O162" s="177"/>
      <c r="P162" s="88"/>
      <c r="Q162" s="151"/>
      <c r="R162" s="177"/>
      <c r="S162" s="177"/>
      <c r="T162" s="177"/>
      <c r="U162" s="391"/>
      <c r="V162" s="383"/>
      <c r="W162" s="177"/>
      <c r="X162" s="177"/>
      <c r="Y162" s="177"/>
      <c r="Z162" s="391"/>
      <c r="AA162" s="383"/>
      <c r="AB162" s="177"/>
      <c r="AC162" s="177"/>
      <c r="AD162" s="177"/>
      <c r="AE162" s="391"/>
      <c r="AF162" s="383"/>
      <c r="AG162" s="177"/>
      <c r="AH162" s="177"/>
      <c r="AI162" s="177"/>
      <c r="AJ162" s="391"/>
      <c r="AK162" s="383"/>
      <c r="AL162" s="177"/>
      <c r="AM162" s="177"/>
      <c r="AN162" s="177"/>
      <c r="AO162" s="192"/>
      <c r="AP162" s="191"/>
      <c r="AQ162" s="184"/>
      <c r="AR162" s="184"/>
      <c r="AS162" s="184"/>
    </row>
    <row r="163">
      <c r="A163" s="391"/>
      <c r="B163" s="383"/>
      <c r="C163" s="177"/>
      <c r="D163" s="177"/>
      <c r="E163" s="177"/>
      <c r="F163" s="391"/>
      <c r="G163" s="383"/>
      <c r="H163" s="177"/>
      <c r="I163" s="177"/>
      <c r="J163" s="177"/>
      <c r="K163" s="88"/>
      <c r="L163" s="383"/>
      <c r="M163" s="177"/>
      <c r="N163" s="177"/>
      <c r="O163" s="177"/>
      <c r="P163" s="88"/>
      <c r="Q163" s="151"/>
      <c r="R163" s="177"/>
      <c r="S163" s="177"/>
      <c r="T163" s="177"/>
      <c r="U163" s="391"/>
      <c r="V163" s="383"/>
      <c r="W163" s="177"/>
      <c r="X163" s="177"/>
      <c r="Y163" s="177"/>
      <c r="Z163" s="391"/>
      <c r="AA163" s="383"/>
      <c r="AB163" s="177"/>
      <c r="AC163" s="177"/>
      <c r="AD163" s="177"/>
      <c r="AE163" s="391"/>
      <c r="AF163" s="383"/>
      <c r="AG163" s="177"/>
      <c r="AH163" s="177"/>
      <c r="AI163" s="177"/>
      <c r="AJ163" s="391"/>
      <c r="AK163" s="383"/>
      <c r="AL163" s="177"/>
      <c r="AM163" s="177"/>
      <c r="AN163" s="177"/>
      <c r="AO163" s="192"/>
      <c r="AP163" s="191"/>
      <c r="AQ163" s="184"/>
      <c r="AR163" s="184"/>
      <c r="AS163" s="184"/>
    </row>
    <row r="164">
      <c r="A164" s="391"/>
      <c r="B164" s="383"/>
      <c r="C164" s="177"/>
      <c r="D164" s="177"/>
      <c r="E164" s="177"/>
      <c r="F164" s="391"/>
      <c r="G164" s="383"/>
      <c r="H164" s="177"/>
      <c r="I164" s="177"/>
      <c r="J164" s="177"/>
      <c r="K164" s="88"/>
      <c r="L164" s="383"/>
      <c r="M164" s="177"/>
      <c r="N164" s="177"/>
      <c r="O164" s="177"/>
      <c r="P164" s="88"/>
      <c r="Q164" s="151"/>
      <c r="R164" s="177"/>
      <c r="S164" s="177"/>
      <c r="T164" s="177"/>
      <c r="U164" s="391"/>
      <c r="V164" s="383"/>
      <c r="W164" s="177"/>
      <c r="X164" s="177"/>
      <c r="Y164" s="177"/>
      <c r="Z164" s="391"/>
      <c r="AA164" s="383"/>
      <c r="AB164" s="177"/>
      <c r="AC164" s="177"/>
      <c r="AD164" s="177"/>
      <c r="AE164" s="391"/>
      <c r="AF164" s="383"/>
      <c r="AG164" s="177"/>
      <c r="AH164" s="177"/>
      <c r="AI164" s="177"/>
      <c r="AJ164" s="391"/>
      <c r="AK164" s="383"/>
      <c r="AL164" s="177"/>
      <c r="AM164" s="177"/>
      <c r="AN164" s="177"/>
      <c r="AO164" s="192"/>
      <c r="AP164" s="191"/>
      <c r="AQ164" s="184"/>
      <c r="AR164" s="184"/>
      <c r="AS164" s="184"/>
    </row>
    <row r="165">
      <c r="A165" s="391"/>
      <c r="B165" s="383"/>
      <c r="C165" s="177"/>
      <c r="D165" s="177"/>
      <c r="E165" s="177"/>
      <c r="F165" s="391"/>
      <c r="G165" s="383"/>
      <c r="H165" s="177"/>
      <c r="I165" s="177"/>
      <c r="J165" s="177"/>
      <c r="K165" s="88"/>
      <c r="L165" s="383"/>
      <c r="M165" s="177"/>
      <c r="N165" s="177"/>
      <c r="O165" s="177"/>
      <c r="P165" s="88"/>
      <c r="Q165" s="151"/>
      <c r="R165" s="177"/>
      <c r="S165" s="177"/>
      <c r="T165" s="177"/>
      <c r="U165" s="391"/>
      <c r="V165" s="383"/>
      <c r="W165" s="177"/>
      <c r="X165" s="177"/>
      <c r="Y165" s="177"/>
      <c r="Z165" s="391"/>
      <c r="AA165" s="383"/>
      <c r="AB165" s="177"/>
      <c r="AC165" s="177"/>
      <c r="AD165" s="177"/>
      <c r="AE165" s="391"/>
      <c r="AF165" s="383"/>
      <c r="AG165" s="177"/>
      <c r="AH165" s="177"/>
      <c r="AI165" s="177"/>
      <c r="AJ165" s="391"/>
      <c r="AK165" s="383"/>
      <c r="AL165" s="177"/>
      <c r="AM165" s="177"/>
      <c r="AN165" s="177"/>
      <c r="AO165" s="192"/>
      <c r="AP165" s="191"/>
      <c r="AQ165" s="184"/>
      <c r="AR165" s="184"/>
      <c r="AS165" s="184"/>
    </row>
    <row r="166">
      <c r="A166" s="391"/>
      <c r="B166" s="383"/>
      <c r="C166" s="177"/>
      <c r="D166" s="177"/>
      <c r="E166" s="177"/>
      <c r="F166" s="391"/>
      <c r="G166" s="383"/>
      <c r="H166" s="177"/>
      <c r="I166" s="177"/>
      <c r="J166" s="177"/>
      <c r="K166" s="88"/>
      <c r="L166" s="383"/>
      <c r="M166" s="177"/>
      <c r="N166" s="177"/>
      <c r="O166" s="177"/>
      <c r="P166" s="88"/>
      <c r="Q166" s="151"/>
      <c r="R166" s="177"/>
      <c r="S166" s="177"/>
      <c r="T166" s="177"/>
      <c r="U166" s="391"/>
      <c r="V166" s="383"/>
      <c r="W166" s="177"/>
      <c r="X166" s="177"/>
      <c r="Y166" s="177"/>
      <c r="Z166" s="391"/>
      <c r="AA166" s="383"/>
      <c r="AB166" s="177"/>
      <c r="AC166" s="177"/>
      <c r="AD166" s="177"/>
      <c r="AE166" s="391"/>
      <c r="AF166" s="383"/>
      <c r="AG166" s="177"/>
      <c r="AH166" s="177"/>
      <c r="AI166" s="177"/>
      <c r="AJ166" s="391"/>
      <c r="AK166" s="383"/>
      <c r="AL166" s="177"/>
      <c r="AM166" s="177"/>
      <c r="AN166" s="177"/>
      <c r="AO166" s="192"/>
      <c r="AP166" s="191"/>
      <c r="AQ166" s="184"/>
      <c r="AR166" s="184"/>
      <c r="AS166" s="184"/>
    </row>
    <row r="167">
      <c r="A167" s="391"/>
      <c r="B167" s="383"/>
      <c r="C167" s="177"/>
      <c r="D167" s="177"/>
      <c r="E167" s="177"/>
      <c r="F167" s="391"/>
      <c r="G167" s="383"/>
      <c r="H167" s="177"/>
      <c r="I167" s="177"/>
      <c r="J167" s="177"/>
      <c r="K167" s="88"/>
      <c r="L167" s="383"/>
      <c r="M167" s="177"/>
      <c r="N167" s="177"/>
      <c r="O167" s="177"/>
      <c r="P167" s="88"/>
      <c r="Q167" s="151"/>
      <c r="R167" s="177"/>
      <c r="S167" s="177"/>
      <c r="T167" s="177"/>
      <c r="U167" s="391"/>
      <c r="V167" s="383"/>
      <c r="W167" s="177"/>
      <c r="X167" s="177"/>
      <c r="Y167" s="177"/>
      <c r="Z167" s="391"/>
      <c r="AA167" s="383"/>
      <c r="AB167" s="177"/>
      <c r="AC167" s="177"/>
      <c r="AD167" s="177"/>
      <c r="AE167" s="391"/>
      <c r="AF167" s="383"/>
      <c r="AG167" s="177"/>
      <c r="AH167" s="177"/>
      <c r="AI167" s="177"/>
      <c r="AJ167" s="391"/>
      <c r="AK167" s="383"/>
      <c r="AL167" s="177"/>
      <c r="AM167" s="177"/>
      <c r="AN167" s="177"/>
      <c r="AO167" s="192"/>
      <c r="AP167" s="191"/>
      <c r="AQ167" s="184"/>
      <c r="AR167" s="184"/>
      <c r="AS167" s="184"/>
    </row>
    <row r="168">
      <c r="A168" s="391"/>
      <c r="B168" s="383"/>
      <c r="C168" s="177"/>
      <c r="D168" s="177"/>
      <c r="E168" s="177"/>
      <c r="F168" s="391"/>
      <c r="G168" s="383"/>
      <c r="H168" s="177"/>
      <c r="I168" s="177"/>
      <c r="J168" s="177"/>
      <c r="K168" s="88"/>
      <c r="L168" s="383"/>
      <c r="M168" s="177"/>
      <c r="N168" s="177"/>
      <c r="O168" s="177"/>
      <c r="P168" s="88"/>
      <c r="Q168" s="151"/>
      <c r="R168" s="177"/>
      <c r="S168" s="177"/>
      <c r="T168" s="177"/>
      <c r="U168" s="391"/>
      <c r="V168" s="383"/>
      <c r="W168" s="177"/>
      <c r="X168" s="177"/>
      <c r="Y168" s="177"/>
      <c r="Z168" s="391"/>
      <c r="AA168" s="383"/>
      <c r="AB168" s="177"/>
      <c r="AC168" s="177"/>
      <c r="AD168" s="177"/>
      <c r="AE168" s="391"/>
      <c r="AF168" s="383"/>
      <c r="AG168" s="177"/>
      <c r="AH168" s="177"/>
      <c r="AI168" s="177"/>
      <c r="AJ168" s="391"/>
      <c r="AK168" s="383"/>
      <c r="AL168" s="177"/>
      <c r="AM168" s="177"/>
      <c r="AN168" s="177"/>
      <c r="AO168" s="192"/>
      <c r="AP168" s="191"/>
      <c r="AQ168" s="184"/>
      <c r="AR168" s="184"/>
      <c r="AS168" s="184"/>
    </row>
    <row r="169">
      <c r="A169" s="391"/>
      <c r="B169" s="383"/>
      <c r="C169" s="177"/>
      <c r="D169" s="177"/>
      <c r="E169" s="177"/>
      <c r="F169" s="391"/>
      <c r="G169" s="383"/>
      <c r="H169" s="177"/>
      <c r="I169" s="177"/>
      <c r="J169" s="177"/>
      <c r="K169" s="88"/>
      <c r="L169" s="383"/>
      <c r="M169" s="177"/>
      <c r="N169" s="177"/>
      <c r="O169" s="177"/>
      <c r="P169" s="88"/>
      <c r="Q169" s="151"/>
      <c r="R169" s="177"/>
      <c r="S169" s="177"/>
      <c r="T169" s="177"/>
      <c r="U169" s="391"/>
      <c r="V169" s="383"/>
      <c r="W169" s="177"/>
      <c r="X169" s="177"/>
      <c r="Y169" s="177"/>
      <c r="Z169" s="391"/>
      <c r="AA169" s="383"/>
      <c r="AB169" s="177"/>
      <c r="AC169" s="177"/>
      <c r="AD169" s="177"/>
      <c r="AE169" s="391"/>
      <c r="AF169" s="383"/>
      <c r="AG169" s="177"/>
      <c r="AH169" s="177"/>
      <c r="AI169" s="177"/>
      <c r="AJ169" s="391"/>
      <c r="AK169" s="383"/>
      <c r="AL169" s="177"/>
      <c r="AM169" s="177"/>
      <c r="AN169" s="177"/>
      <c r="AO169" s="192"/>
      <c r="AP169" s="191"/>
      <c r="AQ169" s="184"/>
      <c r="AR169" s="184"/>
      <c r="AS169" s="184"/>
    </row>
    <row r="170">
      <c r="A170" s="391"/>
      <c r="B170" s="383"/>
      <c r="C170" s="177"/>
      <c r="D170" s="177"/>
      <c r="E170" s="177"/>
      <c r="F170" s="391"/>
      <c r="G170" s="383"/>
      <c r="H170" s="177"/>
      <c r="I170" s="177"/>
      <c r="J170" s="177"/>
      <c r="K170" s="88"/>
      <c r="L170" s="383"/>
      <c r="M170" s="177"/>
      <c r="N170" s="177"/>
      <c r="O170" s="177"/>
      <c r="P170" s="88"/>
      <c r="Q170" s="151"/>
      <c r="R170" s="177"/>
      <c r="S170" s="177"/>
      <c r="T170" s="177"/>
      <c r="U170" s="391"/>
      <c r="V170" s="383"/>
      <c r="W170" s="177"/>
      <c r="X170" s="177"/>
      <c r="Y170" s="177"/>
      <c r="Z170" s="391"/>
      <c r="AA170" s="383"/>
      <c r="AB170" s="177"/>
      <c r="AC170" s="177"/>
      <c r="AD170" s="177"/>
      <c r="AE170" s="391"/>
      <c r="AF170" s="383"/>
      <c r="AG170" s="177"/>
      <c r="AH170" s="177"/>
      <c r="AI170" s="177"/>
      <c r="AJ170" s="391"/>
      <c r="AK170" s="383"/>
      <c r="AL170" s="177"/>
      <c r="AM170" s="177"/>
      <c r="AN170" s="177"/>
      <c r="AO170" s="192"/>
      <c r="AP170" s="191"/>
      <c r="AQ170" s="184"/>
      <c r="AR170" s="184"/>
      <c r="AS170" s="184"/>
    </row>
    <row r="171">
      <c r="A171" s="391"/>
      <c r="B171" s="383"/>
      <c r="C171" s="177"/>
      <c r="D171" s="177"/>
      <c r="E171" s="177"/>
      <c r="F171" s="391"/>
      <c r="G171" s="383"/>
      <c r="H171" s="177"/>
      <c r="I171" s="177"/>
      <c r="J171" s="177"/>
      <c r="K171" s="88"/>
      <c r="L171" s="383"/>
      <c r="M171" s="177"/>
      <c r="N171" s="177"/>
      <c r="O171" s="177"/>
      <c r="P171" s="88"/>
      <c r="Q171" s="151"/>
      <c r="R171" s="177"/>
      <c r="S171" s="177"/>
      <c r="T171" s="177"/>
      <c r="U171" s="391"/>
      <c r="V171" s="383"/>
      <c r="W171" s="177"/>
      <c r="X171" s="177"/>
      <c r="Y171" s="177"/>
      <c r="Z171" s="391"/>
      <c r="AA171" s="383"/>
      <c r="AB171" s="177"/>
      <c r="AC171" s="177"/>
      <c r="AD171" s="177"/>
      <c r="AE171" s="391"/>
      <c r="AF171" s="383"/>
      <c r="AG171" s="177"/>
      <c r="AH171" s="177"/>
      <c r="AI171" s="177"/>
      <c r="AJ171" s="391"/>
      <c r="AK171" s="383"/>
      <c r="AL171" s="177"/>
      <c r="AM171" s="177"/>
      <c r="AN171" s="177"/>
      <c r="AO171" s="192"/>
      <c r="AP171" s="191"/>
      <c r="AQ171" s="184"/>
      <c r="AR171" s="184"/>
      <c r="AS171" s="184"/>
    </row>
    <row r="172">
      <c r="A172" s="391"/>
      <c r="B172" s="383"/>
      <c r="C172" s="177"/>
      <c r="D172" s="177"/>
      <c r="E172" s="177"/>
      <c r="F172" s="391"/>
      <c r="G172" s="383"/>
      <c r="H172" s="177"/>
      <c r="I172" s="177"/>
      <c r="J172" s="177"/>
      <c r="K172" s="88"/>
      <c r="L172" s="383"/>
      <c r="M172" s="177"/>
      <c r="N172" s="177"/>
      <c r="O172" s="177"/>
      <c r="P172" s="88"/>
      <c r="Q172" s="151"/>
      <c r="R172" s="177"/>
      <c r="S172" s="177"/>
      <c r="T172" s="177"/>
      <c r="U172" s="391"/>
      <c r="V172" s="383"/>
      <c r="W172" s="177"/>
      <c r="X172" s="177"/>
      <c r="Y172" s="177"/>
      <c r="Z172" s="391"/>
      <c r="AA172" s="383"/>
      <c r="AB172" s="177"/>
      <c r="AC172" s="177"/>
      <c r="AD172" s="177"/>
      <c r="AE172" s="391"/>
      <c r="AF172" s="383"/>
      <c r="AG172" s="177"/>
      <c r="AH172" s="177"/>
      <c r="AI172" s="177"/>
      <c r="AJ172" s="391"/>
      <c r="AK172" s="383"/>
      <c r="AL172" s="177"/>
      <c r="AM172" s="177"/>
      <c r="AN172" s="177"/>
      <c r="AO172" s="192"/>
      <c r="AP172" s="191"/>
      <c r="AQ172" s="184"/>
      <c r="AR172" s="184"/>
      <c r="AS172" s="184"/>
    </row>
    <row r="173">
      <c r="A173" s="391"/>
      <c r="B173" s="383"/>
      <c r="C173" s="177"/>
      <c r="D173" s="177"/>
      <c r="E173" s="177"/>
      <c r="F173" s="391"/>
      <c r="G173" s="383"/>
      <c r="H173" s="177"/>
      <c r="I173" s="177"/>
      <c r="J173" s="177"/>
      <c r="K173" s="88"/>
      <c r="L173" s="383"/>
      <c r="M173" s="177"/>
      <c r="N173" s="177"/>
      <c r="O173" s="177"/>
      <c r="P173" s="88"/>
      <c r="Q173" s="151"/>
      <c r="R173" s="177"/>
      <c r="S173" s="177"/>
      <c r="T173" s="177"/>
      <c r="U173" s="391"/>
      <c r="V173" s="383"/>
      <c r="W173" s="177"/>
      <c r="X173" s="177"/>
      <c r="Y173" s="177"/>
      <c r="Z173" s="391"/>
      <c r="AA173" s="383"/>
      <c r="AB173" s="177"/>
      <c r="AC173" s="177"/>
      <c r="AD173" s="177"/>
      <c r="AE173" s="391"/>
      <c r="AF173" s="383"/>
      <c r="AG173" s="177"/>
      <c r="AH173" s="177"/>
      <c r="AI173" s="177"/>
      <c r="AJ173" s="391"/>
      <c r="AK173" s="383"/>
      <c r="AL173" s="177"/>
      <c r="AM173" s="177"/>
      <c r="AN173" s="177"/>
      <c r="AO173" s="192"/>
      <c r="AP173" s="191"/>
      <c r="AQ173" s="184"/>
      <c r="AR173" s="184"/>
      <c r="AS173" s="184"/>
    </row>
    <row r="174">
      <c r="A174" s="391"/>
      <c r="B174" s="383"/>
      <c r="C174" s="177"/>
      <c r="D174" s="177"/>
      <c r="E174" s="177"/>
      <c r="F174" s="391"/>
      <c r="G174" s="383"/>
      <c r="H174" s="177"/>
      <c r="I174" s="177"/>
      <c r="J174" s="177"/>
      <c r="K174" s="88"/>
      <c r="L174" s="383"/>
      <c r="M174" s="177"/>
      <c r="N174" s="177"/>
      <c r="O174" s="177"/>
      <c r="P174" s="88"/>
      <c r="Q174" s="151"/>
      <c r="R174" s="177"/>
      <c r="S174" s="177"/>
      <c r="T174" s="177"/>
      <c r="U174" s="391"/>
      <c r="V174" s="383"/>
      <c r="W174" s="177"/>
      <c r="X174" s="177"/>
      <c r="Y174" s="177"/>
      <c r="Z174" s="391"/>
      <c r="AA174" s="383"/>
      <c r="AB174" s="177"/>
      <c r="AC174" s="177"/>
      <c r="AD174" s="177"/>
      <c r="AE174" s="391"/>
      <c r="AF174" s="383"/>
      <c r="AG174" s="177"/>
      <c r="AH174" s="177"/>
      <c r="AI174" s="177"/>
      <c r="AJ174" s="391"/>
      <c r="AK174" s="383"/>
      <c r="AL174" s="177"/>
      <c r="AM174" s="177"/>
      <c r="AN174" s="177"/>
      <c r="AO174" s="192"/>
      <c r="AP174" s="191"/>
      <c r="AQ174" s="184"/>
      <c r="AR174" s="184"/>
      <c r="AS174" s="184"/>
    </row>
    <row r="175">
      <c r="A175" s="391"/>
      <c r="B175" s="383"/>
      <c r="C175" s="177"/>
      <c r="D175" s="177"/>
      <c r="E175" s="177"/>
      <c r="F175" s="391"/>
      <c r="G175" s="383"/>
      <c r="H175" s="177"/>
      <c r="I175" s="177"/>
      <c r="J175" s="177"/>
      <c r="K175" s="88"/>
      <c r="L175" s="383"/>
      <c r="M175" s="177"/>
      <c r="N175" s="177"/>
      <c r="O175" s="177"/>
      <c r="P175" s="88"/>
      <c r="Q175" s="151"/>
      <c r="R175" s="177"/>
      <c r="S175" s="177"/>
      <c r="T175" s="177"/>
      <c r="U175" s="391"/>
      <c r="V175" s="383"/>
      <c r="W175" s="177"/>
      <c r="X175" s="177"/>
      <c r="Y175" s="177"/>
      <c r="Z175" s="391"/>
      <c r="AA175" s="383"/>
      <c r="AB175" s="177"/>
      <c r="AC175" s="177"/>
      <c r="AD175" s="177"/>
      <c r="AE175" s="391"/>
      <c r="AF175" s="383"/>
      <c r="AG175" s="177"/>
      <c r="AH175" s="177"/>
      <c r="AI175" s="177"/>
      <c r="AJ175" s="391"/>
      <c r="AK175" s="383"/>
      <c r="AL175" s="177"/>
      <c r="AM175" s="177"/>
      <c r="AN175" s="177"/>
      <c r="AO175" s="192"/>
      <c r="AP175" s="191"/>
      <c r="AQ175" s="184"/>
      <c r="AR175" s="184"/>
      <c r="AS175" s="184"/>
    </row>
    <row r="176">
      <c r="A176" s="391"/>
      <c r="B176" s="383"/>
      <c r="C176" s="177"/>
      <c r="D176" s="177"/>
      <c r="E176" s="177"/>
      <c r="F176" s="391"/>
      <c r="G176" s="383"/>
      <c r="H176" s="177"/>
      <c r="I176" s="177"/>
      <c r="J176" s="177"/>
      <c r="K176" s="88"/>
      <c r="L176" s="383"/>
      <c r="M176" s="177"/>
      <c r="N176" s="177"/>
      <c r="O176" s="177"/>
      <c r="P176" s="88"/>
      <c r="Q176" s="151"/>
      <c r="R176" s="177"/>
      <c r="S176" s="177"/>
      <c r="T176" s="177"/>
      <c r="U176" s="391"/>
      <c r="V176" s="383"/>
      <c r="W176" s="177"/>
      <c r="X176" s="177"/>
      <c r="Y176" s="177"/>
      <c r="Z176" s="391"/>
      <c r="AA176" s="383"/>
      <c r="AB176" s="177"/>
      <c r="AC176" s="177"/>
      <c r="AD176" s="177"/>
      <c r="AE176" s="391"/>
      <c r="AF176" s="383"/>
      <c r="AG176" s="177"/>
      <c r="AH176" s="177"/>
      <c r="AI176" s="177"/>
      <c r="AJ176" s="391"/>
      <c r="AK176" s="383"/>
      <c r="AL176" s="177"/>
      <c r="AM176" s="177"/>
      <c r="AN176" s="177"/>
      <c r="AO176" s="192"/>
      <c r="AP176" s="191"/>
      <c r="AQ176" s="184"/>
      <c r="AR176" s="184"/>
      <c r="AS176" s="184"/>
    </row>
    <row r="177">
      <c r="A177" s="391"/>
      <c r="B177" s="383"/>
      <c r="C177" s="177"/>
      <c r="D177" s="177"/>
      <c r="E177" s="177"/>
      <c r="F177" s="391"/>
      <c r="G177" s="383"/>
      <c r="H177" s="177"/>
      <c r="I177" s="177"/>
      <c r="J177" s="177"/>
      <c r="K177" s="88"/>
      <c r="L177" s="383"/>
      <c r="M177" s="177"/>
      <c r="N177" s="177"/>
      <c r="O177" s="177"/>
      <c r="P177" s="88"/>
      <c r="Q177" s="151"/>
      <c r="R177" s="177"/>
      <c r="S177" s="177"/>
      <c r="T177" s="177"/>
      <c r="U177" s="391"/>
      <c r="V177" s="383"/>
      <c r="W177" s="177"/>
      <c r="X177" s="177"/>
      <c r="Y177" s="177"/>
      <c r="Z177" s="391"/>
      <c r="AA177" s="383"/>
      <c r="AB177" s="177"/>
      <c r="AC177" s="177"/>
      <c r="AD177" s="177"/>
      <c r="AE177" s="391"/>
      <c r="AF177" s="383"/>
      <c r="AG177" s="177"/>
      <c r="AH177" s="177"/>
      <c r="AI177" s="177"/>
      <c r="AJ177" s="391"/>
      <c r="AK177" s="383"/>
      <c r="AL177" s="177"/>
      <c r="AM177" s="177"/>
      <c r="AN177" s="177"/>
      <c r="AO177" s="192"/>
      <c r="AP177" s="191"/>
      <c r="AQ177" s="184"/>
      <c r="AR177" s="184"/>
      <c r="AS177" s="184"/>
    </row>
    <row r="178">
      <c r="A178" s="391"/>
      <c r="B178" s="383"/>
      <c r="C178" s="177"/>
      <c r="D178" s="177"/>
      <c r="E178" s="177"/>
      <c r="F178" s="391"/>
      <c r="G178" s="383"/>
      <c r="H178" s="177"/>
      <c r="I178" s="177"/>
      <c r="J178" s="177"/>
      <c r="K178" s="88"/>
      <c r="L178" s="383"/>
      <c r="M178" s="177"/>
      <c r="N178" s="177"/>
      <c r="O178" s="177"/>
      <c r="P178" s="88"/>
      <c r="Q178" s="151"/>
      <c r="R178" s="177"/>
      <c r="S178" s="177"/>
      <c r="T178" s="177"/>
      <c r="U178" s="391"/>
      <c r="V178" s="383"/>
      <c r="W178" s="177"/>
      <c r="X178" s="177"/>
      <c r="Y178" s="177"/>
      <c r="Z178" s="391"/>
      <c r="AA178" s="383"/>
      <c r="AB178" s="177"/>
      <c r="AC178" s="177"/>
      <c r="AD178" s="177"/>
      <c r="AE178" s="391"/>
      <c r="AF178" s="383"/>
      <c r="AG178" s="177"/>
      <c r="AH178" s="177"/>
      <c r="AI178" s="177"/>
      <c r="AJ178" s="391"/>
      <c r="AK178" s="383"/>
      <c r="AL178" s="177"/>
      <c r="AM178" s="177"/>
      <c r="AN178" s="177"/>
      <c r="AO178" s="192"/>
      <c r="AP178" s="191"/>
      <c r="AQ178" s="184"/>
      <c r="AR178" s="184"/>
      <c r="AS178" s="184"/>
    </row>
    <row r="179">
      <c r="A179" s="391"/>
      <c r="B179" s="383"/>
      <c r="C179" s="177"/>
      <c r="D179" s="177"/>
      <c r="E179" s="177"/>
      <c r="F179" s="391"/>
      <c r="G179" s="383"/>
      <c r="H179" s="177"/>
      <c r="I179" s="177"/>
      <c r="J179" s="177"/>
      <c r="K179" s="88"/>
      <c r="L179" s="383"/>
      <c r="M179" s="177"/>
      <c r="N179" s="177"/>
      <c r="O179" s="177"/>
      <c r="P179" s="88"/>
      <c r="Q179" s="151"/>
      <c r="R179" s="177"/>
      <c r="S179" s="177"/>
      <c r="T179" s="177"/>
      <c r="U179" s="391"/>
      <c r="V179" s="383"/>
      <c r="W179" s="177"/>
      <c r="X179" s="177"/>
      <c r="Y179" s="177"/>
      <c r="Z179" s="391"/>
      <c r="AA179" s="383"/>
      <c r="AB179" s="177"/>
      <c r="AC179" s="177"/>
      <c r="AD179" s="177"/>
      <c r="AE179" s="391"/>
      <c r="AF179" s="383"/>
      <c r="AG179" s="177"/>
      <c r="AH179" s="177"/>
      <c r="AI179" s="177"/>
      <c r="AJ179" s="391"/>
      <c r="AK179" s="383"/>
      <c r="AL179" s="177"/>
      <c r="AM179" s="177"/>
      <c r="AN179" s="177"/>
      <c r="AO179" s="192"/>
      <c r="AP179" s="191"/>
      <c r="AQ179" s="184"/>
      <c r="AR179" s="184"/>
      <c r="AS179" s="184"/>
    </row>
    <row r="180">
      <c r="A180" s="391"/>
      <c r="B180" s="383"/>
      <c r="C180" s="177"/>
      <c r="D180" s="177"/>
      <c r="E180" s="177"/>
      <c r="F180" s="391"/>
      <c r="G180" s="383"/>
      <c r="H180" s="177"/>
      <c r="I180" s="177"/>
      <c r="J180" s="177"/>
      <c r="K180" s="88"/>
      <c r="L180" s="383"/>
      <c r="M180" s="177"/>
      <c r="N180" s="177"/>
      <c r="O180" s="177"/>
      <c r="P180" s="88"/>
      <c r="Q180" s="151"/>
      <c r="R180" s="177"/>
      <c r="S180" s="177"/>
      <c r="T180" s="177"/>
      <c r="U180" s="391"/>
      <c r="V180" s="383"/>
      <c r="W180" s="177"/>
      <c r="X180" s="177"/>
      <c r="Y180" s="177"/>
      <c r="Z180" s="391"/>
      <c r="AA180" s="383"/>
      <c r="AB180" s="177"/>
      <c r="AC180" s="177"/>
      <c r="AD180" s="177"/>
      <c r="AE180" s="391"/>
      <c r="AF180" s="383"/>
      <c r="AG180" s="177"/>
      <c r="AH180" s="177"/>
      <c r="AI180" s="177"/>
      <c r="AJ180" s="391"/>
      <c r="AK180" s="383"/>
      <c r="AL180" s="177"/>
      <c r="AM180" s="177"/>
      <c r="AN180" s="177"/>
      <c r="AO180" s="192"/>
      <c r="AP180" s="191"/>
      <c r="AQ180" s="184"/>
      <c r="AR180" s="184"/>
      <c r="AS180" s="184"/>
    </row>
    <row r="181">
      <c r="A181" s="391"/>
      <c r="B181" s="383"/>
      <c r="C181" s="177"/>
      <c r="D181" s="177"/>
      <c r="E181" s="177"/>
      <c r="F181" s="391"/>
      <c r="G181" s="383"/>
      <c r="H181" s="177"/>
      <c r="I181" s="177"/>
      <c r="J181" s="177"/>
      <c r="K181" s="88"/>
      <c r="L181" s="383"/>
      <c r="M181" s="177"/>
      <c r="N181" s="177"/>
      <c r="O181" s="177"/>
      <c r="P181" s="88"/>
      <c r="Q181" s="151"/>
      <c r="R181" s="177"/>
      <c r="S181" s="177"/>
      <c r="T181" s="177"/>
      <c r="U181" s="391"/>
      <c r="V181" s="383"/>
      <c r="W181" s="177"/>
      <c r="X181" s="177"/>
      <c r="Y181" s="177"/>
      <c r="Z181" s="391"/>
      <c r="AA181" s="383"/>
      <c r="AB181" s="177"/>
      <c r="AC181" s="177"/>
      <c r="AD181" s="177"/>
      <c r="AE181" s="391"/>
      <c r="AF181" s="383"/>
      <c r="AG181" s="177"/>
      <c r="AH181" s="177"/>
      <c r="AI181" s="177"/>
      <c r="AJ181" s="391"/>
      <c r="AK181" s="383"/>
      <c r="AL181" s="177"/>
      <c r="AM181" s="177"/>
      <c r="AN181" s="177"/>
      <c r="AO181" s="192"/>
      <c r="AP181" s="191"/>
      <c r="AQ181" s="184"/>
      <c r="AR181" s="184"/>
      <c r="AS181" s="184"/>
    </row>
    <row r="182">
      <c r="A182" s="391"/>
      <c r="B182" s="383"/>
      <c r="C182" s="177"/>
      <c r="D182" s="177"/>
      <c r="E182" s="177"/>
      <c r="F182" s="391"/>
      <c r="G182" s="383"/>
      <c r="H182" s="177"/>
      <c r="I182" s="177"/>
      <c r="J182" s="177"/>
      <c r="K182" s="88"/>
      <c r="L182" s="383"/>
      <c r="M182" s="177"/>
      <c r="N182" s="177"/>
      <c r="O182" s="177"/>
      <c r="P182" s="88"/>
      <c r="Q182" s="151"/>
      <c r="R182" s="177"/>
      <c r="S182" s="177"/>
      <c r="T182" s="177"/>
      <c r="U182" s="391"/>
      <c r="V182" s="383"/>
      <c r="W182" s="177"/>
      <c r="X182" s="177"/>
      <c r="Y182" s="177"/>
      <c r="Z182" s="391"/>
      <c r="AA182" s="383"/>
      <c r="AB182" s="177"/>
      <c r="AC182" s="177"/>
      <c r="AD182" s="177"/>
      <c r="AE182" s="391"/>
      <c r="AF182" s="383"/>
      <c r="AG182" s="177"/>
      <c r="AH182" s="177"/>
      <c r="AI182" s="177"/>
      <c r="AJ182" s="391"/>
      <c r="AK182" s="383"/>
      <c r="AL182" s="177"/>
      <c r="AM182" s="177"/>
      <c r="AN182" s="177"/>
      <c r="AO182" s="192"/>
      <c r="AP182" s="191"/>
      <c r="AQ182" s="184"/>
      <c r="AR182" s="184"/>
      <c r="AS182" s="184"/>
    </row>
    <row r="183">
      <c r="A183" s="391"/>
      <c r="B183" s="383"/>
      <c r="C183" s="177"/>
      <c r="D183" s="177"/>
      <c r="E183" s="177"/>
      <c r="F183" s="391"/>
      <c r="G183" s="383"/>
      <c r="H183" s="177"/>
      <c r="I183" s="177"/>
      <c r="J183" s="177"/>
      <c r="K183" s="88"/>
      <c r="L183" s="383"/>
      <c r="M183" s="177"/>
      <c r="N183" s="177"/>
      <c r="O183" s="177"/>
      <c r="P183" s="88"/>
      <c r="Q183" s="151"/>
      <c r="R183" s="177"/>
      <c r="S183" s="177"/>
      <c r="T183" s="177"/>
      <c r="U183" s="391"/>
      <c r="V183" s="383"/>
      <c r="W183" s="177"/>
      <c r="X183" s="177"/>
      <c r="Y183" s="177"/>
      <c r="Z183" s="391"/>
      <c r="AA183" s="383"/>
      <c r="AB183" s="177"/>
      <c r="AC183" s="177"/>
      <c r="AD183" s="177"/>
      <c r="AE183" s="391"/>
      <c r="AF183" s="383"/>
      <c r="AG183" s="177"/>
      <c r="AH183" s="177"/>
      <c r="AI183" s="177"/>
      <c r="AJ183" s="391"/>
      <c r="AK183" s="383"/>
      <c r="AL183" s="177"/>
      <c r="AM183" s="177"/>
      <c r="AN183" s="177"/>
      <c r="AO183" s="192"/>
      <c r="AP183" s="191"/>
      <c r="AQ183" s="184"/>
      <c r="AR183" s="184"/>
      <c r="AS183" s="184"/>
    </row>
    <row r="184">
      <c r="A184" s="391"/>
      <c r="B184" s="383"/>
      <c r="C184" s="177"/>
      <c r="D184" s="177"/>
      <c r="E184" s="177"/>
      <c r="F184" s="391"/>
      <c r="G184" s="383"/>
      <c r="H184" s="177"/>
      <c r="I184" s="177"/>
      <c r="J184" s="177"/>
      <c r="K184" s="88"/>
      <c r="L184" s="383"/>
      <c r="M184" s="177"/>
      <c r="N184" s="177"/>
      <c r="O184" s="177"/>
      <c r="P184" s="88"/>
      <c r="Q184" s="151"/>
      <c r="R184" s="177"/>
      <c r="S184" s="177"/>
      <c r="T184" s="177"/>
      <c r="U184" s="391"/>
      <c r="V184" s="383"/>
      <c r="W184" s="177"/>
      <c r="X184" s="177"/>
      <c r="Y184" s="177"/>
      <c r="Z184" s="391"/>
      <c r="AA184" s="383"/>
      <c r="AB184" s="177"/>
      <c r="AC184" s="177"/>
      <c r="AD184" s="177"/>
      <c r="AE184" s="391"/>
      <c r="AF184" s="383"/>
      <c r="AG184" s="177"/>
      <c r="AH184" s="177"/>
      <c r="AI184" s="177"/>
      <c r="AJ184" s="391"/>
      <c r="AK184" s="383"/>
      <c r="AL184" s="177"/>
      <c r="AM184" s="177"/>
      <c r="AN184" s="177"/>
      <c r="AO184" s="192"/>
      <c r="AP184" s="191"/>
      <c r="AQ184" s="184"/>
      <c r="AR184" s="184"/>
      <c r="AS184" s="184"/>
    </row>
    <row r="185">
      <c r="A185" s="391"/>
      <c r="B185" s="383"/>
      <c r="C185" s="177"/>
      <c r="D185" s="177"/>
      <c r="E185" s="177"/>
      <c r="F185" s="391"/>
      <c r="G185" s="383"/>
      <c r="H185" s="177"/>
      <c r="I185" s="177"/>
      <c r="J185" s="177"/>
      <c r="K185" s="88"/>
      <c r="L185" s="383"/>
      <c r="M185" s="177"/>
      <c r="N185" s="177"/>
      <c r="O185" s="177"/>
      <c r="P185" s="88"/>
      <c r="Q185" s="151"/>
      <c r="R185" s="177"/>
      <c r="S185" s="177"/>
      <c r="T185" s="177"/>
      <c r="U185" s="391"/>
      <c r="V185" s="383"/>
      <c r="W185" s="177"/>
      <c r="X185" s="177"/>
      <c r="Y185" s="177"/>
      <c r="Z185" s="391"/>
      <c r="AA185" s="383"/>
      <c r="AB185" s="177"/>
      <c r="AC185" s="177"/>
      <c r="AD185" s="177"/>
      <c r="AE185" s="391"/>
      <c r="AF185" s="383"/>
      <c r="AG185" s="177"/>
      <c r="AH185" s="177"/>
      <c r="AI185" s="177"/>
      <c r="AJ185" s="391"/>
      <c r="AK185" s="383"/>
      <c r="AL185" s="177"/>
      <c r="AM185" s="177"/>
      <c r="AN185" s="177"/>
      <c r="AO185" s="192"/>
      <c r="AP185" s="191"/>
      <c r="AQ185" s="184"/>
      <c r="AR185" s="184"/>
      <c r="AS185" s="184"/>
    </row>
    <row r="186">
      <c r="A186" s="391"/>
      <c r="B186" s="383"/>
      <c r="C186" s="177"/>
      <c r="D186" s="177"/>
      <c r="E186" s="177"/>
      <c r="F186" s="391"/>
      <c r="G186" s="383"/>
      <c r="H186" s="177"/>
      <c r="I186" s="177"/>
      <c r="J186" s="177"/>
      <c r="K186" s="88"/>
      <c r="L186" s="383"/>
      <c r="M186" s="177"/>
      <c r="N186" s="177"/>
      <c r="O186" s="177"/>
      <c r="P186" s="88"/>
      <c r="Q186" s="151"/>
      <c r="R186" s="177"/>
      <c r="S186" s="177"/>
      <c r="T186" s="177"/>
      <c r="U186" s="391"/>
      <c r="V186" s="383"/>
      <c r="W186" s="177"/>
      <c r="X186" s="177"/>
      <c r="Y186" s="177"/>
      <c r="Z186" s="391"/>
      <c r="AA186" s="383"/>
      <c r="AB186" s="177"/>
      <c r="AC186" s="177"/>
      <c r="AD186" s="177"/>
      <c r="AE186" s="391"/>
      <c r="AF186" s="383"/>
      <c r="AG186" s="177"/>
      <c r="AH186" s="177"/>
      <c r="AI186" s="177"/>
      <c r="AJ186" s="391"/>
      <c r="AK186" s="383"/>
      <c r="AL186" s="177"/>
      <c r="AM186" s="177"/>
      <c r="AN186" s="177"/>
      <c r="AO186" s="192"/>
      <c r="AP186" s="191"/>
      <c r="AQ186" s="184"/>
      <c r="AR186" s="184"/>
      <c r="AS186" s="184"/>
    </row>
    <row r="187">
      <c r="A187" s="391"/>
      <c r="B187" s="383"/>
      <c r="C187" s="177"/>
      <c r="D187" s="177"/>
      <c r="E187" s="177"/>
      <c r="F187" s="391"/>
      <c r="G187" s="383"/>
      <c r="H187" s="177"/>
      <c r="I187" s="177"/>
      <c r="J187" s="177"/>
      <c r="K187" s="88"/>
      <c r="L187" s="383"/>
      <c r="M187" s="177"/>
      <c r="N187" s="177"/>
      <c r="O187" s="177"/>
      <c r="P187" s="88"/>
      <c r="Q187" s="151"/>
      <c r="R187" s="177"/>
      <c r="S187" s="177"/>
      <c r="T187" s="177"/>
      <c r="U187" s="391"/>
      <c r="V187" s="383"/>
      <c r="W187" s="177"/>
      <c r="X187" s="177"/>
      <c r="Y187" s="177"/>
      <c r="Z187" s="391"/>
      <c r="AA187" s="383"/>
      <c r="AB187" s="177"/>
      <c r="AC187" s="177"/>
      <c r="AD187" s="177"/>
      <c r="AE187" s="391"/>
      <c r="AF187" s="383"/>
      <c r="AG187" s="177"/>
      <c r="AH187" s="177"/>
      <c r="AI187" s="177"/>
      <c r="AJ187" s="391"/>
      <c r="AK187" s="383"/>
      <c r="AL187" s="177"/>
      <c r="AM187" s="177"/>
      <c r="AN187" s="177"/>
      <c r="AO187" s="192"/>
      <c r="AP187" s="191"/>
      <c r="AQ187" s="184"/>
      <c r="AR187" s="184"/>
      <c r="AS187" s="184"/>
    </row>
    <row r="188">
      <c r="A188" s="391"/>
      <c r="B188" s="383"/>
      <c r="C188" s="177"/>
      <c r="D188" s="177"/>
      <c r="E188" s="177"/>
      <c r="F188" s="391"/>
      <c r="G188" s="383"/>
      <c r="H188" s="177"/>
      <c r="I188" s="177"/>
      <c r="J188" s="177"/>
      <c r="K188" s="88"/>
      <c r="L188" s="383"/>
      <c r="M188" s="177"/>
      <c r="N188" s="177"/>
      <c r="O188" s="177"/>
      <c r="P188" s="88"/>
      <c r="Q188" s="151"/>
      <c r="R188" s="177"/>
      <c r="S188" s="177"/>
      <c r="T188" s="177"/>
      <c r="U188" s="391"/>
      <c r="V188" s="383"/>
      <c r="W188" s="177"/>
      <c r="X188" s="177"/>
      <c r="Y188" s="177"/>
      <c r="Z188" s="391"/>
      <c r="AA188" s="383"/>
      <c r="AB188" s="177"/>
      <c r="AC188" s="177"/>
      <c r="AD188" s="177"/>
      <c r="AE188" s="391"/>
      <c r="AF188" s="383"/>
      <c r="AG188" s="177"/>
      <c r="AH188" s="177"/>
      <c r="AI188" s="177"/>
      <c r="AJ188" s="391"/>
      <c r="AK188" s="383"/>
      <c r="AL188" s="177"/>
      <c r="AM188" s="177"/>
      <c r="AN188" s="177"/>
      <c r="AO188" s="192"/>
      <c r="AP188" s="191"/>
      <c r="AQ188" s="184"/>
      <c r="AR188" s="184"/>
      <c r="AS188" s="184"/>
    </row>
    <row r="189">
      <c r="A189" s="391"/>
      <c r="B189" s="383"/>
      <c r="C189" s="177"/>
      <c r="D189" s="177"/>
      <c r="E189" s="177"/>
      <c r="F189" s="391"/>
      <c r="G189" s="383"/>
      <c r="H189" s="177"/>
      <c r="I189" s="177"/>
      <c r="J189" s="177"/>
      <c r="K189" s="88"/>
      <c r="L189" s="383"/>
      <c r="M189" s="177"/>
      <c r="N189" s="177"/>
      <c r="O189" s="177"/>
      <c r="P189" s="88"/>
      <c r="Q189" s="151"/>
      <c r="R189" s="177"/>
      <c r="S189" s="177"/>
      <c r="T189" s="177"/>
      <c r="U189" s="391"/>
      <c r="V189" s="383"/>
      <c r="W189" s="177"/>
      <c r="X189" s="177"/>
      <c r="Y189" s="177"/>
      <c r="Z189" s="391"/>
      <c r="AA189" s="383"/>
      <c r="AB189" s="177"/>
      <c r="AC189" s="177"/>
      <c r="AD189" s="177"/>
      <c r="AE189" s="391"/>
      <c r="AF189" s="383"/>
      <c r="AG189" s="177"/>
      <c r="AH189" s="177"/>
      <c r="AI189" s="177"/>
      <c r="AJ189" s="391"/>
      <c r="AK189" s="383"/>
      <c r="AL189" s="177"/>
      <c r="AM189" s="177"/>
      <c r="AN189" s="177"/>
      <c r="AO189" s="192"/>
      <c r="AP189" s="191"/>
      <c r="AQ189" s="184"/>
      <c r="AR189" s="184"/>
      <c r="AS189" s="184"/>
    </row>
    <row r="190">
      <c r="A190" s="391"/>
      <c r="B190" s="383"/>
      <c r="C190" s="177"/>
      <c r="D190" s="177"/>
      <c r="E190" s="177"/>
      <c r="F190" s="391"/>
      <c r="G190" s="383"/>
      <c r="H190" s="177"/>
      <c r="I190" s="177"/>
      <c r="J190" s="177"/>
      <c r="K190" s="88"/>
      <c r="L190" s="383"/>
      <c r="M190" s="177"/>
      <c r="N190" s="177"/>
      <c r="O190" s="177"/>
      <c r="P190" s="88"/>
      <c r="Q190" s="151"/>
      <c r="R190" s="177"/>
      <c r="S190" s="177"/>
      <c r="T190" s="177"/>
      <c r="U190" s="391"/>
      <c r="V190" s="383"/>
      <c r="W190" s="177"/>
      <c r="X190" s="177"/>
      <c r="Y190" s="177"/>
      <c r="Z190" s="391"/>
      <c r="AA190" s="383"/>
      <c r="AB190" s="177"/>
      <c r="AC190" s="177"/>
      <c r="AD190" s="177"/>
      <c r="AE190" s="391"/>
      <c r="AF190" s="383"/>
      <c r="AG190" s="177"/>
      <c r="AH190" s="177"/>
      <c r="AI190" s="177"/>
      <c r="AJ190" s="391"/>
      <c r="AK190" s="383"/>
      <c r="AL190" s="177"/>
      <c r="AM190" s="177"/>
      <c r="AN190" s="177"/>
      <c r="AO190" s="192"/>
      <c r="AP190" s="191"/>
      <c r="AQ190" s="184"/>
      <c r="AR190" s="184"/>
      <c r="AS190" s="184"/>
    </row>
    <row r="191">
      <c r="A191" s="391"/>
      <c r="B191" s="383"/>
      <c r="C191" s="177"/>
      <c r="D191" s="177"/>
      <c r="E191" s="177"/>
      <c r="F191" s="391"/>
      <c r="G191" s="383"/>
      <c r="H191" s="177"/>
      <c r="I191" s="177"/>
      <c r="J191" s="177"/>
      <c r="K191" s="88"/>
      <c r="L191" s="383"/>
      <c r="M191" s="177"/>
      <c r="N191" s="177"/>
      <c r="O191" s="177"/>
      <c r="P191" s="88"/>
      <c r="Q191" s="151"/>
      <c r="R191" s="177"/>
      <c r="S191" s="177"/>
      <c r="T191" s="177"/>
      <c r="U191" s="391"/>
      <c r="V191" s="383"/>
      <c r="W191" s="177"/>
      <c r="X191" s="177"/>
      <c r="Y191" s="177"/>
      <c r="Z191" s="391"/>
      <c r="AA191" s="383"/>
      <c r="AB191" s="177"/>
      <c r="AC191" s="177"/>
      <c r="AD191" s="177"/>
      <c r="AE191" s="391"/>
      <c r="AF191" s="383"/>
      <c r="AG191" s="177"/>
      <c r="AH191" s="177"/>
      <c r="AI191" s="177"/>
      <c r="AJ191" s="391"/>
      <c r="AK191" s="383"/>
      <c r="AL191" s="177"/>
      <c r="AM191" s="177"/>
      <c r="AN191" s="177"/>
      <c r="AO191" s="192"/>
      <c r="AP191" s="191"/>
      <c r="AQ191" s="184"/>
      <c r="AR191" s="184"/>
      <c r="AS191" s="184"/>
    </row>
    <row r="192">
      <c r="A192" s="391"/>
      <c r="B192" s="383"/>
      <c r="C192" s="177"/>
      <c r="D192" s="177"/>
      <c r="E192" s="177"/>
      <c r="F192" s="391"/>
      <c r="G192" s="383"/>
      <c r="H192" s="177"/>
      <c r="I192" s="177"/>
      <c r="J192" s="177"/>
      <c r="K192" s="88"/>
      <c r="L192" s="383"/>
      <c r="M192" s="177"/>
      <c r="N192" s="177"/>
      <c r="O192" s="177"/>
      <c r="P192" s="88"/>
      <c r="Q192" s="151"/>
      <c r="R192" s="177"/>
      <c r="S192" s="177"/>
      <c r="T192" s="177"/>
      <c r="U192" s="391"/>
      <c r="V192" s="383"/>
      <c r="W192" s="177"/>
      <c r="X192" s="177"/>
      <c r="Y192" s="177"/>
      <c r="Z192" s="391"/>
      <c r="AA192" s="383"/>
      <c r="AB192" s="177"/>
      <c r="AC192" s="177"/>
      <c r="AD192" s="177"/>
      <c r="AE192" s="391"/>
      <c r="AF192" s="383"/>
      <c r="AG192" s="177"/>
      <c r="AH192" s="177"/>
      <c r="AI192" s="177"/>
      <c r="AJ192" s="391"/>
      <c r="AK192" s="383"/>
      <c r="AL192" s="177"/>
      <c r="AM192" s="177"/>
      <c r="AN192" s="177"/>
      <c r="AO192" s="192"/>
      <c r="AP192" s="191"/>
      <c r="AQ192" s="184"/>
      <c r="AR192" s="184"/>
      <c r="AS192" s="184"/>
    </row>
    <row r="193">
      <c r="A193" s="391"/>
      <c r="B193" s="383"/>
      <c r="C193" s="177"/>
      <c r="D193" s="177"/>
      <c r="E193" s="177"/>
      <c r="F193" s="391"/>
      <c r="G193" s="383"/>
      <c r="H193" s="177"/>
      <c r="I193" s="177"/>
      <c r="J193" s="177"/>
      <c r="K193" s="88"/>
      <c r="L193" s="383"/>
      <c r="M193" s="177"/>
      <c r="N193" s="177"/>
      <c r="O193" s="177"/>
      <c r="P193" s="88"/>
      <c r="Q193" s="151"/>
      <c r="R193" s="177"/>
      <c r="S193" s="177"/>
      <c r="T193" s="177"/>
      <c r="U193" s="391"/>
      <c r="V193" s="383"/>
      <c r="W193" s="177"/>
      <c r="X193" s="177"/>
      <c r="Y193" s="177"/>
      <c r="Z193" s="391"/>
      <c r="AA193" s="383"/>
      <c r="AB193" s="177"/>
      <c r="AC193" s="177"/>
      <c r="AD193" s="177"/>
      <c r="AE193" s="391"/>
      <c r="AF193" s="383"/>
      <c r="AG193" s="177"/>
      <c r="AH193" s="177"/>
      <c r="AI193" s="177"/>
      <c r="AJ193" s="391"/>
      <c r="AK193" s="383"/>
      <c r="AL193" s="177"/>
      <c r="AM193" s="177"/>
      <c r="AN193" s="177"/>
      <c r="AO193" s="192"/>
      <c r="AP193" s="191"/>
      <c r="AQ193" s="184"/>
      <c r="AR193" s="184"/>
      <c r="AS193" s="184"/>
    </row>
    <row r="194">
      <c r="A194" s="391"/>
      <c r="B194" s="383"/>
      <c r="C194" s="177"/>
      <c r="D194" s="177"/>
      <c r="E194" s="177"/>
      <c r="F194" s="391"/>
      <c r="G194" s="383"/>
      <c r="H194" s="177"/>
      <c r="I194" s="177"/>
      <c r="J194" s="177"/>
      <c r="K194" s="88"/>
      <c r="L194" s="383"/>
      <c r="M194" s="177"/>
      <c r="N194" s="177"/>
      <c r="O194" s="177"/>
      <c r="P194" s="88"/>
      <c r="Q194" s="151"/>
      <c r="R194" s="177"/>
      <c r="S194" s="177"/>
      <c r="T194" s="177"/>
      <c r="U194" s="391"/>
      <c r="V194" s="383"/>
      <c r="W194" s="177"/>
      <c r="X194" s="177"/>
      <c r="Y194" s="177"/>
      <c r="Z194" s="391"/>
      <c r="AA194" s="383"/>
      <c r="AB194" s="177"/>
      <c r="AC194" s="177"/>
      <c r="AD194" s="177"/>
      <c r="AE194" s="391"/>
      <c r="AF194" s="383"/>
      <c r="AG194" s="177"/>
      <c r="AH194" s="177"/>
      <c r="AI194" s="177"/>
      <c r="AJ194" s="391"/>
      <c r="AK194" s="383"/>
      <c r="AL194" s="177"/>
      <c r="AM194" s="177"/>
      <c r="AN194" s="177"/>
      <c r="AO194" s="192"/>
      <c r="AP194" s="191"/>
      <c r="AQ194" s="184"/>
      <c r="AR194" s="184"/>
      <c r="AS194" s="184"/>
    </row>
    <row r="195">
      <c r="A195" s="391"/>
      <c r="B195" s="383"/>
      <c r="C195" s="177"/>
      <c r="D195" s="177"/>
      <c r="E195" s="177"/>
      <c r="F195" s="391"/>
      <c r="G195" s="383"/>
      <c r="H195" s="177"/>
      <c r="I195" s="177"/>
      <c r="J195" s="177"/>
      <c r="K195" s="88"/>
      <c r="L195" s="383"/>
      <c r="M195" s="177"/>
      <c r="N195" s="177"/>
      <c r="O195" s="177"/>
      <c r="P195" s="88"/>
      <c r="Q195" s="151"/>
      <c r="R195" s="177"/>
      <c r="S195" s="177"/>
      <c r="T195" s="177"/>
      <c r="U195" s="391"/>
      <c r="V195" s="383"/>
      <c r="W195" s="177"/>
      <c r="X195" s="177"/>
      <c r="Y195" s="177"/>
      <c r="Z195" s="391"/>
      <c r="AA195" s="383"/>
      <c r="AB195" s="177"/>
      <c r="AC195" s="177"/>
      <c r="AD195" s="177"/>
      <c r="AE195" s="391"/>
      <c r="AF195" s="383"/>
      <c r="AG195" s="177"/>
      <c r="AH195" s="177"/>
      <c r="AI195" s="177"/>
      <c r="AJ195" s="391"/>
      <c r="AK195" s="383"/>
      <c r="AL195" s="177"/>
      <c r="AM195" s="177"/>
      <c r="AN195" s="177"/>
      <c r="AO195" s="192"/>
      <c r="AP195" s="191"/>
      <c r="AQ195" s="184"/>
      <c r="AR195" s="184"/>
      <c r="AS195" s="184"/>
    </row>
    <row r="196">
      <c r="A196" s="391"/>
      <c r="B196" s="383"/>
      <c r="C196" s="177"/>
      <c r="D196" s="177"/>
      <c r="E196" s="177"/>
      <c r="F196" s="391"/>
      <c r="G196" s="383"/>
      <c r="H196" s="177"/>
      <c r="I196" s="177"/>
      <c r="J196" s="177"/>
      <c r="K196" s="88"/>
      <c r="L196" s="383"/>
      <c r="M196" s="177"/>
      <c r="N196" s="177"/>
      <c r="O196" s="177"/>
      <c r="P196" s="88"/>
      <c r="Q196" s="151"/>
      <c r="R196" s="177"/>
      <c r="S196" s="177"/>
      <c r="T196" s="177"/>
      <c r="U196" s="391"/>
      <c r="V196" s="383"/>
      <c r="W196" s="177"/>
      <c r="X196" s="177"/>
      <c r="Y196" s="177"/>
      <c r="Z196" s="391"/>
      <c r="AA196" s="383"/>
      <c r="AB196" s="177"/>
      <c r="AC196" s="177"/>
      <c r="AD196" s="177"/>
      <c r="AE196" s="391"/>
      <c r="AF196" s="383"/>
      <c r="AG196" s="177"/>
      <c r="AH196" s="177"/>
      <c r="AI196" s="177"/>
      <c r="AJ196" s="391"/>
      <c r="AK196" s="383"/>
      <c r="AL196" s="177"/>
      <c r="AM196" s="177"/>
      <c r="AN196" s="177"/>
      <c r="AO196" s="192"/>
      <c r="AP196" s="191"/>
      <c r="AQ196" s="184"/>
      <c r="AR196" s="184"/>
      <c r="AS196" s="184"/>
    </row>
    <row r="197">
      <c r="A197" s="391"/>
      <c r="B197" s="383"/>
      <c r="C197" s="177"/>
      <c r="D197" s="177"/>
      <c r="E197" s="177"/>
      <c r="F197" s="391"/>
      <c r="G197" s="383"/>
      <c r="H197" s="177"/>
      <c r="I197" s="177"/>
      <c r="J197" s="177"/>
      <c r="K197" s="88"/>
      <c r="L197" s="383"/>
      <c r="M197" s="177"/>
      <c r="N197" s="177"/>
      <c r="O197" s="177"/>
      <c r="P197" s="88"/>
      <c r="Q197" s="151"/>
      <c r="R197" s="177"/>
      <c r="S197" s="177"/>
      <c r="T197" s="177"/>
      <c r="U197" s="391"/>
      <c r="V197" s="383"/>
      <c r="W197" s="177"/>
      <c r="X197" s="177"/>
      <c r="Y197" s="177"/>
      <c r="Z197" s="391"/>
      <c r="AA197" s="383"/>
      <c r="AB197" s="177"/>
      <c r="AC197" s="177"/>
      <c r="AD197" s="177"/>
      <c r="AE197" s="391"/>
      <c r="AF197" s="383"/>
      <c r="AG197" s="177"/>
      <c r="AH197" s="177"/>
      <c r="AI197" s="177"/>
      <c r="AJ197" s="391"/>
      <c r="AK197" s="383"/>
      <c r="AL197" s="177"/>
      <c r="AM197" s="177"/>
      <c r="AN197" s="177"/>
      <c r="AO197" s="192"/>
      <c r="AP197" s="191"/>
      <c r="AQ197" s="184"/>
      <c r="AR197" s="184"/>
      <c r="AS197" s="184"/>
    </row>
    <row r="198">
      <c r="A198" s="391"/>
      <c r="B198" s="383"/>
      <c r="C198" s="177"/>
      <c r="D198" s="177"/>
      <c r="E198" s="177"/>
      <c r="F198" s="391"/>
      <c r="G198" s="383"/>
      <c r="H198" s="177"/>
      <c r="I198" s="177"/>
      <c r="J198" s="177"/>
      <c r="K198" s="88"/>
      <c r="L198" s="383"/>
      <c r="M198" s="177"/>
      <c r="N198" s="177"/>
      <c r="O198" s="177"/>
      <c r="P198" s="88"/>
      <c r="Q198" s="151"/>
      <c r="R198" s="177"/>
      <c r="S198" s="177"/>
      <c r="T198" s="177"/>
      <c r="U198" s="391"/>
      <c r="V198" s="383"/>
      <c r="W198" s="177"/>
      <c r="X198" s="177"/>
      <c r="Y198" s="177"/>
      <c r="Z198" s="391"/>
      <c r="AA198" s="383"/>
      <c r="AB198" s="177"/>
      <c r="AC198" s="177"/>
      <c r="AD198" s="177"/>
      <c r="AE198" s="391"/>
      <c r="AF198" s="383"/>
      <c r="AG198" s="177"/>
      <c r="AH198" s="177"/>
      <c r="AI198" s="177"/>
      <c r="AJ198" s="391"/>
      <c r="AK198" s="383"/>
      <c r="AL198" s="177"/>
      <c r="AM198" s="177"/>
      <c r="AN198" s="177"/>
      <c r="AO198" s="192"/>
      <c r="AP198" s="191"/>
      <c r="AQ198" s="184"/>
      <c r="AR198" s="184"/>
      <c r="AS198" s="184"/>
    </row>
    <row r="199">
      <c r="A199" s="391"/>
      <c r="B199" s="383"/>
      <c r="C199" s="177"/>
      <c r="D199" s="177"/>
      <c r="E199" s="177"/>
      <c r="F199" s="391"/>
      <c r="G199" s="383"/>
      <c r="H199" s="177"/>
      <c r="I199" s="177"/>
      <c r="J199" s="177"/>
      <c r="K199" s="88"/>
      <c r="L199" s="383"/>
      <c r="M199" s="177"/>
      <c r="N199" s="177"/>
      <c r="O199" s="177"/>
      <c r="P199" s="88"/>
      <c r="Q199" s="151"/>
      <c r="R199" s="177"/>
      <c r="S199" s="177"/>
      <c r="T199" s="177"/>
      <c r="U199" s="391"/>
      <c r="V199" s="383"/>
      <c r="W199" s="177"/>
      <c r="X199" s="177"/>
      <c r="Y199" s="177"/>
      <c r="Z199" s="391"/>
      <c r="AA199" s="383"/>
      <c r="AB199" s="177"/>
      <c r="AC199" s="177"/>
      <c r="AD199" s="177"/>
      <c r="AE199" s="391"/>
      <c r="AF199" s="383"/>
      <c r="AG199" s="177"/>
      <c r="AH199" s="177"/>
      <c r="AI199" s="177"/>
      <c r="AJ199" s="391"/>
      <c r="AK199" s="383"/>
      <c r="AL199" s="177"/>
      <c r="AM199" s="177"/>
      <c r="AN199" s="177"/>
      <c r="AO199" s="192"/>
      <c r="AP199" s="191"/>
      <c r="AQ199" s="184"/>
      <c r="AR199" s="184"/>
      <c r="AS199" s="184"/>
    </row>
    <row r="200">
      <c r="A200" s="391"/>
      <c r="B200" s="383"/>
      <c r="C200" s="177"/>
      <c r="D200" s="177"/>
      <c r="E200" s="177"/>
      <c r="F200" s="391"/>
      <c r="G200" s="383"/>
      <c r="H200" s="177"/>
      <c r="I200" s="177"/>
      <c r="J200" s="177"/>
      <c r="K200" s="88"/>
      <c r="L200" s="383"/>
      <c r="M200" s="177"/>
      <c r="N200" s="177"/>
      <c r="O200" s="177"/>
      <c r="P200" s="88"/>
      <c r="Q200" s="151"/>
      <c r="R200" s="177"/>
      <c r="S200" s="177"/>
      <c r="T200" s="177"/>
      <c r="U200" s="391"/>
      <c r="V200" s="383"/>
      <c r="W200" s="177"/>
      <c r="X200" s="177"/>
      <c r="Y200" s="177"/>
      <c r="Z200" s="391"/>
      <c r="AA200" s="383"/>
      <c r="AB200" s="177"/>
      <c r="AC200" s="177"/>
      <c r="AD200" s="177"/>
      <c r="AE200" s="391"/>
      <c r="AF200" s="383"/>
      <c r="AG200" s="177"/>
      <c r="AH200" s="177"/>
      <c r="AI200" s="177"/>
      <c r="AJ200" s="391"/>
      <c r="AK200" s="383"/>
      <c r="AL200" s="177"/>
      <c r="AM200" s="177"/>
      <c r="AN200" s="177"/>
      <c r="AO200" s="192"/>
      <c r="AP200" s="191"/>
      <c r="AQ200" s="184"/>
      <c r="AR200" s="184"/>
      <c r="AS200" s="184"/>
    </row>
    <row r="201">
      <c r="A201" s="391"/>
      <c r="B201" s="383"/>
      <c r="C201" s="177"/>
      <c r="D201" s="177"/>
      <c r="E201" s="177"/>
      <c r="F201" s="391"/>
      <c r="G201" s="383"/>
      <c r="H201" s="177"/>
      <c r="I201" s="177"/>
      <c r="J201" s="177"/>
      <c r="K201" s="88"/>
      <c r="L201" s="383"/>
      <c r="M201" s="177"/>
      <c r="N201" s="177"/>
      <c r="O201" s="177"/>
      <c r="P201" s="88"/>
      <c r="Q201" s="151"/>
      <c r="R201" s="177"/>
      <c r="S201" s="177"/>
      <c r="T201" s="177"/>
      <c r="U201" s="391"/>
      <c r="V201" s="383"/>
      <c r="W201" s="177"/>
      <c r="X201" s="177"/>
      <c r="Y201" s="177"/>
      <c r="Z201" s="391"/>
      <c r="AA201" s="383"/>
      <c r="AB201" s="177"/>
      <c r="AC201" s="177"/>
      <c r="AD201" s="177"/>
      <c r="AE201" s="391"/>
      <c r="AF201" s="383"/>
      <c r="AG201" s="177"/>
      <c r="AH201" s="177"/>
      <c r="AI201" s="177"/>
      <c r="AJ201" s="391"/>
      <c r="AK201" s="383"/>
      <c r="AL201" s="177"/>
      <c r="AM201" s="177"/>
      <c r="AN201" s="177"/>
      <c r="AO201" s="192"/>
      <c r="AP201" s="191"/>
      <c r="AQ201" s="184"/>
      <c r="AR201" s="184"/>
      <c r="AS201" s="184"/>
    </row>
    <row r="202">
      <c r="A202" s="391"/>
      <c r="B202" s="383"/>
      <c r="C202" s="177"/>
      <c r="D202" s="177"/>
      <c r="E202" s="177"/>
      <c r="F202" s="391"/>
      <c r="G202" s="383"/>
      <c r="H202" s="177"/>
      <c r="I202" s="177"/>
      <c r="J202" s="177"/>
      <c r="K202" s="88"/>
      <c r="L202" s="383"/>
      <c r="M202" s="177"/>
      <c r="N202" s="177"/>
      <c r="O202" s="177"/>
      <c r="P202" s="88"/>
      <c r="Q202" s="151"/>
      <c r="R202" s="177"/>
      <c r="S202" s="177"/>
      <c r="T202" s="177"/>
      <c r="U202" s="391"/>
      <c r="V202" s="383"/>
      <c r="W202" s="177"/>
      <c r="X202" s="177"/>
      <c r="Y202" s="177"/>
      <c r="Z202" s="391"/>
      <c r="AA202" s="383"/>
      <c r="AB202" s="177"/>
      <c r="AC202" s="177"/>
      <c r="AD202" s="177"/>
      <c r="AE202" s="391"/>
      <c r="AF202" s="383"/>
      <c r="AG202" s="177"/>
      <c r="AH202" s="177"/>
      <c r="AI202" s="177"/>
      <c r="AJ202" s="391"/>
      <c r="AK202" s="383"/>
      <c r="AL202" s="177"/>
      <c r="AM202" s="177"/>
      <c r="AN202" s="177"/>
      <c r="AO202" s="192"/>
      <c r="AP202" s="191"/>
      <c r="AQ202" s="184"/>
      <c r="AR202" s="184"/>
      <c r="AS202" s="184"/>
    </row>
    <row r="203">
      <c r="A203" s="391"/>
      <c r="B203" s="383"/>
      <c r="C203" s="177"/>
      <c r="D203" s="177"/>
      <c r="E203" s="177"/>
      <c r="F203" s="391"/>
      <c r="G203" s="383"/>
      <c r="H203" s="177"/>
      <c r="I203" s="177"/>
      <c r="J203" s="177"/>
      <c r="K203" s="88"/>
      <c r="L203" s="383"/>
      <c r="M203" s="177"/>
      <c r="N203" s="177"/>
      <c r="O203" s="177"/>
      <c r="P203" s="88"/>
      <c r="Q203" s="151"/>
      <c r="R203" s="177"/>
      <c r="S203" s="177"/>
      <c r="T203" s="177"/>
      <c r="U203" s="391"/>
      <c r="V203" s="383"/>
      <c r="W203" s="177"/>
      <c r="X203" s="177"/>
      <c r="Y203" s="177"/>
      <c r="Z203" s="391"/>
      <c r="AA203" s="383"/>
      <c r="AB203" s="177"/>
      <c r="AC203" s="177"/>
      <c r="AD203" s="177"/>
      <c r="AE203" s="391"/>
      <c r="AF203" s="383"/>
      <c r="AG203" s="177"/>
      <c r="AH203" s="177"/>
      <c r="AI203" s="177"/>
      <c r="AJ203" s="391"/>
      <c r="AK203" s="383"/>
      <c r="AL203" s="177"/>
      <c r="AM203" s="177"/>
      <c r="AN203" s="177"/>
      <c r="AO203" s="192"/>
      <c r="AP203" s="191"/>
      <c r="AQ203" s="184"/>
      <c r="AR203" s="184"/>
      <c r="AS203" s="184"/>
    </row>
    <row r="204">
      <c r="A204" s="391"/>
      <c r="B204" s="383"/>
      <c r="C204" s="177"/>
      <c r="D204" s="177"/>
      <c r="E204" s="177"/>
      <c r="F204" s="391"/>
      <c r="G204" s="383"/>
      <c r="H204" s="177"/>
      <c r="I204" s="177"/>
      <c r="J204" s="177"/>
      <c r="K204" s="88"/>
      <c r="L204" s="383"/>
      <c r="M204" s="177"/>
      <c r="N204" s="177"/>
      <c r="O204" s="177"/>
      <c r="P204" s="88"/>
      <c r="Q204" s="151"/>
      <c r="R204" s="177"/>
      <c r="S204" s="177"/>
      <c r="T204" s="177"/>
      <c r="U204" s="391"/>
      <c r="V204" s="383"/>
      <c r="W204" s="177"/>
      <c r="X204" s="177"/>
      <c r="Y204" s="177"/>
      <c r="Z204" s="391"/>
      <c r="AA204" s="383"/>
      <c r="AB204" s="177"/>
      <c r="AC204" s="177"/>
      <c r="AD204" s="177"/>
      <c r="AE204" s="391"/>
      <c r="AF204" s="383"/>
      <c r="AG204" s="177"/>
      <c r="AH204" s="177"/>
      <c r="AI204" s="177"/>
      <c r="AJ204" s="391"/>
      <c r="AK204" s="383"/>
      <c r="AL204" s="177"/>
      <c r="AM204" s="177"/>
      <c r="AN204" s="177"/>
      <c r="AO204" s="192"/>
      <c r="AP204" s="191"/>
      <c r="AQ204" s="184"/>
      <c r="AR204" s="184"/>
      <c r="AS204" s="184"/>
    </row>
    <row r="205">
      <c r="A205" s="391"/>
      <c r="B205" s="383"/>
      <c r="C205" s="177"/>
      <c r="D205" s="177"/>
      <c r="E205" s="177"/>
      <c r="F205" s="391"/>
      <c r="G205" s="383"/>
      <c r="H205" s="177"/>
      <c r="I205" s="177"/>
      <c r="J205" s="177"/>
      <c r="K205" s="88"/>
      <c r="L205" s="383"/>
      <c r="M205" s="177"/>
      <c r="N205" s="177"/>
      <c r="O205" s="177"/>
      <c r="P205" s="88"/>
      <c r="Q205" s="151"/>
      <c r="R205" s="177"/>
      <c r="S205" s="177"/>
      <c r="T205" s="177"/>
      <c r="U205" s="391"/>
      <c r="V205" s="383"/>
      <c r="W205" s="177"/>
      <c r="X205" s="177"/>
      <c r="Y205" s="177"/>
      <c r="Z205" s="391"/>
      <c r="AA205" s="383"/>
      <c r="AB205" s="177"/>
      <c r="AC205" s="177"/>
      <c r="AD205" s="177"/>
      <c r="AE205" s="391"/>
      <c r="AF205" s="383"/>
      <c r="AG205" s="177"/>
      <c r="AH205" s="177"/>
      <c r="AI205" s="177"/>
      <c r="AJ205" s="391"/>
      <c r="AK205" s="383"/>
      <c r="AL205" s="177"/>
      <c r="AM205" s="177"/>
      <c r="AN205" s="177"/>
      <c r="AO205" s="192"/>
      <c r="AP205" s="191"/>
      <c r="AQ205" s="184"/>
      <c r="AR205" s="184"/>
      <c r="AS205" s="184"/>
    </row>
    <row r="206">
      <c r="A206" s="391"/>
      <c r="B206" s="383"/>
      <c r="C206" s="177"/>
      <c r="D206" s="177"/>
      <c r="E206" s="177"/>
      <c r="F206" s="391"/>
      <c r="G206" s="383"/>
      <c r="H206" s="177"/>
      <c r="I206" s="177"/>
      <c r="J206" s="177"/>
      <c r="K206" s="88"/>
      <c r="L206" s="383"/>
      <c r="M206" s="177"/>
      <c r="N206" s="177"/>
      <c r="O206" s="177"/>
      <c r="P206" s="88"/>
      <c r="Q206" s="151"/>
      <c r="R206" s="177"/>
      <c r="S206" s="177"/>
      <c r="T206" s="177"/>
      <c r="U206" s="391"/>
      <c r="V206" s="383"/>
      <c r="W206" s="177"/>
      <c r="X206" s="177"/>
      <c r="Y206" s="177"/>
      <c r="Z206" s="391"/>
      <c r="AA206" s="383"/>
      <c r="AB206" s="177"/>
      <c r="AC206" s="177"/>
      <c r="AD206" s="177"/>
      <c r="AE206" s="391"/>
      <c r="AF206" s="383"/>
      <c r="AG206" s="177"/>
      <c r="AH206" s="177"/>
      <c r="AI206" s="177"/>
      <c r="AJ206" s="391"/>
      <c r="AK206" s="383"/>
      <c r="AL206" s="177"/>
      <c r="AM206" s="177"/>
      <c r="AN206" s="177"/>
      <c r="AO206" s="192"/>
      <c r="AP206" s="191"/>
      <c r="AQ206" s="184"/>
      <c r="AR206" s="184"/>
      <c r="AS206" s="184"/>
    </row>
    <row r="207">
      <c r="A207" s="391"/>
      <c r="B207" s="383"/>
      <c r="C207" s="177"/>
      <c r="D207" s="177"/>
      <c r="E207" s="177"/>
      <c r="F207" s="391"/>
      <c r="G207" s="383"/>
      <c r="H207" s="177"/>
      <c r="I207" s="177"/>
      <c r="J207" s="177"/>
      <c r="K207" s="88"/>
      <c r="L207" s="383"/>
      <c r="M207" s="177"/>
      <c r="N207" s="177"/>
      <c r="O207" s="177"/>
      <c r="P207" s="88"/>
      <c r="Q207" s="151"/>
      <c r="R207" s="177"/>
      <c r="S207" s="177"/>
      <c r="T207" s="177"/>
      <c r="U207" s="391"/>
      <c r="V207" s="383"/>
      <c r="W207" s="177"/>
      <c r="X207" s="177"/>
      <c r="Y207" s="177"/>
      <c r="Z207" s="391"/>
      <c r="AA207" s="383"/>
      <c r="AB207" s="177"/>
      <c r="AC207" s="177"/>
      <c r="AD207" s="177"/>
      <c r="AE207" s="391"/>
      <c r="AF207" s="383"/>
      <c r="AG207" s="177"/>
      <c r="AH207" s="177"/>
      <c r="AI207" s="177"/>
      <c r="AJ207" s="391"/>
      <c r="AK207" s="383"/>
      <c r="AL207" s="177"/>
      <c r="AM207" s="177"/>
      <c r="AN207" s="177"/>
      <c r="AO207" s="192"/>
      <c r="AP207" s="191"/>
      <c r="AQ207" s="184"/>
      <c r="AR207" s="184"/>
      <c r="AS207" s="184"/>
    </row>
    <row r="208">
      <c r="A208" s="391"/>
      <c r="B208" s="383"/>
      <c r="C208" s="177"/>
      <c r="D208" s="177"/>
      <c r="E208" s="177"/>
      <c r="F208" s="391"/>
      <c r="G208" s="383"/>
      <c r="H208" s="177"/>
      <c r="I208" s="177"/>
      <c r="J208" s="177"/>
      <c r="K208" s="88"/>
      <c r="L208" s="383"/>
      <c r="M208" s="177"/>
      <c r="N208" s="177"/>
      <c r="O208" s="177"/>
      <c r="P208" s="88"/>
      <c r="Q208" s="151"/>
      <c r="R208" s="177"/>
      <c r="S208" s="177"/>
      <c r="T208" s="177"/>
      <c r="U208" s="391"/>
      <c r="V208" s="383"/>
      <c r="W208" s="177"/>
      <c r="X208" s="177"/>
      <c r="Y208" s="177"/>
      <c r="Z208" s="391"/>
      <c r="AA208" s="383"/>
      <c r="AB208" s="177"/>
      <c r="AC208" s="177"/>
      <c r="AD208" s="177"/>
      <c r="AE208" s="391"/>
      <c r="AF208" s="383"/>
      <c r="AG208" s="177"/>
      <c r="AH208" s="177"/>
      <c r="AI208" s="177"/>
      <c r="AJ208" s="391"/>
      <c r="AK208" s="383"/>
      <c r="AL208" s="177"/>
      <c r="AM208" s="177"/>
      <c r="AN208" s="177"/>
      <c r="AO208" s="192"/>
      <c r="AP208" s="191"/>
      <c r="AQ208" s="184"/>
      <c r="AR208" s="184"/>
      <c r="AS208" s="184"/>
    </row>
    <row r="209">
      <c r="A209" s="391"/>
      <c r="B209" s="383"/>
      <c r="C209" s="177"/>
      <c r="D209" s="177"/>
      <c r="E209" s="177"/>
      <c r="F209" s="391"/>
      <c r="G209" s="383"/>
      <c r="H209" s="177"/>
      <c r="I209" s="177"/>
      <c r="J209" s="177"/>
      <c r="K209" s="88"/>
      <c r="L209" s="383"/>
      <c r="M209" s="177"/>
      <c r="N209" s="177"/>
      <c r="O209" s="177"/>
      <c r="P209" s="88"/>
      <c r="Q209" s="151"/>
      <c r="R209" s="177"/>
      <c r="S209" s="177"/>
      <c r="T209" s="177"/>
      <c r="U209" s="391"/>
      <c r="V209" s="383"/>
      <c r="W209" s="177"/>
      <c r="X209" s="177"/>
      <c r="Y209" s="177"/>
      <c r="Z209" s="391"/>
      <c r="AA209" s="383"/>
      <c r="AB209" s="177"/>
      <c r="AC209" s="177"/>
      <c r="AD209" s="177"/>
      <c r="AE209" s="391"/>
      <c r="AF209" s="383"/>
      <c r="AG209" s="177"/>
      <c r="AH209" s="177"/>
      <c r="AI209" s="177"/>
      <c r="AJ209" s="391"/>
      <c r="AK209" s="383"/>
      <c r="AL209" s="177"/>
      <c r="AM209" s="177"/>
      <c r="AN209" s="177"/>
      <c r="AO209" s="192"/>
      <c r="AP209" s="191"/>
      <c r="AQ209" s="184"/>
      <c r="AR209" s="184"/>
      <c r="AS209" s="184"/>
    </row>
    <row r="210">
      <c r="A210" s="391"/>
      <c r="B210" s="383"/>
      <c r="C210" s="177"/>
      <c r="D210" s="177"/>
      <c r="E210" s="177"/>
      <c r="F210" s="391"/>
      <c r="G210" s="383"/>
      <c r="H210" s="177"/>
      <c r="I210" s="177"/>
      <c r="J210" s="177"/>
      <c r="K210" s="88"/>
      <c r="L210" s="383"/>
      <c r="M210" s="177"/>
      <c r="N210" s="177"/>
      <c r="O210" s="177"/>
      <c r="P210" s="88"/>
      <c r="Q210" s="151"/>
      <c r="R210" s="177"/>
      <c r="S210" s="177"/>
      <c r="T210" s="177"/>
      <c r="U210" s="391"/>
      <c r="V210" s="383"/>
      <c r="W210" s="177"/>
      <c r="X210" s="177"/>
      <c r="Y210" s="177"/>
      <c r="Z210" s="391"/>
      <c r="AA210" s="383"/>
      <c r="AB210" s="177"/>
      <c r="AC210" s="177"/>
      <c r="AD210" s="177"/>
      <c r="AE210" s="391"/>
      <c r="AF210" s="383"/>
      <c r="AG210" s="177"/>
      <c r="AH210" s="177"/>
      <c r="AI210" s="177"/>
      <c r="AJ210" s="391"/>
      <c r="AK210" s="383"/>
      <c r="AL210" s="177"/>
      <c r="AM210" s="177"/>
      <c r="AN210" s="177"/>
      <c r="AO210" s="192"/>
      <c r="AP210" s="191"/>
      <c r="AQ210" s="184"/>
      <c r="AR210" s="184"/>
      <c r="AS210" s="184"/>
    </row>
    <row r="211">
      <c r="A211" s="391"/>
      <c r="B211" s="383"/>
      <c r="C211" s="177"/>
      <c r="D211" s="177"/>
      <c r="E211" s="177"/>
      <c r="F211" s="391"/>
      <c r="G211" s="383"/>
      <c r="H211" s="177"/>
      <c r="I211" s="177"/>
      <c r="J211" s="177"/>
      <c r="K211" s="88"/>
      <c r="L211" s="383"/>
      <c r="M211" s="177"/>
      <c r="N211" s="177"/>
      <c r="O211" s="177"/>
      <c r="P211" s="88"/>
      <c r="Q211" s="151"/>
      <c r="R211" s="177"/>
      <c r="S211" s="177"/>
      <c r="T211" s="177"/>
      <c r="U211" s="391"/>
      <c r="V211" s="383"/>
      <c r="W211" s="177"/>
      <c r="X211" s="177"/>
      <c r="Y211" s="177"/>
      <c r="Z211" s="391"/>
      <c r="AA211" s="383"/>
      <c r="AB211" s="177"/>
      <c r="AC211" s="177"/>
      <c r="AD211" s="177"/>
      <c r="AE211" s="391"/>
      <c r="AF211" s="383"/>
      <c r="AG211" s="177"/>
      <c r="AH211" s="177"/>
      <c r="AI211" s="177"/>
      <c r="AJ211" s="391"/>
      <c r="AK211" s="383"/>
      <c r="AL211" s="177"/>
      <c r="AM211" s="177"/>
      <c r="AN211" s="177"/>
      <c r="AO211" s="192"/>
      <c r="AP211" s="191"/>
      <c r="AQ211" s="184"/>
      <c r="AR211" s="184"/>
      <c r="AS211" s="184"/>
    </row>
    <row r="212">
      <c r="A212" s="391"/>
      <c r="B212" s="383"/>
      <c r="C212" s="177"/>
      <c r="D212" s="177"/>
      <c r="E212" s="177"/>
      <c r="F212" s="391"/>
      <c r="G212" s="383"/>
      <c r="H212" s="177"/>
      <c r="I212" s="177"/>
      <c r="J212" s="177"/>
      <c r="K212" s="88"/>
      <c r="L212" s="383"/>
      <c r="M212" s="177"/>
      <c r="N212" s="177"/>
      <c r="O212" s="177"/>
      <c r="P212" s="88"/>
      <c r="Q212" s="151"/>
      <c r="R212" s="177"/>
      <c r="S212" s="177"/>
      <c r="T212" s="177"/>
      <c r="U212" s="391"/>
      <c r="V212" s="383"/>
      <c r="W212" s="177"/>
      <c r="X212" s="177"/>
      <c r="Y212" s="177"/>
      <c r="Z212" s="391"/>
      <c r="AA212" s="383"/>
      <c r="AB212" s="177"/>
      <c r="AC212" s="177"/>
      <c r="AD212" s="177"/>
      <c r="AE212" s="391"/>
      <c r="AF212" s="383"/>
      <c r="AG212" s="177"/>
      <c r="AH212" s="177"/>
      <c r="AI212" s="177"/>
      <c r="AJ212" s="391"/>
      <c r="AK212" s="383"/>
      <c r="AL212" s="177"/>
      <c r="AM212" s="177"/>
      <c r="AN212" s="177"/>
      <c r="AO212" s="192"/>
      <c r="AP212" s="191"/>
      <c r="AQ212" s="184"/>
      <c r="AR212" s="184"/>
      <c r="AS212" s="184"/>
    </row>
    <row r="213">
      <c r="A213" s="391"/>
      <c r="B213" s="383"/>
      <c r="C213" s="177"/>
      <c r="D213" s="177"/>
      <c r="E213" s="177"/>
      <c r="F213" s="391"/>
      <c r="G213" s="383"/>
      <c r="H213" s="177"/>
      <c r="I213" s="177"/>
      <c r="J213" s="177"/>
      <c r="K213" s="88"/>
      <c r="L213" s="383"/>
      <c r="M213" s="177"/>
      <c r="N213" s="177"/>
      <c r="O213" s="177"/>
      <c r="P213" s="88"/>
      <c r="Q213" s="151"/>
      <c r="R213" s="177"/>
      <c r="S213" s="177"/>
      <c r="T213" s="177"/>
      <c r="U213" s="391"/>
      <c r="V213" s="383"/>
      <c r="W213" s="177"/>
      <c r="X213" s="177"/>
      <c r="Y213" s="177"/>
      <c r="Z213" s="391"/>
      <c r="AA213" s="383"/>
      <c r="AB213" s="177"/>
      <c r="AC213" s="177"/>
      <c r="AD213" s="177"/>
      <c r="AE213" s="391"/>
      <c r="AF213" s="383"/>
      <c r="AG213" s="177"/>
      <c r="AH213" s="177"/>
      <c r="AI213" s="177"/>
      <c r="AJ213" s="391"/>
      <c r="AK213" s="383"/>
      <c r="AL213" s="177"/>
      <c r="AM213" s="177"/>
      <c r="AN213" s="177"/>
      <c r="AO213" s="192"/>
      <c r="AP213" s="191"/>
      <c r="AQ213" s="184"/>
      <c r="AR213" s="184"/>
      <c r="AS213" s="184"/>
    </row>
    <row r="214">
      <c r="A214" s="391"/>
      <c r="B214" s="383"/>
      <c r="C214" s="177"/>
      <c r="D214" s="177"/>
      <c r="E214" s="177"/>
      <c r="F214" s="391"/>
      <c r="G214" s="383"/>
      <c r="H214" s="177"/>
      <c r="I214" s="177"/>
      <c r="J214" s="177"/>
      <c r="K214" s="88"/>
      <c r="L214" s="383"/>
      <c r="M214" s="177"/>
      <c r="N214" s="177"/>
      <c r="O214" s="177"/>
      <c r="P214" s="88"/>
      <c r="Q214" s="151"/>
      <c r="R214" s="177"/>
      <c r="S214" s="177"/>
      <c r="T214" s="177"/>
      <c r="U214" s="391"/>
      <c r="V214" s="383"/>
      <c r="W214" s="177"/>
      <c r="X214" s="177"/>
      <c r="Y214" s="177"/>
      <c r="Z214" s="391"/>
      <c r="AA214" s="383"/>
      <c r="AB214" s="177"/>
      <c r="AC214" s="177"/>
      <c r="AD214" s="177"/>
      <c r="AE214" s="391"/>
      <c r="AF214" s="383"/>
      <c r="AG214" s="177"/>
      <c r="AH214" s="177"/>
      <c r="AI214" s="177"/>
      <c r="AJ214" s="391"/>
      <c r="AK214" s="383"/>
      <c r="AL214" s="177"/>
      <c r="AM214" s="177"/>
      <c r="AN214" s="177"/>
      <c r="AO214" s="192"/>
      <c r="AP214" s="191"/>
      <c r="AQ214" s="184"/>
      <c r="AR214" s="184"/>
      <c r="AS214" s="184"/>
    </row>
    <row r="215">
      <c r="A215" s="391"/>
      <c r="B215" s="383"/>
      <c r="C215" s="177"/>
      <c r="D215" s="177"/>
      <c r="E215" s="177"/>
      <c r="F215" s="391"/>
      <c r="G215" s="383"/>
      <c r="H215" s="177"/>
      <c r="I215" s="177"/>
      <c r="J215" s="177"/>
      <c r="K215" s="88"/>
      <c r="L215" s="383"/>
      <c r="M215" s="177"/>
      <c r="N215" s="177"/>
      <c r="O215" s="177"/>
      <c r="P215" s="88"/>
      <c r="Q215" s="151"/>
      <c r="R215" s="177"/>
      <c r="S215" s="177"/>
      <c r="T215" s="177"/>
      <c r="U215" s="391"/>
      <c r="V215" s="383"/>
      <c r="W215" s="177"/>
      <c r="X215" s="177"/>
      <c r="Y215" s="177"/>
      <c r="Z215" s="391"/>
      <c r="AA215" s="383"/>
      <c r="AB215" s="177"/>
      <c r="AC215" s="177"/>
      <c r="AD215" s="177"/>
      <c r="AE215" s="391"/>
      <c r="AF215" s="383"/>
      <c r="AG215" s="177"/>
      <c r="AH215" s="177"/>
      <c r="AI215" s="177"/>
      <c r="AJ215" s="391"/>
      <c r="AK215" s="383"/>
      <c r="AL215" s="177"/>
      <c r="AM215" s="177"/>
      <c r="AN215" s="177"/>
      <c r="AO215" s="192"/>
      <c r="AP215" s="191"/>
      <c r="AQ215" s="184"/>
      <c r="AR215" s="184"/>
      <c r="AS215" s="184"/>
    </row>
    <row r="216">
      <c r="A216" s="391"/>
      <c r="B216" s="383"/>
      <c r="C216" s="177"/>
      <c r="D216" s="177"/>
      <c r="E216" s="177"/>
      <c r="F216" s="391"/>
      <c r="G216" s="383"/>
      <c r="H216" s="177"/>
      <c r="I216" s="177"/>
      <c r="J216" s="177"/>
      <c r="K216" s="88"/>
      <c r="L216" s="383"/>
      <c r="M216" s="177"/>
      <c r="N216" s="177"/>
      <c r="O216" s="177"/>
      <c r="P216" s="88"/>
      <c r="Q216" s="151"/>
      <c r="R216" s="177"/>
      <c r="S216" s="177"/>
      <c r="T216" s="177"/>
      <c r="U216" s="391"/>
      <c r="V216" s="383"/>
      <c r="W216" s="177"/>
      <c r="X216" s="177"/>
      <c r="Y216" s="177"/>
      <c r="Z216" s="391"/>
      <c r="AA216" s="383"/>
      <c r="AB216" s="177"/>
      <c r="AC216" s="177"/>
      <c r="AD216" s="177"/>
      <c r="AE216" s="391"/>
      <c r="AF216" s="383"/>
      <c r="AG216" s="177"/>
      <c r="AH216" s="177"/>
      <c r="AI216" s="177"/>
      <c r="AJ216" s="391"/>
      <c r="AK216" s="383"/>
      <c r="AL216" s="177"/>
      <c r="AM216" s="177"/>
      <c r="AN216" s="177"/>
      <c r="AO216" s="192"/>
      <c r="AP216" s="191"/>
      <c r="AQ216" s="184"/>
      <c r="AR216" s="184"/>
      <c r="AS216" s="184"/>
    </row>
    <row r="217">
      <c r="A217" s="391"/>
      <c r="B217" s="383"/>
      <c r="C217" s="177"/>
      <c r="D217" s="177"/>
      <c r="E217" s="177"/>
      <c r="F217" s="391"/>
      <c r="G217" s="383"/>
      <c r="H217" s="177"/>
      <c r="I217" s="177"/>
      <c r="J217" s="177"/>
      <c r="K217" s="88"/>
      <c r="L217" s="383"/>
      <c r="M217" s="177"/>
      <c r="N217" s="177"/>
      <c r="O217" s="177"/>
      <c r="P217" s="88"/>
      <c r="Q217" s="151"/>
      <c r="R217" s="177"/>
      <c r="S217" s="177"/>
      <c r="T217" s="177"/>
      <c r="U217" s="391"/>
      <c r="V217" s="383"/>
      <c r="W217" s="177"/>
      <c r="X217" s="177"/>
      <c r="Y217" s="177"/>
      <c r="Z217" s="391"/>
      <c r="AA217" s="383"/>
      <c r="AB217" s="177"/>
      <c r="AC217" s="177"/>
      <c r="AD217" s="177"/>
      <c r="AE217" s="391"/>
      <c r="AF217" s="383"/>
      <c r="AG217" s="177"/>
      <c r="AH217" s="177"/>
      <c r="AI217" s="177"/>
      <c r="AJ217" s="391"/>
      <c r="AK217" s="383"/>
      <c r="AL217" s="177"/>
      <c r="AM217" s="177"/>
      <c r="AN217" s="177"/>
      <c r="AO217" s="192"/>
      <c r="AP217" s="191"/>
      <c r="AQ217" s="184"/>
      <c r="AR217" s="184"/>
      <c r="AS217" s="184"/>
    </row>
    <row r="218">
      <c r="A218" s="391"/>
      <c r="B218" s="383"/>
      <c r="C218" s="177"/>
      <c r="D218" s="177"/>
      <c r="E218" s="177"/>
      <c r="F218" s="391"/>
      <c r="G218" s="383"/>
      <c r="H218" s="177"/>
      <c r="I218" s="177"/>
      <c r="J218" s="177"/>
      <c r="K218" s="88"/>
      <c r="L218" s="383"/>
      <c r="M218" s="177"/>
      <c r="N218" s="177"/>
      <c r="O218" s="177"/>
      <c r="P218" s="88"/>
      <c r="Q218" s="151"/>
      <c r="R218" s="177"/>
      <c r="S218" s="177"/>
      <c r="T218" s="177"/>
      <c r="U218" s="391"/>
      <c r="V218" s="383"/>
      <c r="W218" s="177"/>
      <c r="X218" s="177"/>
      <c r="Y218" s="177"/>
      <c r="Z218" s="391"/>
      <c r="AA218" s="383"/>
      <c r="AB218" s="177"/>
      <c r="AC218" s="177"/>
      <c r="AD218" s="177"/>
      <c r="AE218" s="391"/>
      <c r="AF218" s="383"/>
      <c r="AG218" s="177"/>
      <c r="AH218" s="177"/>
      <c r="AI218" s="177"/>
      <c r="AJ218" s="391"/>
      <c r="AK218" s="383"/>
      <c r="AL218" s="177"/>
      <c r="AM218" s="177"/>
      <c r="AN218" s="177"/>
      <c r="AO218" s="192"/>
      <c r="AP218" s="191"/>
      <c r="AQ218" s="184"/>
      <c r="AR218" s="184"/>
      <c r="AS218" s="184"/>
    </row>
    <row r="219">
      <c r="A219" s="391"/>
      <c r="B219" s="383"/>
      <c r="C219" s="177"/>
      <c r="D219" s="177"/>
      <c r="E219" s="177"/>
      <c r="F219" s="391"/>
      <c r="G219" s="383"/>
      <c r="H219" s="177"/>
      <c r="I219" s="177"/>
      <c r="J219" s="177"/>
      <c r="K219" s="88"/>
      <c r="L219" s="383"/>
      <c r="M219" s="177"/>
      <c r="N219" s="177"/>
      <c r="O219" s="177"/>
      <c r="P219" s="88"/>
      <c r="Q219" s="151"/>
      <c r="R219" s="177"/>
      <c r="S219" s="177"/>
      <c r="T219" s="177"/>
      <c r="U219" s="391"/>
      <c r="V219" s="383"/>
      <c r="W219" s="177"/>
      <c r="X219" s="177"/>
      <c r="Y219" s="177"/>
      <c r="Z219" s="391"/>
      <c r="AA219" s="383"/>
      <c r="AB219" s="177"/>
      <c r="AC219" s="177"/>
      <c r="AD219" s="177"/>
      <c r="AE219" s="391"/>
      <c r="AF219" s="383"/>
      <c r="AG219" s="177"/>
      <c r="AH219" s="177"/>
      <c r="AI219" s="177"/>
      <c r="AJ219" s="391"/>
      <c r="AK219" s="383"/>
      <c r="AL219" s="177"/>
      <c r="AM219" s="177"/>
      <c r="AN219" s="177"/>
      <c r="AO219" s="192"/>
      <c r="AP219" s="191"/>
      <c r="AQ219" s="184"/>
      <c r="AR219" s="184"/>
      <c r="AS219" s="184"/>
    </row>
    <row r="220">
      <c r="A220" s="391"/>
      <c r="B220" s="383"/>
      <c r="C220" s="177"/>
      <c r="D220" s="177"/>
      <c r="E220" s="177"/>
      <c r="F220" s="391"/>
      <c r="G220" s="383"/>
      <c r="H220" s="177"/>
      <c r="I220" s="177"/>
      <c r="J220" s="177"/>
      <c r="K220" s="88"/>
      <c r="L220" s="383"/>
      <c r="M220" s="177"/>
      <c r="N220" s="177"/>
      <c r="O220" s="177"/>
      <c r="P220" s="88"/>
      <c r="Q220" s="151"/>
      <c r="R220" s="177"/>
      <c r="S220" s="177"/>
      <c r="T220" s="177"/>
      <c r="U220" s="391"/>
      <c r="V220" s="383"/>
      <c r="W220" s="177"/>
      <c r="X220" s="177"/>
      <c r="Y220" s="177"/>
      <c r="Z220" s="391"/>
      <c r="AA220" s="383"/>
      <c r="AB220" s="177"/>
      <c r="AC220" s="177"/>
      <c r="AD220" s="177"/>
      <c r="AE220" s="391"/>
      <c r="AF220" s="383"/>
      <c r="AG220" s="177"/>
      <c r="AH220" s="177"/>
      <c r="AI220" s="177"/>
      <c r="AJ220" s="391"/>
      <c r="AK220" s="383"/>
      <c r="AL220" s="177"/>
      <c r="AM220" s="177"/>
      <c r="AN220" s="177"/>
      <c r="AO220" s="192"/>
      <c r="AP220" s="191"/>
      <c r="AQ220" s="184"/>
      <c r="AR220" s="184"/>
      <c r="AS220" s="184"/>
    </row>
    <row r="221">
      <c r="A221" s="391"/>
      <c r="B221" s="383"/>
      <c r="C221" s="177"/>
      <c r="D221" s="177"/>
      <c r="E221" s="177"/>
      <c r="F221" s="391"/>
      <c r="G221" s="383"/>
      <c r="H221" s="177"/>
      <c r="I221" s="177"/>
      <c r="J221" s="177"/>
      <c r="K221" s="88"/>
      <c r="L221" s="383"/>
      <c r="M221" s="177"/>
      <c r="N221" s="177"/>
      <c r="O221" s="177"/>
      <c r="P221" s="88"/>
      <c r="Q221" s="151"/>
      <c r="R221" s="177"/>
      <c r="S221" s="177"/>
      <c r="T221" s="177"/>
      <c r="U221" s="391"/>
      <c r="V221" s="383"/>
      <c r="W221" s="177"/>
      <c r="X221" s="177"/>
      <c r="Y221" s="177"/>
      <c r="Z221" s="391"/>
      <c r="AA221" s="383"/>
      <c r="AB221" s="177"/>
      <c r="AC221" s="177"/>
      <c r="AD221" s="177"/>
      <c r="AE221" s="391"/>
      <c r="AF221" s="383"/>
      <c r="AG221" s="177"/>
      <c r="AH221" s="177"/>
      <c r="AI221" s="177"/>
      <c r="AJ221" s="391"/>
      <c r="AK221" s="383"/>
      <c r="AL221" s="177"/>
      <c r="AM221" s="177"/>
      <c r="AN221" s="177"/>
      <c r="AO221" s="192"/>
      <c r="AP221" s="191"/>
      <c r="AQ221" s="184"/>
      <c r="AR221" s="184"/>
      <c r="AS221" s="184"/>
    </row>
    <row r="222">
      <c r="A222" s="391"/>
      <c r="B222" s="383"/>
      <c r="C222" s="177"/>
      <c r="D222" s="177"/>
      <c r="E222" s="177"/>
      <c r="F222" s="391"/>
      <c r="G222" s="383"/>
      <c r="H222" s="177"/>
      <c r="I222" s="177"/>
      <c r="J222" s="177"/>
      <c r="K222" s="88"/>
      <c r="L222" s="383"/>
      <c r="M222" s="177"/>
      <c r="N222" s="177"/>
      <c r="O222" s="177"/>
      <c r="P222" s="88"/>
      <c r="Q222" s="151"/>
      <c r="R222" s="177"/>
      <c r="S222" s="177"/>
      <c r="T222" s="177"/>
      <c r="U222" s="391"/>
      <c r="V222" s="383"/>
      <c r="W222" s="177"/>
      <c r="X222" s="177"/>
      <c r="Y222" s="177"/>
      <c r="Z222" s="391"/>
      <c r="AA222" s="383"/>
      <c r="AB222" s="177"/>
      <c r="AC222" s="177"/>
      <c r="AD222" s="177"/>
      <c r="AE222" s="391"/>
      <c r="AF222" s="383"/>
      <c r="AG222" s="177"/>
      <c r="AH222" s="177"/>
      <c r="AI222" s="177"/>
      <c r="AJ222" s="391"/>
      <c r="AK222" s="383"/>
      <c r="AL222" s="177"/>
      <c r="AM222" s="177"/>
      <c r="AN222" s="177"/>
      <c r="AO222" s="192"/>
      <c r="AP222" s="191"/>
      <c r="AQ222" s="184"/>
      <c r="AR222" s="184"/>
      <c r="AS222" s="184"/>
    </row>
    <row r="223">
      <c r="A223" s="391"/>
      <c r="B223" s="383"/>
      <c r="C223" s="177"/>
      <c r="D223" s="177"/>
      <c r="E223" s="177"/>
      <c r="F223" s="391"/>
      <c r="G223" s="383"/>
      <c r="H223" s="177"/>
      <c r="I223" s="177"/>
      <c r="J223" s="177"/>
      <c r="K223" s="88"/>
      <c r="L223" s="383"/>
      <c r="M223" s="177"/>
      <c r="N223" s="177"/>
      <c r="O223" s="177"/>
      <c r="P223" s="88"/>
      <c r="Q223" s="151"/>
      <c r="R223" s="177"/>
      <c r="S223" s="177"/>
      <c r="T223" s="177"/>
      <c r="U223" s="391"/>
      <c r="V223" s="383"/>
      <c r="W223" s="177"/>
      <c r="X223" s="177"/>
      <c r="Y223" s="177"/>
      <c r="Z223" s="391"/>
      <c r="AA223" s="383"/>
      <c r="AB223" s="177"/>
      <c r="AC223" s="177"/>
      <c r="AD223" s="177"/>
      <c r="AE223" s="391"/>
      <c r="AF223" s="383"/>
      <c r="AG223" s="177"/>
      <c r="AH223" s="177"/>
      <c r="AI223" s="177"/>
      <c r="AJ223" s="391"/>
      <c r="AK223" s="383"/>
      <c r="AL223" s="177"/>
      <c r="AM223" s="177"/>
      <c r="AN223" s="177"/>
      <c r="AO223" s="192"/>
      <c r="AP223" s="191"/>
      <c r="AQ223" s="184"/>
      <c r="AR223" s="184"/>
      <c r="AS223" s="184"/>
    </row>
    <row r="224">
      <c r="A224" s="391"/>
      <c r="B224" s="383"/>
      <c r="C224" s="177"/>
      <c r="D224" s="177"/>
      <c r="E224" s="177"/>
      <c r="F224" s="391"/>
      <c r="G224" s="383"/>
      <c r="H224" s="177"/>
      <c r="I224" s="177"/>
      <c r="J224" s="177"/>
      <c r="K224" s="88"/>
      <c r="L224" s="383"/>
      <c r="M224" s="177"/>
      <c r="N224" s="177"/>
      <c r="O224" s="177"/>
      <c r="P224" s="88"/>
      <c r="Q224" s="151"/>
      <c r="R224" s="177"/>
      <c r="S224" s="177"/>
      <c r="T224" s="177"/>
      <c r="U224" s="391"/>
      <c r="V224" s="383"/>
      <c r="W224" s="177"/>
      <c r="X224" s="177"/>
      <c r="Y224" s="177"/>
      <c r="Z224" s="391"/>
      <c r="AA224" s="383"/>
      <c r="AB224" s="177"/>
      <c r="AC224" s="177"/>
      <c r="AD224" s="177"/>
      <c r="AE224" s="391"/>
      <c r="AF224" s="383"/>
      <c r="AG224" s="177"/>
      <c r="AH224" s="177"/>
      <c r="AI224" s="177"/>
      <c r="AJ224" s="391"/>
      <c r="AK224" s="383"/>
      <c r="AL224" s="177"/>
      <c r="AM224" s="177"/>
      <c r="AN224" s="177"/>
      <c r="AO224" s="192"/>
      <c r="AP224" s="191"/>
      <c r="AQ224" s="184"/>
      <c r="AR224" s="184"/>
      <c r="AS224" s="184"/>
    </row>
    <row r="225">
      <c r="A225" s="391"/>
      <c r="B225" s="383"/>
      <c r="C225" s="177"/>
      <c r="D225" s="177"/>
      <c r="E225" s="177"/>
      <c r="F225" s="391"/>
      <c r="G225" s="383"/>
      <c r="H225" s="177"/>
      <c r="I225" s="177"/>
      <c r="J225" s="177"/>
      <c r="K225" s="88"/>
      <c r="L225" s="383"/>
      <c r="M225" s="177"/>
      <c r="N225" s="177"/>
      <c r="O225" s="177"/>
      <c r="P225" s="88"/>
      <c r="Q225" s="151"/>
      <c r="R225" s="177"/>
      <c r="S225" s="177"/>
      <c r="T225" s="177"/>
      <c r="U225" s="391"/>
      <c r="V225" s="383"/>
      <c r="W225" s="177"/>
      <c r="X225" s="177"/>
      <c r="Y225" s="177"/>
      <c r="Z225" s="391"/>
      <c r="AA225" s="383"/>
      <c r="AB225" s="177"/>
      <c r="AC225" s="177"/>
      <c r="AD225" s="177"/>
      <c r="AE225" s="391"/>
      <c r="AF225" s="383"/>
      <c r="AG225" s="177"/>
      <c r="AH225" s="177"/>
      <c r="AI225" s="177"/>
      <c r="AJ225" s="391"/>
      <c r="AK225" s="383"/>
      <c r="AL225" s="177"/>
      <c r="AM225" s="177"/>
      <c r="AN225" s="177"/>
      <c r="AO225" s="192"/>
      <c r="AP225" s="191"/>
      <c r="AQ225" s="184"/>
      <c r="AR225" s="184"/>
      <c r="AS225" s="184"/>
    </row>
    <row r="226">
      <c r="A226" s="391"/>
      <c r="B226" s="383"/>
      <c r="C226" s="177"/>
      <c r="D226" s="177"/>
      <c r="E226" s="177"/>
      <c r="F226" s="391"/>
      <c r="G226" s="383"/>
      <c r="H226" s="177"/>
      <c r="I226" s="177"/>
      <c r="J226" s="177"/>
      <c r="K226" s="88"/>
      <c r="L226" s="383"/>
      <c r="M226" s="177"/>
      <c r="N226" s="177"/>
      <c r="O226" s="177"/>
      <c r="P226" s="88"/>
      <c r="Q226" s="151"/>
      <c r="R226" s="177"/>
      <c r="S226" s="177"/>
      <c r="T226" s="177"/>
      <c r="U226" s="391"/>
      <c r="V226" s="383"/>
      <c r="W226" s="177"/>
      <c r="X226" s="177"/>
      <c r="Y226" s="177"/>
      <c r="Z226" s="391"/>
      <c r="AA226" s="383"/>
      <c r="AB226" s="177"/>
      <c r="AC226" s="177"/>
      <c r="AD226" s="177"/>
      <c r="AE226" s="391"/>
      <c r="AF226" s="383"/>
      <c r="AG226" s="177"/>
      <c r="AH226" s="177"/>
      <c r="AI226" s="177"/>
      <c r="AJ226" s="391"/>
      <c r="AK226" s="383"/>
      <c r="AL226" s="177"/>
      <c r="AM226" s="177"/>
      <c r="AN226" s="177"/>
      <c r="AO226" s="192"/>
      <c r="AP226" s="191"/>
      <c r="AQ226" s="184"/>
      <c r="AR226" s="184"/>
      <c r="AS226" s="184"/>
    </row>
    <row r="227">
      <c r="A227" s="391"/>
      <c r="B227" s="383"/>
      <c r="C227" s="177"/>
      <c r="D227" s="177"/>
      <c r="E227" s="177"/>
      <c r="F227" s="391"/>
      <c r="G227" s="383"/>
      <c r="H227" s="177"/>
      <c r="I227" s="177"/>
      <c r="J227" s="177"/>
      <c r="K227" s="88"/>
      <c r="L227" s="383"/>
      <c r="M227" s="177"/>
      <c r="N227" s="177"/>
      <c r="O227" s="177"/>
      <c r="P227" s="88"/>
      <c r="Q227" s="151"/>
      <c r="R227" s="177"/>
      <c r="S227" s="177"/>
      <c r="T227" s="177"/>
      <c r="U227" s="391"/>
      <c r="V227" s="383"/>
      <c r="W227" s="177"/>
      <c r="X227" s="177"/>
      <c r="Y227" s="177"/>
      <c r="Z227" s="391"/>
      <c r="AA227" s="383"/>
      <c r="AB227" s="177"/>
      <c r="AC227" s="177"/>
      <c r="AD227" s="177"/>
      <c r="AE227" s="391"/>
      <c r="AF227" s="383"/>
      <c r="AG227" s="177"/>
      <c r="AH227" s="177"/>
      <c r="AI227" s="177"/>
      <c r="AJ227" s="391"/>
      <c r="AK227" s="383"/>
      <c r="AL227" s="177"/>
      <c r="AM227" s="177"/>
      <c r="AN227" s="177"/>
      <c r="AO227" s="192"/>
      <c r="AP227" s="191"/>
      <c r="AQ227" s="184"/>
      <c r="AR227" s="184"/>
      <c r="AS227" s="184"/>
    </row>
    <row r="228">
      <c r="A228" s="391"/>
      <c r="B228" s="383"/>
      <c r="C228" s="177"/>
      <c r="D228" s="177"/>
      <c r="E228" s="177"/>
      <c r="F228" s="391"/>
      <c r="G228" s="383"/>
      <c r="H228" s="177"/>
      <c r="I228" s="177"/>
      <c r="J228" s="177"/>
      <c r="K228" s="88"/>
      <c r="L228" s="383"/>
      <c r="M228" s="177"/>
      <c r="N228" s="177"/>
      <c r="O228" s="177"/>
      <c r="P228" s="88"/>
      <c r="Q228" s="151"/>
      <c r="R228" s="177"/>
      <c r="S228" s="177"/>
      <c r="T228" s="177"/>
      <c r="U228" s="391"/>
      <c r="V228" s="383"/>
      <c r="W228" s="177"/>
      <c r="X228" s="177"/>
      <c r="Y228" s="177"/>
      <c r="Z228" s="391"/>
      <c r="AA228" s="383"/>
      <c r="AB228" s="177"/>
      <c r="AC228" s="177"/>
      <c r="AD228" s="177"/>
      <c r="AE228" s="391"/>
      <c r="AF228" s="383"/>
      <c r="AG228" s="177"/>
      <c r="AH228" s="177"/>
      <c r="AI228" s="177"/>
      <c r="AJ228" s="391"/>
      <c r="AK228" s="383"/>
      <c r="AL228" s="177"/>
      <c r="AM228" s="177"/>
      <c r="AN228" s="177"/>
      <c r="AO228" s="192"/>
      <c r="AP228" s="191"/>
      <c r="AQ228" s="184"/>
      <c r="AR228" s="184"/>
      <c r="AS228" s="184"/>
    </row>
    <row r="229">
      <c r="A229" s="391"/>
      <c r="B229" s="383"/>
      <c r="C229" s="177"/>
      <c r="D229" s="177"/>
      <c r="E229" s="177"/>
      <c r="F229" s="391"/>
      <c r="G229" s="383"/>
      <c r="H229" s="177"/>
      <c r="I229" s="177"/>
      <c r="J229" s="177"/>
      <c r="K229" s="88"/>
      <c r="L229" s="383"/>
      <c r="M229" s="177"/>
      <c r="N229" s="177"/>
      <c r="O229" s="177"/>
      <c r="P229" s="88"/>
      <c r="Q229" s="151"/>
      <c r="R229" s="177"/>
      <c r="S229" s="177"/>
      <c r="T229" s="177"/>
      <c r="U229" s="391"/>
      <c r="V229" s="383"/>
      <c r="W229" s="177"/>
      <c r="X229" s="177"/>
      <c r="Y229" s="177"/>
      <c r="Z229" s="391"/>
      <c r="AA229" s="383"/>
      <c r="AB229" s="177"/>
      <c r="AC229" s="177"/>
      <c r="AD229" s="177"/>
      <c r="AE229" s="391"/>
      <c r="AF229" s="383"/>
      <c r="AG229" s="177"/>
      <c r="AH229" s="177"/>
      <c r="AI229" s="177"/>
      <c r="AJ229" s="391"/>
      <c r="AK229" s="383"/>
      <c r="AL229" s="177"/>
      <c r="AM229" s="177"/>
      <c r="AN229" s="177"/>
      <c r="AO229" s="192"/>
      <c r="AP229" s="191"/>
      <c r="AQ229" s="184"/>
      <c r="AR229" s="184"/>
      <c r="AS229" s="184"/>
    </row>
    <row r="230">
      <c r="A230" s="391"/>
      <c r="B230" s="383"/>
      <c r="C230" s="177"/>
      <c r="D230" s="177"/>
      <c r="E230" s="177"/>
      <c r="F230" s="391"/>
      <c r="G230" s="383"/>
      <c r="H230" s="177"/>
      <c r="I230" s="177"/>
      <c r="J230" s="177"/>
      <c r="K230" s="88"/>
      <c r="L230" s="383"/>
      <c r="M230" s="177"/>
      <c r="N230" s="177"/>
      <c r="O230" s="177"/>
      <c r="P230" s="88"/>
      <c r="Q230" s="151"/>
      <c r="R230" s="177"/>
      <c r="S230" s="177"/>
      <c r="T230" s="177"/>
      <c r="U230" s="391"/>
      <c r="V230" s="383"/>
      <c r="W230" s="177"/>
      <c r="X230" s="177"/>
      <c r="Y230" s="177"/>
      <c r="Z230" s="391"/>
      <c r="AA230" s="383"/>
      <c r="AB230" s="177"/>
      <c r="AC230" s="177"/>
      <c r="AD230" s="177"/>
      <c r="AE230" s="391"/>
      <c r="AF230" s="383"/>
      <c r="AG230" s="177"/>
      <c r="AH230" s="177"/>
      <c r="AI230" s="177"/>
      <c r="AJ230" s="391"/>
      <c r="AK230" s="383"/>
      <c r="AL230" s="177"/>
      <c r="AM230" s="177"/>
      <c r="AN230" s="177"/>
      <c r="AO230" s="192"/>
      <c r="AP230" s="191"/>
      <c r="AQ230" s="184"/>
      <c r="AR230" s="184"/>
      <c r="AS230" s="184"/>
    </row>
    <row r="231">
      <c r="A231" s="391"/>
      <c r="B231" s="383"/>
      <c r="C231" s="177"/>
      <c r="D231" s="177"/>
      <c r="E231" s="177"/>
      <c r="F231" s="391"/>
      <c r="G231" s="383"/>
      <c r="H231" s="177"/>
      <c r="I231" s="177"/>
      <c r="J231" s="177"/>
      <c r="K231" s="88"/>
      <c r="L231" s="383"/>
      <c r="M231" s="177"/>
      <c r="N231" s="177"/>
      <c r="O231" s="177"/>
      <c r="P231" s="88"/>
      <c r="Q231" s="151"/>
      <c r="R231" s="177"/>
      <c r="S231" s="177"/>
      <c r="T231" s="177"/>
      <c r="U231" s="391"/>
      <c r="V231" s="383"/>
      <c r="W231" s="177"/>
      <c r="X231" s="177"/>
      <c r="Y231" s="177"/>
      <c r="Z231" s="391"/>
      <c r="AA231" s="383"/>
      <c r="AB231" s="177"/>
      <c r="AC231" s="177"/>
      <c r="AD231" s="177"/>
      <c r="AE231" s="391"/>
      <c r="AF231" s="383"/>
      <c r="AG231" s="177"/>
      <c r="AH231" s="177"/>
      <c r="AI231" s="177"/>
      <c r="AJ231" s="391"/>
      <c r="AK231" s="383"/>
      <c r="AL231" s="177"/>
      <c r="AM231" s="177"/>
      <c r="AN231" s="177"/>
      <c r="AO231" s="192"/>
      <c r="AP231" s="191"/>
      <c r="AQ231" s="184"/>
      <c r="AR231" s="184"/>
      <c r="AS231" s="184"/>
    </row>
    <row r="232">
      <c r="A232" s="391"/>
      <c r="B232" s="383"/>
      <c r="C232" s="177"/>
      <c r="D232" s="177"/>
      <c r="E232" s="177"/>
      <c r="F232" s="391"/>
      <c r="G232" s="383"/>
      <c r="H232" s="177"/>
      <c r="I232" s="177"/>
      <c r="J232" s="177"/>
      <c r="K232" s="88"/>
      <c r="L232" s="383"/>
      <c r="M232" s="177"/>
      <c r="N232" s="177"/>
      <c r="O232" s="177"/>
      <c r="P232" s="88"/>
      <c r="Q232" s="151"/>
      <c r="R232" s="177"/>
      <c r="S232" s="177"/>
      <c r="T232" s="177"/>
      <c r="U232" s="391"/>
      <c r="V232" s="383"/>
      <c r="W232" s="177"/>
      <c r="X232" s="177"/>
      <c r="Y232" s="177"/>
      <c r="Z232" s="391"/>
      <c r="AA232" s="383"/>
      <c r="AB232" s="177"/>
      <c r="AC232" s="177"/>
      <c r="AD232" s="177"/>
      <c r="AE232" s="391"/>
      <c r="AF232" s="383"/>
      <c r="AG232" s="177"/>
      <c r="AH232" s="177"/>
      <c r="AI232" s="177"/>
      <c r="AJ232" s="391"/>
      <c r="AK232" s="383"/>
      <c r="AL232" s="177"/>
      <c r="AM232" s="177"/>
      <c r="AN232" s="177"/>
      <c r="AO232" s="192"/>
      <c r="AP232" s="191"/>
      <c r="AQ232" s="184"/>
      <c r="AR232" s="184"/>
      <c r="AS232" s="184"/>
    </row>
    <row r="233">
      <c r="A233" s="391"/>
      <c r="B233" s="383"/>
      <c r="C233" s="177"/>
      <c r="D233" s="177"/>
      <c r="E233" s="177"/>
      <c r="F233" s="391"/>
      <c r="G233" s="383"/>
      <c r="H233" s="177"/>
      <c r="I233" s="177"/>
      <c r="J233" s="177"/>
      <c r="K233" s="88"/>
      <c r="L233" s="383"/>
      <c r="M233" s="177"/>
      <c r="N233" s="177"/>
      <c r="O233" s="177"/>
      <c r="P233" s="88"/>
      <c r="Q233" s="151"/>
      <c r="R233" s="177"/>
      <c r="S233" s="177"/>
      <c r="T233" s="177"/>
      <c r="U233" s="391"/>
      <c r="V233" s="383"/>
      <c r="W233" s="177"/>
      <c r="X233" s="177"/>
      <c r="Y233" s="177"/>
      <c r="Z233" s="391"/>
      <c r="AA233" s="383"/>
      <c r="AB233" s="177"/>
      <c r="AC233" s="177"/>
      <c r="AD233" s="177"/>
      <c r="AE233" s="391"/>
      <c r="AF233" s="383"/>
      <c r="AG233" s="177"/>
      <c r="AH233" s="177"/>
      <c r="AI233" s="177"/>
      <c r="AJ233" s="391"/>
      <c r="AK233" s="383"/>
      <c r="AL233" s="177"/>
      <c r="AM233" s="177"/>
      <c r="AN233" s="177"/>
      <c r="AO233" s="192"/>
      <c r="AP233" s="191"/>
      <c r="AQ233" s="184"/>
      <c r="AR233" s="184"/>
      <c r="AS233" s="184"/>
    </row>
    <row r="234">
      <c r="A234" s="391"/>
      <c r="B234" s="383"/>
      <c r="C234" s="177"/>
      <c r="D234" s="177"/>
      <c r="E234" s="177"/>
      <c r="F234" s="391"/>
      <c r="G234" s="383"/>
      <c r="H234" s="177"/>
      <c r="I234" s="177"/>
      <c r="J234" s="177"/>
      <c r="K234" s="88"/>
      <c r="L234" s="383"/>
      <c r="M234" s="177"/>
      <c r="N234" s="177"/>
      <c r="O234" s="177"/>
      <c r="P234" s="88"/>
      <c r="Q234" s="151"/>
      <c r="R234" s="177"/>
      <c r="S234" s="177"/>
      <c r="T234" s="177"/>
      <c r="U234" s="391"/>
      <c r="V234" s="383"/>
      <c r="W234" s="177"/>
      <c r="X234" s="177"/>
      <c r="Y234" s="177"/>
      <c r="Z234" s="391"/>
      <c r="AA234" s="383"/>
      <c r="AB234" s="177"/>
      <c r="AC234" s="177"/>
      <c r="AD234" s="177"/>
      <c r="AE234" s="391"/>
      <c r="AF234" s="383"/>
      <c r="AG234" s="177"/>
      <c r="AH234" s="177"/>
      <c r="AI234" s="177"/>
      <c r="AJ234" s="391"/>
      <c r="AK234" s="383"/>
      <c r="AL234" s="177"/>
      <c r="AM234" s="177"/>
      <c r="AN234" s="177"/>
      <c r="AO234" s="192"/>
      <c r="AP234" s="191"/>
      <c r="AQ234" s="184"/>
      <c r="AR234" s="184"/>
      <c r="AS234" s="184"/>
    </row>
    <row r="235">
      <c r="A235" s="391"/>
      <c r="B235" s="383"/>
      <c r="C235" s="177"/>
      <c r="D235" s="177"/>
      <c r="E235" s="177"/>
      <c r="F235" s="391"/>
      <c r="G235" s="383"/>
      <c r="H235" s="177"/>
      <c r="I235" s="177"/>
      <c r="J235" s="177"/>
      <c r="K235" s="88"/>
      <c r="L235" s="383"/>
      <c r="M235" s="177"/>
      <c r="N235" s="177"/>
      <c r="O235" s="177"/>
      <c r="P235" s="88"/>
      <c r="Q235" s="151"/>
      <c r="R235" s="177"/>
      <c r="S235" s="177"/>
      <c r="T235" s="177"/>
      <c r="U235" s="391"/>
      <c r="V235" s="383"/>
      <c r="W235" s="177"/>
      <c r="X235" s="177"/>
      <c r="Y235" s="177"/>
      <c r="Z235" s="391"/>
      <c r="AA235" s="383"/>
      <c r="AB235" s="177"/>
      <c r="AC235" s="177"/>
      <c r="AD235" s="177"/>
      <c r="AE235" s="391"/>
      <c r="AF235" s="383"/>
      <c r="AG235" s="177"/>
      <c r="AH235" s="177"/>
      <c r="AI235" s="177"/>
      <c r="AJ235" s="391"/>
      <c r="AK235" s="383"/>
      <c r="AL235" s="177"/>
      <c r="AM235" s="177"/>
      <c r="AN235" s="177"/>
      <c r="AO235" s="192"/>
      <c r="AP235" s="191"/>
      <c r="AQ235" s="184"/>
      <c r="AR235" s="184"/>
      <c r="AS235" s="184"/>
    </row>
    <row r="236">
      <c r="A236" s="391"/>
      <c r="B236" s="383"/>
      <c r="C236" s="177"/>
      <c r="D236" s="177"/>
      <c r="E236" s="177"/>
      <c r="F236" s="391"/>
      <c r="G236" s="383"/>
      <c r="H236" s="177"/>
      <c r="I236" s="177"/>
      <c r="J236" s="177"/>
      <c r="K236" s="88"/>
      <c r="L236" s="383"/>
      <c r="M236" s="177"/>
      <c r="N236" s="177"/>
      <c r="O236" s="177"/>
      <c r="P236" s="88"/>
      <c r="Q236" s="151"/>
      <c r="R236" s="177"/>
      <c r="S236" s="177"/>
      <c r="T236" s="177"/>
      <c r="U236" s="391"/>
      <c r="V236" s="383"/>
      <c r="W236" s="177"/>
      <c r="X236" s="177"/>
      <c r="Y236" s="177"/>
      <c r="Z236" s="391"/>
      <c r="AA236" s="383"/>
      <c r="AB236" s="177"/>
      <c r="AC236" s="177"/>
      <c r="AD236" s="177"/>
      <c r="AE236" s="391"/>
      <c r="AF236" s="383"/>
      <c r="AG236" s="177"/>
      <c r="AH236" s="177"/>
      <c r="AI236" s="177"/>
      <c r="AJ236" s="391"/>
      <c r="AK236" s="383"/>
      <c r="AL236" s="177"/>
      <c r="AM236" s="177"/>
      <c r="AN236" s="177"/>
      <c r="AO236" s="192"/>
      <c r="AP236" s="191"/>
      <c r="AQ236" s="184"/>
      <c r="AR236" s="184"/>
      <c r="AS236" s="184"/>
    </row>
    <row r="237">
      <c r="A237" s="391"/>
      <c r="B237" s="383"/>
      <c r="C237" s="177"/>
      <c r="D237" s="177"/>
      <c r="E237" s="177"/>
      <c r="F237" s="391"/>
      <c r="G237" s="383"/>
      <c r="H237" s="177"/>
      <c r="I237" s="177"/>
      <c r="J237" s="177"/>
      <c r="K237" s="88"/>
      <c r="L237" s="383"/>
      <c r="M237" s="177"/>
      <c r="N237" s="177"/>
      <c r="O237" s="177"/>
      <c r="P237" s="88"/>
      <c r="Q237" s="151"/>
      <c r="R237" s="177"/>
      <c r="S237" s="177"/>
      <c r="T237" s="177"/>
      <c r="U237" s="391"/>
      <c r="V237" s="383"/>
      <c r="W237" s="177"/>
      <c r="X237" s="177"/>
      <c r="Y237" s="177"/>
      <c r="Z237" s="391"/>
      <c r="AA237" s="383"/>
      <c r="AB237" s="177"/>
      <c r="AC237" s="177"/>
      <c r="AD237" s="177"/>
      <c r="AE237" s="391"/>
      <c r="AF237" s="383"/>
      <c r="AG237" s="177"/>
      <c r="AH237" s="177"/>
      <c r="AI237" s="177"/>
      <c r="AJ237" s="391"/>
      <c r="AK237" s="383"/>
      <c r="AL237" s="177"/>
      <c r="AM237" s="177"/>
      <c r="AN237" s="177"/>
      <c r="AO237" s="192"/>
      <c r="AP237" s="191"/>
      <c r="AQ237" s="184"/>
      <c r="AR237" s="184"/>
      <c r="AS237" s="184"/>
    </row>
    <row r="238">
      <c r="A238" s="391"/>
      <c r="B238" s="383"/>
      <c r="C238" s="177"/>
      <c r="D238" s="177"/>
      <c r="E238" s="177"/>
      <c r="F238" s="391"/>
      <c r="G238" s="383"/>
      <c r="H238" s="177"/>
      <c r="I238" s="177"/>
      <c r="J238" s="177"/>
      <c r="K238" s="88"/>
      <c r="L238" s="383"/>
      <c r="M238" s="177"/>
      <c r="N238" s="177"/>
      <c r="O238" s="177"/>
      <c r="P238" s="88"/>
      <c r="Q238" s="151"/>
      <c r="R238" s="177"/>
      <c r="S238" s="177"/>
      <c r="T238" s="177"/>
      <c r="U238" s="391"/>
      <c r="V238" s="383"/>
      <c r="W238" s="177"/>
      <c r="X238" s="177"/>
      <c r="Y238" s="177"/>
      <c r="Z238" s="391"/>
      <c r="AA238" s="383"/>
      <c r="AB238" s="177"/>
      <c r="AC238" s="177"/>
      <c r="AD238" s="177"/>
      <c r="AE238" s="391"/>
      <c r="AF238" s="383"/>
      <c r="AG238" s="177"/>
      <c r="AH238" s="177"/>
      <c r="AI238" s="177"/>
      <c r="AJ238" s="391"/>
      <c r="AK238" s="383"/>
      <c r="AL238" s="177"/>
      <c r="AM238" s="177"/>
      <c r="AN238" s="177"/>
      <c r="AO238" s="192"/>
      <c r="AP238" s="191"/>
      <c r="AQ238" s="184"/>
      <c r="AR238" s="184"/>
      <c r="AS238" s="184"/>
    </row>
    <row r="239">
      <c r="A239" s="391"/>
      <c r="B239" s="383"/>
      <c r="C239" s="177"/>
      <c r="D239" s="177"/>
      <c r="E239" s="177"/>
      <c r="F239" s="391"/>
      <c r="G239" s="383"/>
      <c r="H239" s="177"/>
      <c r="I239" s="177"/>
      <c r="J239" s="177"/>
      <c r="K239" s="88"/>
      <c r="L239" s="383"/>
      <c r="M239" s="177"/>
      <c r="N239" s="177"/>
      <c r="O239" s="177"/>
      <c r="P239" s="88"/>
      <c r="Q239" s="151"/>
      <c r="R239" s="177"/>
      <c r="S239" s="177"/>
      <c r="T239" s="177"/>
      <c r="U239" s="391"/>
      <c r="V239" s="383"/>
      <c r="W239" s="177"/>
      <c r="X239" s="177"/>
      <c r="Y239" s="177"/>
      <c r="Z239" s="391"/>
      <c r="AA239" s="383"/>
      <c r="AB239" s="177"/>
      <c r="AC239" s="177"/>
      <c r="AD239" s="177"/>
      <c r="AE239" s="391"/>
      <c r="AF239" s="383"/>
      <c r="AG239" s="177"/>
      <c r="AH239" s="177"/>
      <c r="AI239" s="177"/>
      <c r="AJ239" s="391"/>
      <c r="AK239" s="383"/>
      <c r="AL239" s="177"/>
      <c r="AM239" s="177"/>
      <c r="AN239" s="177"/>
      <c r="AO239" s="192"/>
      <c r="AP239" s="191"/>
      <c r="AQ239" s="184"/>
      <c r="AR239" s="184"/>
      <c r="AS239" s="184"/>
    </row>
    <row r="240">
      <c r="A240" s="391"/>
      <c r="B240" s="383"/>
      <c r="C240" s="177"/>
      <c r="D240" s="177"/>
      <c r="E240" s="177"/>
      <c r="F240" s="391"/>
      <c r="G240" s="383"/>
      <c r="H240" s="177"/>
      <c r="I240" s="177"/>
      <c r="J240" s="177"/>
      <c r="K240" s="88"/>
      <c r="L240" s="383"/>
      <c r="M240" s="177"/>
      <c r="N240" s="177"/>
      <c r="O240" s="177"/>
      <c r="P240" s="88"/>
      <c r="Q240" s="151"/>
      <c r="R240" s="177"/>
      <c r="S240" s="177"/>
      <c r="T240" s="177"/>
      <c r="U240" s="391"/>
      <c r="V240" s="383"/>
      <c r="W240" s="177"/>
      <c r="X240" s="177"/>
      <c r="Y240" s="177"/>
      <c r="Z240" s="391"/>
      <c r="AA240" s="383"/>
      <c r="AB240" s="177"/>
      <c r="AC240" s="177"/>
      <c r="AD240" s="177"/>
      <c r="AE240" s="391"/>
      <c r="AF240" s="383"/>
      <c r="AG240" s="177"/>
      <c r="AH240" s="177"/>
      <c r="AI240" s="177"/>
      <c r="AJ240" s="391"/>
      <c r="AK240" s="383"/>
      <c r="AL240" s="177"/>
      <c r="AM240" s="177"/>
      <c r="AN240" s="177"/>
      <c r="AO240" s="192"/>
      <c r="AP240" s="191"/>
      <c r="AQ240" s="184"/>
      <c r="AR240" s="184"/>
      <c r="AS240" s="184"/>
    </row>
    <row r="241">
      <c r="A241" s="391"/>
      <c r="B241" s="383"/>
      <c r="C241" s="177"/>
      <c r="D241" s="177"/>
      <c r="E241" s="177"/>
      <c r="F241" s="391"/>
      <c r="G241" s="383"/>
      <c r="H241" s="177"/>
      <c r="I241" s="177"/>
      <c r="J241" s="177"/>
      <c r="K241" s="88"/>
      <c r="L241" s="383"/>
      <c r="M241" s="177"/>
      <c r="N241" s="177"/>
      <c r="O241" s="177"/>
      <c r="P241" s="88"/>
      <c r="Q241" s="151"/>
      <c r="R241" s="177"/>
      <c r="S241" s="177"/>
      <c r="T241" s="177"/>
      <c r="U241" s="391"/>
      <c r="V241" s="383"/>
      <c r="W241" s="177"/>
      <c r="X241" s="177"/>
      <c r="Y241" s="177"/>
      <c r="Z241" s="391"/>
      <c r="AA241" s="383"/>
      <c r="AB241" s="177"/>
      <c r="AC241" s="177"/>
      <c r="AD241" s="177"/>
      <c r="AE241" s="391"/>
      <c r="AF241" s="383"/>
      <c r="AG241" s="177"/>
      <c r="AH241" s="177"/>
      <c r="AI241" s="177"/>
      <c r="AJ241" s="391"/>
      <c r="AK241" s="383"/>
      <c r="AL241" s="177"/>
      <c r="AM241" s="177"/>
      <c r="AN241" s="177"/>
      <c r="AO241" s="192"/>
      <c r="AP241" s="191"/>
      <c r="AQ241" s="184"/>
      <c r="AR241" s="184"/>
      <c r="AS241" s="184"/>
    </row>
    <row r="242">
      <c r="A242" s="391"/>
      <c r="B242" s="383"/>
      <c r="C242" s="177"/>
      <c r="D242" s="177"/>
      <c r="E242" s="177"/>
      <c r="F242" s="391"/>
      <c r="G242" s="383"/>
      <c r="H242" s="177"/>
      <c r="I242" s="177"/>
      <c r="J242" s="177"/>
      <c r="K242" s="88"/>
      <c r="L242" s="383"/>
      <c r="M242" s="177"/>
      <c r="N242" s="177"/>
      <c r="O242" s="177"/>
      <c r="P242" s="88"/>
      <c r="Q242" s="151"/>
      <c r="R242" s="177"/>
      <c r="S242" s="177"/>
      <c r="T242" s="177"/>
      <c r="U242" s="391"/>
      <c r="V242" s="383"/>
      <c r="W242" s="177"/>
      <c r="X242" s="177"/>
      <c r="Y242" s="177"/>
      <c r="Z242" s="391"/>
      <c r="AA242" s="383"/>
      <c r="AB242" s="177"/>
      <c r="AC242" s="177"/>
      <c r="AD242" s="177"/>
      <c r="AE242" s="391"/>
      <c r="AF242" s="383"/>
      <c r="AG242" s="177"/>
      <c r="AH242" s="177"/>
      <c r="AI242" s="177"/>
      <c r="AJ242" s="391"/>
      <c r="AK242" s="383"/>
      <c r="AL242" s="177"/>
      <c r="AM242" s="177"/>
      <c r="AN242" s="177"/>
      <c r="AO242" s="192"/>
      <c r="AP242" s="191"/>
      <c r="AQ242" s="184"/>
      <c r="AR242" s="184"/>
      <c r="AS242" s="184"/>
    </row>
    <row r="243">
      <c r="A243" s="391"/>
      <c r="B243" s="383"/>
      <c r="C243" s="177"/>
      <c r="D243" s="177"/>
      <c r="E243" s="177"/>
      <c r="F243" s="391"/>
      <c r="G243" s="383"/>
      <c r="H243" s="177"/>
      <c r="I243" s="177"/>
      <c r="J243" s="177"/>
      <c r="K243" s="88"/>
      <c r="L243" s="383"/>
      <c r="M243" s="177"/>
      <c r="N243" s="177"/>
      <c r="O243" s="177"/>
      <c r="P243" s="88"/>
      <c r="Q243" s="151"/>
      <c r="R243" s="177"/>
      <c r="S243" s="177"/>
      <c r="T243" s="177"/>
      <c r="U243" s="391"/>
      <c r="V243" s="383"/>
      <c r="W243" s="177"/>
      <c r="X243" s="177"/>
      <c r="Y243" s="177"/>
      <c r="Z243" s="391"/>
      <c r="AA243" s="383"/>
      <c r="AB243" s="177"/>
      <c r="AC243" s="177"/>
      <c r="AD243" s="177"/>
      <c r="AE243" s="391"/>
      <c r="AF243" s="383"/>
      <c r="AG243" s="177"/>
      <c r="AH243" s="177"/>
      <c r="AI243" s="177"/>
      <c r="AJ243" s="391"/>
      <c r="AK243" s="383"/>
      <c r="AL243" s="177"/>
      <c r="AM243" s="177"/>
      <c r="AN243" s="177"/>
      <c r="AO243" s="192"/>
      <c r="AP243" s="191"/>
      <c r="AQ243" s="184"/>
      <c r="AR243" s="184"/>
      <c r="AS243" s="184"/>
    </row>
    <row r="244">
      <c r="A244" s="391"/>
      <c r="B244" s="383"/>
      <c r="C244" s="177"/>
      <c r="D244" s="177"/>
      <c r="E244" s="177"/>
      <c r="F244" s="391"/>
      <c r="G244" s="383"/>
      <c r="H244" s="177"/>
      <c r="I244" s="177"/>
      <c r="J244" s="177"/>
      <c r="K244" s="88"/>
      <c r="L244" s="383"/>
      <c r="M244" s="177"/>
      <c r="N244" s="177"/>
      <c r="O244" s="177"/>
      <c r="P244" s="88"/>
      <c r="Q244" s="151"/>
      <c r="R244" s="177"/>
      <c r="S244" s="177"/>
      <c r="T244" s="177"/>
      <c r="U244" s="391"/>
      <c r="V244" s="383"/>
      <c r="W244" s="177"/>
      <c r="X244" s="177"/>
      <c r="Y244" s="177"/>
      <c r="Z244" s="391"/>
      <c r="AA244" s="383"/>
      <c r="AB244" s="177"/>
      <c r="AC244" s="177"/>
      <c r="AD244" s="177"/>
      <c r="AE244" s="391"/>
      <c r="AF244" s="383"/>
      <c r="AG244" s="177"/>
      <c r="AH244" s="177"/>
      <c r="AI244" s="177"/>
      <c r="AJ244" s="391"/>
      <c r="AK244" s="383"/>
      <c r="AL244" s="177"/>
      <c r="AM244" s="177"/>
      <c r="AN244" s="177"/>
      <c r="AO244" s="192"/>
      <c r="AP244" s="191"/>
      <c r="AQ244" s="184"/>
      <c r="AR244" s="184"/>
      <c r="AS244" s="184"/>
    </row>
    <row r="245">
      <c r="A245" s="391"/>
      <c r="B245" s="383"/>
      <c r="C245" s="177"/>
      <c r="D245" s="177"/>
      <c r="E245" s="177"/>
      <c r="F245" s="391"/>
      <c r="G245" s="383"/>
      <c r="H245" s="177"/>
      <c r="I245" s="177"/>
      <c r="J245" s="177"/>
      <c r="K245" s="88"/>
      <c r="L245" s="383"/>
      <c r="M245" s="177"/>
      <c r="N245" s="177"/>
      <c r="O245" s="177"/>
      <c r="P245" s="88"/>
      <c r="Q245" s="151"/>
      <c r="R245" s="177"/>
      <c r="S245" s="177"/>
      <c r="T245" s="177"/>
      <c r="U245" s="391"/>
      <c r="V245" s="383"/>
      <c r="W245" s="177"/>
      <c r="X245" s="177"/>
      <c r="Y245" s="177"/>
      <c r="Z245" s="391"/>
      <c r="AA245" s="383"/>
      <c r="AB245" s="177"/>
      <c r="AC245" s="177"/>
      <c r="AD245" s="177"/>
      <c r="AE245" s="391"/>
      <c r="AF245" s="383"/>
      <c r="AG245" s="177"/>
      <c r="AH245" s="177"/>
      <c r="AI245" s="177"/>
      <c r="AJ245" s="391"/>
      <c r="AK245" s="383"/>
      <c r="AL245" s="177"/>
      <c r="AM245" s="177"/>
      <c r="AN245" s="177"/>
      <c r="AO245" s="192"/>
      <c r="AP245" s="191"/>
      <c r="AQ245" s="184"/>
      <c r="AR245" s="184"/>
      <c r="AS245" s="184"/>
    </row>
    <row r="246">
      <c r="A246" s="391"/>
      <c r="B246" s="383"/>
      <c r="C246" s="177"/>
      <c r="D246" s="177"/>
      <c r="E246" s="177"/>
      <c r="F246" s="391"/>
      <c r="G246" s="383"/>
      <c r="H246" s="177"/>
      <c r="I246" s="177"/>
      <c r="J246" s="177"/>
      <c r="K246" s="88"/>
      <c r="L246" s="383"/>
      <c r="M246" s="177"/>
      <c r="N246" s="177"/>
      <c r="O246" s="177"/>
      <c r="P246" s="88"/>
      <c r="Q246" s="151"/>
      <c r="R246" s="177"/>
      <c r="S246" s="177"/>
      <c r="T246" s="177"/>
      <c r="U246" s="391"/>
      <c r="V246" s="383"/>
      <c r="W246" s="177"/>
      <c r="X246" s="177"/>
      <c r="Y246" s="177"/>
      <c r="Z246" s="391"/>
      <c r="AA246" s="383"/>
      <c r="AB246" s="177"/>
      <c r="AC246" s="177"/>
      <c r="AD246" s="177"/>
      <c r="AE246" s="391"/>
      <c r="AF246" s="383"/>
      <c r="AG246" s="177"/>
      <c r="AH246" s="177"/>
      <c r="AI246" s="177"/>
      <c r="AJ246" s="391"/>
      <c r="AK246" s="383"/>
      <c r="AL246" s="177"/>
      <c r="AM246" s="177"/>
      <c r="AN246" s="177"/>
      <c r="AO246" s="192"/>
      <c r="AP246" s="191"/>
      <c r="AQ246" s="184"/>
      <c r="AR246" s="184"/>
      <c r="AS246" s="184"/>
    </row>
    <row r="247">
      <c r="A247" s="391"/>
      <c r="B247" s="383"/>
      <c r="C247" s="177"/>
      <c r="D247" s="177"/>
      <c r="E247" s="177"/>
      <c r="F247" s="391"/>
      <c r="G247" s="383"/>
      <c r="H247" s="177"/>
      <c r="I247" s="177"/>
      <c r="J247" s="177"/>
      <c r="K247" s="88"/>
      <c r="L247" s="383"/>
      <c r="M247" s="177"/>
      <c r="N247" s="177"/>
      <c r="O247" s="177"/>
      <c r="P247" s="88"/>
      <c r="Q247" s="151"/>
      <c r="R247" s="177"/>
      <c r="S247" s="177"/>
      <c r="T247" s="177"/>
      <c r="U247" s="391"/>
      <c r="V247" s="383"/>
      <c r="W247" s="177"/>
      <c r="X247" s="177"/>
      <c r="Y247" s="177"/>
      <c r="Z247" s="391"/>
      <c r="AA247" s="383"/>
      <c r="AB247" s="177"/>
      <c r="AC247" s="177"/>
      <c r="AD247" s="177"/>
      <c r="AE247" s="391"/>
      <c r="AF247" s="383"/>
      <c r="AG247" s="177"/>
      <c r="AH247" s="177"/>
      <c r="AI247" s="177"/>
      <c r="AJ247" s="391"/>
      <c r="AK247" s="383"/>
      <c r="AL247" s="177"/>
      <c r="AM247" s="177"/>
      <c r="AN247" s="177"/>
      <c r="AO247" s="192"/>
      <c r="AP247" s="191"/>
      <c r="AQ247" s="184"/>
      <c r="AR247" s="184"/>
      <c r="AS247" s="184"/>
    </row>
    <row r="248">
      <c r="A248" s="391"/>
      <c r="B248" s="383"/>
      <c r="C248" s="177"/>
      <c r="D248" s="177"/>
      <c r="E248" s="177"/>
      <c r="F248" s="391"/>
      <c r="G248" s="383"/>
      <c r="H248" s="177"/>
      <c r="I248" s="177"/>
      <c r="J248" s="177"/>
      <c r="K248" s="88"/>
      <c r="L248" s="383"/>
      <c r="M248" s="177"/>
      <c r="N248" s="177"/>
      <c r="O248" s="177"/>
      <c r="P248" s="88"/>
      <c r="Q248" s="151"/>
      <c r="R248" s="177"/>
      <c r="S248" s="177"/>
      <c r="T248" s="177"/>
      <c r="U248" s="391"/>
      <c r="V248" s="383"/>
      <c r="W248" s="177"/>
      <c r="X248" s="177"/>
      <c r="Y248" s="177"/>
      <c r="Z248" s="391"/>
      <c r="AA248" s="383"/>
      <c r="AB248" s="177"/>
      <c r="AC248" s="177"/>
      <c r="AD248" s="177"/>
      <c r="AE248" s="391"/>
      <c r="AF248" s="383"/>
      <c r="AG248" s="177"/>
      <c r="AH248" s="177"/>
      <c r="AI248" s="177"/>
      <c r="AJ248" s="391"/>
      <c r="AK248" s="383"/>
      <c r="AL248" s="177"/>
      <c r="AM248" s="177"/>
      <c r="AN248" s="177"/>
      <c r="AO248" s="192"/>
      <c r="AP248" s="191"/>
      <c r="AQ248" s="184"/>
      <c r="AR248" s="184"/>
      <c r="AS248" s="184"/>
    </row>
    <row r="249">
      <c r="A249" s="391"/>
      <c r="B249" s="383"/>
      <c r="C249" s="177"/>
      <c r="D249" s="177"/>
      <c r="E249" s="177"/>
      <c r="F249" s="391"/>
      <c r="G249" s="383"/>
      <c r="H249" s="177"/>
      <c r="I249" s="177"/>
      <c r="J249" s="177"/>
      <c r="K249" s="88"/>
      <c r="L249" s="383"/>
      <c r="M249" s="177"/>
      <c r="N249" s="177"/>
      <c r="O249" s="177"/>
      <c r="P249" s="88"/>
      <c r="Q249" s="151"/>
      <c r="R249" s="177"/>
      <c r="S249" s="177"/>
      <c r="T249" s="177"/>
      <c r="U249" s="391"/>
      <c r="V249" s="383"/>
      <c r="W249" s="177"/>
      <c r="X249" s="177"/>
      <c r="Y249" s="177"/>
      <c r="Z249" s="391"/>
      <c r="AA249" s="383"/>
      <c r="AB249" s="177"/>
      <c r="AC249" s="177"/>
      <c r="AD249" s="177"/>
      <c r="AE249" s="391"/>
      <c r="AF249" s="383"/>
      <c r="AG249" s="177"/>
      <c r="AH249" s="177"/>
      <c r="AI249" s="177"/>
      <c r="AJ249" s="391"/>
      <c r="AK249" s="383"/>
      <c r="AL249" s="177"/>
      <c r="AM249" s="177"/>
      <c r="AN249" s="177"/>
      <c r="AO249" s="192"/>
      <c r="AP249" s="191"/>
      <c r="AQ249" s="184"/>
      <c r="AR249" s="184"/>
      <c r="AS249" s="184"/>
    </row>
    <row r="250">
      <c r="A250" s="391"/>
      <c r="B250" s="383"/>
      <c r="C250" s="177"/>
      <c r="D250" s="177"/>
      <c r="E250" s="177"/>
      <c r="F250" s="391"/>
      <c r="G250" s="383"/>
      <c r="H250" s="177"/>
      <c r="I250" s="177"/>
      <c r="J250" s="177"/>
      <c r="K250" s="88"/>
      <c r="L250" s="383"/>
      <c r="M250" s="177"/>
      <c r="N250" s="177"/>
      <c r="O250" s="177"/>
      <c r="P250" s="88"/>
      <c r="Q250" s="151"/>
      <c r="R250" s="177"/>
      <c r="S250" s="177"/>
      <c r="T250" s="177"/>
      <c r="U250" s="391"/>
      <c r="V250" s="383"/>
      <c r="W250" s="177"/>
      <c r="X250" s="177"/>
      <c r="Y250" s="177"/>
      <c r="Z250" s="391"/>
      <c r="AA250" s="383"/>
      <c r="AB250" s="177"/>
      <c r="AC250" s="177"/>
      <c r="AD250" s="177"/>
      <c r="AE250" s="391"/>
      <c r="AF250" s="383"/>
      <c r="AG250" s="177"/>
      <c r="AH250" s="177"/>
      <c r="AI250" s="177"/>
      <c r="AJ250" s="391"/>
      <c r="AK250" s="383"/>
      <c r="AL250" s="177"/>
      <c r="AM250" s="177"/>
      <c r="AN250" s="177"/>
      <c r="AO250" s="192"/>
      <c r="AP250" s="191"/>
      <c r="AQ250" s="184"/>
      <c r="AR250" s="184"/>
      <c r="AS250" s="184"/>
    </row>
    <row r="251">
      <c r="A251" s="391"/>
      <c r="B251" s="383"/>
      <c r="C251" s="177"/>
      <c r="D251" s="177"/>
      <c r="E251" s="177"/>
      <c r="F251" s="391"/>
      <c r="G251" s="383"/>
      <c r="H251" s="177"/>
      <c r="I251" s="177"/>
      <c r="J251" s="177"/>
      <c r="K251" s="88"/>
      <c r="L251" s="383"/>
      <c r="M251" s="177"/>
      <c r="N251" s="177"/>
      <c r="O251" s="177"/>
      <c r="P251" s="88"/>
      <c r="Q251" s="151"/>
      <c r="R251" s="177"/>
      <c r="S251" s="177"/>
      <c r="T251" s="177"/>
      <c r="U251" s="391"/>
      <c r="V251" s="383"/>
      <c r="W251" s="177"/>
      <c r="X251" s="177"/>
      <c r="Y251" s="177"/>
      <c r="Z251" s="391"/>
      <c r="AA251" s="383"/>
      <c r="AB251" s="177"/>
      <c r="AC251" s="177"/>
      <c r="AD251" s="177"/>
      <c r="AE251" s="391"/>
      <c r="AF251" s="383"/>
      <c r="AG251" s="177"/>
      <c r="AH251" s="177"/>
      <c r="AI251" s="177"/>
      <c r="AJ251" s="391"/>
      <c r="AK251" s="383"/>
      <c r="AL251" s="177"/>
      <c r="AM251" s="177"/>
      <c r="AN251" s="177"/>
      <c r="AO251" s="192"/>
      <c r="AP251" s="191"/>
      <c r="AQ251" s="184"/>
      <c r="AR251" s="184"/>
      <c r="AS251" s="184"/>
    </row>
    <row r="252">
      <c r="A252" s="391"/>
      <c r="B252" s="383"/>
      <c r="C252" s="177"/>
      <c r="D252" s="177"/>
      <c r="E252" s="177"/>
      <c r="F252" s="391"/>
      <c r="G252" s="383"/>
      <c r="H252" s="177"/>
      <c r="I252" s="177"/>
      <c r="J252" s="177"/>
      <c r="K252" s="88"/>
      <c r="L252" s="383"/>
      <c r="M252" s="177"/>
      <c r="N252" s="177"/>
      <c r="O252" s="177"/>
      <c r="P252" s="88"/>
      <c r="Q252" s="151"/>
      <c r="R252" s="177"/>
      <c r="S252" s="177"/>
      <c r="T252" s="177"/>
      <c r="U252" s="391"/>
      <c r="V252" s="383"/>
      <c r="W252" s="177"/>
      <c r="X252" s="177"/>
      <c r="Y252" s="177"/>
      <c r="Z252" s="391"/>
      <c r="AA252" s="383"/>
      <c r="AB252" s="177"/>
      <c r="AC252" s="177"/>
      <c r="AD252" s="177"/>
      <c r="AE252" s="391"/>
      <c r="AF252" s="383"/>
      <c r="AG252" s="177"/>
      <c r="AH252" s="177"/>
      <c r="AI252" s="177"/>
      <c r="AJ252" s="391"/>
      <c r="AK252" s="383"/>
      <c r="AL252" s="177"/>
      <c r="AM252" s="177"/>
      <c r="AN252" s="177"/>
      <c r="AO252" s="192"/>
      <c r="AP252" s="191"/>
      <c r="AQ252" s="184"/>
      <c r="AR252" s="184"/>
      <c r="AS252" s="184"/>
    </row>
    <row r="253">
      <c r="A253" s="391"/>
      <c r="B253" s="383"/>
      <c r="C253" s="177"/>
      <c r="D253" s="177"/>
      <c r="E253" s="177"/>
      <c r="F253" s="391"/>
      <c r="G253" s="383"/>
      <c r="H253" s="177"/>
      <c r="I253" s="177"/>
      <c r="J253" s="177"/>
      <c r="K253" s="88"/>
      <c r="L253" s="383"/>
      <c r="M253" s="177"/>
      <c r="N253" s="177"/>
      <c r="O253" s="177"/>
      <c r="P253" s="88"/>
      <c r="Q253" s="151"/>
      <c r="R253" s="177"/>
      <c r="S253" s="177"/>
      <c r="T253" s="177"/>
      <c r="U253" s="391"/>
      <c r="V253" s="383"/>
      <c r="W253" s="177"/>
      <c r="X253" s="177"/>
      <c r="Y253" s="177"/>
      <c r="Z253" s="391"/>
      <c r="AA253" s="383"/>
      <c r="AB253" s="177"/>
      <c r="AC253" s="177"/>
      <c r="AD253" s="177"/>
      <c r="AE253" s="391"/>
      <c r="AF253" s="383"/>
      <c r="AG253" s="177"/>
      <c r="AH253" s="177"/>
      <c r="AI253" s="177"/>
      <c r="AJ253" s="391"/>
      <c r="AK253" s="383"/>
      <c r="AL253" s="177"/>
      <c r="AM253" s="177"/>
      <c r="AN253" s="177"/>
      <c r="AO253" s="192"/>
      <c r="AP253" s="191"/>
      <c r="AQ253" s="184"/>
      <c r="AR253" s="184"/>
      <c r="AS253" s="184"/>
    </row>
    <row r="254">
      <c r="A254" s="391"/>
      <c r="B254" s="383"/>
      <c r="C254" s="177"/>
      <c r="D254" s="177"/>
      <c r="E254" s="177"/>
      <c r="F254" s="391"/>
      <c r="G254" s="383"/>
      <c r="H254" s="177"/>
      <c r="I254" s="177"/>
      <c r="J254" s="177"/>
      <c r="K254" s="88"/>
      <c r="L254" s="383"/>
      <c r="M254" s="177"/>
      <c r="N254" s="177"/>
      <c r="O254" s="177"/>
      <c r="P254" s="88"/>
      <c r="Q254" s="151"/>
      <c r="R254" s="177"/>
      <c r="S254" s="177"/>
      <c r="T254" s="177"/>
      <c r="U254" s="391"/>
      <c r="V254" s="383"/>
      <c r="W254" s="177"/>
      <c r="X254" s="177"/>
      <c r="Y254" s="177"/>
      <c r="Z254" s="391"/>
      <c r="AA254" s="383"/>
      <c r="AB254" s="177"/>
      <c r="AC254" s="177"/>
      <c r="AD254" s="177"/>
      <c r="AE254" s="391"/>
      <c r="AF254" s="383"/>
      <c r="AG254" s="177"/>
      <c r="AH254" s="177"/>
      <c r="AI254" s="177"/>
      <c r="AJ254" s="391"/>
      <c r="AK254" s="383"/>
      <c r="AL254" s="177"/>
      <c r="AM254" s="177"/>
      <c r="AN254" s="177"/>
      <c r="AO254" s="192"/>
      <c r="AP254" s="191"/>
      <c r="AQ254" s="184"/>
      <c r="AR254" s="184"/>
      <c r="AS254" s="184"/>
    </row>
    <row r="255">
      <c r="A255" s="391"/>
      <c r="B255" s="383"/>
      <c r="C255" s="177"/>
      <c r="D255" s="177"/>
      <c r="E255" s="177"/>
      <c r="F255" s="391"/>
      <c r="G255" s="383"/>
      <c r="H255" s="177"/>
      <c r="I255" s="177"/>
      <c r="J255" s="177"/>
      <c r="K255" s="88"/>
      <c r="L255" s="383"/>
      <c r="M255" s="177"/>
      <c r="N255" s="177"/>
      <c r="O255" s="177"/>
      <c r="P255" s="88"/>
      <c r="Q255" s="151"/>
      <c r="R255" s="177"/>
      <c r="S255" s="177"/>
      <c r="T255" s="177"/>
      <c r="U255" s="391"/>
      <c r="V255" s="383"/>
      <c r="W255" s="177"/>
      <c r="X255" s="177"/>
      <c r="Y255" s="177"/>
      <c r="Z255" s="391"/>
      <c r="AA255" s="383"/>
      <c r="AB255" s="177"/>
      <c r="AC255" s="177"/>
      <c r="AD255" s="177"/>
      <c r="AE255" s="391"/>
      <c r="AF255" s="383"/>
      <c r="AG255" s="177"/>
      <c r="AH255" s="177"/>
      <c r="AI255" s="177"/>
      <c r="AJ255" s="391"/>
      <c r="AK255" s="383"/>
      <c r="AL255" s="177"/>
      <c r="AM255" s="177"/>
      <c r="AN255" s="177"/>
      <c r="AO255" s="192"/>
      <c r="AP255" s="191"/>
      <c r="AQ255" s="184"/>
      <c r="AR255" s="184"/>
      <c r="AS255" s="184"/>
    </row>
    <row r="256">
      <c r="A256" s="391"/>
      <c r="B256" s="383"/>
      <c r="C256" s="177"/>
      <c r="D256" s="177"/>
      <c r="E256" s="177"/>
      <c r="F256" s="391"/>
      <c r="G256" s="383"/>
      <c r="H256" s="177"/>
      <c r="I256" s="177"/>
      <c r="J256" s="177"/>
      <c r="K256" s="88"/>
      <c r="L256" s="383"/>
      <c r="M256" s="177"/>
      <c r="N256" s="177"/>
      <c r="O256" s="177"/>
      <c r="P256" s="88"/>
      <c r="Q256" s="151"/>
      <c r="R256" s="177"/>
      <c r="S256" s="177"/>
      <c r="T256" s="177"/>
      <c r="U256" s="391"/>
      <c r="V256" s="383"/>
      <c r="W256" s="177"/>
      <c r="X256" s="177"/>
      <c r="Y256" s="177"/>
      <c r="Z256" s="391"/>
      <c r="AA256" s="383"/>
      <c r="AB256" s="177"/>
      <c r="AC256" s="177"/>
      <c r="AD256" s="177"/>
      <c r="AE256" s="391"/>
      <c r="AF256" s="383"/>
      <c r="AG256" s="177"/>
      <c r="AH256" s="177"/>
      <c r="AI256" s="177"/>
      <c r="AJ256" s="391"/>
      <c r="AK256" s="383"/>
      <c r="AL256" s="177"/>
      <c r="AM256" s="177"/>
      <c r="AN256" s="177"/>
      <c r="AO256" s="192"/>
      <c r="AP256" s="191"/>
      <c r="AQ256" s="184"/>
      <c r="AR256" s="184"/>
      <c r="AS256" s="184"/>
    </row>
    <row r="257">
      <c r="A257" s="391"/>
      <c r="B257" s="383"/>
      <c r="C257" s="177"/>
      <c r="D257" s="177"/>
      <c r="E257" s="177"/>
      <c r="F257" s="391"/>
      <c r="G257" s="383"/>
      <c r="H257" s="177"/>
      <c r="I257" s="177"/>
      <c r="J257" s="177"/>
      <c r="K257" s="88"/>
      <c r="L257" s="383"/>
      <c r="M257" s="177"/>
      <c r="N257" s="177"/>
      <c r="O257" s="177"/>
      <c r="P257" s="88"/>
      <c r="Q257" s="151"/>
      <c r="R257" s="177"/>
      <c r="S257" s="177"/>
      <c r="T257" s="177"/>
      <c r="U257" s="391"/>
      <c r="V257" s="383"/>
      <c r="W257" s="177"/>
      <c r="X257" s="177"/>
      <c r="Y257" s="177"/>
      <c r="Z257" s="391"/>
      <c r="AA257" s="383"/>
      <c r="AB257" s="177"/>
      <c r="AC257" s="177"/>
      <c r="AD257" s="177"/>
      <c r="AE257" s="391"/>
      <c r="AF257" s="383"/>
      <c r="AG257" s="177"/>
      <c r="AH257" s="177"/>
      <c r="AI257" s="177"/>
      <c r="AJ257" s="391"/>
      <c r="AK257" s="383"/>
      <c r="AL257" s="177"/>
      <c r="AM257" s="177"/>
      <c r="AN257" s="177"/>
      <c r="AO257" s="192"/>
      <c r="AP257" s="191"/>
      <c r="AQ257" s="184"/>
      <c r="AR257" s="184"/>
      <c r="AS257" s="184"/>
    </row>
    <row r="258">
      <c r="A258" s="391"/>
      <c r="B258" s="383"/>
      <c r="C258" s="177"/>
      <c r="D258" s="177"/>
      <c r="E258" s="177"/>
      <c r="F258" s="391"/>
      <c r="G258" s="383"/>
      <c r="H258" s="177"/>
      <c r="I258" s="177"/>
      <c r="J258" s="177"/>
      <c r="K258" s="88"/>
      <c r="L258" s="383"/>
      <c r="M258" s="177"/>
      <c r="N258" s="177"/>
      <c r="O258" s="177"/>
      <c r="P258" s="88"/>
      <c r="Q258" s="151"/>
      <c r="R258" s="177"/>
      <c r="S258" s="177"/>
      <c r="T258" s="177"/>
      <c r="U258" s="391"/>
      <c r="V258" s="383"/>
      <c r="W258" s="177"/>
      <c r="X258" s="177"/>
      <c r="Y258" s="177"/>
      <c r="Z258" s="391"/>
      <c r="AA258" s="383"/>
      <c r="AB258" s="177"/>
      <c r="AC258" s="177"/>
      <c r="AD258" s="177"/>
      <c r="AE258" s="391"/>
      <c r="AF258" s="383"/>
      <c r="AG258" s="177"/>
      <c r="AH258" s="177"/>
      <c r="AI258" s="177"/>
      <c r="AJ258" s="391"/>
      <c r="AK258" s="383"/>
      <c r="AL258" s="177"/>
      <c r="AM258" s="177"/>
      <c r="AN258" s="177"/>
      <c r="AO258" s="192"/>
      <c r="AP258" s="191"/>
      <c r="AQ258" s="184"/>
      <c r="AR258" s="184"/>
      <c r="AS258" s="184"/>
    </row>
    <row r="259">
      <c r="A259" s="391"/>
      <c r="B259" s="383"/>
      <c r="C259" s="177"/>
      <c r="D259" s="177"/>
      <c r="E259" s="177"/>
      <c r="F259" s="391"/>
      <c r="G259" s="383"/>
      <c r="H259" s="177"/>
      <c r="I259" s="177"/>
      <c r="J259" s="177"/>
      <c r="K259" s="88"/>
      <c r="L259" s="383"/>
      <c r="M259" s="177"/>
      <c r="N259" s="177"/>
      <c r="O259" s="177"/>
      <c r="P259" s="88"/>
      <c r="Q259" s="151"/>
      <c r="R259" s="177"/>
      <c r="S259" s="177"/>
      <c r="T259" s="177"/>
      <c r="U259" s="391"/>
      <c r="V259" s="383"/>
      <c r="W259" s="177"/>
      <c r="X259" s="177"/>
      <c r="Y259" s="177"/>
      <c r="Z259" s="391"/>
      <c r="AA259" s="383"/>
      <c r="AB259" s="177"/>
      <c r="AC259" s="177"/>
      <c r="AD259" s="177"/>
      <c r="AE259" s="391"/>
      <c r="AF259" s="383"/>
      <c r="AG259" s="177"/>
      <c r="AH259" s="177"/>
      <c r="AI259" s="177"/>
      <c r="AJ259" s="391"/>
      <c r="AK259" s="383"/>
      <c r="AL259" s="177"/>
      <c r="AM259" s="177"/>
      <c r="AN259" s="177"/>
      <c r="AO259" s="192"/>
      <c r="AP259" s="191"/>
      <c r="AQ259" s="184"/>
      <c r="AR259" s="184"/>
      <c r="AS259" s="184"/>
    </row>
    <row r="260">
      <c r="A260" s="391"/>
      <c r="B260" s="383"/>
      <c r="C260" s="177"/>
      <c r="D260" s="177"/>
      <c r="E260" s="177"/>
      <c r="F260" s="391"/>
      <c r="G260" s="383"/>
      <c r="H260" s="177"/>
      <c r="I260" s="177"/>
      <c r="J260" s="177"/>
      <c r="K260" s="88"/>
      <c r="L260" s="383"/>
      <c r="M260" s="177"/>
      <c r="N260" s="177"/>
      <c r="O260" s="177"/>
      <c r="P260" s="88"/>
      <c r="Q260" s="151"/>
      <c r="R260" s="177"/>
      <c r="S260" s="177"/>
      <c r="T260" s="177"/>
      <c r="U260" s="391"/>
      <c r="V260" s="383"/>
      <c r="W260" s="177"/>
      <c r="X260" s="177"/>
      <c r="Y260" s="177"/>
      <c r="Z260" s="391"/>
      <c r="AA260" s="383"/>
      <c r="AB260" s="177"/>
      <c r="AC260" s="177"/>
      <c r="AD260" s="177"/>
      <c r="AE260" s="391"/>
      <c r="AF260" s="383"/>
      <c r="AG260" s="177"/>
      <c r="AH260" s="177"/>
      <c r="AI260" s="177"/>
      <c r="AJ260" s="391"/>
      <c r="AK260" s="383"/>
      <c r="AL260" s="177"/>
      <c r="AM260" s="177"/>
      <c r="AN260" s="177"/>
      <c r="AO260" s="192"/>
      <c r="AP260" s="191"/>
      <c r="AQ260" s="184"/>
      <c r="AR260" s="184"/>
      <c r="AS260" s="184"/>
    </row>
    <row r="261">
      <c r="A261" s="391"/>
      <c r="B261" s="383"/>
      <c r="C261" s="177"/>
      <c r="D261" s="177"/>
      <c r="E261" s="177"/>
      <c r="F261" s="391"/>
      <c r="G261" s="383"/>
      <c r="H261" s="177"/>
      <c r="I261" s="177"/>
      <c r="J261" s="177"/>
      <c r="K261" s="88"/>
      <c r="L261" s="383"/>
      <c r="M261" s="177"/>
      <c r="N261" s="177"/>
      <c r="O261" s="177"/>
      <c r="P261" s="88"/>
      <c r="Q261" s="151"/>
      <c r="R261" s="177"/>
      <c r="S261" s="177"/>
      <c r="T261" s="177"/>
      <c r="U261" s="391"/>
      <c r="V261" s="383"/>
      <c r="W261" s="177"/>
      <c r="X261" s="177"/>
      <c r="Y261" s="177"/>
      <c r="Z261" s="391"/>
      <c r="AA261" s="383"/>
      <c r="AB261" s="177"/>
      <c r="AC261" s="177"/>
      <c r="AD261" s="177"/>
      <c r="AE261" s="391"/>
      <c r="AF261" s="383"/>
      <c r="AG261" s="177"/>
      <c r="AH261" s="177"/>
      <c r="AI261" s="177"/>
      <c r="AJ261" s="391"/>
      <c r="AK261" s="383"/>
      <c r="AL261" s="177"/>
      <c r="AM261" s="177"/>
      <c r="AN261" s="177"/>
      <c r="AO261" s="192"/>
      <c r="AP261" s="191"/>
      <c r="AQ261" s="184"/>
      <c r="AR261" s="184"/>
      <c r="AS261" s="184"/>
    </row>
    <row r="262">
      <c r="A262" s="391"/>
      <c r="B262" s="383"/>
      <c r="C262" s="177"/>
      <c r="D262" s="177"/>
      <c r="E262" s="177"/>
      <c r="F262" s="391"/>
      <c r="G262" s="383"/>
      <c r="H262" s="177"/>
      <c r="I262" s="177"/>
      <c r="J262" s="177"/>
      <c r="K262" s="88"/>
      <c r="L262" s="383"/>
      <c r="M262" s="177"/>
      <c r="N262" s="177"/>
      <c r="O262" s="177"/>
      <c r="P262" s="88"/>
      <c r="Q262" s="151"/>
      <c r="R262" s="177"/>
      <c r="S262" s="177"/>
      <c r="T262" s="177"/>
      <c r="U262" s="391"/>
      <c r="V262" s="383"/>
      <c r="W262" s="177"/>
      <c r="X262" s="177"/>
      <c r="Y262" s="177"/>
      <c r="Z262" s="391"/>
      <c r="AA262" s="383"/>
      <c r="AB262" s="177"/>
      <c r="AC262" s="177"/>
      <c r="AD262" s="177"/>
      <c r="AE262" s="391"/>
      <c r="AF262" s="383"/>
      <c r="AG262" s="177"/>
      <c r="AH262" s="177"/>
      <c r="AI262" s="177"/>
      <c r="AJ262" s="391"/>
      <c r="AK262" s="383"/>
      <c r="AL262" s="177"/>
      <c r="AM262" s="177"/>
      <c r="AN262" s="177"/>
      <c r="AO262" s="192"/>
      <c r="AP262" s="191"/>
      <c r="AQ262" s="184"/>
      <c r="AR262" s="184"/>
      <c r="AS262" s="184"/>
    </row>
    <row r="263">
      <c r="A263" s="391"/>
      <c r="B263" s="383"/>
      <c r="C263" s="177"/>
      <c r="D263" s="177"/>
      <c r="E263" s="177"/>
      <c r="F263" s="391"/>
      <c r="G263" s="383"/>
      <c r="H263" s="177"/>
      <c r="I263" s="177"/>
      <c r="J263" s="177"/>
      <c r="K263" s="88"/>
      <c r="L263" s="383"/>
      <c r="M263" s="177"/>
      <c r="N263" s="177"/>
      <c r="O263" s="177"/>
      <c r="P263" s="88"/>
      <c r="Q263" s="151"/>
      <c r="R263" s="177"/>
      <c r="S263" s="177"/>
      <c r="T263" s="177"/>
      <c r="U263" s="391"/>
      <c r="V263" s="383"/>
      <c r="W263" s="177"/>
      <c r="X263" s="177"/>
      <c r="Y263" s="177"/>
      <c r="Z263" s="391"/>
      <c r="AA263" s="383"/>
      <c r="AB263" s="177"/>
      <c r="AC263" s="177"/>
      <c r="AD263" s="177"/>
      <c r="AE263" s="391"/>
      <c r="AF263" s="383"/>
      <c r="AG263" s="177"/>
      <c r="AH263" s="177"/>
      <c r="AI263" s="177"/>
      <c r="AJ263" s="391"/>
      <c r="AK263" s="383"/>
      <c r="AL263" s="177"/>
      <c r="AM263" s="177"/>
      <c r="AN263" s="177"/>
      <c r="AO263" s="192"/>
      <c r="AP263" s="191"/>
      <c r="AQ263" s="184"/>
      <c r="AR263" s="184"/>
      <c r="AS263" s="184"/>
    </row>
    <row r="264">
      <c r="A264" s="391"/>
      <c r="B264" s="383"/>
      <c r="C264" s="177"/>
      <c r="D264" s="177"/>
      <c r="E264" s="177"/>
      <c r="F264" s="391"/>
      <c r="G264" s="383"/>
      <c r="H264" s="177"/>
      <c r="I264" s="177"/>
      <c r="J264" s="177"/>
      <c r="K264" s="88"/>
      <c r="L264" s="383"/>
      <c r="M264" s="177"/>
      <c r="N264" s="177"/>
      <c r="O264" s="177"/>
      <c r="P264" s="88"/>
      <c r="Q264" s="151"/>
      <c r="R264" s="177"/>
      <c r="S264" s="177"/>
      <c r="T264" s="177"/>
      <c r="U264" s="391"/>
      <c r="V264" s="383"/>
      <c r="W264" s="177"/>
      <c r="X264" s="177"/>
      <c r="Y264" s="177"/>
      <c r="Z264" s="391"/>
      <c r="AA264" s="383"/>
      <c r="AB264" s="177"/>
      <c r="AC264" s="177"/>
      <c r="AD264" s="177"/>
      <c r="AE264" s="391"/>
      <c r="AF264" s="383"/>
      <c r="AG264" s="177"/>
      <c r="AH264" s="177"/>
      <c r="AI264" s="177"/>
      <c r="AJ264" s="391"/>
      <c r="AK264" s="383"/>
      <c r="AL264" s="177"/>
      <c r="AM264" s="177"/>
      <c r="AN264" s="177"/>
      <c r="AO264" s="192"/>
      <c r="AP264" s="191"/>
      <c r="AQ264" s="184"/>
      <c r="AR264" s="184"/>
      <c r="AS264" s="184"/>
    </row>
    <row r="265">
      <c r="A265" s="391"/>
      <c r="B265" s="383"/>
      <c r="C265" s="177"/>
      <c r="D265" s="177"/>
      <c r="E265" s="177"/>
      <c r="F265" s="391"/>
      <c r="G265" s="383"/>
      <c r="H265" s="177"/>
      <c r="I265" s="177"/>
      <c r="J265" s="177"/>
      <c r="K265" s="88"/>
      <c r="L265" s="383"/>
      <c r="M265" s="177"/>
      <c r="N265" s="177"/>
      <c r="O265" s="177"/>
      <c r="P265" s="88"/>
      <c r="Q265" s="151"/>
      <c r="R265" s="177"/>
      <c r="S265" s="177"/>
      <c r="T265" s="177"/>
      <c r="U265" s="391"/>
      <c r="V265" s="383"/>
      <c r="W265" s="177"/>
      <c r="X265" s="177"/>
      <c r="Y265" s="177"/>
      <c r="Z265" s="391"/>
      <c r="AA265" s="383"/>
      <c r="AB265" s="177"/>
      <c r="AC265" s="177"/>
      <c r="AD265" s="177"/>
      <c r="AE265" s="391"/>
      <c r="AF265" s="383"/>
      <c r="AG265" s="177"/>
      <c r="AH265" s="177"/>
      <c r="AI265" s="177"/>
      <c r="AJ265" s="391"/>
      <c r="AK265" s="383"/>
      <c r="AL265" s="177"/>
      <c r="AM265" s="177"/>
      <c r="AN265" s="177"/>
      <c r="AO265" s="192"/>
      <c r="AP265" s="191"/>
      <c r="AQ265" s="184"/>
      <c r="AR265" s="184"/>
      <c r="AS265" s="184"/>
    </row>
    <row r="266">
      <c r="A266" s="391"/>
      <c r="B266" s="383"/>
      <c r="C266" s="177"/>
      <c r="D266" s="177"/>
      <c r="E266" s="177"/>
      <c r="F266" s="391"/>
      <c r="G266" s="383"/>
      <c r="H266" s="177"/>
      <c r="I266" s="177"/>
      <c r="J266" s="177"/>
      <c r="K266" s="88"/>
      <c r="L266" s="383"/>
      <c r="M266" s="177"/>
      <c r="N266" s="177"/>
      <c r="O266" s="177"/>
      <c r="P266" s="88"/>
      <c r="Q266" s="151"/>
      <c r="R266" s="177"/>
      <c r="S266" s="177"/>
      <c r="T266" s="177"/>
      <c r="U266" s="391"/>
      <c r="V266" s="383"/>
      <c r="W266" s="177"/>
      <c r="X266" s="177"/>
      <c r="Y266" s="177"/>
      <c r="Z266" s="391"/>
      <c r="AA266" s="383"/>
      <c r="AB266" s="177"/>
      <c r="AC266" s="177"/>
      <c r="AD266" s="177"/>
      <c r="AE266" s="391"/>
      <c r="AF266" s="383"/>
      <c r="AG266" s="177"/>
      <c r="AH266" s="177"/>
      <c r="AI266" s="177"/>
      <c r="AJ266" s="391"/>
      <c r="AK266" s="383"/>
      <c r="AL266" s="177"/>
      <c r="AM266" s="177"/>
      <c r="AN266" s="177"/>
      <c r="AO266" s="366"/>
      <c r="AP266" s="366"/>
      <c r="AQ266" s="366"/>
      <c r="AR266" s="366"/>
      <c r="AS266" s="366"/>
    </row>
    <row r="267">
      <c r="A267" s="391"/>
      <c r="B267" s="383"/>
      <c r="C267" s="177"/>
      <c r="D267" s="177"/>
      <c r="E267" s="177"/>
      <c r="F267" s="391"/>
      <c r="G267" s="383"/>
      <c r="H267" s="177"/>
      <c r="I267" s="177"/>
      <c r="J267" s="177"/>
      <c r="K267" s="88"/>
      <c r="L267" s="383"/>
      <c r="M267" s="177"/>
      <c r="N267" s="177"/>
      <c r="O267" s="177"/>
      <c r="P267" s="88"/>
      <c r="Q267" s="151"/>
      <c r="R267" s="177"/>
      <c r="S267" s="177"/>
      <c r="T267" s="177"/>
      <c r="U267" s="391"/>
      <c r="V267" s="383"/>
      <c r="W267" s="177"/>
      <c r="X267" s="177"/>
      <c r="Y267" s="177"/>
      <c r="Z267" s="391"/>
      <c r="AA267" s="383"/>
      <c r="AB267" s="177"/>
      <c r="AC267" s="177"/>
      <c r="AD267" s="177"/>
      <c r="AE267" s="391"/>
      <c r="AF267" s="383"/>
      <c r="AG267" s="177"/>
      <c r="AH267" s="177"/>
      <c r="AI267" s="177"/>
      <c r="AJ267" s="391"/>
      <c r="AK267" s="383"/>
      <c r="AL267" s="177"/>
      <c r="AM267" s="177"/>
      <c r="AN267" s="177"/>
      <c r="AO267" s="366"/>
      <c r="AP267" s="366"/>
      <c r="AQ267" s="366"/>
      <c r="AR267" s="366"/>
      <c r="AS267" s="366"/>
    </row>
    <row r="268">
      <c r="A268" s="391"/>
      <c r="B268" s="383"/>
      <c r="C268" s="177"/>
      <c r="D268" s="177"/>
      <c r="E268" s="177"/>
      <c r="F268" s="391"/>
      <c r="G268" s="383"/>
      <c r="H268" s="177"/>
      <c r="I268" s="177"/>
      <c r="J268" s="177"/>
      <c r="K268" s="88"/>
      <c r="L268" s="383"/>
      <c r="M268" s="177"/>
      <c r="N268" s="177"/>
      <c r="O268" s="177"/>
      <c r="P268" s="88"/>
      <c r="Q268" s="151"/>
      <c r="R268" s="177"/>
      <c r="S268" s="177"/>
      <c r="T268" s="177"/>
      <c r="U268" s="391"/>
      <c r="V268" s="383"/>
      <c r="W268" s="177"/>
      <c r="X268" s="177"/>
      <c r="Y268" s="177"/>
      <c r="Z268" s="391"/>
      <c r="AA268" s="383"/>
      <c r="AB268" s="177"/>
      <c r="AC268" s="177"/>
      <c r="AD268" s="177"/>
      <c r="AE268" s="391"/>
      <c r="AF268" s="383"/>
      <c r="AG268" s="177"/>
      <c r="AH268" s="177"/>
      <c r="AI268" s="177"/>
      <c r="AJ268" s="391"/>
      <c r="AK268" s="383"/>
      <c r="AL268" s="177"/>
      <c r="AM268" s="177"/>
      <c r="AN268" s="177"/>
      <c r="AO268" s="366"/>
      <c r="AP268" s="366"/>
      <c r="AQ268" s="366"/>
      <c r="AR268" s="366"/>
      <c r="AS268" s="366"/>
    </row>
    <row r="269">
      <c r="A269" s="391"/>
      <c r="B269" s="383"/>
      <c r="C269" s="177"/>
      <c r="D269" s="177"/>
      <c r="E269" s="177"/>
      <c r="F269" s="391"/>
      <c r="G269" s="383"/>
      <c r="H269" s="177"/>
      <c r="I269" s="177"/>
      <c r="J269" s="177"/>
      <c r="K269" s="88"/>
      <c r="L269" s="383"/>
      <c r="M269" s="177"/>
      <c r="N269" s="177"/>
      <c r="O269" s="177"/>
      <c r="P269" s="88"/>
      <c r="Q269" s="151"/>
      <c r="R269" s="177"/>
      <c r="S269" s="177"/>
      <c r="T269" s="177"/>
      <c r="U269" s="391"/>
      <c r="V269" s="383"/>
      <c r="W269" s="177"/>
      <c r="X269" s="177"/>
      <c r="Y269" s="177"/>
      <c r="Z269" s="391"/>
      <c r="AA269" s="383"/>
      <c r="AB269" s="177"/>
      <c r="AC269" s="177"/>
      <c r="AD269" s="177"/>
      <c r="AE269" s="391"/>
      <c r="AF269" s="383"/>
      <c r="AG269" s="177"/>
      <c r="AH269" s="177"/>
      <c r="AI269" s="177"/>
      <c r="AJ269" s="391"/>
      <c r="AK269" s="383"/>
      <c r="AL269" s="177"/>
      <c r="AM269" s="177"/>
      <c r="AN269" s="177"/>
      <c r="AO269" s="366"/>
      <c r="AP269" s="366"/>
      <c r="AQ269" s="366"/>
      <c r="AR269" s="366"/>
      <c r="AS269" s="366"/>
    </row>
    <row r="270">
      <c r="A270" s="391"/>
      <c r="B270" s="383"/>
      <c r="C270" s="177"/>
      <c r="D270" s="177"/>
      <c r="E270" s="177"/>
      <c r="F270" s="391"/>
      <c r="G270" s="383"/>
      <c r="H270" s="177"/>
      <c r="I270" s="177"/>
      <c r="J270" s="177"/>
      <c r="K270" s="88"/>
      <c r="L270" s="383"/>
      <c r="M270" s="177"/>
      <c r="N270" s="177"/>
      <c r="O270" s="177"/>
      <c r="P270" s="88"/>
      <c r="Q270" s="151"/>
      <c r="R270" s="177"/>
      <c r="S270" s="177"/>
      <c r="T270" s="177"/>
      <c r="U270" s="391"/>
      <c r="V270" s="383"/>
      <c r="W270" s="177"/>
      <c r="X270" s="177"/>
      <c r="Y270" s="177"/>
      <c r="Z270" s="391"/>
      <c r="AA270" s="383"/>
      <c r="AB270" s="177"/>
      <c r="AC270" s="177"/>
      <c r="AD270" s="177"/>
      <c r="AE270" s="391"/>
      <c r="AF270" s="383"/>
      <c r="AG270" s="177"/>
      <c r="AH270" s="177"/>
      <c r="AI270" s="177"/>
      <c r="AJ270" s="391"/>
      <c r="AK270" s="383"/>
      <c r="AL270" s="177"/>
      <c r="AM270" s="177"/>
      <c r="AN270" s="177"/>
      <c r="AO270" s="366"/>
      <c r="AP270" s="366"/>
      <c r="AQ270" s="366"/>
      <c r="AR270" s="366"/>
      <c r="AS270" s="366"/>
    </row>
    <row r="271">
      <c r="A271" s="391"/>
      <c r="B271" s="383"/>
      <c r="C271" s="177"/>
      <c r="D271" s="177"/>
      <c r="E271" s="177"/>
      <c r="F271" s="391"/>
      <c r="G271" s="383"/>
      <c r="H271" s="177"/>
      <c r="I271" s="177"/>
      <c r="J271" s="177"/>
      <c r="K271" s="88"/>
      <c r="L271" s="383"/>
      <c r="M271" s="177"/>
      <c r="N271" s="177"/>
      <c r="O271" s="177"/>
      <c r="P271" s="88"/>
      <c r="Q271" s="151"/>
      <c r="R271" s="177"/>
      <c r="S271" s="177"/>
      <c r="T271" s="177"/>
      <c r="U271" s="391"/>
      <c r="V271" s="383"/>
      <c r="W271" s="177"/>
      <c r="X271" s="177"/>
      <c r="Y271" s="177"/>
      <c r="Z271" s="391"/>
      <c r="AA271" s="383"/>
      <c r="AB271" s="177"/>
      <c r="AC271" s="177"/>
      <c r="AD271" s="177"/>
      <c r="AE271" s="391"/>
      <c r="AF271" s="383"/>
      <c r="AG271" s="177"/>
      <c r="AH271" s="177"/>
      <c r="AI271" s="177"/>
      <c r="AJ271" s="391"/>
      <c r="AK271" s="383"/>
      <c r="AL271" s="177"/>
      <c r="AM271" s="177"/>
      <c r="AN271" s="177"/>
      <c r="AO271" s="366"/>
      <c r="AP271" s="366"/>
      <c r="AQ271" s="366"/>
      <c r="AR271" s="366"/>
      <c r="AS271" s="366"/>
    </row>
    <row r="272">
      <c r="A272" s="391"/>
      <c r="B272" s="383"/>
      <c r="C272" s="177"/>
      <c r="D272" s="177"/>
      <c r="E272" s="177"/>
      <c r="F272" s="391"/>
      <c r="G272" s="383"/>
      <c r="H272" s="177"/>
      <c r="I272" s="177"/>
      <c r="J272" s="177"/>
      <c r="K272" s="88"/>
      <c r="L272" s="383"/>
      <c r="M272" s="177"/>
      <c r="N272" s="177"/>
      <c r="O272" s="177"/>
      <c r="P272" s="88"/>
      <c r="Q272" s="151"/>
      <c r="R272" s="177"/>
      <c r="S272" s="177"/>
      <c r="T272" s="177"/>
      <c r="U272" s="391"/>
      <c r="V272" s="383"/>
      <c r="W272" s="177"/>
      <c r="X272" s="177"/>
      <c r="Y272" s="177"/>
      <c r="Z272" s="391"/>
      <c r="AA272" s="383"/>
      <c r="AB272" s="177"/>
      <c r="AC272" s="177"/>
      <c r="AD272" s="177"/>
      <c r="AE272" s="391"/>
      <c r="AF272" s="383"/>
      <c r="AG272" s="177"/>
      <c r="AH272" s="177"/>
      <c r="AI272" s="177"/>
      <c r="AJ272" s="391"/>
      <c r="AK272" s="383"/>
      <c r="AL272" s="177"/>
      <c r="AM272" s="177"/>
      <c r="AN272" s="177"/>
      <c r="AO272" s="366"/>
      <c r="AP272" s="366"/>
      <c r="AQ272" s="366"/>
      <c r="AR272" s="366"/>
      <c r="AS272" s="366"/>
    </row>
    <row r="273">
      <c r="A273" s="391"/>
      <c r="B273" s="383"/>
      <c r="C273" s="177"/>
      <c r="D273" s="177"/>
      <c r="E273" s="177"/>
      <c r="F273" s="391"/>
      <c r="G273" s="383"/>
      <c r="H273" s="177"/>
      <c r="I273" s="177"/>
      <c r="J273" s="177"/>
      <c r="K273" s="88"/>
      <c r="L273" s="383"/>
      <c r="M273" s="177"/>
      <c r="N273" s="177"/>
      <c r="O273" s="177"/>
      <c r="P273" s="88"/>
      <c r="Q273" s="151"/>
      <c r="R273" s="177"/>
      <c r="S273" s="177"/>
      <c r="T273" s="177"/>
      <c r="U273" s="391"/>
      <c r="V273" s="383"/>
      <c r="W273" s="177"/>
      <c r="X273" s="177"/>
      <c r="Y273" s="177"/>
      <c r="Z273" s="391"/>
      <c r="AA273" s="383"/>
      <c r="AB273" s="177"/>
      <c r="AC273" s="177"/>
      <c r="AD273" s="177"/>
      <c r="AE273" s="391"/>
      <c r="AF273" s="383"/>
      <c r="AG273" s="177"/>
      <c r="AH273" s="177"/>
      <c r="AI273" s="177"/>
      <c r="AJ273" s="391"/>
      <c r="AK273" s="383"/>
      <c r="AL273" s="177"/>
      <c r="AM273" s="177"/>
      <c r="AN273" s="177"/>
      <c r="AO273" s="366"/>
      <c r="AP273" s="366"/>
      <c r="AQ273" s="366"/>
      <c r="AR273" s="366"/>
      <c r="AS273" s="366"/>
    </row>
    <row r="274">
      <c r="A274" s="391"/>
      <c r="B274" s="383"/>
      <c r="C274" s="177"/>
      <c r="D274" s="177"/>
      <c r="E274" s="177"/>
      <c r="F274" s="391"/>
      <c r="G274" s="383"/>
      <c r="H274" s="177"/>
      <c r="I274" s="177"/>
      <c r="J274" s="177"/>
      <c r="K274" s="88"/>
      <c r="L274" s="383"/>
      <c r="M274" s="177"/>
      <c r="N274" s="177"/>
      <c r="O274" s="177"/>
      <c r="P274" s="88"/>
      <c r="Q274" s="151"/>
      <c r="R274" s="177"/>
      <c r="S274" s="177"/>
      <c r="T274" s="177"/>
      <c r="U274" s="391"/>
      <c r="V274" s="383"/>
      <c r="W274" s="177"/>
      <c r="X274" s="177"/>
      <c r="Y274" s="177"/>
      <c r="Z274" s="391"/>
      <c r="AA274" s="383"/>
      <c r="AB274" s="177"/>
      <c r="AC274" s="177"/>
      <c r="AD274" s="177"/>
      <c r="AE274" s="391"/>
      <c r="AF274" s="383"/>
      <c r="AG274" s="177"/>
      <c r="AH274" s="177"/>
      <c r="AI274" s="177"/>
      <c r="AJ274" s="391"/>
      <c r="AK274" s="383"/>
      <c r="AL274" s="177"/>
      <c r="AM274" s="177"/>
      <c r="AN274" s="177"/>
      <c r="AO274" s="366"/>
      <c r="AP274" s="366"/>
      <c r="AQ274" s="366"/>
      <c r="AR274" s="366"/>
      <c r="AS274" s="366"/>
    </row>
    <row r="275">
      <c r="A275" s="391"/>
      <c r="B275" s="383"/>
      <c r="C275" s="177"/>
      <c r="D275" s="177"/>
      <c r="E275" s="177"/>
      <c r="F275" s="391"/>
      <c r="G275" s="383"/>
      <c r="H275" s="177"/>
      <c r="I275" s="177"/>
      <c r="J275" s="177"/>
      <c r="K275" s="88"/>
      <c r="L275" s="383"/>
      <c r="M275" s="177"/>
      <c r="N275" s="177"/>
      <c r="O275" s="177"/>
      <c r="P275" s="88"/>
      <c r="Q275" s="151"/>
      <c r="R275" s="177"/>
      <c r="S275" s="177"/>
      <c r="T275" s="177"/>
      <c r="U275" s="391"/>
      <c r="V275" s="383"/>
      <c r="W275" s="177"/>
      <c r="X275" s="177"/>
      <c r="Y275" s="177"/>
      <c r="Z275" s="391"/>
      <c r="AA275" s="383"/>
      <c r="AB275" s="177"/>
      <c r="AC275" s="177"/>
      <c r="AD275" s="177"/>
      <c r="AE275" s="391"/>
      <c r="AF275" s="383"/>
      <c r="AG275" s="177"/>
      <c r="AH275" s="177"/>
      <c r="AI275" s="177"/>
      <c r="AJ275" s="391"/>
      <c r="AK275" s="383"/>
      <c r="AL275" s="177"/>
      <c r="AM275" s="177"/>
      <c r="AN275" s="177"/>
      <c r="AO275" s="366"/>
      <c r="AP275" s="366"/>
      <c r="AQ275" s="366"/>
      <c r="AR275" s="366"/>
      <c r="AS275" s="366"/>
    </row>
    <row r="276">
      <c r="A276" s="391"/>
      <c r="B276" s="383"/>
      <c r="C276" s="177"/>
      <c r="D276" s="177"/>
      <c r="E276" s="177"/>
      <c r="F276" s="391"/>
      <c r="G276" s="383"/>
      <c r="H276" s="177"/>
      <c r="I276" s="177"/>
      <c r="J276" s="177"/>
      <c r="K276" s="88"/>
      <c r="L276" s="383"/>
      <c r="M276" s="177"/>
      <c r="N276" s="177"/>
      <c r="O276" s="177"/>
      <c r="P276" s="88"/>
      <c r="Q276" s="151"/>
      <c r="R276" s="177"/>
      <c r="S276" s="177"/>
      <c r="T276" s="177"/>
      <c r="U276" s="391"/>
      <c r="V276" s="383"/>
      <c r="W276" s="177"/>
      <c r="X276" s="177"/>
      <c r="Y276" s="177"/>
      <c r="Z276" s="391"/>
      <c r="AA276" s="383"/>
      <c r="AB276" s="177"/>
      <c r="AC276" s="177"/>
      <c r="AD276" s="177"/>
      <c r="AE276" s="391"/>
      <c r="AF276" s="383"/>
      <c r="AG276" s="177"/>
      <c r="AH276" s="177"/>
      <c r="AI276" s="177"/>
      <c r="AJ276" s="391"/>
      <c r="AK276" s="383"/>
      <c r="AL276" s="177"/>
      <c r="AM276" s="177"/>
      <c r="AN276" s="177"/>
      <c r="AO276" s="366"/>
      <c r="AP276" s="366"/>
      <c r="AQ276" s="366"/>
      <c r="AR276" s="366"/>
      <c r="AS276" s="366"/>
    </row>
    <row r="277">
      <c r="A277" s="391"/>
      <c r="B277" s="383"/>
      <c r="C277" s="177"/>
      <c r="D277" s="177"/>
      <c r="E277" s="177"/>
      <c r="F277" s="391"/>
      <c r="G277" s="383"/>
      <c r="H277" s="177"/>
      <c r="I277" s="177"/>
      <c r="J277" s="177"/>
      <c r="K277" s="88"/>
      <c r="L277" s="383"/>
      <c r="M277" s="177"/>
      <c r="N277" s="177"/>
      <c r="O277" s="177"/>
      <c r="P277" s="88"/>
      <c r="Q277" s="151"/>
      <c r="R277" s="177"/>
      <c r="S277" s="177"/>
      <c r="T277" s="177"/>
      <c r="U277" s="391"/>
      <c r="V277" s="383"/>
      <c r="W277" s="177"/>
      <c r="X277" s="177"/>
      <c r="Y277" s="177"/>
      <c r="Z277" s="391"/>
      <c r="AA277" s="383"/>
      <c r="AB277" s="177"/>
      <c r="AC277" s="177"/>
      <c r="AD277" s="177"/>
      <c r="AE277" s="391"/>
      <c r="AF277" s="383"/>
      <c r="AG277" s="177"/>
      <c r="AH277" s="177"/>
      <c r="AI277" s="177"/>
      <c r="AJ277" s="391"/>
      <c r="AK277" s="383"/>
      <c r="AL277" s="177"/>
      <c r="AM277" s="177"/>
      <c r="AN277" s="177"/>
      <c r="AO277" s="366"/>
      <c r="AP277" s="366"/>
      <c r="AQ277" s="366"/>
      <c r="AR277" s="366"/>
      <c r="AS277" s="366"/>
    </row>
    <row r="278">
      <c r="A278" s="391"/>
      <c r="B278" s="383"/>
      <c r="C278" s="177"/>
      <c r="D278" s="177"/>
      <c r="E278" s="177"/>
      <c r="F278" s="391"/>
      <c r="G278" s="383"/>
      <c r="H278" s="177"/>
      <c r="I278" s="177"/>
      <c r="J278" s="177"/>
      <c r="K278" s="88"/>
      <c r="L278" s="383"/>
      <c r="M278" s="177"/>
      <c r="N278" s="177"/>
      <c r="O278" s="177"/>
      <c r="P278" s="88"/>
      <c r="Q278" s="151"/>
      <c r="R278" s="177"/>
      <c r="S278" s="177"/>
      <c r="T278" s="177"/>
      <c r="U278" s="391"/>
      <c r="V278" s="383"/>
      <c r="W278" s="177"/>
      <c r="X278" s="177"/>
      <c r="Y278" s="177"/>
      <c r="Z278" s="391"/>
      <c r="AA278" s="383"/>
      <c r="AB278" s="177"/>
      <c r="AC278" s="177"/>
      <c r="AD278" s="177"/>
      <c r="AE278" s="391"/>
      <c r="AF278" s="383"/>
      <c r="AG278" s="177"/>
      <c r="AH278" s="177"/>
      <c r="AI278" s="177"/>
      <c r="AJ278" s="391"/>
      <c r="AK278" s="383"/>
      <c r="AL278" s="177"/>
      <c r="AM278" s="177"/>
      <c r="AN278" s="177"/>
      <c r="AO278" s="366"/>
      <c r="AP278" s="366"/>
      <c r="AQ278" s="366"/>
      <c r="AR278" s="366"/>
      <c r="AS278" s="366"/>
    </row>
    <row r="279">
      <c r="A279" s="391"/>
      <c r="B279" s="383"/>
      <c r="C279" s="177"/>
      <c r="D279" s="177"/>
      <c r="E279" s="177"/>
      <c r="F279" s="391"/>
      <c r="G279" s="383"/>
      <c r="H279" s="177"/>
      <c r="I279" s="177"/>
      <c r="J279" s="177"/>
      <c r="K279" s="88"/>
      <c r="L279" s="383"/>
      <c r="M279" s="177"/>
      <c r="N279" s="177"/>
      <c r="O279" s="177"/>
      <c r="P279" s="88"/>
      <c r="Q279" s="151"/>
      <c r="R279" s="177"/>
      <c r="S279" s="177"/>
      <c r="T279" s="177"/>
      <c r="U279" s="391"/>
      <c r="V279" s="383"/>
      <c r="W279" s="177"/>
      <c r="X279" s="177"/>
      <c r="Y279" s="177"/>
      <c r="Z279" s="391"/>
      <c r="AA279" s="383"/>
      <c r="AB279" s="177"/>
      <c r="AC279" s="177"/>
      <c r="AD279" s="177"/>
      <c r="AE279" s="391"/>
      <c r="AF279" s="383"/>
      <c r="AG279" s="177"/>
      <c r="AH279" s="177"/>
      <c r="AI279" s="177"/>
      <c r="AJ279" s="391"/>
      <c r="AK279" s="383"/>
      <c r="AL279" s="177"/>
      <c r="AM279" s="177"/>
      <c r="AN279" s="177"/>
      <c r="AO279" s="366"/>
      <c r="AP279" s="366"/>
      <c r="AQ279" s="366"/>
      <c r="AR279" s="366"/>
      <c r="AS279" s="366"/>
    </row>
    <row r="280">
      <c r="A280" s="391"/>
      <c r="B280" s="383"/>
      <c r="C280" s="177"/>
      <c r="D280" s="177"/>
      <c r="E280" s="177"/>
      <c r="F280" s="391"/>
      <c r="G280" s="383"/>
      <c r="H280" s="177"/>
      <c r="I280" s="177"/>
      <c r="J280" s="177"/>
      <c r="K280" s="88"/>
      <c r="L280" s="383"/>
      <c r="M280" s="177"/>
      <c r="N280" s="177"/>
      <c r="O280" s="177"/>
      <c r="P280" s="88"/>
      <c r="Q280" s="151"/>
      <c r="R280" s="177"/>
      <c r="S280" s="177"/>
      <c r="T280" s="177"/>
      <c r="U280" s="391"/>
      <c r="V280" s="383"/>
      <c r="W280" s="177"/>
      <c r="X280" s="177"/>
      <c r="Y280" s="177"/>
      <c r="Z280" s="391"/>
      <c r="AA280" s="383"/>
      <c r="AB280" s="177"/>
      <c r="AC280" s="177"/>
      <c r="AD280" s="177"/>
      <c r="AE280" s="391"/>
      <c r="AF280" s="383"/>
      <c r="AG280" s="177"/>
      <c r="AH280" s="177"/>
      <c r="AI280" s="177"/>
      <c r="AJ280" s="391"/>
      <c r="AK280" s="383"/>
      <c r="AL280" s="177"/>
      <c r="AM280" s="177"/>
      <c r="AN280" s="177"/>
      <c r="AO280" s="366"/>
      <c r="AP280" s="366"/>
      <c r="AQ280" s="366"/>
      <c r="AR280" s="366"/>
      <c r="AS280" s="366"/>
    </row>
    <row r="281">
      <c r="A281" s="391"/>
      <c r="B281" s="383"/>
      <c r="C281" s="177"/>
      <c r="D281" s="177"/>
      <c r="E281" s="177"/>
      <c r="F281" s="391"/>
      <c r="G281" s="383"/>
      <c r="H281" s="177"/>
      <c r="I281" s="177"/>
      <c r="J281" s="177"/>
      <c r="K281" s="88"/>
      <c r="L281" s="383"/>
      <c r="M281" s="177"/>
      <c r="N281" s="177"/>
      <c r="O281" s="177"/>
      <c r="P281" s="88"/>
      <c r="Q281" s="151"/>
      <c r="R281" s="177"/>
      <c r="S281" s="177"/>
      <c r="T281" s="177"/>
      <c r="U281" s="391"/>
      <c r="V281" s="383"/>
      <c r="W281" s="177"/>
      <c r="X281" s="177"/>
      <c r="Y281" s="177"/>
      <c r="Z281" s="391"/>
      <c r="AA281" s="383"/>
      <c r="AB281" s="177"/>
      <c r="AC281" s="177"/>
      <c r="AD281" s="177"/>
      <c r="AE281" s="391"/>
      <c r="AF281" s="383"/>
      <c r="AG281" s="177"/>
      <c r="AH281" s="177"/>
      <c r="AI281" s="177"/>
      <c r="AJ281" s="391"/>
      <c r="AK281" s="383"/>
      <c r="AL281" s="177"/>
      <c r="AM281" s="177"/>
      <c r="AN281" s="177"/>
      <c r="AO281" s="366"/>
      <c r="AP281" s="366"/>
      <c r="AQ281" s="366"/>
      <c r="AR281" s="366"/>
      <c r="AS281" s="366"/>
    </row>
    <row r="282">
      <c r="A282" s="391"/>
      <c r="B282" s="383"/>
      <c r="C282" s="177"/>
      <c r="D282" s="177"/>
      <c r="E282" s="177"/>
      <c r="F282" s="391"/>
      <c r="G282" s="383"/>
      <c r="H282" s="177"/>
      <c r="I282" s="177"/>
      <c r="J282" s="177"/>
      <c r="K282" s="88"/>
      <c r="L282" s="383"/>
      <c r="M282" s="177"/>
      <c r="N282" s="177"/>
      <c r="O282" s="177"/>
      <c r="P282" s="88"/>
      <c r="Q282" s="151"/>
      <c r="R282" s="177"/>
      <c r="S282" s="177"/>
      <c r="T282" s="177"/>
      <c r="U282" s="391"/>
      <c r="V282" s="383"/>
      <c r="W282" s="177"/>
      <c r="X282" s="177"/>
      <c r="Y282" s="177"/>
      <c r="Z282" s="391"/>
      <c r="AA282" s="383"/>
      <c r="AB282" s="177"/>
      <c r="AC282" s="177"/>
      <c r="AD282" s="177"/>
      <c r="AE282" s="391"/>
      <c r="AF282" s="383"/>
      <c r="AG282" s="177"/>
      <c r="AH282" s="177"/>
      <c r="AI282" s="177"/>
      <c r="AJ282" s="391"/>
      <c r="AK282" s="383"/>
      <c r="AL282" s="177"/>
      <c r="AM282" s="177"/>
      <c r="AN282" s="177"/>
      <c r="AO282" s="366"/>
      <c r="AP282" s="366"/>
      <c r="AQ282" s="366"/>
      <c r="AR282" s="366"/>
      <c r="AS282" s="366"/>
    </row>
    <row r="283">
      <c r="A283" s="391"/>
      <c r="B283" s="383"/>
      <c r="C283" s="177"/>
      <c r="D283" s="177"/>
      <c r="E283" s="177"/>
      <c r="F283" s="391"/>
      <c r="G283" s="383"/>
      <c r="H283" s="177"/>
      <c r="I283" s="177"/>
      <c r="J283" s="177"/>
      <c r="K283" s="88"/>
      <c r="L283" s="383"/>
      <c r="M283" s="177"/>
      <c r="N283" s="177"/>
      <c r="O283" s="177"/>
      <c r="P283" s="88"/>
      <c r="Q283" s="151"/>
      <c r="R283" s="177"/>
      <c r="S283" s="177"/>
      <c r="T283" s="177"/>
      <c r="U283" s="391"/>
      <c r="V283" s="383"/>
      <c r="W283" s="177"/>
      <c r="X283" s="177"/>
      <c r="Y283" s="177"/>
      <c r="Z283" s="391"/>
      <c r="AA283" s="383"/>
      <c r="AB283" s="177"/>
      <c r="AC283" s="177"/>
      <c r="AD283" s="177"/>
      <c r="AE283" s="391"/>
      <c r="AF283" s="383"/>
      <c r="AG283" s="177"/>
      <c r="AH283" s="177"/>
      <c r="AI283" s="177"/>
      <c r="AJ283" s="391"/>
      <c r="AK283" s="383"/>
      <c r="AL283" s="177"/>
      <c r="AM283" s="177"/>
      <c r="AN283" s="177"/>
      <c r="AO283" s="366"/>
      <c r="AP283" s="366"/>
      <c r="AQ283" s="366"/>
      <c r="AR283" s="366"/>
      <c r="AS283" s="366"/>
    </row>
    <row r="284">
      <c r="A284" s="391"/>
      <c r="B284" s="383"/>
      <c r="C284" s="177"/>
      <c r="D284" s="177"/>
      <c r="E284" s="177"/>
      <c r="F284" s="391"/>
      <c r="G284" s="383"/>
      <c r="H284" s="177"/>
      <c r="I284" s="177"/>
      <c r="J284" s="177"/>
      <c r="K284" s="88"/>
      <c r="L284" s="383"/>
      <c r="M284" s="177"/>
      <c r="N284" s="177"/>
      <c r="O284" s="177"/>
      <c r="P284" s="88"/>
      <c r="Q284" s="151"/>
      <c r="R284" s="177"/>
      <c r="S284" s="177"/>
      <c r="T284" s="177"/>
      <c r="U284" s="391"/>
      <c r="V284" s="383"/>
      <c r="W284" s="177"/>
      <c r="X284" s="177"/>
      <c r="Y284" s="177"/>
      <c r="Z284" s="391"/>
      <c r="AA284" s="383"/>
      <c r="AB284" s="177"/>
      <c r="AC284" s="177"/>
      <c r="AD284" s="177"/>
      <c r="AE284" s="391"/>
      <c r="AF284" s="383"/>
      <c r="AG284" s="177"/>
      <c r="AH284" s="177"/>
      <c r="AI284" s="177"/>
      <c r="AJ284" s="391"/>
      <c r="AK284" s="383"/>
      <c r="AL284" s="177"/>
      <c r="AM284" s="177"/>
      <c r="AN284" s="177"/>
      <c r="AO284" s="366"/>
      <c r="AP284" s="366"/>
      <c r="AQ284" s="366"/>
      <c r="AR284" s="366"/>
      <c r="AS284" s="366"/>
    </row>
    <row r="285">
      <c r="A285" s="391"/>
      <c r="B285" s="383"/>
      <c r="C285" s="177"/>
      <c r="D285" s="177"/>
      <c r="E285" s="177"/>
      <c r="F285" s="391"/>
      <c r="G285" s="383"/>
      <c r="H285" s="177"/>
      <c r="I285" s="177"/>
      <c r="J285" s="177"/>
      <c r="K285" s="88"/>
      <c r="L285" s="383"/>
      <c r="M285" s="177"/>
      <c r="N285" s="177"/>
      <c r="O285" s="177"/>
      <c r="P285" s="88"/>
      <c r="Q285" s="151"/>
      <c r="R285" s="177"/>
      <c r="S285" s="177"/>
      <c r="T285" s="177"/>
      <c r="U285" s="391"/>
      <c r="V285" s="383"/>
      <c r="W285" s="177"/>
      <c r="X285" s="177"/>
      <c r="Y285" s="177"/>
      <c r="Z285" s="391"/>
      <c r="AA285" s="383"/>
      <c r="AB285" s="177"/>
      <c r="AC285" s="177"/>
      <c r="AD285" s="177"/>
      <c r="AE285" s="391"/>
      <c r="AF285" s="383"/>
      <c r="AG285" s="177"/>
      <c r="AH285" s="177"/>
      <c r="AI285" s="177"/>
      <c r="AJ285" s="391"/>
      <c r="AK285" s="383"/>
      <c r="AL285" s="177"/>
      <c r="AM285" s="177"/>
      <c r="AN285" s="177"/>
      <c r="AO285" s="366"/>
      <c r="AP285" s="366"/>
      <c r="AQ285" s="366"/>
      <c r="AR285" s="366"/>
      <c r="AS285" s="366"/>
    </row>
    <row r="286">
      <c r="A286" s="391"/>
      <c r="B286" s="383"/>
      <c r="C286" s="177"/>
      <c r="D286" s="177"/>
      <c r="E286" s="177"/>
      <c r="F286" s="391"/>
      <c r="G286" s="383"/>
      <c r="H286" s="177"/>
      <c r="I286" s="177"/>
      <c r="J286" s="177"/>
      <c r="K286" s="88"/>
      <c r="L286" s="383"/>
      <c r="M286" s="177"/>
      <c r="N286" s="177"/>
      <c r="O286" s="177"/>
      <c r="P286" s="88"/>
      <c r="Q286" s="151"/>
      <c r="R286" s="177"/>
      <c r="S286" s="177"/>
      <c r="T286" s="177"/>
      <c r="U286" s="391"/>
      <c r="V286" s="383"/>
      <c r="W286" s="177"/>
      <c r="X286" s="177"/>
      <c r="Y286" s="177"/>
      <c r="Z286" s="391"/>
      <c r="AA286" s="383"/>
      <c r="AB286" s="177"/>
      <c r="AC286" s="177"/>
      <c r="AD286" s="177"/>
      <c r="AE286" s="391"/>
      <c r="AF286" s="383"/>
      <c r="AG286" s="177"/>
      <c r="AH286" s="177"/>
      <c r="AI286" s="177"/>
      <c r="AJ286" s="391"/>
      <c r="AK286" s="383"/>
      <c r="AL286" s="177"/>
      <c r="AM286" s="177"/>
      <c r="AN286" s="177"/>
      <c r="AO286" s="366"/>
      <c r="AP286" s="366"/>
      <c r="AQ286" s="366"/>
      <c r="AR286" s="366"/>
      <c r="AS286" s="366"/>
    </row>
    <row r="287">
      <c r="A287" s="391"/>
      <c r="B287" s="383"/>
      <c r="C287" s="177"/>
      <c r="D287" s="177"/>
      <c r="E287" s="177"/>
      <c r="F287" s="391"/>
      <c r="G287" s="383"/>
      <c r="H287" s="177"/>
      <c r="I287" s="177"/>
      <c r="J287" s="177"/>
      <c r="K287" s="88"/>
      <c r="L287" s="383"/>
      <c r="M287" s="177"/>
      <c r="N287" s="177"/>
      <c r="O287" s="177"/>
      <c r="P287" s="88"/>
      <c r="Q287" s="151"/>
      <c r="R287" s="177"/>
      <c r="S287" s="177"/>
      <c r="T287" s="177"/>
      <c r="U287" s="391"/>
      <c r="V287" s="383"/>
      <c r="W287" s="177"/>
      <c r="X287" s="177"/>
      <c r="Y287" s="177"/>
      <c r="Z287" s="391"/>
      <c r="AA287" s="383"/>
      <c r="AB287" s="177"/>
      <c r="AC287" s="177"/>
      <c r="AD287" s="177"/>
      <c r="AE287" s="391"/>
      <c r="AF287" s="383"/>
      <c r="AG287" s="177"/>
      <c r="AH287" s="177"/>
      <c r="AI287" s="177"/>
      <c r="AJ287" s="391"/>
      <c r="AK287" s="383"/>
      <c r="AL287" s="177"/>
      <c r="AM287" s="177"/>
      <c r="AN287" s="177"/>
      <c r="AO287" s="366"/>
      <c r="AP287" s="366"/>
      <c r="AQ287" s="366"/>
      <c r="AR287" s="366"/>
      <c r="AS287" s="366"/>
    </row>
    <row r="288">
      <c r="A288" s="391"/>
      <c r="B288" s="383"/>
      <c r="C288" s="177"/>
      <c r="D288" s="177"/>
      <c r="E288" s="177"/>
      <c r="F288" s="391"/>
      <c r="G288" s="383"/>
      <c r="H288" s="177"/>
      <c r="I288" s="177"/>
      <c r="J288" s="177"/>
      <c r="K288" s="88"/>
      <c r="L288" s="383"/>
      <c r="M288" s="177"/>
      <c r="N288" s="177"/>
      <c r="O288" s="177"/>
      <c r="P288" s="88"/>
      <c r="Q288" s="151"/>
      <c r="R288" s="177"/>
      <c r="S288" s="177"/>
      <c r="T288" s="177"/>
      <c r="U288" s="391"/>
      <c r="V288" s="383"/>
      <c r="W288" s="177"/>
      <c r="X288" s="177"/>
      <c r="Y288" s="177"/>
      <c r="Z288" s="391"/>
      <c r="AA288" s="383"/>
      <c r="AB288" s="177"/>
      <c r="AC288" s="177"/>
      <c r="AD288" s="177"/>
      <c r="AE288" s="391"/>
      <c r="AF288" s="383"/>
      <c r="AG288" s="177"/>
      <c r="AH288" s="177"/>
      <c r="AI288" s="177"/>
      <c r="AJ288" s="391"/>
      <c r="AK288" s="383"/>
      <c r="AL288" s="177"/>
      <c r="AM288" s="177"/>
      <c r="AN288" s="177"/>
      <c r="AO288" s="366"/>
      <c r="AP288" s="366"/>
      <c r="AQ288" s="366"/>
      <c r="AR288" s="366"/>
      <c r="AS288" s="366"/>
    </row>
    <row r="289">
      <c r="A289" s="391"/>
      <c r="B289" s="383"/>
      <c r="C289" s="177"/>
      <c r="D289" s="177"/>
      <c r="E289" s="177"/>
      <c r="F289" s="391"/>
      <c r="G289" s="383"/>
      <c r="H289" s="177"/>
      <c r="I289" s="177"/>
      <c r="J289" s="177"/>
      <c r="K289" s="88"/>
      <c r="L289" s="383"/>
      <c r="M289" s="177"/>
      <c r="N289" s="177"/>
      <c r="O289" s="177"/>
      <c r="P289" s="88"/>
      <c r="Q289" s="151"/>
      <c r="R289" s="177"/>
      <c r="S289" s="177"/>
      <c r="T289" s="177"/>
      <c r="U289" s="391"/>
      <c r="V289" s="383"/>
      <c r="W289" s="177"/>
      <c r="X289" s="177"/>
      <c r="Y289" s="177"/>
      <c r="Z289" s="391"/>
      <c r="AA289" s="383"/>
      <c r="AB289" s="177"/>
      <c r="AC289" s="177"/>
      <c r="AD289" s="177"/>
      <c r="AE289" s="391"/>
      <c r="AF289" s="383"/>
      <c r="AG289" s="177"/>
      <c r="AH289" s="177"/>
      <c r="AI289" s="177"/>
      <c r="AJ289" s="391"/>
      <c r="AK289" s="383"/>
      <c r="AL289" s="177"/>
      <c r="AM289" s="177"/>
      <c r="AN289" s="177"/>
      <c r="AO289" s="366"/>
      <c r="AP289" s="366"/>
      <c r="AQ289" s="366"/>
      <c r="AR289" s="366"/>
      <c r="AS289" s="366"/>
    </row>
    <row r="290">
      <c r="A290" s="391"/>
      <c r="B290" s="383"/>
      <c r="C290" s="177"/>
      <c r="D290" s="177"/>
      <c r="E290" s="177"/>
      <c r="F290" s="391"/>
      <c r="G290" s="383"/>
      <c r="H290" s="177"/>
      <c r="I290" s="177"/>
      <c r="J290" s="177"/>
      <c r="K290" s="88"/>
      <c r="L290" s="383"/>
      <c r="M290" s="177"/>
      <c r="N290" s="177"/>
      <c r="O290" s="177"/>
      <c r="P290" s="88"/>
      <c r="Q290" s="151"/>
      <c r="R290" s="177"/>
      <c r="S290" s="177"/>
      <c r="T290" s="177"/>
      <c r="U290" s="391"/>
      <c r="V290" s="383"/>
      <c r="W290" s="177"/>
      <c r="X290" s="177"/>
      <c r="Y290" s="177"/>
      <c r="Z290" s="391"/>
      <c r="AA290" s="383"/>
      <c r="AB290" s="177"/>
      <c r="AC290" s="177"/>
      <c r="AD290" s="177"/>
      <c r="AE290" s="391"/>
      <c r="AF290" s="383"/>
      <c r="AG290" s="177"/>
      <c r="AH290" s="177"/>
      <c r="AI290" s="177"/>
      <c r="AJ290" s="391"/>
      <c r="AK290" s="383"/>
      <c r="AL290" s="177"/>
      <c r="AM290" s="177"/>
      <c r="AN290" s="177"/>
      <c r="AO290" s="366"/>
      <c r="AP290" s="366"/>
      <c r="AQ290" s="366"/>
      <c r="AR290" s="366"/>
      <c r="AS290" s="366"/>
    </row>
    <row r="291">
      <c r="A291" s="391"/>
      <c r="B291" s="383"/>
      <c r="C291" s="177"/>
      <c r="D291" s="177"/>
      <c r="E291" s="177"/>
      <c r="F291" s="391"/>
      <c r="G291" s="383"/>
      <c r="H291" s="177"/>
      <c r="I291" s="177"/>
      <c r="J291" s="177"/>
      <c r="K291" s="88"/>
      <c r="L291" s="383"/>
      <c r="M291" s="177"/>
      <c r="N291" s="177"/>
      <c r="O291" s="177"/>
      <c r="P291" s="88"/>
      <c r="Q291" s="151"/>
      <c r="R291" s="177"/>
      <c r="S291" s="177"/>
      <c r="T291" s="177"/>
      <c r="U291" s="391"/>
      <c r="V291" s="383"/>
      <c r="W291" s="177"/>
      <c r="X291" s="177"/>
      <c r="Y291" s="177"/>
      <c r="Z291" s="391"/>
      <c r="AA291" s="383"/>
      <c r="AB291" s="177"/>
      <c r="AC291" s="177"/>
      <c r="AD291" s="177"/>
      <c r="AE291" s="391"/>
      <c r="AF291" s="383"/>
      <c r="AG291" s="177"/>
      <c r="AH291" s="177"/>
      <c r="AI291" s="177"/>
      <c r="AJ291" s="391"/>
      <c r="AK291" s="383"/>
      <c r="AL291" s="177"/>
      <c r="AM291" s="177"/>
      <c r="AN291" s="177"/>
      <c r="AO291" s="366"/>
      <c r="AP291" s="366"/>
      <c r="AQ291" s="366"/>
      <c r="AR291" s="366"/>
      <c r="AS291" s="366"/>
    </row>
    <row r="292">
      <c r="A292" s="391"/>
      <c r="B292" s="383"/>
      <c r="C292" s="177"/>
      <c r="D292" s="177"/>
      <c r="E292" s="177"/>
      <c r="F292" s="391"/>
      <c r="G292" s="383"/>
      <c r="H292" s="177"/>
      <c r="I292" s="177"/>
      <c r="J292" s="177"/>
      <c r="K292" s="88"/>
      <c r="L292" s="383"/>
      <c r="M292" s="177"/>
      <c r="N292" s="177"/>
      <c r="O292" s="177"/>
      <c r="P292" s="88"/>
      <c r="Q292" s="151"/>
      <c r="R292" s="177"/>
      <c r="S292" s="177"/>
      <c r="T292" s="177"/>
      <c r="U292" s="391"/>
      <c r="V292" s="383"/>
      <c r="W292" s="177"/>
      <c r="X292" s="177"/>
      <c r="Y292" s="177"/>
      <c r="Z292" s="391"/>
      <c r="AA292" s="383"/>
      <c r="AB292" s="177"/>
      <c r="AC292" s="177"/>
      <c r="AD292" s="177"/>
      <c r="AE292" s="391"/>
      <c r="AF292" s="383"/>
      <c r="AG292" s="177"/>
      <c r="AH292" s="177"/>
      <c r="AI292" s="177"/>
      <c r="AJ292" s="391"/>
      <c r="AK292" s="383"/>
      <c r="AL292" s="177"/>
      <c r="AM292" s="177"/>
      <c r="AN292" s="177"/>
      <c r="AO292" s="366"/>
      <c r="AP292" s="366"/>
      <c r="AQ292" s="366"/>
      <c r="AR292" s="366"/>
      <c r="AS292" s="366"/>
    </row>
    <row r="293">
      <c r="A293" s="391"/>
      <c r="B293" s="383"/>
      <c r="C293" s="177"/>
      <c r="D293" s="177"/>
      <c r="E293" s="177"/>
      <c r="F293" s="391"/>
      <c r="G293" s="383"/>
      <c r="H293" s="177"/>
      <c r="I293" s="177"/>
      <c r="J293" s="177"/>
      <c r="K293" s="88"/>
      <c r="L293" s="383"/>
      <c r="M293" s="177"/>
      <c r="N293" s="177"/>
      <c r="O293" s="177"/>
      <c r="P293" s="88"/>
      <c r="Q293" s="151"/>
      <c r="R293" s="177"/>
      <c r="S293" s="177"/>
      <c r="T293" s="177"/>
      <c r="U293" s="391"/>
      <c r="V293" s="383"/>
      <c r="W293" s="177"/>
      <c r="X293" s="177"/>
      <c r="Y293" s="177"/>
      <c r="Z293" s="391"/>
      <c r="AA293" s="383"/>
      <c r="AB293" s="177"/>
      <c r="AC293" s="177"/>
      <c r="AD293" s="177"/>
      <c r="AE293" s="391"/>
      <c r="AF293" s="383"/>
      <c r="AG293" s="177"/>
      <c r="AH293" s="177"/>
      <c r="AI293" s="177"/>
      <c r="AJ293" s="391"/>
      <c r="AK293" s="383"/>
      <c r="AL293" s="177"/>
      <c r="AM293" s="177"/>
      <c r="AN293" s="177"/>
      <c r="AO293" s="366"/>
      <c r="AP293" s="366"/>
      <c r="AQ293" s="366"/>
      <c r="AR293" s="366"/>
      <c r="AS293" s="366"/>
    </row>
    <row r="294">
      <c r="A294" s="391"/>
      <c r="B294" s="383"/>
      <c r="C294" s="177"/>
      <c r="D294" s="177"/>
      <c r="E294" s="177"/>
      <c r="F294" s="391"/>
      <c r="G294" s="383"/>
      <c r="H294" s="177"/>
      <c r="I294" s="177"/>
      <c r="J294" s="177"/>
      <c r="K294" s="88"/>
      <c r="L294" s="383"/>
      <c r="M294" s="177"/>
      <c r="N294" s="177"/>
      <c r="O294" s="177"/>
      <c r="P294" s="88"/>
      <c r="Q294" s="151"/>
      <c r="R294" s="177"/>
      <c r="S294" s="177"/>
      <c r="T294" s="177"/>
      <c r="U294" s="391"/>
      <c r="V294" s="383"/>
      <c r="W294" s="177"/>
      <c r="X294" s="177"/>
      <c r="Y294" s="177"/>
      <c r="Z294" s="391"/>
      <c r="AA294" s="383"/>
      <c r="AB294" s="177"/>
      <c r="AC294" s="177"/>
      <c r="AD294" s="177"/>
      <c r="AE294" s="391"/>
      <c r="AF294" s="383"/>
      <c r="AG294" s="177"/>
      <c r="AH294" s="177"/>
      <c r="AI294" s="177"/>
      <c r="AJ294" s="391"/>
      <c r="AK294" s="383"/>
      <c r="AL294" s="177"/>
      <c r="AM294" s="177"/>
      <c r="AN294" s="177"/>
      <c r="AO294" s="366"/>
      <c r="AP294" s="366"/>
      <c r="AQ294" s="366"/>
      <c r="AR294" s="366"/>
      <c r="AS294" s="366"/>
    </row>
    <row r="295">
      <c r="A295" s="391"/>
      <c r="B295" s="383"/>
      <c r="C295" s="177"/>
      <c r="D295" s="177"/>
      <c r="E295" s="177"/>
      <c r="F295" s="391"/>
      <c r="G295" s="383"/>
      <c r="H295" s="177"/>
      <c r="I295" s="177"/>
      <c r="J295" s="177"/>
      <c r="K295" s="88"/>
      <c r="L295" s="383"/>
      <c r="M295" s="177"/>
      <c r="N295" s="177"/>
      <c r="O295" s="177"/>
      <c r="P295" s="88"/>
      <c r="Q295" s="151"/>
      <c r="R295" s="177"/>
      <c r="S295" s="177"/>
      <c r="T295" s="177"/>
      <c r="U295" s="391"/>
      <c r="V295" s="383"/>
      <c r="W295" s="177"/>
      <c r="X295" s="177"/>
      <c r="Y295" s="177"/>
      <c r="Z295" s="391"/>
      <c r="AA295" s="383"/>
      <c r="AB295" s="177"/>
      <c r="AC295" s="177"/>
      <c r="AD295" s="177"/>
      <c r="AE295" s="391"/>
      <c r="AF295" s="383"/>
      <c r="AG295" s="177"/>
      <c r="AH295" s="177"/>
      <c r="AI295" s="177"/>
      <c r="AJ295" s="391"/>
      <c r="AK295" s="383"/>
      <c r="AL295" s="177"/>
      <c r="AM295" s="177"/>
      <c r="AN295" s="177"/>
      <c r="AO295" s="366"/>
      <c r="AP295" s="366"/>
      <c r="AQ295" s="366"/>
      <c r="AR295" s="366"/>
      <c r="AS295" s="366"/>
    </row>
    <row r="296">
      <c r="A296" s="391"/>
      <c r="B296" s="383"/>
      <c r="C296" s="177"/>
      <c r="D296" s="177"/>
      <c r="E296" s="177"/>
      <c r="F296" s="391"/>
      <c r="G296" s="383"/>
      <c r="H296" s="177"/>
      <c r="I296" s="177"/>
      <c r="J296" s="177"/>
      <c r="K296" s="88"/>
      <c r="L296" s="383"/>
      <c r="M296" s="177"/>
      <c r="N296" s="177"/>
      <c r="O296" s="177"/>
      <c r="P296" s="88"/>
      <c r="Q296" s="151"/>
      <c r="R296" s="177"/>
      <c r="S296" s="177"/>
      <c r="T296" s="177"/>
      <c r="U296" s="391"/>
      <c r="V296" s="383"/>
      <c r="W296" s="177"/>
      <c r="X296" s="177"/>
      <c r="Y296" s="177"/>
      <c r="Z296" s="391"/>
      <c r="AA296" s="383"/>
      <c r="AB296" s="177"/>
      <c r="AC296" s="177"/>
      <c r="AD296" s="177"/>
      <c r="AE296" s="391"/>
      <c r="AF296" s="383"/>
      <c r="AG296" s="177"/>
      <c r="AH296" s="177"/>
      <c r="AI296" s="177"/>
      <c r="AJ296" s="391"/>
      <c r="AK296" s="383"/>
      <c r="AL296" s="177"/>
      <c r="AM296" s="177"/>
      <c r="AN296" s="177"/>
      <c r="AO296" s="366"/>
      <c r="AP296" s="366"/>
      <c r="AQ296" s="366"/>
      <c r="AR296" s="366"/>
      <c r="AS296" s="366"/>
    </row>
    <row r="297">
      <c r="A297" s="391"/>
      <c r="B297" s="383"/>
      <c r="C297" s="177"/>
      <c r="D297" s="177"/>
      <c r="E297" s="177"/>
      <c r="F297" s="391"/>
      <c r="G297" s="383"/>
      <c r="H297" s="177"/>
      <c r="I297" s="177"/>
      <c r="J297" s="177"/>
      <c r="K297" s="88"/>
      <c r="L297" s="383"/>
      <c r="M297" s="177"/>
      <c r="N297" s="177"/>
      <c r="O297" s="177"/>
      <c r="P297" s="88"/>
      <c r="Q297" s="151"/>
      <c r="R297" s="177"/>
      <c r="S297" s="177"/>
      <c r="T297" s="177"/>
      <c r="U297" s="391"/>
      <c r="V297" s="383"/>
      <c r="W297" s="177"/>
      <c r="X297" s="177"/>
      <c r="Y297" s="177"/>
      <c r="Z297" s="391"/>
      <c r="AA297" s="383"/>
      <c r="AB297" s="177"/>
      <c r="AC297" s="177"/>
      <c r="AD297" s="177"/>
      <c r="AE297" s="391"/>
      <c r="AF297" s="383"/>
      <c r="AG297" s="177"/>
      <c r="AH297" s="177"/>
      <c r="AI297" s="177"/>
      <c r="AJ297" s="391"/>
      <c r="AK297" s="383"/>
      <c r="AL297" s="177"/>
      <c r="AM297" s="177"/>
      <c r="AN297" s="177"/>
      <c r="AO297" s="366"/>
      <c r="AP297" s="366"/>
      <c r="AQ297" s="366"/>
      <c r="AR297" s="366"/>
      <c r="AS297" s="366"/>
    </row>
    <row r="298">
      <c r="A298" s="391"/>
      <c r="B298" s="383"/>
      <c r="C298" s="177"/>
      <c r="D298" s="177"/>
      <c r="E298" s="177"/>
      <c r="F298" s="391"/>
      <c r="G298" s="383"/>
      <c r="H298" s="177"/>
      <c r="I298" s="177"/>
      <c r="J298" s="177"/>
      <c r="K298" s="88"/>
      <c r="L298" s="383"/>
      <c r="M298" s="177"/>
      <c r="N298" s="177"/>
      <c r="O298" s="177"/>
      <c r="P298" s="88"/>
      <c r="Q298" s="151"/>
      <c r="R298" s="177"/>
      <c r="S298" s="177"/>
      <c r="T298" s="177"/>
      <c r="U298" s="391"/>
      <c r="V298" s="383"/>
      <c r="W298" s="177"/>
      <c r="X298" s="177"/>
      <c r="Y298" s="177"/>
      <c r="Z298" s="391"/>
      <c r="AA298" s="383"/>
      <c r="AB298" s="177"/>
      <c r="AC298" s="177"/>
      <c r="AD298" s="177"/>
      <c r="AE298" s="391"/>
      <c r="AF298" s="383"/>
      <c r="AG298" s="177"/>
      <c r="AH298" s="177"/>
      <c r="AI298" s="177"/>
      <c r="AJ298" s="391"/>
      <c r="AK298" s="383"/>
      <c r="AL298" s="177"/>
      <c r="AM298" s="177"/>
      <c r="AN298" s="177"/>
      <c r="AO298" s="366"/>
      <c r="AP298" s="366"/>
      <c r="AQ298" s="366"/>
      <c r="AR298" s="366"/>
      <c r="AS298" s="366"/>
    </row>
    <row r="299">
      <c r="A299" s="391"/>
      <c r="B299" s="383"/>
      <c r="C299" s="177"/>
      <c r="D299" s="177"/>
      <c r="E299" s="177"/>
      <c r="F299" s="391"/>
      <c r="G299" s="383"/>
      <c r="H299" s="177"/>
      <c r="I299" s="177"/>
      <c r="J299" s="177"/>
      <c r="K299" s="88"/>
      <c r="L299" s="383"/>
      <c r="M299" s="177"/>
      <c r="N299" s="177"/>
      <c r="O299" s="177"/>
      <c r="P299" s="88"/>
      <c r="Q299" s="151"/>
      <c r="R299" s="177"/>
      <c r="S299" s="177"/>
      <c r="T299" s="177"/>
      <c r="U299" s="391"/>
      <c r="V299" s="383"/>
      <c r="W299" s="177"/>
      <c r="X299" s="177"/>
      <c r="Y299" s="177"/>
      <c r="Z299" s="391"/>
      <c r="AA299" s="383"/>
      <c r="AB299" s="177"/>
      <c r="AC299" s="177"/>
      <c r="AD299" s="177"/>
      <c r="AE299" s="391"/>
      <c r="AF299" s="383"/>
      <c r="AG299" s="177"/>
      <c r="AH299" s="177"/>
      <c r="AI299" s="177"/>
      <c r="AJ299" s="391"/>
      <c r="AK299" s="383"/>
      <c r="AL299" s="177"/>
      <c r="AM299" s="177"/>
      <c r="AN299" s="177"/>
      <c r="AO299" s="366"/>
      <c r="AP299" s="366"/>
      <c r="AQ299" s="366"/>
      <c r="AR299" s="366"/>
      <c r="AS299" s="366"/>
    </row>
    <row r="300">
      <c r="A300" s="391"/>
      <c r="B300" s="383"/>
      <c r="C300" s="177"/>
      <c r="D300" s="177"/>
      <c r="E300" s="177"/>
      <c r="F300" s="391"/>
      <c r="G300" s="383"/>
      <c r="H300" s="177"/>
      <c r="I300" s="177"/>
      <c r="J300" s="177"/>
      <c r="K300" s="88"/>
      <c r="L300" s="383"/>
      <c r="M300" s="177"/>
      <c r="N300" s="177"/>
      <c r="O300" s="177"/>
      <c r="P300" s="88"/>
      <c r="Q300" s="151"/>
      <c r="R300" s="177"/>
      <c r="S300" s="177"/>
      <c r="T300" s="177"/>
      <c r="U300" s="391"/>
      <c r="V300" s="383"/>
      <c r="W300" s="177"/>
      <c r="X300" s="177"/>
      <c r="Y300" s="177"/>
      <c r="Z300" s="391"/>
      <c r="AA300" s="383"/>
      <c r="AB300" s="177"/>
      <c r="AC300" s="177"/>
      <c r="AD300" s="177"/>
      <c r="AE300" s="391"/>
      <c r="AF300" s="383"/>
      <c r="AG300" s="177"/>
      <c r="AH300" s="177"/>
      <c r="AI300" s="177"/>
      <c r="AJ300" s="391"/>
      <c r="AK300" s="383"/>
      <c r="AL300" s="177"/>
      <c r="AM300" s="177"/>
      <c r="AN300" s="177"/>
      <c r="AO300" s="366"/>
      <c r="AP300" s="366"/>
      <c r="AQ300" s="366"/>
      <c r="AR300" s="366"/>
      <c r="AS300" s="366"/>
    </row>
    <row r="301">
      <c r="A301" s="391"/>
      <c r="B301" s="383"/>
      <c r="C301" s="177"/>
      <c r="D301" s="177"/>
      <c r="E301" s="177"/>
      <c r="F301" s="391"/>
      <c r="G301" s="383"/>
      <c r="H301" s="177"/>
      <c r="I301" s="177"/>
      <c r="J301" s="177"/>
      <c r="K301" s="88"/>
      <c r="L301" s="383"/>
      <c r="M301" s="177"/>
      <c r="N301" s="177"/>
      <c r="O301" s="177"/>
      <c r="P301" s="88"/>
      <c r="Q301" s="151"/>
      <c r="R301" s="177"/>
      <c r="S301" s="177"/>
      <c r="T301" s="177"/>
      <c r="U301" s="391"/>
      <c r="V301" s="383"/>
      <c r="W301" s="177"/>
      <c r="X301" s="177"/>
      <c r="Y301" s="177"/>
      <c r="Z301" s="391"/>
      <c r="AA301" s="383"/>
      <c r="AB301" s="177"/>
      <c r="AC301" s="177"/>
      <c r="AD301" s="177"/>
      <c r="AE301" s="391"/>
      <c r="AF301" s="383"/>
      <c r="AG301" s="177"/>
      <c r="AH301" s="177"/>
      <c r="AI301" s="177"/>
      <c r="AJ301" s="391"/>
      <c r="AK301" s="383"/>
      <c r="AL301" s="177"/>
      <c r="AM301" s="177"/>
      <c r="AN301" s="177"/>
      <c r="AO301" s="366"/>
      <c r="AP301" s="366"/>
      <c r="AQ301" s="366"/>
      <c r="AR301" s="366"/>
      <c r="AS301" s="366"/>
    </row>
    <row r="302">
      <c r="A302" s="391"/>
      <c r="B302" s="383"/>
      <c r="C302" s="177"/>
      <c r="D302" s="177"/>
      <c r="E302" s="177"/>
      <c r="F302" s="391"/>
      <c r="G302" s="383"/>
      <c r="H302" s="177"/>
      <c r="I302" s="177"/>
      <c r="J302" s="177"/>
      <c r="K302" s="88"/>
      <c r="L302" s="383"/>
      <c r="M302" s="177"/>
      <c r="N302" s="177"/>
      <c r="O302" s="177"/>
      <c r="P302" s="88"/>
      <c r="Q302" s="151"/>
      <c r="R302" s="177"/>
      <c r="S302" s="177"/>
      <c r="T302" s="177"/>
      <c r="U302" s="391"/>
      <c r="V302" s="383"/>
      <c r="W302" s="177"/>
      <c r="X302" s="177"/>
      <c r="Y302" s="177"/>
      <c r="Z302" s="391"/>
      <c r="AA302" s="383"/>
      <c r="AB302" s="177"/>
      <c r="AC302" s="177"/>
      <c r="AD302" s="177"/>
      <c r="AE302" s="391"/>
      <c r="AF302" s="383"/>
      <c r="AG302" s="177"/>
      <c r="AH302" s="177"/>
      <c r="AI302" s="177"/>
      <c r="AJ302" s="391"/>
      <c r="AK302" s="383"/>
      <c r="AL302" s="177"/>
      <c r="AM302" s="177"/>
      <c r="AN302" s="177"/>
      <c r="AO302" s="366"/>
      <c r="AP302" s="366"/>
      <c r="AQ302" s="366"/>
      <c r="AR302" s="366"/>
      <c r="AS302" s="366"/>
    </row>
    <row r="303">
      <c r="A303" s="391"/>
      <c r="B303" s="383"/>
      <c r="C303" s="177"/>
      <c r="D303" s="177"/>
      <c r="E303" s="177"/>
      <c r="F303" s="391"/>
      <c r="G303" s="383"/>
      <c r="H303" s="177"/>
      <c r="I303" s="177"/>
      <c r="J303" s="177"/>
      <c r="K303" s="88"/>
      <c r="L303" s="383"/>
      <c r="M303" s="177"/>
      <c r="N303" s="177"/>
      <c r="O303" s="177"/>
      <c r="P303" s="88"/>
      <c r="Q303" s="151"/>
      <c r="R303" s="177"/>
      <c r="S303" s="177"/>
      <c r="T303" s="177"/>
      <c r="U303" s="391"/>
      <c r="V303" s="383"/>
      <c r="W303" s="177"/>
      <c r="X303" s="177"/>
      <c r="Y303" s="177"/>
      <c r="Z303" s="391"/>
      <c r="AA303" s="383"/>
      <c r="AB303" s="177"/>
      <c r="AC303" s="177"/>
      <c r="AD303" s="177"/>
      <c r="AE303" s="391"/>
      <c r="AF303" s="383"/>
      <c r="AG303" s="177"/>
      <c r="AH303" s="177"/>
      <c r="AI303" s="177"/>
      <c r="AJ303" s="391"/>
      <c r="AK303" s="383"/>
      <c r="AL303" s="177"/>
      <c r="AM303" s="177"/>
      <c r="AN303" s="177"/>
      <c r="AO303" s="366"/>
      <c r="AP303" s="366"/>
      <c r="AQ303" s="366"/>
      <c r="AR303" s="366"/>
      <c r="AS303" s="366"/>
    </row>
    <row r="304">
      <c r="A304" s="391"/>
      <c r="B304" s="383"/>
      <c r="C304" s="177"/>
      <c r="D304" s="177"/>
      <c r="E304" s="177"/>
      <c r="F304" s="391"/>
      <c r="G304" s="383"/>
      <c r="H304" s="177"/>
      <c r="I304" s="177"/>
      <c r="J304" s="177"/>
      <c r="K304" s="88"/>
      <c r="L304" s="383"/>
      <c r="M304" s="177"/>
      <c r="N304" s="177"/>
      <c r="O304" s="177"/>
      <c r="P304" s="88"/>
      <c r="Q304" s="151"/>
      <c r="R304" s="177"/>
      <c r="S304" s="177"/>
      <c r="T304" s="177"/>
      <c r="U304" s="391"/>
      <c r="V304" s="383"/>
      <c r="W304" s="177"/>
      <c r="X304" s="177"/>
      <c r="Y304" s="177"/>
      <c r="Z304" s="391"/>
      <c r="AA304" s="383"/>
      <c r="AB304" s="177"/>
      <c r="AC304" s="177"/>
      <c r="AD304" s="177"/>
      <c r="AE304" s="391"/>
      <c r="AF304" s="383"/>
      <c r="AG304" s="177"/>
      <c r="AH304" s="177"/>
      <c r="AI304" s="177"/>
      <c r="AJ304" s="391"/>
      <c r="AK304" s="383"/>
      <c r="AL304" s="177"/>
      <c r="AM304" s="177"/>
      <c r="AN304" s="177"/>
      <c r="AO304" s="366"/>
      <c r="AP304" s="366"/>
      <c r="AQ304" s="366"/>
      <c r="AR304" s="366"/>
      <c r="AS304" s="366"/>
    </row>
    <row r="305">
      <c r="A305" s="391"/>
      <c r="B305" s="383"/>
      <c r="C305" s="177"/>
      <c r="D305" s="177"/>
      <c r="E305" s="177"/>
      <c r="F305" s="391"/>
      <c r="G305" s="383"/>
      <c r="H305" s="177"/>
      <c r="I305" s="177"/>
      <c r="J305" s="177"/>
      <c r="K305" s="88"/>
      <c r="L305" s="383"/>
      <c r="M305" s="177"/>
      <c r="N305" s="177"/>
      <c r="O305" s="177"/>
      <c r="P305" s="88"/>
      <c r="Q305" s="151"/>
      <c r="R305" s="177"/>
      <c r="S305" s="177"/>
      <c r="T305" s="177"/>
      <c r="U305" s="391"/>
      <c r="V305" s="383"/>
      <c r="W305" s="177"/>
      <c r="X305" s="177"/>
      <c r="Y305" s="177"/>
      <c r="Z305" s="391"/>
      <c r="AA305" s="383"/>
      <c r="AB305" s="177"/>
      <c r="AC305" s="177"/>
      <c r="AD305" s="177"/>
      <c r="AE305" s="391"/>
      <c r="AF305" s="383"/>
      <c r="AG305" s="177"/>
      <c r="AH305" s="177"/>
      <c r="AI305" s="177"/>
      <c r="AJ305" s="391"/>
      <c r="AK305" s="383"/>
      <c r="AL305" s="177"/>
      <c r="AM305" s="177"/>
      <c r="AN305" s="177"/>
      <c r="AO305" s="366"/>
      <c r="AP305" s="366"/>
      <c r="AQ305" s="366"/>
      <c r="AR305" s="366"/>
      <c r="AS305" s="366"/>
    </row>
    <row r="306">
      <c r="A306" s="391"/>
      <c r="B306" s="383"/>
      <c r="C306" s="177"/>
      <c r="D306" s="177"/>
      <c r="E306" s="177"/>
      <c r="F306" s="391"/>
      <c r="G306" s="383"/>
      <c r="H306" s="177"/>
      <c r="I306" s="177"/>
      <c r="J306" s="177"/>
      <c r="K306" s="88"/>
      <c r="L306" s="383"/>
      <c r="M306" s="177"/>
      <c r="N306" s="177"/>
      <c r="O306" s="177"/>
      <c r="P306" s="88"/>
      <c r="Q306" s="151"/>
      <c r="R306" s="177"/>
      <c r="S306" s="177"/>
      <c r="T306" s="177"/>
      <c r="U306" s="391"/>
      <c r="V306" s="383"/>
      <c r="W306" s="177"/>
      <c r="X306" s="177"/>
      <c r="Y306" s="177"/>
      <c r="Z306" s="391"/>
      <c r="AA306" s="383"/>
      <c r="AB306" s="177"/>
      <c r="AC306" s="177"/>
      <c r="AD306" s="177"/>
      <c r="AE306" s="391"/>
      <c r="AF306" s="383"/>
      <c r="AG306" s="177"/>
      <c r="AH306" s="177"/>
      <c r="AI306" s="177"/>
      <c r="AJ306" s="391"/>
      <c r="AK306" s="383"/>
      <c r="AL306" s="177"/>
      <c r="AM306" s="177"/>
      <c r="AN306" s="177"/>
      <c r="AO306" s="366"/>
      <c r="AP306" s="366"/>
      <c r="AQ306" s="366"/>
      <c r="AR306" s="366"/>
      <c r="AS306" s="366"/>
    </row>
    <row r="307">
      <c r="A307" s="391"/>
      <c r="B307" s="383"/>
      <c r="C307" s="177"/>
      <c r="D307" s="177"/>
      <c r="E307" s="177"/>
      <c r="F307" s="391"/>
      <c r="G307" s="383"/>
      <c r="H307" s="177"/>
      <c r="I307" s="177"/>
      <c r="J307" s="177"/>
      <c r="K307" s="88"/>
      <c r="L307" s="383"/>
      <c r="M307" s="177"/>
      <c r="N307" s="177"/>
      <c r="O307" s="177"/>
      <c r="P307" s="88"/>
      <c r="Q307" s="151"/>
      <c r="R307" s="177"/>
      <c r="S307" s="177"/>
      <c r="T307" s="177"/>
      <c r="U307" s="391"/>
      <c r="V307" s="383"/>
      <c r="W307" s="177"/>
      <c r="X307" s="177"/>
      <c r="Y307" s="177"/>
      <c r="Z307" s="391"/>
      <c r="AA307" s="383"/>
      <c r="AB307" s="177"/>
      <c r="AC307" s="177"/>
      <c r="AD307" s="177"/>
      <c r="AE307" s="391"/>
      <c r="AF307" s="383"/>
      <c r="AG307" s="177"/>
      <c r="AH307" s="177"/>
      <c r="AI307" s="177"/>
      <c r="AJ307" s="391"/>
      <c r="AK307" s="383"/>
      <c r="AL307" s="177"/>
      <c r="AM307" s="177"/>
      <c r="AN307" s="177"/>
      <c r="AO307" s="366"/>
      <c r="AP307" s="366"/>
      <c r="AQ307" s="366"/>
      <c r="AR307" s="366"/>
      <c r="AS307" s="366"/>
    </row>
    <row r="308">
      <c r="A308" s="391"/>
      <c r="B308" s="383"/>
      <c r="C308" s="177"/>
      <c r="D308" s="177"/>
      <c r="E308" s="177"/>
      <c r="F308" s="391"/>
      <c r="G308" s="383"/>
      <c r="H308" s="177"/>
      <c r="I308" s="177"/>
      <c r="J308" s="177"/>
      <c r="K308" s="88"/>
      <c r="L308" s="383"/>
      <c r="M308" s="177"/>
      <c r="N308" s="177"/>
      <c r="O308" s="177"/>
      <c r="P308" s="88"/>
      <c r="Q308" s="151"/>
      <c r="R308" s="177"/>
      <c r="S308" s="177"/>
      <c r="T308" s="177"/>
      <c r="U308" s="391"/>
      <c r="V308" s="383"/>
      <c r="W308" s="177"/>
      <c r="X308" s="177"/>
      <c r="Y308" s="177"/>
      <c r="Z308" s="391"/>
      <c r="AA308" s="383"/>
      <c r="AB308" s="177"/>
      <c r="AC308" s="177"/>
      <c r="AD308" s="177"/>
      <c r="AE308" s="391"/>
      <c r="AF308" s="383"/>
      <c r="AG308" s="177"/>
      <c r="AH308" s="177"/>
      <c r="AI308" s="177"/>
      <c r="AJ308" s="391"/>
      <c r="AK308" s="383"/>
      <c r="AL308" s="177"/>
      <c r="AM308" s="177"/>
      <c r="AN308" s="177"/>
      <c r="AO308" s="366"/>
      <c r="AP308" s="366"/>
      <c r="AQ308" s="366"/>
      <c r="AR308" s="366"/>
      <c r="AS308" s="366"/>
    </row>
    <row r="309">
      <c r="A309" s="391"/>
      <c r="B309" s="383"/>
      <c r="C309" s="177"/>
      <c r="D309" s="177"/>
      <c r="E309" s="177"/>
      <c r="F309" s="391"/>
      <c r="G309" s="383"/>
      <c r="H309" s="177"/>
      <c r="I309" s="177"/>
      <c r="J309" s="177"/>
      <c r="K309" s="88"/>
      <c r="L309" s="383"/>
      <c r="M309" s="177"/>
      <c r="N309" s="177"/>
      <c r="O309" s="177"/>
      <c r="P309" s="88"/>
      <c r="Q309" s="151"/>
      <c r="R309" s="177"/>
      <c r="S309" s="177"/>
      <c r="T309" s="177"/>
      <c r="U309" s="391"/>
      <c r="V309" s="383"/>
      <c r="W309" s="177"/>
      <c r="X309" s="177"/>
      <c r="Y309" s="177"/>
      <c r="Z309" s="391"/>
      <c r="AA309" s="383"/>
      <c r="AB309" s="177"/>
      <c r="AC309" s="177"/>
      <c r="AD309" s="177"/>
      <c r="AE309" s="391"/>
      <c r="AF309" s="383"/>
      <c r="AG309" s="177"/>
      <c r="AH309" s="177"/>
      <c r="AI309" s="177"/>
      <c r="AJ309" s="391"/>
      <c r="AK309" s="383"/>
      <c r="AL309" s="177"/>
      <c r="AM309" s="177"/>
      <c r="AN309" s="177"/>
      <c r="AO309" s="366"/>
      <c r="AP309" s="366"/>
      <c r="AQ309" s="366"/>
      <c r="AR309" s="366"/>
      <c r="AS309" s="366"/>
    </row>
    <row r="310">
      <c r="A310" s="391"/>
      <c r="B310" s="383"/>
      <c r="C310" s="177"/>
      <c r="D310" s="177"/>
      <c r="E310" s="177"/>
      <c r="F310" s="391"/>
      <c r="G310" s="383"/>
      <c r="H310" s="177"/>
      <c r="I310" s="177"/>
      <c r="J310" s="177"/>
      <c r="K310" s="88"/>
      <c r="L310" s="383"/>
      <c r="M310" s="177"/>
      <c r="N310" s="177"/>
      <c r="O310" s="177"/>
      <c r="P310" s="88"/>
      <c r="Q310" s="151"/>
      <c r="R310" s="177"/>
      <c r="S310" s="177"/>
      <c r="T310" s="177"/>
      <c r="U310" s="391"/>
      <c r="V310" s="383"/>
      <c r="W310" s="177"/>
      <c r="X310" s="177"/>
      <c r="Y310" s="177"/>
      <c r="Z310" s="391"/>
      <c r="AA310" s="383"/>
      <c r="AB310" s="177"/>
      <c r="AC310" s="177"/>
      <c r="AD310" s="177"/>
      <c r="AE310" s="391"/>
      <c r="AF310" s="383"/>
      <c r="AG310" s="177"/>
      <c r="AH310" s="177"/>
      <c r="AI310" s="177"/>
      <c r="AJ310" s="391"/>
      <c r="AK310" s="383"/>
      <c r="AL310" s="177"/>
      <c r="AM310" s="177"/>
      <c r="AN310" s="177"/>
      <c r="AO310" s="366"/>
      <c r="AP310" s="366"/>
      <c r="AQ310" s="366"/>
      <c r="AR310" s="366"/>
      <c r="AS310" s="366"/>
    </row>
    <row r="311">
      <c r="A311" s="391"/>
      <c r="B311" s="383"/>
      <c r="C311" s="177"/>
      <c r="D311" s="177"/>
      <c r="E311" s="177"/>
      <c r="F311" s="391"/>
      <c r="G311" s="383"/>
      <c r="H311" s="177"/>
      <c r="I311" s="177"/>
      <c r="J311" s="177"/>
      <c r="K311" s="88"/>
      <c r="L311" s="383"/>
      <c r="M311" s="177"/>
      <c r="N311" s="177"/>
      <c r="O311" s="177"/>
      <c r="P311" s="88"/>
      <c r="Q311" s="151"/>
      <c r="R311" s="177"/>
      <c r="S311" s="177"/>
      <c r="T311" s="177"/>
      <c r="U311" s="391"/>
      <c r="V311" s="383"/>
      <c r="W311" s="177"/>
      <c r="X311" s="177"/>
      <c r="Y311" s="177"/>
      <c r="Z311" s="391"/>
      <c r="AA311" s="383"/>
      <c r="AB311" s="177"/>
      <c r="AC311" s="177"/>
      <c r="AD311" s="177"/>
      <c r="AE311" s="391"/>
      <c r="AF311" s="383"/>
      <c r="AG311" s="177"/>
      <c r="AH311" s="177"/>
      <c r="AI311" s="177"/>
      <c r="AJ311" s="391"/>
      <c r="AK311" s="383"/>
      <c r="AL311" s="177"/>
      <c r="AM311" s="177"/>
      <c r="AN311" s="177"/>
      <c r="AO311" s="366"/>
      <c r="AP311" s="366"/>
      <c r="AQ311" s="366"/>
      <c r="AR311" s="366"/>
      <c r="AS311" s="366"/>
    </row>
    <row r="312">
      <c r="A312" s="391"/>
      <c r="B312" s="383"/>
      <c r="C312" s="177"/>
      <c r="D312" s="177"/>
      <c r="E312" s="177"/>
      <c r="F312" s="391"/>
      <c r="G312" s="383"/>
      <c r="H312" s="177"/>
      <c r="I312" s="177"/>
      <c r="J312" s="177"/>
      <c r="K312" s="88"/>
      <c r="L312" s="383"/>
      <c r="M312" s="177"/>
      <c r="N312" s="177"/>
      <c r="O312" s="177"/>
      <c r="P312" s="88"/>
      <c r="Q312" s="151"/>
      <c r="R312" s="177"/>
      <c r="S312" s="177"/>
      <c r="T312" s="177"/>
      <c r="U312" s="391"/>
      <c r="V312" s="383"/>
      <c r="W312" s="177"/>
      <c r="X312" s="177"/>
      <c r="Y312" s="177"/>
      <c r="Z312" s="391"/>
      <c r="AA312" s="383"/>
      <c r="AB312" s="177"/>
      <c r="AC312" s="177"/>
      <c r="AD312" s="177"/>
      <c r="AE312" s="391"/>
      <c r="AF312" s="383"/>
      <c r="AG312" s="177"/>
      <c r="AH312" s="177"/>
      <c r="AI312" s="177"/>
      <c r="AJ312" s="391"/>
      <c r="AK312" s="383"/>
      <c r="AL312" s="177"/>
      <c r="AM312" s="177"/>
      <c r="AN312" s="177"/>
      <c r="AO312" s="366"/>
      <c r="AP312" s="366"/>
      <c r="AQ312" s="366"/>
      <c r="AR312" s="366"/>
      <c r="AS312" s="366"/>
    </row>
    <row r="313">
      <c r="A313" s="391"/>
      <c r="B313" s="383"/>
      <c r="C313" s="177"/>
      <c r="D313" s="177"/>
      <c r="E313" s="177"/>
      <c r="F313" s="391"/>
      <c r="G313" s="383"/>
      <c r="H313" s="177"/>
      <c r="I313" s="177"/>
      <c r="J313" s="177"/>
      <c r="K313" s="88"/>
      <c r="L313" s="383"/>
      <c r="M313" s="177"/>
      <c r="N313" s="177"/>
      <c r="O313" s="177"/>
      <c r="P313" s="88"/>
      <c r="Q313" s="151"/>
      <c r="R313" s="177"/>
      <c r="S313" s="177"/>
      <c r="T313" s="177"/>
      <c r="U313" s="391"/>
      <c r="V313" s="383"/>
      <c r="W313" s="177"/>
      <c r="X313" s="177"/>
      <c r="Y313" s="177"/>
      <c r="Z313" s="391"/>
      <c r="AA313" s="383"/>
      <c r="AB313" s="177"/>
      <c r="AC313" s="177"/>
      <c r="AD313" s="177"/>
      <c r="AE313" s="391"/>
      <c r="AF313" s="383"/>
      <c r="AG313" s="177"/>
      <c r="AH313" s="177"/>
      <c r="AI313" s="177"/>
      <c r="AJ313" s="391"/>
      <c r="AK313" s="383"/>
      <c r="AL313" s="177"/>
      <c r="AM313" s="177"/>
      <c r="AN313" s="177"/>
      <c r="AO313" s="366"/>
      <c r="AP313" s="366"/>
      <c r="AQ313" s="366"/>
      <c r="AR313" s="366"/>
      <c r="AS313" s="366"/>
    </row>
    <row r="314">
      <c r="A314" s="391"/>
      <c r="B314" s="383"/>
      <c r="C314" s="177"/>
      <c r="D314" s="177"/>
      <c r="E314" s="177"/>
      <c r="F314" s="391"/>
      <c r="G314" s="383"/>
      <c r="H314" s="177"/>
      <c r="I314" s="177"/>
      <c r="J314" s="177"/>
      <c r="K314" s="88"/>
      <c r="L314" s="383"/>
      <c r="M314" s="177"/>
      <c r="N314" s="177"/>
      <c r="O314" s="177"/>
      <c r="P314" s="88"/>
      <c r="Q314" s="151"/>
      <c r="R314" s="177"/>
      <c r="S314" s="177"/>
      <c r="T314" s="177"/>
      <c r="U314" s="391"/>
      <c r="V314" s="383"/>
      <c r="W314" s="177"/>
      <c r="X314" s="177"/>
      <c r="Y314" s="177"/>
      <c r="Z314" s="391"/>
      <c r="AA314" s="383"/>
      <c r="AB314" s="177"/>
      <c r="AC314" s="177"/>
      <c r="AD314" s="177"/>
      <c r="AE314" s="391"/>
      <c r="AF314" s="383"/>
      <c r="AG314" s="177"/>
      <c r="AH314" s="177"/>
      <c r="AI314" s="177"/>
      <c r="AJ314" s="391"/>
      <c r="AK314" s="383"/>
      <c r="AL314" s="177"/>
      <c r="AM314" s="177"/>
      <c r="AN314" s="177"/>
      <c r="AO314" s="366"/>
      <c r="AP314" s="366"/>
      <c r="AQ314" s="366"/>
      <c r="AR314" s="366"/>
      <c r="AS314" s="366"/>
    </row>
    <row r="315">
      <c r="A315" s="391"/>
      <c r="B315" s="383"/>
      <c r="C315" s="177"/>
      <c r="D315" s="177"/>
      <c r="E315" s="177"/>
      <c r="F315" s="391"/>
      <c r="G315" s="383"/>
      <c r="H315" s="177"/>
      <c r="I315" s="177"/>
      <c r="J315" s="177"/>
      <c r="K315" s="88"/>
      <c r="L315" s="383"/>
      <c r="M315" s="177"/>
      <c r="N315" s="177"/>
      <c r="O315" s="177"/>
      <c r="P315" s="88"/>
      <c r="Q315" s="151"/>
      <c r="R315" s="177"/>
      <c r="S315" s="177"/>
      <c r="T315" s="177"/>
      <c r="U315" s="391"/>
      <c r="V315" s="383"/>
      <c r="W315" s="177"/>
      <c r="X315" s="177"/>
      <c r="Y315" s="177"/>
      <c r="Z315" s="391"/>
      <c r="AA315" s="383"/>
      <c r="AB315" s="177"/>
      <c r="AC315" s="177"/>
      <c r="AD315" s="177"/>
      <c r="AE315" s="391"/>
      <c r="AF315" s="383"/>
      <c r="AG315" s="177"/>
      <c r="AH315" s="177"/>
      <c r="AI315" s="177"/>
      <c r="AJ315" s="391"/>
      <c r="AK315" s="383"/>
      <c r="AL315" s="177"/>
      <c r="AM315" s="177"/>
      <c r="AN315" s="177"/>
      <c r="AO315" s="366"/>
      <c r="AP315" s="366"/>
      <c r="AQ315" s="366"/>
      <c r="AR315" s="366"/>
      <c r="AS315" s="366"/>
    </row>
    <row r="316">
      <c r="A316" s="391"/>
      <c r="B316" s="383"/>
      <c r="C316" s="177"/>
      <c r="D316" s="177"/>
      <c r="E316" s="177"/>
      <c r="F316" s="391"/>
      <c r="G316" s="383"/>
      <c r="H316" s="177"/>
      <c r="I316" s="177"/>
      <c r="J316" s="177"/>
      <c r="K316" s="88"/>
      <c r="L316" s="383"/>
      <c r="M316" s="177"/>
      <c r="N316" s="177"/>
      <c r="O316" s="177"/>
      <c r="P316" s="88"/>
      <c r="Q316" s="151"/>
      <c r="R316" s="177"/>
      <c r="S316" s="177"/>
      <c r="T316" s="177"/>
      <c r="U316" s="391"/>
      <c r="V316" s="383"/>
      <c r="W316" s="177"/>
      <c r="X316" s="177"/>
      <c r="Y316" s="177"/>
      <c r="Z316" s="391"/>
      <c r="AA316" s="383"/>
      <c r="AB316" s="177"/>
      <c r="AC316" s="177"/>
      <c r="AD316" s="177"/>
      <c r="AE316" s="391"/>
      <c r="AF316" s="383"/>
      <c r="AG316" s="177"/>
      <c r="AH316" s="177"/>
      <c r="AI316" s="177"/>
      <c r="AJ316" s="391"/>
      <c r="AK316" s="383"/>
      <c r="AL316" s="177"/>
      <c r="AM316" s="177"/>
      <c r="AN316" s="177"/>
      <c r="AO316" s="366"/>
      <c r="AP316" s="366"/>
      <c r="AQ316" s="366"/>
      <c r="AR316" s="366"/>
      <c r="AS316" s="366"/>
    </row>
    <row r="317">
      <c r="A317" s="391"/>
      <c r="B317" s="383"/>
      <c r="C317" s="177"/>
      <c r="D317" s="177"/>
      <c r="E317" s="177"/>
      <c r="F317" s="391"/>
      <c r="G317" s="383"/>
      <c r="H317" s="177"/>
      <c r="I317" s="177"/>
      <c r="J317" s="177"/>
      <c r="K317" s="88"/>
      <c r="L317" s="383"/>
      <c r="M317" s="177"/>
      <c r="N317" s="177"/>
      <c r="O317" s="177"/>
      <c r="P317" s="88"/>
      <c r="Q317" s="151"/>
      <c r="R317" s="177"/>
      <c r="S317" s="177"/>
      <c r="T317" s="177"/>
      <c r="U317" s="391"/>
      <c r="V317" s="383"/>
      <c r="W317" s="177"/>
      <c r="X317" s="177"/>
      <c r="Y317" s="177"/>
      <c r="Z317" s="391"/>
      <c r="AA317" s="383"/>
      <c r="AB317" s="177"/>
      <c r="AC317" s="177"/>
      <c r="AD317" s="177"/>
      <c r="AE317" s="391"/>
      <c r="AF317" s="383"/>
      <c r="AG317" s="177"/>
      <c r="AH317" s="177"/>
      <c r="AI317" s="177"/>
      <c r="AJ317" s="391"/>
      <c r="AK317" s="383"/>
      <c r="AL317" s="177"/>
      <c r="AM317" s="177"/>
      <c r="AN317" s="177"/>
      <c r="AO317" s="366"/>
      <c r="AP317" s="366"/>
      <c r="AQ317" s="366"/>
      <c r="AR317" s="366"/>
      <c r="AS317" s="366"/>
    </row>
    <row r="318">
      <c r="A318" s="391"/>
      <c r="B318" s="383"/>
      <c r="C318" s="177"/>
      <c r="D318" s="177"/>
      <c r="E318" s="177"/>
      <c r="F318" s="391"/>
      <c r="G318" s="383"/>
      <c r="H318" s="177"/>
      <c r="I318" s="177"/>
      <c r="J318" s="177"/>
      <c r="K318" s="88"/>
      <c r="L318" s="383"/>
      <c r="M318" s="177"/>
      <c r="N318" s="177"/>
      <c r="O318" s="177"/>
      <c r="P318" s="88"/>
      <c r="Q318" s="151"/>
      <c r="R318" s="177"/>
      <c r="S318" s="177"/>
      <c r="T318" s="177"/>
      <c r="U318" s="391"/>
      <c r="V318" s="383"/>
      <c r="W318" s="177"/>
      <c r="X318" s="177"/>
      <c r="Y318" s="177"/>
      <c r="Z318" s="391"/>
      <c r="AA318" s="383"/>
      <c r="AB318" s="177"/>
      <c r="AC318" s="177"/>
      <c r="AD318" s="177"/>
      <c r="AE318" s="391"/>
      <c r="AF318" s="383"/>
      <c r="AG318" s="177"/>
      <c r="AH318" s="177"/>
      <c r="AI318" s="177"/>
      <c r="AJ318" s="391"/>
      <c r="AK318" s="383"/>
      <c r="AL318" s="177"/>
      <c r="AM318" s="177"/>
      <c r="AN318" s="177"/>
      <c r="AO318" s="366"/>
      <c r="AP318" s="366"/>
      <c r="AQ318" s="366"/>
      <c r="AR318" s="366"/>
      <c r="AS318" s="366"/>
    </row>
    <row r="319">
      <c r="A319" s="391"/>
      <c r="B319" s="383"/>
      <c r="C319" s="177"/>
      <c r="D319" s="177"/>
      <c r="E319" s="177"/>
      <c r="F319" s="391"/>
      <c r="G319" s="383"/>
      <c r="H319" s="177"/>
      <c r="I319" s="177"/>
      <c r="J319" s="177"/>
      <c r="K319" s="88"/>
      <c r="L319" s="383"/>
      <c r="M319" s="177"/>
      <c r="N319" s="177"/>
      <c r="O319" s="177"/>
      <c r="P319" s="88"/>
      <c r="Q319" s="151"/>
      <c r="R319" s="177"/>
      <c r="S319" s="177"/>
      <c r="T319" s="177"/>
      <c r="U319" s="391"/>
      <c r="V319" s="383"/>
      <c r="W319" s="177"/>
      <c r="X319" s="177"/>
      <c r="Y319" s="177"/>
      <c r="Z319" s="391"/>
      <c r="AA319" s="383"/>
      <c r="AB319" s="177"/>
      <c r="AC319" s="177"/>
      <c r="AD319" s="177"/>
      <c r="AE319" s="391"/>
      <c r="AF319" s="383"/>
      <c r="AG319" s="177"/>
      <c r="AH319" s="177"/>
      <c r="AI319" s="177"/>
      <c r="AJ319" s="391"/>
      <c r="AK319" s="383"/>
      <c r="AL319" s="177"/>
      <c r="AM319" s="177"/>
      <c r="AN319" s="177"/>
      <c r="AO319" s="366"/>
      <c r="AP319" s="366"/>
      <c r="AQ319" s="366"/>
      <c r="AR319" s="366"/>
      <c r="AS319" s="366"/>
    </row>
    <row r="320">
      <c r="A320" s="391"/>
      <c r="B320" s="383"/>
      <c r="C320" s="177"/>
      <c r="D320" s="177"/>
      <c r="E320" s="177"/>
      <c r="F320" s="391"/>
      <c r="G320" s="383"/>
      <c r="H320" s="177"/>
      <c r="I320" s="177"/>
      <c r="J320" s="177"/>
      <c r="K320" s="88"/>
      <c r="L320" s="383"/>
      <c r="M320" s="177"/>
      <c r="N320" s="177"/>
      <c r="O320" s="177"/>
      <c r="P320" s="88"/>
      <c r="Q320" s="151"/>
      <c r="R320" s="177"/>
      <c r="S320" s="177"/>
      <c r="T320" s="177"/>
      <c r="U320" s="391"/>
      <c r="V320" s="383"/>
      <c r="W320" s="177"/>
      <c r="X320" s="177"/>
      <c r="Y320" s="177"/>
      <c r="Z320" s="391"/>
      <c r="AA320" s="383"/>
      <c r="AB320" s="177"/>
      <c r="AC320" s="177"/>
      <c r="AD320" s="177"/>
      <c r="AE320" s="391"/>
      <c r="AF320" s="383"/>
      <c r="AG320" s="177"/>
      <c r="AH320" s="177"/>
      <c r="AI320" s="177"/>
      <c r="AJ320" s="391"/>
      <c r="AK320" s="383"/>
      <c r="AL320" s="177"/>
      <c r="AM320" s="177"/>
      <c r="AN320" s="177"/>
      <c r="AO320" s="366"/>
      <c r="AP320" s="366"/>
      <c r="AQ320" s="366"/>
      <c r="AR320" s="366"/>
      <c r="AS320" s="366"/>
    </row>
    <row r="321">
      <c r="A321" s="391"/>
      <c r="B321" s="383"/>
      <c r="C321" s="177"/>
      <c r="D321" s="177"/>
      <c r="E321" s="177"/>
      <c r="F321" s="391"/>
      <c r="G321" s="383"/>
      <c r="H321" s="177"/>
      <c r="I321" s="177"/>
      <c r="J321" s="177"/>
      <c r="K321" s="88"/>
      <c r="L321" s="383"/>
      <c r="M321" s="177"/>
      <c r="N321" s="177"/>
      <c r="O321" s="177"/>
      <c r="P321" s="88"/>
      <c r="Q321" s="151"/>
      <c r="R321" s="177"/>
      <c r="S321" s="177"/>
      <c r="T321" s="177"/>
      <c r="U321" s="391"/>
      <c r="V321" s="383"/>
      <c r="W321" s="177"/>
      <c r="X321" s="177"/>
      <c r="Y321" s="177"/>
      <c r="Z321" s="391"/>
      <c r="AA321" s="383"/>
      <c r="AB321" s="177"/>
      <c r="AC321" s="177"/>
      <c r="AD321" s="177"/>
      <c r="AE321" s="391"/>
      <c r="AF321" s="383"/>
      <c r="AG321" s="177"/>
      <c r="AH321" s="177"/>
      <c r="AI321" s="177"/>
      <c r="AJ321" s="391"/>
      <c r="AK321" s="383"/>
      <c r="AL321" s="177"/>
      <c r="AM321" s="177"/>
      <c r="AN321" s="177"/>
      <c r="AO321" s="366"/>
      <c r="AP321" s="366"/>
      <c r="AQ321" s="366"/>
      <c r="AR321" s="366"/>
      <c r="AS321" s="366"/>
    </row>
    <row r="322">
      <c r="A322" s="391"/>
      <c r="B322" s="383"/>
      <c r="C322" s="177"/>
      <c r="D322" s="177"/>
      <c r="E322" s="177"/>
      <c r="F322" s="391"/>
      <c r="G322" s="383"/>
      <c r="H322" s="177"/>
      <c r="I322" s="177"/>
      <c r="J322" s="177"/>
      <c r="K322" s="88"/>
      <c r="L322" s="383"/>
      <c r="M322" s="177"/>
      <c r="N322" s="177"/>
      <c r="O322" s="177"/>
      <c r="P322" s="88"/>
      <c r="Q322" s="151"/>
      <c r="R322" s="177"/>
      <c r="S322" s="177"/>
      <c r="T322" s="177"/>
      <c r="U322" s="391"/>
      <c r="V322" s="383"/>
      <c r="W322" s="177"/>
      <c r="X322" s="177"/>
      <c r="Y322" s="177"/>
      <c r="Z322" s="391"/>
      <c r="AA322" s="383"/>
      <c r="AB322" s="177"/>
      <c r="AC322" s="177"/>
      <c r="AD322" s="177"/>
      <c r="AE322" s="391"/>
      <c r="AF322" s="383"/>
      <c r="AG322" s="177"/>
      <c r="AH322" s="177"/>
      <c r="AI322" s="177"/>
      <c r="AJ322" s="391"/>
      <c r="AK322" s="383"/>
      <c r="AL322" s="177"/>
      <c r="AM322" s="177"/>
      <c r="AN322" s="177"/>
      <c r="AO322" s="366"/>
      <c r="AP322" s="366"/>
      <c r="AQ322" s="366"/>
      <c r="AR322" s="366"/>
      <c r="AS322" s="366"/>
    </row>
    <row r="323">
      <c r="A323" s="391"/>
      <c r="B323" s="383"/>
      <c r="C323" s="177"/>
      <c r="D323" s="177"/>
      <c r="E323" s="177"/>
      <c r="F323" s="391"/>
      <c r="G323" s="383"/>
      <c r="H323" s="177"/>
      <c r="I323" s="177"/>
      <c r="J323" s="177"/>
      <c r="K323" s="88"/>
      <c r="L323" s="383"/>
      <c r="M323" s="177"/>
      <c r="N323" s="177"/>
      <c r="O323" s="177"/>
      <c r="P323" s="88"/>
      <c r="Q323" s="151"/>
      <c r="R323" s="177"/>
      <c r="S323" s="177"/>
      <c r="T323" s="177"/>
      <c r="U323" s="391"/>
      <c r="V323" s="383"/>
      <c r="W323" s="177"/>
      <c r="X323" s="177"/>
      <c r="Y323" s="177"/>
      <c r="Z323" s="391"/>
      <c r="AA323" s="383"/>
      <c r="AB323" s="177"/>
      <c r="AC323" s="177"/>
      <c r="AD323" s="177"/>
      <c r="AE323" s="391"/>
      <c r="AF323" s="383"/>
      <c r="AG323" s="177"/>
      <c r="AH323" s="177"/>
      <c r="AI323" s="177"/>
      <c r="AJ323" s="391"/>
      <c r="AK323" s="383"/>
      <c r="AL323" s="177"/>
      <c r="AM323" s="177"/>
      <c r="AN323" s="177"/>
      <c r="AO323" s="366"/>
      <c r="AP323" s="366"/>
      <c r="AQ323" s="366"/>
      <c r="AR323" s="366"/>
      <c r="AS323" s="366"/>
    </row>
    <row r="324">
      <c r="A324" s="391"/>
      <c r="B324" s="383"/>
      <c r="C324" s="177"/>
      <c r="D324" s="177"/>
      <c r="E324" s="177"/>
      <c r="F324" s="391"/>
      <c r="G324" s="383"/>
      <c r="H324" s="177"/>
      <c r="I324" s="177"/>
      <c r="J324" s="177"/>
      <c r="K324" s="88"/>
      <c r="L324" s="383"/>
      <c r="M324" s="177"/>
      <c r="N324" s="177"/>
      <c r="O324" s="177"/>
      <c r="P324" s="88"/>
      <c r="Q324" s="151"/>
      <c r="R324" s="177"/>
      <c r="S324" s="177"/>
      <c r="T324" s="177"/>
      <c r="U324" s="391"/>
      <c r="V324" s="383"/>
      <c r="W324" s="177"/>
      <c r="X324" s="177"/>
      <c r="Y324" s="177"/>
      <c r="Z324" s="391"/>
      <c r="AA324" s="383"/>
      <c r="AB324" s="177"/>
      <c r="AC324" s="177"/>
      <c r="AD324" s="177"/>
      <c r="AE324" s="391"/>
      <c r="AF324" s="383"/>
      <c r="AG324" s="177"/>
      <c r="AH324" s="177"/>
      <c r="AI324" s="177"/>
      <c r="AJ324" s="391"/>
      <c r="AK324" s="383"/>
      <c r="AL324" s="177"/>
      <c r="AM324" s="177"/>
      <c r="AN324" s="177"/>
      <c r="AO324" s="366"/>
      <c r="AP324" s="366"/>
      <c r="AQ324" s="366"/>
      <c r="AR324" s="366"/>
      <c r="AS324" s="366"/>
    </row>
    <row r="325">
      <c r="A325" s="391"/>
      <c r="B325" s="383"/>
      <c r="C325" s="177"/>
      <c r="D325" s="177"/>
      <c r="E325" s="177"/>
      <c r="F325" s="391"/>
      <c r="G325" s="383"/>
      <c r="H325" s="177"/>
      <c r="I325" s="177"/>
      <c r="J325" s="177"/>
      <c r="K325" s="88"/>
      <c r="L325" s="383"/>
      <c r="M325" s="177"/>
      <c r="N325" s="177"/>
      <c r="O325" s="177"/>
      <c r="P325" s="88"/>
      <c r="Q325" s="151"/>
      <c r="R325" s="177"/>
      <c r="S325" s="177"/>
      <c r="T325" s="177"/>
      <c r="U325" s="391"/>
      <c r="V325" s="383"/>
      <c r="W325" s="177"/>
      <c r="X325" s="177"/>
      <c r="Y325" s="177"/>
      <c r="Z325" s="391"/>
      <c r="AA325" s="383"/>
      <c r="AB325" s="177"/>
      <c r="AC325" s="177"/>
      <c r="AD325" s="177"/>
      <c r="AE325" s="391"/>
      <c r="AF325" s="383"/>
      <c r="AG325" s="177"/>
      <c r="AH325" s="177"/>
      <c r="AI325" s="177"/>
      <c r="AJ325" s="391"/>
      <c r="AK325" s="383"/>
      <c r="AL325" s="177"/>
      <c r="AM325" s="177"/>
      <c r="AN325" s="177"/>
      <c r="AO325" s="366"/>
      <c r="AP325" s="366"/>
      <c r="AQ325" s="366"/>
      <c r="AR325" s="366"/>
      <c r="AS325" s="366"/>
    </row>
    <row r="326">
      <c r="A326" s="391"/>
      <c r="B326" s="383"/>
      <c r="C326" s="177"/>
      <c r="D326" s="177"/>
      <c r="E326" s="177"/>
      <c r="F326" s="391"/>
      <c r="G326" s="383"/>
      <c r="H326" s="177"/>
      <c r="I326" s="177"/>
      <c r="J326" s="177"/>
      <c r="K326" s="88"/>
      <c r="L326" s="383"/>
      <c r="M326" s="177"/>
      <c r="N326" s="177"/>
      <c r="O326" s="177"/>
      <c r="P326" s="88"/>
      <c r="Q326" s="151"/>
      <c r="R326" s="177"/>
      <c r="S326" s="177"/>
      <c r="T326" s="177"/>
      <c r="U326" s="391"/>
      <c r="V326" s="383"/>
      <c r="W326" s="177"/>
      <c r="X326" s="177"/>
      <c r="Y326" s="177"/>
      <c r="Z326" s="391"/>
      <c r="AA326" s="383"/>
      <c r="AB326" s="177"/>
      <c r="AC326" s="177"/>
      <c r="AD326" s="177"/>
      <c r="AE326" s="391"/>
      <c r="AF326" s="383"/>
      <c r="AG326" s="177"/>
      <c r="AH326" s="177"/>
      <c r="AI326" s="177"/>
      <c r="AJ326" s="391"/>
      <c r="AK326" s="383"/>
      <c r="AL326" s="177"/>
      <c r="AM326" s="177"/>
      <c r="AN326" s="177"/>
      <c r="AO326" s="366"/>
      <c r="AP326" s="366"/>
      <c r="AQ326" s="366"/>
      <c r="AR326" s="366"/>
      <c r="AS326" s="366"/>
    </row>
    <row r="327">
      <c r="A327" s="391"/>
      <c r="B327" s="383"/>
      <c r="C327" s="177"/>
      <c r="D327" s="177"/>
      <c r="E327" s="177"/>
      <c r="F327" s="391"/>
      <c r="G327" s="383"/>
      <c r="H327" s="177"/>
      <c r="I327" s="177"/>
      <c r="J327" s="177"/>
      <c r="K327" s="88"/>
      <c r="L327" s="383"/>
      <c r="M327" s="177"/>
      <c r="N327" s="177"/>
      <c r="O327" s="177"/>
      <c r="P327" s="88"/>
      <c r="Q327" s="151"/>
      <c r="R327" s="177"/>
      <c r="S327" s="177"/>
      <c r="T327" s="177"/>
      <c r="U327" s="391"/>
      <c r="V327" s="383"/>
      <c r="W327" s="177"/>
      <c r="X327" s="177"/>
      <c r="Y327" s="177"/>
      <c r="Z327" s="391"/>
      <c r="AA327" s="383"/>
      <c r="AB327" s="177"/>
      <c r="AC327" s="177"/>
      <c r="AD327" s="177"/>
      <c r="AE327" s="391"/>
      <c r="AF327" s="383"/>
      <c r="AG327" s="177"/>
      <c r="AH327" s="177"/>
      <c r="AI327" s="177"/>
      <c r="AJ327" s="391"/>
      <c r="AK327" s="383"/>
      <c r="AL327" s="177"/>
      <c r="AM327" s="177"/>
      <c r="AN327" s="177"/>
      <c r="AO327" s="366"/>
      <c r="AP327" s="366"/>
      <c r="AQ327" s="366"/>
      <c r="AR327" s="366"/>
      <c r="AS327" s="366"/>
    </row>
    <row r="328">
      <c r="A328" s="391"/>
      <c r="B328" s="383"/>
      <c r="C328" s="177"/>
      <c r="D328" s="177"/>
      <c r="E328" s="177"/>
      <c r="F328" s="391"/>
      <c r="G328" s="383"/>
      <c r="H328" s="177"/>
      <c r="I328" s="177"/>
      <c r="J328" s="177"/>
      <c r="K328" s="88"/>
      <c r="L328" s="383"/>
      <c r="M328" s="177"/>
      <c r="N328" s="177"/>
      <c r="O328" s="177"/>
      <c r="P328" s="88"/>
      <c r="Q328" s="151"/>
      <c r="R328" s="177"/>
      <c r="S328" s="177"/>
      <c r="T328" s="177"/>
      <c r="U328" s="391"/>
      <c r="V328" s="383"/>
      <c r="W328" s="177"/>
      <c r="X328" s="177"/>
      <c r="Y328" s="177"/>
      <c r="Z328" s="391"/>
      <c r="AA328" s="383"/>
      <c r="AB328" s="177"/>
      <c r="AC328" s="177"/>
      <c r="AD328" s="177"/>
      <c r="AE328" s="391"/>
      <c r="AF328" s="383"/>
      <c r="AG328" s="177"/>
      <c r="AH328" s="177"/>
      <c r="AI328" s="177"/>
      <c r="AJ328" s="391"/>
      <c r="AK328" s="383"/>
      <c r="AL328" s="177"/>
      <c r="AM328" s="177"/>
      <c r="AN328" s="177"/>
      <c r="AO328" s="366"/>
      <c r="AP328" s="366"/>
      <c r="AQ328" s="366"/>
      <c r="AR328" s="366"/>
      <c r="AS328" s="366"/>
    </row>
    <row r="329">
      <c r="A329" s="391"/>
      <c r="B329" s="383"/>
      <c r="C329" s="177"/>
      <c r="D329" s="177"/>
      <c r="E329" s="177"/>
      <c r="F329" s="391"/>
      <c r="G329" s="383"/>
      <c r="H329" s="177"/>
      <c r="I329" s="177"/>
      <c r="J329" s="177"/>
      <c r="K329" s="88"/>
      <c r="L329" s="383"/>
      <c r="M329" s="177"/>
      <c r="N329" s="177"/>
      <c r="O329" s="177"/>
      <c r="P329" s="88"/>
      <c r="Q329" s="151"/>
      <c r="R329" s="177"/>
      <c r="S329" s="177"/>
      <c r="T329" s="177"/>
      <c r="U329" s="391"/>
      <c r="V329" s="383"/>
      <c r="W329" s="177"/>
      <c r="X329" s="177"/>
      <c r="Y329" s="177"/>
      <c r="Z329" s="391"/>
      <c r="AA329" s="383"/>
      <c r="AB329" s="177"/>
      <c r="AC329" s="177"/>
      <c r="AD329" s="177"/>
      <c r="AE329" s="391"/>
      <c r="AF329" s="383"/>
      <c r="AG329" s="177"/>
      <c r="AH329" s="177"/>
      <c r="AI329" s="177"/>
      <c r="AJ329" s="391"/>
      <c r="AK329" s="383"/>
      <c r="AL329" s="177"/>
      <c r="AM329" s="177"/>
      <c r="AN329" s="177"/>
      <c r="AO329" s="366"/>
      <c r="AP329" s="366"/>
      <c r="AQ329" s="366"/>
      <c r="AR329" s="366"/>
      <c r="AS329" s="366"/>
    </row>
    <row r="330">
      <c r="A330" s="391"/>
      <c r="B330" s="383"/>
      <c r="C330" s="177"/>
      <c r="D330" s="177"/>
      <c r="E330" s="177"/>
      <c r="F330" s="391"/>
      <c r="G330" s="383"/>
      <c r="H330" s="177"/>
      <c r="I330" s="177"/>
      <c r="J330" s="177"/>
      <c r="K330" s="88"/>
      <c r="L330" s="383"/>
      <c r="M330" s="177"/>
      <c r="N330" s="177"/>
      <c r="O330" s="177"/>
      <c r="P330" s="88"/>
      <c r="Q330" s="151"/>
      <c r="R330" s="177"/>
      <c r="S330" s="177"/>
      <c r="T330" s="177"/>
      <c r="U330" s="391"/>
      <c r="V330" s="383"/>
      <c r="W330" s="177"/>
      <c r="X330" s="177"/>
      <c r="Y330" s="177"/>
      <c r="Z330" s="391"/>
      <c r="AA330" s="383"/>
      <c r="AB330" s="177"/>
      <c r="AC330" s="177"/>
      <c r="AD330" s="177"/>
      <c r="AE330" s="391"/>
      <c r="AF330" s="383"/>
      <c r="AG330" s="177"/>
      <c r="AH330" s="177"/>
      <c r="AI330" s="177"/>
      <c r="AJ330" s="391"/>
      <c r="AK330" s="383"/>
      <c r="AL330" s="177"/>
      <c r="AM330" s="177"/>
      <c r="AN330" s="177"/>
      <c r="AO330" s="366"/>
      <c r="AP330" s="366"/>
      <c r="AQ330" s="366"/>
      <c r="AR330" s="366"/>
      <c r="AS330" s="366"/>
    </row>
    <row r="331">
      <c r="A331" s="391"/>
      <c r="B331" s="383"/>
      <c r="C331" s="177"/>
      <c r="D331" s="177"/>
      <c r="E331" s="177"/>
      <c r="F331" s="391"/>
      <c r="G331" s="383"/>
      <c r="H331" s="177"/>
      <c r="I331" s="177"/>
      <c r="J331" s="177"/>
      <c r="K331" s="88"/>
      <c r="L331" s="383"/>
      <c r="M331" s="177"/>
      <c r="N331" s="177"/>
      <c r="O331" s="177"/>
      <c r="P331" s="88"/>
      <c r="Q331" s="151"/>
      <c r="R331" s="177"/>
      <c r="S331" s="177"/>
      <c r="T331" s="177"/>
      <c r="U331" s="391"/>
      <c r="V331" s="383"/>
      <c r="W331" s="177"/>
      <c r="X331" s="177"/>
      <c r="Y331" s="177"/>
      <c r="Z331" s="391"/>
      <c r="AA331" s="383"/>
      <c r="AB331" s="177"/>
      <c r="AC331" s="177"/>
      <c r="AD331" s="177"/>
      <c r="AE331" s="391"/>
      <c r="AF331" s="383"/>
      <c r="AG331" s="177"/>
      <c r="AH331" s="177"/>
      <c r="AI331" s="177"/>
      <c r="AJ331" s="391"/>
      <c r="AK331" s="383"/>
      <c r="AL331" s="177"/>
      <c r="AM331" s="177"/>
      <c r="AN331" s="177"/>
      <c r="AO331" s="366"/>
      <c r="AP331" s="366"/>
      <c r="AQ331" s="366"/>
      <c r="AR331" s="366"/>
      <c r="AS331" s="366"/>
    </row>
    <row r="332">
      <c r="A332" s="391"/>
      <c r="B332" s="383"/>
      <c r="C332" s="177"/>
      <c r="D332" s="177"/>
      <c r="E332" s="177"/>
      <c r="F332" s="391"/>
      <c r="G332" s="383"/>
      <c r="H332" s="177"/>
      <c r="I332" s="177"/>
      <c r="J332" s="177"/>
      <c r="K332" s="88"/>
      <c r="L332" s="383"/>
      <c r="M332" s="177"/>
      <c r="N332" s="177"/>
      <c r="O332" s="177"/>
      <c r="P332" s="88"/>
      <c r="Q332" s="151"/>
      <c r="R332" s="177"/>
      <c r="S332" s="177"/>
      <c r="T332" s="177"/>
      <c r="U332" s="391"/>
      <c r="V332" s="383"/>
      <c r="W332" s="177"/>
      <c r="X332" s="177"/>
      <c r="Y332" s="177"/>
      <c r="Z332" s="391"/>
      <c r="AA332" s="383"/>
      <c r="AB332" s="177"/>
      <c r="AC332" s="177"/>
      <c r="AD332" s="177"/>
      <c r="AE332" s="391"/>
      <c r="AF332" s="383"/>
      <c r="AG332" s="177"/>
      <c r="AH332" s="177"/>
      <c r="AI332" s="177"/>
      <c r="AJ332" s="391"/>
      <c r="AK332" s="383"/>
      <c r="AL332" s="177"/>
      <c r="AM332" s="177"/>
      <c r="AN332" s="177"/>
      <c r="AO332" s="366"/>
      <c r="AP332" s="366"/>
      <c r="AQ332" s="366"/>
      <c r="AR332" s="366"/>
      <c r="AS332" s="366"/>
    </row>
    <row r="333">
      <c r="A333" s="391"/>
      <c r="B333" s="383"/>
      <c r="C333" s="177"/>
      <c r="D333" s="177"/>
      <c r="E333" s="177"/>
      <c r="F333" s="391"/>
      <c r="G333" s="383"/>
      <c r="H333" s="177"/>
      <c r="I333" s="177"/>
      <c r="J333" s="177"/>
      <c r="K333" s="88"/>
      <c r="L333" s="383"/>
      <c r="M333" s="177"/>
      <c r="N333" s="177"/>
      <c r="O333" s="177"/>
      <c r="P333" s="88"/>
      <c r="Q333" s="151"/>
      <c r="R333" s="177"/>
      <c r="S333" s="177"/>
      <c r="T333" s="177"/>
      <c r="U333" s="391"/>
      <c r="V333" s="383"/>
      <c r="W333" s="177"/>
      <c r="X333" s="177"/>
      <c r="Y333" s="177"/>
      <c r="Z333" s="391"/>
      <c r="AA333" s="383"/>
      <c r="AB333" s="177"/>
      <c r="AC333" s="177"/>
      <c r="AD333" s="177"/>
      <c r="AE333" s="391"/>
      <c r="AF333" s="383"/>
      <c r="AG333" s="177"/>
      <c r="AH333" s="177"/>
      <c r="AI333" s="177"/>
      <c r="AJ333" s="391"/>
      <c r="AK333" s="383"/>
      <c r="AL333" s="177"/>
      <c r="AM333" s="177"/>
      <c r="AN333" s="177"/>
      <c r="AO333" s="366"/>
      <c r="AP333" s="366"/>
      <c r="AQ333" s="366"/>
      <c r="AR333" s="366"/>
      <c r="AS333" s="366"/>
    </row>
    <row r="334">
      <c r="A334" s="391"/>
      <c r="B334" s="383"/>
      <c r="C334" s="177"/>
      <c r="D334" s="177"/>
      <c r="E334" s="177"/>
      <c r="F334" s="391"/>
      <c r="G334" s="383"/>
      <c r="H334" s="177"/>
      <c r="I334" s="177"/>
      <c r="J334" s="177"/>
      <c r="K334" s="88"/>
      <c r="L334" s="383"/>
      <c r="M334" s="177"/>
      <c r="N334" s="177"/>
      <c r="O334" s="177"/>
      <c r="P334" s="88"/>
      <c r="Q334" s="151"/>
      <c r="R334" s="177"/>
      <c r="S334" s="177"/>
      <c r="T334" s="177"/>
      <c r="U334" s="391"/>
      <c r="V334" s="383"/>
      <c r="W334" s="177"/>
      <c r="X334" s="177"/>
      <c r="Y334" s="177"/>
      <c r="Z334" s="391"/>
      <c r="AA334" s="383"/>
      <c r="AB334" s="177"/>
      <c r="AC334" s="177"/>
      <c r="AD334" s="177"/>
      <c r="AE334" s="391"/>
      <c r="AF334" s="383"/>
      <c r="AG334" s="177"/>
      <c r="AH334" s="177"/>
      <c r="AI334" s="177"/>
      <c r="AJ334" s="391"/>
      <c r="AK334" s="383"/>
      <c r="AL334" s="177"/>
      <c r="AM334" s="177"/>
      <c r="AN334" s="177"/>
      <c r="AO334" s="366"/>
      <c r="AP334" s="366"/>
      <c r="AQ334" s="366"/>
      <c r="AR334" s="366"/>
      <c r="AS334" s="366"/>
    </row>
    <row r="335">
      <c r="A335" s="391"/>
      <c r="B335" s="383"/>
      <c r="C335" s="177"/>
      <c r="D335" s="177"/>
      <c r="E335" s="177"/>
      <c r="F335" s="391"/>
      <c r="G335" s="383"/>
      <c r="H335" s="177"/>
      <c r="I335" s="177"/>
      <c r="J335" s="177"/>
      <c r="K335" s="88"/>
      <c r="L335" s="383"/>
      <c r="M335" s="177"/>
      <c r="N335" s="177"/>
      <c r="O335" s="177"/>
      <c r="P335" s="88"/>
      <c r="Q335" s="151"/>
      <c r="R335" s="177"/>
      <c r="S335" s="177"/>
      <c r="T335" s="177"/>
      <c r="U335" s="391"/>
      <c r="V335" s="383"/>
      <c r="W335" s="177"/>
      <c r="X335" s="177"/>
      <c r="Y335" s="177"/>
      <c r="Z335" s="391"/>
      <c r="AA335" s="383"/>
      <c r="AB335" s="177"/>
      <c r="AC335" s="177"/>
      <c r="AD335" s="177"/>
      <c r="AE335" s="391"/>
      <c r="AF335" s="383"/>
      <c r="AG335" s="177"/>
      <c r="AH335" s="177"/>
      <c r="AI335" s="177"/>
      <c r="AJ335" s="391"/>
      <c r="AK335" s="383"/>
      <c r="AL335" s="177"/>
      <c r="AM335" s="177"/>
      <c r="AN335" s="177"/>
      <c r="AO335" s="366"/>
      <c r="AP335" s="366"/>
      <c r="AQ335" s="366"/>
      <c r="AR335" s="366"/>
      <c r="AS335" s="366"/>
    </row>
    <row r="336">
      <c r="A336" s="391"/>
      <c r="B336" s="383"/>
      <c r="C336" s="177"/>
      <c r="D336" s="177"/>
      <c r="E336" s="177"/>
      <c r="F336" s="391"/>
      <c r="G336" s="383"/>
      <c r="H336" s="177"/>
      <c r="I336" s="177"/>
      <c r="J336" s="177"/>
      <c r="K336" s="88"/>
      <c r="L336" s="383"/>
      <c r="M336" s="177"/>
      <c r="N336" s="177"/>
      <c r="O336" s="177"/>
      <c r="P336" s="88"/>
      <c r="Q336" s="151"/>
      <c r="R336" s="177"/>
      <c r="S336" s="177"/>
      <c r="T336" s="177"/>
      <c r="U336" s="391"/>
      <c r="V336" s="383"/>
      <c r="W336" s="177"/>
      <c r="X336" s="177"/>
      <c r="Y336" s="177"/>
      <c r="Z336" s="391"/>
      <c r="AA336" s="383"/>
      <c r="AB336" s="177"/>
      <c r="AC336" s="177"/>
      <c r="AD336" s="177"/>
      <c r="AE336" s="391"/>
      <c r="AF336" s="383"/>
      <c r="AG336" s="177"/>
      <c r="AH336" s="177"/>
      <c r="AI336" s="177"/>
      <c r="AJ336" s="391"/>
      <c r="AK336" s="383"/>
      <c r="AL336" s="177"/>
      <c r="AM336" s="177"/>
      <c r="AN336" s="177"/>
      <c r="AO336" s="366"/>
      <c r="AP336" s="366"/>
      <c r="AQ336" s="366"/>
      <c r="AR336" s="366"/>
      <c r="AS336" s="366"/>
    </row>
    <row r="337">
      <c r="A337" s="391"/>
      <c r="B337" s="383"/>
      <c r="C337" s="177"/>
      <c r="D337" s="177"/>
      <c r="E337" s="177"/>
      <c r="F337" s="391"/>
      <c r="G337" s="383"/>
      <c r="H337" s="177"/>
      <c r="I337" s="177"/>
      <c r="J337" s="177"/>
      <c r="K337" s="88"/>
      <c r="L337" s="383"/>
      <c r="M337" s="177"/>
      <c r="N337" s="177"/>
      <c r="O337" s="177"/>
      <c r="P337" s="88"/>
      <c r="Q337" s="151"/>
      <c r="R337" s="177"/>
      <c r="S337" s="177"/>
      <c r="T337" s="177"/>
      <c r="U337" s="391"/>
      <c r="V337" s="383"/>
      <c r="W337" s="177"/>
      <c r="X337" s="177"/>
      <c r="Y337" s="177"/>
      <c r="Z337" s="391"/>
      <c r="AA337" s="383"/>
      <c r="AB337" s="177"/>
      <c r="AC337" s="177"/>
      <c r="AD337" s="177"/>
      <c r="AE337" s="391"/>
      <c r="AF337" s="383"/>
      <c r="AG337" s="177"/>
      <c r="AH337" s="177"/>
      <c r="AI337" s="177"/>
      <c r="AJ337" s="391"/>
      <c r="AK337" s="383"/>
      <c r="AL337" s="177"/>
      <c r="AM337" s="177"/>
      <c r="AN337" s="177"/>
      <c r="AO337" s="366"/>
      <c r="AP337" s="366"/>
      <c r="AQ337" s="366"/>
      <c r="AR337" s="366"/>
      <c r="AS337" s="366"/>
    </row>
    <row r="338">
      <c r="A338" s="391"/>
      <c r="B338" s="383"/>
      <c r="C338" s="177"/>
      <c r="D338" s="177"/>
      <c r="E338" s="177"/>
      <c r="F338" s="391"/>
      <c r="G338" s="383"/>
      <c r="H338" s="177"/>
      <c r="I338" s="177"/>
      <c r="J338" s="177"/>
      <c r="K338" s="88"/>
      <c r="L338" s="383"/>
      <c r="M338" s="177"/>
      <c r="N338" s="177"/>
      <c r="O338" s="177"/>
      <c r="P338" s="88"/>
      <c r="Q338" s="151"/>
      <c r="R338" s="177"/>
      <c r="S338" s="177"/>
      <c r="T338" s="177"/>
      <c r="U338" s="391"/>
      <c r="V338" s="383"/>
      <c r="W338" s="177"/>
      <c r="X338" s="177"/>
      <c r="Y338" s="177"/>
      <c r="Z338" s="391"/>
      <c r="AA338" s="383"/>
      <c r="AB338" s="177"/>
      <c r="AC338" s="177"/>
      <c r="AD338" s="177"/>
      <c r="AE338" s="391"/>
      <c r="AF338" s="383"/>
      <c r="AG338" s="177"/>
      <c r="AH338" s="177"/>
      <c r="AI338" s="177"/>
      <c r="AJ338" s="391"/>
      <c r="AK338" s="383"/>
      <c r="AL338" s="177"/>
      <c r="AM338" s="177"/>
      <c r="AN338" s="177"/>
      <c r="AO338" s="366"/>
      <c r="AP338" s="366"/>
      <c r="AQ338" s="366"/>
      <c r="AR338" s="366"/>
      <c r="AS338" s="366"/>
    </row>
    <row r="339">
      <c r="A339" s="391"/>
      <c r="B339" s="383"/>
      <c r="C339" s="177"/>
      <c r="D339" s="177"/>
      <c r="E339" s="177"/>
      <c r="F339" s="391"/>
      <c r="G339" s="383"/>
      <c r="H339" s="177"/>
      <c r="I339" s="177"/>
      <c r="J339" s="177"/>
      <c r="K339" s="88"/>
      <c r="L339" s="383"/>
      <c r="M339" s="177"/>
      <c r="N339" s="177"/>
      <c r="O339" s="177"/>
      <c r="P339" s="88"/>
      <c r="Q339" s="151"/>
      <c r="R339" s="177"/>
      <c r="S339" s="177"/>
      <c r="T339" s="177"/>
      <c r="U339" s="391"/>
      <c r="V339" s="383"/>
      <c r="W339" s="177"/>
      <c r="X339" s="177"/>
      <c r="Y339" s="177"/>
      <c r="Z339" s="391"/>
      <c r="AA339" s="383"/>
      <c r="AB339" s="177"/>
      <c r="AC339" s="177"/>
      <c r="AD339" s="177"/>
      <c r="AE339" s="391"/>
      <c r="AF339" s="383"/>
      <c r="AG339" s="177"/>
      <c r="AH339" s="177"/>
      <c r="AI339" s="177"/>
      <c r="AJ339" s="391"/>
      <c r="AK339" s="383"/>
      <c r="AL339" s="177"/>
      <c r="AM339" s="177"/>
      <c r="AN339" s="177"/>
      <c r="AO339" s="366"/>
      <c r="AP339" s="366"/>
      <c r="AQ339" s="366"/>
      <c r="AR339" s="366"/>
      <c r="AS339" s="366"/>
    </row>
    <row r="340">
      <c r="A340" s="391"/>
      <c r="B340" s="383"/>
      <c r="C340" s="177"/>
      <c r="D340" s="177"/>
      <c r="E340" s="177"/>
      <c r="F340" s="391"/>
      <c r="G340" s="383"/>
      <c r="H340" s="177"/>
      <c r="I340" s="177"/>
      <c r="J340" s="177"/>
      <c r="K340" s="88"/>
      <c r="L340" s="383"/>
      <c r="M340" s="177"/>
      <c r="N340" s="177"/>
      <c r="O340" s="177"/>
      <c r="P340" s="88"/>
      <c r="Q340" s="151"/>
      <c r="R340" s="177"/>
      <c r="S340" s="177"/>
      <c r="T340" s="177"/>
      <c r="U340" s="391"/>
      <c r="V340" s="383"/>
      <c r="W340" s="177"/>
      <c r="X340" s="177"/>
      <c r="Y340" s="177"/>
      <c r="Z340" s="391"/>
      <c r="AA340" s="383"/>
      <c r="AB340" s="177"/>
      <c r="AC340" s="177"/>
      <c r="AD340" s="177"/>
      <c r="AE340" s="391"/>
      <c r="AF340" s="383"/>
      <c r="AG340" s="177"/>
      <c r="AH340" s="177"/>
      <c r="AI340" s="177"/>
      <c r="AJ340" s="391"/>
      <c r="AK340" s="383"/>
      <c r="AL340" s="177"/>
      <c r="AM340" s="177"/>
      <c r="AN340" s="177"/>
      <c r="AO340" s="366"/>
      <c r="AP340" s="366"/>
      <c r="AQ340" s="366"/>
      <c r="AR340" s="366"/>
      <c r="AS340" s="366"/>
    </row>
    <row r="341">
      <c r="A341" s="391"/>
      <c r="B341" s="383"/>
      <c r="C341" s="177"/>
      <c r="D341" s="177"/>
      <c r="E341" s="177"/>
      <c r="F341" s="391"/>
      <c r="G341" s="383"/>
      <c r="H341" s="177"/>
      <c r="I341" s="177"/>
      <c r="J341" s="177"/>
      <c r="K341" s="88"/>
      <c r="L341" s="383"/>
      <c r="M341" s="177"/>
      <c r="N341" s="177"/>
      <c r="O341" s="177"/>
      <c r="P341" s="88"/>
      <c r="Q341" s="151"/>
      <c r="R341" s="177"/>
      <c r="S341" s="177"/>
      <c r="T341" s="177"/>
      <c r="U341" s="391"/>
      <c r="V341" s="383"/>
      <c r="W341" s="177"/>
      <c r="X341" s="177"/>
      <c r="Y341" s="177"/>
      <c r="Z341" s="391"/>
      <c r="AA341" s="383"/>
      <c r="AB341" s="177"/>
      <c r="AC341" s="177"/>
      <c r="AD341" s="177"/>
      <c r="AE341" s="391"/>
      <c r="AF341" s="383"/>
      <c r="AG341" s="177"/>
      <c r="AH341" s="177"/>
      <c r="AI341" s="177"/>
      <c r="AJ341" s="391"/>
      <c r="AK341" s="383"/>
      <c r="AL341" s="177"/>
      <c r="AM341" s="177"/>
      <c r="AN341" s="177"/>
      <c r="AO341" s="366"/>
      <c r="AP341" s="366"/>
      <c r="AQ341" s="366"/>
      <c r="AR341" s="366"/>
      <c r="AS341" s="366"/>
    </row>
    <row r="342">
      <c r="A342" s="391"/>
      <c r="B342" s="383"/>
      <c r="C342" s="177"/>
      <c r="D342" s="177"/>
      <c r="E342" s="177"/>
      <c r="F342" s="391"/>
      <c r="G342" s="383"/>
      <c r="H342" s="177"/>
      <c r="I342" s="177"/>
      <c r="J342" s="177"/>
      <c r="K342" s="88"/>
      <c r="L342" s="383"/>
      <c r="M342" s="177"/>
      <c r="N342" s="177"/>
      <c r="O342" s="177"/>
      <c r="P342" s="88"/>
      <c r="Q342" s="151"/>
      <c r="R342" s="177"/>
      <c r="S342" s="177"/>
      <c r="T342" s="177"/>
      <c r="U342" s="391"/>
      <c r="V342" s="383"/>
      <c r="W342" s="177"/>
      <c r="X342" s="177"/>
      <c r="Y342" s="177"/>
      <c r="Z342" s="391"/>
      <c r="AA342" s="383"/>
      <c r="AB342" s="177"/>
      <c r="AC342" s="177"/>
      <c r="AD342" s="177"/>
      <c r="AE342" s="391"/>
      <c r="AF342" s="383"/>
      <c r="AG342" s="177"/>
      <c r="AH342" s="177"/>
      <c r="AI342" s="177"/>
      <c r="AJ342" s="391"/>
      <c r="AK342" s="383"/>
      <c r="AL342" s="177"/>
      <c r="AM342" s="177"/>
      <c r="AN342" s="177"/>
      <c r="AO342" s="366"/>
      <c r="AP342" s="366"/>
      <c r="AQ342" s="366"/>
      <c r="AR342" s="366"/>
      <c r="AS342" s="366"/>
    </row>
    <row r="343">
      <c r="A343" s="391"/>
      <c r="B343" s="383"/>
      <c r="C343" s="177"/>
      <c r="D343" s="177"/>
      <c r="E343" s="177"/>
      <c r="F343" s="391"/>
      <c r="G343" s="383"/>
      <c r="H343" s="177"/>
      <c r="I343" s="177"/>
      <c r="J343" s="177"/>
      <c r="K343" s="88"/>
      <c r="L343" s="383"/>
      <c r="M343" s="177"/>
      <c r="N343" s="177"/>
      <c r="O343" s="177"/>
      <c r="P343" s="88"/>
      <c r="Q343" s="151"/>
      <c r="R343" s="177"/>
      <c r="S343" s="177"/>
      <c r="T343" s="177"/>
      <c r="U343" s="391"/>
      <c r="V343" s="383"/>
      <c r="W343" s="177"/>
      <c r="X343" s="177"/>
      <c r="Y343" s="177"/>
      <c r="Z343" s="391"/>
      <c r="AA343" s="383"/>
      <c r="AB343" s="177"/>
      <c r="AC343" s="177"/>
      <c r="AD343" s="177"/>
      <c r="AE343" s="391"/>
      <c r="AF343" s="383"/>
      <c r="AG343" s="177"/>
      <c r="AH343" s="177"/>
      <c r="AI343" s="177"/>
      <c r="AJ343" s="391"/>
      <c r="AK343" s="383"/>
      <c r="AL343" s="177"/>
      <c r="AM343" s="177"/>
      <c r="AN343" s="177"/>
      <c r="AO343" s="366"/>
      <c r="AP343" s="366"/>
      <c r="AQ343" s="366"/>
      <c r="AR343" s="366"/>
      <c r="AS343" s="366"/>
    </row>
    <row r="344">
      <c r="A344" s="391"/>
      <c r="B344" s="383"/>
      <c r="C344" s="177"/>
      <c r="D344" s="177"/>
      <c r="E344" s="177"/>
      <c r="F344" s="391"/>
      <c r="G344" s="383"/>
      <c r="H344" s="177"/>
      <c r="I344" s="177"/>
      <c r="J344" s="177"/>
      <c r="K344" s="88"/>
      <c r="L344" s="383"/>
      <c r="M344" s="177"/>
      <c r="N344" s="177"/>
      <c r="O344" s="177"/>
      <c r="P344" s="88"/>
      <c r="Q344" s="151"/>
      <c r="R344" s="177"/>
      <c r="S344" s="177"/>
      <c r="T344" s="177"/>
      <c r="U344" s="391"/>
      <c r="V344" s="383"/>
      <c r="W344" s="177"/>
      <c r="X344" s="177"/>
      <c r="Y344" s="177"/>
      <c r="Z344" s="391"/>
      <c r="AA344" s="383"/>
      <c r="AB344" s="177"/>
      <c r="AC344" s="177"/>
      <c r="AD344" s="177"/>
      <c r="AE344" s="391"/>
      <c r="AF344" s="383"/>
      <c r="AG344" s="177"/>
      <c r="AH344" s="177"/>
      <c r="AI344" s="177"/>
      <c r="AJ344" s="391"/>
      <c r="AK344" s="383"/>
      <c r="AL344" s="177"/>
      <c r="AM344" s="177"/>
      <c r="AN344" s="177"/>
      <c r="AO344" s="366"/>
      <c r="AP344" s="366"/>
      <c r="AQ344" s="366"/>
      <c r="AR344" s="366"/>
      <c r="AS344" s="366"/>
    </row>
    <row r="345">
      <c r="A345" s="391"/>
      <c r="B345" s="383"/>
      <c r="C345" s="177"/>
      <c r="D345" s="177"/>
      <c r="E345" s="177"/>
      <c r="F345" s="391"/>
      <c r="G345" s="383"/>
      <c r="H345" s="177"/>
      <c r="I345" s="177"/>
      <c r="J345" s="177"/>
      <c r="K345" s="88"/>
      <c r="L345" s="383"/>
      <c r="M345" s="177"/>
      <c r="N345" s="177"/>
      <c r="O345" s="177"/>
      <c r="P345" s="88"/>
      <c r="Q345" s="151"/>
      <c r="R345" s="177"/>
      <c r="S345" s="177"/>
      <c r="T345" s="177"/>
      <c r="U345" s="391"/>
      <c r="V345" s="383"/>
      <c r="W345" s="177"/>
      <c r="X345" s="177"/>
      <c r="Y345" s="177"/>
      <c r="Z345" s="391"/>
      <c r="AA345" s="383"/>
      <c r="AB345" s="177"/>
      <c r="AC345" s="177"/>
      <c r="AD345" s="177"/>
      <c r="AE345" s="391"/>
      <c r="AF345" s="383"/>
      <c r="AG345" s="177"/>
      <c r="AH345" s="177"/>
      <c r="AI345" s="177"/>
      <c r="AJ345" s="391"/>
      <c r="AK345" s="383"/>
      <c r="AL345" s="177"/>
      <c r="AM345" s="177"/>
      <c r="AN345" s="177"/>
      <c r="AO345" s="366"/>
      <c r="AP345" s="366"/>
      <c r="AQ345" s="366"/>
      <c r="AR345" s="366"/>
      <c r="AS345" s="366"/>
    </row>
    <row r="346">
      <c r="A346" s="391"/>
      <c r="B346" s="383"/>
      <c r="C346" s="177"/>
      <c r="D346" s="177"/>
      <c r="E346" s="177"/>
      <c r="F346" s="391"/>
      <c r="G346" s="383"/>
      <c r="H346" s="177"/>
      <c r="I346" s="177"/>
      <c r="J346" s="177"/>
      <c r="K346" s="88"/>
      <c r="L346" s="383"/>
      <c r="M346" s="177"/>
      <c r="N346" s="177"/>
      <c r="O346" s="177"/>
      <c r="P346" s="88"/>
      <c r="Q346" s="151"/>
      <c r="R346" s="177"/>
      <c r="S346" s="177"/>
      <c r="T346" s="177"/>
      <c r="U346" s="391"/>
      <c r="V346" s="383"/>
      <c r="W346" s="177"/>
      <c r="X346" s="177"/>
      <c r="Y346" s="177"/>
      <c r="Z346" s="391"/>
      <c r="AA346" s="383"/>
      <c r="AB346" s="177"/>
      <c r="AC346" s="177"/>
      <c r="AD346" s="177"/>
      <c r="AE346" s="391"/>
      <c r="AF346" s="383"/>
      <c r="AG346" s="177"/>
      <c r="AH346" s="177"/>
      <c r="AI346" s="177"/>
      <c r="AJ346" s="391"/>
      <c r="AK346" s="383"/>
      <c r="AL346" s="177"/>
      <c r="AM346" s="177"/>
      <c r="AN346" s="177"/>
      <c r="AO346" s="366"/>
      <c r="AP346" s="366"/>
      <c r="AQ346" s="366"/>
      <c r="AR346" s="366"/>
      <c r="AS346" s="366"/>
    </row>
    <row r="347">
      <c r="A347" s="391"/>
      <c r="B347" s="383"/>
      <c r="C347" s="177"/>
      <c r="D347" s="177"/>
      <c r="E347" s="177"/>
      <c r="F347" s="391"/>
      <c r="G347" s="383"/>
      <c r="H347" s="177"/>
      <c r="I347" s="177"/>
      <c r="J347" s="177"/>
      <c r="K347" s="88"/>
      <c r="L347" s="383"/>
      <c r="M347" s="177"/>
      <c r="N347" s="177"/>
      <c r="O347" s="177"/>
      <c r="P347" s="88"/>
      <c r="Q347" s="151"/>
      <c r="R347" s="177"/>
      <c r="S347" s="177"/>
      <c r="T347" s="177"/>
      <c r="U347" s="391"/>
      <c r="V347" s="383"/>
      <c r="W347" s="177"/>
      <c r="X347" s="177"/>
      <c r="Y347" s="177"/>
      <c r="Z347" s="391"/>
      <c r="AA347" s="383"/>
      <c r="AB347" s="177"/>
      <c r="AC347" s="177"/>
      <c r="AD347" s="177"/>
      <c r="AE347" s="391"/>
      <c r="AF347" s="383"/>
      <c r="AG347" s="177"/>
      <c r="AH347" s="177"/>
      <c r="AI347" s="177"/>
      <c r="AJ347" s="391"/>
      <c r="AK347" s="383"/>
      <c r="AL347" s="177"/>
      <c r="AM347" s="177"/>
      <c r="AN347" s="177"/>
      <c r="AO347" s="366"/>
      <c r="AP347" s="366"/>
      <c r="AQ347" s="366"/>
      <c r="AR347" s="366"/>
      <c r="AS347" s="366"/>
    </row>
    <row r="348">
      <c r="A348" s="391"/>
      <c r="B348" s="383"/>
      <c r="C348" s="177"/>
      <c r="D348" s="177"/>
      <c r="E348" s="177"/>
      <c r="F348" s="391"/>
      <c r="G348" s="383"/>
      <c r="H348" s="177"/>
      <c r="I348" s="177"/>
      <c r="J348" s="177"/>
      <c r="K348" s="88"/>
      <c r="L348" s="383"/>
      <c r="M348" s="177"/>
      <c r="N348" s="177"/>
      <c r="O348" s="177"/>
      <c r="P348" s="88"/>
      <c r="Q348" s="151"/>
      <c r="R348" s="177"/>
      <c r="S348" s="177"/>
      <c r="T348" s="177"/>
      <c r="U348" s="391"/>
      <c r="V348" s="383"/>
      <c r="W348" s="177"/>
      <c r="X348" s="177"/>
      <c r="Y348" s="177"/>
      <c r="Z348" s="391"/>
      <c r="AA348" s="383"/>
      <c r="AB348" s="177"/>
      <c r="AC348" s="177"/>
      <c r="AD348" s="177"/>
      <c r="AE348" s="391"/>
      <c r="AF348" s="383"/>
      <c r="AG348" s="177"/>
      <c r="AH348" s="177"/>
      <c r="AI348" s="177"/>
      <c r="AJ348" s="391"/>
      <c r="AK348" s="383"/>
      <c r="AL348" s="177"/>
      <c r="AM348" s="177"/>
      <c r="AN348" s="177"/>
      <c r="AO348" s="366"/>
      <c r="AP348" s="366"/>
      <c r="AQ348" s="366"/>
      <c r="AR348" s="366"/>
      <c r="AS348" s="366"/>
    </row>
    <row r="349">
      <c r="A349" s="391"/>
      <c r="B349" s="383"/>
      <c r="C349" s="177"/>
      <c r="D349" s="177"/>
      <c r="E349" s="177"/>
      <c r="F349" s="391"/>
      <c r="G349" s="383"/>
      <c r="H349" s="177"/>
      <c r="I349" s="177"/>
      <c r="J349" s="177"/>
      <c r="K349" s="88"/>
      <c r="L349" s="383"/>
      <c r="M349" s="177"/>
      <c r="N349" s="177"/>
      <c r="O349" s="177"/>
      <c r="P349" s="88"/>
      <c r="Q349" s="151"/>
      <c r="R349" s="177"/>
      <c r="S349" s="177"/>
      <c r="T349" s="177"/>
      <c r="U349" s="391"/>
      <c r="V349" s="383"/>
      <c r="W349" s="177"/>
      <c r="X349" s="177"/>
      <c r="Y349" s="177"/>
      <c r="Z349" s="391"/>
      <c r="AA349" s="383"/>
      <c r="AB349" s="177"/>
      <c r="AC349" s="177"/>
      <c r="AD349" s="177"/>
      <c r="AE349" s="391"/>
      <c r="AF349" s="383"/>
      <c r="AG349" s="177"/>
      <c r="AH349" s="177"/>
      <c r="AI349" s="177"/>
      <c r="AJ349" s="391"/>
      <c r="AK349" s="383"/>
      <c r="AL349" s="177"/>
      <c r="AM349" s="177"/>
      <c r="AN349" s="177"/>
      <c r="AO349" s="366"/>
      <c r="AP349" s="366"/>
      <c r="AQ349" s="366"/>
      <c r="AR349" s="366"/>
      <c r="AS349" s="366"/>
    </row>
    <row r="350">
      <c r="A350" s="391"/>
      <c r="B350" s="383"/>
      <c r="C350" s="177"/>
      <c r="D350" s="177"/>
      <c r="E350" s="177"/>
      <c r="F350" s="391"/>
      <c r="G350" s="383"/>
      <c r="H350" s="177"/>
      <c r="I350" s="177"/>
      <c r="J350" s="177"/>
      <c r="K350" s="88"/>
      <c r="L350" s="383"/>
      <c r="M350" s="177"/>
      <c r="N350" s="177"/>
      <c r="O350" s="177"/>
      <c r="P350" s="88"/>
      <c r="Q350" s="151"/>
      <c r="R350" s="177"/>
      <c r="S350" s="177"/>
      <c r="T350" s="177"/>
      <c r="U350" s="391"/>
      <c r="V350" s="383"/>
      <c r="W350" s="177"/>
      <c r="X350" s="177"/>
      <c r="Y350" s="177"/>
      <c r="Z350" s="391"/>
      <c r="AA350" s="383"/>
      <c r="AB350" s="177"/>
      <c r="AC350" s="177"/>
      <c r="AD350" s="177"/>
      <c r="AE350" s="391"/>
      <c r="AF350" s="383"/>
      <c r="AG350" s="177"/>
      <c r="AH350" s="177"/>
      <c r="AI350" s="177"/>
      <c r="AJ350" s="391"/>
      <c r="AK350" s="383"/>
      <c r="AL350" s="177"/>
      <c r="AM350" s="177"/>
      <c r="AN350" s="177"/>
      <c r="AO350" s="366"/>
      <c r="AP350" s="366"/>
      <c r="AQ350" s="366"/>
      <c r="AR350" s="366"/>
      <c r="AS350" s="366"/>
    </row>
    <row r="351">
      <c r="A351" s="391"/>
      <c r="B351" s="383"/>
      <c r="C351" s="177"/>
      <c r="D351" s="177"/>
      <c r="E351" s="177"/>
      <c r="F351" s="391"/>
      <c r="G351" s="383"/>
      <c r="H351" s="177"/>
      <c r="I351" s="177"/>
      <c r="J351" s="177"/>
      <c r="K351" s="88"/>
      <c r="L351" s="383"/>
      <c r="M351" s="177"/>
      <c r="N351" s="177"/>
      <c r="O351" s="177"/>
      <c r="P351" s="88"/>
      <c r="Q351" s="151"/>
      <c r="R351" s="177"/>
      <c r="S351" s="177"/>
      <c r="T351" s="177"/>
      <c r="U351" s="391"/>
      <c r="V351" s="383"/>
      <c r="W351" s="177"/>
      <c r="X351" s="177"/>
      <c r="Y351" s="177"/>
      <c r="Z351" s="391"/>
      <c r="AA351" s="383"/>
      <c r="AB351" s="177"/>
      <c r="AC351" s="177"/>
      <c r="AD351" s="177"/>
      <c r="AE351" s="391"/>
      <c r="AF351" s="383"/>
      <c r="AG351" s="177"/>
      <c r="AH351" s="177"/>
      <c r="AI351" s="177"/>
      <c r="AJ351" s="391"/>
      <c r="AK351" s="383"/>
      <c r="AL351" s="177"/>
      <c r="AM351" s="177"/>
      <c r="AN351" s="177"/>
      <c r="AO351" s="366"/>
      <c r="AP351" s="366"/>
      <c r="AQ351" s="366"/>
      <c r="AR351" s="366"/>
      <c r="AS351" s="366"/>
    </row>
    <row r="352">
      <c r="A352" s="391"/>
      <c r="B352" s="383"/>
      <c r="C352" s="177"/>
      <c r="D352" s="177"/>
      <c r="E352" s="177"/>
      <c r="F352" s="391"/>
      <c r="G352" s="383"/>
      <c r="H352" s="177"/>
      <c r="I352" s="177"/>
      <c r="J352" s="177"/>
      <c r="K352" s="88"/>
      <c r="L352" s="383"/>
      <c r="M352" s="177"/>
      <c r="N352" s="177"/>
      <c r="O352" s="177"/>
      <c r="P352" s="88"/>
      <c r="Q352" s="151"/>
      <c r="R352" s="177"/>
      <c r="S352" s="177"/>
      <c r="T352" s="177"/>
      <c r="U352" s="391"/>
      <c r="V352" s="383"/>
      <c r="W352" s="177"/>
      <c r="X352" s="177"/>
      <c r="Y352" s="177"/>
      <c r="Z352" s="391"/>
      <c r="AA352" s="383"/>
      <c r="AB352" s="177"/>
      <c r="AC352" s="177"/>
      <c r="AD352" s="177"/>
      <c r="AE352" s="391"/>
      <c r="AF352" s="383"/>
      <c r="AG352" s="177"/>
      <c r="AH352" s="177"/>
      <c r="AI352" s="177"/>
      <c r="AJ352" s="391"/>
      <c r="AK352" s="383"/>
      <c r="AL352" s="177"/>
      <c r="AM352" s="177"/>
      <c r="AN352" s="177"/>
      <c r="AO352" s="366"/>
      <c r="AP352" s="366"/>
      <c r="AQ352" s="366"/>
      <c r="AR352" s="366"/>
      <c r="AS352" s="366"/>
    </row>
    <row r="353">
      <c r="A353" s="391"/>
      <c r="B353" s="383"/>
      <c r="C353" s="177"/>
      <c r="D353" s="177"/>
      <c r="E353" s="177"/>
      <c r="F353" s="391"/>
      <c r="G353" s="383"/>
      <c r="H353" s="177"/>
      <c r="I353" s="177"/>
      <c r="J353" s="177"/>
      <c r="K353" s="88"/>
      <c r="L353" s="383"/>
      <c r="M353" s="177"/>
      <c r="N353" s="177"/>
      <c r="O353" s="177"/>
      <c r="P353" s="88"/>
      <c r="Q353" s="151"/>
      <c r="R353" s="177"/>
      <c r="S353" s="177"/>
      <c r="T353" s="177"/>
      <c r="U353" s="391"/>
      <c r="V353" s="383"/>
      <c r="W353" s="177"/>
      <c r="X353" s="177"/>
      <c r="Y353" s="177"/>
      <c r="Z353" s="391"/>
      <c r="AA353" s="383"/>
      <c r="AB353" s="177"/>
      <c r="AC353" s="177"/>
      <c r="AD353" s="177"/>
      <c r="AE353" s="391"/>
      <c r="AF353" s="383"/>
      <c r="AG353" s="177"/>
      <c r="AH353" s="177"/>
      <c r="AI353" s="177"/>
      <c r="AJ353" s="391"/>
      <c r="AK353" s="383"/>
      <c r="AL353" s="177"/>
      <c r="AM353" s="177"/>
      <c r="AN353" s="177"/>
      <c r="AO353" s="366"/>
      <c r="AP353" s="366"/>
      <c r="AQ353" s="366"/>
      <c r="AR353" s="366"/>
      <c r="AS353" s="366"/>
    </row>
    <row r="354">
      <c r="A354" s="391"/>
      <c r="B354" s="383"/>
      <c r="C354" s="177"/>
      <c r="D354" s="177"/>
      <c r="E354" s="177"/>
      <c r="F354" s="391"/>
      <c r="G354" s="383"/>
      <c r="H354" s="177"/>
      <c r="I354" s="177"/>
      <c r="J354" s="177"/>
      <c r="K354" s="88"/>
      <c r="L354" s="383"/>
      <c r="M354" s="177"/>
      <c r="N354" s="177"/>
      <c r="O354" s="177"/>
      <c r="P354" s="88"/>
      <c r="Q354" s="151"/>
      <c r="R354" s="177"/>
      <c r="S354" s="177"/>
      <c r="T354" s="177"/>
      <c r="U354" s="391"/>
      <c r="V354" s="383"/>
      <c r="W354" s="177"/>
      <c r="X354" s="177"/>
      <c r="Y354" s="177"/>
      <c r="Z354" s="391"/>
      <c r="AA354" s="383"/>
      <c r="AB354" s="177"/>
      <c r="AC354" s="177"/>
      <c r="AD354" s="177"/>
      <c r="AE354" s="391"/>
      <c r="AF354" s="383"/>
      <c r="AG354" s="177"/>
      <c r="AH354" s="177"/>
      <c r="AI354" s="177"/>
      <c r="AJ354" s="391"/>
      <c r="AK354" s="383"/>
      <c r="AL354" s="177"/>
      <c r="AM354" s="177"/>
      <c r="AN354" s="177"/>
      <c r="AO354" s="366"/>
      <c r="AP354" s="366"/>
      <c r="AQ354" s="366"/>
      <c r="AR354" s="366"/>
      <c r="AS354" s="366"/>
    </row>
    <row r="355">
      <c r="A355" s="391"/>
      <c r="B355" s="383"/>
      <c r="C355" s="177"/>
      <c r="D355" s="177"/>
      <c r="E355" s="177"/>
      <c r="F355" s="391"/>
      <c r="G355" s="383"/>
      <c r="H355" s="177"/>
      <c r="I355" s="177"/>
      <c r="J355" s="177"/>
      <c r="K355" s="88"/>
      <c r="L355" s="383"/>
      <c r="M355" s="177"/>
      <c r="N355" s="177"/>
      <c r="O355" s="177"/>
      <c r="P355" s="88"/>
      <c r="Q355" s="151"/>
      <c r="R355" s="177"/>
      <c r="S355" s="177"/>
      <c r="T355" s="177"/>
      <c r="U355" s="391"/>
      <c r="V355" s="383"/>
      <c r="W355" s="177"/>
      <c r="X355" s="177"/>
      <c r="Y355" s="177"/>
      <c r="Z355" s="391"/>
      <c r="AA355" s="383"/>
      <c r="AB355" s="177"/>
      <c r="AC355" s="177"/>
      <c r="AD355" s="177"/>
      <c r="AE355" s="391"/>
      <c r="AF355" s="383"/>
      <c r="AG355" s="177"/>
      <c r="AH355" s="177"/>
      <c r="AI355" s="177"/>
      <c r="AJ355" s="391"/>
      <c r="AK355" s="383"/>
      <c r="AL355" s="177"/>
      <c r="AM355" s="177"/>
      <c r="AN355" s="177"/>
      <c r="AO355" s="366"/>
      <c r="AP355" s="366"/>
      <c r="AQ355" s="366"/>
      <c r="AR355" s="366"/>
      <c r="AS355" s="366"/>
    </row>
    <row r="356">
      <c r="A356" s="391"/>
      <c r="B356" s="383"/>
      <c r="C356" s="177"/>
      <c r="D356" s="177"/>
      <c r="E356" s="177"/>
      <c r="F356" s="391"/>
      <c r="G356" s="383"/>
      <c r="H356" s="177"/>
      <c r="I356" s="177"/>
      <c r="J356" s="177"/>
      <c r="K356" s="88"/>
      <c r="L356" s="383"/>
      <c r="M356" s="177"/>
      <c r="N356" s="177"/>
      <c r="O356" s="177"/>
      <c r="P356" s="88"/>
      <c r="Q356" s="151"/>
      <c r="R356" s="177"/>
      <c r="S356" s="177"/>
      <c r="T356" s="177"/>
      <c r="U356" s="391"/>
      <c r="V356" s="383"/>
      <c r="W356" s="177"/>
      <c r="X356" s="177"/>
      <c r="Y356" s="177"/>
      <c r="Z356" s="391"/>
      <c r="AA356" s="383"/>
      <c r="AB356" s="177"/>
      <c r="AC356" s="177"/>
      <c r="AD356" s="177"/>
      <c r="AE356" s="391"/>
      <c r="AF356" s="383"/>
      <c r="AG356" s="177"/>
      <c r="AH356" s="177"/>
      <c r="AI356" s="177"/>
      <c r="AJ356" s="391"/>
      <c r="AK356" s="383"/>
      <c r="AL356" s="177"/>
      <c r="AM356" s="177"/>
      <c r="AN356" s="177"/>
      <c r="AO356" s="366"/>
      <c r="AP356" s="366"/>
      <c r="AQ356" s="366"/>
      <c r="AR356" s="366"/>
      <c r="AS356" s="366"/>
    </row>
    <row r="357">
      <c r="A357" s="391"/>
      <c r="B357" s="383"/>
      <c r="C357" s="177"/>
      <c r="D357" s="177"/>
      <c r="E357" s="177"/>
      <c r="F357" s="391"/>
      <c r="G357" s="383"/>
      <c r="H357" s="177"/>
      <c r="I357" s="177"/>
      <c r="J357" s="177"/>
      <c r="K357" s="88"/>
      <c r="L357" s="383"/>
      <c r="M357" s="177"/>
      <c r="N357" s="177"/>
      <c r="O357" s="177"/>
      <c r="P357" s="88"/>
      <c r="Q357" s="151"/>
      <c r="R357" s="177"/>
      <c r="S357" s="177"/>
      <c r="T357" s="177"/>
      <c r="U357" s="391"/>
      <c r="V357" s="383"/>
      <c r="W357" s="177"/>
      <c r="X357" s="177"/>
      <c r="Y357" s="177"/>
      <c r="Z357" s="391"/>
      <c r="AA357" s="383"/>
      <c r="AB357" s="177"/>
      <c r="AC357" s="177"/>
      <c r="AD357" s="177"/>
      <c r="AE357" s="391"/>
      <c r="AF357" s="383"/>
      <c r="AG357" s="177"/>
      <c r="AH357" s="177"/>
      <c r="AI357" s="177"/>
      <c r="AJ357" s="391"/>
      <c r="AK357" s="383"/>
      <c r="AL357" s="177"/>
      <c r="AM357" s="177"/>
      <c r="AN357" s="177"/>
      <c r="AO357" s="366"/>
      <c r="AP357" s="366"/>
      <c r="AQ357" s="366"/>
      <c r="AR357" s="366"/>
      <c r="AS357" s="366"/>
    </row>
    <row r="358">
      <c r="A358" s="391"/>
      <c r="B358" s="383"/>
      <c r="C358" s="177"/>
      <c r="D358" s="177"/>
      <c r="E358" s="177"/>
      <c r="F358" s="391"/>
      <c r="G358" s="383"/>
      <c r="H358" s="177"/>
      <c r="I358" s="177"/>
      <c r="J358" s="177"/>
      <c r="K358" s="88"/>
      <c r="L358" s="383"/>
      <c r="M358" s="177"/>
      <c r="N358" s="177"/>
      <c r="O358" s="177"/>
      <c r="P358" s="88"/>
      <c r="Q358" s="151"/>
      <c r="R358" s="177"/>
      <c r="S358" s="177"/>
      <c r="T358" s="177"/>
      <c r="U358" s="391"/>
      <c r="V358" s="383"/>
      <c r="W358" s="177"/>
      <c r="X358" s="177"/>
      <c r="Y358" s="177"/>
      <c r="Z358" s="391"/>
      <c r="AA358" s="383"/>
      <c r="AB358" s="177"/>
      <c r="AC358" s="177"/>
      <c r="AD358" s="177"/>
      <c r="AE358" s="391"/>
      <c r="AF358" s="383"/>
      <c r="AG358" s="177"/>
      <c r="AH358" s="177"/>
      <c r="AI358" s="177"/>
      <c r="AJ358" s="391"/>
      <c r="AK358" s="383"/>
      <c r="AL358" s="177"/>
      <c r="AM358" s="177"/>
      <c r="AN358" s="177"/>
      <c r="AO358" s="366"/>
      <c r="AP358" s="366"/>
      <c r="AQ358" s="366"/>
      <c r="AR358" s="366"/>
      <c r="AS358" s="366"/>
    </row>
    <row r="359">
      <c r="A359" s="391"/>
      <c r="B359" s="383"/>
      <c r="C359" s="177"/>
      <c r="D359" s="177"/>
      <c r="E359" s="177"/>
      <c r="F359" s="391"/>
      <c r="G359" s="383"/>
      <c r="H359" s="177"/>
      <c r="I359" s="177"/>
      <c r="J359" s="177"/>
      <c r="K359" s="88"/>
      <c r="L359" s="383"/>
      <c r="M359" s="177"/>
      <c r="N359" s="177"/>
      <c r="O359" s="177"/>
      <c r="P359" s="88"/>
      <c r="Q359" s="151"/>
      <c r="R359" s="177"/>
      <c r="S359" s="177"/>
      <c r="T359" s="177"/>
      <c r="U359" s="391"/>
      <c r="V359" s="383"/>
      <c r="W359" s="177"/>
      <c r="X359" s="177"/>
      <c r="Y359" s="177"/>
      <c r="Z359" s="391"/>
      <c r="AA359" s="383"/>
      <c r="AB359" s="177"/>
      <c r="AC359" s="177"/>
      <c r="AD359" s="177"/>
      <c r="AE359" s="391"/>
      <c r="AF359" s="383"/>
      <c r="AG359" s="177"/>
      <c r="AH359" s="177"/>
      <c r="AI359" s="177"/>
      <c r="AJ359" s="391"/>
      <c r="AK359" s="383"/>
      <c r="AL359" s="177"/>
      <c r="AM359" s="177"/>
      <c r="AN359" s="177"/>
      <c r="AO359" s="366"/>
      <c r="AP359" s="366"/>
      <c r="AQ359" s="366"/>
      <c r="AR359" s="366"/>
      <c r="AS359" s="366"/>
    </row>
    <row r="360">
      <c r="A360" s="391"/>
      <c r="B360" s="383"/>
      <c r="C360" s="177"/>
      <c r="D360" s="177"/>
      <c r="E360" s="177"/>
      <c r="F360" s="391"/>
      <c r="G360" s="383"/>
      <c r="H360" s="177"/>
      <c r="I360" s="177"/>
      <c r="J360" s="177"/>
      <c r="K360" s="88"/>
      <c r="L360" s="383"/>
      <c r="M360" s="177"/>
      <c r="N360" s="177"/>
      <c r="O360" s="177"/>
      <c r="P360" s="88"/>
      <c r="Q360" s="151"/>
      <c r="R360" s="177"/>
      <c r="S360" s="177"/>
      <c r="T360" s="177"/>
      <c r="U360" s="391"/>
      <c r="V360" s="383"/>
      <c r="W360" s="177"/>
      <c r="X360" s="177"/>
      <c r="Y360" s="177"/>
      <c r="Z360" s="391"/>
      <c r="AA360" s="383"/>
      <c r="AB360" s="177"/>
      <c r="AC360" s="177"/>
      <c r="AD360" s="177"/>
      <c r="AE360" s="391"/>
      <c r="AF360" s="383"/>
      <c r="AG360" s="177"/>
      <c r="AH360" s="177"/>
      <c r="AI360" s="177"/>
      <c r="AJ360" s="391"/>
      <c r="AK360" s="383"/>
      <c r="AL360" s="177"/>
      <c r="AM360" s="177"/>
      <c r="AN360" s="177"/>
      <c r="AO360" s="366"/>
      <c r="AP360" s="366"/>
      <c r="AQ360" s="366"/>
      <c r="AR360" s="366"/>
      <c r="AS360" s="366"/>
    </row>
    <row r="361">
      <c r="A361" s="391"/>
      <c r="B361" s="383"/>
      <c r="C361" s="177"/>
      <c r="D361" s="177"/>
      <c r="E361" s="177"/>
      <c r="F361" s="391"/>
      <c r="G361" s="383"/>
      <c r="H361" s="177"/>
      <c r="I361" s="177"/>
      <c r="J361" s="177"/>
      <c r="K361" s="88"/>
      <c r="L361" s="383"/>
      <c r="M361" s="177"/>
      <c r="N361" s="177"/>
      <c r="O361" s="177"/>
      <c r="P361" s="88"/>
      <c r="Q361" s="151"/>
      <c r="R361" s="177"/>
      <c r="S361" s="177"/>
      <c r="T361" s="177"/>
      <c r="U361" s="391"/>
      <c r="V361" s="383"/>
      <c r="W361" s="177"/>
      <c r="X361" s="177"/>
      <c r="Y361" s="177"/>
      <c r="Z361" s="391"/>
      <c r="AA361" s="383"/>
      <c r="AB361" s="177"/>
      <c r="AC361" s="177"/>
      <c r="AD361" s="177"/>
      <c r="AE361" s="391"/>
      <c r="AF361" s="383"/>
      <c r="AG361" s="177"/>
      <c r="AH361" s="177"/>
      <c r="AI361" s="177"/>
      <c r="AJ361" s="391"/>
      <c r="AK361" s="383"/>
      <c r="AL361" s="177"/>
      <c r="AM361" s="177"/>
      <c r="AN361" s="177"/>
      <c r="AO361" s="366"/>
      <c r="AP361" s="366"/>
      <c r="AQ361" s="366"/>
      <c r="AR361" s="366"/>
      <c r="AS361" s="366"/>
    </row>
    <row r="362">
      <c r="A362" s="391"/>
      <c r="B362" s="383"/>
      <c r="C362" s="177"/>
      <c r="D362" s="177"/>
      <c r="E362" s="177"/>
      <c r="F362" s="391"/>
      <c r="G362" s="383"/>
      <c r="H362" s="177"/>
      <c r="I362" s="177"/>
      <c r="J362" s="177"/>
      <c r="K362" s="88"/>
      <c r="L362" s="383"/>
      <c r="M362" s="177"/>
      <c r="N362" s="177"/>
      <c r="O362" s="177"/>
      <c r="P362" s="88"/>
      <c r="Q362" s="151"/>
      <c r="R362" s="177"/>
      <c r="S362" s="177"/>
      <c r="T362" s="177"/>
      <c r="U362" s="391"/>
      <c r="V362" s="383"/>
      <c r="W362" s="177"/>
      <c r="X362" s="177"/>
      <c r="Y362" s="177"/>
      <c r="Z362" s="391"/>
      <c r="AA362" s="383"/>
      <c r="AB362" s="177"/>
      <c r="AC362" s="177"/>
      <c r="AD362" s="177"/>
      <c r="AE362" s="391"/>
      <c r="AF362" s="383"/>
      <c r="AG362" s="177"/>
      <c r="AH362" s="177"/>
      <c r="AI362" s="177"/>
      <c r="AJ362" s="391"/>
      <c r="AK362" s="383"/>
      <c r="AL362" s="177"/>
      <c r="AM362" s="177"/>
      <c r="AN362" s="177"/>
      <c r="AO362" s="366"/>
      <c r="AP362" s="366"/>
      <c r="AQ362" s="366"/>
      <c r="AR362" s="366"/>
      <c r="AS362" s="366"/>
    </row>
    <row r="363">
      <c r="A363" s="391"/>
      <c r="B363" s="383"/>
      <c r="C363" s="177"/>
      <c r="D363" s="177"/>
      <c r="E363" s="177"/>
      <c r="F363" s="391"/>
      <c r="G363" s="383"/>
      <c r="H363" s="177"/>
      <c r="I363" s="177"/>
      <c r="J363" s="177"/>
      <c r="K363" s="88"/>
      <c r="L363" s="383"/>
      <c r="M363" s="177"/>
      <c r="N363" s="177"/>
      <c r="O363" s="177"/>
      <c r="P363" s="88"/>
      <c r="Q363" s="151"/>
      <c r="R363" s="177"/>
      <c r="S363" s="177"/>
      <c r="T363" s="177"/>
      <c r="U363" s="391"/>
      <c r="V363" s="383"/>
      <c r="W363" s="177"/>
      <c r="X363" s="177"/>
      <c r="Y363" s="177"/>
      <c r="Z363" s="391"/>
      <c r="AA363" s="383"/>
      <c r="AB363" s="177"/>
      <c r="AC363" s="177"/>
      <c r="AD363" s="177"/>
      <c r="AE363" s="391"/>
      <c r="AF363" s="383"/>
      <c r="AG363" s="177"/>
      <c r="AH363" s="177"/>
      <c r="AI363" s="177"/>
      <c r="AJ363" s="391"/>
      <c r="AK363" s="383"/>
      <c r="AL363" s="177"/>
      <c r="AM363" s="177"/>
      <c r="AN363" s="177"/>
      <c r="AO363" s="366"/>
      <c r="AP363" s="366"/>
      <c r="AQ363" s="366"/>
      <c r="AR363" s="366"/>
      <c r="AS363" s="366"/>
    </row>
    <row r="364">
      <c r="A364" s="391"/>
      <c r="B364" s="383"/>
      <c r="C364" s="177"/>
      <c r="D364" s="177"/>
      <c r="E364" s="177"/>
      <c r="F364" s="391"/>
      <c r="G364" s="383"/>
      <c r="H364" s="177"/>
      <c r="I364" s="177"/>
      <c r="J364" s="177"/>
      <c r="K364" s="88"/>
      <c r="L364" s="383"/>
      <c r="M364" s="177"/>
      <c r="N364" s="177"/>
      <c r="O364" s="177"/>
      <c r="P364" s="88"/>
      <c r="Q364" s="151"/>
      <c r="R364" s="177"/>
      <c r="S364" s="177"/>
      <c r="T364" s="177"/>
      <c r="U364" s="391"/>
      <c r="V364" s="383"/>
      <c r="W364" s="177"/>
      <c r="X364" s="177"/>
      <c r="Y364" s="177"/>
      <c r="Z364" s="391"/>
      <c r="AA364" s="383"/>
      <c r="AB364" s="177"/>
      <c r="AC364" s="177"/>
      <c r="AD364" s="177"/>
      <c r="AE364" s="391"/>
      <c r="AF364" s="383"/>
      <c r="AG364" s="177"/>
      <c r="AH364" s="177"/>
      <c r="AI364" s="177"/>
      <c r="AJ364" s="391"/>
      <c r="AK364" s="383"/>
      <c r="AL364" s="177"/>
      <c r="AM364" s="177"/>
      <c r="AN364" s="177"/>
      <c r="AO364" s="366"/>
      <c r="AP364" s="366"/>
      <c r="AQ364" s="366"/>
      <c r="AR364" s="366"/>
      <c r="AS364" s="366"/>
    </row>
    <row r="365">
      <c r="A365" s="391"/>
      <c r="B365" s="383"/>
      <c r="C365" s="177"/>
      <c r="D365" s="177"/>
      <c r="E365" s="177"/>
      <c r="F365" s="391"/>
      <c r="G365" s="383"/>
      <c r="H365" s="177"/>
      <c r="I365" s="177"/>
      <c r="J365" s="177"/>
      <c r="K365" s="88"/>
      <c r="L365" s="383"/>
      <c r="M365" s="177"/>
      <c r="N365" s="177"/>
      <c r="O365" s="177"/>
      <c r="P365" s="88"/>
      <c r="Q365" s="151"/>
      <c r="R365" s="177"/>
      <c r="S365" s="177"/>
      <c r="T365" s="177"/>
      <c r="U365" s="391"/>
      <c r="V365" s="383"/>
      <c r="W365" s="177"/>
      <c r="X365" s="177"/>
      <c r="Y365" s="177"/>
      <c r="Z365" s="391"/>
      <c r="AA365" s="383"/>
      <c r="AB365" s="177"/>
      <c r="AC365" s="177"/>
      <c r="AD365" s="177"/>
      <c r="AE365" s="391"/>
      <c r="AF365" s="383"/>
      <c r="AG365" s="177"/>
      <c r="AH365" s="177"/>
      <c r="AI365" s="177"/>
      <c r="AJ365" s="391"/>
      <c r="AK365" s="383"/>
      <c r="AL365" s="177"/>
      <c r="AM365" s="177"/>
      <c r="AN365" s="177"/>
      <c r="AO365" s="366"/>
      <c r="AP365" s="366"/>
      <c r="AQ365" s="366"/>
      <c r="AR365" s="366"/>
      <c r="AS365" s="366"/>
    </row>
    <row r="366">
      <c r="A366" s="391"/>
      <c r="B366" s="383"/>
      <c r="C366" s="177"/>
      <c r="D366" s="177"/>
      <c r="E366" s="177"/>
      <c r="F366" s="391"/>
      <c r="G366" s="383"/>
      <c r="H366" s="177"/>
      <c r="I366" s="177"/>
      <c r="J366" s="177"/>
      <c r="K366" s="88"/>
      <c r="L366" s="383"/>
      <c r="M366" s="177"/>
      <c r="N366" s="177"/>
      <c r="O366" s="177"/>
      <c r="P366" s="88"/>
      <c r="Q366" s="151"/>
      <c r="R366" s="177"/>
      <c r="S366" s="177"/>
      <c r="T366" s="177"/>
      <c r="U366" s="391"/>
      <c r="V366" s="383"/>
      <c r="W366" s="177"/>
      <c r="X366" s="177"/>
      <c r="Y366" s="177"/>
      <c r="Z366" s="391"/>
      <c r="AA366" s="383"/>
      <c r="AB366" s="177"/>
      <c r="AC366" s="177"/>
      <c r="AD366" s="177"/>
      <c r="AE366" s="391"/>
      <c r="AF366" s="383"/>
      <c r="AG366" s="177"/>
      <c r="AH366" s="177"/>
      <c r="AI366" s="177"/>
      <c r="AJ366" s="391"/>
      <c r="AK366" s="383"/>
      <c r="AL366" s="177"/>
      <c r="AM366" s="177"/>
      <c r="AN366" s="177"/>
      <c r="AO366" s="366"/>
      <c r="AP366" s="366"/>
      <c r="AQ366" s="366"/>
      <c r="AR366" s="366"/>
      <c r="AS366" s="366"/>
    </row>
    <row r="367">
      <c r="A367" s="391"/>
      <c r="B367" s="383"/>
      <c r="C367" s="177"/>
      <c r="D367" s="177"/>
      <c r="E367" s="177"/>
      <c r="F367" s="391"/>
      <c r="G367" s="383"/>
      <c r="H367" s="177"/>
      <c r="I367" s="177"/>
      <c r="J367" s="177"/>
      <c r="K367" s="88"/>
      <c r="L367" s="383"/>
      <c r="M367" s="177"/>
      <c r="N367" s="177"/>
      <c r="O367" s="177"/>
      <c r="P367" s="88"/>
      <c r="Q367" s="151"/>
      <c r="R367" s="177"/>
      <c r="S367" s="177"/>
      <c r="T367" s="177"/>
      <c r="U367" s="391"/>
      <c r="V367" s="383"/>
      <c r="W367" s="177"/>
      <c r="X367" s="177"/>
      <c r="Y367" s="177"/>
      <c r="Z367" s="391"/>
      <c r="AA367" s="383"/>
      <c r="AB367" s="177"/>
      <c r="AC367" s="177"/>
      <c r="AD367" s="177"/>
      <c r="AE367" s="391"/>
      <c r="AF367" s="383"/>
      <c r="AG367" s="177"/>
      <c r="AH367" s="177"/>
      <c r="AI367" s="177"/>
      <c r="AJ367" s="391"/>
      <c r="AK367" s="383"/>
      <c r="AL367" s="177"/>
      <c r="AM367" s="177"/>
      <c r="AN367" s="177"/>
      <c r="AO367" s="366"/>
      <c r="AP367" s="366"/>
      <c r="AQ367" s="366"/>
      <c r="AR367" s="366"/>
      <c r="AS367" s="366"/>
    </row>
    <row r="368">
      <c r="A368" s="391"/>
      <c r="B368" s="383"/>
      <c r="C368" s="177"/>
      <c r="D368" s="177"/>
      <c r="E368" s="177"/>
      <c r="F368" s="391"/>
      <c r="G368" s="383"/>
      <c r="H368" s="177"/>
      <c r="I368" s="177"/>
      <c r="J368" s="177"/>
      <c r="K368" s="88"/>
      <c r="L368" s="383"/>
      <c r="M368" s="177"/>
      <c r="N368" s="177"/>
      <c r="O368" s="177"/>
      <c r="P368" s="88"/>
      <c r="Q368" s="151"/>
      <c r="R368" s="177"/>
      <c r="S368" s="177"/>
      <c r="T368" s="177"/>
      <c r="U368" s="391"/>
      <c r="V368" s="383"/>
      <c r="W368" s="177"/>
      <c r="X368" s="177"/>
      <c r="Y368" s="177"/>
      <c r="Z368" s="391"/>
      <c r="AA368" s="383"/>
      <c r="AB368" s="177"/>
      <c r="AC368" s="177"/>
      <c r="AD368" s="177"/>
      <c r="AE368" s="391"/>
      <c r="AF368" s="383"/>
      <c r="AG368" s="177"/>
      <c r="AH368" s="177"/>
      <c r="AI368" s="177"/>
      <c r="AJ368" s="391"/>
      <c r="AK368" s="383"/>
      <c r="AL368" s="177"/>
      <c r="AM368" s="177"/>
      <c r="AN368" s="177"/>
      <c r="AO368" s="366"/>
      <c r="AP368" s="366"/>
      <c r="AQ368" s="366"/>
      <c r="AR368" s="366"/>
      <c r="AS368" s="366"/>
    </row>
    <row r="369">
      <c r="A369" s="391"/>
      <c r="B369" s="383"/>
      <c r="C369" s="177"/>
      <c r="D369" s="177"/>
      <c r="E369" s="177"/>
      <c r="F369" s="391"/>
      <c r="G369" s="383"/>
      <c r="H369" s="177"/>
      <c r="I369" s="177"/>
      <c r="J369" s="177"/>
      <c r="K369" s="88"/>
      <c r="L369" s="383"/>
      <c r="M369" s="177"/>
      <c r="N369" s="177"/>
      <c r="O369" s="177"/>
      <c r="P369" s="88"/>
      <c r="Q369" s="151"/>
      <c r="R369" s="177"/>
      <c r="S369" s="177"/>
      <c r="T369" s="177"/>
      <c r="U369" s="391"/>
      <c r="V369" s="383"/>
      <c r="W369" s="177"/>
      <c r="X369" s="177"/>
      <c r="Y369" s="177"/>
      <c r="Z369" s="391"/>
      <c r="AA369" s="383"/>
      <c r="AB369" s="177"/>
      <c r="AC369" s="177"/>
      <c r="AD369" s="177"/>
      <c r="AE369" s="391"/>
      <c r="AF369" s="383"/>
      <c r="AG369" s="177"/>
      <c r="AH369" s="177"/>
      <c r="AI369" s="177"/>
      <c r="AJ369" s="391"/>
      <c r="AK369" s="383"/>
      <c r="AL369" s="177"/>
      <c r="AM369" s="177"/>
      <c r="AN369" s="177"/>
      <c r="AO369" s="366"/>
      <c r="AP369" s="366"/>
      <c r="AQ369" s="366"/>
      <c r="AR369" s="366"/>
      <c r="AS369" s="366"/>
    </row>
    <row r="370">
      <c r="A370" s="391"/>
      <c r="B370" s="383"/>
      <c r="C370" s="177"/>
      <c r="D370" s="177"/>
      <c r="E370" s="177"/>
      <c r="F370" s="391"/>
      <c r="G370" s="383"/>
      <c r="H370" s="177"/>
      <c r="I370" s="177"/>
      <c r="J370" s="177"/>
      <c r="K370" s="88"/>
      <c r="L370" s="383"/>
      <c r="M370" s="177"/>
      <c r="N370" s="177"/>
      <c r="O370" s="177"/>
      <c r="P370" s="88"/>
      <c r="Q370" s="151"/>
      <c r="R370" s="177"/>
      <c r="S370" s="177"/>
      <c r="T370" s="177"/>
      <c r="U370" s="391"/>
      <c r="V370" s="383"/>
      <c r="W370" s="177"/>
      <c r="X370" s="177"/>
      <c r="Y370" s="177"/>
      <c r="Z370" s="391"/>
      <c r="AA370" s="383"/>
      <c r="AB370" s="177"/>
      <c r="AC370" s="177"/>
      <c r="AD370" s="177"/>
      <c r="AE370" s="391"/>
      <c r="AF370" s="383"/>
      <c r="AG370" s="177"/>
      <c r="AH370" s="177"/>
      <c r="AI370" s="177"/>
      <c r="AJ370" s="391"/>
      <c r="AK370" s="383"/>
      <c r="AL370" s="177"/>
      <c r="AM370" s="177"/>
      <c r="AN370" s="177"/>
      <c r="AO370" s="366"/>
      <c r="AP370" s="366"/>
      <c r="AQ370" s="366"/>
      <c r="AR370" s="366"/>
      <c r="AS370" s="366"/>
    </row>
    <row r="371">
      <c r="A371" s="391"/>
      <c r="B371" s="383"/>
      <c r="C371" s="177"/>
      <c r="D371" s="177"/>
      <c r="E371" s="177"/>
      <c r="F371" s="391"/>
      <c r="G371" s="383"/>
      <c r="H371" s="177"/>
      <c r="I371" s="177"/>
      <c r="J371" s="177"/>
      <c r="K371" s="88"/>
      <c r="L371" s="383"/>
      <c r="M371" s="177"/>
      <c r="N371" s="177"/>
      <c r="O371" s="177"/>
      <c r="P371" s="88"/>
      <c r="Q371" s="151"/>
      <c r="R371" s="177"/>
      <c r="S371" s="177"/>
      <c r="T371" s="177"/>
      <c r="U371" s="391"/>
      <c r="V371" s="383"/>
      <c r="W371" s="177"/>
      <c r="X371" s="177"/>
      <c r="Y371" s="177"/>
      <c r="Z371" s="391"/>
      <c r="AA371" s="383"/>
      <c r="AB371" s="177"/>
      <c r="AC371" s="177"/>
      <c r="AD371" s="177"/>
      <c r="AE371" s="391"/>
      <c r="AF371" s="383"/>
      <c r="AG371" s="177"/>
      <c r="AH371" s="177"/>
      <c r="AI371" s="177"/>
      <c r="AJ371" s="391"/>
      <c r="AK371" s="383"/>
      <c r="AL371" s="177"/>
      <c r="AM371" s="177"/>
      <c r="AN371" s="177"/>
      <c r="AO371" s="366"/>
      <c r="AP371" s="366"/>
      <c r="AQ371" s="366"/>
      <c r="AR371" s="366"/>
      <c r="AS371" s="366"/>
    </row>
    <row r="372">
      <c r="A372" s="391"/>
      <c r="B372" s="383"/>
      <c r="C372" s="177"/>
      <c r="D372" s="177"/>
      <c r="E372" s="177"/>
      <c r="F372" s="391"/>
      <c r="G372" s="383"/>
      <c r="H372" s="177"/>
      <c r="I372" s="177"/>
      <c r="J372" s="177"/>
      <c r="K372" s="88"/>
      <c r="L372" s="383"/>
      <c r="M372" s="177"/>
      <c r="N372" s="177"/>
      <c r="O372" s="177"/>
      <c r="P372" s="88"/>
      <c r="Q372" s="151"/>
      <c r="R372" s="177"/>
      <c r="S372" s="177"/>
      <c r="T372" s="177"/>
      <c r="U372" s="391"/>
      <c r="V372" s="383"/>
      <c r="W372" s="177"/>
      <c r="X372" s="177"/>
      <c r="Y372" s="177"/>
      <c r="Z372" s="391"/>
      <c r="AA372" s="383"/>
      <c r="AB372" s="177"/>
      <c r="AC372" s="177"/>
      <c r="AD372" s="177"/>
      <c r="AE372" s="391"/>
      <c r="AF372" s="383"/>
      <c r="AG372" s="177"/>
      <c r="AH372" s="177"/>
      <c r="AI372" s="177"/>
      <c r="AJ372" s="391"/>
      <c r="AK372" s="383"/>
      <c r="AL372" s="177"/>
      <c r="AM372" s="177"/>
      <c r="AN372" s="177"/>
      <c r="AO372" s="366"/>
      <c r="AP372" s="366"/>
      <c r="AQ372" s="366"/>
      <c r="AR372" s="366"/>
      <c r="AS372" s="366"/>
    </row>
    <row r="373">
      <c r="A373" s="391"/>
      <c r="B373" s="383"/>
      <c r="C373" s="177"/>
      <c r="D373" s="177"/>
      <c r="E373" s="177"/>
      <c r="F373" s="391"/>
      <c r="G373" s="383"/>
      <c r="H373" s="177"/>
      <c r="I373" s="177"/>
      <c r="J373" s="177"/>
      <c r="K373" s="88"/>
      <c r="L373" s="383"/>
      <c r="M373" s="177"/>
      <c r="N373" s="177"/>
      <c r="O373" s="177"/>
      <c r="P373" s="88"/>
      <c r="Q373" s="151"/>
      <c r="R373" s="177"/>
      <c r="S373" s="177"/>
      <c r="T373" s="177"/>
      <c r="U373" s="391"/>
      <c r="V373" s="383"/>
      <c r="W373" s="177"/>
      <c r="X373" s="177"/>
      <c r="Y373" s="177"/>
      <c r="Z373" s="391"/>
      <c r="AA373" s="383"/>
      <c r="AB373" s="177"/>
      <c r="AC373" s="177"/>
      <c r="AD373" s="177"/>
      <c r="AE373" s="391"/>
      <c r="AF373" s="383"/>
      <c r="AG373" s="177"/>
      <c r="AH373" s="177"/>
      <c r="AI373" s="177"/>
      <c r="AJ373" s="391"/>
      <c r="AK373" s="383"/>
      <c r="AL373" s="177"/>
      <c r="AM373" s="177"/>
      <c r="AN373" s="177"/>
      <c r="AO373" s="366"/>
      <c r="AP373" s="366"/>
      <c r="AQ373" s="366"/>
      <c r="AR373" s="366"/>
      <c r="AS373" s="366"/>
    </row>
    <row r="374">
      <c r="A374" s="391"/>
      <c r="B374" s="383"/>
      <c r="C374" s="177"/>
      <c r="D374" s="177"/>
      <c r="E374" s="177"/>
      <c r="F374" s="391"/>
      <c r="G374" s="383"/>
      <c r="H374" s="177"/>
      <c r="I374" s="177"/>
      <c r="J374" s="177"/>
      <c r="K374" s="88"/>
      <c r="L374" s="383"/>
      <c r="M374" s="177"/>
      <c r="N374" s="177"/>
      <c r="O374" s="177"/>
      <c r="P374" s="88"/>
      <c r="Q374" s="151"/>
      <c r="R374" s="177"/>
      <c r="S374" s="177"/>
      <c r="T374" s="177"/>
      <c r="U374" s="391"/>
      <c r="V374" s="383"/>
      <c r="W374" s="177"/>
      <c r="X374" s="177"/>
      <c r="Y374" s="177"/>
      <c r="Z374" s="391"/>
      <c r="AA374" s="383"/>
      <c r="AB374" s="177"/>
      <c r="AC374" s="177"/>
      <c r="AD374" s="177"/>
      <c r="AE374" s="391"/>
      <c r="AF374" s="383"/>
      <c r="AG374" s="177"/>
      <c r="AH374" s="177"/>
      <c r="AI374" s="177"/>
      <c r="AJ374" s="391"/>
      <c r="AK374" s="383"/>
      <c r="AL374" s="177"/>
      <c r="AM374" s="177"/>
      <c r="AN374" s="177"/>
      <c r="AO374" s="366"/>
      <c r="AP374" s="366"/>
      <c r="AQ374" s="366"/>
      <c r="AR374" s="366"/>
      <c r="AS374" s="366"/>
    </row>
    <row r="375">
      <c r="A375" s="391"/>
      <c r="B375" s="383"/>
      <c r="C375" s="177"/>
      <c r="D375" s="177"/>
      <c r="E375" s="177"/>
      <c r="F375" s="391"/>
      <c r="G375" s="383"/>
      <c r="H375" s="177"/>
      <c r="I375" s="177"/>
      <c r="J375" s="177"/>
      <c r="K375" s="88"/>
      <c r="L375" s="383"/>
      <c r="M375" s="177"/>
      <c r="N375" s="177"/>
      <c r="O375" s="177"/>
      <c r="P375" s="88"/>
      <c r="Q375" s="151"/>
      <c r="R375" s="177"/>
      <c r="S375" s="177"/>
      <c r="T375" s="177"/>
      <c r="U375" s="391"/>
      <c r="V375" s="383"/>
      <c r="W375" s="177"/>
      <c r="X375" s="177"/>
      <c r="Y375" s="177"/>
      <c r="Z375" s="391"/>
      <c r="AA375" s="383"/>
      <c r="AB375" s="177"/>
      <c r="AC375" s="177"/>
      <c r="AD375" s="177"/>
      <c r="AE375" s="391"/>
      <c r="AF375" s="383"/>
      <c r="AG375" s="177"/>
      <c r="AH375" s="177"/>
      <c r="AI375" s="177"/>
      <c r="AJ375" s="391"/>
      <c r="AK375" s="383"/>
      <c r="AL375" s="177"/>
      <c r="AM375" s="177"/>
      <c r="AN375" s="177"/>
      <c r="AO375" s="366"/>
      <c r="AP375" s="366"/>
      <c r="AQ375" s="366"/>
      <c r="AR375" s="366"/>
      <c r="AS375" s="366"/>
    </row>
    <row r="376">
      <c r="A376" s="391"/>
      <c r="B376" s="383"/>
      <c r="C376" s="177"/>
      <c r="D376" s="177"/>
      <c r="E376" s="177"/>
      <c r="F376" s="391"/>
      <c r="G376" s="383"/>
      <c r="H376" s="177"/>
      <c r="I376" s="177"/>
      <c r="J376" s="177"/>
      <c r="K376" s="88"/>
      <c r="L376" s="383"/>
      <c r="M376" s="177"/>
      <c r="N376" s="177"/>
      <c r="O376" s="177"/>
      <c r="P376" s="88"/>
      <c r="Q376" s="151"/>
      <c r="R376" s="177"/>
      <c r="S376" s="177"/>
      <c r="T376" s="177"/>
      <c r="U376" s="391"/>
      <c r="V376" s="383"/>
      <c r="W376" s="177"/>
      <c r="X376" s="177"/>
      <c r="Y376" s="177"/>
      <c r="Z376" s="391"/>
      <c r="AA376" s="383"/>
      <c r="AB376" s="177"/>
      <c r="AC376" s="177"/>
      <c r="AD376" s="177"/>
      <c r="AE376" s="391"/>
      <c r="AF376" s="383"/>
      <c r="AG376" s="177"/>
      <c r="AH376" s="177"/>
      <c r="AI376" s="177"/>
      <c r="AJ376" s="391"/>
      <c r="AK376" s="383"/>
      <c r="AL376" s="177"/>
      <c r="AM376" s="177"/>
      <c r="AN376" s="177"/>
      <c r="AO376" s="366"/>
      <c r="AP376" s="366"/>
      <c r="AQ376" s="366"/>
      <c r="AR376" s="366"/>
      <c r="AS376" s="366"/>
    </row>
    <row r="377">
      <c r="A377" s="391"/>
      <c r="B377" s="383"/>
      <c r="C377" s="177"/>
      <c r="D377" s="177"/>
      <c r="E377" s="177"/>
      <c r="F377" s="391"/>
      <c r="G377" s="383"/>
      <c r="H377" s="177"/>
      <c r="I377" s="177"/>
      <c r="J377" s="177"/>
      <c r="K377" s="88"/>
      <c r="L377" s="383"/>
      <c r="M377" s="177"/>
      <c r="N377" s="177"/>
      <c r="O377" s="177"/>
      <c r="P377" s="88"/>
      <c r="Q377" s="151"/>
      <c r="R377" s="177"/>
      <c r="S377" s="177"/>
      <c r="T377" s="177"/>
      <c r="U377" s="391"/>
      <c r="V377" s="383"/>
      <c r="W377" s="177"/>
      <c r="X377" s="177"/>
      <c r="Y377" s="177"/>
      <c r="Z377" s="391"/>
      <c r="AA377" s="383"/>
      <c r="AB377" s="177"/>
      <c r="AC377" s="177"/>
      <c r="AD377" s="177"/>
      <c r="AE377" s="391"/>
      <c r="AF377" s="383"/>
      <c r="AG377" s="177"/>
      <c r="AH377" s="177"/>
      <c r="AI377" s="177"/>
      <c r="AJ377" s="391"/>
      <c r="AK377" s="383"/>
      <c r="AL377" s="177"/>
      <c r="AM377" s="177"/>
      <c r="AN377" s="177"/>
      <c r="AO377" s="366"/>
      <c r="AP377" s="366"/>
      <c r="AQ377" s="366"/>
      <c r="AR377" s="366"/>
      <c r="AS377" s="366"/>
    </row>
    <row r="378">
      <c r="A378" s="391"/>
      <c r="B378" s="383"/>
      <c r="C378" s="177"/>
      <c r="D378" s="177"/>
      <c r="E378" s="177"/>
      <c r="F378" s="391"/>
      <c r="G378" s="383"/>
      <c r="H378" s="177"/>
      <c r="I378" s="177"/>
      <c r="J378" s="177"/>
      <c r="K378" s="88"/>
      <c r="L378" s="383"/>
      <c r="M378" s="177"/>
      <c r="N378" s="177"/>
      <c r="O378" s="177"/>
      <c r="P378" s="88"/>
      <c r="Q378" s="151"/>
      <c r="R378" s="177"/>
      <c r="S378" s="177"/>
      <c r="T378" s="177"/>
      <c r="U378" s="391"/>
      <c r="V378" s="383"/>
      <c r="W378" s="177"/>
      <c r="X378" s="177"/>
      <c r="Y378" s="177"/>
      <c r="Z378" s="391"/>
      <c r="AA378" s="383"/>
      <c r="AB378" s="177"/>
      <c r="AC378" s="177"/>
      <c r="AD378" s="177"/>
      <c r="AE378" s="391"/>
      <c r="AF378" s="383"/>
      <c r="AG378" s="177"/>
      <c r="AH378" s="177"/>
      <c r="AI378" s="177"/>
      <c r="AJ378" s="391"/>
      <c r="AK378" s="383"/>
      <c r="AL378" s="177"/>
      <c r="AM378" s="177"/>
      <c r="AN378" s="177"/>
      <c r="AO378" s="366"/>
      <c r="AP378" s="366"/>
      <c r="AQ378" s="366"/>
      <c r="AR378" s="366"/>
      <c r="AS378" s="366"/>
    </row>
    <row r="379">
      <c r="A379" s="391"/>
      <c r="B379" s="383"/>
      <c r="C379" s="177"/>
      <c r="D379" s="177"/>
      <c r="E379" s="177"/>
      <c r="F379" s="391"/>
      <c r="G379" s="383"/>
      <c r="H379" s="177"/>
      <c r="I379" s="177"/>
      <c r="J379" s="177"/>
      <c r="K379" s="88"/>
      <c r="L379" s="383"/>
      <c r="M379" s="177"/>
      <c r="N379" s="177"/>
      <c r="O379" s="177"/>
      <c r="P379" s="88"/>
      <c r="Q379" s="151"/>
      <c r="R379" s="177"/>
      <c r="S379" s="177"/>
      <c r="T379" s="177"/>
      <c r="U379" s="391"/>
      <c r="V379" s="383"/>
      <c r="W379" s="177"/>
      <c r="X379" s="177"/>
      <c r="Y379" s="177"/>
      <c r="Z379" s="391"/>
      <c r="AA379" s="383"/>
      <c r="AB379" s="177"/>
      <c r="AC379" s="177"/>
      <c r="AD379" s="177"/>
      <c r="AE379" s="391"/>
      <c r="AF379" s="383"/>
      <c r="AG379" s="177"/>
      <c r="AH379" s="177"/>
      <c r="AI379" s="177"/>
      <c r="AJ379" s="391"/>
      <c r="AK379" s="383"/>
      <c r="AL379" s="177"/>
      <c r="AM379" s="177"/>
      <c r="AN379" s="177"/>
      <c r="AO379" s="366"/>
      <c r="AP379" s="366"/>
      <c r="AQ379" s="366"/>
      <c r="AR379" s="366"/>
      <c r="AS379" s="366"/>
    </row>
    <row r="380">
      <c r="A380" s="391"/>
      <c r="B380" s="383"/>
      <c r="C380" s="177"/>
      <c r="D380" s="177"/>
      <c r="E380" s="177"/>
      <c r="F380" s="391"/>
      <c r="G380" s="383"/>
      <c r="H380" s="177"/>
      <c r="I380" s="177"/>
      <c r="J380" s="177"/>
      <c r="K380" s="88"/>
      <c r="L380" s="383"/>
      <c r="M380" s="177"/>
      <c r="N380" s="177"/>
      <c r="O380" s="177"/>
      <c r="P380" s="88"/>
      <c r="Q380" s="151"/>
      <c r="R380" s="177"/>
      <c r="S380" s="177"/>
      <c r="T380" s="177"/>
      <c r="U380" s="391"/>
      <c r="V380" s="383"/>
      <c r="W380" s="177"/>
      <c r="X380" s="177"/>
      <c r="Y380" s="177"/>
      <c r="Z380" s="391"/>
      <c r="AA380" s="383"/>
      <c r="AB380" s="177"/>
      <c r="AC380" s="177"/>
      <c r="AD380" s="177"/>
      <c r="AE380" s="391"/>
      <c r="AF380" s="383"/>
      <c r="AG380" s="177"/>
      <c r="AH380" s="177"/>
      <c r="AI380" s="177"/>
      <c r="AJ380" s="391"/>
      <c r="AK380" s="383"/>
      <c r="AL380" s="177"/>
      <c r="AM380" s="177"/>
      <c r="AN380" s="177"/>
      <c r="AO380" s="366"/>
      <c r="AP380" s="366"/>
      <c r="AQ380" s="366"/>
      <c r="AR380" s="366"/>
      <c r="AS380" s="366"/>
    </row>
    <row r="381">
      <c r="A381" s="391"/>
      <c r="B381" s="383"/>
      <c r="C381" s="177"/>
      <c r="D381" s="177"/>
      <c r="E381" s="177"/>
      <c r="F381" s="391"/>
      <c r="G381" s="383"/>
      <c r="H381" s="177"/>
      <c r="I381" s="177"/>
      <c r="J381" s="177"/>
      <c r="K381" s="88"/>
      <c r="L381" s="383"/>
      <c r="M381" s="177"/>
      <c r="N381" s="177"/>
      <c r="O381" s="177"/>
      <c r="P381" s="88"/>
      <c r="Q381" s="151"/>
      <c r="R381" s="177"/>
      <c r="S381" s="177"/>
      <c r="T381" s="177"/>
      <c r="U381" s="391"/>
      <c r="V381" s="383"/>
      <c r="W381" s="177"/>
      <c r="X381" s="177"/>
      <c r="Y381" s="177"/>
      <c r="Z381" s="391"/>
      <c r="AA381" s="383"/>
      <c r="AB381" s="177"/>
      <c r="AC381" s="177"/>
      <c r="AD381" s="177"/>
      <c r="AE381" s="391"/>
      <c r="AF381" s="383"/>
      <c r="AG381" s="177"/>
      <c r="AH381" s="177"/>
      <c r="AI381" s="177"/>
      <c r="AJ381" s="391"/>
      <c r="AK381" s="383"/>
      <c r="AL381" s="177"/>
      <c r="AM381" s="177"/>
      <c r="AN381" s="177"/>
      <c r="AO381" s="366"/>
      <c r="AP381" s="366"/>
      <c r="AQ381" s="366"/>
      <c r="AR381" s="366"/>
      <c r="AS381" s="366"/>
    </row>
    <row r="382">
      <c r="A382" s="391"/>
      <c r="B382" s="383"/>
      <c r="C382" s="177"/>
      <c r="D382" s="177"/>
      <c r="E382" s="177"/>
      <c r="F382" s="391"/>
      <c r="G382" s="383"/>
      <c r="H382" s="177"/>
      <c r="I382" s="177"/>
      <c r="J382" s="177"/>
      <c r="K382" s="88"/>
      <c r="L382" s="383"/>
      <c r="M382" s="177"/>
      <c r="N382" s="177"/>
      <c r="O382" s="177"/>
      <c r="P382" s="88"/>
      <c r="Q382" s="151"/>
      <c r="R382" s="177"/>
      <c r="S382" s="177"/>
      <c r="T382" s="177"/>
      <c r="U382" s="391"/>
      <c r="V382" s="383"/>
      <c r="W382" s="177"/>
      <c r="X382" s="177"/>
      <c r="Y382" s="177"/>
      <c r="Z382" s="391"/>
      <c r="AA382" s="383"/>
      <c r="AB382" s="177"/>
      <c r="AC382" s="177"/>
      <c r="AD382" s="177"/>
      <c r="AE382" s="391"/>
      <c r="AF382" s="383"/>
      <c r="AG382" s="177"/>
      <c r="AH382" s="177"/>
      <c r="AI382" s="177"/>
      <c r="AJ382" s="391"/>
      <c r="AK382" s="383"/>
      <c r="AL382" s="177"/>
      <c r="AM382" s="177"/>
      <c r="AN382" s="177"/>
      <c r="AO382" s="366"/>
      <c r="AP382" s="366"/>
      <c r="AQ382" s="366"/>
      <c r="AR382" s="366"/>
      <c r="AS382" s="366"/>
    </row>
    <row r="383">
      <c r="A383" s="391"/>
      <c r="B383" s="383"/>
      <c r="C383" s="177"/>
      <c r="D383" s="177"/>
      <c r="E383" s="177"/>
      <c r="F383" s="391"/>
      <c r="G383" s="383"/>
      <c r="H383" s="177"/>
      <c r="I383" s="177"/>
      <c r="J383" s="177"/>
      <c r="K383" s="88"/>
      <c r="L383" s="383"/>
      <c r="M383" s="177"/>
      <c r="N383" s="177"/>
      <c r="O383" s="177"/>
      <c r="P383" s="88"/>
      <c r="Q383" s="151"/>
      <c r="R383" s="177"/>
      <c r="S383" s="177"/>
      <c r="T383" s="177"/>
      <c r="U383" s="391"/>
      <c r="V383" s="383"/>
      <c r="W383" s="177"/>
      <c r="X383" s="177"/>
      <c r="Y383" s="177"/>
      <c r="Z383" s="391"/>
      <c r="AA383" s="383"/>
      <c r="AB383" s="177"/>
      <c r="AC383" s="177"/>
      <c r="AD383" s="177"/>
      <c r="AE383" s="391"/>
      <c r="AF383" s="383"/>
      <c r="AG383" s="177"/>
      <c r="AH383" s="177"/>
      <c r="AI383" s="177"/>
      <c r="AJ383" s="391"/>
      <c r="AK383" s="383"/>
      <c r="AL383" s="177"/>
      <c r="AM383" s="177"/>
      <c r="AN383" s="177"/>
      <c r="AO383" s="366"/>
      <c r="AP383" s="366"/>
      <c r="AQ383" s="366"/>
      <c r="AR383" s="366"/>
      <c r="AS383" s="366"/>
    </row>
    <row r="384">
      <c r="A384" s="391"/>
      <c r="B384" s="383"/>
      <c r="C384" s="177"/>
      <c r="D384" s="177"/>
      <c r="E384" s="177"/>
      <c r="F384" s="391"/>
      <c r="G384" s="383"/>
      <c r="H384" s="177"/>
      <c r="I384" s="177"/>
      <c r="J384" s="177"/>
      <c r="K384" s="88"/>
      <c r="L384" s="383"/>
      <c r="M384" s="177"/>
      <c r="N384" s="177"/>
      <c r="O384" s="177"/>
      <c r="P384" s="88"/>
      <c r="Q384" s="151"/>
      <c r="R384" s="177"/>
      <c r="S384" s="177"/>
      <c r="T384" s="177"/>
      <c r="U384" s="391"/>
      <c r="V384" s="383"/>
      <c r="W384" s="177"/>
      <c r="X384" s="177"/>
      <c r="Y384" s="177"/>
      <c r="Z384" s="391"/>
      <c r="AA384" s="383"/>
      <c r="AB384" s="177"/>
      <c r="AC384" s="177"/>
      <c r="AD384" s="177"/>
      <c r="AE384" s="391"/>
      <c r="AF384" s="383"/>
      <c r="AG384" s="177"/>
      <c r="AH384" s="177"/>
      <c r="AI384" s="177"/>
      <c r="AJ384" s="391"/>
      <c r="AK384" s="383"/>
      <c r="AL384" s="177"/>
      <c r="AM384" s="177"/>
      <c r="AN384" s="177"/>
      <c r="AO384" s="366"/>
      <c r="AP384" s="366"/>
      <c r="AQ384" s="366"/>
      <c r="AR384" s="366"/>
      <c r="AS384" s="366"/>
    </row>
    <row r="385">
      <c r="A385" s="391"/>
      <c r="B385" s="383"/>
      <c r="C385" s="177"/>
      <c r="D385" s="177"/>
      <c r="E385" s="177"/>
      <c r="F385" s="391"/>
      <c r="G385" s="383"/>
      <c r="H385" s="177"/>
      <c r="I385" s="177"/>
      <c r="J385" s="177"/>
      <c r="K385" s="88"/>
      <c r="L385" s="383"/>
      <c r="M385" s="177"/>
      <c r="N385" s="177"/>
      <c r="O385" s="177"/>
      <c r="P385" s="88"/>
      <c r="Q385" s="151"/>
      <c r="R385" s="177"/>
      <c r="S385" s="177"/>
      <c r="T385" s="177"/>
      <c r="U385" s="391"/>
      <c r="V385" s="383"/>
      <c r="W385" s="177"/>
      <c r="X385" s="177"/>
      <c r="Y385" s="177"/>
      <c r="Z385" s="391"/>
      <c r="AA385" s="383"/>
      <c r="AB385" s="177"/>
      <c r="AC385" s="177"/>
      <c r="AD385" s="177"/>
      <c r="AE385" s="391"/>
      <c r="AF385" s="383"/>
      <c r="AG385" s="177"/>
      <c r="AH385" s="177"/>
      <c r="AI385" s="177"/>
      <c r="AJ385" s="391"/>
      <c r="AK385" s="383"/>
      <c r="AL385" s="177"/>
      <c r="AM385" s="177"/>
      <c r="AN385" s="177"/>
      <c r="AO385" s="366"/>
      <c r="AP385" s="366"/>
      <c r="AQ385" s="366"/>
      <c r="AR385" s="366"/>
      <c r="AS385" s="366"/>
    </row>
    <row r="386">
      <c r="A386" s="391"/>
      <c r="B386" s="383"/>
      <c r="C386" s="177"/>
      <c r="D386" s="177"/>
      <c r="E386" s="177"/>
      <c r="F386" s="391"/>
      <c r="G386" s="383"/>
      <c r="H386" s="177"/>
      <c r="I386" s="177"/>
      <c r="J386" s="177"/>
      <c r="K386" s="88"/>
      <c r="L386" s="383"/>
      <c r="M386" s="177"/>
      <c r="N386" s="177"/>
      <c r="O386" s="177"/>
      <c r="P386" s="88"/>
      <c r="Q386" s="151"/>
      <c r="R386" s="177"/>
      <c r="S386" s="177"/>
      <c r="T386" s="177"/>
      <c r="U386" s="391"/>
      <c r="V386" s="383"/>
      <c r="W386" s="177"/>
      <c r="X386" s="177"/>
      <c r="Y386" s="177"/>
      <c r="Z386" s="391"/>
      <c r="AA386" s="383"/>
      <c r="AB386" s="177"/>
      <c r="AC386" s="177"/>
      <c r="AD386" s="177"/>
      <c r="AE386" s="391"/>
      <c r="AF386" s="383"/>
      <c r="AG386" s="177"/>
      <c r="AH386" s="177"/>
      <c r="AI386" s="177"/>
      <c r="AJ386" s="391"/>
      <c r="AK386" s="383"/>
      <c r="AL386" s="177"/>
      <c r="AM386" s="177"/>
      <c r="AN386" s="177"/>
      <c r="AO386" s="366"/>
      <c r="AP386" s="366"/>
      <c r="AQ386" s="366"/>
      <c r="AR386" s="366"/>
      <c r="AS386" s="366"/>
    </row>
    <row r="387">
      <c r="A387" s="391"/>
      <c r="B387" s="383"/>
      <c r="C387" s="177"/>
      <c r="D387" s="177"/>
      <c r="E387" s="177"/>
      <c r="F387" s="391"/>
      <c r="G387" s="383"/>
      <c r="H387" s="177"/>
      <c r="I387" s="177"/>
      <c r="J387" s="177"/>
      <c r="K387" s="88"/>
      <c r="L387" s="383"/>
      <c r="M387" s="177"/>
      <c r="N387" s="177"/>
      <c r="O387" s="177"/>
      <c r="P387" s="88"/>
      <c r="Q387" s="151"/>
      <c r="R387" s="177"/>
      <c r="S387" s="177"/>
      <c r="T387" s="177"/>
      <c r="U387" s="391"/>
      <c r="V387" s="383"/>
      <c r="W387" s="177"/>
      <c r="X387" s="177"/>
      <c r="Y387" s="177"/>
      <c r="Z387" s="391"/>
      <c r="AA387" s="383"/>
      <c r="AB387" s="177"/>
      <c r="AC387" s="177"/>
      <c r="AD387" s="177"/>
      <c r="AE387" s="391"/>
      <c r="AF387" s="383"/>
      <c r="AG387" s="177"/>
      <c r="AH387" s="177"/>
      <c r="AI387" s="177"/>
      <c r="AJ387" s="391"/>
      <c r="AK387" s="383"/>
      <c r="AL387" s="177"/>
      <c r="AM387" s="177"/>
      <c r="AN387" s="177"/>
      <c r="AO387" s="366"/>
      <c r="AP387" s="366"/>
      <c r="AQ387" s="366"/>
      <c r="AR387" s="366"/>
      <c r="AS387" s="366"/>
    </row>
    <row r="388">
      <c r="A388" s="391"/>
      <c r="B388" s="383"/>
      <c r="C388" s="177"/>
      <c r="D388" s="177"/>
      <c r="E388" s="177"/>
      <c r="F388" s="391"/>
      <c r="G388" s="383"/>
      <c r="H388" s="177"/>
      <c r="I388" s="177"/>
      <c r="J388" s="177"/>
      <c r="K388" s="88"/>
      <c r="L388" s="383"/>
      <c r="M388" s="177"/>
      <c r="N388" s="177"/>
      <c r="O388" s="177"/>
      <c r="P388" s="88"/>
      <c r="Q388" s="151"/>
      <c r="R388" s="177"/>
      <c r="S388" s="177"/>
      <c r="T388" s="177"/>
      <c r="U388" s="391"/>
      <c r="V388" s="383"/>
      <c r="W388" s="177"/>
      <c r="X388" s="177"/>
      <c r="Y388" s="177"/>
      <c r="Z388" s="391"/>
      <c r="AA388" s="383"/>
      <c r="AB388" s="177"/>
      <c r="AC388" s="177"/>
      <c r="AD388" s="177"/>
      <c r="AE388" s="391"/>
      <c r="AF388" s="383"/>
      <c r="AG388" s="177"/>
      <c r="AH388" s="177"/>
      <c r="AI388" s="177"/>
      <c r="AJ388" s="391"/>
      <c r="AK388" s="383"/>
      <c r="AL388" s="177"/>
      <c r="AM388" s="177"/>
      <c r="AN388" s="177"/>
      <c r="AO388" s="366"/>
      <c r="AP388" s="366"/>
      <c r="AQ388" s="366"/>
      <c r="AR388" s="366"/>
      <c r="AS388" s="366"/>
    </row>
    <row r="389">
      <c r="A389" s="391"/>
      <c r="B389" s="383"/>
      <c r="C389" s="177"/>
      <c r="D389" s="177"/>
      <c r="E389" s="177"/>
      <c r="F389" s="391"/>
      <c r="G389" s="383"/>
      <c r="H389" s="177"/>
      <c r="I389" s="177"/>
      <c r="J389" s="177"/>
      <c r="K389" s="88"/>
      <c r="L389" s="383"/>
      <c r="M389" s="177"/>
      <c r="N389" s="177"/>
      <c r="O389" s="177"/>
      <c r="P389" s="88"/>
      <c r="Q389" s="151"/>
      <c r="R389" s="177"/>
      <c r="S389" s="177"/>
      <c r="T389" s="177"/>
      <c r="U389" s="391"/>
      <c r="V389" s="383"/>
      <c r="W389" s="177"/>
      <c r="X389" s="177"/>
      <c r="Y389" s="177"/>
      <c r="Z389" s="391"/>
      <c r="AA389" s="383"/>
      <c r="AB389" s="177"/>
      <c r="AC389" s="177"/>
      <c r="AD389" s="177"/>
      <c r="AE389" s="391"/>
      <c r="AF389" s="383"/>
      <c r="AG389" s="177"/>
      <c r="AH389" s="177"/>
      <c r="AI389" s="177"/>
      <c r="AJ389" s="391"/>
      <c r="AK389" s="383"/>
      <c r="AL389" s="177"/>
      <c r="AM389" s="177"/>
      <c r="AN389" s="177"/>
      <c r="AO389" s="366"/>
      <c r="AP389" s="366"/>
      <c r="AQ389" s="366"/>
      <c r="AR389" s="366"/>
      <c r="AS389" s="366"/>
    </row>
    <row r="390">
      <c r="A390" s="391"/>
      <c r="B390" s="383"/>
      <c r="C390" s="177"/>
      <c r="D390" s="177"/>
      <c r="E390" s="177"/>
      <c r="F390" s="391"/>
      <c r="G390" s="383"/>
      <c r="H390" s="177"/>
      <c r="I390" s="177"/>
      <c r="J390" s="177"/>
      <c r="K390" s="88"/>
      <c r="L390" s="383"/>
      <c r="M390" s="177"/>
      <c r="N390" s="177"/>
      <c r="O390" s="177"/>
      <c r="P390" s="88"/>
      <c r="Q390" s="151"/>
      <c r="R390" s="177"/>
      <c r="S390" s="177"/>
      <c r="T390" s="177"/>
      <c r="U390" s="391"/>
      <c r="V390" s="383"/>
      <c r="W390" s="177"/>
      <c r="X390" s="177"/>
      <c r="Y390" s="177"/>
      <c r="Z390" s="391"/>
      <c r="AA390" s="383"/>
      <c r="AB390" s="177"/>
      <c r="AC390" s="177"/>
      <c r="AD390" s="177"/>
      <c r="AE390" s="391"/>
      <c r="AF390" s="383"/>
      <c r="AG390" s="177"/>
      <c r="AH390" s="177"/>
      <c r="AI390" s="177"/>
      <c r="AJ390" s="391"/>
      <c r="AK390" s="383"/>
      <c r="AL390" s="177"/>
      <c r="AM390" s="177"/>
      <c r="AN390" s="177"/>
      <c r="AO390" s="366"/>
      <c r="AP390" s="366"/>
      <c r="AQ390" s="366"/>
      <c r="AR390" s="366"/>
      <c r="AS390" s="366"/>
    </row>
    <row r="391">
      <c r="A391" s="391"/>
      <c r="B391" s="383"/>
      <c r="C391" s="177"/>
      <c r="D391" s="177"/>
      <c r="E391" s="177"/>
      <c r="F391" s="391"/>
      <c r="G391" s="383"/>
      <c r="H391" s="177"/>
      <c r="I391" s="177"/>
      <c r="J391" s="177"/>
      <c r="K391" s="88"/>
      <c r="L391" s="383"/>
      <c r="M391" s="177"/>
      <c r="N391" s="177"/>
      <c r="O391" s="177"/>
      <c r="P391" s="88"/>
      <c r="Q391" s="151"/>
      <c r="R391" s="177"/>
      <c r="S391" s="177"/>
      <c r="T391" s="177"/>
      <c r="U391" s="391"/>
      <c r="V391" s="383"/>
      <c r="W391" s="177"/>
      <c r="X391" s="177"/>
      <c r="Y391" s="177"/>
      <c r="Z391" s="391"/>
      <c r="AA391" s="383"/>
      <c r="AB391" s="177"/>
      <c r="AC391" s="177"/>
      <c r="AD391" s="177"/>
      <c r="AE391" s="391"/>
      <c r="AF391" s="383"/>
      <c r="AG391" s="177"/>
      <c r="AH391" s="177"/>
      <c r="AI391" s="177"/>
      <c r="AJ391" s="391"/>
      <c r="AK391" s="383"/>
      <c r="AL391" s="177"/>
      <c r="AM391" s="177"/>
      <c r="AN391" s="177"/>
      <c r="AO391" s="366"/>
      <c r="AP391" s="366"/>
      <c r="AQ391" s="366"/>
      <c r="AR391" s="366"/>
      <c r="AS391" s="366"/>
    </row>
    <row r="392">
      <c r="A392" s="391"/>
      <c r="B392" s="383"/>
      <c r="C392" s="177"/>
      <c r="D392" s="177"/>
      <c r="E392" s="177"/>
      <c r="F392" s="391"/>
      <c r="G392" s="383"/>
      <c r="H392" s="177"/>
      <c r="I392" s="177"/>
      <c r="J392" s="177"/>
      <c r="K392" s="88"/>
      <c r="L392" s="383"/>
      <c r="M392" s="177"/>
      <c r="N392" s="177"/>
      <c r="O392" s="177"/>
      <c r="P392" s="88"/>
      <c r="Q392" s="151"/>
      <c r="R392" s="177"/>
      <c r="S392" s="177"/>
      <c r="T392" s="177"/>
      <c r="U392" s="391"/>
      <c r="V392" s="383"/>
      <c r="W392" s="177"/>
      <c r="X392" s="177"/>
      <c r="Y392" s="177"/>
      <c r="Z392" s="391"/>
      <c r="AA392" s="383"/>
      <c r="AB392" s="177"/>
      <c r="AC392" s="177"/>
      <c r="AD392" s="177"/>
      <c r="AE392" s="391"/>
      <c r="AF392" s="383"/>
      <c r="AG392" s="177"/>
      <c r="AH392" s="177"/>
      <c r="AI392" s="177"/>
      <c r="AJ392" s="391"/>
      <c r="AK392" s="383"/>
      <c r="AL392" s="177"/>
      <c r="AM392" s="177"/>
      <c r="AN392" s="177"/>
      <c r="AO392" s="366"/>
      <c r="AP392" s="366"/>
      <c r="AQ392" s="366"/>
      <c r="AR392" s="366"/>
      <c r="AS392" s="366"/>
    </row>
    <row r="393">
      <c r="A393" s="391"/>
      <c r="B393" s="383"/>
      <c r="C393" s="177"/>
      <c r="D393" s="177"/>
      <c r="E393" s="177"/>
      <c r="F393" s="391"/>
      <c r="G393" s="383"/>
      <c r="H393" s="177"/>
      <c r="I393" s="177"/>
      <c r="J393" s="177"/>
      <c r="K393" s="88"/>
      <c r="L393" s="383"/>
      <c r="M393" s="177"/>
      <c r="N393" s="177"/>
      <c r="O393" s="177"/>
      <c r="P393" s="88"/>
      <c r="Q393" s="151"/>
      <c r="R393" s="177"/>
      <c r="S393" s="177"/>
      <c r="T393" s="177"/>
      <c r="U393" s="391"/>
      <c r="V393" s="383"/>
      <c r="W393" s="177"/>
      <c r="X393" s="177"/>
      <c r="Y393" s="177"/>
      <c r="Z393" s="391"/>
      <c r="AA393" s="383"/>
      <c r="AB393" s="177"/>
      <c r="AC393" s="177"/>
      <c r="AD393" s="177"/>
      <c r="AE393" s="391"/>
      <c r="AF393" s="383"/>
      <c r="AG393" s="177"/>
      <c r="AH393" s="177"/>
      <c r="AI393" s="177"/>
      <c r="AJ393" s="391"/>
      <c r="AK393" s="383"/>
      <c r="AL393" s="177"/>
      <c r="AM393" s="177"/>
      <c r="AN393" s="177"/>
      <c r="AO393" s="366"/>
      <c r="AP393" s="366"/>
      <c r="AQ393" s="366"/>
      <c r="AR393" s="366"/>
      <c r="AS393" s="366"/>
    </row>
    <row r="394">
      <c r="A394" s="391"/>
      <c r="B394" s="383"/>
      <c r="C394" s="177"/>
      <c r="D394" s="177"/>
      <c r="E394" s="177"/>
      <c r="F394" s="391"/>
      <c r="G394" s="383"/>
      <c r="H394" s="177"/>
      <c r="I394" s="177"/>
      <c r="J394" s="177"/>
      <c r="K394" s="88"/>
      <c r="L394" s="383"/>
      <c r="M394" s="177"/>
      <c r="N394" s="177"/>
      <c r="O394" s="177"/>
      <c r="P394" s="88"/>
      <c r="Q394" s="151"/>
      <c r="R394" s="177"/>
      <c r="S394" s="177"/>
      <c r="T394" s="177"/>
      <c r="U394" s="391"/>
      <c r="V394" s="383"/>
      <c r="W394" s="177"/>
      <c r="X394" s="177"/>
      <c r="Y394" s="177"/>
      <c r="Z394" s="391"/>
      <c r="AA394" s="383"/>
      <c r="AB394" s="177"/>
      <c r="AC394" s="177"/>
      <c r="AD394" s="177"/>
      <c r="AE394" s="391"/>
      <c r="AF394" s="383"/>
      <c r="AG394" s="177"/>
      <c r="AH394" s="177"/>
      <c r="AI394" s="177"/>
      <c r="AJ394" s="391"/>
      <c r="AK394" s="383"/>
      <c r="AL394" s="177"/>
      <c r="AM394" s="177"/>
      <c r="AN394" s="177"/>
      <c r="AO394" s="366"/>
      <c r="AP394" s="366"/>
      <c r="AQ394" s="366"/>
      <c r="AR394" s="366"/>
      <c r="AS394" s="366"/>
    </row>
    <row r="395">
      <c r="A395" s="391"/>
      <c r="B395" s="383"/>
      <c r="C395" s="177"/>
      <c r="D395" s="177"/>
      <c r="E395" s="177"/>
      <c r="F395" s="391"/>
      <c r="G395" s="383"/>
      <c r="H395" s="177"/>
      <c r="I395" s="177"/>
      <c r="J395" s="177"/>
      <c r="K395" s="88"/>
      <c r="L395" s="383"/>
      <c r="M395" s="177"/>
      <c r="N395" s="177"/>
      <c r="O395" s="177"/>
      <c r="P395" s="88"/>
      <c r="Q395" s="151"/>
      <c r="R395" s="177"/>
      <c r="S395" s="177"/>
      <c r="T395" s="177"/>
      <c r="U395" s="391"/>
      <c r="V395" s="383"/>
      <c r="W395" s="177"/>
      <c r="X395" s="177"/>
      <c r="Y395" s="177"/>
      <c r="Z395" s="391"/>
      <c r="AA395" s="383"/>
      <c r="AB395" s="177"/>
      <c r="AC395" s="177"/>
      <c r="AD395" s="177"/>
      <c r="AE395" s="391"/>
      <c r="AF395" s="383"/>
      <c r="AG395" s="177"/>
      <c r="AH395" s="177"/>
      <c r="AI395" s="177"/>
      <c r="AJ395" s="391"/>
      <c r="AK395" s="383"/>
      <c r="AL395" s="177"/>
      <c r="AM395" s="177"/>
      <c r="AN395" s="177"/>
      <c r="AO395" s="366"/>
      <c r="AP395" s="366"/>
      <c r="AQ395" s="366"/>
      <c r="AR395" s="366"/>
      <c r="AS395" s="366"/>
    </row>
    <row r="396">
      <c r="A396" s="391"/>
      <c r="B396" s="383"/>
      <c r="C396" s="177"/>
      <c r="D396" s="177"/>
      <c r="E396" s="177"/>
      <c r="F396" s="391"/>
      <c r="G396" s="383"/>
      <c r="H396" s="177"/>
      <c r="I396" s="177"/>
      <c r="J396" s="177"/>
      <c r="K396" s="88"/>
      <c r="L396" s="383"/>
      <c r="M396" s="177"/>
      <c r="N396" s="177"/>
      <c r="O396" s="177"/>
      <c r="P396" s="88"/>
      <c r="Q396" s="151"/>
      <c r="R396" s="177"/>
      <c r="S396" s="177"/>
      <c r="T396" s="177"/>
      <c r="U396" s="391"/>
      <c r="V396" s="383"/>
      <c r="W396" s="177"/>
      <c r="X396" s="177"/>
      <c r="Y396" s="177"/>
      <c r="Z396" s="391"/>
      <c r="AA396" s="383"/>
      <c r="AB396" s="177"/>
      <c r="AC396" s="177"/>
      <c r="AD396" s="177"/>
      <c r="AE396" s="391"/>
      <c r="AF396" s="383"/>
      <c r="AG396" s="177"/>
      <c r="AH396" s="177"/>
      <c r="AI396" s="177"/>
      <c r="AJ396" s="391"/>
      <c r="AK396" s="383"/>
      <c r="AL396" s="177"/>
      <c r="AM396" s="177"/>
      <c r="AN396" s="177"/>
      <c r="AO396" s="366"/>
      <c r="AP396" s="366"/>
      <c r="AQ396" s="366"/>
      <c r="AR396" s="366"/>
      <c r="AS396" s="366"/>
    </row>
    <row r="397">
      <c r="A397" s="391"/>
      <c r="B397" s="383"/>
      <c r="C397" s="177"/>
      <c r="D397" s="177"/>
      <c r="E397" s="177"/>
      <c r="F397" s="391"/>
      <c r="G397" s="383"/>
      <c r="H397" s="177"/>
      <c r="I397" s="177"/>
      <c r="J397" s="177"/>
      <c r="K397" s="88"/>
      <c r="L397" s="383"/>
      <c r="M397" s="177"/>
      <c r="N397" s="177"/>
      <c r="O397" s="177"/>
      <c r="P397" s="88"/>
      <c r="Q397" s="151"/>
      <c r="R397" s="177"/>
      <c r="S397" s="177"/>
      <c r="T397" s="177"/>
      <c r="U397" s="391"/>
      <c r="V397" s="383"/>
      <c r="W397" s="177"/>
      <c r="X397" s="177"/>
      <c r="Y397" s="177"/>
      <c r="Z397" s="391"/>
      <c r="AA397" s="383"/>
      <c r="AB397" s="177"/>
      <c r="AC397" s="177"/>
      <c r="AD397" s="177"/>
      <c r="AE397" s="391"/>
      <c r="AF397" s="383"/>
      <c r="AG397" s="177"/>
      <c r="AH397" s="177"/>
      <c r="AI397" s="177"/>
      <c r="AJ397" s="391"/>
      <c r="AK397" s="383"/>
      <c r="AL397" s="177"/>
      <c r="AM397" s="177"/>
      <c r="AN397" s="177"/>
      <c r="AO397" s="366"/>
      <c r="AP397" s="366"/>
      <c r="AQ397" s="366"/>
      <c r="AR397" s="366"/>
      <c r="AS397" s="366"/>
    </row>
    <row r="398">
      <c r="A398" s="391"/>
      <c r="B398" s="383"/>
      <c r="C398" s="177"/>
      <c r="D398" s="177"/>
      <c r="E398" s="177"/>
      <c r="F398" s="391"/>
      <c r="G398" s="383"/>
      <c r="H398" s="177"/>
      <c r="I398" s="177"/>
      <c r="J398" s="177"/>
      <c r="K398" s="88"/>
      <c r="L398" s="383"/>
      <c r="M398" s="177"/>
      <c r="N398" s="177"/>
      <c r="O398" s="177"/>
      <c r="P398" s="88"/>
      <c r="Q398" s="151"/>
      <c r="R398" s="177"/>
      <c r="S398" s="177"/>
      <c r="T398" s="177"/>
      <c r="U398" s="391"/>
      <c r="V398" s="383"/>
      <c r="W398" s="177"/>
      <c r="X398" s="177"/>
      <c r="Y398" s="177"/>
      <c r="Z398" s="391"/>
      <c r="AA398" s="383"/>
      <c r="AB398" s="177"/>
      <c r="AC398" s="177"/>
      <c r="AD398" s="177"/>
      <c r="AE398" s="391"/>
      <c r="AF398" s="383"/>
      <c r="AG398" s="177"/>
      <c r="AH398" s="177"/>
      <c r="AI398" s="177"/>
      <c r="AJ398" s="391"/>
      <c r="AK398" s="383"/>
      <c r="AL398" s="177"/>
      <c r="AM398" s="177"/>
      <c r="AN398" s="177"/>
      <c r="AO398" s="366"/>
      <c r="AP398" s="366"/>
      <c r="AQ398" s="366"/>
      <c r="AR398" s="366"/>
      <c r="AS398" s="366"/>
    </row>
    <row r="399">
      <c r="A399" s="391"/>
      <c r="B399" s="383"/>
      <c r="C399" s="177"/>
      <c r="D399" s="177"/>
      <c r="E399" s="177"/>
      <c r="F399" s="391"/>
      <c r="G399" s="383"/>
      <c r="H399" s="177"/>
      <c r="I399" s="177"/>
      <c r="J399" s="177"/>
      <c r="K399" s="88"/>
      <c r="L399" s="383"/>
      <c r="M399" s="177"/>
      <c r="N399" s="177"/>
      <c r="O399" s="177"/>
      <c r="P399" s="88"/>
      <c r="Q399" s="151"/>
      <c r="R399" s="177"/>
      <c r="S399" s="177"/>
      <c r="T399" s="177"/>
      <c r="U399" s="391"/>
      <c r="V399" s="383"/>
      <c r="W399" s="177"/>
      <c r="X399" s="177"/>
      <c r="Y399" s="177"/>
      <c r="Z399" s="391"/>
      <c r="AA399" s="383"/>
      <c r="AB399" s="177"/>
      <c r="AC399" s="177"/>
      <c r="AD399" s="177"/>
      <c r="AE399" s="391"/>
      <c r="AF399" s="383"/>
      <c r="AG399" s="177"/>
      <c r="AH399" s="177"/>
      <c r="AI399" s="177"/>
      <c r="AJ399" s="391"/>
      <c r="AK399" s="383"/>
      <c r="AL399" s="177"/>
      <c r="AM399" s="177"/>
      <c r="AN399" s="177"/>
      <c r="AO399" s="366"/>
      <c r="AP399" s="366"/>
      <c r="AQ399" s="366"/>
      <c r="AR399" s="366"/>
      <c r="AS399" s="366"/>
    </row>
    <row r="400">
      <c r="A400" s="391"/>
      <c r="B400" s="383"/>
      <c r="C400" s="177"/>
      <c r="D400" s="177"/>
      <c r="E400" s="177"/>
      <c r="F400" s="391"/>
      <c r="G400" s="383"/>
      <c r="H400" s="177"/>
      <c r="I400" s="177"/>
      <c r="J400" s="177"/>
      <c r="K400" s="88"/>
      <c r="L400" s="383"/>
      <c r="M400" s="177"/>
      <c r="N400" s="177"/>
      <c r="O400" s="177"/>
      <c r="P400" s="88"/>
      <c r="Q400" s="151"/>
      <c r="R400" s="177"/>
      <c r="S400" s="177"/>
      <c r="T400" s="177"/>
      <c r="U400" s="391"/>
      <c r="V400" s="383"/>
      <c r="W400" s="177"/>
      <c r="X400" s="177"/>
      <c r="Y400" s="177"/>
      <c r="Z400" s="391"/>
      <c r="AA400" s="383"/>
      <c r="AB400" s="177"/>
      <c r="AC400" s="177"/>
      <c r="AD400" s="177"/>
      <c r="AE400" s="391"/>
      <c r="AF400" s="383"/>
      <c r="AG400" s="177"/>
      <c r="AH400" s="177"/>
      <c r="AI400" s="177"/>
      <c r="AJ400" s="391"/>
      <c r="AK400" s="383"/>
      <c r="AL400" s="177"/>
      <c r="AM400" s="177"/>
      <c r="AN400" s="177"/>
      <c r="AO400" s="366"/>
      <c r="AP400" s="366"/>
      <c r="AQ400" s="366"/>
      <c r="AR400" s="366"/>
      <c r="AS400" s="366"/>
    </row>
    <row r="401">
      <c r="A401" s="391"/>
      <c r="B401" s="383"/>
      <c r="C401" s="177"/>
      <c r="D401" s="177"/>
      <c r="E401" s="177"/>
      <c r="F401" s="391"/>
      <c r="G401" s="383"/>
      <c r="H401" s="177"/>
      <c r="I401" s="177"/>
      <c r="J401" s="177"/>
      <c r="K401" s="88"/>
      <c r="L401" s="383"/>
      <c r="M401" s="177"/>
      <c r="N401" s="177"/>
      <c r="O401" s="177"/>
      <c r="P401" s="88"/>
      <c r="Q401" s="151"/>
      <c r="R401" s="177"/>
      <c r="S401" s="177"/>
      <c r="T401" s="177"/>
      <c r="U401" s="391"/>
      <c r="V401" s="383"/>
      <c r="W401" s="177"/>
      <c r="X401" s="177"/>
      <c r="Y401" s="177"/>
      <c r="Z401" s="391"/>
      <c r="AA401" s="383"/>
      <c r="AB401" s="177"/>
      <c r="AC401" s="177"/>
      <c r="AD401" s="177"/>
      <c r="AE401" s="391"/>
      <c r="AF401" s="383"/>
      <c r="AG401" s="177"/>
      <c r="AH401" s="177"/>
      <c r="AI401" s="177"/>
      <c r="AJ401" s="391"/>
      <c r="AK401" s="383"/>
      <c r="AL401" s="177"/>
      <c r="AM401" s="177"/>
      <c r="AN401" s="177"/>
      <c r="AO401" s="366"/>
      <c r="AP401" s="366"/>
      <c r="AQ401" s="366"/>
      <c r="AR401" s="366"/>
      <c r="AS401" s="366"/>
    </row>
    <row r="402">
      <c r="A402" s="391"/>
      <c r="B402" s="383"/>
      <c r="C402" s="177"/>
      <c r="D402" s="177"/>
      <c r="E402" s="177"/>
      <c r="F402" s="391"/>
      <c r="G402" s="383"/>
      <c r="H402" s="177"/>
      <c r="I402" s="177"/>
      <c r="J402" s="177"/>
      <c r="K402" s="88"/>
      <c r="L402" s="383"/>
      <c r="M402" s="177"/>
      <c r="N402" s="177"/>
      <c r="O402" s="177"/>
      <c r="P402" s="88"/>
      <c r="Q402" s="151"/>
      <c r="R402" s="177"/>
      <c r="S402" s="177"/>
      <c r="T402" s="177"/>
      <c r="U402" s="391"/>
      <c r="V402" s="383"/>
      <c r="W402" s="177"/>
      <c r="X402" s="177"/>
      <c r="Y402" s="177"/>
      <c r="Z402" s="391"/>
      <c r="AA402" s="383"/>
      <c r="AB402" s="177"/>
      <c r="AC402" s="177"/>
      <c r="AD402" s="177"/>
      <c r="AE402" s="391"/>
      <c r="AF402" s="383"/>
      <c r="AG402" s="177"/>
      <c r="AH402" s="177"/>
      <c r="AI402" s="177"/>
      <c r="AJ402" s="391"/>
      <c r="AK402" s="383"/>
      <c r="AL402" s="177"/>
      <c r="AM402" s="177"/>
      <c r="AN402" s="177"/>
      <c r="AO402" s="366"/>
      <c r="AP402" s="366"/>
      <c r="AQ402" s="366"/>
      <c r="AR402" s="366"/>
      <c r="AS402" s="366"/>
    </row>
    <row r="403">
      <c r="A403" s="391"/>
      <c r="B403" s="383"/>
      <c r="C403" s="177"/>
      <c r="D403" s="177"/>
      <c r="E403" s="177"/>
      <c r="F403" s="391"/>
      <c r="G403" s="383"/>
      <c r="H403" s="177"/>
      <c r="I403" s="177"/>
      <c r="J403" s="177"/>
      <c r="K403" s="88"/>
      <c r="L403" s="383"/>
      <c r="M403" s="177"/>
      <c r="N403" s="177"/>
      <c r="O403" s="177"/>
      <c r="P403" s="88"/>
      <c r="Q403" s="151"/>
      <c r="R403" s="177"/>
      <c r="S403" s="177"/>
      <c r="T403" s="177"/>
      <c r="U403" s="391"/>
      <c r="V403" s="383"/>
      <c r="W403" s="177"/>
      <c r="X403" s="177"/>
      <c r="Y403" s="177"/>
      <c r="Z403" s="391"/>
      <c r="AA403" s="383"/>
      <c r="AB403" s="177"/>
      <c r="AC403" s="177"/>
      <c r="AD403" s="177"/>
      <c r="AE403" s="391"/>
      <c r="AF403" s="383"/>
      <c r="AG403" s="177"/>
      <c r="AH403" s="177"/>
      <c r="AI403" s="177"/>
      <c r="AJ403" s="391"/>
      <c r="AK403" s="383"/>
      <c r="AL403" s="177"/>
      <c r="AM403" s="177"/>
      <c r="AN403" s="177"/>
      <c r="AO403" s="366"/>
      <c r="AP403" s="366"/>
      <c r="AQ403" s="366"/>
      <c r="AR403" s="366"/>
      <c r="AS403" s="366"/>
    </row>
    <row r="404">
      <c r="A404" s="391"/>
      <c r="B404" s="383"/>
      <c r="C404" s="177"/>
      <c r="D404" s="177"/>
      <c r="E404" s="177"/>
      <c r="F404" s="391"/>
      <c r="G404" s="383"/>
      <c r="H404" s="177"/>
      <c r="I404" s="177"/>
      <c r="J404" s="177"/>
      <c r="K404" s="88"/>
      <c r="L404" s="383"/>
      <c r="M404" s="177"/>
      <c r="N404" s="177"/>
      <c r="O404" s="177"/>
      <c r="P404" s="88"/>
      <c r="Q404" s="151"/>
      <c r="R404" s="177"/>
      <c r="S404" s="177"/>
      <c r="T404" s="177"/>
      <c r="U404" s="391"/>
      <c r="V404" s="383"/>
      <c r="W404" s="177"/>
      <c r="X404" s="177"/>
      <c r="Y404" s="177"/>
      <c r="Z404" s="391"/>
      <c r="AA404" s="383"/>
      <c r="AB404" s="177"/>
      <c r="AC404" s="177"/>
      <c r="AD404" s="177"/>
      <c r="AE404" s="391"/>
      <c r="AF404" s="383"/>
      <c r="AG404" s="177"/>
      <c r="AH404" s="177"/>
      <c r="AI404" s="177"/>
      <c r="AJ404" s="391"/>
      <c r="AK404" s="383"/>
      <c r="AL404" s="177"/>
      <c r="AM404" s="177"/>
      <c r="AN404" s="177"/>
      <c r="AO404" s="366"/>
      <c r="AP404" s="366"/>
      <c r="AQ404" s="366"/>
      <c r="AR404" s="366"/>
      <c r="AS404" s="366"/>
    </row>
    <row r="405">
      <c r="A405" s="391"/>
      <c r="B405" s="383"/>
      <c r="C405" s="177"/>
      <c r="D405" s="177"/>
      <c r="E405" s="177"/>
      <c r="F405" s="391"/>
      <c r="G405" s="383"/>
      <c r="H405" s="177"/>
      <c r="I405" s="177"/>
      <c r="J405" s="177"/>
      <c r="K405" s="88"/>
      <c r="L405" s="383"/>
      <c r="M405" s="177"/>
      <c r="N405" s="177"/>
      <c r="O405" s="177"/>
      <c r="P405" s="88"/>
      <c r="Q405" s="151"/>
      <c r="R405" s="177"/>
      <c r="S405" s="177"/>
      <c r="T405" s="177"/>
      <c r="U405" s="391"/>
      <c r="V405" s="383"/>
      <c r="W405" s="177"/>
      <c r="X405" s="177"/>
      <c r="Y405" s="177"/>
      <c r="Z405" s="391"/>
      <c r="AA405" s="383"/>
      <c r="AB405" s="177"/>
      <c r="AC405" s="177"/>
      <c r="AD405" s="177"/>
      <c r="AE405" s="391"/>
      <c r="AF405" s="383"/>
      <c r="AG405" s="177"/>
      <c r="AH405" s="177"/>
      <c r="AI405" s="177"/>
      <c r="AJ405" s="391"/>
      <c r="AK405" s="383"/>
      <c r="AL405" s="177"/>
      <c r="AM405" s="177"/>
      <c r="AN405" s="177"/>
      <c r="AO405" s="366"/>
      <c r="AP405" s="366"/>
      <c r="AQ405" s="366"/>
      <c r="AR405" s="366"/>
      <c r="AS405" s="366"/>
    </row>
    <row r="406">
      <c r="A406" s="391"/>
      <c r="B406" s="383"/>
      <c r="C406" s="177"/>
      <c r="D406" s="177"/>
      <c r="E406" s="177"/>
      <c r="F406" s="391"/>
      <c r="G406" s="383"/>
      <c r="H406" s="177"/>
      <c r="I406" s="177"/>
      <c r="J406" s="177"/>
      <c r="K406" s="88"/>
      <c r="L406" s="383"/>
      <c r="M406" s="177"/>
      <c r="N406" s="177"/>
      <c r="O406" s="177"/>
      <c r="P406" s="88"/>
      <c r="Q406" s="151"/>
      <c r="R406" s="177"/>
      <c r="S406" s="177"/>
      <c r="T406" s="177"/>
      <c r="U406" s="391"/>
      <c r="V406" s="383"/>
      <c r="W406" s="177"/>
      <c r="X406" s="177"/>
      <c r="Y406" s="177"/>
      <c r="Z406" s="391"/>
      <c r="AA406" s="383"/>
      <c r="AB406" s="177"/>
      <c r="AC406" s="177"/>
      <c r="AD406" s="177"/>
      <c r="AE406" s="391"/>
      <c r="AF406" s="383"/>
      <c r="AG406" s="177"/>
      <c r="AH406" s="177"/>
      <c r="AI406" s="177"/>
      <c r="AJ406" s="391"/>
      <c r="AK406" s="383"/>
      <c r="AL406" s="177"/>
      <c r="AM406" s="177"/>
      <c r="AN406" s="177"/>
      <c r="AO406" s="366"/>
      <c r="AP406" s="366"/>
      <c r="AQ406" s="366"/>
      <c r="AR406" s="366"/>
      <c r="AS406" s="366"/>
    </row>
    <row r="407">
      <c r="A407" s="391"/>
      <c r="B407" s="383"/>
      <c r="C407" s="177"/>
      <c r="D407" s="177"/>
      <c r="E407" s="177"/>
      <c r="F407" s="391"/>
      <c r="G407" s="383"/>
      <c r="H407" s="177"/>
      <c r="I407" s="177"/>
      <c r="J407" s="177"/>
      <c r="K407" s="88"/>
      <c r="L407" s="383"/>
      <c r="M407" s="177"/>
      <c r="N407" s="177"/>
      <c r="O407" s="177"/>
      <c r="P407" s="88"/>
      <c r="Q407" s="151"/>
      <c r="R407" s="177"/>
      <c r="S407" s="177"/>
      <c r="T407" s="177"/>
      <c r="U407" s="391"/>
      <c r="V407" s="383"/>
      <c r="W407" s="177"/>
      <c r="X407" s="177"/>
      <c r="Y407" s="177"/>
      <c r="Z407" s="391"/>
      <c r="AA407" s="383"/>
      <c r="AB407" s="177"/>
      <c r="AC407" s="177"/>
      <c r="AD407" s="177"/>
      <c r="AE407" s="391"/>
      <c r="AF407" s="383"/>
      <c r="AG407" s="177"/>
      <c r="AH407" s="177"/>
      <c r="AI407" s="177"/>
      <c r="AJ407" s="391"/>
      <c r="AK407" s="383"/>
      <c r="AL407" s="177"/>
      <c r="AM407" s="177"/>
      <c r="AN407" s="177"/>
      <c r="AO407" s="366"/>
      <c r="AP407" s="366"/>
      <c r="AQ407" s="366"/>
      <c r="AR407" s="366"/>
      <c r="AS407" s="366"/>
    </row>
    <row r="408">
      <c r="A408" s="391"/>
      <c r="B408" s="383"/>
      <c r="C408" s="177"/>
      <c r="D408" s="177"/>
      <c r="E408" s="177"/>
      <c r="F408" s="391"/>
      <c r="G408" s="383"/>
      <c r="H408" s="177"/>
      <c r="I408" s="177"/>
      <c r="J408" s="177"/>
      <c r="K408" s="88"/>
      <c r="L408" s="383"/>
      <c r="M408" s="177"/>
      <c r="N408" s="177"/>
      <c r="O408" s="177"/>
      <c r="P408" s="88"/>
      <c r="Q408" s="151"/>
      <c r="R408" s="177"/>
      <c r="S408" s="177"/>
      <c r="T408" s="177"/>
      <c r="U408" s="391"/>
      <c r="V408" s="383"/>
      <c r="W408" s="177"/>
      <c r="X408" s="177"/>
      <c r="Y408" s="177"/>
      <c r="Z408" s="391"/>
      <c r="AA408" s="383"/>
      <c r="AB408" s="177"/>
      <c r="AC408" s="177"/>
      <c r="AD408" s="177"/>
      <c r="AE408" s="391"/>
      <c r="AF408" s="383"/>
      <c r="AG408" s="177"/>
      <c r="AH408" s="177"/>
      <c r="AI408" s="177"/>
      <c r="AJ408" s="391"/>
      <c r="AK408" s="383"/>
      <c r="AL408" s="177"/>
      <c r="AM408" s="177"/>
      <c r="AN408" s="177"/>
      <c r="AO408" s="366"/>
      <c r="AP408" s="366"/>
      <c r="AQ408" s="366"/>
      <c r="AR408" s="366"/>
      <c r="AS408" s="366"/>
    </row>
    <row r="409">
      <c r="A409" s="391"/>
      <c r="B409" s="383"/>
      <c r="C409" s="177"/>
      <c r="D409" s="177"/>
      <c r="E409" s="177"/>
      <c r="F409" s="391"/>
      <c r="G409" s="383"/>
      <c r="H409" s="177"/>
      <c r="I409" s="177"/>
      <c r="J409" s="177"/>
      <c r="K409" s="88"/>
      <c r="L409" s="383"/>
      <c r="M409" s="177"/>
      <c r="N409" s="177"/>
      <c r="O409" s="177"/>
      <c r="P409" s="88"/>
      <c r="Q409" s="151"/>
      <c r="R409" s="177"/>
      <c r="S409" s="177"/>
      <c r="T409" s="177"/>
      <c r="U409" s="391"/>
      <c r="V409" s="383"/>
      <c r="W409" s="177"/>
      <c r="X409" s="177"/>
      <c r="Y409" s="177"/>
      <c r="Z409" s="391"/>
      <c r="AA409" s="383"/>
      <c r="AB409" s="177"/>
      <c r="AC409" s="177"/>
      <c r="AD409" s="177"/>
      <c r="AE409" s="391"/>
      <c r="AF409" s="383"/>
      <c r="AG409" s="177"/>
      <c r="AH409" s="177"/>
      <c r="AI409" s="177"/>
      <c r="AJ409" s="391"/>
      <c r="AK409" s="383"/>
      <c r="AL409" s="177"/>
      <c r="AM409" s="177"/>
      <c r="AN409" s="177"/>
      <c r="AO409" s="366"/>
      <c r="AP409" s="366"/>
      <c r="AQ409" s="366"/>
      <c r="AR409" s="366"/>
      <c r="AS409" s="366"/>
    </row>
    <row r="410">
      <c r="A410" s="391"/>
      <c r="B410" s="383"/>
      <c r="C410" s="177"/>
      <c r="D410" s="177"/>
      <c r="E410" s="177"/>
      <c r="F410" s="391"/>
      <c r="G410" s="383"/>
      <c r="H410" s="177"/>
      <c r="I410" s="177"/>
      <c r="J410" s="177"/>
      <c r="K410" s="88"/>
      <c r="L410" s="383"/>
      <c r="M410" s="177"/>
      <c r="N410" s="177"/>
      <c r="O410" s="177"/>
      <c r="P410" s="88"/>
      <c r="Q410" s="151"/>
      <c r="R410" s="177"/>
      <c r="S410" s="177"/>
      <c r="T410" s="177"/>
      <c r="U410" s="391"/>
      <c r="V410" s="383"/>
      <c r="W410" s="177"/>
      <c r="X410" s="177"/>
      <c r="Y410" s="177"/>
      <c r="Z410" s="391"/>
      <c r="AA410" s="383"/>
      <c r="AB410" s="177"/>
      <c r="AC410" s="177"/>
      <c r="AD410" s="177"/>
      <c r="AE410" s="391"/>
      <c r="AF410" s="383"/>
      <c r="AG410" s="177"/>
      <c r="AH410" s="177"/>
      <c r="AI410" s="177"/>
      <c r="AJ410" s="391"/>
      <c r="AK410" s="383"/>
      <c r="AL410" s="177"/>
      <c r="AM410" s="177"/>
      <c r="AN410" s="177"/>
      <c r="AO410" s="366"/>
      <c r="AP410" s="366"/>
      <c r="AQ410" s="366"/>
      <c r="AR410" s="366"/>
      <c r="AS410" s="366"/>
    </row>
    <row r="411">
      <c r="A411" s="391"/>
      <c r="B411" s="383"/>
      <c r="C411" s="177"/>
      <c r="D411" s="177"/>
      <c r="E411" s="177"/>
      <c r="F411" s="391"/>
      <c r="G411" s="383"/>
      <c r="H411" s="177"/>
      <c r="I411" s="177"/>
      <c r="J411" s="177"/>
      <c r="K411" s="88"/>
      <c r="L411" s="383"/>
      <c r="M411" s="177"/>
      <c r="N411" s="177"/>
      <c r="O411" s="177"/>
      <c r="P411" s="88"/>
      <c r="Q411" s="151"/>
      <c r="R411" s="177"/>
      <c r="S411" s="177"/>
      <c r="T411" s="177"/>
      <c r="U411" s="391"/>
      <c r="V411" s="383"/>
      <c r="W411" s="177"/>
      <c r="X411" s="177"/>
      <c r="Y411" s="177"/>
      <c r="Z411" s="391"/>
      <c r="AA411" s="383"/>
      <c r="AB411" s="177"/>
      <c r="AC411" s="177"/>
      <c r="AD411" s="177"/>
      <c r="AE411" s="391"/>
      <c r="AF411" s="383"/>
      <c r="AG411" s="177"/>
      <c r="AH411" s="177"/>
      <c r="AI411" s="177"/>
      <c r="AJ411" s="391"/>
      <c r="AK411" s="383"/>
      <c r="AL411" s="177"/>
      <c r="AM411" s="177"/>
      <c r="AN411" s="177"/>
      <c r="AO411" s="366"/>
      <c r="AP411" s="366"/>
      <c r="AQ411" s="366"/>
      <c r="AR411" s="366"/>
      <c r="AS411" s="366"/>
    </row>
    <row r="412">
      <c r="A412" s="391"/>
      <c r="B412" s="383"/>
      <c r="C412" s="177"/>
      <c r="D412" s="177"/>
      <c r="E412" s="177"/>
      <c r="F412" s="391"/>
      <c r="G412" s="383"/>
      <c r="H412" s="177"/>
      <c r="I412" s="177"/>
      <c r="J412" s="177"/>
      <c r="K412" s="88"/>
      <c r="L412" s="383"/>
      <c r="M412" s="177"/>
      <c r="N412" s="177"/>
      <c r="O412" s="177"/>
      <c r="P412" s="88"/>
      <c r="Q412" s="151"/>
      <c r="R412" s="177"/>
      <c r="S412" s="177"/>
      <c r="T412" s="177"/>
      <c r="U412" s="391"/>
      <c r="V412" s="383"/>
      <c r="W412" s="177"/>
      <c r="X412" s="177"/>
      <c r="Y412" s="177"/>
      <c r="Z412" s="391"/>
      <c r="AA412" s="383"/>
      <c r="AB412" s="177"/>
      <c r="AC412" s="177"/>
      <c r="AD412" s="177"/>
      <c r="AE412" s="391"/>
      <c r="AF412" s="383"/>
      <c r="AG412" s="177"/>
      <c r="AH412" s="177"/>
      <c r="AI412" s="177"/>
      <c r="AJ412" s="391"/>
      <c r="AK412" s="383"/>
      <c r="AL412" s="177"/>
      <c r="AM412" s="177"/>
      <c r="AN412" s="177"/>
      <c r="AO412" s="366"/>
      <c r="AP412" s="366"/>
      <c r="AQ412" s="366"/>
      <c r="AR412" s="366"/>
      <c r="AS412" s="366"/>
    </row>
    <row r="413">
      <c r="A413" s="391"/>
      <c r="B413" s="383"/>
      <c r="C413" s="177"/>
      <c r="D413" s="177"/>
      <c r="E413" s="177"/>
      <c r="F413" s="391"/>
      <c r="G413" s="383"/>
      <c r="H413" s="177"/>
      <c r="I413" s="177"/>
      <c r="J413" s="177"/>
      <c r="K413" s="88"/>
      <c r="L413" s="383"/>
      <c r="M413" s="177"/>
      <c r="N413" s="177"/>
      <c r="O413" s="177"/>
      <c r="P413" s="88"/>
      <c r="Q413" s="151"/>
      <c r="R413" s="177"/>
      <c r="S413" s="177"/>
      <c r="T413" s="177"/>
      <c r="U413" s="391"/>
      <c r="V413" s="383"/>
      <c r="W413" s="177"/>
      <c r="X413" s="177"/>
      <c r="Y413" s="177"/>
      <c r="Z413" s="391"/>
      <c r="AA413" s="383"/>
      <c r="AB413" s="177"/>
      <c r="AC413" s="177"/>
      <c r="AD413" s="177"/>
      <c r="AE413" s="391"/>
      <c r="AF413" s="383"/>
      <c r="AG413" s="177"/>
      <c r="AH413" s="177"/>
      <c r="AI413" s="177"/>
      <c r="AJ413" s="391"/>
      <c r="AK413" s="383"/>
      <c r="AL413" s="177"/>
      <c r="AM413" s="177"/>
      <c r="AN413" s="177"/>
      <c r="AO413" s="366"/>
      <c r="AP413" s="366"/>
      <c r="AQ413" s="366"/>
      <c r="AR413" s="366"/>
      <c r="AS413" s="366"/>
    </row>
    <row r="414">
      <c r="A414" s="391"/>
      <c r="B414" s="383"/>
      <c r="C414" s="177"/>
      <c r="D414" s="177"/>
      <c r="E414" s="177"/>
      <c r="F414" s="391"/>
      <c r="G414" s="383"/>
      <c r="H414" s="177"/>
      <c r="I414" s="177"/>
      <c r="J414" s="177"/>
      <c r="K414" s="88"/>
      <c r="L414" s="383"/>
      <c r="M414" s="177"/>
      <c r="N414" s="177"/>
      <c r="O414" s="177"/>
      <c r="P414" s="88"/>
      <c r="Q414" s="151"/>
      <c r="R414" s="177"/>
      <c r="S414" s="177"/>
      <c r="T414" s="177"/>
      <c r="U414" s="391"/>
      <c r="V414" s="383"/>
      <c r="W414" s="177"/>
      <c r="X414" s="177"/>
      <c r="Y414" s="177"/>
      <c r="Z414" s="391"/>
      <c r="AA414" s="383"/>
      <c r="AB414" s="177"/>
      <c r="AC414" s="177"/>
      <c r="AD414" s="177"/>
      <c r="AE414" s="391"/>
      <c r="AF414" s="383"/>
      <c r="AG414" s="177"/>
      <c r="AH414" s="177"/>
      <c r="AI414" s="177"/>
      <c r="AJ414" s="391"/>
      <c r="AK414" s="383"/>
      <c r="AL414" s="177"/>
      <c r="AM414" s="177"/>
      <c r="AN414" s="177"/>
      <c r="AO414" s="366"/>
      <c r="AP414" s="366"/>
      <c r="AQ414" s="366"/>
      <c r="AR414" s="366"/>
      <c r="AS414" s="366"/>
    </row>
    <row r="415">
      <c r="A415" s="391"/>
      <c r="B415" s="383"/>
      <c r="C415" s="177"/>
      <c r="D415" s="177"/>
      <c r="E415" s="177"/>
      <c r="F415" s="391"/>
      <c r="G415" s="383"/>
      <c r="H415" s="177"/>
      <c r="I415" s="177"/>
      <c r="J415" s="177"/>
      <c r="K415" s="88"/>
      <c r="L415" s="383"/>
      <c r="M415" s="177"/>
      <c r="N415" s="177"/>
      <c r="O415" s="177"/>
      <c r="P415" s="88"/>
      <c r="Q415" s="151"/>
      <c r="R415" s="177"/>
      <c r="S415" s="177"/>
      <c r="T415" s="177"/>
      <c r="U415" s="391"/>
      <c r="V415" s="383"/>
      <c r="W415" s="177"/>
      <c r="X415" s="177"/>
      <c r="Y415" s="177"/>
      <c r="Z415" s="391"/>
      <c r="AA415" s="383"/>
      <c r="AB415" s="177"/>
      <c r="AC415" s="177"/>
      <c r="AD415" s="177"/>
      <c r="AE415" s="391"/>
      <c r="AF415" s="383"/>
      <c r="AG415" s="177"/>
      <c r="AH415" s="177"/>
      <c r="AI415" s="177"/>
      <c r="AJ415" s="391"/>
      <c r="AK415" s="383"/>
      <c r="AL415" s="177"/>
      <c r="AM415" s="177"/>
      <c r="AN415" s="177"/>
      <c r="AO415" s="366"/>
      <c r="AP415" s="366"/>
      <c r="AQ415" s="366"/>
      <c r="AR415" s="366"/>
      <c r="AS415" s="366"/>
    </row>
    <row r="416">
      <c r="A416" s="391"/>
      <c r="B416" s="383"/>
      <c r="C416" s="177"/>
      <c r="D416" s="177"/>
      <c r="E416" s="177"/>
      <c r="F416" s="391"/>
      <c r="G416" s="383"/>
      <c r="H416" s="177"/>
      <c r="I416" s="177"/>
      <c r="J416" s="177"/>
      <c r="K416" s="88"/>
      <c r="L416" s="383"/>
      <c r="M416" s="177"/>
      <c r="N416" s="177"/>
      <c r="O416" s="177"/>
      <c r="P416" s="88"/>
      <c r="Q416" s="151"/>
      <c r="R416" s="177"/>
      <c r="S416" s="177"/>
      <c r="T416" s="177"/>
      <c r="U416" s="391"/>
      <c r="V416" s="383"/>
      <c r="W416" s="177"/>
      <c r="X416" s="177"/>
      <c r="Y416" s="177"/>
      <c r="Z416" s="391"/>
      <c r="AA416" s="383"/>
      <c r="AB416" s="177"/>
      <c r="AC416" s="177"/>
      <c r="AD416" s="177"/>
      <c r="AE416" s="391"/>
      <c r="AF416" s="383"/>
      <c r="AG416" s="177"/>
      <c r="AH416" s="177"/>
      <c r="AI416" s="177"/>
      <c r="AJ416" s="391"/>
      <c r="AK416" s="383"/>
      <c r="AL416" s="177"/>
      <c r="AM416" s="177"/>
      <c r="AN416" s="177"/>
      <c r="AO416" s="366"/>
      <c r="AP416" s="366"/>
      <c r="AQ416" s="366"/>
      <c r="AR416" s="366"/>
      <c r="AS416" s="366"/>
    </row>
    <row r="417">
      <c r="A417" s="391"/>
      <c r="B417" s="383"/>
      <c r="C417" s="177"/>
      <c r="D417" s="177"/>
      <c r="E417" s="177"/>
      <c r="F417" s="391"/>
      <c r="G417" s="383"/>
      <c r="H417" s="177"/>
      <c r="I417" s="177"/>
      <c r="J417" s="177"/>
      <c r="K417" s="88"/>
      <c r="L417" s="383"/>
      <c r="M417" s="177"/>
      <c r="N417" s="177"/>
      <c r="O417" s="177"/>
      <c r="P417" s="88"/>
      <c r="Q417" s="151"/>
      <c r="R417" s="177"/>
      <c r="S417" s="177"/>
      <c r="T417" s="177"/>
      <c r="U417" s="391"/>
      <c r="V417" s="383"/>
      <c r="W417" s="177"/>
      <c r="X417" s="177"/>
      <c r="Y417" s="177"/>
      <c r="Z417" s="391"/>
      <c r="AA417" s="383"/>
      <c r="AB417" s="177"/>
      <c r="AC417" s="177"/>
      <c r="AD417" s="177"/>
      <c r="AE417" s="391"/>
      <c r="AF417" s="383"/>
      <c r="AG417" s="177"/>
      <c r="AH417" s="177"/>
      <c r="AI417" s="177"/>
      <c r="AJ417" s="391"/>
      <c r="AK417" s="383"/>
      <c r="AL417" s="177"/>
      <c r="AM417" s="177"/>
      <c r="AN417" s="177"/>
      <c r="AO417" s="366"/>
      <c r="AP417" s="366"/>
      <c r="AQ417" s="366"/>
      <c r="AR417" s="366"/>
      <c r="AS417" s="366"/>
    </row>
    <row r="418">
      <c r="A418" s="391"/>
      <c r="B418" s="383"/>
      <c r="C418" s="177"/>
      <c r="D418" s="177"/>
      <c r="E418" s="177"/>
      <c r="F418" s="391"/>
      <c r="G418" s="383"/>
      <c r="H418" s="177"/>
      <c r="I418" s="177"/>
      <c r="J418" s="177"/>
      <c r="K418" s="88"/>
      <c r="L418" s="383"/>
      <c r="M418" s="177"/>
      <c r="N418" s="177"/>
      <c r="O418" s="177"/>
      <c r="P418" s="88"/>
      <c r="Q418" s="151"/>
      <c r="R418" s="177"/>
      <c r="S418" s="177"/>
      <c r="T418" s="177"/>
      <c r="U418" s="391"/>
      <c r="V418" s="383"/>
      <c r="W418" s="177"/>
      <c r="X418" s="177"/>
      <c r="Y418" s="177"/>
      <c r="Z418" s="391"/>
      <c r="AA418" s="383"/>
      <c r="AB418" s="177"/>
      <c r="AC418" s="177"/>
      <c r="AD418" s="177"/>
      <c r="AE418" s="391"/>
      <c r="AF418" s="383"/>
      <c r="AG418" s="177"/>
      <c r="AH418" s="177"/>
      <c r="AI418" s="177"/>
      <c r="AJ418" s="391"/>
      <c r="AK418" s="383"/>
      <c r="AL418" s="177"/>
      <c r="AM418" s="177"/>
      <c r="AN418" s="177"/>
      <c r="AO418" s="366"/>
      <c r="AP418" s="366"/>
      <c r="AQ418" s="366"/>
      <c r="AR418" s="366"/>
      <c r="AS418" s="366"/>
    </row>
    <row r="419">
      <c r="A419" s="391"/>
      <c r="B419" s="383"/>
      <c r="C419" s="177"/>
      <c r="D419" s="177"/>
      <c r="E419" s="177"/>
      <c r="F419" s="391"/>
      <c r="G419" s="383"/>
      <c r="H419" s="177"/>
      <c r="I419" s="177"/>
      <c r="J419" s="177"/>
      <c r="K419" s="88"/>
      <c r="L419" s="383"/>
      <c r="M419" s="177"/>
      <c r="N419" s="177"/>
      <c r="O419" s="177"/>
      <c r="P419" s="88"/>
      <c r="Q419" s="151"/>
      <c r="R419" s="177"/>
      <c r="S419" s="177"/>
      <c r="T419" s="177"/>
      <c r="U419" s="391"/>
      <c r="V419" s="383"/>
      <c r="W419" s="177"/>
      <c r="X419" s="177"/>
      <c r="Y419" s="177"/>
      <c r="Z419" s="391"/>
      <c r="AA419" s="383"/>
      <c r="AB419" s="177"/>
      <c r="AC419" s="177"/>
      <c r="AD419" s="177"/>
      <c r="AE419" s="391"/>
      <c r="AF419" s="383"/>
      <c r="AG419" s="177"/>
      <c r="AH419" s="177"/>
      <c r="AI419" s="177"/>
      <c r="AJ419" s="391"/>
      <c r="AK419" s="383"/>
      <c r="AL419" s="177"/>
      <c r="AM419" s="177"/>
      <c r="AN419" s="177"/>
      <c r="AO419" s="366"/>
      <c r="AP419" s="366"/>
      <c r="AQ419" s="366"/>
      <c r="AR419" s="366"/>
      <c r="AS419" s="366"/>
    </row>
    <row r="420">
      <c r="A420" s="391"/>
      <c r="B420" s="383"/>
      <c r="C420" s="177"/>
      <c r="D420" s="177"/>
      <c r="E420" s="177"/>
      <c r="F420" s="391"/>
      <c r="G420" s="383"/>
      <c r="H420" s="177"/>
      <c r="I420" s="177"/>
      <c r="J420" s="177"/>
      <c r="K420" s="88"/>
      <c r="L420" s="383"/>
      <c r="M420" s="177"/>
      <c r="N420" s="177"/>
      <c r="O420" s="177"/>
      <c r="P420" s="88"/>
      <c r="Q420" s="151"/>
      <c r="R420" s="177"/>
      <c r="S420" s="177"/>
      <c r="T420" s="177"/>
      <c r="U420" s="391"/>
      <c r="V420" s="383"/>
      <c r="W420" s="177"/>
      <c r="X420" s="177"/>
      <c r="Y420" s="177"/>
      <c r="Z420" s="391"/>
      <c r="AA420" s="383"/>
      <c r="AB420" s="177"/>
      <c r="AC420" s="177"/>
      <c r="AD420" s="177"/>
      <c r="AE420" s="391"/>
      <c r="AF420" s="383"/>
      <c r="AG420" s="177"/>
      <c r="AH420" s="177"/>
      <c r="AI420" s="177"/>
      <c r="AJ420" s="391"/>
      <c r="AK420" s="383"/>
      <c r="AL420" s="177"/>
      <c r="AM420" s="177"/>
      <c r="AN420" s="177"/>
      <c r="AO420" s="366"/>
      <c r="AP420" s="366"/>
      <c r="AQ420" s="366"/>
      <c r="AR420" s="366"/>
      <c r="AS420" s="366"/>
    </row>
    <row r="421">
      <c r="A421" s="391"/>
      <c r="B421" s="383"/>
      <c r="C421" s="177"/>
      <c r="D421" s="177"/>
      <c r="E421" s="177"/>
      <c r="F421" s="391"/>
      <c r="G421" s="383"/>
      <c r="H421" s="177"/>
      <c r="I421" s="177"/>
      <c r="J421" s="177"/>
      <c r="K421" s="88"/>
      <c r="L421" s="383"/>
      <c r="M421" s="177"/>
      <c r="N421" s="177"/>
      <c r="O421" s="177"/>
      <c r="P421" s="88"/>
      <c r="Q421" s="151"/>
      <c r="R421" s="177"/>
      <c r="S421" s="177"/>
      <c r="T421" s="177"/>
      <c r="U421" s="391"/>
      <c r="V421" s="383"/>
      <c r="W421" s="177"/>
      <c r="X421" s="177"/>
      <c r="Y421" s="177"/>
      <c r="Z421" s="391"/>
      <c r="AA421" s="383"/>
      <c r="AB421" s="177"/>
      <c r="AC421" s="177"/>
      <c r="AD421" s="177"/>
      <c r="AE421" s="391"/>
      <c r="AF421" s="383"/>
      <c r="AG421" s="177"/>
      <c r="AH421" s="177"/>
      <c r="AI421" s="177"/>
      <c r="AJ421" s="391"/>
      <c r="AK421" s="383"/>
      <c r="AL421" s="177"/>
      <c r="AM421" s="177"/>
      <c r="AN421" s="177"/>
      <c r="AO421" s="366"/>
      <c r="AP421" s="366"/>
      <c r="AQ421" s="366"/>
      <c r="AR421" s="366"/>
      <c r="AS421" s="366"/>
    </row>
    <row r="422">
      <c r="A422" s="391"/>
      <c r="B422" s="383"/>
      <c r="C422" s="177"/>
      <c r="D422" s="177"/>
      <c r="E422" s="177"/>
      <c r="F422" s="391"/>
      <c r="G422" s="383"/>
      <c r="H422" s="177"/>
      <c r="I422" s="177"/>
      <c r="J422" s="177"/>
      <c r="K422" s="88"/>
      <c r="L422" s="383"/>
      <c r="M422" s="177"/>
      <c r="N422" s="177"/>
      <c r="O422" s="177"/>
      <c r="P422" s="88"/>
      <c r="Q422" s="151"/>
      <c r="R422" s="177"/>
      <c r="S422" s="177"/>
      <c r="T422" s="177"/>
      <c r="U422" s="391"/>
      <c r="V422" s="383"/>
      <c r="W422" s="177"/>
      <c r="X422" s="177"/>
      <c r="Y422" s="177"/>
      <c r="Z422" s="391"/>
      <c r="AA422" s="383"/>
      <c r="AB422" s="177"/>
      <c r="AC422" s="177"/>
      <c r="AD422" s="177"/>
      <c r="AE422" s="391"/>
      <c r="AF422" s="383"/>
      <c r="AG422" s="177"/>
      <c r="AH422" s="177"/>
      <c r="AI422" s="177"/>
      <c r="AJ422" s="391"/>
      <c r="AK422" s="383"/>
      <c r="AL422" s="177"/>
      <c r="AM422" s="177"/>
      <c r="AN422" s="177"/>
      <c r="AO422" s="366"/>
      <c r="AP422" s="366"/>
      <c r="AQ422" s="366"/>
      <c r="AR422" s="366"/>
      <c r="AS422" s="366"/>
    </row>
    <row r="423">
      <c r="A423" s="391"/>
      <c r="B423" s="383"/>
      <c r="C423" s="177"/>
      <c r="D423" s="177"/>
      <c r="E423" s="177"/>
      <c r="F423" s="391"/>
      <c r="G423" s="383"/>
      <c r="H423" s="177"/>
      <c r="I423" s="177"/>
      <c r="J423" s="177"/>
      <c r="K423" s="88"/>
      <c r="L423" s="383"/>
      <c r="M423" s="177"/>
      <c r="N423" s="177"/>
      <c r="O423" s="177"/>
      <c r="P423" s="88"/>
      <c r="Q423" s="151"/>
      <c r="R423" s="177"/>
      <c r="S423" s="177"/>
      <c r="T423" s="177"/>
      <c r="U423" s="391"/>
      <c r="V423" s="383"/>
      <c r="W423" s="177"/>
      <c r="X423" s="177"/>
      <c r="Y423" s="177"/>
      <c r="Z423" s="391"/>
      <c r="AA423" s="383"/>
      <c r="AB423" s="177"/>
      <c r="AC423" s="177"/>
      <c r="AD423" s="177"/>
      <c r="AE423" s="391"/>
      <c r="AF423" s="383"/>
      <c r="AG423" s="177"/>
      <c r="AH423" s="177"/>
      <c r="AI423" s="177"/>
      <c r="AJ423" s="391"/>
      <c r="AK423" s="383"/>
      <c r="AL423" s="177"/>
      <c r="AM423" s="177"/>
      <c r="AN423" s="177"/>
      <c r="AO423" s="366"/>
      <c r="AP423" s="366"/>
      <c r="AQ423" s="366"/>
      <c r="AR423" s="366"/>
      <c r="AS423" s="366"/>
    </row>
    <row r="424">
      <c r="A424" s="391"/>
      <c r="B424" s="383"/>
      <c r="C424" s="177"/>
      <c r="D424" s="177"/>
      <c r="E424" s="177"/>
      <c r="F424" s="391"/>
      <c r="G424" s="383"/>
      <c r="H424" s="177"/>
      <c r="I424" s="177"/>
      <c r="J424" s="177"/>
      <c r="K424" s="88"/>
      <c r="L424" s="383"/>
      <c r="M424" s="177"/>
      <c r="N424" s="177"/>
      <c r="O424" s="177"/>
      <c r="P424" s="88"/>
      <c r="Q424" s="151"/>
      <c r="R424" s="177"/>
      <c r="S424" s="177"/>
      <c r="T424" s="177"/>
      <c r="U424" s="391"/>
      <c r="V424" s="383"/>
      <c r="W424" s="177"/>
      <c r="X424" s="177"/>
      <c r="Y424" s="177"/>
      <c r="Z424" s="391"/>
      <c r="AA424" s="383"/>
      <c r="AB424" s="177"/>
      <c r="AC424" s="177"/>
      <c r="AD424" s="177"/>
      <c r="AE424" s="391"/>
      <c r="AF424" s="383"/>
      <c r="AG424" s="177"/>
      <c r="AH424" s="177"/>
      <c r="AI424" s="177"/>
      <c r="AJ424" s="391"/>
      <c r="AK424" s="383"/>
      <c r="AL424" s="177"/>
      <c r="AM424" s="177"/>
      <c r="AN424" s="177"/>
      <c r="AO424" s="366"/>
      <c r="AP424" s="366"/>
      <c r="AQ424" s="366"/>
      <c r="AR424" s="366"/>
      <c r="AS424" s="366"/>
    </row>
    <row r="425">
      <c r="A425" s="391"/>
      <c r="B425" s="383"/>
      <c r="C425" s="177"/>
      <c r="D425" s="177"/>
      <c r="E425" s="177"/>
      <c r="F425" s="391"/>
      <c r="G425" s="383"/>
      <c r="H425" s="177"/>
      <c r="I425" s="177"/>
      <c r="J425" s="177"/>
      <c r="K425" s="88"/>
      <c r="L425" s="383"/>
      <c r="M425" s="177"/>
      <c r="N425" s="177"/>
      <c r="O425" s="177"/>
      <c r="P425" s="88"/>
      <c r="Q425" s="151"/>
      <c r="R425" s="177"/>
      <c r="S425" s="177"/>
      <c r="T425" s="177"/>
      <c r="U425" s="391"/>
      <c r="V425" s="383"/>
      <c r="W425" s="177"/>
      <c r="X425" s="177"/>
      <c r="Y425" s="177"/>
      <c r="Z425" s="391"/>
      <c r="AA425" s="383"/>
      <c r="AB425" s="177"/>
      <c r="AC425" s="177"/>
      <c r="AD425" s="177"/>
      <c r="AE425" s="391"/>
      <c r="AF425" s="383"/>
      <c r="AG425" s="177"/>
      <c r="AH425" s="177"/>
      <c r="AI425" s="177"/>
      <c r="AJ425" s="391"/>
      <c r="AK425" s="383"/>
      <c r="AL425" s="177"/>
      <c r="AM425" s="177"/>
      <c r="AN425" s="177"/>
      <c r="AO425" s="366"/>
      <c r="AP425" s="366"/>
      <c r="AQ425" s="366"/>
      <c r="AR425" s="366"/>
      <c r="AS425" s="366"/>
    </row>
    <row r="426">
      <c r="A426" s="391"/>
      <c r="B426" s="383"/>
      <c r="C426" s="177"/>
      <c r="D426" s="177"/>
      <c r="E426" s="177"/>
      <c r="F426" s="391"/>
      <c r="G426" s="383"/>
      <c r="H426" s="177"/>
      <c r="I426" s="177"/>
      <c r="J426" s="177"/>
      <c r="K426" s="88"/>
      <c r="L426" s="383"/>
      <c r="M426" s="177"/>
      <c r="N426" s="177"/>
      <c r="O426" s="177"/>
      <c r="P426" s="88"/>
      <c r="Q426" s="151"/>
      <c r="R426" s="177"/>
      <c r="S426" s="177"/>
      <c r="T426" s="177"/>
      <c r="U426" s="391"/>
      <c r="V426" s="383"/>
      <c r="W426" s="177"/>
      <c r="X426" s="177"/>
      <c r="Y426" s="177"/>
      <c r="Z426" s="391"/>
      <c r="AA426" s="383"/>
      <c r="AB426" s="177"/>
      <c r="AC426" s="177"/>
      <c r="AD426" s="177"/>
      <c r="AE426" s="391"/>
      <c r="AF426" s="383"/>
      <c r="AG426" s="177"/>
      <c r="AH426" s="177"/>
      <c r="AI426" s="177"/>
      <c r="AJ426" s="391"/>
      <c r="AK426" s="383"/>
      <c r="AL426" s="177"/>
      <c r="AM426" s="177"/>
      <c r="AN426" s="177"/>
      <c r="AO426" s="366"/>
      <c r="AP426" s="366"/>
      <c r="AQ426" s="366"/>
      <c r="AR426" s="366"/>
      <c r="AS426" s="366"/>
    </row>
    <row r="427">
      <c r="A427" s="391"/>
      <c r="B427" s="383"/>
      <c r="C427" s="177"/>
      <c r="D427" s="177"/>
      <c r="E427" s="177"/>
      <c r="F427" s="391"/>
      <c r="G427" s="383"/>
      <c r="H427" s="177"/>
      <c r="I427" s="177"/>
      <c r="J427" s="177"/>
      <c r="K427" s="88"/>
      <c r="L427" s="383"/>
      <c r="M427" s="177"/>
      <c r="N427" s="177"/>
      <c r="O427" s="177"/>
      <c r="P427" s="88"/>
      <c r="Q427" s="151"/>
      <c r="R427" s="177"/>
      <c r="S427" s="177"/>
      <c r="T427" s="177"/>
      <c r="U427" s="391"/>
      <c r="V427" s="383"/>
      <c r="W427" s="177"/>
      <c r="X427" s="177"/>
      <c r="Y427" s="177"/>
      <c r="Z427" s="391"/>
      <c r="AA427" s="383"/>
      <c r="AB427" s="177"/>
      <c r="AC427" s="177"/>
      <c r="AD427" s="177"/>
      <c r="AE427" s="391"/>
      <c r="AF427" s="383"/>
      <c r="AG427" s="177"/>
      <c r="AH427" s="177"/>
      <c r="AI427" s="177"/>
      <c r="AJ427" s="391"/>
      <c r="AK427" s="383"/>
      <c r="AL427" s="177"/>
      <c r="AM427" s="177"/>
      <c r="AN427" s="177"/>
      <c r="AO427" s="366"/>
      <c r="AP427" s="366"/>
      <c r="AQ427" s="366"/>
      <c r="AR427" s="366"/>
      <c r="AS427" s="366"/>
    </row>
    <row r="428">
      <c r="A428" s="391"/>
      <c r="B428" s="383"/>
      <c r="C428" s="177"/>
      <c r="D428" s="177"/>
      <c r="E428" s="177"/>
      <c r="F428" s="391"/>
      <c r="G428" s="383"/>
      <c r="H428" s="177"/>
      <c r="I428" s="177"/>
      <c r="J428" s="177"/>
      <c r="K428" s="88"/>
      <c r="L428" s="383"/>
      <c r="M428" s="177"/>
      <c r="N428" s="177"/>
      <c r="O428" s="177"/>
      <c r="P428" s="88"/>
      <c r="Q428" s="151"/>
      <c r="R428" s="177"/>
      <c r="S428" s="177"/>
      <c r="T428" s="177"/>
      <c r="U428" s="391"/>
      <c r="V428" s="383"/>
      <c r="W428" s="177"/>
      <c r="X428" s="177"/>
      <c r="Y428" s="177"/>
      <c r="Z428" s="391"/>
      <c r="AA428" s="383"/>
      <c r="AB428" s="177"/>
      <c r="AC428" s="177"/>
      <c r="AD428" s="177"/>
      <c r="AE428" s="391"/>
      <c r="AF428" s="383"/>
      <c r="AG428" s="177"/>
      <c r="AH428" s="177"/>
      <c r="AI428" s="177"/>
      <c r="AJ428" s="391"/>
      <c r="AK428" s="383"/>
      <c r="AL428" s="177"/>
      <c r="AM428" s="177"/>
      <c r="AN428" s="177"/>
      <c r="AO428" s="366"/>
      <c r="AP428" s="366"/>
      <c r="AQ428" s="366"/>
      <c r="AR428" s="366"/>
      <c r="AS428" s="366"/>
    </row>
    <row r="429">
      <c r="A429" s="391"/>
      <c r="B429" s="383"/>
      <c r="C429" s="177"/>
      <c r="D429" s="177"/>
      <c r="E429" s="177"/>
      <c r="F429" s="391"/>
      <c r="G429" s="383"/>
      <c r="H429" s="177"/>
      <c r="I429" s="177"/>
      <c r="J429" s="177"/>
      <c r="K429" s="88"/>
      <c r="L429" s="383"/>
      <c r="M429" s="177"/>
      <c r="N429" s="177"/>
      <c r="O429" s="177"/>
      <c r="P429" s="88"/>
      <c r="Q429" s="151"/>
      <c r="R429" s="177"/>
      <c r="S429" s="177"/>
      <c r="T429" s="177"/>
      <c r="U429" s="391"/>
      <c r="V429" s="383"/>
      <c r="W429" s="177"/>
      <c r="X429" s="177"/>
      <c r="Y429" s="177"/>
      <c r="Z429" s="391"/>
      <c r="AA429" s="383"/>
      <c r="AB429" s="177"/>
      <c r="AC429" s="177"/>
      <c r="AD429" s="177"/>
      <c r="AE429" s="391"/>
      <c r="AF429" s="383"/>
      <c r="AG429" s="177"/>
      <c r="AH429" s="177"/>
      <c r="AI429" s="177"/>
      <c r="AJ429" s="391"/>
      <c r="AK429" s="383"/>
      <c r="AL429" s="177"/>
      <c r="AM429" s="177"/>
      <c r="AN429" s="177"/>
      <c r="AO429" s="366"/>
      <c r="AP429" s="366"/>
      <c r="AQ429" s="366"/>
      <c r="AR429" s="366"/>
      <c r="AS429" s="366"/>
    </row>
    <row r="430">
      <c r="A430" s="391"/>
      <c r="B430" s="383"/>
      <c r="C430" s="177"/>
      <c r="D430" s="177"/>
      <c r="E430" s="177"/>
      <c r="F430" s="391"/>
      <c r="G430" s="383"/>
      <c r="H430" s="177"/>
      <c r="I430" s="177"/>
      <c r="J430" s="177"/>
      <c r="K430" s="88"/>
      <c r="L430" s="383"/>
      <c r="M430" s="177"/>
      <c r="N430" s="177"/>
      <c r="O430" s="177"/>
      <c r="P430" s="88"/>
      <c r="Q430" s="151"/>
      <c r="R430" s="177"/>
      <c r="S430" s="177"/>
      <c r="T430" s="177"/>
      <c r="U430" s="391"/>
      <c r="V430" s="383"/>
      <c r="W430" s="177"/>
      <c r="X430" s="177"/>
      <c r="Y430" s="177"/>
      <c r="Z430" s="391"/>
      <c r="AA430" s="383"/>
      <c r="AB430" s="177"/>
      <c r="AC430" s="177"/>
      <c r="AD430" s="177"/>
      <c r="AE430" s="391"/>
      <c r="AF430" s="383"/>
      <c r="AG430" s="177"/>
      <c r="AH430" s="177"/>
      <c r="AI430" s="177"/>
      <c r="AJ430" s="391"/>
      <c r="AK430" s="383"/>
      <c r="AL430" s="177"/>
      <c r="AM430" s="177"/>
      <c r="AN430" s="177"/>
      <c r="AO430" s="366"/>
      <c r="AP430" s="366"/>
      <c r="AQ430" s="366"/>
      <c r="AR430" s="366"/>
      <c r="AS430" s="366"/>
    </row>
    <row r="431">
      <c r="A431" s="391"/>
      <c r="B431" s="383"/>
      <c r="C431" s="177"/>
      <c r="D431" s="177"/>
      <c r="E431" s="177"/>
      <c r="F431" s="391"/>
      <c r="G431" s="383"/>
      <c r="H431" s="177"/>
      <c r="I431" s="177"/>
      <c r="J431" s="177"/>
      <c r="K431" s="88"/>
      <c r="L431" s="383"/>
      <c r="M431" s="177"/>
      <c r="N431" s="177"/>
      <c r="O431" s="177"/>
      <c r="P431" s="88"/>
      <c r="Q431" s="151"/>
      <c r="R431" s="177"/>
      <c r="S431" s="177"/>
      <c r="T431" s="177"/>
      <c r="U431" s="391"/>
      <c r="V431" s="383"/>
      <c r="W431" s="177"/>
      <c r="X431" s="177"/>
      <c r="Y431" s="177"/>
      <c r="Z431" s="391"/>
      <c r="AA431" s="383"/>
      <c r="AB431" s="177"/>
      <c r="AC431" s="177"/>
      <c r="AD431" s="177"/>
      <c r="AE431" s="391"/>
      <c r="AF431" s="383"/>
      <c r="AG431" s="177"/>
      <c r="AH431" s="177"/>
      <c r="AI431" s="177"/>
      <c r="AJ431" s="391"/>
      <c r="AK431" s="383"/>
      <c r="AL431" s="177"/>
      <c r="AM431" s="177"/>
      <c r="AN431" s="177"/>
      <c r="AO431" s="366"/>
      <c r="AP431" s="366"/>
      <c r="AQ431" s="366"/>
      <c r="AR431" s="366"/>
      <c r="AS431" s="366"/>
    </row>
    <row r="432">
      <c r="A432" s="391"/>
      <c r="B432" s="383"/>
      <c r="C432" s="177"/>
      <c r="D432" s="177"/>
      <c r="E432" s="177"/>
      <c r="F432" s="391"/>
      <c r="G432" s="383"/>
      <c r="H432" s="177"/>
      <c r="I432" s="177"/>
      <c r="J432" s="177"/>
      <c r="K432" s="88"/>
      <c r="L432" s="383"/>
      <c r="M432" s="177"/>
      <c r="N432" s="177"/>
      <c r="O432" s="177"/>
      <c r="P432" s="88"/>
      <c r="Q432" s="151"/>
      <c r="R432" s="177"/>
      <c r="S432" s="177"/>
      <c r="T432" s="177"/>
      <c r="U432" s="391"/>
      <c r="V432" s="383"/>
      <c r="W432" s="177"/>
      <c r="X432" s="177"/>
      <c r="Y432" s="177"/>
      <c r="Z432" s="391"/>
      <c r="AA432" s="383"/>
      <c r="AB432" s="177"/>
      <c r="AC432" s="177"/>
      <c r="AD432" s="177"/>
      <c r="AE432" s="391"/>
      <c r="AF432" s="383"/>
      <c r="AG432" s="177"/>
      <c r="AH432" s="177"/>
      <c r="AI432" s="177"/>
      <c r="AJ432" s="391"/>
      <c r="AK432" s="383"/>
      <c r="AL432" s="177"/>
      <c r="AM432" s="177"/>
      <c r="AN432" s="177"/>
      <c r="AO432" s="366"/>
      <c r="AP432" s="366"/>
      <c r="AQ432" s="366"/>
      <c r="AR432" s="366"/>
      <c r="AS432" s="366"/>
    </row>
    <row r="433">
      <c r="A433" s="391"/>
      <c r="B433" s="383"/>
      <c r="C433" s="177"/>
      <c r="D433" s="177"/>
      <c r="E433" s="177"/>
      <c r="F433" s="391"/>
      <c r="G433" s="383"/>
      <c r="H433" s="177"/>
      <c r="I433" s="177"/>
      <c r="J433" s="177"/>
      <c r="K433" s="88"/>
      <c r="L433" s="383"/>
      <c r="M433" s="177"/>
      <c r="N433" s="177"/>
      <c r="O433" s="177"/>
      <c r="P433" s="88"/>
      <c r="Q433" s="151"/>
      <c r="R433" s="177"/>
      <c r="S433" s="177"/>
      <c r="T433" s="177"/>
      <c r="U433" s="391"/>
      <c r="V433" s="383"/>
      <c r="W433" s="177"/>
      <c r="X433" s="177"/>
      <c r="Y433" s="177"/>
      <c r="Z433" s="391"/>
      <c r="AA433" s="383"/>
      <c r="AB433" s="177"/>
      <c r="AC433" s="177"/>
      <c r="AD433" s="177"/>
      <c r="AE433" s="391"/>
      <c r="AF433" s="383"/>
      <c r="AG433" s="177"/>
      <c r="AH433" s="177"/>
      <c r="AI433" s="177"/>
      <c r="AJ433" s="391"/>
      <c r="AK433" s="383"/>
      <c r="AL433" s="177"/>
      <c r="AM433" s="177"/>
      <c r="AN433" s="177"/>
      <c r="AO433" s="366"/>
      <c r="AP433" s="366"/>
      <c r="AQ433" s="366"/>
      <c r="AR433" s="366"/>
      <c r="AS433" s="366"/>
    </row>
    <row r="434">
      <c r="A434" s="391"/>
      <c r="B434" s="383"/>
      <c r="C434" s="177"/>
      <c r="D434" s="177"/>
      <c r="E434" s="177"/>
      <c r="F434" s="391"/>
      <c r="G434" s="383"/>
      <c r="H434" s="177"/>
      <c r="I434" s="177"/>
      <c r="J434" s="177"/>
      <c r="K434" s="88"/>
      <c r="L434" s="383"/>
      <c r="M434" s="177"/>
      <c r="N434" s="177"/>
      <c r="O434" s="177"/>
      <c r="P434" s="88"/>
      <c r="Q434" s="151"/>
      <c r="R434" s="177"/>
      <c r="S434" s="177"/>
      <c r="T434" s="177"/>
      <c r="U434" s="391"/>
      <c r="V434" s="383"/>
      <c r="W434" s="177"/>
      <c r="X434" s="177"/>
      <c r="Y434" s="177"/>
      <c r="Z434" s="391"/>
      <c r="AA434" s="383"/>
      <c r="AB434" s="177"/>
      <c r="AC434" s="177"/>
      <c r="AD434" s="177"/>
      <c r="AE434" s="391"/>
      <c r="AF434" s="383"/>
      <c r="AG434" s="177"/>
      <c r="AH434" s="177"/>
      <c r="AI434" s="177"/>
      <c r="AJ434" s="391"/>
      <c r="AK434" s="383"/>
      <c r="AL434" s="177"/>
      <c r="AM434" s="177"/>
      <c r="AN434" s="177"/>
      <c r="AO434" s="366"/>
      <c r="AP434" s="366"/>
      <c r="AQ434" s="366"/>
      <c r="AR434" s="366"/>
      <c r="AS434" s="366"/>
    </row>
    <row r="435">
      <c r="A435" s="391"/>
      <c r="B435" s="383"/>
      <c r="C435" s="177"/>
      <c r="D435" s="177"/>
      <c r="E435" s="177"/>
      <c r="F435" s="391"/>
      <c r="G435" s="383"/>
      <c r="H435" s="177"/>
      <c r="I435" s="177"/>
      <c r="J435" s="177"/>
      <c r="K435" s="88"/>
      <c r="L435" s="383"/>
      <c r="M435" s="177"/>
      <c r="N435" s="177"/>
      <c r="O435" s="177"/>
      <c r="P435" s="88"/>
      <c r="Q435" s="151"/>
      <c r="R435" s="177"/>
      <c r="S435" s="177"/>
      <c r="T435" s="177"/>
      <c r="U435" s="391"/>
      <c r="V435" s="383"/>
      <c r="W435" s="177"/>
      <c r="X435" s="177"/>
      <c r="Y435" s="177"/>
      <c r="Z435" s="391"/>
      <c r="AA435" s="383"/>
      <c r="AB435" s="177"/>
      <c r="AC435" s="177"/>
      <c r="AD435" s="177"/>
      <c r="AE435" s="391"/>
      <c r="AF435" s="383"/>
      <c r="AG435" s="177"/>
      <c r="AH435" s="177"/>
      <c r="AI435" s="177"/>
      <c r="AJ435" s="391"/>
      <c r="AK435" s="383"/>
      <c r="AL435" s="177"/>
      <c r="AM435" s="177"/>
      <c r="AN435" s="177"/>
      <c r="AO435" s="366"/>
      <c r="AP435" s="366"/>
      <c r="AQ435" s="366"/>
      <c r="AR435" s="366"/>
      <c r="AS435" s="366"/>
    </row>
    <row r="436">
      <c r="A436" s="391"/>
      <c r="B436" s="383"/>
      <c r="C436" s="177"/>
      <c r="D436" s="177"/>
      <c r="E436" s="177"/>
      <c r="F436" s="391"/>
      <c r="G436" s="383"/>
      <c r="H436" s="177"/>
      <c r="I436" s="177"/>
      <c r="J436" s="177"/>
      <c r="K436" s="88"/>
      <c r="L436" s="383"/>
      <c r="M436" s="177"/>
      <c r="N436" s="177"/>
      <c r="O436" s="177"/>
      <c r="P436" s="88"/>
      <c r="Q436" s="151"/>
      <c r="R436" s="177"/>
      <c r="S436" s="177"/>
      <c r="T436" s="177"/>
      <c r="U436" s="391"/>
      <c r="V436" s="383"/>
      <c r="W436" s="177"/>
      <c r="X436" s="177"/>
      <c r="Y436" s="177"/>
      <c r="Z436" s="391"/>
      <c r="AA436" s="383"/>
      <c r="AB436" s="177"/>
      <c r="AC436" s="177"/>
      <c r="AD436" s="177"/>
      <c r="AE436" s="391"/>
      <c r="AF436" s="383"/>
      <c r="AG436" s="177"/>
      <c r="AH436" s="177"/>
      <c r="AI436" s="177"/>
      <c r="AJ436" s="391"/>
      <c r="AK436" s="383"/>
      <c r="AL436" s="177"/>
      <c r="AM436" s="177"/>
      <c r="AN436" s="177"/>
      <c r="AO436" s="366"/>
      <c r="AP436" s="366"/>
      <c r="AQ436" s="366"/>
      <c r="AR436" s="366"/>
      <c r="AS436" s="366"/>
    </row>
    <row r="437">
      <c r="A437" s="391"/>
      <c r="B437" s="383"/>
      <c r="C437" s="177"/>
      <c r="D437" s="177"/>
      <c r="E437" s="177"/>
      <c r="F437" s="391"/>
      <c r="G437" s="383"/>
      <c r="H437" s="177"/>
      <c r="I437" s="177"/>
      <c r="J437" s="177"/>
      <c r="K437" s="88"/>
      <c r="L437" s="383"/>
      <c r="M437" s="177"/>
      <c r="N437" s="177"/>
      <c r="O437" s="177"/>
      <c r="P437" s="88"/>
      <c r="Q437" s="151"/>
      <c r="R437" s="177"/>
      <c r="S437" s="177"/>
      <c r="T437" s="177"/>
      <c r="U437" s="391"/>
      <c r="V437" s="383"/>
      <c r="W437" s="177"/>
      <c r="X437" s="177"/>
      <c r="Y437" s="177"/>
      <c r="Z437" s="391"/>
      <c r="AA437" s="383"/>
      <c r="AB437" s="177"/>
      <c r="AC437" s="177"/>
      <c r="AD437" s="177"/>
      <c r="AE437" s="391"/>
      <c r="AF437" s="383"/>
      <c r="AG437" s="177"/>
      <c r="AH437" s="177"/>
      <c r="AI437" s="177"/>
      <c r="AJ437" s="391"/>
      <c r="AK437" s="383"/>
      <c r="AL437" s="177"/>
      <c r="AM437" s="177"/>
      <c r="AN437" s="177"/>
      <c r="AO437" s="366"/>
      <c r="AP437" s="366"/>
      <c r="AQ437" s="366"/>
      <c r="AR437" s="366"/>
      <c r="AS437" s="366"/>
    </row>
    <row r="438">
      <c r="A438" s="391"/>
      <c r="B438" s="383"/>
      <c r="C438" s="177"/>
      <c r="D438" s="177"/>
      <c r="E438" s="177"/>
      <c r="F438" s="391"/>
      <c r="G438" s="383"/>
      <c r="H438" s="177"/>
      <c r="I438" s="177"/>
      <c r="J438" s="177"/>
      <c r="K438" s="88"/>
      <c r="L438" s="383"/>
      <c r="M438" s="177"/>
      <c r="N438" s="177"/>
      <c r="O438" s="177"/>
      <c r="P438" s="88"/>
      <c r="Q438" s="151"/>
      <c r="R438" s="177"/>
      <c r="S438" s="177"/>
      <c r="T438" s="177"/>
      <c r="U438" s="391"/>
      <c r="V438" s="383"/>
      <c r="W438" s="177"/>
      <c r="X438" s="177"/>
      <c r="Y438" s="177"/>
      <c r="Z438" s="391"/>
      <c r="AA438" s="383"/>
      <c r="AB438" s="177"/>
      <c r="AC438" s="177"/>
      <c r="AD438" s="177"/>
      <c r="AE438" s="391"/>
      <c r="AF438" s="383"/>
      <c r="AG438" s="177"/>
      <c r="AH438" s="177"/>
      <c r="AI438" s="177"/>
      <c r="AJ438" s="391"/>
      <c r="AK438" s="383"/>
      <c r="AL438" s="177"/>
      <c r="AM438" s="177"/>
      <c r="AN438" s="177"/>
      <c r="AO438" s="366"/>
      <c r="AP438" s="366"/>
      <c r="AQ438" s="366"/>
      <c r="AR438" s="366"/>
      <c r="AS438" s="366"/>
    </row>
    <row r="439">
      <c r="A439" s="391"/>
      <c r="B439" s="383"/>
      <c r="C439" s="177"/>
      <c r="D439" s="177"/>
      <c r="E439" s="177"/>
      <c r="F439" s="391"/>
      <c r="G439" s="383"/>
      <c r="H439" s="177"/>
      <c r="I439" s="177"/>
      <c r="J439" s="177"/>
      <c r="K439" s="88"/>
      <c r="L439" s="383"/>
      <c r="M439" s="177"/>
      <c r="N439" s="177"/>
      <c r="O439" s="177"/>
      <c r="P439" s="88"/>
      <c r="Q439" s="151"/>
      <c r="R439" s="177"/>
      <c r="S439" s="177"/>
      <c r="T439" s="177"/>
      <c r="U439" s="391"/>
      <c r="V439" s="383"/>
      <c r="W439" s="177"/>
      <c r="X439" s="177"/>
      <c r="Y439" s="177"/>
      <c r="Z439" s="391"/>
      <c r="AA439" s="383"/>
      <c r="AB439" s="177"/>
      <c r="AC439" s="177"/>
      <c r="AD439" s="177"/>
      <c r="AE439" s="391"/>
      <c r="AF439" s="383"/>
      <c r="AG439" s="177"/>
      <c r="AH439" s="177"/>
      <c r="AI439" s="177"/>
      <c r="AJ439" s="391"/>
      <c r="AK439" s="383"/>
      <c r="AL439" s="177"/>
      <c r="AM439" s="177"/>
      <c r="AN439" s="177"/>
      <c r="AO439" s="366"/>
      <c r="AP439" s="366"/>
      <c r="AQ439" s="366"/>
      <c r="AR439" s="366"/>
      <c r="AS439" s="366"/>
    </row>
    <row r="440">
      <c r="A440" s="391"/>
      <c r="B440" s="383"/>
      <c r="C440" s="177"/>
      <c r="D440" s="177"/>
      <c r="E440" s="177"/>
      <c r="F440" s="391"/>
      <c r="G440" s="383"/>
      <c r="H440" s="177"/>
      <c r="I440" s="177"/>
      <c r="J440" s="177"/>
      <c r="K440" s="88"/>
      <c r="L440" s="383"/>
      <c r="M440" s="177"/>
      <c r="N440" s="177"/>
      <c r="O440" s="177"/>
      <c r="P440" s="88"/>
      <c r="Q440" s="151"/>
      <c r="R440" s="177"/>
      <c r="S440" s="177"/>
      <c r="T440" s="177"/>
      <c r="U440" s="391"/>
      <c r="V440" s="383"/>
      <c r="W440" s="177"/>
      <c r="X440" s="177"/>
      <c r="Y440" s="177"/>
      <c r="Z440" s="391"/>
      <c r="AA440" s="383"/>
      <c r="AB440" s="177"/>
      <c r="AC440" s="177"/>
      <c r="AD440" s="177"/>
      <c r="AE440" s="391"/>
      <c r="AF440" s="383"/>
      <c r="AG440" s="177"/>
      <c r="AH440" s="177"/>
      <c r="AI440" s="177"/>
      <c r="AJ440" s="391"/>
      <c r="AK440" s="383"/>
      <c r="AL440" s="177"/>
      <c r="AM440" s="177"/>
      <c r="AN440" s="177"/>
      <c r="AO440" s="366"/>
      <c r="AP440" s="366"/>
      <c r="AQ440" s="366"/>
      <c r="AR440" s="366"/>
      <c r="AS440" s="366"/>
    </row>
    <row r="441">
      <c r="A441" s="391"/>
      <c r="B441" s="383"/>
      <c r="C441" s="177"/>
      <c r="D441" s="177"/>
      <c r="E441" s="177"/>
      <c r="F441" s="391"/>
      <c r="G441" s="383"/>
      <c r="H441" s="177"/>
      <c r="I441" s="177"/>
      <c r="J441" s="177"/>
      <c r="K441" s="88"/>
      <c r="L441" s="383"/>
      <c r="M441" s="177"/>
      <c r="N441" s="177"/>
      <c r="O441" s="177"/>
      <c r="P441" s="88"/>
      <c r="Q441" s="151"/>
      <c r="R441" s="177"/>
      <c r="S441" s="177"/>
      <c r="T441" s="177"/>
      <c r="U441" s="391"/>
      <c r="V441" s="383"/>
      <c r="W441" s="177"/>
      <c r="X441" s="177"/>
      <c r="Y441" s="177"/>
      <c r="Z441" s="391"/>
      <c r="AA441" s="383"/>
      <c r="AB441" s="177"/>
      <c r="AC441" s="177"/>
      <c r="AD441" s="177"/>
      <c r="AE441" s="391"/>
      <c r="AF441" s="383"/>
      <c r="AG441" s="177"/>
      <c r="AH441" s="177"/>
      <c r="AI441" s="177"/>
      <c r="AJ441" s="391"/>
      <c r="AK441" s="383"/>
      <c r="AL441" s="177"/>
      <c r="AM441" s="177"/>
      <c r="AN441" s="177"/>
      <c r="AO441" s="366"/>
      <c r="AP441" s="366"/>
      <c r="AQ441" s="366"/>
      <c r="AR441" s="366"/>
      <c r="AS441" s="366"/>
    </row>
    <row r="442">
      <c r="A442" s="391"/>
      <c r="B442" s="383"/>
      <c r="C442" s="177"/>
      <c r="D442" s="177"/>
      <c r="E442" s="177"/>
      <c r="F442" s="391"/>
      <c r="G442" s="383"/>
      <c r="H442" s="177"/>
      <c r="I442" s="177"/>
      <c r="J442" s="177"/>
      <c r="K442" s="88"/>
      <c r="L442" s="383"/>
      <c r="M442" s="177"/>
      <c r="N442" s="177"/>
      <c r="O442" s="177"/>
      <c r="P442" s="88"/>
      <c r="Q442" s="151"/>
      <c r="R442" s="177"/>
      <c r="S442" s="177"/>
      <c r="T442" s="177"/>
      <c r="U442" s="391"/>
      <c r="V442" s="383"/>
      <c r="W442" s="177"/>
      <c r="X442" s="177"/>
      <c r="Y442" s="177"/>
      <c r="Z442" s="391"/>
      <c r="AA442" s="383"/>
      <c r="AB442" s="177"/>
      <c r="AC442" s="177"/>
      <c r="AD442" s="177"/>
      <c r="AE442" s="391"/>
      <c r="AF442" s="383"/>
      <c r="AG442" s="177"/>
      <c r="AH442" s="177"/>
      <c r="AI442" s="177"/>
      <c r="AJ442" s="391"/>
      <c r="AK442" s="383"/>
      <c r="AL442" s="177"/>
      <c r="AM442" s="177"/>
      <c r="AN442" s="177"/>
      <c r="AO442" s="366"/>
      <c r="AP442" s="366"/>
      <c r="AQ442" s="366"/>
      <c r="AR442" s="366"/>
      <c r="AS442" s="366"/>
    </row>
    <row r="443">
      <c r="A443" s="391"/>
      <c r="B443" s="383"/>
      <c r="C443" s="177"/>
      <c r="D443" s="177"/>
      <c r="E443" s="177"/>
      <c r="F443" s="391"/>
      <c r="G443" s="383"/>
      <c r="H443" s="177"/>
      <c r="I443" s="177"/>
      <c r="J443" s="177"/>
      <c r="K443" s="88"/>
      <c r="L443" s="383"/>
      <c r="M443" s="177"/>
      <c r="N443" s="177"/>
      <c r="O443" s="177"/>
      <c r="P443" s="88"/>
      <c r="Q443" s="151"/>
      <c r="R443" s="177"/>
      <c r="S443" s="177"/>
      <c r="T443" s="177"/>
      <c r="U443" s="391"/>
      <c r="V443" s="383"/>
      <c r="W443" s="177"/>
      <c r="X443" s="177"/>
      <c r="Y443" s="177"/>
      <c r="Z443" s="391"/>
      <c r="AA443" s="383"/>
      <c r="AB443" s="177"/>
      <c r="AC443" s="177"/>
      <c r="AD443" s="177"/>
      <c r="AE443" s="391"/>
      <c r="AF443" s="383"/>
      <c r="AG443" s="177"/>
      <c r="AH443" s="177"/>
      <c r="AI443" s="177"/>
      <c r="AJ443" s="391"/>
      <c r="AK443" s="383"/>
      <c r="AL443" s="177"/>
      <c r="AM443" s="177"/>
      <c r="AN443" s="177"/>
      <c r="AO443" s="366"/>
      <c r="AP443" s="366"/>
      <c r="AQ443" s="366"/>
      <c r="AR443" s="366"/>
      <c r="AS443" s="366"/>
    </row>
    <row r="444">
      <c r="A444" s="391"/>
      <c r="B444" s="383"/>
      <c r="C444" s="177"/>
      <c r="D444" s="177"/>
      <c r="E444" s="177"/>
      <c r="F444" s="391"/>
      <c r="G444" s="383"/>
      <c r="H444" s="177"/>
      <c r="I444" s="177"/>
      <c r="J444" s="177"/>
      <c r="K444" s="88"/>
      <c r="L444" s="383"/>
      <c r="M444" s="177"/>
      <c r="N444" s="177"/>
      <c r="O444" s="177"/>
      <c r="P444" s="88"/>
      <c r="Q444" s="151"/>
      <c r="R444" s="177"/>
      <c r="S444" s="177"/>
      <c r="T444" s="177"/>
      <c r="U444" s="391"/>
      <c r="V444" s="383"/>
      <c r="W444" s="177"/>
      <c r="X444" s="177"/>
      <c r="Y444" s="177"/>
      <c r="Z444" s="391"/>
      <c r="AA444" s="383"/>
      <c r="AB444" s="177"/>
      <c r="AC444" s="177"/>
      <c r="AD444" s="177"/>
      <c r="AE444" s="391"/>
      <c r="AF444" s="383"/>
      <c r="AG444" s="177"/>
      <c r="AH444" s="177"/>
      <c r="AI444" s="177"/>
      <c r="AJ444" s="391"/>
      <c r="AK444" s="383"/>
      <c r="AL444" s="177"/>
      <c r="AM444" s="177"/>
      <c r="AN444" s="177"/>
      <c r="AO444" s="366"/>
      <c r="AP444" s="366"/>
      <c r="AQ444" s="366"/>
      <c r="AR444" s="366"/>
      <c r="AS444" s="366"/>
    </row>
    <row r="445">
      <c r="A445" s="391"/>
      <c r="B445" s="383"/>
      <c r="C445" s="177"/>
      <c r="D445" s="177"/>
      <c r="E445" s="177"/>
      <c r="F445" s="391"/>
      <c r="G445" s="383"/>
      <c r="H445" s="177"/>
      <c r="I445" s="177"/>
      <c r="J445" s="177"/>
      <c r="K445" s="88"/>
      <c r="L445" s="383"/>
      <c r="M445" s="177"/>
      <c r="N445" s="177"/>
      <c r="O445" s="177"/>
      <c r="P445" s="88"/>
      <c r="Q445" s="151"/>
      <c r="R445" s="177"/>
      <c r="S445" s="177"/>
      <c r="T445" s="177"/>
      <c r="U445" s="391"/>
      <c r="V445" s="383"/>
      <c r="W445" s="177"/>
      <c r="X445" s="177"/>
      <c r="Y445" s="177"/>
      <c r="Z445" s="391"/>
      <c r="AA445" s="383"/>
      <c r="AB445" s="177"/>
      <c r="AC445" s="177"/>
      <c r="AD445" s="177"/>
      <c r="AE445" s="391"/>
      <c r="AF445" s="383"/>
      <c r="AG445" s="177"/>
      <c r="AH445" s="177"/>
      <c r="AI445" s="177"/>
      <c r="AJ445" s="391"/>
      <c r="AK445" s="383"/>
      <c r="AL445" s="177"/>
      <c r="AM445" s="177"/>
      <c r="AN445" s="177"/>
      <c r="AO445" s="366"/>
      <c r="AP445" s="366"/>
      <c r="AQ445" s="366"/>
      <c r="AR445" s="366"/>
      <c r="AS445" s="366"/>
    </row>
    <row r="446">
      <c r="A446" s="391"/>
      <c r="B446" s="383"/>
      <c r="C446" s="177"/>
      <c r="D446" s="177"/>
      <c r="E446" s="177"/>
      <c r="F446" s="391"/>
      <c r="G446" s="383"/>
      <c r="H446" s="177"/>
      <c r="I446" s="177"/>
      <c r="J446" s="177"/>
      <c r="K446" s="88"/>
      <c r="L446" s="383"/>
      <c r="M446" s="177"/>
      <c r="N446" s="177"/>
      <c r="O446" s="177"/>
      <c r="P446" s="88"/>
      <c r="Q446" s="151"/>
      <c r="R446" s="177"/>
      <c r="S446" s="177"/>
      <c r="T446" s="177"/>
      <c r="U446" s="391"/>
      <c r="V446" s="383"/>
      <c r="W446" s="177"/>
      <c r="X446" s="177"/>
      <c r="Y446" s="177"/>
      <c r="Z446" s="391"/>
      <c r="AA446" s="383"/>
      <c r="AB446" s="177"/>
      <c r="AC446" s="177"/>
      <c r="AD446" s="177"/>
      <c r="AE446" s="391"/>
      <c r="AF446" s="383"/>
      <c r="AG446" s="177"/>
      <c r="AH446" s="177"/>
      <c r="AI446" s="177"/>
      <c r="AJ446" s="391"/>
      <c r="AK446" s="383"/>
      <c r="AL446" s="177"/>
      <c r="AM446" s="177"/>
      <c r="AN446" s="177"/>
      <c r="AO446" s="366"/>
      <c r="AP446" s="366"/>
      <c r="AQ446" s="366"/>
      <c r="AR446" s="366"/>
      <c r="AS446" s="366"/>
    </row>
    <row r="447">
      <c r="A447" s="391"/>
      <c r="B447" s="383"/>
      <c r="C447" s="177"/>
      <c r="D447" s="177"/>
      <c r="E447" s="177"/>
      <c r="F447" s="391"/>
      <c r="G447" s="383"/>
      <c r="H447" s="177"/>
      <c r="I447" s="177"/>
      <c r="J447" s="177"/>
      <c r="K447" s="88"/>
      <c r="L447" s="383"/>
      <c r="M447" s="177"/>
      <c r="N447" s="177"/>
      <c r="O447" s="177"/>
      <c r="P447" s="88"/>
      <c r="Q447" s="151"/>
      <c r="R447" s="177"/>
      <c r="S447" s="177"/>
      <c r="T447" s="177"/>
      <c r="U447" s="391"/>
      <c r="V447" s="383"/>
      <c r="W447" s="177"/>
      <c r="X447" s="177"/>
      <c r="Y447" s="177"/>
      <c r="Z447" s="391"/>
      <c r="AA447" s="383"/>
      <c r="AB447" s="177"/>
      <c r="AC447" s="177"/>
      <c r="AD447" s="177"/>
      <c r="AE447" s="391"/>
      <c r="AF447" s="383"/>
      <c r="AG447" s="177"/>
      <c r="AH447" s="177"/>
      <c r="AI447" s="177"/>
      <c r="AJ447" s="391"/>
      <c r="AK447" s="383"/>
      <c r="AL447" s="177"/>
      <c r="AM447" s="177"/>
      <c r="AN447" s="177"/>
      <c r="AO447" s="366"/>
      <c r="AP447" s="366"/>
      <c r="AQ447" s="366"/>
      <c r="AR447" s="366"/>
      <c r="AS447" s="366"/>
    </row>
    <row r="448">
      <c r="A448" s="391"/>
      <c r="B448" s="383"/>
      <c r="C448" s="177"/>
      <c r="D448" s="177"/>
      <c r="E448" s="177"/>
      <c r="F448" s="391"/>
      <c r="G448" s="383"/>
      <c r="H448" s="177"/>
      <c r="I448" s="177"/>
      <c r="J448" s="177"/>
      <c r="K448" s="88"/>
      <c r="L448" s="383"/>
      <c r="M448" s="177"/>
      <c r="N448" s="177"/>
      <c r="O448" s="177"/>
      <c r="P448" s="88"/>
      <c r="Q448" s="151"/>
      <c r="R448" s="177"/>
      <c r="S448" s="177"/>
      <c r="T448" s="177"/>
      <c r="U448" s="391"/>
      <c r="V448" s="383"/>
      <c r="W448" s="177"/>
      <c r="X448" s="177"/>
      <c r="Y448" s="177"/>
      <c r="Z448" s="391"/>
      <c r="AA448" s="383"/>
      <c r="AB448" s="177"/>
      <c r="AC448" s="177"/>
      <c r="AD448" s="177"/>
      <c r="AE448" s="391"/>
      <c r="AF448" s="383"/>
      <c r="AG448" s="177"/>
      <c r="AH448" s="177"/>
      <c r="AI448" s="177"/>
      <c r="AJ448" s="391"/>
      <c r="AK448" s="383"/>
      <c r="AL448" s="177"/>
      <c r="AM448" s="177"/>
      <c r="AN448" s="177"/>
      <c r="AO448" s="366"/>
      <c r="AP448" s="366"/>
      <c r="AQ448" s="366"/>
      <c r="AR448" s="366"/>
      <c r="AS448" s="366"/>
    </row>
    <row r="449">
      <c r="A449" s="391"/>
      <c r="B449" s="383"/>
      <c r="C449" s="177"/>
      <c r="D449" s="177"/>
      <c r="E449" s="177"/>
      <c r="F449" s="391"/>
      <c r="G449" s="383"/>
      <c r="H449" s="177"/>
      <c r="I449" s="177"/>
      <c r="J449" s="177"/>
      <c r="K449" s="88"/>
      <c r="L449" s="383"/>
      <c r="M449" s="177"/>
      <c r="N449" s="177"/>
      <c r="O449" s="177"/>
      <c r="P449" s="88"/>
      <c r="Q449" s="151"/>
      <c r="R449" s="177"/>
      <c r="S449" s="177"/>
      <c r="T449" s="177"/>
      <c r="U449" s="391"/>
      <c r="V449" s="383"/>
      <c r="W449" s="177"/>
      <c r="X449" s="177"/>
      <c r="Y449" s="177"/>
      <c r="Z449" s="391"/>
      <c r="AA449" s="383"/>
      <c r="AB449" s="177"/>
      <c r="AC449" s="177"/>
      <c r="AD449" s="177"/>
      <c r="AE449" s="391"/>
      <c r="AF449" s="383"/>
      <c r="AG449" s="177"/>
      <c r="AH449" s="177"/>
      <c r="AI449" s="177"/>
      <c r="AJ449" s="391"/>
      <c r="AK449" s="383"/>
      <c r="AL449" s="177"/>
      <c r="AM449" s="177"/>
      <c r="AN449" s="177"/>
      <c r="AO449" s="366"/>
      <c r="AP449" s="366"/>
      <c r="AQ449" s="366"/>
      <c r="AR449" s="366"/>
      <c r="AS449" s="366"/>
    </row>
    <row r="450">
      <c r="A450" s="391"/>
      <c r="B450" s="383"/>
      <c r="C450" s="177"/>
      <c r="D450" s="177"/>
      <c r="E450" s="177"/>
      <c r="F450" s="391"/>
      <c r="G450" s="383"/>
      <c r="H450" s="177"/>
      <c r="I450" s="177"/>
      <c r="J450" s="177"/>
      <c r="K450" s="88"/>
      <c r="L450" s="383"/>
      <c r="M450" s="177"/>
      <c r="N450" s="177"/>
      <c r="O450" s="177"/>
      <c r="P450" s="88"/>
      <c r="Q450" s="151"/>
      <c r="R450" s="177"/>
      <c r="S450" s="177"/>
      <c r="T450" s="177"/>
      <c r="U450" s="391"/>
      <c r="V450" s="383"/>
      <c r="W450" s="177"/>
      <c r="X450" s="177"/>
      <c r="Y450" s="177"/>
      <c r="Z450" s="391"/>
      <c r="AA450" s="383"/>
      <c r="AB450" s="177"/>
      <c r="AC450" s="177"/>
      <c r="AD450" s="177"/>
      <c r="AE450" s="391"/>
      <c r="AF450" s="383"/>
      <c r="AG450" s="177"/>
      <c r="AH450" s="177"/>
      <c r="AI450" s="177"/>
      <c r="AJ450" s="391"/>
      <c r="AK450" s="383"/>
      <c r="AL450" s="177"/>
      <c r="AM450" s="177"/>
      <c r="AN450" s="177"/>
      <c r="AO450" s="366"/>
      <c r="AP450" s="366"/>
      <c r="AQ450" s="366"/>
      <c r="AR450" s="366"/>
      <c r="AS450" s="366"/>
    </row>
    <row r="451">
      <c r="A451" s="391"/>
      <c r="B451" s="383"/>
      <c r="C451" s="177"/>
      <c r="D451" s="177"/>
      <c r="E451" s="177"/>
      <c r="F451" s="391"/>
      <c r="G451" s="383"/>
      <c r="H451" s="177"/>
      <c r="I451" s="177"/>
      <c r="J451" s="177"/>
      <c r="K451" s="88"/>
      <c r="L451" s="383"/>
      <c r="M451" s="177"/>
      <c r="N451" s="177"/>
      <c r="O451" s="177"/>
      <c r="P451" s="88"/>
      <c r="Q451" s="151"/>
      <c r="R451" s="177"/>
      <c r="S451" s="177"/>
      <c r="T451" s="177"/>
      <c r="U451" s="391"/>
      <c r="V451" s="383"/>
      <c r="W451" s="177"/>
      <c r="X451" s="177"/>
      <c r="Y451" s="177"/>
      <c r="Z451" s="391"/>
      <c r="AA451" s="383"/>
      <c r="AB451" s="177"/>
      <c r="AC451" s="177"/>
      <c r="AD451" s="177"/>
      <c r="AE451" s="391"/>
      <c r="AF451" s="383"/>
      <c r="AG451" s="177"/>
      <c r="AH451" s="177"/>
      <c r="AI451" s="177"/>
      <c r="AJ451" s="391"/>
      <c r="AK451" s="383"/>
      <c r="AL451" s="177"/>
      <c r="AM451" s="177"/>
      <c r="AN451" s="177"/>
      <c r="AO451" s="366"/>
      <c r="AP451" s="366"/>
      <c r="AQ451" s="366"/>
      <c r="AR451" s="366"/>
      <c r="AS451" s="366"/>
    </row>
    <row r="452">
      <c r="A452" s="391"/>
      <c r="B452" s="383"/>
      <c r="C452" s="177"/>
      <c r="D452" s="177"/>
      <c r="E452" s="177"/>
      <c r="F452" s="391"/>
      <c r="G452" s="383"/>
      <c r="H452" s="177"/>
      <c r="I452" s="177"/>
      <c r="J452" s="177"/>
      <c r="K452" s="88"/>
      <c r="L452" s="383"/>
      <c r="M452" s="177"/>
      <c r="N452" s="177"/>
      <c r="O452" s="177"/>
      <c r="P452" s="88"/>
      <c r="Q452" s="151"/>
      <c r="R452" s="177"/>
      <c r="S452" s="177"/>
      <c r="T452" s="177"/>
      <c r="U452" s="391"/>
      <c r="V452" s="383"/>
      <c r="W452" s="177"/>
      <c r="X452" s="177"/>
      <c r="Y452" s="177"/>
      <c r="Z452" s="391"/>
      <c r="AA452" s="383"/>
      <c r="AB452" s="177"/>
      <c r="AC452" s="177"/>
      <c r="AD452" s="177"/>
      <c r="AE452" s="391"/>
      <c r="AF452" s="383"/>
      <c r="AG452" s="177"/>
      <c r="AH452" s="177"/>
      <c r="AI452" s="177"/>
      <c r="AJ452" s="391"/>
      <c r="AK452" s="383"/>
      <c r="AL452" s="177"/>
      <c r="AM452" s="177"/>
      <c r="AN452" s="177"/>
      <c r="AO452" s="366"/>
      <c r="AP452" s="366"/>
      <c r="AQ452" s="366"/>
      <c r="AR452" s="366"/>
      <c r="AS452" s="366"/>
    </row>
    <row r="453">
      <c r="A453" s="391"/>
      <c r="B453" s="383"/>
      <c r="C453" s="177"/>
      <c r="D453" s="177"/>
      <c r="E453" s="177"/>
      <c r="F453" s="391"/>
      <c r="G453" s="383"/>
      <c r="H453" s="177"/>
      <c r="I453" s="177"/>
      <c r="J453" s="177"/>
      <c r="K453" s="88"/>
      <c r="L453" s="383"/>
      <c r="M453" s="177"/>
      <c r="N453" s="177"/>
      <c r="O453" s="177"/>
      <c r="P453" s="88"/>
      <c r="Q453" s="151"/>
      <c r="R453" s="177"/>
      <c r="S453" s="177"/>
      <c r="T453" s="177"/>
      <c r="U453" s="391"/>
      <c r="V453" s="383"/>
      <c r="W453" s="177"/>
      <c r="X453" s="177"/>
      <c r="Y453" s="177"/>
      <c r="Z453" s="391"/>
      <c r="AA453" s="383"/>
      <c r="AB453" s="177"/>
      <c r="AC453" s="177"/>
      <c r="AD453" s="177"/>
      <c r="AE453" s="391"/>
      <c r="AF453" s="383"/>
      <c r="AG453" s="177"/>
      <c r="AH453" s="177"/>
      <c r="AI453" s="177"/>
      <c r="AJ453" s="391"/>
      <c r="AK453" s="383"/>
      <c r="AL453" s="177"/>
      <c r="AM453" s="177"/>
      <c r="AN453" s="177"/>
      <c r="AO453" s="366"/>
      <c r="AP453" s="366"/>
      <c r="AQ453" s="366"/>
      <c r="AR453" s="366"/>
      <c r="AS453" s="366"/>
    </row>
    <row r="454">
      <c r="A454" s="391"/>
      <c r="B454" s="383"/>
      <c r="C454" s="177"/>
      <c r="D454" s="177"/>
      <c r="E454" s="177"/>
      <c r="F454" s="391"/>
      <c r="G454" s="383"/>
      <c r="H454" s="177"/>
      <c r="I454" s="177"/>
      <c r="J454" s="177"/>
      <c r="K454" s="88"/>
      <c r="L454" s="383"/>
      <c r="M454" s="177"/>
      <c r="N454" s="177"/>
      <c r="O454" s="177"/>
      <c r="P454" s="88"/>
      <c r="Q454" s="151"/>
      <c r="R454" s="177"/>
      <c r="S454" s="177"/>
      <c r="T454" s="177"/>
      <c r="U454" s="391"/>
      <c r="V454" s="383"/>
      <c r="W454" s="177"/>
      <c r="X454" s="177"/>
      <c r="Y454" s="177"/>
      <c r="Z454" s="391"/>
      <c r="AA454" s="383"/>
      <c r="AB454" s="177"/>
      <c r="AC454" s="177"/>
      <c r="AD454" s="177"/>
      <c r="AE454" s="391"/>
      <c r="AF454" s="383"/>
      <c r="AG454" s="177"/>
      <c r="AH454" s="177"/>
      <c r="AI454" s="177"/>
      <c r="AJ454" s="391"/>
      <c r="AK454" s="383"/>
      <c r="AL454" s="177"/>
      <c r="AM454" s="177"/>
      <c r="AN454" s="177"/>
      <c r="AO454" s="366"/>
      <c r="AP454" s="366"/>
      <c r="AQ454" s="366"/>
      <c r="AR454" s="366"/>
      <c r="AS454" s="366"/>
    </row>
    <row r="455">
      <c r="A455" s="391"/>
      <c r="B455" s="383"/>
      <c r="C455" s="177"/>
      <c r="D455" s="177"/>
      <c r="E455" s="177"/>
      <c r="F455" s="391"/>
      <c r="G455" s="383"/>
      <c r="H455" s="177"/>
      <c r="I455" s="177"/>
      <c r="J455" s="177"/>
      <c r="K455" s="88"/>
      <c r="L455" s="383"/>
      <c r="M455" s="177"/>
      <c r="N455" s="177"/>
      <c r="O455" s="177"/>
      <c r="P455" s="88"/>
      <c r="Q455" s="151"/>
      <c r="R455" s="177"/>
      <c r="S455" s="177"/>
      <c r="T455" s="177"/>
      <c r="U455" s="391"/>
      <c r="V455" s="383"/>
      <c r="W455" s="177"/>
      <c r="X455" s="177"/>
      <c r="Y455" s="177"/>
      <c r="Z455" s="391"/>
      <c r="AA455" s="383"/>
      <c r="AB455" s="177"/>
      <c r="AC455" s="177"/>
      <c r="AD455" s="177"/>
      <c r="AE455" s="391"/>
      <c r="AF455" s="383"/>
      <c r="AG455" s="177"/>
      <c r="AH455" s="177"/>
      <c r="AI455" s="177"/>
      <c r="AJ455" s="391"/>
      <c r="AK455" s="383"/>
      <c r="AL455" s="177"/>
      <c r="AM455" s="177"/>
      <c r="AN455" s="177"/>
      <c r="AO455" s="366"/>
      <c r="AP455" s="366"/>
      <c r="AQ455" s="366"/>
      <c r="AR455" s="366"/>
      <c r="AS455" s="366"/>
    </row>
    <row r="456">
      <c r="A456" s="391"/>
      <c r="B456" s="383"/>
      <c r="C456" s="177"/>
      <c r="D456" s="177"/>
      <c r="E456" s="177"/>
      <c r="F456" s="391"/>
      <c r="G456" s="383"/>
      <c r="H456" s="177"/>
      <c r="I456" s="177"/>
      <c r="J456" s="177"/>
      <c r="K456" s="88"/>
      <c r="L456" s="383"/>
      <c r="M456" s="177"/>
      <c r="N456" s="177"/>
      <c r="O456" s="177"/>
      <c r="P456" s="88"/>
      <c r="Q456" s="151"/>
      <c r="R456" s="177"/>
      <c r="S456" s="177"/>
      <c r="T456" s="177"/>
      <c r="U456" s="391"/>
      <c r="V456" s="383"/>
      <c r="W456" s="177"/>
      <c r="X456" s="177"/>
      <c r="Y456" s="177"/>
      <c r="Z456" s="391"/>
      <c r="AA456" s="383"/>
      <c r="AB456" s="177"/>
      <c r="AC456" s="177"/>
      <c r="AD456" s="177"/>
      <c r="AE456" s="391"/>
      <c r="AF456" s="383"/>
      <c r="AG456" s="177"/>
      <c r="AH456" s="177"/>
      <c r="AI456" s="177"/>
      <c r="AJ456" s="391"/>
      <c r="AK456" s="383"/>
      <c r="AL456" s="177"/>
      <c r="AM456" s="177"/>
      <c r="AN456" s="177"/>
      <c r="AO456" s="366"/>
      <c r="AP456" s="366"/>
      <c r="AQ456" s="366"/>
      <c r="AR456" s="366"/>
      <c r="AS456" s="366"/>
    </row>
    <row r="457">
      <c r="A457" s="391"/>
      <c r="B457" s="383"/>
      <c r="C457" s="177"/>
      <c r="D457" s="177"/>
      <c r="E457" s="177"/>
      <c r="F457" s="391"/>
      <c r="G457" s="383"/>
      <c r="H457" s="177"/>
      <c r="I457" s="177"/>
      <c r="J457" s="177"/>
      <c r="K457" s="88"/>
      <c r="L457" s="383"/>
      <c r="M457" s="177"/>
      <c r="N457" s="177"/>
      <c r="O457" s="177"/>
      <c r="P457" s="88"/>
      <c r="Q457" s="151"/>
      <c r="R457" s="177"/>
      <c r="S457" s="177"/>
      <c r="T457" s="177"/>
      <c r="U457" s="391"/>
      <c r="V457" s="383"/>
      <c r="W457" s="177"/>
      <c r="X457" s="177"/>
      <c r="Y457" s="177"/>
      <c r="Z457" s="391"/>
      <c r="AA457" s="383"/>
      <c r="AB457" s="177"/>
      <c r="AC457" s="177"/>
      <c r="AD457" s="177"/>
      <c r="AE457" s="391"/>
      <c r="AF457" s="383"/>
      <c r="AG457" s="177"/>
      <c r="AH457" s="177"/>
      <c r="AI457" s="177"/>
      <c r="AJ457" s="391"/>
      <c r="AK457" s="383"/>
      <c r="AL457" s="177"/>
      <c r="AM457" s="177"/>
      <c r="AN457" s="177"/>
      <c r="AO457" s="366"/>
      <c r="AP457" s="366"/>
      <c r="AQ457" s="366"/>
      <c r="AR457" s="366"/>
      <c r="AS457" s="366"/>
    </row>
    <row r="458">
      <c r="A458" s="391"/>
      <c r="B458" s="383"/>
      <c r="C458" s="177"/>
      <c r="D458" s="177"/>
      <c r="E458" s="177"/>
      <c r="F458" s="391"/>
      <c r="G458" s="383"/>
      <c r="H458" s="177"/>
      <c r="I458" s="177"/>
      <c r="J458" s="177"/>
      <c r="K458" s="88"/>
      <c r="L458" s="383"/>
      <c r="M458" s="177"/>
      <c r="N458" s="177"/>
      <c r="O458" s="177"/>
      <c r="P458" s="88"/>
      <c r="Q458" s="151"/>
      <c r="R458" s="177"/>
      <c r="S458" s="177"/>
      <c r="T458" s="177"/>
      <c r="U458" s="391"/>
      <c r="V458" s="383"/>
      <c r="W458" s="177"/>
      <c r="X458" s="177"/>
      <c r="Y458" s="177"/>
      <c r="Z458" s="391"/>
      <c r="AA458" s="383"/>
      <c r="AB458" s="177"/>
      <c r="AC458" s="177"/>
      <c r="AD458" s="177"/>
      <c r="AE458" s="391"/>
      <c r="AF458" s="383"/>
      <c r="AG458" s="177"/>
      <c r="AH458" s="177"/>
      <c r="AI458" s="177"/>
      <c r="AJ458" s="391"/>
      <c r="AK458" s="383"/>
      <c r="AL458" s="177"/>
      <c r="AM458" s="177"/>
      <c r="AN458" s="177"/>
      <c r="AO458" s="366"/>
      <c r="AP458" s="366"/>
      <c r="AQ458" s="366"/>
      <c r="AR458" s="366"/>
      <c r="AS458" s="366"/>
    </row>
    <row r="459">
      <c r="A459" s="391"/>
      <c r="B459" s="383"/>
      <c r="C459" s="177"/>
      <c r="D459" s="177"/>
      <c r="E459" s="177"/>
      <c r="F459" s="391"/>
      <c r="G459" s="383"/>
      <c r="H459" s="177"/>
      <c r="I459" s="177"/>
      <c r="J459" s="177"/>
      <c r="K459" s="88"/>
      <c r="L459" s="383"/>
      <c r="M459" s="177"/>
      <c r="N459" s="177"/>
      <c r="O459" s="177"/>
      <c r="P459" s="88"/>
      <c r="Q459" s="151"/>
      <c r="R459" s="177"/>
      <c r="S459" s="177"/>
      <c r="T459" s="177"/>
      <c r="U459" s="391"/>
      <c r="V459" s="383"/>
      <c r="W459" s="177"/>
      <c r="X459" s="177"/>
      <c r="Y459" s="177"/>
      <c r="Z459" s="391"/>
      <c r="AA459" s="383"/>
      <c r="AB459" s="177"/>
      <c r="AC459" s="177"/>
      <c r="AD459" s="177"/>
      <c r="AE459" s="391"/>
      <c r="AF459" s="383"/>
      <c r="AG459" s="177"/>
      <c r="AH459" s="177"/>
      <c r="AI459" s="177"/>
      <c r="AJ459" s="391"/>
      <c r="AK459" s="383"/>
      <c r="AL459" s="177"/>
      <c r="AM459" s="177"/>
      <c r="AN459" s="177"/>
      <c r="AO459" s="366"/>
      <c r="AP459" s="366"/>
      <c r="AQ459" s="366"/>
      <c r="AR459" s="366"/>
      <c r="AS459" s="366"/>
    </row>
    <row r="460">
      <c r="A460" s="391"/>
      <c r="B460" s="383"/>
      <c r="C460" s="177"/>
      <c r="D460" s="177"/>
      <c r="E460" s="177"/>
      <c r="F460" s="391"/>
      <c r="G460" s="383"/>
      <c r="H460" s="177"/>
      <c r="I460" s="177"/>
      <c r="J460" s="177"/>
      <c r="K460" s="88"/>
      <c r="L460" s="383"/>
      <c r="M460" s="177"/>
      <c r="N460" s="177"/>
      <c r="O460" s="177"/>
      <c r="P460" s="88"/>
      <c r="Q460" s="151"/>
      <c r="R460" s="177"/>
      <c r="S460" s="177"/>
      <c r="T460" s="177"/>
      <c r="U460" s="391"/>
      <c r="V460" s="383"/>
      <c r="W460" s="177"/>
      <c r="X460" s="177"/>
      <c r="Y460" s="177"/>
      <c r="Z460" s="391"/>
      <c r="AA460" s="383"/>
      <c r="AB460" s="177"/>
      <c r="AC460" s="177"/>
      <c r="AD460" s="177"/>
      <c r="AE460" s="391"/>
      <c r="AF460" s="383"/>
      <c r="AG460" s="177"/>
      <c r="AH460" s="177"/>
      <c r="AI460" s="177"/>
      <c r="AJ460" s="391"/>
      <c r="AK460" s="383"/>
      <c r="AL460" s="177"/>
      <c r="AM460" s="177"/>
      <c r="AN460" s="177"/>
      <c r="AO460" s="366"/>
      <c r="AP460" s="366"/>
      <c r="AQ460" s="366"/>
      <c r="AR460" s="366"/>
      <c r="AS460" s="366"/>
    </row>
    <row r="461">
      <c r="A461" s="391"/>
      <c r="B461" s="383"/>
      <c r="C461" s="177"/>
      <c r="D461" s="177"/>
      <c r="E461" s="177"/>
      <c r="F461" s="391"/>
      <c r="G461" s="383"/>
      <c r="H461" s="177"/>
      <c r="I461" s="177"/>
      <c r="J461" s="177"/>
      <c r="K461" s="88"/>
      <c r="L461" s="383"/>
      <c r="M461" s="177"/>
      <c r="N461" s="177"/>
      <c r="O461" s="177"/>
      <c r="P461" s="88"/>
      <c r="Q461" s="151"/>
      <c r="R461" s="177"/>
      <c r="S461" s="177"/>
      <c r="T461" s="177"/>
      <c r="U461" s="391"/>
      <c r="V461" s="383"/>
      <c r="W461" s="177"/>
      <c r="X461" s="177"/>
      <c r="Y461" s="177"/>
      <c r="Z461" s="391"/>
      <c r="AA461" s="383"/>
      <c r="AB461" s="177"/>
      <c r="AC461" s="177"/>
      <c r="AD461" s="177"/>
      <c r="AE461" s="391"/>
      <c r="AF461" s="383"/>
      <c r="AG461" s="177"/>
      <c r="AH461" s="177"/>
      <c r="AI461" s="177"/>
      <c r="AJ461" s="391"/>
      <c r="AK461" s="383"/>
      <c r="AL461" s="177"/>
      <c r="AM461" s="177"/>
      <c r="AN461" s="177"/>
      <c r="AO461" s="366"/>
      <c r="AP461" s="366"/>
      <c r="AQ461" s="366"/>
      <c r="AR461" s="366"/>
      <c r="AS461" s="366"/>
    </row>
    <row r="462">
      <c r="A462" s="391"/>
      <c r="B462" s="383"/>
      <c r="C462" s="177"/>
      <c r="D462" s="177"/>
      <c r="E462" s="177"/>
      <c r="F462" s="391"/>
      <c r="G462" s="383"/>
      <c r="H462" s="177"/>
      <c r="I462" s="177"/>
      <c r="J462" s="177"/>
      <c r="K462" s="88"/>
      <c r="L462" s="383"/>
      <c r="M462" s="177"/>
      <c r="N462" s="177"/>
      <c r="O462" s="177"/>
      <c r="P462" s="88"/>
      <c r="Q462" s="151"/>
      <c r="R462" s="177"/>
      <c r="S462" s="177"/>
      <c r="T462" s="177"/>
      <c r="U462" s="391"/>
      <c r="V462" s="383"/>
      <c r="W462" s="177"/>
      <c r="X462" s="177"/>
      <c r="Y462" s="177"/>
      <c r="Z462" s="391"/>
      <c r="AA462" s="383"/>
      <c r="AB462" s="177"/>
      <c r="AC462" s="177"/>
      <c r="AD462" s="177"/>
      <c r="AE462" s="391"/>
      <c r="AF462" s="383"/>
      <c r="AG462" s="177"/>
      <c r="AH462" s="177"/>
      <c r="AI462" s="177"/>
      <c r="AJ462" s="391"/>
      <c r="AK462" s="383"/>
      <c r="AL462" s="177"/>
      <c r="AM462" s="177"/>
      <c r="AN462" s="177"/>
      <c r="AO462" s="366"/>
      <c r="AP462" s="366"/>
      <c r="AQ462" s="366"/>
      <c r="AR462" s="366"/>
      <c r="AS462" s="366"/>
    </row>
    <row r="463">
      <c r="A463" s="391"/>
      <c r="B463" s="383"/>
      <c r="C463" s="177"/>
      <c r="D463" s="177"/>
      <c r="E463" s="177"/>
      <c r="F463" s="391"/>
      <c r="G463" s="383"/>
      <c r="H463" s="177"/>
      <c r="I463" s="177"/>
      <c r="J463" s="177"/>
      <c r="K463" s="88"/>
      <c r="L463" s="383"/>
      <c r="M463" s="177"/>
      <c r="N463" s="177"/>
      <c r="O463" s="177"/>
      <c r="P463" s="88"/>
      <c r="Q463" s="151"/>
      <c r="R463" s="177"/>
      <c r="S463" s="177"/>
      <c r="T463" s="177"/>
      <c r="U463" s="391"/>
      <c r="V463" s="383"/>
      <c r="W463" s="177"/>
      <c r="X463" s="177"/>
      <c r="Y463" s="177"/>
      <c r="Z463" s="391"/>
      <c r="AA463" s="383"/>
      <c r="AB463" s="177"/>
      <c r="AC463" s="177"/>
      <c r="AD463" s="177"/>
      <c r="AE463" s="391"/>
      <c r="AF463" s="383"/>
      <c r="AG463" s="177"/>
      <c r="AH463" s="177"/>
      <c r="AI463" s="177"/>
      <c r="AJ463" s="391"/>
      <c r="AK463" s="383"/>
      <c r="AL463" s="177"/>
      <c r="AM463" s="177"/>
      <c r="AN463" s="177"/>
      <c r="AO463" s="366"/>
      <c r="AP463" s="366"/>
      <c r="AQ463" s="366"/>
      <c r="AR463" s="366"/>
      <c r="AS463" s="366"/>
    </row>
    <row r="464">
      <c r="A464" s="391"/>
      <c r="B464" s="383"/>
      <c r="C464" s="177"/>
      <c r="D464" s="177"/>
      <c r="E464" s="177"/>
      <c r="F464" s="391"/>
      <c r="G464" s="383"/>
      <c r="H464" s="177"/>
      <c r="I464" s="177"/>
      <c r="J464" s="177"/>
      <c r="K464" s="88"/>
      <c r="L464" s="383"/>
      <c r="M464" s="177"/>
      <c r="N464" s="177"/>
      <c r="O464" s="177"/>
      <c r="P464" s="88"/>
      <c r="Q464" s="151"/>
      <c r="R464" s="177"/>
      <c r="S464" s="177"/>
      <c r="T464" s="177"/>
      <c r="U464" s="391"/>
      <c r="V464" s="383"/>
      <c r="W464" s="177"/>
      <c r="X464" s="177"/>
      <c r="Y464" s="177"/>
      <c r="Z464" s="391"/>
      <c r="AA464" s="383"/>
      <c r="AB464" s="177"/>
      <c r="AC464" s="177"/>
      <c r="AD464" s="177"/>
      <c r="AE464" s="391"/>
      <c r="AF464" s="383"/>
      <c r="AG464" s="177"/>
      <c r="AH464" s="177"/>
      <c r="AI464" s="177"/>
      <c r="AJ464" s="391"/>
      <c r="AK464" s="383"/>
      <c r="AL464" s="177"/>
      <c r="AM464" s="177"/>
      <c r="AN464" s="177"/>
      <c r="AO464" s="366"/>
      <c r="AP464" s="366"/>
      <c r="AQ464" s="366"/>
      <c r="AR464" s="366"/>
      <c r="AS464" s="366"/>
    </row>
    <row r="465">
      <c r="A465" s="391"/>
      <c r="B465" s="383"/>
      <c r="C465" s="177"/>
      <c r="D465" s="177"/>
      <c r="E465" s="177"/>
      <c r="F465" s="391"/>
      <c r="G465" s="383"/>
      <c r="H465" s="177"/>
      <c r="I465" s="177"/>
      <c r="J465" s="177"/>
      <c r="K465" s="88"/>
      <c r="L465" s="383"/>
      <c r="M465" s="177"/>
      <c r="N465" s="177"/>
      <c r="O465" s="177"/>
      <c r="P465" s="88"/>
      <c r="Q465" s="151"/>
      <c r="R465" s="177"/>
      <c r="S465" s="177"/>
      <c r="T465" s="177"/>
      <c r="U465" s="391"/>
      <c r="V465" s="383"/>
      <c r="W465" s="177"/>
      <c r="X465" s="177"/>
      <c r="Y465" s="177"/>
      <c r="Z465" s="391"/>
      <c r="AA465" s="383"/>
      <c r="AB465" s="177"/>
      <c r="AC465" s="177"/>
      <c r="AD465" s="177"/>
      <c r="AE465" s="391"/>
      <c r="AF465" s="383"/>
      <c r="AG465" s="177"/>
      <c r="AH465" s="177"/>
      <c r="AI465" s="177"/>
      <c r="AJ465" s="391"/>
      <c r="AK465" s="383"/>
      <c r="AL465" s="177"/>
      <c r="AM465" s="177"/>
      <c r="AN465" s="177"/>
      <c r="AO465" s="366"/>
      <c r="AP465" s="366"/>
      <c r="AQ465" s="366"/>
      <c r="AR465" s="366"/>
      <c r="AS465" s="366"/>
    </row>
    <row r="466">
      <c r="A466" s="391"/>
      <c r="B466" s="383"/>
      <c r="C466" s="177"/>
      <c r="D466" s="177"/>
      <c r="E466" s="177"/>
      <c r="F466" s="391"/>
      <c r="G466" s="383"/>
      <c r="H466" s="177"/>
      <c r="I466" s="177"/>
      <c r="J466" s="177"/>
      <c r="K466" s="88"/>
      <c r="L466" s="383"/>
      <c r="M466" s="177"/>
      <c r="N466" s="177"/>
      <c r="O466" s="177"/>
      <c r="P466" s="88"/>
      <c r="Q466" s="151"/>
      <c r="R466" s="177"/>
      <c r="S466" s="177"/>
      <c r="T466" s="177"/>
      <c r="U466" s="391"/>
      <c r="V466" s="383"/>
      <c r="W466" s="177"/>
      <c r="X466" s="177"/>
      <c r="Y466" s="177"/>
      <c r="Z466" s="391"/>
      <c r="AA466" s="383"/>
      <c r="AB466" s="177"/>
      <c r="AC466" s="177"/>
      <c r="AD466" s="177"/>
      <c r="AE466" s="391"/>
      <c r="AF466" s="383"/>
      <c r="AG466" s="177"/>
      <c r="AH466" s="177"/>
      <c r="AI466" s="177"/>
      <c r="AJ466" s="391"/>
      <c r="AK466" s="383"/>
      <c r="AL466" s="177"/>
      <c r="AM466" s="177"/>
      <c r="AN466" s="177"/>
      <c r="AO466" s="366"/>
      <c r="AP466" s="366"/>
      <c r="AQ466" s="366"/>
      <c r="AR466" s="366"/>
      <c r="AS466" s="366"/>
    </row>
    <row r="467">
      <c r="A467" s="391"/>
      <c r="B467" s="383"/>
      <c r="C467" s="177"/>
      <c r="D467" s="177"/>
      <c r="E467" s="177"/>
      <c r="F467" s="391"/>
      <c r="G467" s="383"/>
      <c r="H467" s="177"/>
      <c r="I467" s="177"/>
      <c r="J467" s="177"/>
      <c r="K467" s="88"/>
      <c r="L467" s="383"/>
      <c r="M467" s="177"/>
      <c r="N467" s="177"/>
      <c r="O467" s="177"/>
      <c r="P467" s="88"/>
      <c r="Q467" s="151"/>
      <c r="R467" s="177"/>
      <c r="S467" s="177"/>
      <c r="T467" s="177"/>
      <c r="U467" s="391"/>
      <c r="V467" s="383"/>
      <c r="W467" s="177"/>
      <c r="X467" s="177"/>
      <c r="Y467" s="177"/>
      <c r="Z467" s="391"/>
      <c r="AA467" s="383"/>
      <c r="AB467" s="177"/>
      <c r="AC467" s="177"/>
      <c r="AD467" s="177"/>
      <c r="AE467" s="391"/>
      <c r="AF467" s="383"/>
      <c r="AG467" s="177"/>
      <c r="AH467" s="177"/>
      <c r="AI467" s="177"/>
      <c r="AJ467" s="391"/>
      <c r="AK467" s="383"/>
      <c r="AL467" s="177"/>
      <c r="AM467" s="177"/>
      <c r="AN467" s="177"/>
      <c r="AO467" s="366"/>
      <c r="AP467" s="366"/>
      <c r="AQ467" s="366"/>
      <c r="AR467" s="366"/>
      <c r="AS467" s="366"/>
    </row>
    <row r="468">
      <c r="A468" s="391"/>
      <c r="B468" s="383"/>
      <c r="C468" s="177"/>
      <c r="D468" s="177"/>
      <c r="E468" s="177"/>
      <c r="F468" s="391"/>
      <c r="G468" s="383"/>
      <c r="H468" s="177"/>
      <c r="I468" s="177"/>
      <c r="J468" s="177"/>
      <c r="K468" s="88"/>
      <c r="L468" s="383"/>
      <c r="M468" s="177"/>
      <c r="N468" s="177"/>
      <c r="O468" s="177"/>
      <c r="P468" s="88"/>
      <c r="Q468" s="151"/>
      <c r="R468" s="177"/>
      <c r="S468" s="177"/>
      <c r="T468" s="177"/>
      <c r="U468" s="391"/>
      <c r="V468" s="383"/>
      <c r="W468" s="177"/>
      <c r="X468" s="177"/>
      <c r="Y468" s="177"/>
      <c r="Z468" s="391"/>
      <c r="AA468" s="383"/>
      <c r="AB468" s="177"/>
      <c r="AC468" s="177"/>
      <c r="AD468" s="177"/>
      <c r="AE468" s="391"/>
      <c r="AF468" s="383"/>
      <c r="AG468" s="177"/>
      <c r="AH468" s="177"/>
      <c r="AI468" s="177"/>
      <c r="AJ468" s="391"/>
      <c r="AK468" s="383"/>
      <c r="AL468" s="177"/>
      <c r="AM468" s="177"/>
      <c r="AN468" s="177"/>
      <c r="AO468" s="366"/>
      <c r="AP468" s="366"/>
      <c r="AQ468" s="366"/>
      <c r="AR468" s="366"/>
      <c r="AS468" s="366"/>
    </row>
    <row r="469">
      <c r="A469" s="391"/>
      <c r="B469" s="383"/>
      <c r="C469" s="177"/>
      <c r="D469" s="177"/>
      <c r="E469" s="177"/>
      <c r="F469" s="391"/>
      <c r="G469" s="383"/>
      <c r="H469" s="177"/>
      <c r="I469" s="177"/>
      <c r="J469" s="177"/>
      <c r="K469" s="88"/>
      <c r="L469" s="383"/>
      <c r="M469" s="177"/>
      <c r="N469" s="177"/>
      <c r="O469" s="177"/>
      <c r="P469" s="88"/>
      <c r="Q469" s="151"/>
      <c r="R469" s="177"/>
      <c r="S469" s="177"/>
      <c r="T469" s="177"/>
      <c r="U469" s="391"/>
      <c r="V469" s="383"/>
      <c r="W469" s="177"/>
      <c r="X469" s="177"/>
      <c r="Y469" s="177"/>
      <c r="Z469" s="391"/>
      <c r="AA469" s="383"/>
      <c r="AB469" s="177"/>
      <c r="AC469" s="177"/>
      <c r="AD469" s="177"/>
      <c r="AE469" s="391"/>
      <c r="AF469" s="383"/>
      <c r="AG469" s="177"/>
      <c r="AH469" s="177"/>
      <c r="AI469" s="177"/>
      <c r="AJ469" s="391"/>
      <c r="AK469" s="383"/>
      <c r="AL469" s="177"/>
      <c r="AM469" s="177"/>
      <c r="AN469" s="177"/>
      <c r="AO469" s="366"/>
      <c r="AP469" s="366"/>
      <c r="AQ469" s="366"/>
      <c r="AR469" s="366"/>
      <c r="AS469" s="366"/>
    </row>
    <row r="470">
      <c r="A470" s="391"/>
      <c r="B470" s="383"/>
      <c r="C470" s="177"/>
      <c r="D470" s="177"/>
      <c r="E470" s="177"/>
      <c r="F470" s="391"/>
      <c r="G470" s="383"/>
      <c r="H470" s="177"/>
      <c r="I470" s="177"/>
      <c r="J470" s="177"/>
      <c r="K470" s="88"/>
      <c r="L470" s="383"/>
      <c r="M470" s="177"/>
      <c r="N470" s="177"/>
      <c r="O470" s="177"/>
      <c r="P470" s="88"/>
      <c r="Q470" s="151"/>
      <c r="R470" s="177"/>
      <c r="S470" s="177"/>
      <c r="T470" s="177"/>
      <c r="U470" s="391"/>
      <c r="V470" s="383"/>
      <c r="W470" s="177"/>
      <c r="X470" s="177"/>
      <c r="Y470" s="177"/>
      <c r="Z470" s="391"/>
      <c r="AA470" s="383"/>
      <c r="AB470" s="177"/>
      <c r="AC470" s="177"/>
      <c r="AD470" s="177"/>
      <c r="AE470" s="391"/>
      <c r="AF470" s="383"/>
      <c r="AG470" s="177"/>
      <c r="AH470" s="177"/>
      <c r="AI470" s="177"/>
      <c r="AJ470" s="391"/>
      <c r="AK470" s="383"/>
      <c r="AL470" s="177"/>
      <c r="AM470" s="177"/>
      <c r="AN470" s="177"/>
      <c r="AO470" s="366"/>
      <c r="AP470" s="366"/>
      <c r="AQ470" s="366"/>
      <c r="AR470" s="366"/>
      <c r="AS470" s="366"/>
    </row>
    <row r="471">
      <c r="A471" s="391"/>
      <c r="B471" s="383"/>
      <c r="C471" s="177"/>
      <c r="D471" s="177"/>
      <c r="E471" s="177"/>
      <c r="F471" s="391"/>
      <c r="G471" s="383"/>
      <c r="H471" s="177"/>
      <c r="I471" s="177"/>
      <c r="J471" s="177"/>
      <c r="K471" s="88"/>
      <c r="L471" s="383"/>
      <c r="M471" s="177"/>
      <c r="N471" s="177"/>
      <c r="O471" s="177"/>
      <c r="P471" s="88"/>
      <c r="Q471" s="151"/>
      <c r="R471" s="177"/>
      <c r="S471" s="177"/>
      <c r="T471" s="177"/>
      <c r="U471" s="391"/>
      <c r="V471" s="383"/>
      <c r="W471" s="177"/>
      <c r="X471" s="177"/>
      <c r="Y471" s="177"/>
      <c r="Z471" s="391"/>
      <c r="AA471" s="383"/>
      <c r="AB471" s="177"/>
      <c r="AC471" s="177"/>
      <c r="AD471" s="177"/>
      <c r="AE471" s="391"/>
      <c r="AF471" s="383"/>
      <c r="AG471" s="177"/>
      <c r="AH471" s="177"/>
      <c r="AI471" s="177"/>
      <c r="AJ471" s="391"/>
      <c r="AK471" s="383"/>
      <c r="AL471" s="177"/>
      <c r="AM471" s="177"/>
      <c r="AN471" s="177"/>
      <c r="AO471" s="366"/>
      <c r="AP471" s="366"/>
      <c r="AQ471" s="366"/>
      <c r="AR471" s="366"/>
      <c r="AS471" s="366"/>
    </row>
    <row r="472">
      <c r="A472" s="391"/>
      <c r="B472" s="383"/>
      <c r="C472" s="177"/>
      <c r="D472" s="177"/>
      <c r="E472" s="177"/>
      <c r="F472" s="391"/>
      <c r="G472" s="383"/>
      <c r="H472" s="177"/>
      <c r="I472" s="177"/>
      <c r="J472" s="177"/>
      <c r="K472" s="88"/>
      <c r="L472" s="383"/>
      <c r="M472" s="177"/>
      <c r="N472" s="177"/>
      <c r="O472" s="177"/>
      <c r="P472" s="88"/>
      <c r="Q472" s="151"/>
      <c r="R472" s="177"/>
      <c r="S472" s="177"/>
      <c r="T472" s="177"/>
      <c r="U472" s="391"/>
      <c r="V472" s="383"/>
      <c r="W472" s="177"/>
      <c r="X472" s="177"/>
      <c r="Y472" s="177"/>
      <c r="Z472" s="391"/>
      <c r="AA472" s="383"/>
      <c r="AB472" s="177"/>
      <c r="AC472" s="177"/>
      <c r="AD472" s="177"/>
      <c r="AE472" s="391"/>
      <c r="AF472" s="383"/>
      <c r="AG472" s="177"/>
      <c r="AH472" s="177"/>
      <c r="AI472" s="177"/>
      <c r="AJ472" s="391"/>
      <c r="AK472" s="383"/>
      <c r="AL472" s="177"/>
      <c r="AM472" s="177"/>
      <c r="AN472" s="177"/>
      <c r="AO472" s="366"/>
      <c r="AP472" s="366"/>
      <c r="AQ472" s="366"/>
      <c r="AR472" s="366"/>
      <c r="AS472" s="366"/>
    </row>
    <row r="473">
      <c r="A473" s="391"/>
      <c r="B473" s="383"/>
      <c r="C473" s="177"/>
      <c r="D473" s="177"/>
      <c r="E473" s="177"/>
      <c r="F473" s="391"/>
      <c r="G473" s="383"/>
      <c r="H473" s="177"/>
      <c r="I473" s="177"/>
      <c r="J473" s="177"/>
      <c r="K473" s="88"/>
      <c r="L473" s="383"/>
      <c r="M473" s="177"/>
      <c r="N473" s="177"/>
      <c r="O473" s="177"/>
      <c r="P473" s="88"/>
      <c r="Q473" s="151"/>
      <c r="R473" s="177"/>
      <c r="S473" s="177"/>
      <c r="T473" s="177"/>
      <c r="U473" s="391"/>
      <c r="V473" s="383"/>
      <c r="W473" s="177"/>
      <c r="X473" s="177"/>
      <c r="Y473" s="177"/>
      <c r="Z473" s="391"/>
      <c r="AA473" s="383"/>
      <c r="AB473" s="177"/>
      <c r="AC473" s="177"/>
      <c r="AD473" s="177"/>
      <c r="AE473" s="391"/>
      <c r="AF473" s="383"/>
      <c r="AG473" s="177"/>
      <c r="AH473" s="177"/>
      <c r="AI473" s="177"/>
      <c r="AJ473" s="391"/>
      <c r="AK473" s="383"/>
      <c r="AL473" s="177"/>
      <c r="AM473" s="177"/>
      <c r="AN473" s="177"/>
      <c r="AO473" s="366"/>
      <c r="AP473" s="366"/>
      <c r="AQ473" s="366"/>
      <c r="AR473" s="366"/>
      <c r="AS473" s="366"/>
    </row>
    <row r="474">
      <c r="A474" s="391"/>
      <c r="B474" s="383"/>
      <c r="C474" s="177"/>
      <c r="D474" s="177"/>
      <c r="E474" s="177"/>
      <c r="F474" s="391"/>
      <c r="G474" s="383"/>
      <c r="H474" s="177"/>
      <c r="I474" s="177"/>
      <c r="J474" s="177"/>
      <c r="K474" s="88"/>
      <c r="L474" s="383"/>
      <c r="M474" s="177"/>
      <c r="N474" s="177"/>
      <c r="O474" s="177"/>
      <c r="P474" s="88"/>
      <c r="Q474" s="151"/>
      <c r="R474" s="177"/>
      <c r="S474" s="177"/>
      <c r="T474" s="177"/>
      <c r="U474" s="391"/>
      <c r="V474" s="383"/>
      <c r="W474" s="177"/>
      <c r="X474" s="177"/>
      <c r="Y474" s="177"/>
      <c r="Z474" s="391"/>
      <c r="AA474" s="383"/>
      <c r="AB474" s="177"/>
      <c r="AC474" s="177"/>
      <c r="AD474" s="177"/>
      <c r="AE474" s="391"/>
      <c r="AF474" s="383"/>
      <c r="AG474" s="177"/>
      <c r="AH474" s="177"/>
      <c r="AI474" s="177"/>
      <c r="AJ474" s="391"/>
      <c r="AK474" s="383"/>
      <c r="AL474" s="177"/>
      <c r="AM474" s="177"/>
      <c r="AN474" s="177"/>
      <c r="AO474" s="366"/>
      <c r="AP474" s="366"/>
      <c r="AQ474" s="366"/>
      <c r="AR474" s="366"/>
      <c r="AS474" s="366"/>
    </row>
    <row r="475">
      <c r="A475" s="391"/>
      <c r="B475" s="383"/>
      <c r="C475" s="177"/>
      <c r="D475" s="177"/>
      <c r="E475" s="177"/>
      <c r="F475" s="391"/>
      <c r="G475" s="383"/>
      <c r="H475" s="177"/>
      <c r="I475" s="177"/>
      <c r="J475" s="177"/>
      <c r="K475" s="88"/>
      <c r="L475" s="383"/>
      <c r="M475" s="177"/>
      <c r="N475" s="177"/>
      <c r="O475" s="177"/>
      <c r="P475" s="88"/>
      <c r="Q475" s="151"/>
      <c r="R475" s="177"/>
      <c r="S475" s="177"/>
      <c r="T475" s="177"/>
      <c r="U475" s="391"/>
      <c r="V475" s="383"/>
      <c r="W475" s="177"/>
      <c r="X475" s="177"/>
      <c r="Y475" s="177"/>
      <c r="Z475" s="391"/>
      <c r="AA475" s="383"/>
      <c r="AB475" s="177"/>
      <c r="AC475" s="177"/>
      <c r="AD475" s="177"/>
      <c r="AE475" s="391"/>
      <c r="AF475" s="383"/>
      <c r="AG475" s="177"/>
      <c r="AH475" s="177"/>
      <c r="AI475" s="177"/>
      <c r="AJ475" s="391"/>
      <c r="AK475" s="383"/>
      <c r="AL475" s="177"/>
      <c r="AM475" s="177"/>
      <c r="AN475" s="177"/>
      <c r="AO475" s="366"/>
      <c r="AP475" s="366"/>
      <c r="AQ475" s="366"/>
      <c r="AR475" s="366"/>
      <c r="AS475" s="366"/>
    </row>
    <row r="476">
      <c r="A476" s="391"/>
      <c r="B476" s="383"/>
      <c r="C476" s="177"/>
      <c r="D476" s="177"/>
      <c r="E476" s="177"/>
      <c r="F476" s="391"/>
      <c r="G476" s="383"/>
      <c r="H476" s="177"/>
      <c r="I476" s="177"/>
      <c r="J476" s="177"/>
      <c r="K476" s="88"/>
      <c r="L476" s="383"/>
      <c r="M476" s="177"/>
      <c r="N476" s="177"/>
      <c r="O476" s="177"/>
      <c r="P476" s="88"/>
      <c r="Q476" s="151"/>
      <c r="R476" s="177"/>
      <c r="S476" s="177"/>
      <c r="T476" s="177"/>
      <c r="U476" s="391"/>
      <c r="V476" s="383"/>
      <c r="W476" s="177"/>
      <c r="X476" s="177"/>
      <c r="Y476" s="177"/>
      <c r="Z476" s="391"/>
      <c r="AA476" s="383"/>
      <c r="AB476" s="177"/>
      <c r="AC476" s="177"/>
      <c r="AD476" s="177"/>
      <c r="AE476" s="391"/>
      <c r="AF476" s="383"/>
      <c r="AG476" s="177"/>
      <c r="AH476" s="177"/>
      <c r="AI476" s="177"/>
      <c r="AJ476" s="391"/>
      <c r="AK476" s="383"/>
      <c r="AL476" s="177"/>
      <c r="AM476" s="177"/>
      <c r="AN476" s="177"/>
      <c r="AO476" s="366"/>
      <c r="AP476" s="366"/>
      <c r="AQ476" s="366"/>
      <c r="AR476" s="366"/>
      <c r="AS476" s="366"/>
    </row>
    <row r="477">
      <c r="A477" s="391"/>
      <c r="B477" s="383"/>
      <c r="C477" s="177"/>
      <c r="D477" s="177"/>
      <c r="E477" s="177"/>
      <c r="F477" s="391"/>
      <c r="G477" s="383"/>
      <c r="H477" s="177"/>
      <c r="I477" s="177"/>
      <c r="J477" s="177"/>
      <c r="K477" s="88"/>
      <c r="L477" s="383"/>
      <c r="M477" s="177"/>
      <c r="N477" s="177"/>
      <c r="O477" s="177"/>
      <c r="P477" s="88"/>
      <c r="Q477" s="151"/>
      <c r="R477" s="177"/>
      <c r="S477" s="177"/>
      <c r="T477" s="177"/>
      <c r="U477" s="391"/>
      <c r="V477" s="383"/>
      <c r="W477" s="177"/>
      <c r="X477" s="177"/>
      <c r="Y477" s="177"/>
      <c r="Z477" s="391"/>
      <c r="AA477" s="383"/>
      <c r="AB477" s="177"/>
      <c r="AC477" s="177"/>
      <c r="AD477" s="177"/>
      <c r="AE477" s="391"/>
      <c r="AF477" s="383"/>
      <c r="AG477" s="177"/>
      <c r="AH477" s="177"/>
      <c r="AI477" s="177"/>
      <c r="AJ477" s="391"/>
      <c r="AK477" s="383"/>
      <c r="AL477" s="177"/>
      <c r="AM477" s="177"/>
      <c r="AN477" s="177"/>
      <c r="AO477" s="366"/>
      <c r="AP477" s="366"/>
      <c r="AQ477" s="366"/>
      <c r="AR477" s="366"/>
      <c r="AS477" s="366"/>
    </row>
    <row r="478">
      <c r="A478" s="391"/>
      <c r="B478" s="383"/>
      <c r="C478" s="177"/>
      <c r="D478" s="177"/>
      <c r="E478" s="177"/>
      <c r="F478" s="391"/>
      <c r="G478" s="383"/>
      <c r="H478" s="177"/>
      <c r="I478" s="177"/>
      <c r="J478" s="177"/>
      <c r="K478" s="88"/>
      <c r="L478" s="383"/>
      <c r="M478" s="177"/>
      <c r="N478" s="177"/>
      <c r="O478" s="177"/>
      <c r="P478" s="88"/>
      <c r="Q478" s="151"/>
      <c r="R478" s="177"/>
      <c r="S478" s="177"/>
      <c r="T478" s="177"/>
      <c r="U478" s="391"/>
      <c r="V478" s="383"/>
      <c r="W478" s="177"/>
      <c r="X478" s="177"/>
      <c r="Y478" s="177"/>
      <c r="Z478" s="391"/>
      <c r="AA478" s="383"/>
      <c r="AB478" s="177"/>
      <c r="AC478" s="177"/>
      <c r="AD478" s="177"/>
      <c r="AE478" s="391"/>
      <c r="AF478" s="383"/>
      <c r="AG478" s="177"/>
      <c r="AH478" s="177"/>
      <c r="AI478" s="177"/>
      <c r="AJ478" s="391"/>
      <c r="AK478" s="383"/>
      <c r="AL478" s="177"/>
      <c r="AM478" s="177"/>
      <c r="AN478" s="177"/>
      <c r="AO478" s="366"/>
      <c r="AP478" s="366"/>
      <c r="AQ478" s="366"/>
      <c r="AR478" s="366"/>
      <c r="AS478" s="366"/>
    </row>
    <row r="479">
      <c r="A479" s="391"/>
      <c r="B479" s="383"/>
      <c r="C479" s="177"/>
      <c r="D479" s="177"/>
      <c r="E479" s="177"/>
      <c r="F479" s="391"/>
      <c r="G479" s="383"/>
      <c r="H479" s="177"/>
      <c r="I479" s="177"/>
      <c r="J479" s="177"/>
      <c r="K479" s="88"/>
      <c r="L479" s="383"/>
      <c r="M479" s="177"/>
      <c r="N479" s="177"/>
      <c r="O479" s="177"/>
      <c r="P479" s="88"/>
      <c r="Q479" s="151"/>
      <c r="R479" s="177"/>
      <c r="S479" s="177"/>
      <c r="T479" s="177"/>
      <c r="U479" s="391"/>
      <c r="V479" s="383"/>
      <c r="W479" s="177"/>
      <c r="X479" s="177"/>
      <c r="Y479" s="177"/>
      <c r="Z479" s="391"/>
      <c r="AA479" s="383"/>
      <c r="AB479" s="177"/>
      <c r="AC479" s="177"/>
      <c r="AD479" s="177"/>
      <c r="AE479" s="391"/>
      <c r="AF479" s="383"/>
      <c r="AG479" s="177"/>
      <c r="AH479" s="177"/>
      <c r="AI479" s="177"/>
      <c r="AJ479" s="391"/>
      <c r="AK479" s="383"/>
      <c r="AL479" s="177"/>
      <c r="AM479" s="177"/>
      <c r="AN479" s="177"/>
      <c r="AO479" s="366"/>
      <c r="AP479" s="366"/>
      <c r="AQ479" s="366"/>
      <c r="AR479" s="366"/>
      <c r="AS479" s="366"/>
    </row>
    <row r="480">
      <c r="A480" s="391"/>
      <c r="B480" s="383"/>
      <c r="C480" s="177"/>
      <c r="D480" s="177"/>
      <c r="E480" s="177"/>
      <c r="F480" s="391"/>
      <c r="G480" s="383"/>
      <c r="H480" s="177"/>
      <c r="I480" s="177"/>
      <c r="J480" s="177"/>
      <c r="K480" s="88"/>
      <c r="L480" s="383"/>
      <c r="M480" s="177"/>
      <c r="N480" s="177"/>
      <c r="O480" s="177"/>
      <c r="P480" s="88"/>
      <c r="Q480" s="151"/>
      <c r="R480" s="177"/>
      <c r="S480" s="177"/>
      <c r="T480" s="177"/>
      <c r="U480" s="391"/>
      <c r="V480" s="383"/>
      <c r="W480" s="177"/>
      <c r="X480" s="177"/>
      <c r="Y480" s="177"/>
      <c r="Z480" s="391"/>
      <c r="AA480" s="383"/>
      <c r="AB480" s="177"/>
      <c r="AC480" s="177"/>
      <c r="AD480" s="177"/>
      <c r="AE480" s="391"/>
      <c r="AF480" s="383"/>
      <c r="AG480" s="177"/>
      <c r="AH480" s="177"/>
      <c r="AI480" s="177"/>
      <c r="AJ480" s="391"/>
      <c r="AK480" s="383"/>
      <c r="AL480" s="177"/>
      <c r="AM480" s="177"/>
      <c r="AN480" s="177"/>
      <c r="AO480" s="366"/>
      <c r="AP480" s="366"/>
      <c r="AQ480" s="366"/>
      <c r="AR480" s="366"/>
      <c r="AS480" s="366"/>
    </row>
    <row r="481">
      <c r="A481" s="391"/>
      <c r="B481" s="383"/>
      <c r="C481" s="177"/>
      <c r="D481" s="177"/>
      <c r="E481" s="177"/>
      <c r="F481" s="391"/>
      <c r="G481" s="383"/>
      <c r="H481" s="177"/>
      <c r="I481" s="177"/>
      <c r="J481" s="177"/>
      <c r="K481" s="88"/>
      <c r="L481" s="383"/>
      <c r="M481" s="177"/>
      <c r="N481" s="177"/>
      <c r="O481" s="177"/>
      <c r="P481" s="88"/>
      <c r="Q481" s="151"/>
      <c r="R481" s="177"/>
      <c r="S481" s="177"/>
      <c r="T481" s="177"/>
      <c r="U481" s="391"/>
      <c r="V481" s="383"/>
      <c r="W481" s="177"/>
      <c r="X481" s="177"/>
      <c r="Y481" s="177"/>
      <c r="Z481" s="391"/>
      <c r="AA481" s="383"/>
      <c r="AB481" s="177"/>
      <c r="AC481" s="177"/>
      <c r="AD481" s="177"/>
      <c r="AE481" s="391"/>
      <c r="AF481" s="383"/>
      <c r="AG481" s="177"/>
      <c r="AH481" s="177"/>
      <c r="AI481" s="177"/>
      <c r="AJ481" s="391"/>
      <c r="AK481" s="383"/>
      <c r="AL481" s="177"/>
      <c r="AM481" s="177"/>
      <c r="AN481" s="177"/>
      <c r="AO481" s="366"/>
      <c r="AP481" s="366"/>
      <c r="AQ481" s="366"/>
      <c r="AR481" s="366"/>
      <c r="AS481" s="366"/>
    </row>
    <row r="482">
      <c r="A482" s="391"/>
      <c r="B482" s="383"/>
      <c r="C482" s="177"/>
      <c r="D482" s="177"/>
      <c r="E482" s="177"/>
      <c r="F482" s="391"/>
      <c r="G482" s="383"/>
      <c r="H482" s="177"/>
      <c r="I482" s="177"/>
      <c r="J482" s="177"/>
      <c r="K482" s="88"/>
      <c r="L482" s="383"/>
      <c r="M482" s="177"/>
      <c r="N482" s="177"/>
      <c r="O482" s="177"/>
      <c r="P482" s="88"/>
      <c r="Q482" s="151"/>
      <c r="R482" s="177"/>
      <c r="S482" s="177"/>
      <c r="T482" s="177"/>
      <c r="U482" s="391"/>
      <c r="V482" s="383"/>
      <c r="W482" s="177"/>
      <c r="X482" s="177"/>
      <c r="Y482" s="177"/>
      <c r="Z482" s="391"/>
      <c r="AA482" s="383"/>
      <c r="AB482" s="177"/>
      <c r="AC482" s="177"/>
      <c r="AD482" s="177"/>
      <c r="AE482" s="391"/>
      <c r="AF482" s="383"/>
      <c r="AG482" s="177"/>
      <c r="AH482" s="177"/>
      <c r="AI482" s="177"/>
      <c r="AJ482" s="391"/>
      <c r="AK482" s="383"/>
      <c r="AL482" s="177"/>
      <c r="AM482" s="177"/>
      <c r="AN482" s="177"/>
      <c r="AO482" s="366"/>
      <c r="AP482" s="366"/>
      <c r="AQ482" s="366"/>
      <c r="AR482" s="366"/>
      <c r="AS482" s="366"/>
    </row>
    <row r="483">
      <c r="A483" s="391"/>
      <c r="B483" s="383"/>
      <c r="C483" s="177"/>
      <c r="D483" s="177"/>
      <c r="E483" s="177"/>
      <c r="F483" s="391"/>
      <c r="G483" s="383"/>
      <c r="H483" s="177"/>
      <c r="I483" s="177"/>
      <c r="J483" s="177"/>
      <c r="K483" s="88"/>
      <c r="L483" s="383"/>
      <c r="M483" s="177"/>
      <c r="N483" s="177"/>
      <c r="O483" s="177"/>
      <c r="P483" s="88"/>
      <c r="Q483" s="151"/>
      <c r="R483" s="177"/>
      <c r="S483" s="177"/>
      <c r="T483" s="177"/>
      <c r="U483" s="391"/>
      <c r="V483" s="383"/>
      <c r="W483" s="177"/>
      <c r="X483" s="177"/>
      <c r="Y483" s="177"/>
      <c r="Z483" s="391"/>
      <c r="AA483" s="383"/>
      <c r="AB483" s="177"/>
      <c r="AC483" s="177"/>
      <c r="AD483" s="177"/>
      <c r="AE483" s="391"/>
      <c r="AF483" s="383"/>
      <c r="AG483" s="177"/>
      <c r="AH483" s="177"/>
      <c r="AI483" s="177"/>
      <c r="AJ483" s="391"/>
      <c r="AK483" s="383"/>
      <c r="AL483" s="177"/>
      <c r="AM483" s="177"/>
      <c r="AN483" s="177"/>
      <c r="AO483" s="366"/>
      <c r="AP483" s="366"/>
      <c r="AQ483" s="366"/>
      <c r="AR483" s="366"/>
      <c r="AS483" s="366"/>
    </row>
    <row r="484">
      <c r="A484" s="391"/>
      <c r="B484" s="383"/>
      <c r="C484" s="177"/>
      <c r="D484" s="177"/>
      <c r="E484" s="177"/>
      <c r="F484" s="391"/>
      <c r="G484" s="383"/>
      <c r="H484" s="177"/>
      <c r="I484" s="177"/>
      <c r="J484" s="177"/>
      <c r="K484" s="88"/>
      <c r="L484" s="383"/>
      <c r="M484" s="177"/>
      <c r="N484" s="177"/>
      <c r="O484" s="177"/>
      <c r="P484" s="88"/>
      <c r="Q484" s="151"/>
      <c r="R484" s="177"/>
      <c r="S484" s="177"/>
      <c r="T484" s="177"/>
      <c r="U484" s="391"/>
      <c r="V484" s="383"/>
      <c r="W484" s="177"/>
      <c r="X484" s="177"/>
      <c r="Y484" s="177"/>
      <c r="Z484" s="391"/>
      <c r="AA484" s="383"/>
      <c r="AB484" s="177"/>
      <c r="AC484" s="177"/>
      <c r="AD484" s="177"/>
      <c r="AE484" s="391"/>
      <c r="AF484" s="383"/>
      <c r="AG484" s="177"/>
      <c r="AH484" s="177"/>
      <c r="AI484" s="177"/>
      <c r="AJ484" s="391"/>
      <c r="AK484" s="383"/>
      <c r="AL484" s="177"/>
      <c r="AM484" s="177"/>
      <c r="AN484" s="177"/>
      <c r="AO484" s="366"/>
      <c r="AP484" s="366"/>
      <c r="AQ484" s="366"/>
      <c r="AR484" s="366"/>
      <c r="AS484" s="366"/>
    </row>
    <row r="485">
      <c r="A485" s="391"/>
      <c r="B485" s="383"/>
      <c r="C485" s="177"/>
      <c r="D485" s="177"/>
      <c r="E485" s="177"/>
      <c r="F485" s="391"/>
      <c r="G485" s="383"/>
      <c r="H485" s="177"/>
      <c r="I485" s="177"/>
      <c r="J485" s="177"/>
      <c r="K485" s="88"/>
      <c r="L485" s="383"/>
      <c r="M485" s="177"/>
      <c r="N485" s="177"/>
      <c r="O485" s="177"/>
      <c r="P485" s="88"/>
      <c r="Q485" s="151"/>
      <c r="R485" s="177"/>
      <c r="S485" s="177"/>
      <c r="T485" s="177"/>
      <c r="U485" s="391"/>
      <c r="V485" s="383"/>
      <c r="W485" s="177"/>
      <c r="X485" s="177"/>
      <c r="Y485" s="177"/>
      <c r="Z485" s="391"/>
      <c r="AA485" s="383"/>
      <c r="AB485" s="177"/>
      <c r="AC485" s="177"/>
      <c r="AD485" s="177"/>
      <c r="AE485" s="391"/>
      <c r="AF485" s="383"/>
      <c r="AG485" s="177"/>
      <c r="AH485" s="177"/>
      <c r="AI485" s="177"/>
      <c r="AJ485" s="391"/>
      <c r="AK485" s="383"/>
      <c r="AL485" s="177"/>
      <c r="AM485" s="177"/>
      <c r="AN485" s="177"/>
      <c r="AO485" s="366"/>
      <c r="AP485" s="366"/>
      <c r="AQ485" s="366"/>
      <c r="AR485" s="366"/>
      <c r="AS485" s="366"/>
    </row>
    <row r="486">
      <c r="A486" s="391"/>
      <c r="B486" s="383"/>
      <c r="C486" s="177"/>
      <c r="D486" s="177"/>
      <c r="E486" s="177"/>
      <c r="F486" s="391"/>
      <c r="G486" s="383"/>
      <c r="H486" s="177"/>
      <c r="I486" s="177"/>
      <c r="J486" s="177"/>
      <c r="K486" s="88"/>
      <c r="L486" s="383"/>
      <c r="M486" s="177"/>
      <c r="N486" s="177"/>
      <c r="O486" s="177"/>
      <c r="P486" s="88"/>
      <c r="Q486" s="151"/>
      <c r="R486" s="177"/>
      <c r="S486" s="177"/>
      <c r="T486" s="177"/>
      <c r="U486" s="391"/>
      <c r="V486" s="383"/>
      <c r="W486" s="177"/>
      <c r="X486" s="177"/>
      <c r="Y486" s="177"/>
      <c r="Z486" s="391"/>
      <c r="AA486" s="383"/>
      <c r="AB486" s="177"/>
      <c r="AC486" s="177"/>
      <c r="AD486" s="177"/>
      <c r="AE486" s="391"/>
      <c r="AF486" s="383"/>
      <c r="AG486" s="177"/>
      <c r="AH486" s="177"/>
      <c r="AI486" s="177"/>
      <c r="AJ486" s="391"/>
      <c r="AK486" s="383"/>
      <c r="AL486" s="177"/>
      <c r="AM486" s="177"/>
      <c r="AN486" s="177"/>
      <c r="AO486" s="366"/>
      <c r="AP486" s="366"/>
      <c r="AQ486" s="366"/>
      <c r="AR486" s="366"/>
      <c r="AS486" s="366"/>
    </row>
    <row r="487">
      <c r="A487" s="391"/>
      <c r="B487" s="383"/>
      <c r="C487" s="177"/>
      <c r="D487" s="177"/>
      <c r="E487" s="177"/>
      <c r="F487" s="391"/>
      <c r="G487" s="383"/>
      <c r="H487" s="177"/>
      <c r="I487" s="177"/>
      <c r="J487" s="177"/>
      <c r="K487" s="88"/>
      <c r="L487" s="383"/>
      <c r="M487" s="177"/>
      <c r="N487" s="177"/>
      <c r="O487" s="177"/>
      <c r="P487" s="88"/>
      <c r="Q487" s="151"/>
      <c r="R487" s="177"/>
      <c r="S487" s="177"/>
      <c r="T487" s="177"/>
      <c r="U487" s="391"/>
      <c r="V487" s="383"/>
      <c r="W487" s="177"/>
      <c r="X487" s="177"/>
      <c r="Y487" s="177"/>
      <c r="Z487" s="391"/>
      <c r="AA487" s="383"/>
      <c r="AB487" s="177"/>
      <c r="AC487" s="177"/>
      <c r="AD487" s="177"/>
      <c r="AE487" s="391"/>
      <c r="AF487" s="383"/>
      <c r="AG487" s="177"/>
      <c r="AH487" s="177"/>
      <c r="AI487" s="177"/>
      <c r="AJ487" s="391"/>
      <c r="AK487" s="383"/>
      <c r="AL487" s="177"/>
      <c r="AM487" s="177"/>
      <c r="AN487" s="177"/>
      <c r="AO487" s="366"/>
      <c r="AP487" s="366"/>
      <c r="AQ487" s="366"/>
      <c r="AR487" s="366"/>
      <c r="AS487" s="366"/>
    </row>
    <row r="488">
      <c r="A488" s="391"/>
      <c r="B488" s="383"/>
      <c r="C488" s="177"/>
      <c r="D488" s="177"/>
      <c r="E488" s="177"/>
      <c r="F488" s="391"/>
      <c r="G488" s="383"/>
      <c r="H488" s="177"/>
      <c r="I488" s="177"/>
      <c r="J488" s="177"/>
      <c r="K488" s="88"/>
      <c r="L488" s="383"/>
      <c r="M488" s="177"/>
      <c r="N488" s="177"/>
      <c r="O488" s="177"/>
      <c r="P488" s="88"/>
      <c r="Q488" s="151"/>
      <c r="R488" s="177"/>
      <c r="S488" s="177"/>
      <c r="T488" s="177"/>
      <c r="U488" s="391"/>
      <c r="V488" s="383"/>
      <c r="W488" s="177"/>
      <c r="X488" s="177"/>
      <c r="Y488" s="177"/>
      <c r="Z488" s="391"/>
      <c r="AA488" s="383"/>
      <c r="AB488" s="177"/>
      <c r="AC488" s="177"/>
      <c r="AD488" s="177"/>
      <c r="AE488" s="391"/>
      <c r="AF488" s="383"/>
      <c r="AG488" s="177"/>
      <c r="AH488" s="177"/>
      <c r="AI488" s="177"/>
      <c r="AJ488" s="391"/>
      <c r="AK488" s="383"/>
      <c r="AL488" s="177"/>
      <c r="AM488" s="177"/>
      <c r="AN488" s="177"/>
      <c r="AO488" s="366"/>
      <c r="AP488" s="366"/>
      <c r="AQ488" s="366"/>
      <c r="AR488" s="366"/>
      <c r="AS488" s="366"/>
    </row>
    <row r="489">
      <c r="A489" s="391"/>
      <c r="B489" s="383"/>
      <c r="C489" s="177"/>
      <c r="D489" s="177"/>
      <c r="E489" s="177"/>
      <c r="F489" s="391"/>
      <c r="G489" s="383"/>
      <c r="H489" s="177"/>
      <c r="I489" s="177"/>
      <c r="J489" s="177"/>
      <c r="K489" s="88"/>
      <c r="L489" s="383"/>
      <c r="M489" s="177"/>
      <c r="N489" s="177"/>
      <c r="O489" s="177"/>
      <c r="P489" s="88"/>
      <c r="Q489" s="151"/>
      <c r="R489" s="177"/>
      <c r="S489" s="177"/>
      <c r="T489" s="177"/>
      <c r="U489" s="391"/>
      <c r="V489" s="383"/>
      <c r="W489" s="177"/>
      <c r="X489" s="177"/>
      <c r="Y489" s="177"/>
      <c r="Z489" s="391"/>
      <c r="AA489" s="383"/>
      <c r="AB489" s="177"/>
      <c r="AC489" s="177"/>
      <c r="AD489" s="177"/>
      <c r="AE489" s="391"/>
      <c r="AF489" s="383"/>
      <c r="AG489" s="177"/>
      <c r="AH489" s="177"/>
      <c r="AI489" s="177"/>
      <c r="AJ489" s="391"/>
      <c r="AK489" s="383"/>
      <c r="AL489" s="177"/>
      <c r="AM489" s="177"/>
      <c r="AN489" s="177"/>
      <c r="AO489" s="366"/>
      <c r="AP489" s="366"/>
      <c r="AQ489" s="366"/>
      <c r="AR489" s="366"/>
      <c r="AS489" s="366"/>
    </row>
    <row r="490">
      <c r="A490" s="391"/>
      <c r="B490" s="383"/>
      <c r="C490" s="177"/>
      <c r="D490" s="177"/>
      <c r="E490" s="177"/>
      <c r="F490" s="391"/>
      <c r="G490" s="383"/>
      <c r="H490" s="177"/>
      <c r="I490" s="177"/>
      <c r="J490" s="177"/>
      <c r="K490" s="88"/>
      <c r="L490" s="383"/>
      <c r="M490" s="177"/>
      <c r="N490" s="177"/>
      <c r="O490" s="177"/>
      <c r="P490" s="88"/>
      <c r="Q490" s="151"/>
      <c r="R490" s="177"/>
      <c r="S490" s="177"/>
      <c r="T490" s="177"/>
      <c r="U490" s="391"/>
      <c r="V490" s="383"/>
      <c r="W490" s="177"/>
      <c r="X490" s="177"/>
      <c r="Y490" s="177"/>
      <c r="Z490" s="391"/>
      <c r="AA490" s="383"/>
      <c r="AB490" s="177"/>
      <c r="AC490" s="177"/>
      <c r="AD490" s="177"/>
      <c r="AE490" s="391"/>
      <c r="AF490" s="383"/>
      <c r="AG490" s="177"/>
      <c r="AH490" s="177"/>
      <c r="AI490" s="177"/>
      <c r="AJ490" s="391"/>
      <c r="AK490" s="383"/>
      <c r="AL490" s="177"/>
      <c r="AM490" s="177"/>
      <c r="AN490" s="177"/>
      <c r="AO490" s="366"/>
      <c r="AP490" s="366"/>
      <c r="AQ490" s="366"/>
      <c r="AR490" s="366"/>
      <c r="AS490" s="366"/>
    </row>
    <row r="491">
      <c r="A491" s="391"/>
      <c r="B491" s="383"/>
      <c r="C491" s="177"/>
      <c r="D491" s="177"/>
      <c r="E491" s="177"/>
      <c r="F491" s="391"/>
      <c r="G491" s="383"/>
      <c r="H491" s="177"/>
      <c r="I491" s="177"/>
      <c r="J491" s="177"/>
      <c r="K491" s="88"/>
      <c r="L491" s="383"/>
      <c r="M491" s="177"/>
      <c r="N491" s="177"/>
      <c r="O491" s="177"/>
      <c r="P491" s="88"/>
      <c r="Q491" s="151"/>
      <c r="R491" s="177"/>
      <c r="S491" s="177"/>
      <c r="T491" s="177"/>
      <c r="U491" s="391"/>
      <c r="V491" s="383"/>
      <c r="W491" s="177"/>
      <c r="X491" s="177"/>
      <c r="Y491" s="177"/>
      <c r="Z491" s="391"/>
      <c r="AA491" s="383"/>
      <c r="AB491" s="177"/>
      <c r="AC491" s="177"/>
      <c r="AD491" s="177"/>
      <c r="AE491" s="391"/>
      <c r="AF491" s="383"/>
      <c r="AG491" s="177"/>
      <c r="AH491" s="177"/>
      <c r="AI491" s="177"/>
      <c r="AJ491" s="391"/>
      <c r="AK491" s="383"/>
      <c r="AL491" s="177"/>
      <c r="AM491" s="177"/>
      <c r="AN491" s="177"/>
      <c r="AO491" s="366"/>
      <c r="AP491" s="366"/>
      <c r="AQ491" s="366"/>
      <c r="AR491" s="366"/>
      <c r="AS491" s="366"/>
    </row>
    <row r="492">
      <c r="A492" s="391"/>
      <c r="B492" s="383"/>
      <c r="C492" s="177"/>
      <c r="D492" s="177"/>
      <c r="E492" s="177"/>
      <c r="F492" s="391"/>
      <c r="G492" s="383"/>
      <c r="H492" s="177"/>
      <c r="I492" s="177"/>
      <c r="J492" s="177"/>
      <c r="K492" s="88"/>
      <c r="L492" s="383"/>
      <c r="M492" s="177"/>
      <c r="N492" s="177"/>
      <c r="O492" s="177"/>
      <c r="P492" s="88"/>
      <c r="Q492" s="151"/>
      <c r="R492" s="177"/>
      <c r="S492" s="177"/>
      <c r="T492" s="177"/>
      <c r="U492" s="391"/>
      <c r="V492" s="383"/>
      <c r="W492" s="177"/>
      <c r="X492" s="177"/>
      <c r="Y492" s="177"/>
      <c r="Z492" s="391"/>
      <c r="AA492" s="383"/>
      <c r="AB492" s="177"/>
      <c r="AC492" s="177"/>
      <c r="AD492" s="177"/>
      <c r="AE492" s="391"/>
      <c r="AF492" s="383"/>
      <c r="AG492" s="177"/>
      <c r="AH492" s="177"/>
      <c r="AI492" s="177"/>
      <c r="AJ492" s="391"/>
      <c r="AK492" s="383"/>
      <c r="AL492" s="177"/>
      <c r="AM492" s="177"/>
      <c r="AN492" s="177"/>
      <c r="AO492" s="366"/>
      <c r="AP492" s="366"/>
      <c r="AQ492" s="366"/>
      <c r="AR492" s="366"/>
      <c r="AS492" s="366"/>
    </row>
    <row r="493">
      <c r="A493" s="391"/>
      <c r="B493" s="383"/>
      <c r="C493" s="177"/>
      <c r="D493" s="177"/>
      <c r="E493" s="177"/>
      <c r="F493" s="391"/>
      <c r="G493" s="383"/>
      <c r="H493" s="177"/>
      <c r="I493" s="177"/>
      <c r="J493" s="177"/>
      <c r="K493" s="88"/>
      <c r="L493" s="383"/>
      <c r="M493" s="177"/>
      <c r="N493" s="177"/>
      <c r="O493" s="177"/>
      <c r="P493" s="88"/>
      <c r="Q493" s="151"/>
      <c r="R493" s="177"/>
      <c r="S493" s="177"/>
      <c r="T493" s="177"/>
      <c r="U493" s="391"/>
      <c r="V493" s="383"/>
      <c r="W493" s="177"/>
      <c r="X493" s="177"/>
      <c r="Y493" s="177"/>
      <c r="Z493" s="391"/>
      <c r="AA493" s="383"/>
      <c r="AB493" s="177"/>
      <c r="AC493" s="177"/>
      <c r="AD493" s="177"/>
      <c r="AE493" s="391"/>
      <c r="AF493" s="383"/>
      <c r="AG493" s="177"/>
      <c r="AH493" s="177"/>
      <c r="AI493" s="177"/>
      <c r="AJ493" s="391"/>
      <c r="AK493" s="383"/>
      <c r="AL493" s="177"/>
      <c r="AM493" s="177"/>
      <c r="AN493" s="177"/>
      <c r="AO493" s="366"/>
      <c r="AP493" s="366"/>
      <c r="AQ493" s="366"/>
      <c r="AR493" s="366"/>
      <c r="AS493" s="366"/>
    </row>
    <row r="494">
      <c r="A494" s="391"/>
      <c r="B494" s="383"/>
      <c r="C494" s="177"/>
      <c r="D494" s="177"/>
      <c r="E494" s="177"/>
      <c r="F494" s="391"/>
      <c r="G494" s="383"/>
      <c r="H494" s="177"/>
      <c r="I494" s="177"/>
      <c r="J494" s="177"/>
      <c r="K494" s="88"/>
      <c r="L494" s="383"/>
      <c r="M494" s="177"/>
      <c r="N494" s="177"/>
      <c r="O494" s="177"/>
      <c r="P494" s="88"/>
      <c r="Q494" s="151"/>
      <c r="R494" s="177"/>
      <c r="S494" s="177"/>
      <c r="T494" s="177"/>
      <c r="U494" s="391"/>
      <c r="V494" s="383"/>
      <c r="W494" s="177"/>
      <c r="X494" s="177"/>
      <c r="Y494" s="177"/>
      <c r="Z494" s="391"/>
      <c r="AA494" s="383"/>
      <c r="AB494" s="177"/>
      <c r="AC494" s="177"/>
      <c r="AD494" s="177"/>
      <c r="AE494" s="391"/>
      <c r="AF494" s="383"/>
      <c r="AG494" s="177"/>
      <c r="AH494" s="177"/>
      <c r="AI494" s="177"/>
      <c r="AJ494" s="391"/>
      <c r="AK494" s="383"/>
      <c r="AL494" s="177"/>
      <c r="AM494" s="177"/>
      <c r="AN494" s="177"/>
      <c r="AO494" s="366"/>
      <c r="AP494" s="366"/>
      <c r="AQ494" s="366"/>
      <c r="AR494" s="366"/>
      <c r="AS494" s="366"/>
    </row>
    <row r="495">
      <c r="A495" s="391"/>
      <c r="B495" s="383"/>
      <c r="C495" s="177"/>
      <c r="D495" s="177"/>
      <c r="E495" s="177"/>
      <c r="F495" s="391"/>
      <c r="G495" s="383"/>
      <c r="H495" s="177"/>
      <c r="I495" s="177"/>
      <c r="J495" s="177"/>
      <c r="K495" s="88"/>
      <c r="L495" s="383"/>
      <c r="M495" s="177"/>
      <c r="N495" s="177"/>
      <c r="O495" s="177"/>
      <c r="P495" s="88"/>
      <c r="Q495" s="151"/>
      <c r="R495" s="177"/>
      <c r="S495" s="177"/>
      <c r="T495" s="177"/>
      <c r="U495" s="391"/>
      <c r="V495" s="383"/>
      <c r="W495" s="177"/>
      <c r="X495" s="177"/>
      <c r="Y495" s="177"/>
      <c r="Z495" s="391"/>
      <c r="AA495" s="383"/>
      <c r="AB495" s="177"/>
      <c r="AC495" s="177"/>
      <c r="AD495" s="177"/>
      <c r="AE495" s="391"/>
      <c r="AF495" s="383"/>
      <c r="AG495" s="177"/>
      <c r="AH495" s="177"/>
      <c r="AI495" s="177"/>
      <c r="AJ495" s="391"/>
      <c r="AK495" s="383"/>
      <c r="AL495" s="177"/>
      <c r="AM495" s="177"/>
      <c r="AN495" s="177"/>
      <c r="AO495" s="366"/>
      <c r="AP495" s="366"/>
      <c r="AQ495" s="366"/>
      <c r="AR495" s="366"/>
      <c r="AS495" s="366"/>
    </row>
    <row r="496">
      <c r="A496" s="391"/>
      <c r="B496" s="383"/>
      <c r="C496" s="177"/>
      <c r="D496" s="177"/>
      <c r="E496" s="177"/>
      <c r="F496" s="391"/>
      <c r="G496" s="383"/>
      <c r="H496" s="177"/>
      <c r="I496" s="177"/>
      <c r="J496" s="177"/>
      <c r="K496" s="88"/>
      <c r="L496" s="383"/>
      <c r="M496" s="177"/>
      <c r="N496" s="177"/>
      <c r="O496" s="177"/>
      <c r="P496" s="88"/>
      <c r="Q496" s="151"/>
      <c r="R496" s="177"/>
      <c r="S496" s="177"/>
      <c r="T496" s="177"/>
      <c r="U496" s="391"/>
      <c r="V496" s="383"/>
      <c r="W496" s="177"/>
      <c r="X496" s="177"/>
      <c r="Y496" s="177"/>
      <c r="Z496" s="391"/>
      <c r="AA496" s="383"/>
      <c r="AB496" s="177"/>
      <c r="AC496" s="177"/>
      <c r="AD496" s="177"/>
      <c r="AE496" s="391"/>
      <c r="AF496" s="383"/>
      <c r="AG496" s="177"/>
      <c r="AH496" s="177"/>
      <c r="AI496" s="177"/>
      <c r="AJ496" s="391"/>
      <c r="AK496" s="383"/>
      <c r="AL496" s="177"/>
      <c r="AM496" s="177"/>
      <c r="AN496" s="177"/>
      <c r="AO496" s="366"/>
      <c r="AP496" s="366"/>
      <c r="AQ496" s="366"/>
      <c r="AR496" s="366"/>
      <c r="AS496" s="366"/>
    </row>
    <row r="497">
      <c r="A497" s="391"/>
      <c r="B497" s="383"/>
      <c r="C497" s="177"/>
      <c r="D497" s="177"/>
      <c r="E497" s="177"/>
      <c r="F497" s="391"/>
      <c r="G497" s="383"/>
      <c r="H497" s="177"/>
      <c r="I497" s="177"/>
      <c r="J497" s="177"/>
      <c r="K497" s="88"/>
      <c r="L497" s="383"/>
      <c r="M497" s="177"/>
      <c r="N497" s="177"/>
      <c r="O497" s="177"/>
      <c r="P497" s="88"/>
      <c r="Q497" s="151"/>
      <c r="R497" s="177"/>
      <c r="S497" s="177"/>
      <c r="T497" s="177"/>
      <c r="U497" s="391"/>
      <c r="V497" s="383"/>
      <c r="W497" s="177"/>
      <c r="X497" s="177"/>
      <c r="Y497" s="177"/>
      <c r="Z497" s="391"/>
      <c r="AA497" s="383"/>
      <c r="AB497" s="177"/>
      <c r="AC497" s="177"/>
      <c r="AD497" s="177"/>
      <c r="AE497" s="391"/>
      <c r="AF497" s="383"/>
      <c r="AG497" s="177"/>
      <c r="AH497" s="177"/>
      <c r="AI497" s="177"/>
      <c r="AJ497" s="391"/>
      <c r="AK497" s="383"/>
      <c r="AL497" s="177"/>
      <c r="AM497" s="177"/>
      <c r="AN497" s="177"/>
      <c r="AO497" s="366"/>
      <c r="AP497" s="366"/>
      <c r="AQ497" s="366"/>
      <c r="AR497" s="366"/>
      <c r="AS497" s="366"/>
    </row>
    <row r="498">
      <c r="A498" s="391"/>
      <c r="B498" s="383"/>
      <c r="C498" s="177"/>
      <c r="D498" s="177"/>
      <c r="E498" s="177"/>
      <c r="F498" s="391"/>
      <c r="G498" s="383"/>
      <c r="H498" s="177"/>
      <c r="I498" s="177"/>
      <c r="J498" s="177"/>
      <c r="K498" s="88"/>
      <c r="L498" s="383"/>
      <c r="M498" s="177"/>
      <c r="N498" s="177"/>
      <c r="O498" s="177"/>
      <c r="P498" s="88"/>
      <c r="Q498" s="151"/>
      <c r="R498" s="177"/>
      <c r="S498" s="177"/>
      <c r="T498" s="177"/>
      <c r="U498" s="391"/>
      <c r="V498" s="383"/>
      <c r="W498" s="177"/>
      <c r="X498" s="177"/>
      <c r="Y498" s="177"/>
      <c r="Z498" s="391"/>
      <c r="AA498" s="383"/>
      <c r="AB498" s="177"/>
      <c r="AC498" s="177"/>
      <c r="AD498" s="177"/>
      <c r="AE498" s="391"/>
      <c r="AF498" s="383"/>
      <c r="AG498" s="177"/>
      <c r="AH498" s="177"/>
      <c r="AI498" s="177"/>
      <c r="AJ498" s="391"/>
      <c r="AK498" s="383"/>
      <c r="AL498" s="177"/>
      <c r="AM498" s="177"/>
      <c r="AN498" s="177"/>
      <c r="AO498" s="366"/>
      <c r="AP498" s="366"/>
      <c r="AQ498" s="366"/>
      <c r="AR498" s="366"/>
      <c r="AS498" s="366"/>
    </row>
    <row r="499">
      <c r="A499" s="391"/>
      <c r="B499" s="383"/>
      <c r="C499" s="177"/>
      <c r="D499" s="177"/>
      <c r="E499" s="177"/>
      <c r="F499" s="391"/>
      <c r="G499" s="383"/>
      <c r="H499" s="177"/>
      <c r="I499" s="177"/>
      <c r="J499" s="177"/>
      <c r="K499" s="88"/>
      <c r="L499" s="383"/>
      <c r="M499" s="177"/>
      <c r="N499" s="177"/>
      <c r="O499" s="177"/>
      <c r="P499" s="88"/>
      <c r="Q499" s="151"/>
      <c r="R499" s="177"/>
      <c r="S499" s="177"/>
      <c r="T499" s="177"/>
      <c r="U499" s="391"/>
      <c r="V499" s="383"/>
      <c r="W499" s="177"/>
      <c r="X499" s="177"/>
      <c r="Y499" s="177"/>
      <c r="Z499" s="391"/>
      <c r="AA499" s="383"/>
      <c r="AB499" s="177"/>
      <c r="AC499" s="177"/>
      <c r="AD499" s="177"/>
      <c r="AE499" s="391"/>
      <c r="AF499" s="383"/>
      <c r="AG499" s="177"/>
      <c r="AH499" s="177"/>
      <c r="AI499" s="177"/>
      <c r="AJ499" s="391"/>
      <c r="AK499" s="383"/>
      <c r="AL499" s="177"/>
      <c r="AM499" s="177"/>
      <c r="AN499" s="177"/>
      <c r="AO499" s="366"/>
      <c r="AP499" s="366"/>
      <c r="AQ499" s="366"/>
      <c r="AR499" s="366"/>
      <c r="AS499" s="366"/>
    </row>
    <row r="500">
      <c r="A500" s="391"/>
      <c r="B500" s="383"/>
      <c r="C500" s="177"/>
      <c r="D500" s="177"/>
      <c r="E500" s="177"/>
      <c r="F500" s="391"/>
      <c r="G500" s="383"/>
      <c r="H500" s="177"/>
      <c r="I500" s="177"/>
      <c r="J500" s="177"/>
      <c r="K500" s="88"/>
      <c r="L500" s="383"/>
      <c r="M500" s="177"/>
      <c r="N500" s="177"/>
      <c r="O500" s="177"/>
      <c r="P500" s="88"/>
      <c r="Q500" s="151"/>
      <c r="R500" s="177"/>
      <c r="S500" s="177"/>
      <c r="T500" s="177"/>
      <c r="U500" s="391"/>
      <c r="V500" s="383"/>
      <c r="W500" s="177"/>
      <c r="X500" s="177"/>
      <c r="Y500" s="177"/>
      <c r="Z500" s="391"/>
      <c r="AA500" s="383"/>
      <c r="AB500" s="177"/>
      <c r="AC500" s="177"/>
      <c r="AD500" s="177"/>
      <c r="AE500" s="391"/>
      <c r="AF500" s="383"/>
      <c r="AG500" s="177"/>
      <c r="AH500" s="177"/>
      <c r="AI500" s="177"/>
      <c r="AJ500" s="391"/>
      <c r="AK500" s="383"/>
      <c r="AL500" s="177"/>
      <c r="AM500" s="177"/>
      <c r="AN500" s="177"/>
      <c r="AO500" s="366"/>
      <c r="AP500" s="366"/>
      <c r="AQ500" s="366"/>
      <c r="AR500" s="366"/>
      <c r="AS500" s="366"/>
    </row>
    <row r="501">
      <c r="A501" s="391"/>
      <c r="B501" s="383"/>
      <c r="C501" s="177"/>
      <c r="D501" s="177"/>
      <c r="E501" s="177"/>
      <c r="F501" s="391"/>
      <c r="G501" s="383"/>
      <c r="H501" s="177"/>
      <c r="I501" s="177"/>
      <c r="J501" s="177"/>
      <c r="K501" s="88"/>
      <c r="L501" s="383"/>
      <c r="M501" s="177"/>
      <c r="N501" s="177"/>
      <c r="O501" s="177"/>
      <c r="P501" s="88"/>
      <c r="Q501" s="151"/>
      <c r="R501" s="177"/>
      <c r="S501" s="177"/>
      <c r="T501" s="177"/>
      <c r="U501" s="391"/>
      <c r="V501" s="383"/>
      <c r="W501" s="177"/>
      <c r="X501" s="177"/>
      <c r="Y501" s="177"/>
      <c r="Z501" s="391"/>
      <c r="AA501" s="383"/>
      <c r="AB501" s="177"/>
      <c r="AC501" s="177"/>
      <c r="AD501" s="177"/>
      <c r="AE501" s="391"/>
      <c r="AF501" s="383"/>
      <c r="AG501" s="177"/>
      <c r="AH501" s="177"/>
      <c r="AI501" s="177"/>
      <c r="AJ501" s="391"/>
      <c r="AK501" s="383"/>
      <c r="AL501" s="177"/>
      <c r="AM501" s="177"/>
      <c r="AN501" s="177"/>
      <c r="AO501" s="366"/>
      <c r="AP501" s="366"/>
      <c r="AQ501" s="366"/>
      <c r="AR501" s="366"/>
      <c r="AS501" s="366"/>
    </row>
    <row r="502">
      <c r="A502" s="391"/>
      <c r="B502" s="383"/>
      <c r="C502" s="177"/>
      <c r="D502" s="177"/>
      <c r="E502" s="177"/>
      <c r="F502" s="391"/>
      <c r="G502" s="383"/>
      <c r="H502" s="177"/>
      <c r="I502" s="177"/>
      <c r="J502" s="177"/>
      <c r="K502" s="88"/>
      <c r="L502" s="383"/>
      <c r="M502" s="177"/>
      <c r="N502" s="177"/>
      <c r="O502" s="177"/>
      <c r="P502" s="88"/>
      <c r="Q502" s="151"/>
      <c r="R502" s="177"/>
      <c r="S502" s="177"/>
      <c r="T502" s="177"/>
      <c r="U502" s="391"/>
      <c r="V502" s="383"/>
      <c r="W502" s="177"/>
      <c r="X502" s="177"/>
      <c r="Y502" s="177"/>
      <c r="Z502" s="391"/>
      <c r="AA502" s="383"/>
      <c r="AB502" s="177"/>
      <c r="AC502" s="177"/>
      <c r="AD502" s="177"/>
      <c r="AE502" s="391"/>
      <c r="AF502" s="383"/>
      <c r="AG502" s="177"/>
      <c r="AH502" s="177"/>
      <c r="AI502" s="177"/>
      <c r="AJ502" s="391"/>
      <c r="AK502" s="383"/>
      <c r="AL502" s="177"/>
      <c r="AM502" s="177"/>
      <c r="AN502" s="177"/>
      <c r="AO502" s="366"/>
      <c r="AP502" s="366"/>
      <c r="AQ502" s="366"/>
      <c r="AR502" s="366"/>
      <c r="AS502" s="366"/>
    </row>
    <row r="503">
      <c r="A503" s="391"/>
      <c r="B503" s="383"/>
      <c r="C503" s="177"/>
      <c r="D503" s="177"/>
      <c r="E503" s="177"/>
      <c r="F503" s="391"/>
      <c r="G503" s="383"/>
      <c r="H503" s="177"/>
      <c r="I503" s="177"/>
      <c r="J503" s="177"/>
      <c r="K503" s="88"/>
      <c r="L503" s="383"/>
      <c r="M503" s="177"/>
      <c r="N503" s="177"/>
      <c r="O503" s="177"/>
      <c r="P503" s="88"/>
      <c r="Q503" s="151"/>
      <c r="R503" s="177"/>
      <c r="S503" s="177"/>
      <c r="T503" s="177"/>
      <c r="U503" s="391"/>
      <c r="V503" s="383"/>
      <c r="W503" s="177"/>
      <c r="X503" s="177"/>
      <c r="Y503" s="177"/>
      <c r="Z503" s="391"/>
      <c r="AA503" s="383"/>
      <c r="AB503" s="177"/>
      <c r="AC503" s="177"/>
      <c r="AD503" s="177"/>
      <c r="AE503" s="391"/>
      <c r="AF503" s="383"/>
      <c r="AG503" s="177"/>
      <c r="AH503" s="177"/>
      <c r="AI503" s="177"/>
      <c r="AJ503" s="391"/>
      <c r="AK503" s="383"/>
      <c r="AL503" s="177"/>
      <c r="AM503" s="177"/>
      <c r="AN503" s="177"/>
      <c r="AO503" s="366"/>
      <c r="AP503" s="366"/>
      <c r="AQ503" s="366"/>
      <c r="AR503" s="366"/>
      <c r="AS503" s="366"/>
    </row>
    <row r="504">
      <c r="A504" s="391"/>
      <c r="B504" s="383"/>
      <c r="C504" s="177"/>
      <c r="D504" s="177"/>
      <c r="E504" s="177"/>
      <c r="F504" s="391"/>
      <c r="G504" s="383"/>
      <c r="H504" s="177"/>
      <c r="I504" s="177"/>
      <c r="J504" s="177"/>
      <c r="K504" s="88"/>
      <c r="L504" s="383"/>
      <c r="M504" s="177"/>
      <c r="N504" s="177"/>
      <c r="O504" s="177"/>
      <c r="P504" s="88"/>
      <c r="Q504" s="151"/>
      <c r="R504" s="177"/>
      <c r="S504" s="177"/>
      <c r="T504" s="177"/>
      <c r="U504" s="391"/>
      <c r="V504" s="383"/>
      <c r="W504" s="177"/>
      <c r="X504" s="177"/>
      <c r="Y504" s="177"/>
      <c r="Z504" s="391"/>
      <c r="AA504" s="383"/>
      <c r="AB504" s="177"/>
      <c r="AC504" s="177"/>
      <c r="AD504" s="177"/>
      <c r="AE504" s="391"/>
      <c r="AF504" s="383"/>
      <c r="AG504" s="177"/>
      <c r="AH504" s="177"/>
      <c r="AI504" s="177"/>
      <c r="AJ504" s="391"/>
      <c r="AK504" s="383"/>
      <c r="AL504" s="177"/>
      <c r="AM504" s="177"/>
      <c r="AN504" s="177"/>
      <c r="AO504" s="366"/>
      <c r="AP504" s="366"/>
      <c r="AQ504" s="366"/>
      <c r="AR504" s="366"/>
      <c r="AS504" s="366"/>
    </row>
    <row r="505">
      <c r="A505" s="391"/>
      <c r="B505" s="383"/>
      <c r="C505" s="177"/>
      <c r="D505" s="177"/>
      <c r="E505" s="177"/>
      <c r="F505" s="391"/>
      <c r="G505" s="383"/>
      <c r="H505" s="177"/>
      <c r="I505" s="177"/>
      <c r="J505" s="177"/>
      <c r="K505" s="88"/>
      <c r="L505" s="383"/>
      <c r="M505" s="177"/>
      <c r="N505" s="177"/>
      <c r="O505" s="177"/>
      <c r="P505" s="88"/>
      <c r="Q505" s="151"/>
      <c r="R505" s="177"/>
      <c r="S505" s="177"/>
      <c r="T505" s="177"/>
      <c r="U505" s="391"/>
      <c r="V505" s="383"/>
      <c r="W505" s="177"/>
      <c r="X505" s="177"/>
      <c r="Y505" s="177"/>
      <c r="Z505" s="391"/>
      <c r="AA505" s="383"/>
      <c r="AB505" s="177"/>
      <c r="AC505" s="177"/>
      <c r="AD505" s="177"/>
      <c r="AE505" s="391"/>
      <c r="AF505" s="383"/>
      <c r="AG505" s="177"/>
      <c r="AH505" s="177"/>
      <c r="AI505" s="177"/>
      <c r="AJ505" s="391"/>
      <c r="AK505" s="383"/>
      <c r="AL505" s="177"/>
      <c r="AM505" s="177"/>
      <c r="AN505" s="177"/>
      <c r="AO505" s="366"/>
      <c r="AP505" s="366"/>
      <c r="AQ505" s="366"/>
      <c r="AR505" s="366"/>
      <c r="AS505" s="366"/>
    </row>
    <row r="506">
      <c r="A506" s="391"/>
      <c r="B506" s="383"/>
      <c r="C506" s="177"/>
      <c r="D506" s="177"/>
      <c r="E506" s="177"/>
      <c r="F506" s="391"/>
      <c r="G506" s="383"/>
      <c r="H506" s="177"/>
      <c r="I506" s="177"/>
      <c r="J506" s="177"/>
      <c r="K506" s="88"/>
      <c r="L506" s="383"/>
      <c r="M506" s="177"/>
      <c r="N506" s="177"/>
      <c r="O506" s="177"/>
      <c r="P506" s="88"/>
      <c r="Q506" s="151"/>
      <c r="R506" s="177"/>
      <c r="S506" s="177"/>
      <c r="T506" s="177"/>
      <c r="U506" s="391"/>
      <c r="V506" s="383"/>
      <c r="W506" s="177"/>
      <c r="X506" s="177"/>
      <c r="Y506" s="177"/>
      <c r="Z506" s="391"/>
      <c r="AA506" s="383"/>
      <c r="AB506" s="177"/>
      <c r="AC506" s="177"/>
      <c r="AD506" s="177"/>
      <c r="AE506" s="391"/>
      <c r="AF506" s="383"/>
      <c r="AG506" s="177"/>
      <c r="AH506" s="177"/>
      <c r="AI506" s="177"/>
      <c r="AJ506" s="391"/>
      <c r="AK506" s="383"/>
      <c r="AL506" s="177"/>
      <c r="AM506" s="177"/>
      <c r="AN506" s="177"/>
      <c r="AO506" s="366"/>
      <c r="AP506" s="366"/>
      <c r="AQ506" s="366"/>
      <c r="AR506" s="366"/>
      <c r="AS506" s="366"/>
    </row>
    <row r="507">
      <c r="A507" s="391"/>
      <c r="B507" s="383"/>
      <c r="C507" s="177"/>
      <c r="D507" s="177"/>
      <c r="E507" s="177"/>
      <c r="F507" s="391"/>
      <c r="G507" s="383"/>
      <c r="H507" s="177"/>
      <c r="I507" s="177"/>
      <c r="J507" s="177"/>
      <c r="K507" s="88"/>
      <c r="L507" s="383"/>
      <c r="M507" s="177"/>
      <c r="N507" s="177"/>
      <c r="O507" s="177"/>
      <c r="P507" s="88"/>
      <c r="Q507" s="151"/>
      <c r="R507" s="177"/>
      <c r="S507" s="177"/>
      <c r="T507" s="177"/>
      <c r="U507" s="391"/>
      <c r="V507" s="383"/>
      <c r="W507" s="177"/>
      <c r="X507" s="177"/>
      <c r="Y507" s="177"/>
      <c r="Z507" s="391"/>
      <c r="AA507" s="383"/>
      <c r="AB507" s="177"/>
      <c r="AC507" s="177"/>
      <c r="AD507" s="177"/>
      <c r="AE507" s="391"/>
      <c r="AF507" s="383"/>
      <c r="AG507" s="177"/>
      <c r="AH507" s="177"/>
      <c r="AI507" s="177"/>
      <c r="AJ507" s="391"/>
      <c r="AK507" s="383"/>
      <c r="AL507" s="177"/>
      <c r="AM507" s="177"/>
      <c r="AN507" s="177"/>
      <c r="AO507" s="366"/>
      <c r="AP507" s="366"/>
      <c r="AQ507" s="366"/>
      <c r="AR507" s="366"/>
      <c r="AS507" s="366"/>
    </row>
    <row r="508">
      <c r="A508" s="391"/>
      <c r="B508" s="383"/>
      <c r="C508" s="177"/>
      <c r="D508" s="177"/>
      <c r="E508" s="177"/>
      <c r="F508" s="391"/>
      <c r="G508" s="383"/>
      <c r="H508" s="177"/>
      <c r="I508" s="177"/>
      <c r="J508" s="177"/>
      <c r="K508" s="88"/>
      <c r="L508" s="383"/>
      <c r="M508" s="177"/>
      <c r="N508" s="177"/>
      <c r="O508" s="177"/>
      <c r="P508" s="88"/>
      <c r="Q508" s="151"/>
      <c r="R508" s="177"/>
      <c r="S508" s="177"/>
      <c r="T508" s="177"/>
      <c r="U508" s="391"/>
      <c r="V508" s="383"/>
      <c r="W508" s="177"/>
      <c r="X508" s="177"/>
      <c r="Y508" s="177"/>
      <c r="Z508" s="391"/>
      <c r="AA508" s="383"/>
      <c r="AB508" s="177"/>
      <c r="AC508" s="177"/>
      <c r="AD508" s="177"/>
      <c r="AE508" s="391"/>
      <c r="AF508" s="383"/>
      <c r="AG508" s="177"/>
      <c r="AH508" s="177"/>
      <c r="AI508" s="177"/>
      <c r="AJ508" s="391"/>
      <c r="AK508" s="383"/>
      <c r="AL508" s="177"/>
      <c r="AM508" s="177"/>
      <c r="AN508" s="177"/>
      <c r="AO508" s="366"/>
      <c r="AP508" s="366"/>
      <c r="AQ508" s="366"/>
      <c r="AR508" s="366"/>
      <c r="AS508" s="366"/>
    </row>
    <row r="509">
      <c r="A509" s="391"/>
      <c r="B509" s="383"/>
      <c r="C509" s="177"/>
      <c r="D509" s="177"/>
      <c r="E509" s="177"/>
      <c r="F509" s="391"/>
      <c r="G509" s="383"/>
      <c r="H509" s="177"/>
      <c r="I509" s="177"/>
      <c r="J509" s="177"/>
      <c r="K509" s="88"/>
      <c r="L509" s="383"/>
      <c r="M509" s="177"/>
      <c r="N509" s="177"/>
      <c r="O509" s="177"/>
      <c r="P509" s="88"/>
      <c r="Q509" s="151"/>
      <c r="R509" s="177"/>
      <c r="S509" s="177"/>
      <c r="T509" s="177"/>
      <c r="U509" s="391"/>
      <c r="V509" s="383"/>
      <c r="W509" s="177"/>
      <c r="X509" s="177"/>
      <c r="Y509" s="177"/>
      <c r="Z509" s="391"/>
      <c r="AA509" s="383"/>
      <c r="AB509" s="177"/>
      <c r="AC509" s="177"/>
      <c r="AD509" s="177"/>
      <c r="AE509" s="391"/>
      <c r="AF509" s="383"/>
      <c r="AG509" s="177"/>
      <c r="AH509" s="177"/>
      <c r="AI509" s="177"/>
      <c r="AJ509" s="391"/>
      <c r="AK509" s="383"/>
      <c r="AL509" s="177"/>
      <c r="AM509" s="177"/>
      <c r="AN509" s="177"/>
      <c r="AO509" s="366"/>
      <c r="AP509" s="366"/>
      <c r="AQ509" s="366"/>
      <c r="AR509" s="366"/>
      <c r="AS509" s="366"/>
    </row>
    <row r="510">
      <c r="A510" s="391"/>
      <c r="B510" s="383"/>
      <c r="C510" s="177"/>
      <c r="D510" s="177"/>
      <c r="E510" s="177"/>
      <c r="F510" s="391"/>
      <c r="G510" s="383"/>
      <c r="H510" s="177"/>
      <c r="I510" s="177"/>
      <c r="J510" s="177"/>
      <c r="K510" s="88"/>
      <c r="L510" s="383"/>
      <c r="M510" s="177"/>
      <c r="N510" s="177"/>
      <c r="O510" s="177"/>
      <c r="P510" s="88"/>
      <c r="Q510" s="151"/>
      <c r="R510" s="177"/>
      <c r="S510" s="177"/>
      <c r="T510" s="177"/>
      <c r="U510" s="391"/>
      <c r="V510" s="383"/>
      <c r="W510" s="177"/>
      <c r="X510" s="177"/>
      <c r="Y510" s="177"/>
      <c r="Z510" s="391"/>
      <c r="AA510" s="383"/>
      <c r="AB510" s="177"/>
      <c r="AC510" s="177"/>
      <c r="AD510" s="177"/>
      <c r="AE510" s="391"/>
      <c r="AF510" s="383"/>
      <c r="AG510" s="177"/>
      <c r="AH510" s="177"/>
      <c r="AI510" s="177"/>
      <c r="AJ510" s="391"/>
      <c r="AK510" s="383"/>
      <c r="AL510" s="177"/>
      <c r="AM510" s="177"/>
      <c r="AN510" s="177"/>
      <c r="AO510" s="366"/>
      <c r="AP510" s="366"/>
      <c r="AQ510" s="366"/>
      <c r="AR510" s="366"/>
      <c r="AS510" s="366"/>
    </row>
    <row r="511">
      <c r="A511" s="391"/>
      <c r="B511" s="383"/>
      <c r="C511" s="177"/>
      <c r="D511" s="177"/>
      <c r="E511" s="177"/>
      <c r="F511" s="391"/>
      <c r="G511" s="383"/>
      <c r="H511" s="177"/>
      <c r="I511" s="177"/>
      <c r="J511" s="177"/>
      <c r="K511" s="88"/>
      <c r="L511" s="383"/>
      <c r="M511" s="177"/>
      <c r="N511" s="177"/>
      <c r="O511" s="177"/>
      <c r="P511" s="88"/>
      <c r="Q511" s="151"/>
      <c r="R511" s="177"/>
      <c r="S511" s="177"/>
      <c r="T511" s="177"/>
      <c r="U511" s="391"/>
      <c r="V511" s="383"/>
      <c r="W511" s="177"/>
      <c r="X511" s="177"/>
      <c r="Y511" s="177"/>
      <c r="Z511" s="391"/>
      <c r="AA511" s="383"/>
      <c r="AB511" s="177"/>
      <c r="AC511" s="177"/>
      <c r="AD511" s="177"/>
      <c r="AE511" s="391"/>
      <c r="AF511" s="383"/>
      <c r="AG511" s="177"/>
      <c r="AH511" s="177"/>
      <c r="AI511" s="177"/>
      <c r="AJ511" s="391"/>
      <c r="AK511" s="383"/>
      <c r="AL511" s="177"/>
      <c r="AM511" s="177"/>
      <c r="AN511" s="177"/>
      <c r="AO511" s="366"/>
      <c r="AP511" s="366"/>
      <c r="AQ511" s="366"/>
      <c r="AR511" s="366"/>
      <c r="AS511" s="366"/>
    </row>
    <row r="512">
      <c r="A512" s="391"/>
      <c r="B512" s="383"/>
      <c r="C512" s="177"/>
      <c r="D512" s="177"/>
      <c r="E512" s="177"/>
      <c r="F512" s="391"/>
      <c r="G512" s="383"/>
      <c r="H512" s="177"/>
      <c r="I512" s="177"/>
      <c r="J512" s="177"/>
      <c r="K512" s="88"/>
      <c r="L512" s="383"/>
      <c r="M512" s="177"/>
      <c r="N512" s="177"/>
      <c r="O512" s="177"/>
      <c r="P512" s="88"/>
      <c r="Q512" s="151"/>
      <c r="R512" s="177"/>
      <c r="S512" s="177"/>
      <c r="T512" s="177"/>
      <c r="U512" s="391"/>
      <c r="V512" s="383"/>
      <c r="W512" s="177"/>
      <c r="X512" s="177"/>
      <c r="Y512" s="177"/>
      <c r="Z512" s="391"/>
      <c r="AA512" s="383"/>
      <c r="AB512" s="177"/>
      <c r="AC512" s="177"/>
      <c r="AD512" s="177"/>
      <c r="AE512" s="391"/>
      <c r="AF512" s="383"/>
      <c r="AG512" s="177"/>
      <c r="AH512" s="177"/>
      <c r="AI512" s="177"/>
      <c r="AJ512" s="391"/>
      <c r="AK512" s="383"/>
      <c r="AL512" s="177"/>
      <c r="AM512" s="177"/>
      <c r="AN512" s="177"/>
      <c r="AO512" s="366"/>
      <c r="AP512" s="366"/>
      <c r="AQ512" s="366"/>
      <c r="AR512" s="366"/>
      <c r="AS512" s="366"/>
    </row>
    <row r="513">
      <c r="A513" s="391"/>
      <c r="B513" s="383"/>
      <c r="C513" s="177"/>
      <c r="D513" s="177"/>
      <c r="E513" s="177"/>
      <c r="F513" s="391"/>
      <c r="G513" s="383"/>
      <c r="H513" s="177"/>
      <c r="I513" s="177"/>
      <c r="J513" s="177"/>
      <c r="K513" s="88"/>
      <c r="L513" s="383"/>
      <c r="M513" s="177"/>
      <c r="N513" s="177"/>
      <c r="O513" s="177"/>
      <c r="P513" s="88"/>
      <c r="Q513" s="151"/>
      <c r="R513" s="177"/>
      <c r="S513" s="177"/>
      <c r="T513" s="177"/>
      <c r="U513" s="391"/>
      <c r="V513" s="383"/>
      <c r="W513" s="177"/>
      <c r="X513" s="177"/>
      <c r="Y513" s="177"/>
      <c r="Z513" s="391"/>
      <c r="AA513" s="383"/>
      <c r="AB513" s="177"/>
      <c r="AC513" s="177"/>
      <c r="AD513" s="177"/>
      <c r="AE513" s="391"/>
      <c r="AF513" s="383"/>
      <c r="AG513" s="177"/>
      <c r="AH513" s="177"/>
      <c r="AI513" s="177"/>
      <c r="AJ513" s="391"/>
      <c r="AK513" s="383"/>
      <c r="AL513" s="177"/>
      <c r="AM513" s="177"/>
      <c r="AN513" s="177"/>
      <c r="AO513" s="366"/>
      <c r="AP513" s="366"/>
      <c r="AQ513" s="366"/>
      <c r="AR513" s="366"/>
      <c r="AS513" s="366"/>
    </row>
    <row r="514">
      <c r="A514" s="391"/>
      <c r="B514" s="383"/>
      <c r="C514" s="177"/>
      <c r="D514" s="177"/>
      <c r="E514" s="177"/>
      <c r="F514" s="391"/>
      <c r="G514" s="383"/>
      <c r="H514" s="177"/>
      <c r="I514" s="177"/>
      <c r="J514" s="177"/>
      <c r="K514" s="88"/>
      <c r="L514" s="383"/>
      <c r="M514" s="177"/>
      <c r="N514" s="177"/>
      <c r="O514" s="177"/>
      <c r="P514" s="88"/>
      <c r="Q514" s="151"/>
      <c r="R514" s="177"/>
      <c r="S514" s="177"/>
      <c r="T514" s="177"/>
      <c r="U514" s="391"/>
      <c r="V514" s="383"/>
      <c r="W514" s="177"/>
      <c r="X514" s="177"/>
      <c r="Y514" s="177"/>
      <c r="Z514" s="391"/>
      <c r="AA514" s="383"/>
      <c r="AB514" s="177"/>
      <c r="AC514" s="177"/>
      <c r="AD514" s="177"/>
      <c r="AE514" s="391"/>
      <c r="AF514" s="383"/>
      <c r="AG514" s="177"/>
      <c r="AH514" s="177"/>
      <c r="AI514" s="177"/>
      <c r="AJ514" s="391"/>
      <c r="AK514" s="383"/>
      <c r="AL514" s="177"/>
      <c r="AM514" s="177"/>
      <c r="AN514" s="177"/>
      <c r="AO514" s="366"/>
      <c r="AP514" s="366"/>
      <c r="AQ514" s="366"/>
      <c r="AR514" s="366"/>
      <c r="AS514" s="366"/>
    </row>
    <row r="515">
      <c r="A515" s="391"/>
      <c r="B515" s="383"/>
      <c r="C515" s="177"/>
      <c r="D515" s="177"/>
      <c r="E515" s="177"/>
      <c r="F515" s="391"/>
      <c r="G515" s="383"/>
      <c r="H515" s="177"/>
      <c r="I515" s="177"/>
      <c r="J515" s="177"/>
      <c r="K515" s="88"/>
      <c r="L515" s="383"/>
      <c r="M515" s="177"/>
      <c r="N515" s="177"/>
      <c r="O515" s="177"/>
      <c r="P515" s="88"/>
      <c r="Q515" s="151"/>
      <c r="R515" s="177"/>
      <c r="S515" s="177"/>
      <c r="T515" s="177"/>
      <c r="U515" s="391"/>
      <c r="V515" s="383"/>
      <c r="W515" s="177"/>
      <c r="X515" s="177"/>
      <c r="Y515" s="177"/>
      <c r="Z515" s="391"/>
      <c r="AA515" s="383"/>
      <c r="AB515" s="177"/>
      <c r="AC515" s="177"/>
      <c r="AD515" s="177"/>
      <c r="AE515" s="391"/>
      <c r="AF515" s="383"/>
      <c r="AG515" s="177"/>
      <c r="AH515" s="177"/>
      <c r="AI515" s="177"/>
      <c r="AJ515" s="391"/>
      <c r="AK515" s="383"/>
      <c r="AL515" s="177"/>
      <c r="AM515" s="177"/>
      <c r="AN515" s="177"/>
      <c r="AO515" s="366"/>
      <c r="AP515" s="366"/>
      <c r="AQ515" s="366"/>
      <c r="AR515" s="366"/>
      <c r="AS515" s="366"/>
    </row>
    <row r="516">
      <c r="A516" s="391"/>
      <c r="B516" s="383"/>
      <c r="C516" s="177"/>
      <c r="D516" s="177"/>
      <c r="E516" s="177"/>
      <c r="F516" s="391"/>
      <c r="G516" s="383"/>
      <c r="H516" s="177"/>
      <c r="I516" s="177"/>
      <c r="J516" s="177"/>
      <c r="K516" s="88"/>
      <c r="L516" s="383"/>
      <c r="M516" s="177"/>
      <c r="N516" s="177"/>
      <c r="O516" s="177"/>
      <c r="P516" s="88"/>
      <c r="Q516" s="151"/>
      <c r="R516" s="177"/>
      <c r="S516" s="177"/>
      <c r="T516" s="177"/>
      <c r="U516" s="391"/>
      <c r="V516" s="383"/>
      <c r="W516" s="177"/>
      <c r="X516" s="177"/>
      <c r="Y516" s="177"/>
      <c r="Z516" s="391"/>
      <c r="AA516" s="383"/>
      <c r="AB516" s="177"/>
      <c r="AC516" s="177"/>
      <c r="AD516" s="177"/>
      <c r="AE516" s="391"/>
      <c r="AF516" s="383"/>
      <c r="AG516" s="177"/>
      <c r="AH516" s="177"/>
      <c r="AI516" s="177"/>
      <c r="AJ516" s="391"/>
      <c r="AK516" s="383"/>
      <c r="AL516" s="177"/>
      <c r="AM516" s="177"/>
      <c r="AN516" s="177"/>
      <c r="AO516" s="366"/>
      <c r="AP516" s="366"/>
      <c r="AQ516" s="366"/>
      <c r="AR516" s="366"/>
      <c r="AS516" s="366"/>
    </row>
    <row r="517">
      <c r="A517" s="391"/>
      <c r="B517" s="383"/>
      <c r="C517" s="177"/>
      <c r="D517" s="177"/>
      <c r="E517" s="177"/>
      <c r="F517" s="391"/>
      <c r="G517" s="383"/>
      <c r="H517" s="177"/>
      <c r="I517" s="177"/>
      <c r="J517" s="177"/>
      <c r="K517" s="88"/>
      <c r="L517" s="383"/>
      <c r="M517" s="177"/>
      <c r="N517" s="177"/>
      <c r="O517" s="177"/>
      <c r="P517" s="88"/>
      <c r="Q517" s="151"/>
      <c r="R517" s="177"/>
      <c r="S517" s="177"/>
      <c r="T517" s="177"/>
      <c r="U517" s="391"/>
      <c r="V517" s="383"/>
      <c r="W517" s="177"/>
      <c r="X517" s="177"/>
      <c r="Y517" s="177"/>
      <c r="Z517" s="391"/>
      <c r="AA517" s="383"/>
      <c r="AB517" s="177"/>
      <c r="AC517" s="177"/>
      <c r="AD517" s="177"/>
      <c r="AE517" s="391"/>
      <c r="AF517" s="383"/>
      <c r="AG517" s="177"/>
      <c r="AH517" s="177"/>
      <c r="AI517" s="177"/>
      <c r="AJ517" s="391"/>
      <c r="AK517" s="383"/>
      <c r="AL517" s="177"/>
      <c r="AM517" s="177"/>
      <c r="AN517" s="177"/>
      <c r="AO517" s="366"/>
      <c r="AP517" s="366"/>
      <c r="AQ517" s="366"/>
      <c r="AR517" s="366"/>
      <c r="AS517" s="366"/>
    </row>
    <row r="518">
      <c r="A518" s="391"/>
      <c r="B518" s="383"/>
      <c r="C518" s="177"/>
      <c r="D518" s="177"/>
      <c r="E518" s="177"/>
      <c r="F518" s="391"/>
      <c r="G518" s="383"/>
      <c r="H518" s="177"/>
      <c r="I518" s="177"/>
      <c r="J518" s="177"/>
      <c r="K518" s="88"/>
      <c r="L518" s="383"/>
      <c r="M518" s="177"/>
      <c r="N518" s="177"/>
      <c r="O518" s="177"/>
      <c r="P518" s="88"/>
      <c r="Q518" s="151"/>
      <c r="R518" s="177"/>
      <c r="S518" s="177"/>
      <c r="T518" s="177"/>
      <c r="U518" s="391"/>
      <c r="V518" s="383"/>
      <c r="W518" s="177"/>
      <c r="X518" s="177"/>
      <c r="Y518" s="177"/>
      <c r="Z518" s="391"/>
      <c r="AA518" s="383"/>
      <c r="AB518" s="177"/>
      <c r="AC518" s="177"/>
      <c r="AD518" s="177"/>
      <c r="AE518" s="391"/>
      <c r="AF518" s="383"/>
      <c r="AG518" s="177"/>
      <c r="AH518" s="177"/>
      <c r="AI518" s="177"/>
      <c r="AJ518" s="391"/>
      <c r="AK518" s="383"/>
      <c r="AL518" s="177"/>
      <c r="AM518" s="177"/>
      <c r="AN518" s="177"/>
      <c r="AO518" s="366"/>
      <c r="AP518" s="366"/>
      <c r="AQ518" s="366"/>
      <c r="AR518" s="366"/>
      <c r="AS518" s="366"/>
    </row>
    <row r="519">
      <c r="A519" s="391"/>
      <c r="B519" s="383"/>
      <c r="C519" s="177"/>
      <c r="D519" s="177"/>
      <c r="E519" s="177"/>
      <c r="F519" s="391"/>
      <c r="G519" s="383"/>
      <c r="H519" s="177"/>
      <c r="I519" s="177"/>
      <c r="J519" s="177"/>
      <c r="K519" s="88"/>
      <c r="L519" s="383"/>
      <c r="M519" s="177"/>
      <c r="N519" s="177"/>
      <c r="O519" s="177"/>
      <c r="P519" s="88"/>
      <c r="Q519" s="151"/>
      <c r="R519" s="177"/>
      <c r="S519" s="177"/>
      <c r="T519" s="177"/>
      <c r="U519" s="391"/>
      <c r="V519" s="383"/>
      <c r="W519" s="177"/>
      <c r="X519" s="177"/>
      <c r="Y519" s="177"/>
      <c r="Z519" s="391"/>
      <c r="AA519" s="383"/>
      <c r="AB519" s="177"/>
      <c r="AC519" s="177"/>
      <c r="AD519" s="177"/>
      <c r="AE519" s="391"/>
      <c r="AF519" s="383"/>
      <c r="AG519" s="177"/>
      <c r="AH519" s="177"/>
      <c r="AI519" s="177"/>
      <c r="AJ519" s="391"/>
      <c r="AK519" s="383"/>
      <c r="AL519" s="177"/>
      <c r="AM519" s="177"/>
      <c r="AN519" s="177"/>
      <c r="AO519" s="366"/>
      <c r="AP519" s="366"/>
      <c r="AQ519" s="366"/>
      <c r="AR519" s="366"/>
      <c r="AS519" s="366"/>
    </row>
    <row r="520">
      <c r="A520" s="391"/>
      <c r="B520" s="383"/>
      <c r="C520" s="177"/>
      <c r="D520" s="177"/>
      <c r="E520" s="177"/>
      <c r="F520" s="391"/>
      <c r="G520" s="383"/>
      <c r="H520" s="177"/>
      <c r="I520" s="177"/>
      <c r="J520" s="177"/>
      <c r="K520" s="88"/>
      <c r="L520" s="383"/>
      <c r="M520" s="177"/>
      <c r="N520" s="177"/>
      <c r="O520" s="177"/>
      <c r="P520" s="88"/>
      <c r="Q520" s="151"/>
      <c r="R520" s="177"/>
      <c r="S520" s="177"/>
      <c r="T520" s="177"/>
      <c r="U520" s="391"/>
      <c r="V520" s="383"/>
      <c r="W520" s="177"/>
      <c r="X520" s="177"/>
      <c r="Y520" s="177"/>
      <c r="Z520" s="391"/>
      <c r="AA520" s="383"/>
      <c r="AB520" s="177"/>
      <c r="AC520" s="177"/>
      <c r="AD520" s="177"/>
      <c r="AE520" s="391"/>
      <c r="AF520" s="383"/>
      <c r="AG520" s="177"/>
      <c r="AH520" s="177"/>
      <c r="AI520" s="177"/>
      <c r="AJ520" s="391"/>
      <c r="AK520" s="383"/>
      <c r="AL520" s="177"/>
      <c r="AM520" s="177"/>
      <c r="AN520" s="177"/>
      <c r="AO520" s="366"/>
      <c r="AP520" s="366"/>
      <c r="AQ520" s="366"/>
      <c r="AR520" s="366"/>
      <c r="AS520" s="366"/>
    </row>
    <row r="521">
      <c r="A521" s="391"/>
      <c r="B521" s="383"/>
      <c r="C521" s="177"/>
      <c r="D521" s="177"/>
      <c r="E521" s="177"/>
      <c r="F521" s="391"/>
      <c r="G521" s="383"/>
      <c r="H521" s="177"/>
      <c r="I521" s="177"/>
      <c r="J521" s="177"/>
      <c r="K521" s="88"/>
      <c r="L521" s="383"/>
      <c r="M521" s="177"/>
      <c r="N521" s="177"/>
      <c r="O521" s="177"/>
      <c r="P521" s="88"/>
      <c r="Q521" s="151"/>
      <c r="R521" s="177"/>
      <c r="S521" s="177"/>
      <c r="T521" s="177"/>
      <c r="U521" s="391"/>
      <c r="V521" s="383"/>
      <c r="W521" s="177"/>
      <c r="X521" s="177"/>
      <c r="Y521" s="177"/>
      <c r="Z521" s="391"/>
      <c r="AA521" s="383"/>
      <c r="AB521" s="177"/>
      <c r="AC521" s="177"/>
      <c r="AD521" s="177"/>
      <c r="AE521" s="391"/>
      <c r="AF521" s="383"/>
      <c r="AG521" s="177"/>
      <c r="AH521" s="177"/>
      <c r="AI521" s="177"/>
      <c r="AJ521" s="391"/>
      <c r="AK521" s="383"/>
      <c r="AL521" s="177"/>
      <c r="AM521" s="177"/>
      <c r="AN521" s="177"/>
      <c r="AO521" s="366"/>
      <c r="AP521" s="366"/>
      <c r="AQ521" s="366"/>
      <c r="AR521" s="366"/>
      <c r="AS521" s="366"/>
    </row>
    <row r="522">
      <c r="A522" s="391"/>
      <c r="B522" s="383"/>
      <c r="C522" s="177"/>
      <c r="D522" s="177"/>
      <c r="E522" s="177"/>
      <c r="F522" s="391"/>
      <c r="G522" s="383"/>
      <c r="H522" s="177"/>
      <c r="I522" s="177"/>
      <c r="J522" s="177"/>
      <c r="K522" s="88"/>
      <c r="L522" s="383"/>
      <c r="M522" s="177"/>
      <c r="N522" s="177"/>
      <c r="O522" s="177"/>
      <c r="P522" s="88"/>
      <c r="Q522" s="151"/>
      <c r="R522" s="177"/>
      <c r="S522" s="177"/>
      <c r="T522" s="177"/>
      <c r="U522" s="391"/>
      <c r="V522" s="383"/>
      <c r="W522" s="177"/>
      <c r="X522" s="177"/>
      <c r="Y522" s="177"/>
      <c r="Z522" s="391"/>
      <c r="AA522" s="383"/>
      <c r="AB522" s="177"/>
      <c r="AC522" s="177"/>
      <c r="AD522" s="177"/>
      <c r="AE522" s="391"/>
      <c r="AF522" s="383"/>
      <c r="AG522" s="177"/>
      <c r="AH522" s="177"/>
      <c r="AI522" s="177"/>
      <c r="AJ522" s="391"/>
      <c r="AK522" s="383"/>
      <c r="AL522" s="177"/>
      <c r="AM522" s="177"/>
      <c r="AN522" s="177"/>
      <c r="AO522" s="366"/>
      <c r="AP522" s="366"/>
      <c r="AQ522" s="366"/>
      <c r="AR522" s="366"/>
      <c r="AS522" s="366"/>
    </row>
    <row r="523">
      <c r="A523" s="391"/>
      <c r="B523" s="383"/>
      <c r="C523" s="177"/>
      <c r="D523" s="177"/>
      <c r="E523" s="177"/>
      <c r="F523" s="391"/>
      <c r="G523" s="383"/>
      <c r="H523" s="177"/>
      <c r="I523" s="177"/>
      <c r="J523" s="177"/>
      <c r="K523" s="88"/>
      <c r="L523" s="383"/>
      <c r="M523" s="177"/>
      <c r="N523" s="177"/>
      <c r="O523" s="177"/>
      <c r="P523" s="88"/>
      <c r="Q523" s="151"/>
      <c r="R523" s="177"/>
      <c r="S523" s="177"/>
      <c r="T523" s="177"/>
      <c r="U523" s="391"/>
      <c r="V523" s="383"/>
      <c r="W523" s="177"/>
      <c r="X523" s="177"/>
      <c r="Y523" s="177"/>
      <c r="Z523" s="391"/>
      <c r="AA523" s="383"/>
      <c r="AB523" s="177"/>
      <c r="AC523" s="177"/>
      <c r="AD523" s="177"/>
      <c r="AE523" s="391"/>
      <c r="AF523" s="383"/>
      <c r="AG523" s="177"/>
      <c r="AH523" s="177"/>
      <c r="AI523" s="177"/>
      <c r="AJ523" s="391"/>
      <c r="AK523" s="383"/>
      <c r="AL523" s="177"/>
      <c r="AM523" s="177"/>
      <c r="AN523" s="177"/>
      <c r="AO523" s="366"/>
      <c r="AP523" s="366"/>
      <c r="AQ523" s="366"/>
      <c r="AR523" s="366"/>
      <c r="AS523" s="366"/>
    </row>
    <row r="524">
      <c r="A524" s="391"/>
      <c r="B524" s="383"/>
      <c r="C524" s="177"/>
      <c r="D524" s="177"/>
      <c r="E524" s="177"/>
      <c r="F524" s="391"/>
      <c r="G524" s="383"/>
      <c r="H524" s="177"/>
      <c r="I524" s="177"/>
      <c r="J524" s="177"/>
      <c r="K524" s="88"/>
      <c r="L524" s="383"/>
      <c r="M524" s="177"/>
      <c r="N524" s="177"/>
      <c r="O524" s="177"/>
      <c r="P524" s="88"/>
      <c r="Q524" s="151"/>
      <c r="R524" s="177"/>
      <c r="S524" s="177"/>
      <c r="T524" s="177"/>
      <c r="U524" s="391"/>
      <c r="V524" s="383"/>
      <c r="W524" s="177"/>
      <c r="X524" s="177"/>
      <c r="Y524" s="177"/>
      <c r="Z524" s="391"/>
      <c r="AA524" s="383"/>
      <c r="AB524" s="177"/>
      <c r="AC524" s="177"/>
      <c r="AD524" s="177"/>
      <c r="AE524" s="391"/>
      <c r="AF524" s="383"/>
      <c r="AG524" s="177"/>
      <c r="AH524" s="177"/>
      <c r="AI524" s="177"/>
      <c r="AJ524" s="391"/>
      <c r="AK524" s="383"/>
      <c r="AL524" s="177"/>
      <c r="AM524" s="177"/>
      <c r="AN524" s="177"/>
      <c r="AO524" s="366"/>
      <c r="AP524" s="366"/>
      <c r="AQ524" s="366"/>
      <c r="AR524" s="366"/>
      <c r="AS524" s="366"/>
    </row>
    <row r="525">
      <c r="A525" s="391"/>
      <c r="B525" s="383"/>
      <c r="C525" s="177"/>
      <c r="D525" s="177"/>
      <c r="E525" s="177"/>
      <c r="F525" s="391"/>
      <c r="G525" s="383"/>
      <c r="H525" s="177"/>
      <c r="I525" s="177"/>
      <c r="J525" s="177"/>
      <c r="K525" s="88"/>
      <c r="L525" s="383"/>
      <c r="M525" s="177"/>
      <c r="N525" s="177"/>
      <c r="O525" s="177"/>
      <c r="P525" s="88"/>
      <c r="Q525" s="151"/>
      <c r="R525" s="177"/>
      <c r="S525" s="177"/>
      <c r="T525" s="177"/>
      <c r="U525" s="391"/>
      <c r="V525" s="383"/>
      <c r="W525" s="177"/>
      <c r="X525" s="177"/>
      <c r="Y525" s="177"/>
      <c r="Z525" s="391"/>
      <c r="AA525" s="383"/>
      <c r="AB525" s="177"/>
      <c r="AC525" s="177"/>
      <c r="AD525" s="177"/>
      <c r="AE525" s="391"/>
      <c r="AF525" s="383"/>
      <c r="AG525" s="177"/>
      <c r="AH525" s="177"/>
      <c r="AI525" s="177"/>
      <c r="AJ525" s="391"/>
      <c r="AK525" s="383"/>
      <c r="AL525" s="177"/>
      <c r="AM525" s="177"/>
      <c r="AN525" s="177"/>
      <c r="AO525" s="366"/>
      <c r="AP525" s="366"/>
      <c r="AQ525" s="366"/>
      <c r="AR525" s="366"/>
      <c r="AS525" s="366"/>
    </row>
    <row r="526">
      <c r="A526" s="391"/>
      <c r="B526" s="383"/>
      <c r="C526" s="177"/>
      <c r="D526" s="177"/>
      <c r="E526" s="177"/>
      <c r="F526" s="391"/>
      <c r="G526" s="383"/>
      <c r="H526" s="177"/>
      <c r="I526" s="177"/>
      <c r="J526" s="177"/>
      <c r="K526" s="88"/>
      <c r="L526" s="383"/>
      <c r="M526" s="177"/>
      <c r="N526" s="177"/>
      <c r="O526" s="177"/>
      <c r="P526" s="88"/>
      <c r="Q526" s="151"/>
      <c r="R526" s="177"/>
      <c r="S526" s="177"/>
      <c r="T526" s="177"/>
      <c r="U526" s="391"/>
      <c r="V526" s="383"/>
      <c r="W526" s="177"/>
      <c r="X526" s="177"/>
      <c r="Y526" s="177"/>
      <c r="Z526" s="391"/>
      <c r="AA526" s="383"/>
      <c r="AB526" s="177"/>
      <c r="AC526" s="177"/>
      <c r="AD526" s="177"/>
      <c r="AE526" s="391"/>
      <c r="AF526" s="383"/>
      <c r="AG526" s="177"/>
      <c r="AH526" s="177"/>
      <c r="AI526" s="177"/>
      <c r="AJ526" s="391"/>
      <c r="AK526" s="383"/>
      <c r="AL526" s="177"/>
      <c r="AM526" s="177"/>
      <c r="AN526" s="177"/>
      <c r="AO526" s="366"/>
      <c r="AP526" s="366"/>
      <c r="AQ526" s="366"/>
      <c r="AR526" s="366"/>
      <c r="AS526" s="366"/>
    </row>
    <row r="527">
      <c r="A527" s="391"/>
      <c r="B527" s="383"/>
      <c r="C527" s="177"/>
      <c r="D527" s="177"/>
      <c r="E527" s="177"/>
      <c r="F527" s="391"/>
      <c r="G527" s="383"/>
      <c r="H527" s="177"/>
      <c r="I527" s="177"/>
      <c r="J527" s="177"/>
      <c r="K527" s="88"/>
      <c r="L527" s="383"/>
      <c r="M527" s="177"/>
      <c r="N527" s="177"/>
      <c r="O527" s="177"/>
      <c r="P527" s="88"/>
      <c r="Q527" s="151"/>
      <c r="R527" s="177"/>
      <c r="S527" s="177"/>
      <c r="T527" s="177"/>
      <c r="U527" s="391"/>
      <c r="V527" s="383"/>
      <c r="W527" s="177"/>
      <c r="X527" s="177"/>
      <c r="Y527" s="177"/>
      <c r="Z527" s="391"/>
      <c r="AA527" s="383"/>
      <c r="AB527" s="177"/>
      <c r="AC527" s="177"/>
      <c r="AD527" s="177"/>
      <c r="AE527" s="391"/>
      <c r="AF527" s="383"/>
      <c r="AG527" s="177"/>
      <c r="AH527" s="177"/>
      <c r="AI527" s="177"/>
      <c r="AJ527" s="391"/>
      <c r="AK527" s="383"/>
      <c r="AL527" s="177"/>
      <c r="AM527" s="177"/>
      <c r="AN527" s="177"/>
      <c r="AO527" s="366"/>
      <c r="AP527" s="366"/>
      <c r="AQ527" s="366"/>
      <c r="AR527" s="366"/>
      <c r="AS527" s="366"/>
    </row>
    <row r="528">
      <c r="A528" s="391"/>
      <c r="B528" s="383"/>
      <c r="C528" s="177"/>
      <c r="D528" s="177"/>
      <c r="E528" s="177"/>
      <c r="F528" s="391"/>
      <c r="G528" s="383"/>
      <c r="H528" s="177"/>
      <c r="I528" s="177"/>
      <c r="J528" s="177"/>
      <c r="K528" s="88"/>
      <c r="L528" s="383"/>
      <c r="M528" s="177"/>
      <c r="N528" s="177"/>
      <c r="O528" s="177"/>
      <c r="P528" s="88"/>
      <c r="Q528" s="151"/>
      <c r="R528" s="177"/>
      <c r="S528" s="177"/>
      <c r="T528" s="177"/>
      <c r="U528" s="391"/>
      <c r="V528" s="383"/>
      <c r="W528" s="177"/>
      <c r="X528" s="177"/>
      <c r="Y528" s="177"/>
      <c r="Z528" s="391"/>
      <c r="AA528" s="383"/>
      <c r="AB528" s="177"/>
      <c r="AC528" s="177"/>
      <c r="AD528" s="177"/>
      <c r="AE528" s="391"/>
      <c r="AF528" s="383"/>
      <c r="AG528" s="177"/>
      <c r="AH528" s="177"/>
      <c r="AI528" s="177"/>
      <c r="AJ528" s="391"/>
      <c r="AK528" s="383"/>
      <c r="AL528" s="177"/>
      <c r="AM528" s="177"/>
      <c r="AN528" s="177"/>
      <c r="AO528" s="366"/>
      <c r="AP528" s="366"/>
      <c r="AQ528" s="366"/>
      <c r="AR528" s="366"/>
      <c r="AS528" s="366"/>
    </row>
    <row r="529">
      <c r="A529" s="391"/>
      <c r="B529" s="383"/>
      <c r="C529" s="177"/>
      <c r="D529" s="177"/>
      <c r="E529" s="177"/>
      <c r="F529" s="391"/>
      <c r="G529" s="383"/>
      <c r="H529" s="177"/>
      <c r="I529" s="177"/>
      <c r="J529" s="177"/>
      <c r="K529" s="88"/>
      <c r="L529" s="383"/>
      <c r="M529" s="177"/>
      <c r="N529" s="177"/>
      <c r="O529" s="177"/>
      <c r="P529" s="88"/>
      <c r="Q529" s="151"/>
      <c r="R529" s="177"/>
      <c r="S529" s="177"/>
      <c r="T529" s="177"/>
      <c r="U529" s="391"/>
      <c r="V529" s="383"/>
      <c r="W529" s="177"/>
      <c r="X529" s="177"/>
      <c r="Y529" s="177"/>
      <c r="Z529" s="391"/>
      <c r="AA529" s="383"/>
      <c r="AB529" s="177"/>
      <c r="AC529" s="177"/>
      <c r="AD529" s="177"/>
      <c r="AE529" s="391"/>
      <c r="AF529" s="383"/>
      <c r="AG529" s="177"/>
      <c r="AH529" s="177"/>
      <c r="AI529" s="177"/>
      <c r="AJ529" s="391"/>
      <c r="AK529" s="383"/>
      <c r="AL529" s="177"/>
      <c r="AM529" s="177"/>
      <c r="AN529" s="177"/>
      <c r="AO529" s="366"/>
      <c r="AP529" s="366"/>
      <c r="AQ529" s="366"/>
      <c r="AR529" s="366"/>
      <c r="AS529" s="366"/>
    </row>
    <row r="530">
      <c r="A530" s="391"/>
      <c r="B530" s="383"/>
      <c r="C530" s="177"/>
      <c r="D530" s="177"/>
      <c r="E530" s="177"/>
      <c r="F530" s="391"/>
      <c r="G530" s="383"/>
      <c r="H530" s="177"/>
      <c r="I530" s="177"/>
      <c r="J530" s="177"/>
      <c r="K530" s="88"/>
      <c r="L530" s="383"/>
      <c r="M530" s="177"/>
      <c r="N530" s="177"/>
      <c r="O530" s="177"/>
      <c r="P530" s="88"/>
      <c r="Q530" s="151"/>
      <c r="R530" s="177"/>
      <c r="S530" s="177"/>
      <c r="T530" s="177"/>
      <c r="U530" s="391"/>
      <c r="V530" s="383"/>
      <c r="W530" s="177"/>
      <c r="X530" s="177"/>
      <c r="Y530" s="177"/>
      <c r="Z530" s="391"/>
      <c r="AA530" s="383"/>
      <c r="AB530" s="177"/>
      <c r="AC530" s="177"/>
      <c r="AD530" s="177"/>
      <c r="AE530" s="391"/>
      <c r="AF530" s="383"/>
      <c r="AG530" s="177"/>
      <c r="AH530" s="177"/>
      <c r="AI530" s="177"/>
      <c r="AJ530" s="391"/>
      <c r="AK530" s="383"/>
      <c r="AL530" s="177"/>
      <c r="AM530" s="177"/>
      <c r="AN530" s="177"/>
      <c r="AO530" s="366"/>
      <c r="AP530" s="366"/>
      <c r="AQ530" s="366"/>
      <c r="AR530" s="366"/>
      <c r="AS530" s="366"/>
    </row>
    <row r="531">
      <c r="A531" s="391"/>
      <c r="B531" s="383"/>
      <c r="C531" s="177"/>
      <c r="D531" s="177"/>
      <c r="E531" s="177"/>
      <c r="F531" s="391"/>
      <c r="G531" s="383"/>
      <c r="H531" s="177"/>
      <c r="I531" s="177"/>
      <c r="J531" s="177"/>
      <c r="K531" s="88"/>
      <c r="L531" s="383"/>
      <c r="M531" s="177"/>
      <c r="N531" s="177"/>
      <c r="O531" s="177"/>
      <c r="P531" s="88"/>
      <c r="Q531" s="151"/>
      <c r="R531" s="177"/>
      <c r="S531" s="177"/>
      <c r="T531" s="177"/>
      <c r="U531" s="391"/>
      <c r="V531" s="383"/>
      <c r="W531" s="177"/>
      <c r="X531" s="177"/>
      <c r="Y531" s="177"/>
      <c r="Z531" s="391"/>
      <c r="AA531" s="383"/>
      <c r="AB531" s="177"/>
      <c r="AC531" s="177"/>
      <c r="AD531" s="177"/>
      <c r="AE531" s="391"/>
      <c r="AF531" s="383"/>
      <c r="AG531" s="177"/>
      <c r="AH531" s="177"/>
      <c r="AI531" s="177"/>
      <c r="AJ531" s="391"/>
      <c r="AK531" s="383"/>
      <c r="AL531" s="177"/>
      <c r="AM531" s="177"/>
      <c r="AN531" s="177"/>
      <c r="AO531" s="366"/>
      <c r="AP531" s="366"/>
      <c r="AQ531" s="366"/>
      <c r="AR531" s="366"/>
      <c r="AS531" s="366"/>
    </row>
    <row r="532">
      <c r="A532" s="391"/>
      <c r="B532" s="383"/>
      <c r="C532" s="177"/>
      <c r="D532" s="177"/>
      <c r="E532" s="177"/>
      <c r="F532" s="391"/>
      <c r="G532" s="383"/>
      <c r="H532" s="177"/>
      <c r="I532" s="177"/>
      <c r="J532" s="177"/>
      <c r="K532" s="88"/>
      <c r="L532" s="383"/>
      <c r="M532" s="177"/>
      <c r="N532" s="177"/>
      <c r="O532" s="177"/>
      <c r="P532" s="88"/>
      <c r="Q532" s="151"/>
      <c r="R532" s="177"/>
      <c r="S532" s="177"/>
      <c r="T532" s="177"/>
      <c r="U532" s="391"/>
      <c r="V532" s="383"/>
      <c r="W532" s="177"/>
      <c r="X532" s="177"/>
      <c r="Y532" s="177"/>
      <c r="Z532" s="391"/>
      <c r="AA532" s="383"/>
      <c r="AB532" s="177"/>
      <c r="AC532" s="177"/>
      <c r="AD532" s="177"/>
      <c r="AE532" s="391"/>
      <c r="AF532" s="383"/>
      <c r="AG532" s="177"/>
      <c r="AH532" s="177"/>
      <c r="AI532" s="177"/>
      <c r="AJ532" s="391"/>
      <c r="AK532" s="383"/>
      <c r="AL532" s="177"/>
      <c r="AM532" s="177"/>
      <c r="AN532" s="177"/>
      <c r="AO532" s="366"/>
      <c r="AP532" s="366"/>
      <c r="AQ532" s="366"/>
      <c r="AR532" s="366"/>
      <c r="AS532" s="366"/>
    </row>
    <row r="533">
      <c r="A533" s="391"/>
      <c r="B533" s="383"/>
      <c r="C533" s="177"/>
      <c r="D533" s="177"/>
      <c r="E533" s="177"/>
      <c r="F533" s="391"/>
      <c r="G533" s="383"/>
      <c r="H533" s="177"/>
      <c r="I533" s="177"/>
      <c r="J533" s="177"/>
      <c r="K533" s="88"/>
      <c r="L533" s="383"/>
      <c r="M533" s="177"/>
      <c r="N533" s="177"/>
      <c r="O533" s="177"/>
      <c r="P533" s="88"/>
      <c r="Q533" s="151"/>
      <c r="R533" s="177"/>
      <c r="S533" s="177"/>
      <c r="T533" s="177"/>
      <c r="U533" s="391"/>
      <c r="V533" s="383"/>
      <c r="W533" s="177"/>
      <c r="X533" s="177"/>
      <c r="Y533" s="177"/>
      <c r="Z533" s="391"/>
      <c r="AA533" s="383"/>
      <c r="AB533" s="177"/>
      <c r="AC533" s="177"/>
      <c r="AD533" s="177"/>
      <c r="AE533" s="391"/>
      <c r="AF533" s="383"/>
      <c r="AG533" s="177"/>
      <c r="AH533" s="177"/>
      <c r="AI533" s="177"/>
      <c r="AJ533" s="391"/>
      <c r="AK533" s="383"/>
      <c r="AL533" s="177"/>
      <c r="AM533" s="177"/>
      <c r="AN533" s="177"/>
      <c r="AO533" s="366"/>
      <c r="AP533" s="366"/>
      <c r="AQ533" s="366"/>
      <c r="AR533" s="366"/>
      <c r="AS533" s="366"/>
    </row>
    <row r="534">
      <c r="A534" s="391"/>
      <c r="B534" s="383"/>
      <c r="C534" s="177"/>
      <c r="D534" s="177"/>
      <c r="E534" s="177"/>
      <c r="F534" s="391"/>
      <c r="G534" s="383"/>
      <c r="H534" s="177"/>
      <c r="I534" s="177"/>
      <c r="J534" s="177"/>
      <c r="K534" s="88"/>
      <c r="L534" s="383"/>
      <c r="M534" s="177"/>
      <c r="N534" s="177"/>
      <c r="O534" s="177"/>
      <c r="P534" s="88"/>
      <c r="Q534" s="151"/>
      <c r="R534" s="177"/>
      <c r="S534" s="177"/>
      <c r="T534" s="177"/>
      <c r="U534" s="391"/>
      <c r="V534" s="383"/>
      <c r="W534" s="177"/>
      <c r="X534" s="177"/>
      <c r="Y534" s="177"/>
      <c r="Z534" s="391"/>
      <c r="AA534" s="383"/>
      <c r="AB534" s="177"/>
      <c r="AC534" s="177"/>
      <c r="AD534" s="177"/>
      <c r="AE534" s="391"/>
      <c r="AF534" s="383"/>
      <c r="AG534" s="177"/>
      <c r="AH534" s="177"/>
      <c r="AI534" s="177"/>
      <c r="AJ534" s="391"/>
      <c r="AK534" s="383"/>
      <c r="AL534" s="177"/>
      <c r="AM534" s="177"/>
      <c r="AN534" s="177"/>
      <c r="AO534" s="366"/>
      <c r="AP534" s="366"/>
      <c r="AQ534" s="366"/>
      <c r="AR534" s="366"/>
      <c r="AS534" s="366"/>
    </row>
    <row r="535">
      <c r="A535" s="391"/>
      <c r="B535" s="383"/>
      <c r="C535" s="177"/>
      <c r="D535" s="177"/>
      <c r="E535" s="177"/>
      <c r="F535" s="391"/>
      <c r="G535" s="383"/>
      <c r="H535" s="177"/>
      <c r="I535" s="177"/>
      <c r="J535" s="177"/>
      <c r="K535" s="88"/>
      <c r="L535" s="383"/>
      <c r="M535" s="177"/>
      <c r="N535" s="177"/>
      <c r="O535" s="177"/>
      <c r="P535" s="88"/>
      <c r="Q535" s="151"/>
      <c r="R535" s="177"/>
      <c r="S535" s="177"/>
      <c r="T535" s="177"/>
      <c r="U535" s="391"/>
      <c r="V535" s="383"/>
      <c r="W535" s="177"/>
      <c r="X535" s="177"/>
      <c r="Y535" s="177"/>
      <c r="Z535" s="391"/>
      <c r="AA535" s="383"/>
      <c r="AB535" s="177"/>
      <c r="AC535" s="177"/>
      <c r="AD535" s="177"/>
      <c r="AE535" s="391"/>
      <c r="AF535" s="383"/>
      <c r="AG535" s="177"/>
      <c r="AH535" s="177"/>
      <c r="AI535" s="177"/>
      <c r="AJ535" s="391"/>
      <c r="AK535" s="383"/>
      <c r="AL535" s="177"/>
      <c r="AM535" s="177"/>
      <c r="AN535" s="177"/>
      <c r="AO535" s="366"/>
      <c r="AP535" s="366"/>
      <c r="AQ535" s="366"/>
      <c r="AR535" s="366"/>
      <c r="AS535" s="366"/>
    </row>
    <row r="536">
      <c r="A536" s="391"/>
      <c r="B536" s="383"/>
      <c r="C536" s="177"/>
      <c r="D536" s="177"/>
      <c r="E536" s="177"/>
      <c r="F536" s="391"/>
      <c r="G536" s="383"/>
      <c r="H536" s="177"/>
      <c r="I536" s="177"/>
      <c r="J536" s="177"/>
      <c r="K536" s="88"/>
      <c r="L536" s="383"/>
      <c r="M536" s="177"/>
      <c r="N536" s="177"/>
      <c r="O536" s="177"/>
      <c r="P536" s="88"/>
      <c r="Q536" s="151"/>
      <c r="R536" s="177"/>
      <c r="S536" s="177"/>
      <c r="T536" s="177"/>
      <c r="U536" s="391"/>
      <c r="V536" s="383"/>
      <c r="W536" s="177"/>
      <c r="X536" s="177"/>
      <c r="Y536" s="177"/>
      <c r="Z536" s="391"/>
      <c r="AA536" s="383"/>
      <c r="AB536" s="177"/>
      <c r="AC536" s="177"/>
      <c r="AD536" s="177"/>
      <c r="AE536" s="391"/>
      <c r="AF536" s="383"/>
      <c r="AG536" s="177"/>
      <c r="AH536" s="177"/>
      <c r="AI536" s="177"/>
      <c r="AJ536" s="391"/>
      <c r="AK536" s="383"/>
      <c r="AL536" s="177"/>
      <c r="AM536" s="177"/>
      <c r="AN536" s="177"/>
      <c r="AO536" s="366"/>
      <c r="AP536" s="366"/>
      <c r="AQ536" s="366"/>
      <c r="AR536" s="366"/>
      <c r="AS536" s="366"/>
    </row>
    <row r="537">
      <c r="A537" s="391"/>
      <c r="B537" s="383"/>
      <c r="C537" s="177"/>
      <c r="D537" s="177"/>
      <c r="E537" s="177"/>
      <c r="F537" s="391"/>
      <c r="G537" s="383"/>
      <c r="H537" s="177"/>
      <c r="I537" s="177"/>
      <c r="J537" s="177"/>
      <c r="K537" s="88"/>
      <c r="L537" s="383"/>
      <c r="M537" s="177"/>
      <c r="N537" s="177"/>
      <c r="O537" s="177"/>
      <c r="P537" s="88"/>
      <c r="Q537" s="151"/>
      <c r="R537" s="177"/>
      <c r="S537" s="177"/>
      <c r="T537" s="177"/>
      <c r="U537" s="391"/>
      <c r="V537" s="383"/>
      <c r="W537" s="177"/>
      <c r="X537" s="177"/>
      <c r="Y537" s="177"/>
      <c r="Z537" s="391"/>
      <c r="AA537" s="383"/>
      <c r="AB537" s="177"/>
      <c r="AC537" s="177"/>
      <c r="AD537" s="177"/>
      <c r="AE537" s="391"/>
      <c r="AF537" s="383"/>
      <c r="AG537" s="177"/>
      <c r="AH537" s="177"/>
      <c r="AI537" s="177"/>
      <c r="AJ537" s="391"/>
      <c r="AK537" s="383"/>
      <c r="AL537" s="177"/>
      <c r="AM537" s="177"/>
      <c r="AN537" s="177"/>
      <c r="AO537" s="366"/>
      <c r="AP537" s="366"/>
      <c r="AQ537" s="366"/>
      <c r="AR537" s="366"/>
      <c r="AS537" s="366"/>
    </row>
    <row r="538">
      <c r="A538" s="391"/>
      <c r="B538" s="383"/>
      <c r="C538" s="177"/>
      <c r="D538" s="177"/>
      <c r="E538" s="177"/>
      <c r="F538" s="391"/>
      <c r="G538" s="383"/>
      <c r="H538" s="177"/>
      <c r="I538" s="177"/>
      <c r="J538" s="177"/>
      <c r="K538" s="88"/>
      <c r="L538" s="383"/>
      <c r="M538" s="177"/>
      <c r="N538" s="177"/>
      <c r="O538" s="177"/>
      <c r="P538" s="88"/>
      <c r="Q538" s="151"/>
      <c r="R538" s="177"/>
      <c r="S538" s="177"/>
      <c r="T538" s="177"/>
      <c r="U538" s="391"/>
      <c r="V538" s="383"/>
      <c r="W538" s="177"/>
      <c r="X538" s="177"/>
      <c r="Y538" s="177"/>
      <c r="Z538" s="391"/>
      <c r="AA538" s="383"/>
      <c r="AB538" s="177"/>
      <c r="AC538" s="177"/>
      <c r="AD538" s="177"/>
      <c r="AE538" s="391"/>
      <c r="AF538" s="383"/>
      <c r="AG538" s="177"/>
      <c r="AH538" s="177"/>
      <c r="AI538" s="177"/>
      <c r="AJ538" s="391"/>
      <c r="AK538" s="383"/>
      <c r="AL538" s="177"/>
      <c r="AM538" s="177"/>
      <c r="AN538" s="177"/>
      <c r="AO538" s="366"/>
      <c r="AP538" s="366"/>
      <c r="AQ538" s="366"/>
      <c r="AR538" s="366"/>
      <c r="AS538" s="366"/>
    </row>
    <row r="539">
      <c r="A539" s="391"/>
      <c r="B539" s="383"/>
      <c r="C539" s="177"/>
      <c r="D539" s="177"/>
      <c r="E539" s="177"/>
      <c r="F539" s="391"/>
      <c r="G539" s="383"/>
      <c r="H539" s="177"/>
      <c r="I539" s="177"/>
      <c r="J539" s="177"/>
      <c r="K539" s="88"/>
      <c r="L539" s="383"/>
      <c r="M539" s="177"/>
      <c r="N539" s="177"/>
      <c r="O539" s="177"/>
      <c r="P539" s="88"/>
      <c r="Q539" s="151"/>
      <c r="R539" s="177"/>
      <c r="S539" s="177"/>
      <c r="T539" s="177"/>
      <c r="U539" s="391"/>
      <c r="V539" s="383"/>
      <c r="W539" s="177"/>
      <c r="X539" s="177"/>
      <c r="Y539" s="177"/>
      <c r="Z539" s="391"/>
      <c r="AA539" s="383"/>
      <c r="AB539" s="177"/>
      <c r="AC539" s="177"/>
      <c r="AD539" s="177"/>
      <c r="AE539" s="391"/>
      <c r="AF539" s="383"/>
      <c r="AG539" s="177"/>
      <c r="AH539" s="177"/>
      <c r="AI539" s="177"/>
      <c r="AJ539" s="391"/>
      <c r="AK539" s="383"/>
      <c r="AL539" s="177"/>
      <c r="AM539" s="177"/>
      <c r="AN539" s="177"/>
      <c r="AO539" s="366"/>
      <c r="AP539" s="366"/>
      <c r="AQ539" s="366"/>
      <c r="AR539" s="366"/>
      <c r="AS539" s="366"/>
    </row>
    <row r="540">
      <c r="A540" s="391"/>
      <c r="B540" s="383"/>
      <c r="C540" s="177"/>
      <c r="D540" s="177"/>
      <c r="E540" s="177"/>
      <c r="F540" s="391"/>
      <c r="G540" s="383"/>
      <c r="H540" s="177"/>
      <c r="I540" s="177"/>
      <c r="J540" s="177"/>
      <c r="K540" s="88"/>
      <c r="L540" s="383"/>
      <c r="M540" s="177"/>
      <c r="N540" s="177"/>
      <c r="O540" s="177"/>
      <c r="P540" s="88"/>
      <c r="Q540" s="151"/>
      <c r="R540" s="177"/>
      <c r="S540" s="177"/>
      <c r="T540" s="177"/>
      <c r="U540" s="391"/>
      <c r="V540" s="383"/>
      <c r="W540" s="177"/>
      <c r="X540" s="177"/>
      <c r="Y540" s="177"/>
      <c r="Z540" s="391"/>
      <c r="AA540" s="383"/>
      <c r="AB540" s="177"/>
      <c r="AC540" s="177"/>
      <c r="AD540" s="177"/>
      <c r="AE540" s="391"/>
      <c r="AF540" s="383"/>
      <c r="AG540" s="177"/>
      <c r="AH540" s="177"/>
      <c r="AI540" s="177"/>
      <c r="AJ540" s="391"/>
      <c r="AK540" s="383"/>
      <c r="AL540" s="177"/>
      <c r="AM540" s="177"/>
      <c r="AN540" s="177"/>
      <c r="AO540" s="366"/>
      <c r="AP540" s="366"/>
      <c r="AQ540" s="366"/>
      <c r="AR540" s="366"/>
      <c r="AS540" s="366"/>
    </row>
    <row r="541">
      <c r="A541" s="391"/>
      <c r="B541" s="383"/>
      <c r="C541" s="177"/>
      <c r="D541" s="177"/>
      <c r="E541" s="177"/>
      <c r="F541" s="391"/>
      <c r="G541" s="383"/>
      <c r="H541" s="177"/>
      <c r="I541" s="177"/>
      <c r="J541" s="177"/>
      <c r="K541" s="88"/>
      <c r="L541" s="383"/>
      <c r="M541" s="177"/>
      <c r="N541" s="177"/>
      <c r="O541" s="177"/>
      <c r="P541" s="88"/>
      <c r="Q541" s="151"/>
      <c r="R541" s="177"/>
      <c r="S541" s="177"/>
      <c r="T541" s="177"/>
      <c r="U541" s="391"/>
      <c r="V541" s="383"/>
      <c r="W541" s="177"/>
      <c r="X541" s="177"/>
      <c r="Y541" s="177"/>
      <c r="Z541" s="391"/>
      <c r="AA541" s="383"/>
      <c r="AB541" s="177"/>
      <c r="AC541" s="177"/>
      <c r="AD541" s="177"/>
      <c r="AE541" s="391"/>
      <c r="AF541" s="383"/>
      <c r="AG541" s="177"/>
      <c r="AH541" s="177"/>
      <c r="AI541" s="177"/>
      <c r="AJ541" s="391"/>
      <c r="AK541" s="383"/>
      <c r="AL541" s="177"/>
      <c r="AM541" s="177"/>
      <c r="AN541" s="177"/>
      <c r="AO541" s="366"/>
      <c r="AP541" s="366"/>
      <c r="AQ541" s="366"/>
      <c r="AR541" s="366"/>
      <c r="AS541" s="366"/>
    </row>
    <row r="542">
      <c r="A542" s="391"/>
      <c r="B542" s="383"/>
      <c r="C542" s="177"/>
      <c r="D542" s="177"/>
      <c r="E542" s="177"/>
      <c r="F542" s="391"/>
      <c r="G542" s="383"/>
      <c r="H542" s="177"/>
      <c r="I542" s="177"/>
      <c r="J542" s="177"/>
      <c r="K542" s="88"/>
      <c r="L542" s="383"/>
      <c r="M542" s="177"/>
      <c r="N542" s="177"/>
      <c r="O542" s="177"/>
      <c r="P542" s="88"/>
      <c r="Q542" s="151"/>
      <c r="R542" s="177"/>
      <c r="S542" s="177"/>
      <c r="T542" s="177"/>
      <c r="U542" s="391"/>
      <c r="V542" s="383"/>
      <c r="W542" s="177"/>
      <c r="X542" s="177"/>
      <c r="Y542" s="177"/>
      <c r="Z542" s="391"/>
      <c r="AA542" s="383"/>
      <c r="AB542" s="177"/>
      <c r="AC542" s="177"/>
      <c r="AD542" s="177"/>
      <c r="AE542" s="391"/>
      <c r="AF542" s="383"/>
      <c r="AG542" s="177"/>
      <c r="AH542" s="177"/>
      <c r="AI542" s="177"/>
      <c r="AJ542" s="391"/>
      <c r="AK542" s="383"/>
      <c r="AL542" s="177"/>
      <c r="AM542" s="177"/>
      <c r="AN542" s="177"/>
      <c r="AO542" s="366"/>
      <c r="AP542" s="366"/>
      <c r="AQ542" s="366"/>
      <c r="AR542" s="366"/>
      <c r="AS542" s="366"/>
    </row>
    <row r="543">
      <c r="A543" s="391"/>
      <c r="B543" s="383"/>
      <c r="C543" s="177"/>
      <c r="D543" s="177"/>
      <c r="E543" s="177"/>
      <c r="F543" s="391"/>
      <c r="G543" s="383"/>
      <c r="H543" s="177"/>
      <c r="I543" s="177"/>
      <c r="J543" s="177"/>
      <c r="K543" s="88"/>
      <c r="L543" s="383"/>
      <c r="M543" s="177"/>
      <c r="N543" s="177"/>
      <c r="O543" s="177"/>
      <c r="P543" s="88"/>
      <c r="Q543" s="151"/>
      <c r="R543" s="177"/>
      <c r="S543" s="177"/>
      <c r="T543" s="177"/>
      <c r="U543" s="391"/>
      <c r="V543" s="383"/>
      <c r="W543" s="177"/>
      <c r="X543" s="177"/>
      <c r="Y543" s="177"/>
      <c r="Z543" s="391"/>
      <c r="AA543" s="383"/>
      <c r="AB543" s="177"/>
      <c r="AC543" s="177"/>
      <c r="AD543" s="177"/>
      <c r="AE543" s="391"/>
      <c r="AF543" s="383"/>
      <c r="AG543" s="177"/>
      <c r="AH543" s="177"/>
      <c r="AI543" s="177"/>
      <c r="AJ543" s="391"/>
      <c r="AK543" s="383"/>
      <c r="AL543" s="177"/>
      <c r="AM543" s="177"/>
      <c r="AN543" s="177"/>
      <c r="AO543" s="366"/>
      <c r="AP543" s="366"/>
      <c r="AQ543" s="366"/>
      <c r="AR543" s="366"/>
      <c r="AS543" s="366"/>
    </row>
    <row r="544">
      <c r="A544" s="391"/>
      <c r="B544" s="383"/>
      <c r="C544" s="177"/>
      <c r="D544" s="177"/>
      <c r="E544" s="177"/>
      <c r="F544" s="391"/>
      <c r="G544" s="383"/>
      <c r="H544" s="177"/>
      <c r="I544" s="177"/>
      <c r="J544" s="177"/>
      <c r="K544" s="88"/>
      <c r="L544" s="383"/>
      <c r="M544" s="177"/>
      <c r="N544" s="177"/>
      <c r="O544" s="177"/>
      <c r="P544" s="88"/>
      <c r="Q544" s="151"/>
      <c r="R544" s="177"/>
      <c r="S544" s="177"/>
      <c r="T544" s="177"/>
      <c r="U544" s="391"/>
      <c r="V544" s="383"/>
      <c r="W544" s="177"/>
      <c r="X544" s="177"/>
      <c r="Y544" s="177"/>
      <c r="Z544" s="391"/>
      <c r="AA544" s="383"/>
      <c r="AB544" s="177"/>
      <c r="AC544" s="177"/>
      <c r="AD544" s="177"/>
      <c r="AE544" s="391"/>
      <c r="AF544" s="383"/>
      <c r="AG544" s="177"/>
      <c r="AH544" s="177"/>
      <c r="AI544" s="177"/>
      <c r="AJ544" s="391"/>
      <c r="AK544" s="383"/>
      <c r="AL544" s="177"/>
      <c r="AM544" s="177"/>
      <c r="AN544" s="177"/>
      <c r="AO544" s="366"/>
      <c r="AP544" s="366"/>
      <c r="AQ544" s="366"/>
      <c r="AR544" s="366"/>
      <c r="AS544" s="366"/>
    </row>
    <row r="545">
      <c r="A545" s="391"/>
      <c r="B545" s="383"/>
      <c r="C545" s="177"/>
      <c r="D545" s="177"/>
      <c r="E545" s="177"/>
      <c r="F545" s="391"/>
      <c r="G545" s="383"/>
      <c r="H545" s="177"/>
      <c r="I545" s="177"/>
      <c r="J545" s="177"/>
      <c r="K545" s="88"/>
      <c r="L545" s="383"/>
      <c r="M545" s="177"/>
      <c r="N545" s="177"/>
      <c r="O545" s="177"/>
      <c r="P545" s="88"/>
      <c r="Q545" s="151"/>
      <c r="R545" s="177"/>
      <c r="S545" s="177"/>
      <c r="T545" s="177"/>
      <c r="U545" s="391"/>
      <c r="V545" s="383"/>
      <c r="W545" s="177"/>
      <c r="X545" s="177"/>
      <c r="Y545" s="177"/>
      <c r="Z545" s="391"/>
      <c r="AA545" s="383"/>
      <c r="AB545" s="177"/>
      <c r="AC545" s="177"/>
      <c r="AD545" s="177"/>
      <c r="AE545" s="391"/>
      <c r="AF545" s="383"/>
      <c r="AG545" s="177"/>
      <c r="AH545" s="177"/>
      <c r="AI545" s="177"/>
      <c r="AJ545" s="391"/>
      <c r="AK545" s="383"/>
      <c r="AL545" s="177"/>
      <c r="AM545" s="177"/>
      <c r="AN545" s="177"/>
      <c r="AO545" s="366"/>
      <c r="AP545" s="366"/>
      <c r="AQ545" s="366"/>
      <c r="AR545" s="366"/>
      <c r="AS545" s="366"/>
    </row>
    <row r="546">
      <c r="A546" s="391"/>
      <c r="B546" s="383"/>
      <c r="C546" s="177"/>
      <c r="D546" s="177"/>
      <c r="E546" s="177"/>
      <c r="F546" s="391"/>
      <c r="G546" s="383"/>
      <c r="H546" s="177"/>
      <c r="I546" s="177"/>
      <c r="J546" s="177"/>
      <c r="K546" s="88"/>
      <c r="L546" s="383"/>
      <c r="M546" s="177"/>
      <c r="N546" s="177"/>
      <c r="O546" s="177"/>
      <c r="P546" s="88"/>
      <c r="Q546" s="151"/>
      <c r="R546" s="177"/>
      <c r="S546" s="177"/>
      <c r="T546" s="177"/>
      <c r="U546" s="391"/>
      <c r="V546" s="383"/>
      <c r="W546" s="177"/>
      <c r="X546" s="177"/>
      <c r="Y546" s="177"/>
      <c r="Z546" s="391"/>
      <c r="AA546" s="383"/>
      <c r="AB546" s="177"/>
      <c r="AC546" s="177"/>
      <c r="AD546" s="177"/>
      <c r="AE546" s="391"/>
      <c r="AF546" s="383"/>
      <c r="AG546" s="177"/>
      <c r="AH546" s="177"/>
      <c r="AI546" s="177"/>
      <c r="AJ546" s="391"/>
      <c r="AK546" s="383"/>
      <c r="AL546" s="177"/>
      <c r="AM546" s="177"/>
      <c r="AN546" s="177"/>
      <c r="AO546" s="366"/>
      <c r="AP546" s="366"/>
      <c r="AQ546" s="366"/>
      <c r="AR546" s="366"/>
      <c r="AS546" s="366"/>
    </row>
    <row r="547">
      <c r="A547" s="391"/>
      <c r="B547" s="383"/>
      <c r="C547" s="177"/>
      <c r="D547" s="177"/>
      <c r="E547" s="177"/>
      <c r="F547" s="391"/>
      <c r="G547" s="383"/>
      <c r="H547" s="177"/>
      <c r="I547" s="177"/>
      <c r="J547" s="177"/>
      <c r="K547" s="88"/>
      <c r="L547" s="383"/>
      <c r="M547" s="177"/>
      <c r="N547" s="177"/>
      <c r="O547" s="177"/>
      <c r="P547" s="88"/>
      <c r="Q547" s="151"/>
      <c r="R547" s="177"/>
      <c r="S547" s="177"/>
      <c r="T547" s="177"/>
      <c r="U547" s="391"/>
      <c r="V547" s="383"/>
      <c r="W547" s="177"/>
      <c r="X547" s="177"/>
      <c r="Y547" s="177"/>
      <c r="Z547" s="391"/>
      <c r="AA547" s="383"/>
      <c r="AB547" s="177"/>
      <c r="AC547" s="177"/>
      <c r="AD547" s="177"/>
      <c r="AE547" s="391"/>
      <c r="AF547" s="383"/>
      <c r="AG547" s="177"/>
      <c r="AH547" s="177"/>
      <c r="AI547" s="177"/>
      <c r="AJ547" s="391"/>
      <c r="AK547" s="383"/>
      <c r="AL547" s="177"/>
      <c r="AM547" s="177"/>
      <c r="AN547" s="177"/>
      <c r="AO547" s="366"/>
      <c r="AP547" s="366"/>
      <c r="AQ547" s="366"/>
      <c r="AR547" s="366"/>
      <c r="AS547" s="366"/>
    </row>
    <row r="548">
      <c r="A548" s="391"/>
      <c r="B548" s="383"/>
      <c r="C548" s="177"/>
      <c r="D548" s="177"/>
      <c r="E548" s="177"/>
      <c r="F548" s="391"/>
      <c r="G548" s="383"/>
      <c r="H548" s="177"/>
      <c r="I548" s="177"/>
      <c r="J548" s="177"/>
      <c r="K548" s="88"/>
      <c r="L548" s="383"/>
      <c r="M548" s="177"/>
      <c r="N548" s="177"/>
      <c r="O548" s="177"/>
      <c r="P548" s="88"/>
      <c r="Q548" s="151"/>
      <c r="R548" s="177"/>
      <c r="S548" s="177"/>
      <c r="T548" s="177"/>
      <c r="U548" s="391"/>
      <c r="V548" s="383"/>
      <c r="W548" s="177"/>
      <c r="X548" s="177"/>
      <c r="Y548" s="177"/>
      <c r="Z548" s="391"/>
      <c r="AA548" s="383"/>
      <c r="AB548" s="177"/>
      <c r="AC548" s="177"/>
      <c r="AD548" s="177"/>
      <c r="AE548" s="391"/>
      <c r="AF548" s="383"/>
      <c r="AG548" s="177"/>
      <c r="AH548" s="177"/>
      <c r="AI548" s="177"/>
      <c r="AJ548" s="391"/>
      <c r="AK548" s="383"/>
      <c r="AL548" s="177"/>
      <c r="AM548" s="177"/>
      <c r="AN548" s="177"/>
      <c r="AO548" s="366"/>
      <c r="AP548" s="366"/>
      <c r="AQ548" s="366"/>
      <c r="AR548" s="366"/>
      <c r="AS548" s="366"/>
    </row>
    <row r="549">
      <c r="A549" s="391"/>
      <c r="B549" s="383"/>
      <c r="C549" s="177"/>
      <c r="D549" s="177"/>
      <c r="E549" s="177"/>
      <c r="F549" s="391"/>
      <c r="G549" s="383"/>
      <c r="H549" s="177"/>
      <c r="I549" s="177"/>
      <c r="J549" s="177"/>
      <c r="K549" s="88"/>
      <c r="L549" s="383"/>
      <c r="M549" s="177"/>
      <c r="N549" s="177"/>
      <c r="O549" s="177"/>
      <c r="P549" s="88"/>
      <c r="Q549" s="151"/>
      <c r="R549" s="177"/>
      <c r="S549" s="177"/>
      <c r="T549" s="177"/>
      <c r="U549" s="391"/>
      <c r="V549" s="383"/>
      <c r="W549" s="177"/>
      <c r="X549" s="177"/>
      <c r="Y549" s="177"/>
      <c r="Z549" s="391"/>
      <c r="AA549" s="383"/>
      <c r="AB549" s="177"/>
      <c r="AC549" s="177"/>
      <c r="AD549" s="177"/>
      <c r="AE549" s="391"/>
      <c r="AF549" s="383"/>
      <c r="AG549" s="177"/>
      <c r="AH549" s="177"/>
      <c r="AI549" s="177"/>
      <c r="AJ549" s="391"/>
      <c r="AK549" s="383"/>
      <c r="AL549" s="177"/>
      <c r="AM549" s="177"/>
      <c r="AN549" s="177"/>
      <c r="AO549" s="366"/>
      <c r="AP549" s="366"/>
      <c r="AQ549" s="366"/>
      <c r="AR549" s="366"/>
      <c r="AS549" s="366"/>
    </row>
    <row r="550">
      <c r="A550" s="391"/>
      <c r="B550" s="383"/>
      <c r="C550" s="177"/>
      <c r="D550" s="177"/>
      <c r="E550" s="177"/>
      <c r="F550" s="391"/>
      <c r="G550" s="383"/>
      <c r="H550" s="177"/>
      <c r="I550" s="177"/>
      <c r="J550" s="177"/>
      <c r="K550" s="88"/>
      <c r="L550" s="383"/>
      <c r="M550" s="177"/>
      <c r="N550" s="177"/>
      <c r="O550" s="177"/>
      <c r="P550" s="88"/>
      <c r="Q550" s="151"/>
      <c r="R550" s="177"/>
      <c r="S550" s="177"/>
      <c r="T550" s="177"/>
      <c r="U550" s="391"/>
      <c r="V550" s="383"/>
      <c r="W550" s="177"/>
      <c r="X550" s="177"/>
      <c r="Y550" s="177"/>
      <c r="Z550" s="391"/>
      <c r="AA550" s="383"/>
      <c r="AB550" s="177"/>
      <c r="AC550" s="177"/>
      <c r="AD550" s="177"/>
      <c r="AE550" s="391"/>
      <c r="AF550" s="383"/>
      <c r="AG550" s="177"/>
      <c r="AH550" s="177"/>
      <c r="AI550" s="177"/>
      <c r="AJ550" s="391"/>
      <c r="AK550" s="383"/>
      <c r="AL550" s="177"/>
      <c r="AM550" s="177"/>
      <c r="AN550" s="177"/>
      <c r="AO550" s="366"/>
      <c r="AP550" s="366"/>
      <c r="AQ550" s="366"/>
      <c r="AR550" s="366"/>
      <c r="AS550" s="366"/>
    </row>
    <row r="551">
      <c r="A551" s="391"/>
      <c r="B551" s="383"/>
      <c r="C551" s="177"/>
      <c r="D551" s="177"/>
      <c r="E551" s="177"/>
      <c r="F551" s="391"/>
      <c r="G551" s="383"/>
      <c r="H551" s="177"/>
      <c r="I551" s="177"/>
      <c r="J551" s="177"/>
      <c r="K551" s="88"/>
      <c r="L551" s="383"/>
      <c r="M551" s="177"/>
      <c r="N551" s="177"/>
      <c r="O551" s="177"/>
      <c r="P551" s="88"/>
      <c r="Q551" s="151"/>
      <c r="R551" s="177"/>
      <c r="S551" s="177"/>
      <c r="T551" s="177"/>
      <c r="U551" s="391"/>
      <c r="V551" s="383"/>
      <c r="W551" s="177"/>
      <c r="X551" s="177"/>
      <c r="Y551" s="177"/>
      <c r="Z551" s="391"/>
      <c r="AA551" s="383"/>
      <c r="AB551" s="177"/>
      <c r="AC551" s="177"/>
      <c r="AD551" s="177"/>
      <c r="AE551" s="391"/>
      <c r="AF551" s="383"/>
      <c r="AG551" s="177"/>
      <c r="AH551" s="177"/>
      <c r="AI551" s="177"/>
      <c r="AJ551" s="391"/>
      <c r="AK551" s="383"/>
      <c r="AL551" s="177"/>
      <c r="AM551" s="177"/>
      <c r="AN551" s="177"/>
      <c r="AO551" s="366"/>
      <c r="AP551" s="366"/>
      <c r="AQ551" s="366"/>
      <c r="AR551" s="366"/>
      <c r="AS551" s="366"/>
    </row>
    <row r="552">
      <c r="A552" s="391"/>
      <c r="B552" s="383"/>
      <c r="C552" s="177"/>
      <c r="D552" s="177"/>
      <c r="E552" s="177"/>
      <c r="F552" s="391"/>
      <c r="G552" s="383"/>
      <c r="H552" s="177"/>
      <c r="I552" s="177"/>
      <c r="J552" s="177"/>
      <c r="K552" s="88"/>
      <c r="L552" s="383"/>
      <c r="M552" s="177"/>
      <c r="N552" s="177"/>
      <c r="O552" s="177"/>
      <c r="P552" s="88"/>
      <c r="Q552" s="151"/>
      <c r="R552" s="177"/>
      <c r="S552" s="177"/>
      <c r="T552" s="177"/>
      <c r="U552" s="391"/>
      <c r="V552" s="383"/>
      <c r="W552" s="177"/>
      <c r="X552" s="177"/>
      <c r="Y552" s="177"/>
      <c r="Z552" s="391"/>
      <c r="AA552" s="383"/>
      <c r="AB552" s="177"/>
      <c r="AC552" s="177"/>
      <c r="AD552" s="177"/>
      <c r="AE552" s="391"/>
      <c r="AF552" s="383"/>
      <c r="AG552" s="177"/>
      <c r="AH552" s="177"/>
      <c r="AI552" s="177"/>
      <c r="AJ552" s="391"/>
      <c r="AK552" s="383"/>
      <c r="AL552" s="177"/>
      <c r="AM552" s="177"/>
      <c r="AN552" s="177"/>
      <c r="AO552" s="366"/>
      <c r="AP552" s="366"/>
      <c r="AQ552" s="366"/>
      <c r="AR552" s="366"/>
      <c r="AS552" s="366"/>
    </row>
    <row r="553">
      <c r="A553" s="391"/>
      <c r="B553" s="383"/>
      <c r="C553" s="177"/>
      <c r="D553" s="177"/>
      <c r="E553" s="177"/>
      <c r="F553" s="391"/>
      <c r="G553" s="383"/>
      <c r="H553" s="177"/>
      <c r="I553" s="177"/>
      <c r="J553" s="177"/>
      <c r="K553" s="88"/>
      <c r="L553" s="383"/>
      <c r="M553" s="177"/>
      <c r="N553" s="177"/>
      <c r="O553" s="177"/>
      <c r="P553" s="88"/>
      <c r="Q553" s="151"/>
      <c r="R553" s="177"/>
      <c r="S553" s="177"/>
      <c r="T553" s="177"/>
      <c r="U553" s="391"/>
      <c r="V553" s="383"/>
      <c r="W553" s="177"/>
      <c r="X553" s="177"/>
      <c r="Y553" s="177"/>
      <c r="Z553" s="391"/>
      <c r="AA553" s="383"/>
      <c r="AB553" s="177"/>
      <c r="AC553" s="177"/>
      <c r="AD553" s="177"/>
      <c r="AE553" s="391"/>
      <c r="AF553" s="383"/>
      <c r="AG553" s="177"/>
      <c r="AH553" s="177"/>
      <c r="AI553" s="177"/>
      <c r="AJ553" s="391"/>
      <c r="AK553" s="383"/>
      <c r="AL553" s="177"/>
      <c r="AM553" s="177"/>
      <c r="AN553" s="177"/>
      <c r="AO553" s="366"/>
      <c r="AP553" s="366"/>
      <c r="AQ553" s="366"/>
      <c r="AR553" s="366"/>
      <c r="AS553" s="366"/>
    </row>
    <row r="554">
      <c r="A554" s="391"/>
      <c r="B554" s="383"/>
      <c r="C554" s="177"/>
      <c r="D554" s="177"/>
      <c r="E554" s="177"/>
      <c r="F554" s="391"/>
      <c r="G554" s="383"/>
      <c r="H554" s="177"/>
      <c r="I554" s="177"/>
      <c r="J554" s="177"/>
      <c r="K554" s="88"/>
      <c r="L554" s="383"/>
      <c r="M554" s="177"/>
      <c r="N554" s="177"/>
      <c r="O554" s="177"/>
      <c r="P554" s="88"/>
      <c r="Q554" s="151"/>
      <c r="R554" s="177"/>
      <c r="S554" s="177"/>
      <c r="T554" s="177"/>
      <c r="U554" s="391"/>
      <c r="V554" s="383"/>
      <c r="W554" s="177"/>
      <c r="X554" s="177"/>
      <c r="Y554" s="177"/>
      <c r="Z554" s="391"/>
      <c r="AA554" s="383"/>
      <c r="AB554" s="177"/>
      <c r="AC554" s="177"/>
      <c r="AD554" s="177"/>
      <c r="AE554" s="391"/>
      <c r="AF554" s="383"/>
      <c r="AG554" s="177"/>
      <c r="AH554" s="177"/>
      <c r="AI554" s="177"/>
      <c r="AJ554" s="391"/>
      <c r="AK554" s="383"/>
      <c r="AL554" s="177"/>
      <c r="AM554" s="177"/>
      <c r="AN554" s="177"/>
      <c r="AO554" s="366"/>
      <c r="AP554" s="366"/>
      <c r="AQ554" s="366"/>
      <c r="AR554" s="366"/>
      <c r="AS554" s="366"/>
    </row>
    <row r="555">
      <c r="A555" s="391"/>
      <c r="B555" s="383"/>
      <c r="C555" s="177"/>
      <c r="D555" s="177"/>
      <c r="E555" s="177"/>
      <c r="F555" s="391"/>
      <c r="G555" s="383"/>
      <c r="H555" s="177"/>
      <c r="I555" s="177"/>
      <c r="J555" s="177"/>
      <c r="K555" s="88"/>
      <c r="L555" s="383"/>
      <c r="M555" s="177"/>
      <c r="N555" s="177"/>
      <c r="O555" s="177"/>
      <c r="P555" s="88"/>
      <c r="Q555" s="151"/>
      <c r="R555" s="177"/>
      <c r="S555" s="177"/>
      <c r="T555" s="177"/>
      <c r="U555" s="391"/>
      <c r="V555" s="383"/>
      <c r="W555" s="177"/>
      <c r="X555" s="177"/>
      <c r="Y555" s="177"/>
      <c r="Z555" s="391"/>
      <c r="AA555" s="383"/>
      <c r="AB555" s="177"/>
      <c r="AC555" s="177"/>
      <c r="AD555" s="177"/>
      <c r="AE555" s="391"/>
      <c r="AF555" s="383"/>
      <c r="AG555" s="177"/>
      <c r="AH555" s="177"/>
      <c r="AI555" s="177"/>
      <c r="AJ555" s="391"/>
      <c r="AK555" s="383"/>
      <c r="AL555" s="177"/>
      <c r="AM555" s="177"/>
      <c r="AN555" s="177"/>
      <c r="AO555" s="366"/>
      <c r="AP555" s="366"/>
      <c r="AQ555" s="366"/>
      <c r="AR555" s="366"/>
      <c r="AS555" s="366"/>
    </row>
    <row r="556">
      <c r="A556" s="391"/>
      <c r="B556" s="383"/>
      <c r="C556" s="177"/>
      <c r="D556" s="177"/>
      <c r="E556" s="177"/>
      <c r="F556" s="391"/>
      <c r="G556" s="383"/>
      <c r="H556" s="177"/>
      <c r="I556" s="177"/>
      <c r="J556" s="177"/>
      <c r="K556" s="88"/>
      <c r="L556" s="383"/>
      <c r="M556" s="177"/>
      <c r="N556" s="177"/>
      <c r="O556" s="177"/>
      <c r="P556" s="88"/>
      <c r="Q556" s="151"/>
      <c r="R556" s="177"/>
      <c r="S556" s="177"/>
      <c r="T556" s="177"/>
      <c r="U556" s="391"/>
      <c r="V556" s="383"/>
      <c r="W556" s="177"/>
      <c r="X556" s="177"/>
      <c r="Y556" s="177"/>
      <c r="Z556" s="391"/>
      <c r="AA556" s="383"/>
      <c r="AB556" s="177"/>
      <c r="AC556" s="177"/>
      <c r="AD556" s="177"/>
      <c r="AE556" s="391"/>
      <c r="AF556" s="383"/>
      <c r="AG556" s="177"/>
      <c r="AH556" s="177"/>
      <c r="AI556" s="177"/>
      <c r="AJ556" s="391"/>
      <c r="AK556" s="383"/>
      <c r="AL556" s="177"/>
      <c r="AM556" s="177"/>
      <c r="AN556" s="177"/>
      <c r="AO556" s="366"/>
      <c r="AP556" s="366"/>
      <c r="AQ556" s="366"/>
      <c r="AR556" s="366"/>
      <c r="AS556" s="366"/>
    </row>
    <row r="557">
      <c r="A557" s="391"/>
      <c r="B557" s="383"/>
      <c r="C557" s="177"/>
      <c r="D557" s="177"/>
      <c r="E557" s="177"/>
      <c r="F557" s="391"/>
      <c r="G557" s="383"/>
      <c r="H557" s="177"/>
      <c r="I557" s="177"/>
      <c r="J557" s="177"/>
      <c r="K557" s="88"/>
      <c r="L557" s="383"/>
      <c r="M557" s="177"/>
      <c r="N557" s="177"/>
      <c r="O557" s="177"/>
      <c r="P557" s="88"/>
      <c r="Q557" s="151"/>
      <c r="R557" s="177"/>
      <c r="S557" s="177"/>
      <c r="T557" s="177"/>
      <c r="U557" s="391"/>
      <c r="V557" s="383"/>
      <c r="W557" s="177"/>
      <c r="X557" s="177"/>
      <c r="Y557" s="177"/>
      <c r="Z557" s="391"/>
      <c r="AA557" s="383"/>
      <c r="AB557" s="177"/>
      <c r="AC557" s="177"/>
      <c r="AD557" s="177"/>
      <c r="AE557" s="391"/>
      <c r="AF557" s="383"/>
      <c r="AG557" s="177"/>
      <c r="AH557" s="177"/>
      <c r="AI557" s="177"/>
      <c r="AJ557" s="391"/>
      <c r="AK557" s="383"/>
      <c r="AL557" s="177"/>
      <c r="AM557" s="177"/>
      <c r="AN557" s="177"/>
      <c r="AO557" s="366"/>
      <c r="AP557" s="366"/>
      <c r="AQ557" s="366"/>
      <c r="AR557" s="366"/>
      <c r="AS557" s="366"/>
    </row>
    <row r="558">
      <c r="A558" s="391"/>
      <c r="B558" s="383"/>
      <c r="C558" s="177"/>
      <c r="D558" s="177"/>
      <c r="E558" s="177"/>
      <c r="F558" s="391"/>
      <c r="G558" s="383"/>
      <c r="H558" s="177"/>
      <c r="I558" s="177"/>
      <c r="J558" s="177"/>
      <c r="K558" s="88"/>
      <c r="L558" s="383"/>
      <c r="M558" s="177"/>
      <c r="N558" s="177"/>
      <c r="O558" s="177"/>
      <c r="P558" s="88"/>
      <c r="Q558" s="151"/>
      <c r="R558" s="177"/>
      <c r="S558" s="177"/>
      <c r="T558" s="177"/>
      <c r="U558" s="391"/>
      <c r="V558" s="383"/>
      <c r="W558" s="177"/>
      <c r="X558" s="177"/>
      <c r="Y558" s="177"/>
      <c r="Z558" s="391"/>
      <c r="AA558" s="383"/>
      <c r="AB558" s="177"/>
      <c r="AC558" s="177"/>
      <c r="AD558" s="177"/>
      <c r="AE558" s="391"/>
      <c r="AF558" s="383"/>
      <c r="AG558" s="177"/>
      <c r="AH558" s="177"/>
      <c r="AI558" s="177"/>
      <c r="AJ558" s="391"/>
      <c r="AK558" s="383"/>
      <c r="AL558" s="177"/>
      <c r="AM558" s="177"/>
      <c r="AN558" s="177"/>
      <c r="AO558" s="366"/>
      <c r="AP558" s="366"/>
      <c r="AQ558" s="366"/>
      <c r="AR558" s="366"/>
      <c r="AS558" s="366"/>
    </row>
    <row r="559">
      <c r="A559" s="391"/>
      <c r="B559" s="383"/>
      <c r="C559" s="177"/>
      <c r="D559" s="177"/>
      <c r="E559" s="177"/>
      <c r="F559" s="391"/>
      <c r="G559" s="383"/>
      <c r="H559" s="177"/>
      <c r="I559" s="177"/>
      <c r="J559" s="177"/>
      <c r="K559" s="88"/>
      <c r="L559" s="383"/>
      <c r="M559" s="177"/>
      <c r="N559" s="177"/>
      <c r="O559" s="177"/>
      <c r="P559" s="88"/>
      <c r="Q559" s="151"/>
      <c r="R559" s="177"/>
      <c r="S559" s="177"/>
      <c r="T559" s="177"/>
      <c r="U559" s="391"/>
      <c r="V559" s="383"/>
      <c r="W559" s="177"/>
      <c r="X559" s="177"/>
      <c r="Y559" s="177"/>
      <c r="Z559" s="391"/>
      <c r="AA559" s="383"/>
      <c r="AB559" s="177"/>
      <c r="AC559" s="177"/>
      <c r="AD559" s="177"/>
      <c r="AE559" s="391"/>
      <c r="AF559" s="383"/>
      <c r="AG559" s="177"/>
      <c r="AH559" s="177"/>
      <c r="AI559" s="177"/>
      <c r="AJ559" s="391"/>
      <c r="AK559" s="383"/>
      <c r="AL559" s="177"/>
      <c r="AM559" s="177"/>
      <c r="AN559" s="177"/>
      <c r="AO559" s="366"/>
      <c r="AP559" s="366"/>
      <c r="AQ559" s="366"/>
      <c r="AR559" s="366"/>
      <c r="AS559" s="366"/>
    </row>
    <row r="560">
      <c r="A560" s="391"/>
      <c r="B560" s="383"/>
      <c r="C560" s="177"/>
      <c r="D560" s="177"/>
      <c r="E560" s="177"/>
      <c r="F560" s="391"/>
      <c r="G560" s="383"/>
      <c r="H560" s="177"/>
      <c r="I560" s="177"/>
      <c r="J560" s="177"/>
      <c r="K560" s="88"/>
      <c r="L560" s="383"/>
      <c r="M560" s="177"/>
      <c r="N560" s="177"/>
      <c r="O560" s="177"/>
      <c r="P560" s="88"/>
      <c r="Q560" s="151"/>
      <c r="R560" s="177"/>
      <c r="S560" s="177"/>
      <c r="T560" s="177"/>
      <c r="U560" s="391"/>
      <c r="V560" s="383"/>
      <c r="W560" s="177"/>
      <c r="X560" s="177"/>
      <c r="Y560" s="177"/>
      <c r="Z560" s="391"/>
      <c r="AA560" s="383"/>
      <c r="AB560" s="177"/>
      <c r="AC560" s="177"/>
      <c r="AD560" s="177"/>
      <c r="AE560" s="391"/>
      <c r="AF560" s="383"/>
      <c r="AG560" s="177"/>
      <c r="AH560" s="177"/>
      <c r="AI560" s="177"/>
      <c r="AJ560" s="391"/>
      <c r="AK560" s="383"/>
      <c r="AL560" s="177"/>
      <c r="AM560" s="177"/>
      <c r="AN560" s="177"/>
      <c r="AO560" s="366"/>
      <c r="AP560" s="366"/>
      <c r="AQ560" s="366"/>
      <c r="AR560" s="366"/>
      <c r="AS560" s="366"/>
    </row>
    <row r="561">
      <c r="A561" s="391"/>
      <c r="B561" s="383"/>
      <c r="C561" s="177"/>
      <c r="D561" s="177"/>
      <c r="E561" s="177"/>
      <c r="F561" s="391"/>
      <c r="G561" s="383"/>
      <c r="H561" s="177"/>
      <c r="I561" s="177"/>
      <c r="J561" s="177"/>
      <c r="K561" s="88"/>
      <c r="L561" s="383"/>
      <c r="M561" s="177"/>
      <c r="N561" s="177"/>
      <c r="O561" s="177"/>
      <c r="P561" s="88"/>
      <c r="Q561" s="151"/>
      <c r="R561" s="177"/>
      <c r="S561" s="177"/>
      <c r="T561" s="177"/>
      <c r="U561" s="391"/>
      <c r="V561" s="383"/>
      <c r="W561" s="177"/>
      <c r="X561" s="177"/>
      <c r="Y561" s="177"/>
      <c r="Z561" s="391"/>
      <c r="AA561" s="383"/>
      <c r="AB561" s="177"/>
      <c r="AC561" s="177"/>
      <c r="AD561" s="177"/>
      <c r="AE561" s="391"/>
      <c r="AF561" s="383"/>
      <c r="AG561" s="177"/>
      <c r="AH561" s="177"/>
      <c r="AI561" s="177"/>
      <c r="AJ561" s="391"/>
      <c r="AK561" s="383"/>
      <c r="AL561" s="177"/>
      <c r="AM561" s="177"/>
      <c r="AN561" s="177"/>
      <c r="AO561" s="366"/>
      <c r="AP561" s="366"/>
      <c r="AQ561" s="366"/>
      <c r="AR561" s="366"/>
      <c r="AS561" s="366"/>
    </row>
    <row r="562">
      <c r="A562" s="391"/>
      <c r="B562" s="383"/>
      <c r="C562" s="177"/>
      <c r="D562" s="177"/>
      <c r="E562" s="177"/>
      <c r="F562" s="391"/>
      <c r="G562" s="383"/>
      <c r="H562" s="177"/>
      <c r="I562" s="177"/>
      <c r="J562" s="177"/>
      <c r="K562" s="88"/>
      <c r="L562" s="383"/>
      <c r="M562" s="177"/>
      <c r="N562" s="177"/>
      <c r="O562" s="177"/>
      <c r="P562" s="88"/>
      <c r="Q562" s="151"/>
      <c r="R562" s="177"/>
      <c r="S562" s="177"/>
      <c r="T562" s="177"/>
      <c r="U562" s="391"/>
      <c r="V562" s="383"/>
      <c r="W562" s="177"/>
      <c r="X562" s="177"/>
      <c r="Y562" s="177"/>
      <c r="Z562" s="391"/>
      <c r="AA562" s="383"/>
      <c r="AB562" s="177"/>
      <c r="AC562" s="177"/>
      <c r="AD562" s="177"/>
      <c r="AE562" s="391"/>
      <c r="AF562" s="383"/>
      <c r="AG562" s="177"/>
      <c r="AH562" s="177"/>
      <c r="AI562" s="177"/>
      <c r="AJ562" s="391"/>
      <c r="AK562" s="383"/>
      <c r="AL562" s="177"/>
      <c r="AM562" s="177"/>
      <c r="AN562" s="177"/>
      <c r="AO562" s="366"/>
      <c r="AP562" s="366"/>
      <c r="AQ562" s="366"/>
      <c r="AR562" s="366"/>
      <c r="AS562" s="366"/>
    </row>
    <row r="563">
      <c r="A563" s="391"/>
      <c r="B563" s="383"/>
      <c r="C563" s="177"/>
      <c r="D563" s="177"/>
      <c r="E563" s="177"/>
      <c r="F563" s="391"/>
      <c r="G563" s="383"/>
      <c r="H563" s="177"/>
      <c r="I563" s="177"/>
      <c r="J563" s="177"/>
      <c r="K563" s="88"/>
      <c r="L563" s="383"/>
      <c r="M563" s="177"/>
      <c r="N563" s="177"/>
      <c r="O563" s="177"/>
      <c r="P563" s="88"/>
      <c r="Q563" s="151"/>
      <c r="R563" s="177"/>
      <c r="S563" s="177"/>
      <c r="T563" s="177"/>
      <c r="U563" s="391"/>
      <c r="V563" s="383"/>
      <c r="W563" s="177"/>
      <c r="X563" s="177"/>
      <c r="Y563" s="177"/>
      <c r="Z563" s="391"/>
      <c r="AA563" s="383"/>
      <c r="AB563" s="177"/>
      <c r="AC563" s="177"/>
      <c r="AD563" s="177"/>
      <c r="AE563" s="391"/>
      <c r="AF563" s="383"/>
      <c r="AG563" s="177"/>
      <c r="AH563" s="177"/>
      <c r="AI563" s="177"/>
      <c r="AJ563" s="391"/>
      <c r="AK563" s="383"/>
      <c r="AL563" s="177"/>
      <c r="AM563" s="177"/>
      <c r="AN563" s="177"/>
      <c r="AO563" s="366"/>
      <c r="AP563" s="366"/>
      <c r="AQ563" s="366"/>
      <c r="AR563" s="366"/>
      <c r="AS563" s="366"/>
    </row>
    <row r="564">
      <c r="A564" s="391"/>
      <c r="B564" s="383"/>
      <c r="C564" s="177"/>
      <c r="D564" s="177"/>
      <c r="E564" s="177"/>
      <c r="F564" s="391"/>
      <c r="G564" s="383"/>
      <c r="H564" s="177"/>
      <c r="I564" s="177"/>
      <c r="J564" s="177"/>
      <c r="K564" s="88"/>
      <c r="L564" s="383"/>
      <c r="M564" s="177"/>
      <c r="N564" s="177"/>
      <c r="O564" s="177"/>
      <c r="P564" s="88"/>
      <c r="Q564" s="151"/>
      <c r="R564" s="177"/>
      <c r="S564" s="177"/>
      <c r="T564" s="177"/>
      <c r="U564" s="391"/>
      <c r="V564" s="383"/>
      <c r="W564" s="177"/>
      <c r="X564" s="177"/>
      <c r="Y564" s="177"/>
      <c r="Z564" s="391"/>
      <c r="AA564" s="383"/>
      <c r="AB564" s="177"/>
      <c r="AC564" s="177"/>
      <c r="AD564" s="177"/>
      <c r="AE564" s="391"/>
      <c r="AF564" s="383"/>
      <c r="AG564" s="177"/>
      <c r="AH564" s="177"/>
      <c r="AI564" s="177"/>
      <c r="AJ564" s="391"/>
      <c r="AK564" s="383"/>
      <c r="AL564" s="177"/>
      <c r="AM564" s="177"/>
      <c r="AN564" s="177"/>
      <c r="AO564" s="366"/>
      <c r="AP564" s="366"/>
      <c r="AQ564" s="366"/>
      <c r="AR564" s="366"/>
      <c r="AS564" s="366"/>
    </row>
    <row r="565">
      <c r="A565" s="391"/>
      <c r="B565" s="383"/>
      <c r="C565" s="177"/>
      <c r="D565" s="177"/>
      <c r="E565" s="177"/>
      <c r="F565" s="391"/>
      <c r="G565" s="383"/>
      <c r="H565" s="177"/>
      <c r="I565" s="177"/>
      <c r="J565" s="177"/>
      <c r="K565" s="88"/>
      <c r="L565" s="383"/>
      <c r="M565" s="177"/>
      <c r="N565" s="177"/>
      <c r="O565" s="177"/>
      <c r="P565" s="88"/>
      <c r="Q565" s="151"/>
      <c r="R565" s="177"/>
      <c r="S565" s="177"/>
      <c r="T565" s="177"/>
      <c r="U565" s="391"/>
      <c r="V565" s="383"/>
      <c r="W565" s="177"/>
      <c r="X565" s="177"/>
      <c r="Y565" s="177"/>
      <c r="Z565" s="391"/>
      <c r="AA565" s="383"/>
      <c r="AB565" s="177"/>
      <c r="AC565" s="177"/>
      <c r="AD565" s="177"/>
      <c r="AE565" s="391"/>
      <c r="AF565" s="383"/>
      <c r="AG565" s="177"/>
      <c r="AH565" s="177"/>
      <c r="AI565" s="177"/>
      <c r="AJ565" s="391"/>
      <c r="AK565" s="383"/>
      <c r="AL565" s="177"/>
      <c r="AM565" s="177"/>
      <c r="AN565" s="177"/>
      <c r="AO565" s="366"/>
      <c r="AP565" s="366"/>
      <c r="AQ565" s="366"/>
      <c r="AR565" s="366"/>
      <c r="AS565" s="366"/>
    </row>
    <row r="566">
      <c r="A566" s="391"/>
      <c r="B566" s="383"/>
      <c r="C566" s="177"/>
      <c r="D566" s="177"/>
      <c r="E566" s="177"/>
      <c r="F566" s="391"/>
      <c r="G566" s="383"/>
      <c r="H566" s="177"/>
      <c r="I566" s="177"/>
      <c r="J566" s="177"/>
      <c r="K566" s="88"/>
      <c r="L566" s="383"/>
      <c r="M566" s="177"/>
      <c r="N566" s="177"/>
      <c r="O566" s="177"/>
      <c r="P566" s="88"/>
      <c r="Q566" s="151"/>
      <c r="R566" s="177"/>
      <c r="S566" s="177"/>
      <c r="T566" s="177"/>
      <c r="U566" s="391"/>
      <c r="V566" s="383"/>
      <c r="W566" s="177"/>
      <c r="X566" s="177"/>
      <c r="Y566" s="177"/>
      <c r="Z566" s="391"/>
      <c r="AA566" s="383"/>
      <c r="AB566" s="177"/>
      <c r="AC566" s="177"/>
      <c r="AD566" s="177"/>
      <c r="AE566" s="391"/>
      <c r="AF566" s="383"/>
      <c r="AG566" s="177"/>
      <c r="AH566" s="177"/>
      <c r="AI566" s="177"/>
      <c r="AJ566" s="391"/>
      <c r="AK566" s="383"/>
      <c r="AL566" s="177"/>
      <c r="AM566" s="177"/>
      <c r="AN566" s="177"/>
      <c r="AO566" s="366"/>
      <c r="AP566" s="366"/>
      <c r="AQ566" s="366"/>
      <c r="AR566" s="366"/>
      <c r="AS566" s="366"/>
    </row>
    <row r="567">
      <c r="A567" s="391"/>
      <c r="B567" s="383"/>
      <c r="C567" s="177"/>
      <c r="D567" s="177"/>
      <c r="E567" s="177"/>
      <c r="F567" s="391"/>
      <c r="G567" s="383"/>
      <c r="H567" s="177"/>
      <c r="I567" s="177"/>
      <c r="J567" s="177"/>
      <c r="K567" s="88"/>
      <c r="L567" s="383"/>
      <c r="M567" s="177"/>
      <c r="N567" s="177"/>
      <c r="O567" s="177"/>
      <c r="P567" s="88"/>
      <c r="Q567" s="151"/>
      <c r="R567" s="177"/>
      <c r="S567" s="177"/>
      <c r="T567" s="177"/>
      <c r="U567" s="391"/>
      <c r="V567" s="383"/>
      <c r="W567" s="177"/>
      <c r="X567" s="177"/>
      <c r="Y567" s="177"/>
      <c r="Z567" s="391"/>
      <c r="AA567" s="383"/>
      <c r="AB567" s="177"/>
      <c r="AC567" s="177"/>
      <c r="AD567" s="177"/>
      <c r="AE567" s="391"/>
      <c r="AF567" s="383"/>
      <c r="AG567" s="177"/>
      <c r="AH567" s="177"/>
      <c r="AI567" s="177"/>
      <c r="AJ567" s="391"/>
      <c r="AK567" s="383"/>
      <c r="AL567" s="177"/>
      <c r="AM567" s="177"/>
      <c r="AN567" s="177"/>
      <c r="AO567" s="366"/>
      <c r="AP567" s="366"/>
      <c r="AQ567" s="366"/>
      <c r="AR567" s="366"/>
      <c r="AS567" s="366"/>
    </row>
    <row r="568">
      <c r="A568" s="391"/>
      <c r="B568" s="383"/>
      <c r="C568" s="177"/>
      <c r="D568" s="177"/>
      <c r="E568" s="177"/>
      <c r="F568" s="391"/>
      <c r="G568" s="383"/>
      <c r="H568" s="177"/>
      <c r="I568" s="177"/>
      <c r="J568" s="177"/>
      <c r="K568" s="88"/>
      <c r="L568" s="383"/>
      <c r="M568" s="177"/>
      <c r="N568" s="177"/>
      <c r="O568" s="177"/>
      <c r="P568" s="88"/>
      <c r="Q568" s="151"/>
      <c r="R568" s="177"/>
      <c r="S568" s="177"/>
      <c r="T568" s="177"/>
      <c r="U568" s="391"/>
      <c r="V568" s="383"/>
      <c r="W568" s="177"/>
      <c r="X568" s="177"/>
      <c r="Y568" s="177"/>
      <c r="Z568" s="391"/>
      <c r="AA568" s="383"/>
      <c r="AB568" s="177"/>
      <c r="AC568" s="177"/>
      <c r="AD568" s="177"/>
      <c r="AE568" s="391"/>
      <c r="AF568" s="383"/>
      <c r="AG568" s="177"/>
      <c r="AH568" s="177"/>
      <c r="AI568" s="177"/>
      <c r="AJ568" s="391"/>
      <c r="AK568" s="383"/>
      <c r="AL568" s="177"/>
      <c r="AM568" s="177"/>
      <c r="AN568" s="177"/>
      <c r="AO568" s="366"/>
      <c r="AP568" s="366"/>
      <c r="AQ568" s="366"/>
      <c r="AR568" s="366"/>
      <c r="AS568" s="366"/>
    </row>
    <row r="569">
      <c r="A569" s="391"/>
      <c r="B569" s="383"/>
      <c r="C569" s="177"/>
      <c r="D569" s="177"/>
      <c r="E569" s="177"/>
      <c r="F569" s="391"/>
      <c r="G569" s="383"/>
      <c r="H569" s="177"/>
      <c r="I569" s="177"/>
      <c r="J569" s="177"/>
      <c r="K569" s="88"/>
      <c r="L569" s="383"/>
      <c r="M569" s="177"/>
      <c r="N569" s="177"/>
      <c r="O569" s="177"/>
      <c r="P569" s="88"/>
      <c r="Q569" s="151"/>
      <c r="R569" s="177"/>
      <c r="S569" s="177"/>
      <c r="T569" s="177"/>
      <c r="U569" s="391"/>
      <c r="V569" s="383"/>
      <c r="W569" s="177"/>
      <c r="X569" s="177"/>
      <c r="Y569" s="177"/>
      <c r="Z569" s="391"/>
      <c r="AA569" s="383"/>
      <c r="AB569" s="177"/>
      <c r="AC569" s="177"/>
      <c r="AD569" s="177"/>
      <c r="AE569" s="391"/>
      <c r="AF569" s="383"/>
      <c r="AG569" s="177"/>
      <c r="AH569" s="177"/>
      <c r="AI569" s="177"/>
      <c r="AJ569" s="391"/>
      <c r="AK569" s="383"/>
      <c r="AL569" s="177"/>
      <c r="AM569" s="177"/>
      <c r="AN569" s="177"/>
      <c r="AO569" s="366"/>
      <c r="AP569" s="366"/>
      <c r="AQ569" s="366"/>
      <c r="AR569" s="366"/>
      <c r="AS569" s="366"/>
    </row>
    <row r="570">
      <c r="A570" s="391"/>
      <c r="B570" s="383"/>
      <c r="C570" s="177"/>
      <c r="D570" s="177"/>
      <c r="E570" s="177"/>
      <c r="F570" s="391"/>
      <c r="G570" s="383"/>
      <c r="H570" s="177"/>
      <c r="I570" s="177"/>
      <c r="J570" s="177"/>
      <c r="K570" s="88"/>
      <c r="L570" s="383"/>
      <c r="M570" s="177"/>
      <c r="N570" s="177"/>
      <c r="O570" s="177"/>
      <c r="P570" s="88"/>
      <c r="Q570" s="151"/>
      <c r="R570" s="177"/>
      <c r="S570" s="177"/>
      <c r="T570" s="177"/>
      <c r="U570" s="391"/>
      <c r="V570" s="383"/>
      <c r="W570" s="177"/>
      <c r="X570" s="177"/>
      <c r="Y570" s="177"/>
      <c r="Z570" s="391"/>
      <c r="AA570" s="383"/>
      <c r="AB570" s="177"/>
      <c r="AC570" s="177"/>
      <c r="AD570" s="177"/>
      <c r="AE570" s="391"/>
      <c r="AF570" s="383"/>
      <c r="AG570" s="177"/>
      <c r="AH570" s="177"/>
      <c r="AI570" s="177"/>
      <c r="AJ570" s="391"/>
      <c r="AK570" s="383"/>
      <c r="AL570" s="177"/>
      <c r="AM570" s="177"/>
      <c r="AN570" s="177"/>
      <c r="AO570" s="366"/>
      <c r="AP570" s="366"/>
      <c r="AQ570" s="366"/>
      <c r="AR570" s="366"/>
      <c r="AS570" s="366"/>
    </row>
    <row r="571">
      <c r="A571" s="391"/>
      <c r="B571" s="383"/>
      <c r="C571" s="177"/>
      <c r="D571" s="177"/>
      <c r="E571" s="177"/>
      <c r="F571" s="391"/>
      <c r="G571" s="383"/>
      <c r="H571" s="177"/>
      <c r="I571" s="177"/>
      <c r="J571" s="177"/>
      <c r="K571" s="88"/>
      <c r="L571" s="383"/>
      <c r="M571" s="177"/>
      <c r="N571" s="177"/>
      <c r="O571" s="177"/>
      <c r="P571" s="88"/>
      <c r="Q571" s="151"/>
      <c r="R571" s="177"/>
      <c r="S571" s="177"/>
      <c r="T571" s="177"/>
      <c r="U571" s="391"/>
      <c r="V571" s="383"/>
      <c r="W571" s="177"/>
      <c r="X571" s="177"/>
      <c r="Y571" s="177"/>
      <c r="Z571" s="391"/>
      <c r="AA571" s="383"/>
      <c r="AB571" s="177"/>
      <c r="AC571" s="177"/>
      <c r="AD571" s="177"/>
      <c r="AE571" s="391"/>
      <c r="AF571" s="383"/>
      <c r="AG571" s="177"/>
      <c r="AH571" s="177"/>
      <c r="AI571" s="177"/>
      <c r="AJ571" s="391"/>
      <c r="AK571" s="383"/>
      <c r="AL571" s="177"/>
      <c r="AM571" s="177"/>
      <c r="AN571" s="177"/>
      <c r="AO571" s="366"/>
      <c r="AP571" s="366"/>
      <c r="AQ571" s="366"/>
      <c r="AR571" s="366"/>
      <c r="AS571" s="366"/>
    </row>
    <row r="572">
      <c r="A572" s="391"/>
      <c r="B572" s="383"/>
      <c r="C572" s="177"/>
      <c r="D572" s="177"/>
      <c r="E572" s="177"/>
      <c r="F572" s="391"/>
      <c r="G572" s="383"/>
      <c r="H572" s="177"/>
      <c r="I572" s="177"/>
      <c r="J572" s="177"/>
      <c r="K572" s="88"/>
      <c r="L572" s="383"/>
      <c r="M572" s="177"/>
      <c r="N572" s="177"/>
      <c r="O572" s="177"/>
      <c r="P572" s="88"/>
      <c r="Q572" s="151"/>
      <c r="R572" s="177"/>
      <c r="S572" s="177"/>
      <c r="T572" s="177"/>
      <c r="U572" s="391"/>
      <c r="V572" s="383"/>
      <c r="W572" s="177"/>
      <c r="X572" s="177"/>
      <c r="Y572" s="177"/>
      <c r="Z572" s="391"/>
      <c r="AA572" s="383"/>
      <c r="AB572" s="177"/>
      <c r="AC572" s="177"/>
      <c r="AD572" s="177"/>
      <c r="AE572" s="391"/>
      <c r="AF572" s="383"/>
      <c r="AG572" s="177"/>
      <c r="AH572" s="177"/>
      <c r="AI572" s="177"/>
      <c r="AJ572" s="391"/>
      <c r="AK572" s="383"/>
      <c r="AL572" s="177"/>
      <c r="AM572" s="177"/>
      <c r="AN572" s="177"/>
      <c r="AO572" s="366"/>
      <c r="AP572" s="366"/>
      <c r="AQ572" s="366"/>
      <c r="AR572" s="366"/>
      <c r="AS572" s="366"/>
    </row>
    <row r="573">
      <c r="A573" s="391"/>
      <c r="B573" s="383"/>
      <c r="C573" s="177"/>
      <c r="D573" s="177"/>
      <c r="E573" s="177"/>
      <c r="F573" s="391"/>
      <c r="G573" s="383"/>
      <c r="H573" s="177"/>
      <c r="I573" s="177"/>
      <c r="J573" s="177"/>
      <c r="K573" s="88"/>
      <c r="L573" s="383"/>
      <c r="M573" s="177"/>
      <c r="N573" s="177"/>
      <c r="O573" s="177"/>
      <c r="P573" s="88"/>
      <c r="Q573" s="151"/>
      <c r="R573" s="177"/>
      <c r="S573" s="177"/>
      <c r="T573" s="177"/>
      <c r="U573" s="391"/>
      <c r="V573" s="383"/>
      <c r="W573" s="177"/>
      <c r="X573" s="177"/>
      <c r="Y573" s="177"/>
      <c r="Z573" s="391"/>
      <c r="AA573" s="383"/>
      <c r="AB573" s="177"/>
      <c r="AC573" s="177"/>
      <c r="AD573" s="177"/>
      <c r="AE573" s="391"/>
      <c r="AF573" s="383"/>
      <c r="AG573" s="177"/>
      <c r="AH573" s="177"/>
      <c r="AI573" s="177"/>
      <c r="AJ573" s="391"/>
      <c r="AK573" s="383"/>
      <c r="AL573" s="177"/>
      <c r="AM573" s="177"/>
      <c r="AN573" s="177"/>
      <c r="AO573" s="366"/>
      <c r="AP573" s="366"/>
      <c r="AQ573" s="366"/>
      <c r="AR573" s="366"/>
      <c r="AS573" s="366"/>
    </row>
    <row r="574">
      <c r="A574" s="391"/>
      <c r="B574" s="383"/>
      <c r="C574" s="177"/>
      <c r="D574" s="177"/>
      <c r="E574" s="177"/>
      <c r="F574" s="391"/>
      <c r="G574" s="383"/>
      <c r="H574" s="177"/>
      <c r="I574" s="177"/>
      <c r="J574" s="177"/>
      <c r="K574" s="88"/>
      <c r="L574" s="383"/>
      <c r="M574" s="177"/>
      <c r="N574" s="177"/>
      <c r="O574" s="177"/>
      <c r="P574" s="88"/>
      <c r="Q574" s="151"/>
      <c r="R574" s="177"/>
      <c r="S574" s="177"/>
      <c r="T574" s="177"/>
      <c r="U574" s="391"/>
      <c r="V574" s="383"/>
      <c r="W574" s="177"/>
      <c r="X574" s="177"/>
      <c r="Y574" s="177"/>
      <c r="Z574" s="391"/>
      <c r="AA574" s="383"/>
      <c r="AB574" s="177"/>
      <c r="AC574" s="177"/>
      <c r="AD574" s="177"/>
      <c r="AE574" s="391"/>
      <c r="AF574" s="383"/>
      <c r="AG574" s="177"/>
      <c r="AH574" s="177"/>
      <c r="AI574" s="177"/>
      <c r="AJ574" s="391"/>
      <c r="AK574" s="383"/>
      <c r="AL574" s="177"/>
      <c r="AM574" s="177"/>
      <c r="AN574" s="177"/>
      <c r="AO574" s="366"/>
      <c r="AP574" s="366"/>
      <c r="AQ574" s="366"/>
      <c r="AR574" s="366"/>
      <c r="AS574" s="366"/>
    </row>
    <row r="575">
      <c r="A575" s="391"/>
      <c r="B575" s="383"/>
      <c r="C575" s="177"/>
      <c r="D575" s="177"/>
      <c r="E575" s="177"/>
      <c r="F575" s="391"/>
      <c r="G575" s="383"/>
      <c r="H575" s="177"/>
      <c r="I575" s="177"/>
      <c r="J575" s="177"/>
      <c r="K575" s="88"/>
      <c r="L575" s="383"/>
      <c r="M575" s="177"/>
      <c r="N575" s="177"/>
      <c r="O575" s="177"/>
      <c r="P575" s="88"/>
      <c r="Q575" s="151"/>
      <c r="R575" s="177"/>
      <c r="S575" s="177"/>
      <c r="T575" s="177"/>
      <c r="U575" s="391"/>
      <c r="V575" s="383"/>
      <c r="W575" s="177"/>
      <c r="X575" s="177"/>
      <c r="Y575" s="177"/>
      <c r="Z575" s="391"/>
      <c r="AA575" s="383"/>
      <c r="AB575" s="177"/>
      <c r="AC575" s="177"/>
      <c r="AD575" s="177"/>
      <c r="AE575" s="391"/>
      <c r="AF575" s="383"/>
      <c r="AG575" s="177"/>
      <c r="AH575" s="177"/>
      <c r="AI575" s="177"/>
      <c r="AJ575" s="391"/>
      <c r="AK575" s="383"/>
      <c r="AL575" s="177"/>
      <c r="AM575" s="177"/>
      <c r="AN575" s="177"/>
      <c r="AO575" s="366"/>
      <c r="AP575" s="366"/>
      <c r="AQ575" s="366"/>
      <c r="AR575" s="366"/>
      <c r="AS575" s="366"/>
    </row>
    <row r="576">
      <c r="A576" s="391"/>
      <c r="B576" s="383"/>
      <c r="C576" s="177"/>
      <c r="D576" s="177"/>
      <c r="E576" s="177"/>
      <c r="F576" s="391"/>
      <c r="G576" s="383"/>
      <c r="H576" s="177"/>
      <c r="I576" s="177"/>
      <c r="J576" s="177"/>
      <c r="K576" s="88"/>
      <c r="L576" s="383"/>
      <c r="M576" s="177"/>
      <c r="N576" s="177"/>
      <c r="O576" s="177"/>
      <c r="P576" s="88"/>
      <c r="Q576" s="151"/>
      <c r="R576" s="177"/>
      <c r="S576" s="177"/>
      <c r="T576" s="177"/>
      <c r="U576" s="391"/>
      <c r="V576" s="383"/>
      <c r="W576" s="177"/>
      <c r="X576" s="177"/>
      <c r="Y576" s="177"/>
      <c r="Z576" s="391"/>
      <c r="AA576" s="383"/>
      <c r="AB576" s="177"/>
      <c r="AC576" s="177"/>
      <c r="AD576" s="177"/>
      <c r="AE576" s="391"/>
      <c r="AF576" s="383"/>
      <c r="AG576" s="177"/>
      <c r="AH576" s="177"/>
      <c r="AI576" s="177"/>
      <c r="AJ576" s="391"/>
      <c r="AK576" s="383"/>
      <c r="AL576" s="177"/>
      <c r="AM576" s="177"/>
      <c r="AN576" s="177"/>
      <c r="AO576" s="366"/>
      <c r="AP576" s="366"/>
      <c r="AQ576" s="366"/>
      <c r="AR576" s="366"/>
      <c r="AS576" s="366"/>
    </row>
    <row r="577">
      <c r="A577" s="391"/>
      <c r="B577" s="383"/>
      <c r="C577" s="177"/>
      <c r="D577" s="177"/>
      <c r="E577" s="177"/>
      <c r="F577" s="391"/>
      <c r="G577" s="383"/>
      <c r="H577" s="177"/>
      <c r="I577" s="177"/>
      <c r="J577" s="177"/>
      <c r="K577" s="88"/>
      <c r="L577" s="383"/>
      <c r="M577" s="177"/>
      <c r="N577" s="177"/>
      <c r="O577" s="177"/>
      <c r="P577" s="88"/>
      <c r="Q577" s="151"/>
      <c r="R577" s="177"/>
      <c r="S577" s="177"/>
      <c r="T577" s="177"/>
      <c r="U577" s="391"/>
      <c r="V577" s="383"/>
      <c r="W577" s="177"/>
      <c r="X577" s="177"/>
      <c r="Y577" s="177"/>
      <c r="Z577" s="391"/>
      <c r="AA577" s="383"/>
      <c r="AB577" s="177"/>
      <c r="AC577" s="177"/>
      <c r="AD577" s="177"/>
      <c r="AE577" s="391"/>
      <c r="AF577" s="383"/>
      <c r="AG577" s="177"/>
      <c r="AH577" s="177"/>
      <c r="AI577" s="177"/>
      <c r="AJ577" s="391"/>
      <c r="AK577" s="383"/>
      <c r="AL577" s="177"/>
      <c r="AM577" s="177"/>
      <c r="AN577" s="177"/>
      <c r="AO577" s="366"/>
      <c r="AP577" s="366"/>
      <c r="AQ577" s="366"/>
      <c r="AR577" s="366"/>
      <c r="AS577" s="366"/>
    </row>
    <row r="578">
      <c r="A578" s="391"/>
      <c r="B578" s="383"/>
      <c r="C578" s="177"/>
      <c r="D578" s="177"/>
      <c r="E578" s="177"/>
      <c r="F578" s="391"/>
      <c r="G578" s="383"/>
      <c r="H578" s="177"/>
      <c r="I578" s="177"/>
      <c r="J578" s="177"/>
      <c r="K578" s="88"/>
      <c r="L578" s="383"/>
      <c r="M578" s="177"/>
      <c r="N578" s="177"/>
      <c r="O578" s="177"/>
      <c r="P578" s="88"/>
      <c r="Q578" s="151"/>
      <c r="R578" s="177"/>
      <c r="S578" s="177"/>
      <c r="T578" s="177"/>
      <c r="U578" s="391"/>
      <c r="V578" s="383"/>
      <c r="W578" s="177"/>
      <c r="X578" s="177"/>
      <c r="Y578" s="177"/>
      <c r="Z578" s="391"/>
      <c r="AA578" s="383"/>
      <c r="AB578" s="177"/>
      <c r="AC578" s="177"/>
      <c r="AD578" s="177"/>
      <c r="AE578" s="391"/>
      <c r="AF578" s="383"/>
      <c r="AG578" s="177"/>
      <c r="AH578" s="177"/>
      <c r="AI578" s="177"/>
      <c r="AJ578" s="391"/>
      <c r="AK578" s="383"/>
      <c r="AL578" s="177"/>
      <c r="AM578" s="177"/>
      <c r="AN578" s="177"/>
      <c r="AO578" s="366"/>
      <c r="AP578" s="366"/>
      <c r="AQ578" s="366"/>
      <c r="AR578" s="366"/>
      <c r="AS578" s="366"/>
    </row>
    <row r="579">
      <c r="A579" s="391"/>
      <c r="B579" s="383"/>
      <c r="C579" s="177"/>
      <c r="D579" s="177"/>
      <c r="E579" s="177"/>
      <c r="F579" s="391"/>
      <c r="G579" s="383"/>
      <c r="H579" s="177"/>
      <c r="I579" s="177"/>
      <c r="J579" s="177"/>
      <c r="K579" s="88"/>
      <c r="L579" s="383"/>
      <c r="M579" s="177"/>
      <c r="N579" s="177"/>
      <c r="O579" s="177"/>
      <c r="P579" s="88"/>
      <c r="Q579" s="151"/>
      <c r="R579" s="177"/>
      <c r="S579" s="177"/>
      <c r="T579" s="177"/>
      <c r="U579" s="391"/>
      <c r="V579" s="383"/>
      <c r="W579" s="177"/>
      <c r="X579" s="177"/>
      <c r="Y579" s="177"/>
      <c r="Z579" s="391"/>
      <c r="AA579" s="383"/>
      <c r="AB579" s="177"/>
      <c r="AC579" s="177"/>
      <c r="AD579" s="177"/>
      <c r="AE579" s="391"/>
      <c r="AF579" s="383"/>
      <c r="AG579" s="177"/>
      <c r="AH579" s="177"/>
      <c r="AI579" s="177"/>
      <c r="AJ579" s="391"/>
      <c r="AK579" s="383"/>
      <c r="AL579" s="177"/>
      <c r="AM579" s="177"/>
      <c r="AN579" s="177"/>
      <c r="AO579" s="366"/>
      <c r="AP579" s="366"/>
      <c r="AQ579" s="366"/>
      <c r="AR579" s="366"/>
      <c r="AS579" s="366"/>
    </row>
    <row r="580">
      <c r="A580" s="391"/>
      <c r="B580" s="383"/>
      <c r="C580" s="177"/>
      <c r="D580" s="177"/>
      <c r="E580" s="177"/>
      <c r="F580" s="391"/>
      <c r="G580" s="383"/>
      <c r="H580" s="177"/>
      <c r="I580" s="177"/>
      <c r="J580" s="177"/>
      <c r="K580" s="88"/>
      <c r="L580" s="383"/>
      <c r="M580" s="177"/>
      <c r="N580" s="177"/>
      <c r="O580" s="177"/>
      <c r="P580" s="88"/>
      <c r="Q580" s="151"/>
      <c r="R580" s="177"/>
      <c r="S580" s="177"/>
      <c r="T580" s="177"/>
      <c r="U580" s="391"/>
      <c r="V580" s="383"/>
      <c r="W580" s="177"/>
      <c r="X580" s="177"/>
      <c r="Y580" s="177"/>
      <c r="Z580" s="391"/>
      <c r="AA580" s="383"/>
      <c r="AB580" s="177"/>
      <c r="AC580" s="177"/>
      <c r="AD580" s="177"/>
      <c r="AE580" s="391"/>
      <c r="AF580" s="383"/>
      <c r="AG580" s="177"/>
      <c r="AH580" s="177"/>
      <c r="AI580" s="177"/>
      <c r="AJ580" s="391"/>
      <c r="AK580" s="383"/>
      <c r="AL580" s="177"/>
      <c r="AM580" s="177"/>
      <c r="AN580" s="177"/>
      <c r="AO580" s="366"/>
      <c r="AP580" s="366"/>
      <c r="AQ580" s="366"/>
      <c r="AR580" s="366"/>
      <c r="AS580" s="366"/>
    </row>
    <row r="581">
      <c r="A581" s="391"/>
      <c r="B581" s="383"/>
      <c r="C581" s="177"/>
      <c r="D581" s="177"/>
      <c r="E581" s="177"/>
      <c r="F581" s="391"/>
      <c r="G581" s="383"/>
      <c r="H581" s="177"/>
      <c r="I581" s="177"/>
      <c r="J581" s="177"/>
      <c r="K581" s="88"/>
      <c r="L581" s="383"/>
      <c r="M581" s="177"/>
      <c r="N581" s="177"/>
      <c r="O581" s="177"/>
      <c r="P581" s="88"/>
      <c r="Q581" s="151"/>
      <c r="R581" s="177"/>
      <c r="S581" s="177"/>
      <c r="T581" s="177"/>
      <c r="U581" s="391"/>
      <c r="V581" s="383"/>
      <c r="W581" s="177"/>
      <c r="X581" s="177"/>
      <c r="Y581" s="177"/>
      <c r="Z581" s="391"/>
      <c r="AA581" s="383"/>
      <c r="AB581" s="177"/>
      <c r="AC581" s="177"/>
      <c r="AD581" s="177"/>
      <c r="AE581" s="391"/>
      <c r="AF581" s="383"/>
      <c r="AG581" s="177"/>
      <c r="AH581" s="177"/>
      <c r="AI581" s="177"/>
      <c r="AJ581" s="391"/>
      <c r="AK581" s="383"/>
      <c r="AL581" s="177"/>
      <c r="AM581" s="177"/>
      <c r="AN581" s="177"/>
      <c r="AO581" s="366"/>
      <c r="AP581" s="366"/>
      <c r="AQ581" s="366"/>
      <c r="AR581" s="366"/>
      <c r="AS581" s="366"/>
    </row>
    <row r="582">
      <c r="A582" s="391"/>
      <c r="B582" s="383"/>
      <c r="C582" s="177"/>
      <c r="D582" s="177"/>
      <c r="E582" s="177"/>
      <c r="F582" s="391"/>
      <c r="G582" s="383"/>
      <c r="H582" s="177"/>
      <c r="I582" s="177"/>
      <c r="J582" s="177"/>
      <c r="K582" s="88"/>
      <c r="L582" s="383"/>
      <c r="M582" s="177"/>
      <c r="N582" s="177"/>
      <c r="O582" s="177"/>
      <c r="P582" s="88"/>
      <c r="Q582" s="151"/>
      <c r="R582" s="177"/>
      <c r="S582" s="177"/>
      <c r="T582" s="177"/>
      <c r="U582" s="391"/>
      <c r="V582" s="383"/>
      <c r="W582" s="177"/>
      <c r="X582" s="177"/>
      <c r="Y582" s="177"/>
      <c r="Z582" s="391"/>
      <c r="AA582" s="383"/>
      <c r="AB582" s="177"/>
      <c r="AC582" s="177"/>
      <c r="AD582" s="177"/>
      <c r="AE582" s="391"/>
      <c r="AF582" s="383"/>
      <c r="AG582" s="177"/>
      <c r="AH582" s="177"/>
      <c r="AI582" s="177"/>
      <c r="AJ582" s="391"/>
      <c r="AK582" s="383"/>
      <c r="AL582" s="177"/>
      <c r="AM582" s="177"/>
      <c r="AN582" s="177"/>
      <c r="AO582" s="366"/>
      <c r="AP582" s="366"/>
      <c r="AQ582" s="366"/>
      <c r="AR582" s="366"/>
      <c r="AS582" s="366"/>
    </row>
    <row r="583">
      <c r="A583" s="391"/>
      <c r="B583" s="383"/>
      <c r="C583" s="177"/>
      <c r="D583" s="177"/>
      <c r="E583" s="177"/>
      <c r="F583" s="391"/>
      <c r="G583" s="383"/>
      <c r="H583" s="177"/>
      <c r="I583" s="177"/>
      <c r="J583" s="177"/>
      <c r="K583" s="88"/>
      <c r="L583" s="383"/>
      <c r="M583" s="177"/>
      <c r="N583" s="177"/>
      <c r="O583" s="177"/>
      <c r="P583" s="88"/>
      <c r="Q583" s="151"/>
      <c r="R583" s="177"/>
      <c r="S583" s="177"/>
      <c r="T583" s="177"/>
      <c r="U583" s="391"/>
      <c r="V583" s="383"/>
      <c r="W583" s="177"/>
      <c r="X583" s="177"/>
      <c r="Y583" s="177"/>
      <c r="Z583" s="391"/>
      <c r="AA583" s="383"/>
      <c r="AB583" s="177"/>
      <c r="AC583" s="177"/>
      <c r="AD583" s="177"/>
      <c r="AE583" s="391"/>
      <c r="AF583" s="383"/>
      <c r="AG583" s="177"/>
      <c r="AH583" s="177"/>
      <c r="AI583" s="177"/>
      <c r="AJ583" s="391"/>
      <c r="AK583" s="383"/>
      <c r="AL583" s="177"/>
      <c r="AM583" s="177"/>
      <c r="AN583" s="177"/>
      <c r="AO583" s="366"/>
      <c r="AP583" s="366"/>
      <c r="AQ583" s="366"/>
      <c r="AR583" s="366"/>
      <c r="AS583" s="366"/>
    </row>
    <row r="584">
      <c r="A584" s="391"/>
      <c r="B584" s="383"/>
      <c r="C584" s="177"/>
      <c r="D584" s="177"/>
      <c r="E584" s="177"/>
      <c r="F584" s="391"/>
      <c r="G584" s="383"/>
      <c r="H584" s="177"/>
      <c r="I584" s="177"/>
      <c r="J584" s="177"/>
      <c r="K584" s="88"/>
      <c r="L584" s="383"/>
      <c r="M584" s="177"/>
      <c r="N584" s="177"/>
      <c r="O584" s="177"/>
      <c r="P584" s="88"/>
      <c r="Q584" s="151"/>
      <c r="R584" s="177"/>
      <c r="S584" s="177"/>
      <c r="T584" s="177"/>
      <c r="U584" s="391"/>
      <c r="V584" s="383"/>
      <c r="W584" s="177"/>
      <c r="X584" s="177"/>
      <c r="Y584" s="177"/>
      <c r="Z584" s="391"/>
      <c r="AA584" s="383"/>
      <c r="AB584" s="177"/>
      <c r="AC584" s="177"/>
      <c r="AD584" s="177"/>
      <c r="AE584" s="391"/>
      <c r="AF584" s="383"/>
      <c r="AG584" s="177"/>
      <c r="AH584" s="177"/>
      <c r="AI584" s="177"/>
      <c r="AJ584" s="391"/>
      <c r="AK584" s="383"/>
      <c r="AL584" s="177"/>
      <c r="AM584" s="177"/>
      <c r="AN584" s="177"/>
      <c r="AO584" s="366"/>
      <c r="AP584" s="366"/>
      <c r="AQ584" s="366"/>
      <c r="AR584" s="366"/>
      <c r="AS584" s="366"/>
    </row>
    <row r="585">
      <c r="A585" s="391"/>
      <c r="B585" s="383"/>
      <c r="C585" s="177"/>
      <c r="D585" s="177"/>
      <c r="E585" s="177"/>
      <c r="F585" s="391"/>
      <c r="G585" s="383"/>
      <c r="H585" s="177"/>
      <c r="I585" s="177"/>
      <c r="J585" s="177"/>
      <c r="K585" s="88"/>
      <c r="L585" s="383"/>
      <c r="M585" s="177"/>
      <c r="N585" s="177"/>
      <c r="O585" s="177"/>
      <c r="P585" s="88"/>
      <c r="Q585" s="151"/>
      <c r="R585" s="177"/>
      <c r="S585" s="177"/>
      <c r="T585" s="177"/>
      <c r="U585" s="391"/>
      <c r="V585" s="383"/>
      <c r="W585" s="177"/>
      <c r="X585" s="177"/>
      <c r="Y585" s="177"/>
      <c r="Z585" s="391"/>
      <c r="AA585" s="383"/>
      <c r="AB585" s="177"/>
      <c r="AC585" s="177"/>
      <c r="AD585" s="177"/>
      <c r="AE585" s="391"/>
      <c r="AF585" s="383"/>
      <c r="AG585" s="177"/>
      <c r="AH585" s="177"/>
      <c r="AI585" s="177"/>
      <c r="AJ585" s="391"/>
      <c r="AK585" s="383"/>
      <c r="AL585" s="177"/>
      <c r="AM585" s="177"/>
      <c r="AN585" s="177"/>
      <c r="AO585" s="366"/>
      <c r="AP585" s="366"/>
      <c r="AQ585" s="366"/>
      <c r="AR585" s="366"/>
      <c r="AS585" s="366"/>
    </row>
    <row r="586">
      <c r="A586" s="391"/>
      <c r="B586" s="383"/>
      <c r="C586" s="177"/>
      <c r="D586" s="177"/>
      <c r="E586" s="177"/>
      <c r="F586" s="391"/>
      <c r="G586" s="383"/>
      <c r="H586" s="177"/>
      <c r="I586" s="177"/>
      <c r="J586" s="177"/>
      <c r="K586" s="88"/>
      <c r="L586" s="383"/>
      <c r="M586" s="177"/>
      <c r="N586" s="177"/>
      <c r="O586" s="177"/>
      <c r="P586" s="88"/>
      <c r="Q586" s="151"/>
      <c r="R586" s="177"/>
      <c r="S586" s="177"/>
      <c r="T586" s="177"/>
      <c r="U586" s="391"/>
      <c r="V586" s="383"/>
      <c r="W586" s="177"/>
      <c r="X586" s="177"/>
      <c r="Y586" s="177"/>
      <c r="Z586" s="391"/>
      <c r="AA586" s="383"/>
      <c r="AB586" s="177"/>
      <c r="AC586" s="177"/>
      <c r="AD586" s="177"/>
      <c r="AE586" s="391"/>
      <c r="AF586" s="383"/>
      <c r="AG586" s="177"/>
      <c r="AH586" s="177"/>
      <c r="AI586" s="177"/>
      <c r="AJ586" s="391"/>
      <c r="AK586" s="383"/>
      <c r="AL586" s="177"/>
      <c r="AM586" s="177"/>
      <c r="AN586" s="177"/>
      <c r="AO586" s="366"/>
      <c r="AP586" s="366"/>
      <c r="AQ586" s="366"/>
      <c r="AR586" s="366"/>
      <c r="AS586" s="366"/>
    </row>
    <row r="587">
      <c r="A587" s="391"/>
      <c r="B587" s="383"/>
      <c r="C587" s="177"/>
      <c r="D587" s="177"/>
      <c r="E587" s="177"/>
      <c r="F587" s="391"/>
      <c r="G587" s="383"/>
      <c r="H587" s="177"/>
      <c r="I587" s="177"/>
      <c r="J587" s="177"/>
      <c r="K587" s="88"/>
      <c r="L587" s="383"/>
      <c r="M587" s="177"/>
      <c r="N587" s="177"/>
      <c r="O587" s="177"/>
      <c r="P587" s="88"/>
      <c r="Q587" s="151"/>
      <c r="R587" s="177"/>
      <c r="S587" s="177"/>
      <c r="T587" s="177"/>
      <c r="U587" s="391"/>
      <c r="V587" s="383"/>
      <c r="W587" s="177"/>
      <c r="X587" s="177"/>
      <c r="Y587" s="177"/>
      <c r="Z587" s="391"/>
      <c r="AA587" s="383"/>
      <c r="AB587" s="177"/>
      <c r="AC587" s="177"/>
      <c r="AD587" s="177"/>
      <c r="AE587" s="391"/>
      <c r="AF587" s="383"/>
      <c r="AG587" s="177"/>
      <c r="AH587" s="177"/>
      <c r="AI587" s="177"/>
      <c r="AJ587" s="391"/>
      <c r="AK587" s="383"/>
      <c r="AL587" s="177"/>
      <c r="AM587" s="177"/>
      <c r="AN587" s="177"/>
      <c r="AO587" s="366"/>
      <c r="AP587" s="366"/>
      <c r="AQ587" s="366"/>
      <c r="AR587" s="366"/>
      <c r="AS587" s="366"/>
    </row>
    <row r="588">
      <c r="A588" s="391"/>
      <c r="B588" s="383"/>
      <c r="C588" s="177"/>
      <c r="D588" s="177"/>
      <c r="E588" s="177"/>
      <c r="F588" s="391"/>
      <c r="G588" s="383"/>
      <c r="H588" s="177"/>
      <c r="I588" s="177"/>
      <c r="J588" s="177"/>
      <c r="K588" s="88"/>
      <c r="L588" s="383"/>
      <c r="M588" s="177"/>
      <c r="N588" s="177"/>
      <c r="O588" s="177"/>
      <c r="P588" s="88"/>
      <c r="Q588" s="151"/>
      <c r="R588" s="177"/>
      <c r="S588" s="177"/>
      <c r="T588" s="177"/>
      <c r="U588" s="391"/>
      <c r="V588" s="383"/>
      <c r="W588" s="177"/>
      <c r="X588" s="177"/>
      <c r="Y588" s="177"/>
      <c r="Z588" s="391"/>
      <c r="AA588" s="383"/>
      <c r="AB588" s="177"/>
      <c r="AC588" s="177"/>
      <c r="AD588" s="177"/>
      <c r="AE588" s="391"/>
      <c r="AF588" s="383"/>
      <c r="AG588" s="177"/>
      <c r="AH588" s="177"/>
      <c r="AI588" s="177"/>
      <c r="AJ588" s="391"/>
      <c r="AK588" s="383"/>
      <c r="AL588" s="177"/>
      <c r="AM588" s="177"/>
      <c r="AN588" s="177"/>
      <c r="AO588" s="366"/>
      <c r="AP588" s="366"/>
      <c r="AQ588" s="366"/>
      <c r="AR588" s="366"/>
      <c r="AS588" s="366"/>
    </row>
    <row r="589">
      <c r="A589" s="391"/>
      <c r="B589" s="383"/>
      <c r="C589" s="177"/>
      <c r="D589" s="177"/>
      <c r="E589" s="177"/>
      <c r="F589" s="391"/>
      <c r="G589" s="383"/>
      <c r="H589" s="177"/>
      <c r="I589" s="177"/>
      <c r="J589" s="177"/>
      <c r="K589" s="88"/>
      <c r="L589" s="383"/>
      <c r="M589" s="177"/>
      <c r="N589" s="177"/>
      <c r="O589" s="177"/>
      <c r="P589" s="88"/>
      <c r="Q589" s="151"/>
      <c r="R589" s="177"/>
      <c r="S589" s="177"/>
      <c r="T589" s="177"/>
      <c r="U589" s="391"/>
      <c r="V589" s="383"/>
      <c r="W589" s="177"/>
      <c r="X589" s="177"/>
      <c r="Y589" s="177"/>
      <c r="Z589" s="391"/>
      <c r="AA589" s="383"/>
      <c r="AB589" s="177"/>
      <c r="AC589" s="177"/>
      <c r="AD589" s="177"/>
      <c r="AE589" s="391"/>
      <c r="AF589" s="383"/>
      <c r="AG589" s="177"/>
      <c r="AH589" s="177"/>
      <c r="AI589" s="177"/>
      <c r="AJ589" s="391"/>
      <c r="AK589" s="383"/>
      <c r="AL589" s="177"/>
      <c r="AM589" s="177"/>
      <c r="AN589" s="177"/>
      <c r="AO589" s="366"/>
      <c r="AP589" s="366"/>
      <c r="AQ589" s="366"/>
      <c r="AR589" s="366"/>
      <c r="AS589" s="366"/>
    </row>
    <row r="590">
      <c r="A590" s="391"/>
      <c r="B590" s="383"/>
      <c r="C590" s="177"/>
      <c r="D590" s="177"/>
      <c r="E590" s="177"/>
      <c r="F590" s="391"/>
      <c r="G590" s="383"/>
      <c r="H590" s="177"/>
      <c r="I590" s="177"/>
      <c r="J590" s="177"/>
      <c r="K590" s="88"/>
      <c r="L590" s="383"/>
      <c r="M590" s="177"/>
      <c r="N590" s="177"/>
      <c r="O590" s="177"/>
      <c r="P590" s="88"/>
      <c r="Q590" s="151"/>
      <c r="R590" s="177"/>
      <c r="S590" s="177"/>
      <c r="T590" s="177"/>
      <c r="U590" s="391"/>
      <c r="V590" s="383"/>
      <c r="W590" s="177"/>
      <c r="X590" s="177"/>
      <c r="Y590" s="177"/>
      <c r="Z590" s="391"/>
      <c r="AA590" s="383"/>
      <c r="AB590" s="177"/>
      <c r="AC590" s="177"/>
      <c r="AD590" s="177"/>
      <c r="AE590" s="391"/>
      <c r="AF590" s="383"/>
      <c r="AG590" s="177"/>
      <c r="AH590" s="177"/>
      <c r="AI590" s="177"/>
      <c r="AJ590" s="391"/>
      <c r="AK590" s="383"/>
      <c r="AL590" s="177"/>
      <c r="AM590" s="177"/>
      <c r="AN590" s="177"/>
      <c r="AO590" s="366"/>
      <c r="AP590" s="366"/>
      <c r="AQ590" s="366"/>
      <c r="AR590" s="366"/>
      <c r="AS590" s="366"/>
    </row>
    <row r="591">
      <c r="A591" s="391"/>
      <c r="B591" s="383"/>
      <c r="C591" s="177"/>
      <c r="D591" s="177"/>
      <c r="E591" s="177"/>
      <c r="F591" s="391"/>
      <c r="G591" s="383"/>
      <c r="H591" s="177"/>
      <c r="I591" s="177"/>
      <c r="J591" s="177"/>
      <c r="K591" s="88"/>
      <c r="L591" s="383"/>
      <c r="M591" s="177"/>
      <c r="N591" s="177"/>
      <c r="O591" s="177"/>
      <c r="P591" s="88"/>
      <c r="Q591" s="151"/>
      <c r="R591" s="177"/>
      <c r="S591" s="177"/>
      <c r="T591" s="177"/>
      <c r="U591" s="391"/>
      <c r="V591" s="383"/>
      <c r="W591" s="177"/>
      <c r="X591" s="177"/>
      <c r="Y591" s="177"/>
      <c r="Z591" s="391"/>
      <c r="AA591" s="383"/>
      <c r="AB591" s="177"/>
      <c r="AC591" s="177"/>
      <c r="AD591" s="177"/>
      <c r="AE591" s="391"/>
      <c r="AF591" s="383"/>
      <c r="AG591" s="177"/>
      <c r="AH591" s="177"/>
      <c r="AI591" s="177"/>
      <c r="AJ591" s="391"/>
      <c r="AK591" s="383"/>
      <c r="AL591" s="177"/>
      <c r="AM591" s="177"/>
      <c r="AN591" s="177"/>
      <c r="AO591" s="366"/>
      <c r="AP591" s="366"/>
      <c r="AQ591" s="366"/>
      <c r="AR591" s="366"/>
      <c r="AS591" s="366"/>
    </row>
    <row r="592">
      <c r="A592" s="391"/>
      <c r="B592" s="383"/>
      <c r="C592" s="177"/>
      <c r="D592" s="177"/>
      <c r="E592" s="177"/>
      <c r="F592" s="391"/>
      <c r="G592" s="383"/>
      <c r="H592" s="177"/>
      <c r="I592" s="177"/>
      <c r="J592" s="177"/>
      <c r="K592" s="88"/>
      <c r="L592" s="383"/>
      <c r="M592" s="177"/>
      <c r="N592" s="177"/>
      <c r="O592" s="177"/>
      <c r="P592" s="88"/>
      <c r="Q592" s="151"/>
      <c r="R592" s="177"/>
      <c r="S592" s="177"/>
      <c r="T592" s="177"/>
      <c r="U592" s="391"/>
      <c r="V592" s="383"/>
      <c r="W592" s="177"/>
      <c r="X592" s="177"/>
      <c r="Y592" s="177"/>
      <c r="Z592" s="391"/>
      <c r="AA592" s="383"/>
      <c r="AB592" s="177"/>
      <c r="AC592" s="177"/>
      <c r="AD592" s="177"/>
      <c r="AE592" s="391"/>
      <c r="AF592" s="383"/>
      <c r="AG592" s="177"/>
      <c r="AH592" s="177"/>
      <c r="AI592" s="177"/>
      <c r="AJ592" s="391"/>
      <c r="AK592" s="383"/>
      <c r="AL592" s="177"/>
      <c r="AM592" s="177"/>
      <c r="AN592" s="177"/>
      <c r="AO592" s="366"/>
      <c r="AP592" s="366"/>
      <c r="AQ592" s="366"/>
      <c r="AR592" s="366"/>
      <c r="AS592" s="366"/>
    </row>
    <row r="593">
      <c r="A593" s="391"/>
      <c r="B593" s="383"/>
      <c r="C593" s="177"/>
      <c r="D593" s="177"/>
      <c r="E593" s="177"/>
      <c r="F593" s="391"/>
      <c r="G593" s="383"/>
      <c r="H593" s="177"/>
      <c r="I593" s="177"/>
      <c r="J593" s="177"/>
      <c r="K593" s="88"/>
      <c r="L593" s="383"/>
      <c r="M593" s="177"/>
      <c r="N593" s="177"/>
      <c r="O593" s="177"/>
      <c r="P593" s="88"/>
      <c r="Q593" s="151"/>
      <c r="R593" s="177"/>
      <c r="S593" s="177"/>
      <c r="T593" s="177"/>
      <c r="U593" s="391"/>
      <c r="V593" s="383"/>
      <c r="W593" s="177"/>
      <c r="X593" s="177"/>
      <c r="Y593" s="177"/>
      <c r="Z593" s="391"/>
      <c r="AA593" s="383"/>
      <c r="AB593" s="177"/>
      <c r="AC593" s="177"/>
      <c r="AD593" s="177"/>
      <c r="AE593" s="391"/>
      <c r="AF593" s="383"/>
      <c r="AG593" s="177"/>
      <c r="AH593" s="177"/>
      <c r="AI593" s="177"/>
      <c r="AJ593" s="391"/>
      <c r="AK593" s="383"/>
      <c r="AL593" s="177"/>
      <c r="AM593" s="177"/>
      <c r="AN593" s="177"/>
      <c r="AO593" s="366"/>
      <c r="AP593" s="366"/>
      <c r="AQ593" s="366"/>
      <c r="AR593" s="366"/>
      <c r="AS593" s="366"/>
    </row>
    <row r="594">
      <c r="A594" s="391"/>
      <c r="B594" s="383"/>
      <c r="C594" s="177"/>
      <c r="D594" s="177"/>
      <c r="E594" s="177"/>
      <c r="F594" s="391"/>
      <c r="G594" s="383"/>
      <c r="H594" s="177"/>
      <c r="I594" s="177"/>
      <c r="J594" s="177"/>
      <c r="K594" s="88"/>
      <c r="L594" s="383"/>
      <c r="M594" s="177"/>
      <c r="N594" s="177"/>
      <c r="O594" s="177"/>
      <c r="P594" s="88"/>
      <c r="Q594" s="151"/>
      <c r="R594" s="177"/>
      <c r="S594" s="177"/>
      <c r="T594" s="177"/>
      <c r="U594" s="391"/>
      <c r="V594" s="383"/>
      <c r="W594" s="177"/>
      <c r="X594" s="177"/>
      <c r="Y594" s="177"/>
      <c r="Z594" s="391"/>
      <c r="AA594" s="383"/>
      <c r="AB594" s="177"/>
      <c r="AC594" s="177"/>
      <c r="AD594" s="177"/>
      <c r="AE594" s="391"/>
      <c r="AF594" s="383"/>
      <c r="AG594" s="177"/>
      <c r="AH594" s="177"/>
      <c r="AI594" s="177"/>
      <c r="AJ594" s="391"/>
      <c r="AK594" s="383"/>
      <c r="AL594" s="177"/>
      <c r="AM594" s="177"/>
      <c r="AN594" s="177"/>
      <c r="AO594" s="366"/>
      <c r="AP594" s="366"/>
      <c r="AQ594" s="366"/>
      <c r="AR594" s="366"/>
      <c r="AS594" s="366"/>
    </row>
    <row r="595">
      <c r="A595" s="391"/>
      <c r="B595" s="383"/>
      <c r="C595" s="177"/>
      <c r="D595" s="177"/>
      <c r="E595" s="177"/>
      <c r="F595" s="391"/>
      <c r="G595" s="383"/>
      <c r="H595" s="177"/>
      <c r="I595" s="177"/>
      <c r="J595" s="177"/>
      <c r="K595" s="88"/>
      <c r="L595" s="383"/>
      <c r="M595" s="177"/>
      <c r="N595" s="177"/>
      <c r="O595" s="177"/>
      <c r="P595" s="88"/>
      <c r="Q595" s="151"/>
      <c r="R595" s="177"/>
      <c r="S595" s="177"/>
      <c r="T595" s="177"/>
      <c r="U595" s="391"/>
      <c r="V595" s="383"/>
      <c r="W595" s="177"/>
      <c r="X595" s="177"/>
      <c r="Y595" s="177"/>
      <c r="Z595" s="391"/>
      <c r="AA595" s="383"/>
      <c r="AB595" s="177"/>
      <c r="AC595" s="177"/>
      <c r="AD595" s="177"/>
      <c r="AE595" s="391"/>
      <c r="AF595" s="383"/>
      <c r="AG595" s="177"/>
      <c r="AH595" s="177"/>
      <c r="AI595" s="177"/>
      <c r="AJ595" s="391"/>
      <c r="AK595" s="383"/>
      <c r="AL595" s="177"/>
      <c r="AM595" s="177"/>
      <c r="AN595" s="177"/>
      <c r="AO595" s="366"/>
      <c r="AP595" s="366"/>
      <c r="AQ595" s="366"/>
      <c r="AR595" s="366"/>
      <c r="AS595" s="366"/>
    </row>
    <row r="596">
      <c r="A596" s="391"/>
      <c r="B596" s="383"/>
      <c r="C596" s="177"/>
      <c r="D596" s="177"/>
      <c r="E596" s="177"/>
      <c r="F596" s="391"/>
      <c r="G596" s="383"/>
      <c r="H596" s="177"/>
      <c r="I596" s="177"/>
      <c r="J596" s="177"/>
      <c r="K596" s="88"/>
      <c r="L596" s="383"/>
      <c r="M596" s="177"/>
      <c r="N596" s="177"/>
      <c r="O596" s="177"/>
      <c r="P596" s="88"/>
      <c r="Q596" s="151"/>
      <c r="R596" s="177"/>
      <c r="S596" s="177"/>
      <c r="T596" s="177"/>
      <c r="U596" s="391"/>
      <c r="V596" s="383"/>
      <c r="W596" s="177"/>
      <c r="X596" s="177"/>
      <c r="Y596" s="177"/>
      <c r="Z596" s="391"/>
      <c r="AA596" s="383"/>
      <c r="AB596" s="177"/>
      <c r="AC596" s="177"/>
      <c r="AD596" s="177"/>
      <c r="AE596" s="391"/>
      <c r="AF596" s="383"/>
      <c r="AG596" s="177"/>
      <c r="AH596" s="177"/>
      <c r="AI596" s="177"/>
      <c r="AJ596" s="391"/>
      <c r="AK596" s="383"/>
      <c r="AL596" s="177"/>
      <c r="AM596" s="177"/>
      <c r="AN596" s="177"/>
      <c r="AO596" s="366"/>
      <c r="AP596" s="366"/>
      <c r="AQ596" s="366"/>
      <c r="AR596" s="366"/>
      <c r="AS596" s="366"/>
    </row>
    <row r="597">
      <c r="A597" s="391"/>
      <c r="B597" s="383"/>
      <c r="C597" s="177"/>
      <c r="D597" s="177"/>
      <c r="E597" s="177"/>
      <c r="F597" s="391"/>
      <c r="G597" s="383"/>
      <c r="H597" s="177"/>
      <c r="I597" s="177"/>
      <c r="J597" s="177"/>
      <c r="K597" s="88"/>
      <c r="L597" s="383"/>
      <c r="M597" s="177"/>
      <c r="N597" s="177"/>
      <c r="O597" s="177"/>
      <c r="P597" s="88"/>
      <c r="Q597" s="151"/>
      <c r="R597" s="177"/>
      <c r="S597" s="177"/>
      <c r="T597" s="177"/>
      <c r="U597" s="391"/>
      <c r="V597" s="383"/>
      <c r="W597" s="177"/>
      <c r="X597" s="177"/>
      <c r="Y597" s="177"/>
      <c r="Z597" s="391"/>
      <c r="AA597" s="383"/>
      <c r="AB597" s="177"/>
      <c r="AC597" s="177"/>
      <c r="AD597" s="177"/>
      <c r="AE597" s="391"/>
      <c r="AF597" s="383"/>
      <c r="AG597" s="177"/>
      <c r="AH597" s="177"/>
      <c r="AI597" s="177"/>
      <c r="AJ597" s="391"/>
      <c r="AK597" s="383"/>
      <c r="AL597" s="177"/>
      <c r="AM597" s="177"/>
      <c r="AN597" s="177"/>
      <c r="AO597" s="366"/>
      <c r="AP597" s="366"/>
      <c r="AQ597" s="366"/>
      <c r="AR597" s="366"/>
      <c r="AS597" s="366"/>
    </row>
    <row r="598">
      <c r="A598" s="391"/>
      <c r="B598" s="383"/>
      <c r="C598" s="177"/>
      <c r="D598" s="177"/>
      <c r="E598" s="177"/>
      <c r="F598" s="391"/>
      <c r="G598" s="383"/>
      <c r="H598" s="177"/>
      <c r="I598" s="177"/>
      <c r="J598" s="177"/>
      <c r="K598" s="88"/>
      <c r="L598" s="383"/>
      <c r="M598" s="177"/>
      <c r="N598" s="177"/>
      <c r="O598" s="177"/>
      <c r="P598" s="88"/>
      <c r="Q598" s="151"/>
      <c r="R598" s="177"/>
      <c r="S598" s="177"/>
      <c r="T598" s="177"/>
      <c r="U598" s="391"/>
      <c r="V598" s="383"/>
      <c r="W598" s="177"/>
      <c r="X598" s="177"/>
      <c r="Y598" s="177"/>
      <c r="Z598" s="391"/>
      <c r="AA598" s="383"/>
      <c r="AB598" s="177"/>
      <c r="AC598" s="177"/>
      <c r="AD598" s="177"/>
      <c r="AE598" s="391"/>
      <c r="AF598" s="383"/>
      <c r="AG598" s="177"/>
      <c r="AH598" s="177"/>
      <c r="AI598" s="177"/>
      <c r="AJ598" s="391"/>
      <c r="AK598" s="383"/>
      <c r="AL598" s="177"/>
      <c r="AM598" s="177"/>
      <c r="AN598" s="177"/>
      <c r="AO598" s="366"/>
      <c r="AP598" s="366"/>
      <c r="AQ598" s="366"/>
      <c r="AR598" s="366"/>
      <c r="AS598" s="366"/>
    </row>
    <row r="599">
      <c r="A599" s="391"/>
      <c r="B599" s="383"/>
      <c r="C599" s="177"/>
      <c r="D599" s="177"/>
      <c r="E599" s="177"/>
      <c r="F599" s="391"/>
      <c r="G599" s="383"/>
      <c r="H599" s="177"/>
      <c r="I599" s="177"/>
      <c r="J599" s="177"/>
      <c r="K599" s="88"/>
      <c r="L599" s="383"/>
      <c r="M599" s="177"/>
      <c r="N599" s="177"/>
      <c r="O599" s="177"/>
      <c r="P599" s="88"/>
      <c r="Q599" s="151"/>
      <c r="R599" s="177"/>
      <c r="S599" s="177"/>
      <c r="T599" s="177"/>
      <c r="U599" s="391"/>
      <c r="V599" s="383"/>
      <c r="W599" s="177"/>
      <c r="X599" s="177"/>
      <c r="Y599" s="177"/>
      <c r="Z599" s="391"/>
      <c r="AA599" s="383"/>
      <c r="AB599" s="177"/>
      <c r="AC599" s="177"/>
      <c r="AD599" s="177"/>
      <c r="AE599" s="391"/>
      <c r="AF599" s="383"/>
      <c r="AG599" s="177"/>
      <c r="AH599" s="177"/>
      <c r="AI599" s="177"/>
      <c r="AJ599" s="391"/>
      <c r="AK599" s="383"/>
      <c r="AL599" s="177"/>
      <c r="AM599" s="177"/>
      <c r="AN599" s="177"/>
      <c r="AO599" s="366"/>
      <c r="AP599" s="366"/>
      <c r="AQ599" s="366"/>
      <c r="AR599" s="366"/>
      <c r="AS599" s="366"/>
    </row>
    <row r="600">
      <c r="A600" s="391"/>
      <c r="B600" s="383"/>
      <c r="C600" s="177"/>
      <c r="D600" s="177"/>
      <c r="E600" s="177"/>
      <c r="F600" s="391"/>
      <c r="G600" s="383"/>
      <c r="H600" s="177"/>
      <c r="I600" s="177"/>
      <c r="J600" s="177"/>
      <c r="K600" s="88"/>
      <c r="L600" s="383"/>
      <c r="M600" s="177"/>
      <c r="N600" s="177"/>
      <c r="O600" s="177"/>
      <c r="P600" s="88"/>
      <c r="Q600" s="151"/>
      <c r="R600" s="177"/>
      <c r="S600" s="177"/>
      <c r="T600" s="177"/>
      <c r="U600" s="391"/>
      <c r="V600" s="383"/>
      <c r="W600" s="177"/>
      <c r="X600" s="177"/>
      <c r="Y600" s="177"/>
      <c r="Z600" s="391"/>
      <c r="AA600" s="383"/>
      <c r="AB600" s="177"/>
      <c r="AC600" s="177"/>
      <c r="AD600" s="177"/>
      <c r="AE600" s="391"/>
      <c r="AF600" s="383"/>
      <c r="AG600" s="177"/>
      <c r="AH600" s="177"/>
      <c r="AI600" s="177"/>
      <c r="AJ600" s="391"/>
      <c r="AK600" s="383"/>
      <c r="AL600" s="177"/>
      <c r="AM600" s="177"/>
      <c r="AN600" s="177"/>
      <c r="AO600" s="366"/>
      <c r="AP600" s="366"/>
      <c r="AQ600" s="366"/>
      <c r="AR600" s="366"/>
      <c r="AS600" s="366"/>
    </row>
    <row r="601">
      <c r="A601" s="391"/>
      <c r="B601" s="383"/>
      <c r="C601" s="177"/>
      <c r="D601" s="177"/>
      <c r="E601" s="177"/>
      <c r="F601" s="391"/>
      <c r="G601" s="383"/>
      <c r="H601" s="177"/>
      <c r="I601" s="177"/>
      <c r="J601" s="177"/>
      <c r="K601" s="88"/>
      <c r="L601" s="383"/>
      <c r="M601" s="177"/>
      <c r="N601" s="177"/>
      <c r="O601" s="177"/>
      <c r="P601" s="88"/>
      <c r="Q601" s="151"/>
      <c r="R601" s="177"/>
      <c r="S601" s="177"/>
      <c r="T601" s="177"/>
      <c r="U601" s="391"/>
      <c r="V601" s="383"/>
      <c r="W601" s="177"/>
      <c r="X601" s="177"/>
      <c r="Y601" s="177"/>
      <c r="Z601" s="391"/>
      <c r="AA601" s="383"/>
      <c r="AB601" s="177"/>
      <c r="AC601" s="177"/>
      <c r="AD601" s="177"/>
      <c r="AE601" s="391"/>
      <c r="AF601" s="383"/>
      <c r="AG601" s="177"/>
      <c r="AH601" s="177"/>
      <c r="AI601" s="177"/>
      <c r="AJ601" s="391"/>
      <c r="AK601" s="383"/>
      <c r="AL601" s="177"/>
      <c r="AM601" s="177"/>
      <c r="AN601" s="177"/>
      <c r="AO601" s="366"/>
      <c r="AP601" s="366"/>
      <c r="AQ601" s="366"/>
      <c r="AR601" s="366"/>
      <c r="AS601" s="366"/>
    </row>
    <row r="602">
      <c r="A602" s="391"/>
      <c r="B602" s="383"/>
      <c r="C602" s="177"/>
      <c r="D602" s="177"/>
      <c r="E602" s="177"/>
      <c r="F602" s="391"/>
      <c r="G602" s="383"/>
      <c r="H602" s="177"/>
      <c r="I602" s="177"/>
      <c r="J602" s="177"/>
      <c r="K602" s="88"/>
      <c r="L602" s="383"/>
      <c r="M602" s="177"/>
      <c r="N602" s="177"/>
      <c r="O602" s="177"/>
      <c r="P602" s="88"/>
      <c r="Q602" s="151"/>
      <c r="R602" s="177"/>
      <c r="S602" s="177"/>
      <c r="T602" s="177"/>
      <c r="U602" s="391"/>
      <c r="V602" s="383"/>
      <c r="W602" s="177"/>
      <c r="X602" s="177"/>
      <c r="Y602" s="177"/>
      <c r="Z602" s="391"/>
      <c r="AA602" s="383"/>
      <c r="AB602" s="177"/>
      <c r="AC602" s="177"/>
      <c r="AD602" s="177"/>
      <c r="AE602" s="391"/>
      <c r="AF602" s="383"/>
      <c r="AG602" s="177"/>
      <c r="AH602" s="177"/>
      <c r="AI602" s="177"/>
      <c r="AJ602" s="391"/>
      <c r="AK602" s="383"/>
      <c r="AL602" s="177"/>
      <c r="AM602" s="177"/>
      <c r="AN602" s="177"/>
      <c r="AO602" s="366"/>
      <c r="AP602" s="366"/>
      <c r="AQ602" s="366"/>
      <c r="AR602" s="366"/>
      <c r="AS602" s="366"/>
    </row>
    <row r="603">
      <c r="A603" s="391"/>
      <c r="B603" s="383"/>
      <c r="C603" s="177"/>
      <c r="D603" s="177"/>
      <c r="E603" s="177"/>
      <c r="F603" s="391"/>
      <c r="G603" s="383"/>
      <c r="H603" s="177"/>
      <c r="I603" s="177"/>
      <c r="J603" s="177"/>
      <c r="K603" s="88"/>
      <c r="L603" s="383"/>
      <c r="M603" s="177"/>
      <c r="N603" s="177"/>
      <c r="O603" s="177"/>
      <c r="P603" s="88"/>
      <c r="Q603" s="151"/>
      <c r="R603" s="177"/>
      <c r="S603" s="177"/>
      <c r="T603" s="177"/>
      <c r="U603" s="391"/>
      <c r="V603" s="383"/>
      <c r="W603" s="177"/>
      <c r="X603" s="177"/>
      <c r="Y603" s="177"/>
      <c r="Z603" s="391"/>
      <c r="AA603" s="383"/>
      <c r="AB603" s="177"/>
      <c r="AC603" s="177"/>
      <c r="AD603" s="177"/>
      <c r="AE603" s="391"/>
      <c r="AF603" s="383"/>
      <c r="AG603" s="177"/>
      <c r="AH603" s="177"/>
      <c r="AI603" s="177"/>
      <c r="AJ603" s="391"/>
      <c r="AK603" s="383"/>
      <c r="AL603" s="177"/>
      <c r="AM603" s="177"/>
      <c r="AN603" s="177"/>
      <c r="AO603" s="366"/>
      <c r="AP603" s="366"/>
      <c r="AQ603" s="366"/>
      <c r="AR603" s="366"/>
      <c r="AS603" s="366"/>
    </row>
    <row r="604">
      <c r="A604" s="391"/>
      <c r="B604" s="383"/>
      <c r="C604" s="177"/>
      <c r="D604" s="177"/>
      <c r="E604" s="177"/>
      <c r="F604" s="391"/>
      <c r="G604" s="383"/>
      <c r="H604" s="177"/>
      <c r="I604" s="177"/>
      <c r="J604" s="177"/>
      <c r="K604" s="88"/>
      <c r="L604" s="383"/>
      <c r="M604" s="177"/>
      <c r="N604" s="177"/>
      <c r="O604" s="177"/>
      <c r="P604" s="88"/>
      <c r="Q604" s="151"/>
      <c r="R604" s="177"/>
      <c r="S604" s="177"/>
      <c r="T604" s="177"/>
      <c r="U604" s="391"/>
      <c r="V604" s="383"/>
      <c r="W604" s="177"/>
      <c r="X604" s="177"/>
      <c r="Y604" s="177"/>
      <c r="Z604" s="391"/>
      <c r="AA604" s="383"/>
      <c r="AB604" s="177"/>
      <c r="AC604" s="177"/>
      <c r="AD604" s="177"/>
      <c r="AE604" s="391"/>
      <c r="AF604" s="383"/>
      <c r="AG604" s="177"/>
      <c r="AH604" s="177"/>
      <c r="AI604" s="177"/>
      <c r="AJ604" s="391"/>
      <c r="AK604" s="383"/>
      <c r="AL604" s="177"/>
      <c r="AM604" s="177"/>
      <c r="AN604" s="177"/>
      <c r="AO604" s="366"/>
      <c r="AP604" s="366"/>
      <c r="AQ604" s="366"/>
      <c r="AR604" s="366"/>
      <c r="AS604" s="366"/>
    </row>
    <row r="605">
      <c r="A605" s="391"/>
      <c r="B605" s="383"/>
      <c r="C605" s="177"/>
      <c r="D605" s="177"/>
      <c r="E605" s="177"/>
      <c r="F605" s="391"/>
      <c r="G605" s="383"/>
      <c r="H605" s="177"/>
      <c r="I605" s="177"/>
      <c r="J605" s="177"/>
      <c r="K605" s="88"/>
      <c r="L605" s="383"/>
      <c r="M605" s="177"/>
      <c r="N605" s="177"/>
      <c r="O605" s="177"/>
      <c r="P605" s="88"/>
      <c r="Q605" s="151"/>
      <c r="R605" s="177"/>
      <c r="S605" s="177"/>
      <c r="T605" s="177"/>
      <c r="U605" s="391"/>
      <c r="V605" s="383"/>
      <c r="W605" s="177"/>
      <c r="X605" s="177"/>
      <c r="Y605" s="177"/>
      <c r="Z605" s="391"/>
      <c r="AA605" s="383"/>
      <c r="AB605" s="177"/>
      <c r="AC605" s="177"/>
      <c r="AD605" s="177"/>
      <c r="AE605" s="391"/>
      <c r="AF605" s="383"/>
      <c r="AG605" s="177"/>
      <c r="AH605" s="177"/>
      <c r="AI605" s="177"/>
      <c r="AJ605" s="391"/>
      <c r="AK605" s="383"/>
      <c r="AL605" s="177"/>
      <c r="AM605" s="177"/>
      <c r="AN605" s="177"/>
      <c r="AO605" s="366"/>
      <c r="AP605" s="366"/>
      <c r="AQ605" s="366"/>
      <c r="AR605" s="366"/>
      <c r="AS605" s="366"/>
    </row>
    <row r="606">
      <c r="A606" s="391"/>
      <c r="B606" s="383"/>
      <c r="C606" s="177"/>
      <c r="D606" s="177"/>
      <c r="E606" s="177"/>
      <c r="F606" s="391"/>
      <c r="G606" s="383"/>
      <c r="H606" s="177"/>
      <c r="I606" s="177"/>
      <c r="J606" s="177"/>
      <c r="K606" s="88"/>
      <c r="L606" s="383"/>
      <c r="M606" s="177"/>
      <c r="N606" s="177"/>
      <c r="O606" s="177"/>
      <c r="P606" s="88"/>
      <c r="Q606" s="151"/>
      <c r="R606" s="177"/>
      <c r="S606" s="177"/>
      <c r="T606" s="177"/>
      <c r="U606" s="391"/>
      <c r="V606" s="383"/>
      <c r="W606" s="177"/>
      <c r="X606" s="177"/>
      <c r="Y606" s="177"/>
      <c r="Z606" s="391"/>
      <c r="AA606" s="383"/>
      <c r="AB606" s="177"/>
      <c r="AC606" s="177"/>
      <c r="AD606" s="177"/>
      <c r="AE606" s="391"/>
      <c r="AF606" s="383"/>
      <c r="AG606" s="177"/>
      <c r="AH606" s="177"/>
      <c r="AI606" s="177"/>
      <c r="AJ606" s="391"/>
      <c r="AK606" s="383"/>
      <c r="AL606" s="177"/>
      <c r="AM606" s="177"/>
      <c r="AN606" s="177"/>
      <c r="AO606" s="366"/>
      <c r="AP606" s="366"/>
      <c r="AQ606" s="366"/>
      <c r="AR606" s="366"/>
      <c r="AS606" s="366"/>
    </row>
    <row r="607">
      <c r="A607" s="391"/>
      <c r="B607" s="383"/>
      <c r="C607" s="177"/>
      <c r="D607" s="177"/>
      <c r="E607" s="177"/>
      <c r="F607" s="391"/>
      <c r="G607" s="383"/>
      <c r="H607" s="177"/>
      <c r="I607" s="177"/>
      <c r="J607" s="177"/>
      <c r="K607" s="88"/>
      <c r="L607" s="383"/>
      <c r="M607" s="177"/>
      <c r="N607" s="177"/>
      <c r="O607" s="177"/>
      <c r="P607" s="88"/>
      <c r="Q607" s="151"/>
      <c r="R607" s="177"/>
      <c r="S607" s="177"/>
      <c r="T607" s="177"/>
      <c r="U607" s="391"/>
      <c r="V607" s="383"/>
      <c r="W607" s="177"/>
      <c r="X607" s="177"/>
      <c r="Y607" s="177"/>
      <c r="Z607" s="391"/>
      <c r="AA607" s="383"/>
      <c r="AB607" s="177"/>
      <c r="AC607" s="177"/>
      <c r="AD607" s="177"/>
      <c r="AE607" s="391"/>
      <c r="AF607" s="383"/>
      <c r="AG607" s="177"/>
      <c r="AH607" s="177"/>
      <c r="AI607" s="177"/>
      <c r="AJ607" s="391"/>
      <c r="AK607" s="383"/>
      <c r="AL607" s="177"/>
      <c r="AM607" s="177"/>
      <c r="AN607" s="177"/>
      <c r="AO607" s="366"/>
      <c r="AP607" s="366"/>
      <c r="AQ607" s="366"/>
      <c r="AR607" s="366"/>
      <c r="AS607" s="366"/>
    </row>
    <row r="608">
      <c r="A608" s="391"/>
      <c r="B608" s="383"/>
      <c r="C608" s="177"/>
      <c r="D608" s="177"/>
      <c r="E608" s="177"/>
      <c r="F608" s="391"/>
      <c r="G608" s="383"/>
      <c r="H608" s="177"/>
      <c r="I608" s="177"/>
      <c r="J608" s="177"/>
      <c r="K608" s="88"/>
      <c r="L608" s="383"/>
      <c r="M608" s="177"/>
      <c r="N608" s="177"/>
      <c r="O608" s="177"/>
      <c r="P608" s="88"/>
      <c r="Q608" s="151"/>
      <c r="R608" s="177"/>
      <c r="S608" s="177"/>
      <c r="T608" s="177"/>
      <c r="U608" s="391"/>
      <c r="V608" s="383"/>
      <c r="W608" s="177"/>
      <c r="X608" s="177"/>
      <c r="Y608" s="177"/>
      <c r="Z608" s="391"/>
      <c r="AA608" s="383"/>
      <c r="AB608" s="177"/>
      <c r="AC608" s="177"/>
      <c r="AD608" s="177"/>
      <c r="AE608" s="391"/>
      <c r="AF608" s="383"/>
      <c r="AG608" s="177"/>
      <c r="AH608" s="177"/>
      <c r="AI608" s="177"/>
      <c r="AJ608" s="391"/>
      <c r="AK608" s="383"/>
      <c r="AL608" s="177"/>
      <c r="AM608" s="177"/>
      <c r="AN608" s="177"/>
      <c r="AO608" s="366"/>
      <c r="AP608" s="366"/>
      <c r="AQ608" s="366"/>
      <c r="AR608" s="366"/>
      <c r="AS608" s="366"/>
    </row>
    <row r="609">
      <c r="A609" s="391"/>
      <c r="B609" s="383"/>
      <c r="C609" s="177"/>
      <c r="D609" s="177"/>
      <c r="E609" s="177"/>
      <c r="F609" s="391"/>
      <c r="G609" s="383"/>
      <c r="H609" s="177"/>
      <c r="I609" s="177"/>
      <c r="J609" s="177"/>
      <c r="K609" s="88"/>
      <c r="L609" s="383"/>
      <c r="M609" s="177"/>
      <c r="N609" s="177"/>
      <c r="O609" s="177"/>
      <c r="P609" s="88"/>
      <c r="Q609" s="151"/>
      <c r="R609" s="177"/>
      <c r="S609" s="177"/>
      <c r="T609" s="177"/>
      <c r="U609" s="391"/>
      <c r="V609" s="383"/>
      <c r="W609" s="177"/>
      <c r="X609" s="177"/>
      <c r="Y609" s="177"/>
      <c r="Z609" s="391"/>
      <c r="AA609" s="383"/>
      <c r="AB609" s="177"/>
      <c r="AC609" s="177"/>
      <c r="AD609" s="177"/>
      <c r="AE609" s="391"/>
      <c r="AF609" s="383"/>
      <c r="AG609" s="177"/>
      <c r="AH609" s="177"/>
      <c r="AI609" s="177"/>
      <c r="AJ609" s="391"/>
      <c r="AK609" s="383"/>
      <c r="AL609" s="177"/>
      <c r="AM609" s="177"/>
      <c r="AN609" s="177"/>
      <c r="AO609" s="366"/>
      <c r="AP609" s="366"/>
      <c r="AQ609" s="366"/>
      <c r="AR609" s="366"/>
      <c r="AS609" s="366"/>
    </row>
    <row r="610">
      <c r="A610" s="391"/>
      <c r="B610" s="383"/>
      <c r="C610" s="177"/>
      <c r="D610" s="177"/>
      <c r="E610" s="177"/>
      <c r="F610" s="391"/>
      <c r="G610" s="383"/>
      <c r="H610" s="177"/>
      <c r="I610" s="177"/>
      <c r="J610" s="177"/>
      <c r="K610" s="88"/>
      <c r="L610" s="383"/>
      <c r="M610" s="177"/>
      <c r="N610" s="177"/>
      <c r="O610" s="177"/>
      <c r="P610" s="88"/>
      <c r="Q610" s="151"/>
      <c r="R610" s="177"/>
      <c r="S610" s="177"/>
      <c r="T610" s="177"/>
      <c r="U610" s="391"/>
      <c r="V610" s="383"/>
      <c r="W610" s="177"/>
      <c r="X610" s="177"/>
      <c r="Y610" s="177"/>
      <c r="Z610" s="391"/>
      <c r="AA610" s="383"/>
      <c r="AB610" s="177"/>
      <c r="AC610" s="177"/>
      <c r="AD610" s="177"/>
      <c r="AE610" s="391"/>
      <c r="AF610" s="383"/>
      <c r="AG610" s="177"/>
      <c r="AH610" s="177"/>
      <c r="AI610" s="177"/>
      <c r="AJ610" s="391"/>
      <c r="AK610" s="383"/>
      <c r="AL610" s="177"/>
      <c r="AM610" s="177"/>
      <c r="AN610" s="177"/>
      <c r="AO610" s="366"/>
      <c r="AP610" s="366"/>
      <c r="AQ610" s="366"/>
      <c r="AR610" s="366"/>
      <c r="AS610" s="366"/>
    </row>
    <row r="611">
      <c r="A611" s="391"/>
      <c r="B611" s="383"/>
      <c r="C611" s="177"/>
      <c r="D611" s="177"/>
      <c r="E611" s="177"/>
      <c r="F611" s="391"/>
      <c r="G611" s="383"/>
      <c r="H611" s="177"/>
      <c r="I611" s="177"/>
      <c r="J611" s="177"/>
      <c r="K611" s="88"/>
      <c r="L611" s="383"/>
      <c r="M611" s="177"/>
      <c r="N611" s="177"/>
      <c r="O611" s="177"/>
      <c r="P611" s="88"/>
      <c r="Q611" s="151"/>
      <c r="R611" s="177"/>
      <c r="S611" s="177"/>
      <c r="T611" s="177"/>
      <c r="U611" s="391"/>
      <c r="V611" s="383"/>
      <c r="W611" s="177"/>
      <c r="X611" s="177"/>
      <c r="Y611" s="177"/>
      <c r="Z611" s="391"/>
      <c r="AA611" s="383"/>
      <c r="AB611" s="177"/>
      <c r="AC611" s="177"/>
      <c r="AD611" s="177"/>
      <c r="AE611" s="391"/>
      <c r="AF611" s="383"/>
      <c r="AG611" s="177"/>
      <c r="AH611" s="177"/>
      <c r="AI611" s="177"/>
      <c r="AJ611" s="391"/>
      <c r="AK611" s="383"/>
      <c r="AL611" s="177"/>
      <c r="AM611" s="177"/>
      <c r="AN611" s="177"/>
      <c r="AO611" s="366"/>
      <c r="AP611" s="366"/>
      <c r="AQ611" s="366"/>
      <c r="AR611" s="366"/>
      <c r="AS611" s="366"/>
    </row>
    <row r="612">
      <c r="A612" s="391"/>
      <c r="B612" s="383"/>
      <c r="C612" s="177"/>
      <c r="D612" s="177"/>
      <c r="E612" s="177"/>
      <c r="F612" s="391"/>
      <c r="G612" s="383"/>
      <c r="H612" s="177"/>
      <c r="I612" s="177"/>
      <c r="J612" s="177"/>
      <c r="K612" s="88"/>
      <c r="L612" s="383"/>
      <c r="M612" s="177"/>
      <c r="N612" s="177"/>
      <c r="O612" s="177"/>
      <c r="P612" s="88"/>
      <c r="Q612" s="151"/>
      <c r="R612" s="177"/>
      <c r="S612" s="177"/>
      <c r="T612" s="177"/>
      <c r="U612" s="391"/>
      <c r="V612" s="383"/>
      <c r="W612" s="177"/>
      <c r="X612" s="177"/>
      <c r="Y612" s="177"/>
      <c r="Z612" s="391"/>
      <c r="AA612" s="383"/>
      <c r="AB612" s="177"/>
      <c r="AC612" s="177"/>
      <c r="AD612" s="177"/>
      <c r="AE612" s="391"/>
      <c r="AF612" s="383"/>
      <c r="AG612" s="177"/>
      <c r="AH612" s="177"/>
      <c r="AI612" s="177"/>
      <c r="AJ612" s="391"/>
      <c r="AK612" s="383"/>
      <c r="AL612" s="177"/>
      <c r="AM612" s="177"/>
      <c r="AN612" s="177"/>
      <c r="AO612" s="366"/>
      <c r="AP612" s="366"/>
      <c r="AQ612" s="366"/>
      <c r="AR612" s="366"/>
      <c r="AS612" s="366"/>
    </row>
    <row r="613">
      <c r="A613" s="391"/>
      <c r="B613" s="383"/>
      <c r="C613" s="177"/>
      <c r="D613" s="177"/>
      <c r="E613" s="177"/>
      <c r="F613" s="391"/>
      <c r="G613" s="383"/>
      <c r="H613" s="177"/>
      <c r="I613" s="177"/>
      <c r="J613" s="177"/>
      <c r="K613" s="88"/>
      <c r="L613" s="383"/>
      <c r="M613" s="177"/>
      <c r="N613" s="177"/>
      <c r="O613" s="177"/>
      <c r="P613" s="88"/>
      <c r="Q613" s="151"/>
      <c r="R613" s="177"/>
      <c r="S613" s="177"/>
      <c r="T613" s="177"/>
      <c r="U613" s="391"/>
      <c r="V613" s="383"/>
      <c r="W613" s="177"/>
      <c r="X613" s="177"/>
      <c r="Y613" s="177"/>
      <c r="Z613" s="391"/>
      <c r="AA613" s="383"/>
      <c r="AB613" s="177"/>
      <c r="AC613" s="177"/>
      <c r="AD613" s="177"/>
      <c r="AE613" s="391"/>
      <c r="AF613" s="383"/>
      <c r="AG613" s="177"/>
      <c r="AH613" s="177"/>
      <c r="AI613" s="177"/>
      <c r="AJ613" s="391"/>
      <c r="AK613" s="383"/>
      <c r="AL613" s="177"/>
      <c r="AM613" s="177"/>
      <c r="AN613" s="177"/>
      <c r="AO613" s="366"/>
      <c r="AP613" s="366"/>
      <c r="AQ613" s="366"/>
      <c r="AR613" s="366"/>
      <c r="AS613" s="366"/>
    </row>
    <row r="614">
      <c r="A614" s="391"/>
      <c r="B614" s="383"/>
      <c r="C614" s="177"/>
      <c r="D614" s="177"/>
      <c r="E614" s="177"/>
      <c r="F614" s="391"/>
      <c r="G614" s="383"/>
      <c r="H614" s="177"/>
      <c r="I614" s="177"/>
      <c r="J614" s="177"/>
      <c r="K614" s="88"/>
      <c r="L614" s="383"/>
      <c r="M614" s="177"/>
      <c r="N614" s="177"/>
      <c r="O614" s="177"/>
      <c r="P614" s="88"/>
      <c r="Q614" s="151"/>
      <c r="R614" s="177"/>
      <c r="S614" s="177"/>
      <c r="T614" s="177"/>
      <c r="U614" s="391"/>
      <c r="V614" s="383"/>
      <c r="W614" s="177"/>
      <c r="X614" s="177"/>
      <c r="Y614" s="177"/>
      <c r="Z614" s="391"/>
      <c r="AA614" s="383"/>
      <c r="AB614" s="177"/>
      <c r="AC614" s="177"/>
      <c r="AD614" s="177"/>
      <c r="AE614" s="391"/>
      <c r="AF614" s="383"/>
      <c r="AG614" s="177"/>
      <c r="AH614" s="177"/>
      <c r="AI614" s="177"/>
      <c r="AJ614" s="391"/>
      <c r="AK614" s="383"/>
      <c r="AL614" s="177"/>
      <c r="AM614" s="177"/>
      <c r="AN614" s="177"/>
      <c r="AO614" s="366"/>
      <c r="AP614" s="366"/>
      <c r="AQ614" s="366"/>
      <c r="AR614" s="366"/>
      <c r="AS614" s="366"/>
    </row>
    <row r="615">
      <c r="A615" s="391"/>
      <c r="B615" s="383"/>
      <c r="C615" s="177"/>
      <c r="D615" s="177"/>
      <c r="E615" s="177"/>
      <c r="F615" s="391"/>
      <c r="G615" s="383"/>
      <c r="H615" s="177"/>
      <c r="I615" s="177"/>
      <c r="J615" s="177"/>
      <c r="K615" s="88"/>
      <c r="L615" s="383"/>
      <c r="M615" s="177"/>
      <c r="N615" s="177"/>
      <c r="O615" s="177"/>
      <c r="P615" s="88"/>
      <c r="Q615" s="151"/>
      <c r="R615" s="177"/>
      <c r="S615" s="177"/>
      <c r="T615" s="177"/>
      <c r="U615" s="391"/>
      <c r="V615" s="383"/>
      <c r="W615" s="177"/>
      <c r="X615" s="177"/>
      <c r="Y615" s="177"/>
      <c r="Z615" s="391"/>
      <c r="AA615" s="383"/>
      <c r="AB615" s="177"/>
      <c r="AC615" s="177"/>
      <c r="AD615" s="177"/>
      <c r="AE615" s="391"/>
      <c r="AF615" s="383"/>
      <c r="AG615" s="177"/>
      <c r="AH615" s="177"/>
      <c r="AI615" s="177"/>
      <c r="AJ615" s="391"/>
      <c r="AK615" s="383"/>
      <c r="AL615" s="177"/>
      <c r="AM615" s="177"/>
      <c r="AN615" s="177"/>
      <c r="AO615" s="366"/>
      <c r="AP615" s="366"/>
      <c r="AQ615" s="366"/>
      <c r="AR615" s="366"/>
      <c r="AS615" s="366"/>
    </row>
    <row r="616">
      <c r="A616" s="391"/>
      <c r="B616" s="383"/>
      <c r="C616" s="177"/>
      <c r="D616" s="177"/>
      <c r="E616" s="177"/>
      <c r="F616" s="391"/>
      <c r="G616" s="383"/>
      <c r="H616" s="177"/>
      <c r="I616" s="177"/>
      <c r="J616" s="177"/>
      <c r="K616" s="88"/>
      <c r="L616" s="383"/>
      <c r="M616" s="177"/>
      <c r="N616" s="177"/>
      <c r="O616" s="177"/>
      <c r="P616" s="88"/>
      <c r="Q616" s="151"/>
      <c r="R616" s="177"/>
      <c r="S616" s="177"/>
      <c r="T616" s="177"/>
      <c r="U616" s="391"/>
      <c r="V616" s="383"/>
      <c r="W616" s="177"/>
      <c r="X616" s="177"/>
      <c r="Y616" s="177"/>
      <c r="Z616" s="391"/>
      <c r="AA616" s="383"/>
      <c r="AB616" s="177"/>
      <c r="AC616" s="177"/>
      <c r="AD616" s="177"/>
      <c r="AE616" s="391"/>
      <c r="AF616" s="383"/>
      <c r="AG616" s="177"/>
      <c r="AH616" s="177"/>
      <c r="AI616" s="177"/>
      <c r="AJ616" s="391"/>
      <c r="AK616" s="383"/>
      <c r="AL616" s="177"/>
      <c r="AM616" s="177"/>
      <c r="AN616" s="177"/>
      <c r="AO616" s="366"/>
      <c r="AP616" s="366"/>
      <c r="AQ616" s="366"/>
      <c r="AR616" s="366"/>
      <c r="AS616" s="366"/>
    </row>
    <row r="617">
      <c r="A617" s="391"/>
      <c r="B617" s="383"/>
      <c r="C617" s="177"/>
      <c r="D617" s="177"/>
      <c r="E617" s="177"/>
      <c r="F617" s="391"/>
      <c r="G617" s="383"/>
      <c r="H617" s="177"/>
      <c r="I617" s="177"/>
      <c r="J617" s="177"/>
      <c r="K617" s="88"/>
      <c r="L617" s="383"/>
      <c r="M617" s="177"/>
      <c r="N617" s="177"/>
      <c r="O617" s="177"/>
      <c r="P617" s="88"/>
      <c r="Q617" s="151"/>
      <c r="R617" s="177"/>
      <c r="S617" s="177"/>
      <c r="T617" s="177"/>
      <c r="U617" s="391"/>
      <c r="V617" s="383"/>
      <c r="W617" s="177"/>
      <c r="X617" s="177"/>
      <c r="Y617" s="177"/>
      <c r="Z617" s="391"/>
      <c r="AA617" s="383"/>
      <c r="AB617" s="177"/>
      <c r="AC617" s="177"/>
      <c r="AD617" s="177"/>
      <c r="AE617" s="391"/>
      <c r="AF617" s="383"/>
      <c r="AG617" s="177"/>
      <c r="AH617" s="177"/>
      <c r="AI617" s="177"/>
      <c r="AJ617" s="391"/>
      <c r="AK617" s="383"/>
      <c r="AL617" s="177"/>
      <c r="AM617" s="177"/>
      <c r="AN617" s="177"/>
      <c r="AO617" s="366"/>
      <c r="AP617" s="366"/>
      <c r="AQ617" s="366"/>
      <c r="AR617" s="366"/>
      <c r="AS617" s="366"/>
    </row>
    <row r="618">
      <c r="A618" s="391"/>
      <c r="B618" s="383"/>
      <c r="C618" s="177"/>
      <c r="D618" s="177"/>
      <c r="E618" s="177"/>
      <c r="F618" s="391"/>
      <c r="G618" s="383"/>
      <c r="H618" s="177"/>
      <c r="I618" s="177"/>
      <c r="J618" s="177"/>
      <c r="K618" s="88"/>
      <c r="L618" s="383"/>
      <c r="M618" s="177"/>
      <c r="N618" s="177"/>
      <c r="O618" s="177"/>
      <c r="P618" s="88"/>
      <c r="Q618" s="151"/>
      <c r="R618" s="177"/>
      <c r="S618" s="177"/>
      <c r="T618" s="177"/>
      <c r="U618" s="391"/>
      <c r="V618" s="383"/>
      <c r="W618" s="177"/>
      <c r="X618" s="177"/>
      <c r="Y618" s="177"/>
      <c r="Z618" s="391"/>
      <c r="AA618" s="383"/>
      <c r="AB618" s="177"/>
      <c r="AC618" s="177"/>
      <c r="AD618" s="177"/>
      <c r="AE618" s="391"/>
      <c r="AF618" s="383"/>
      <c r="AG618" s="177"/>
      <c r="AH618" s="177"/>
      <c r="AI618" s="177"/>
      <c r="AJ618" s="391"/>
      <c r="AK618" s="383"/>
      <c r="AL618" s="177"/>
      <c r="AM618" s="177"/>
      <c r="AN618" s="177"/>
      <c r="AO618" s="366"/>
      <c r="AP618" s="366"/>
      <c r="AQ618" s="366"/>
      <c r="AR618" s="366"/>
      <c r="AS618" s="366"/>
    </row>
    <row r="619">
      <c r="A619" s="391"/>
      <c r="B619" s="383"/>
      <c r="C619" s="177"/>
      <c r="D619" s="177"/>
      <c r="E619" s="177"/>
      <c r="F619" s="391"/>
      <c r="G619" s="383"/>
      <c r="H619" s="177"/>
      <c r="I619" s="177"/>
      <c r="J619" s="177"/>
      <c r="K619" s="88"/>
      <c r="L619" s="383"/>
      <c r="M619" s="177"/>
      <c r="N619" s="177"/>
      <c r="O619" s="177"/>
      <c r="P619" s="88"/>
      <c r="Q619" s="151"/>
      <c r="R619" s="177"/>
      <c r="S619" s="177"/>
      <c r="T619" s="177"/>
      <c r="U619" s="391"/>
      <c r="V619" s="383"/>
      <c r="W619" s="177"/>
      <c r="X619" s="177"/>
      <c r="Y619" s="177"/>
      <c r="Z619" s="391"/>
      <c r="AA619" s="383"/>
      <c r="AB619" s="177"/>
      <c r="AC619" s="177"/>
      <c r="AD619" s="177"/>
      <c r="AE619" s="391"/>
      <c r="AF619" s="383"/>
      <c r="AG619" s="177"/>
      <c r="AH619" s="177"/>
      <c r="AI619" s="177"/>
      <c r="AJ619" s="391"/>
      <c r="AK619" s="383"/>
      <c r="AL619" s="177"/>
      <c r="AM619" s="177"/>
      <c r="AN619" s="177"/>
      <c r="AO619" s="366"/>
      <c r="AP619" s="366"/>
      <c r="AQ619" s="366"/>
      <c r="AR619" s="366"/>
      <c r="AS619" s="366"/>
    </row>
    <row r="620">
      <c r="A620" s="391"/>
      <c r="B620" s="383"/>
      <c r="C620" s="177"/>
      <c r="D620" s="177"/>
      <c r="E620" s="177"/>
      <c r="F620" s="391"/>
      <c r="G620" s="383"/>
      <c r="H620" s="177"/>
      <c r="I620" s="177"/>
      <c r="J620" s="177"/>
      <c r="K620" s="88"/>
      <c r="L620" s="383"/>
      <c r="M620" s="177"/>
      <c r="N620" s="177"/>
      <c r="O620" s="177"/>
      <c r="P620" s="88"/>
      <c r="Q620" s="151"/>
      <c r="R620" s="177"/>
      <c r="S620" s="177"/>
      <c r="T620" s="177"/>
      <c r="U620" s="391"/>
      <c r="V620" s="383"/>
      <c r="W620" s="177"/>
      <c r="X620" s="177"/>
      <c r="Y620" s="177"/>
      <c r="Z620" s="391"/>
      <c r="AA620" s="383"/>
      <c r="AB620" s="177"/>
      <c r="AC620" s="177"/>
      <c r="AD620" s="177"/>
      <c r="AE620" s="391"/>
      <c r="AF620" s="383"/>
      <c r="AG620" s="177"/>
      <c r="AH620" s="177"/>
      <c r="AI620" s="177"/>
      <c r="AJ620" s="391"/>
      <c r="AK620" s="383"/>
      <c r="AL620" s="177"/>
      <c r="AM620" s="177"/>
      <c r="AN620" s="177"/>
      <c r="AO620" s="366"/>
      <c r="AP620" s="366"/>
      <c r="AQ620" s="366"/>
      <c r="AR620" s="366"/>
      <c r="AS620" s="366"/>
    </row>
    <row r="621">
      <c r="A621" s="391"/>
      <c r="B621" s="383"/>
      <c r="C621" s="177"/>
      <c r="D621" s="177"/>
      <c r="E621" s="177"/>
      <c r="F621" s="391"/>
      <c r="G621" s="383"/>
      <c r="H621" s="177"/>
      <c r="I621" s="177"/>
      <c r="J621" s="177"/>
      <c r="K621" s="88"/>
      <c r="L621" s="383"/>
      <c r="M621" s="177"/>
      <c r="N621" s="177"/>
      <c r="O621" s="177"/>
      <c r="P621" s="88"/>
      <c r="Q621" s="151"/>
      <c r="R621" s="177"/>
      <c r="S621" s="177"/>
      <c r="T621" s="177"/>
      <c r="U621" s="391"/>
      <c r="V621" s="383"/>
      <c r="W621" s="177"/>
      <c r="X621" s="177"/>
      <c r="Y621" s="177"/>
      <c r="Z621" s="391"/>
      <c r="AA621" s="383"/>
      <c r="AB621" s="177"/>
      <c r="AC621" s="177"/>
      <c r="AD621" s="177"/>
      <c r="AE621" s="391"/>
      <c r="AF621" s="383"/>
      <c r="AG621" s="177"/>
      <c r="AH621" s="177"/>
      <c r="AI621" s="177"/>
      <c r="AJ621" s="391"/>
      <c r="AK621" s="383"/>
      <c r="AL621" s="177"/>
      <c r="AM621" s="177"/>
      <c r="AN621" s="177"/>
      <c r="AO621" s="366"/>
      <c r="AP621" s="366"/>
      <c r="AQ621" s="366"/>
      <c r="AR621" s="366"/>
      <c r="AS621" s="366"/>
    </row>
    <row r="622">
      <c r="A622" s="391"/>
      <c r="B622" s="383"/>
      <c r="C622" s="177"/>
      <c r="D622" s="177"/>
      <c r="E622" s="177"/>
      <c r="F622" s="391"/>
      <c r="G622" s="383"/>
      <c r="H622" s="177"/>
      <c r="I622" s="177"/>
      <c r="J622" s="177"/>
      <c r="K622" s="88"/>
      <c r="L622" s="383"/>
      <c r="M622" s="177"/>
      <c r="N622" s="177"/>
      <c r="O622" s="177"/>
      <c r="P622" s="88"/>
      <c r="Q622" s="151"/>
      <c r="R622" s="177"/>
      <c r="S622" s="177"/>
      <c r="T622" s="177"/>
      <c r="U622" s="391"/>
      <c r="V622" s="383"/>
      <c r="W622" s="177"/>
      <c r="X622" s="177"/>
      <c r="Y622" s="177"/>
      <c r="Z622" s="391"/>
      <c r="AA622" s="383"/>
      <c r="AB622" s="177"/>
      <c r="AC622" s="177"/>
      <c r="AD622" s="177"/>
      <c r="AE622" s="391"/>
      <c r="AF622" s="383"/>
      <c r="AG622" s="177"/>
      <c r="AH622" s="177"/>
      <c r="AI622" s="177"/>
      <c r="AJ622" s="391"/>
      <c r="AK622" s="383"/>
      <c r="AL622" s="177"/>
      <c r="AM622" s="177"/>
      <c r="AN622" s="177"/>
      <c r="AO622" s="366"/>
      <c r="AP622" s="366"/>
      <c r="AQ622" s="366"/>
      <c r="AR622" s="366"/>
      <c r="AS622" s="366"/>
    </row>
    <row r="623">
      <c r="A623" s="391"/>
      <c r="B623" s="383"/>
      <c r="C623" s="177"/>
      <c r="D623" s="177"/>
      <c r="E623" s="177"/>
      <c r="F623" s="391"/>
      <c r="G623" s="383"/>
      <c r="H623" s="177"/>
      <c r="I623" s="177"/>
      <c r="J623" s="177"/>
      <c r="K623" s="88"/>
      <c r="L623" s="383"/>
      <c r="M623" s="177"/>
      <c r="N623" s="177"/>
      <c r="O623" s="177"/>
      <c r="P623" s="88"/>
      <c r="Q623" s="151"/>
      <c r="R623" s="177"/>
      <c r="S623" s="177"/>
      <c r="T623" s="177"/>
      <c r="U623" s="391"/>
      <c r="V623" s="383"/>
      <c r="W623" s="177"/>
      <c r="X623" s="177"/>
      <c r="Y623" s="177"/>
      <c r="Z623" s="391"/>
      <c r="AA623" s="383"/>
      <c r="AB623" s="177"/>
      <c r="AC623" s="177"/>
      <c r="AD623" s="177"/>
      <c r="AE623" s="391"/>
      <c r="AF623" s="383"/>
      <c r="AG623" s="177"/>
      <c r="AH623" s="177"/>
      <c r="AI623" s="177"/>
      <c r="AJ623" s="391"/>
      <c r="AK623" s="383"/>
      <c r="AL623" s="177"/>
      <c r="AM623" s="177"/>
      <c r="AN623" s="177"/>
      <c r="AO623" s="366"/>
      <c r="AP623" s="366"/>
      <c r="AQ623" s="366"/>
      <c r="AR623" s="366"/>
      <c r="AS623" s="366"/>
    </row>
    <row r="624">
      <c r="A624" s="391"/>
      <c r="B624" s="383"/>
      <c r="C624" s="177"/>
      <c r="D624" s="177"/>
      <c r="E624" s="177"/>
      <c r="F624" s="391"/>
      <c r="G624" s="383"/>
      <c r="H624" s="177"/>
      <c r="I624" s="177"/>
      <c r="J624" s="177"/>
      <c r="K624" s="88"/>
      <c r="L624" s="383"/>
      <c r="M624" s="177"/>
      <c r="N624" s="177"/>
      <c r="O624" s="177"/>
      <c r="P624" s="88"/>
      <c r="Q624" s="151"/>
      <c r="R624" s="177"/>
      <c r="S624" s="177"/>
      <c r="T624" s="177"/>
      <c r="U624" s="391"/>
      <c r="V624" s="383"/>
      <c r="W624" s="177"/>
      <c r="X624" s="177"/>
      <c r="Y624" s="177"/>
      <c r="Z624" s="391"/>
      <c r="AA624" s="383"/>
      <c r="AB624" s="177"/>
      <c r="AC624" s="177"/>
      <c r="AD624" s="177"/>
      <c r="AE624" s="391"/>
      <c r="AF624" s="383"/>
      <c r="AG624" s="177"/>
      <c r="AH624" s="177"/>
      <c r="AI624" s="177"/>
      <c r="AJ624" s="391"/>
      <c r="AK624" s="383"/>
      <c r="AL624" s="177"/>
      <c r="AM624" s="177"/>
      <c r="AN624" s="177"/>
      <c r="AO624" s="366"/>
      <c r="AP624" s="366"/>
      <c r="AQ624" s="366"/>
      <c r="AR624" s="366"/>
      <c r="AS624" s="366"/>
    </row>
    <row r="625">
      <c r="A625" s="391"/>
      <c r="B625" s="383"/>
      <c r="C625" s="177"/>
      <c r="D625" s="177"/>
      <c r="E625" s="177"/>
      <c r="F625" s="391"/>
      <c r="G625" s="383"/>
      <c r="H625" s="177"/>
      <c r="I625" s="177"/>
      <c r="J625" s="177"/>
      <c r="K625" s="88"/>
      <c r="L625" s="383"/>
      <c r="M625" s="177"/>
      <c r="N625" s="177"/>
      <c r="O625" s="177"/>
      <c r="P625" s="88"/>
      <c r="Q625" s="151"/>
      <c r="R625" s="177"/>
      <c r="S625" s="177"/>
      <c r="T625" s="177"/>
      <c r="U625" s="391"/>
      <c r="V625" s="383"/>
      <c r="W625" s="177"/>
      <c r="X625" s="177"/>
      <c r="Y625" s="177"/>
      <c r="Z625" s="391"/>
      <c r="AA625" s="383"/>
      <c r="AB625" s="177"/>
      <c r="AC625" s="177"/>
      <c r="AD625" s="177"/>
      <c r="AE625" s="391"/>
      <c r="AF625" s="383"/>
      <c r="AG625" s="177"/>
      <c r="AH625" s="177"/>
      <c r="AI625" s="177"/>
      <c r="AJ625" s="391"/>
      <c r="AK625" s="383"/>
      <c r="AL625" s="177"/>
      <c r="AM625" s="177"/>
      <c r="AN625" s="177"/>
      <c r="AO625" s="366"/>
      <c r="AP625" s="366"/>
      <c r="AQ625" s="366"/>
      <c r="AR625" s="366"/>
      <c r="AS625" s="366"/>
    </row>
    <row r="626">
      <c r="A626" s="391"/>
      <c r="B626" s="383"/>
      <c r="C626" s="177"/>
      <c r="D626" s="177"/>
      <c r="E626" s="177"/>
      <c r="F626" s="391"/>
      <c r="G626" s="383"/>
      <c r="H626" s="177"/>
      <c r="I626" s="177"/>
      <c r="J626" s="177"/>
      <c r="K626" s="88"/>
      <c r="L626" s="383"/>
      <c r="M626" s="177"/>
      <c r="N626" s="177"/>
      <c r="O626" s="177"/>
      <c r="P626" s="88"/>
      <c r="Q626" s="151"/>
      <c r="R626" s="177"/>
      <c r="S626" s="177"/>
      <c r="T626" s="177"/>
      <c r="U626" s="391"/>
      <c r="V626" s="383"/>
      <c r="W626" s="177"/>
      <c r="X626" s="177"/>
      <c r="Y626" s="177"/>
      <c r="Z626" s="391"/>
      <c r="AA626" s="383"/>
      <c r="AB626" s="177"/>
      <c r="AC626" s="177"/>
      <c r="AD626" s="177"/>
      <c r="AE626" s="391"/>
      <c r="AF626" s="383"/>
      <c r="AG626" s="177"/>
      <c r="AH626" s="177"/>
      <c r="AI626" s="177"/>
      <c r="AJ626" s="391"/>
      <c r="AK626" s="383"/>
      <c r="AL626" s="177"/>
      <c r="AM626" s="177"/>
      <c r="AN626" s="177"/>
      <c r="AO626" s="366"/>
      <c r="AP626" s="366"/>
      <c r="AQ626" s="366"/>
      <c r="AR626" s="366"/>
      <c r="AS626" s="366"/>
    </row>
    <row r="627">
      <c r="A627" s="391"/>
      <c r="B627" s="383"/>
      <c r="C627" s="177"/>
      <c r="D627" s="177"/>
      <c r="E627" s="177"/>
      <c r="F627" s="391"/>
      <c r="G627" s="383"/>
      <c r="H627" s="177"/>
      <c r="I627" s="177"/>
      <c r="J627" s="177"/>
      <c r="K627" s="88"/>
      <c r="L627" s="383"/>
      <c r="M627" s="177"/>
      <c r="N627" s="177"/>
      <c r="O627" s="177"/>
      <c r="P627" s="88"/>
      <c r="Q627" s="151"/>
      <c r="R627" s="177"/>
      <c r="S627" s="177"/>
      <c r="T627" s="177"/>
      <c r="U627" s="391"/>
      <c r="V627" s="383"/>
      <c r="W627" s="177"/>
      <c r="X627" s="177"/>
      <c r="Y627" s="177"/>
      <c r="Z627" s="391"/>
      <c r="AA627" s="383"/>
      <c r="AB627" s="177"/>
      <c r="AC627" s="177"/>
      <c r="AD627" s="177"/>
      <c r="AE627" s="391"/>
      <c r="AF627" s="383"/>
      <c r="AG627" s="177"/>
      <c r="AH627" s="177"/>
      <c r="AI627" s="177"/>
      <c r="AJ627" s="391"/>
      <c r="AK627" s="383"/>
      <c r="AL627" s="177"/>
      <c r="AM627" s="177"/>
      <c r="AN627" s="177"/>
      <c r="AO627" s="366"/>
      <c r="AP627" s="366"/>
      <c r="AQ627" s="366"/>
      <c r="AR627" s="366"/>
      <c r="AS627" s="366"/>
    </row>
    <row r="628">
      <c r="A628" s="391"/>
      <c r="B628" s="383"/>
      <c r="C628" s="177"/>
      <c r="D628" s="177"/>
      <c r="E628" s="177"/>
      <c r="F628" s="391"/>
      <c r="G628" s="383"/>
      <c r="H628" s="177"/>
      <c r="I628" s="177"/>
      <c r="J628" s="177"/>
      <c r="K628" s="88"/>
      <c r="L628" s="383"/>
      <c r="M628" s="177"/>
      <c r="N628" s="177"/>
      <c r="O628" s="177"/>
      <c r="P628" s="88"/>
      <c r="Q628" s="151"/>
      <c r="R628" s="177"/>
      <c r="S628" s="177"/>
      <c r="T628" s="177"/>
      <c r="U628" s="391"/>
      <c r="V628" s="383"/>
      <c r="W628" s="177"/>
      <c r="X628" s="177"/>
      <c r="Y628" s="177"/>
      <c r="Z628" s="391"/>
      <c r="AA628" s="383"/>
      <c r="AB628" s="177"/>
      <c r="AC628" s="177"/>
      <c r="AD628" s="177"/>
      <c r="AE628" s="391"/>
      <c r="AF628" s="383"/>
      <c r="AG628" s="177"/>
      <c r="AH628" s="177"/>
      <c r="AI628" s="177"/>
      <c r="AJ628" s="391"/>
      <c r="AK628" s="383"/>
      <c r="AL628" s="177"/>
      <c r="AM628" s="177"/>
      <c r="AN628" s="177"/>
      <c r="AO628" s="366"/>
      <c r="AP628" s="366"/>
      <c r="AQ628" s="366"/>
      <c r="AR628" s="366"/>
      <c r="AS628" s="366"/>
    </row>
    <row r="629">
      <c r="A629" s="391"/>
      <c r="B629" s="383"/>
      <c r="C629" s="177"/>
      <c r="D629" s="177"/>
      <c r="E629" s="177"/>
      <c r="F629" s="391"/>
      <c r="G629" s="383"/>
      <c r="H629" s="177"/>
      <c r="I629" s="177"/>
      <c r="J629" s="177"/>
      <c r="K629" s="88"/>
      <c r="L629" s="383"/>
      <c r="M629" s="177"/>
      <c r="N629" s="177"/>
      <c r="O629" s="177"/>
      <c r="P629" s="88"/>
      <c r="Q629" s="151"/>
      <c r="R629" s="177"/>
      <c r="S629" s="177"/>
      <c r="T629" s="177"/>
      <c r="U629" s="391"/>
      <c r="V629" s="383"/>
      <c r="W629" s="177"/>
      <c r="X629" s="177"/>
      <c r="Y629" s="177"/>
      <c r="Z629" s="391"/>
      <c r="AA629" s="383"/>
      <c r="AB629" s="177"/>
      <c r="AC629" s="177"/>
      <c r="AD629" s="177"/>
      <c r="AE629" s="391"/>
      <c r="AF629" s="383"/>
      <c r="AG629" s="177"/>
      <c r="AH629" s="177"/>
      <c r="AI629" s="177"/>
      <c r="AJ629" s="391"/>
      <c r="AK629" s="383"/>
      <c r="AL629" s="177"/>
      <c r="AM629" s="177"/>
      <c r="AN629" s="177"/>
      <c r="AO629" s="366"/>
      <c r="AP629" s="366"/>
      <c r="AQ629" s="366"/>
      <c r="AR629" s="366"/>
      <c r="AS629" s="366"/>
    </row>
    <row r="630">
      <c r="A630" s="391"/>
      <c r="B630" s="383"/>
      <c r="C630" s="177"/>
      <c r="D630" s="177"/>
      <c r="E630" s="177"/>
      <c r="F630" s="391"/>
      <c r="G630" s="383"/>
      <c r="H630" s="177"/>
      <c r="I630" s="177"/>
      <c r="J630" s="177"/>
      <c r="K630" s="88"/>
      <c r="L630" s="383"/>
      <c r="M630" s="177"/>
      <c r="N630" s="177"/>
      <c r="O630" s="177"/>
      <c r="P630" s="88"/>
      <c r="Q630" s="151"/>
      <c r="R630" s="177"/>
      <c r="S630" s="177"/>
      <c r="T630" s="177"/>
      <c r="U630" s="391"/>
      <c r="V630" s="383"/>
      <c r="W630" s="177"/>
      <c r="X630" s="177"/>
      <c r="Y630" s="177"/>
      <c r="Z630" s="391"/>
      <c r="AA630" s="383"/>
      <c r="AB630" s="177"/>
      <c r="AC630" s="177"/>
      <c r="AD630" s="177"/>
      <c r="AE630" s="391"/>
      <c r="AF630" s="383"/>
      <c r="AG630" s="177"/>
      <c r="AH630" s="177"/>
      <c r="AI630" s="177"/>
      <c r="AJ630" s="391"/>
      <c r="AK630" s="383"/>
      <c r="AL630" s="177"/>
      <c r="AM630" s="177"/>
      <c r="AN630" s="177"/>
      <c r="AO630" s="366"/>
      <c r="AP630" s="366"/>
      <c r="AQ630" s="366"/>
      <c r="AR630" s="366"/>
      <c r="AS630" s="366"/>
    </row>
    <row r="631">
      <c r="A631" s="391"/>
      <c r="B631" s="383"/>
      <c r="C631" s="177"/>
      <c r="D631" s="177"/>
      <c r="E631" s="177"/>
      <c r="F631" s="391"/>
      <c r="G631" s="383"/>
      <c r="H631" s="177"/>
      <c r="I631" s="177"/>
      <c r="J631" s="177"/>
      <c r="K631" s="88"/>
      <c r="L631" s="383"/>
      <c r="M631" s="177"/>
      <c r="N631" s="177"/>
      <c r="O631" s="177"/>
      <c r="P631" s="88"/>
      <c r="Q631" s="151"/>
      <c r="R631" s="177"/>
      <c r="S631" s="177"/>
      <c r="T631" s="177"/>
      <c r="U631" s="391"/>
      <c r="V631" s="383"/>
      <c r="W631" s="177"/>
      <c r="X631" s="177"/>
      <c r="Y631" s="177"/>
      <c r="Z631" s="391"/>
      <c r="AA631" s="383"/>
      <c r="AB631" s="177"/>
      <c r="AC631" s="177"/>
      <c r="AD631" s="177"/>
      <c r="AE631" s="391"/>
      <c r="AF631" s="383"/>
      <c r="AG631" s="177"/>
      <c r="AH631" s="177"/>
      <c r="AI631" s="177"/>
      <c r="AJ631" s="391"/>
      <c r="AK631" s="383"/>
      <c r="AL631" s="177"/>
      <c r="AM631" s="177"/>
      <c r="AN631" s="177"/>
      <c r="AO631" s="366"/>
      <c r="AP631" s="366"/>
      <c r="AQ631" s="366"/>
      <c r="AR631" s="366"/>
      <c r="AS631" s="366"/>
    </row>
    <row r="632">
      <c r="A632" s="391"/>
      <c r="B632" s="383"/>
      <c r="C632" s="177"/>
      <c r="D632" s="177"/>
      <c r="E632" s="177"/>
      <c r="F632" s="391"/>
      <c r="G632" s="383"/>
      <c r="H632" s="177"/>
      <c r="I632" s="177"/>
      <c r="J632" s="177"/>
      <c r="K632" s="88"/>
      <c r="L632" s="383"/>
      <c r="M632" s="177"/>
      <c r="N632" s="177"/>
      <c r="O632" s="177"/>
      <c r="P632" s="88"/>
      <c r="Q632" s="151"/>
      <c r="R632" s="177"/>
      <c r="S632" s="177"/>
      <c r="T632" s="177"/>
      <c r="U632" s="391"/>
      <c r="V632" s="383"/>
      <c r="W632" s="177"/>
      <c r="X632" s="177"/>
      <c r="Y632" s="177"/>
      <c r="Z632" s="391"/>
      <c r="AA632" s="383"/>
      <c r="AB632" s="177"/>
      <c r="AC632" s="177"/>
      <c r="AD632" s="177"/>
      <c r="AE632" s="391"/>
      <c r="AF632" s="383"/>
      <c r="AG632" s="177"/>
      <c r="AH632" s="177"/>
      <c r="AI632" s="177"/>
      <c r="AJ632" s="391"/>
      <c r="AK632" s="383"/>
      <c r="AL632" s="177"/>
      <c r="AM632" s="177"/>
      <c r="AN632" s="177"/>
      <c r="AO632" s="366"/>
      <c r="AP632" s="366"/>
      <c r="AQ632" s="366"/>
      <c r="AR632" s="366"/>
      <c r="AS632" s="366"/>
    </row>
    <row r="633">
      <c r="A633" s="391"/>
      <c r="B633" s="383"/>
      <c r="C633" s="177"/>
      <c r="D633" s="177"/>
      <c r="E633" s="177"/>
      <c r="F633" s="391"/>
      <c r="G633" s="383"/>
      <c r="H633" s="177"/>
      <c r="I633" s="177"/>
      <c r="J633" s="177"/>
      <c r="K633" s="88"/>
      <c r="L633" s="383"/>
      <c r="M633" s="177"/>
      <c r="N633" s="177"/>
      <c r="O633" s="177"/>
      <c r="P633" s="88"/>
      <c r="Q633" s="151"/>
      <c r="R633" s="177"/>
      <c r="S633" s="177"/>
      <c r="T633" s="177"/>
      <c r="U633" s="391"/>
      <c r="V633" s="383"/>
      <c r="W633" s="177"/>
      <c r="X633" s="177"/>
      <c r="Y633" s="177"/>
      <c r="Z633" s="391"/>
      <c r="AA633" s="383"/>
      <c r="AB633" s="177"/>
      <c r="AC633" s="177"/>
      <c r="AD633" s="177"/>
      <c r="AE633" s="391"/>
      <c r="AF633" s="383"/>
      <c r="AG633" s="177"/>
      <c r="AH633" s="177"/>
      <c r="AI633" s="177"/>
      <c r="AJ633" s="391"/>
      <c r="AK633" s="383"/>
      <c r="AL633" s="177"/>
      <c r="AM633" s="177"/>
      <c r="AN633" s="177"/>
      <c r="AO633" s="366"/>
      <c r="AP633" s="366"/>
      <c r="AQ633" s="366"/>
      <c r="AR633" s="366"/>
      <c r="AS633" s="366"/>
    </row>
    <row r="634">
      <c r="A634" s="391"/>
      <c r="B634" s="383"/>
      <c r="C634" s="177"/>
      <c r="D634" s="177"/>
      <c r="E634" s="177"/>
      <c r="F634" s="391"/>
      <c r="G634" s="383"/>
      <c r="H634" s="177"/>
      <c r="I634" s="177"/>
      <c r="J634" s="177"/>
      <c r="K634" s="88"/>
      <c r="L634" s="383"/>
      <c r="M634" s="177"/>
      <c r="N634" s="177"/>
      <c r="O634" s="177"/>
      <c r="P634" s="88"/>
      <c r="Q634" s="151"/>
      <c r="R634" s="177"/>
      <c r="S634" s="177"/>
      <c r="T634" s="177"/>
      <c r="U634" s="391"/>
      <c r="V634" s="383"/>
      <c r="W634" s="177"/>
      <c r="X634" s="177"/>
      <c r="Y634" s="177"/>
      <c r="Z634" s="391"/>
      <c r="AA634" s="383"/>
      <c r="AB634" s="177"/>
      <c r="AC634" s="177"/>
      <c r="AD634" s="177"/>
      <c r="AE634" s="391"/>
      <c r="AF634" s="383"/>
      <c r="AG634" s="177"/>
      <c r="AH634" s="177"/>
      <c r="AI634" s="177"/>
      <c r="AJ634" s="391"/>
      <c r="AK634" s="383"/>
      <c r="AL634" s="177"/>
      <c r="AM634" s="177"/>
      <c r="AN634" s="177"/>
      <c r="AO634" s="366"/>
      <c r="AP634" s="366"/>
      <c r="AQ634" s="366"/>
      <c r="AR634" s="366"/>
      <c r="AS634" s="366"/>
    </row>
    <row r="635">
      <c r="A635" s="391"/>
      <c r="B635" s="383"/>
      <c r="C635" s="177"/>
      <c r="D635" s="177"/>
      <c r="E635" s="177"/>
      <c r="F635" s="391"/>
      <c r="G635" s="383"/>
      <c r="H635" s="177"/>
      <c r="I635" s="177"/>
      <c r="J635" s="177"/>
      <c r="K635" s="88"/>
      <c r="L635" s="383"/>
      <c r="M635" s="177"/>
      <c r="N635" s="177"/>
      <c r="O635" s="177"/>
      <c r="P635" s="88"/>
      <c r="Q635" s="151"/>
      <c r="R635" s="177"/>
      <c r="S635" s="177"/>
      <c r="T635" s="177"/>
      <c r="U635" s="391"/>
      <c r="V635" s="383"/>
      <c r="W635" s="177"/>
      <c r="X635" s="177"/>
      <c r="Y635" s="177"/>
      <c r="Z635" s="391"/>
      <c r="AA635" s="383"/>
      <c r="AB635" s="177"/>
      <c r="AC635" s="177"/>
      <c r="AD635" s="177"/>
      <c r="AE635" s="391"/>
      <c r="AF635" s="383"/>
      <c r="AG635" s="177"/>
      <c r="AH635" s="177"/>
      <c r="AI635" s="177"/>
      <c r="AJ635" s="391"/>
      <c r="AK635" s="383"/>
      <c r="AL635" s="177"/>
      <c r="AM635" s="177"/>
      <c r="AN635" s="177"/>
      <c r="AO635" s="366"/>
      <c r="AP635" s="366"/>
      <c r="AQ635" s="366"/>
      <c r="AR635" s="366"/>
      <c r="AS635" s="366"/>
    </row>
    <row r="636">
      <c r="A636" s="391"/>
      <c r="B636" s="383"/>
      <c r="C636" s="177"/>
      <c r="D636" s="177"/>
      <c r="E636" s="177"/>
      <c r="F636" s="391"/>
      <c r="G636" s="383"/>
      <c r="H636" s="177"/>
      <c r="I636" s="177"/>
      <c r="J636" s="177"/>
      <c r="K636" s="88"/>
      <c r="L636" s="383"/>
      <c r="M636" s="177"/>
      <c r="N636" s="177"/>
      <c r="O636" s="177"/>
      <c r="P636" s="88"/>
      <c r="Q636" s="151"/>
      <c r="R636" s="177"/>
      <c r="S636" s="177"/>
      <c r="T636" s="177"/>
      <c r="U636" s="391"/>
      <c r="V636" s="383"/>
      <c r="W636" s="177"/>
      <c r="X636" s="177"/>
      <c r="Y636" s="177"/>
      <c r="Z636" s="391"/>
      <c r="AA636" s="383"/>
      <c r="AB636" s="177"/>
      <c r="AC636" s="177"/>
      <c r="AD636" s="177"/>
      <c r="AE636" s="391"/>
      <c r="AF636" s="383"/>
      <c r="AG636" s="177"/>
      <c r="AH636" s="177"/>
      <c r="AI636" s="177"/>
      <c r="AJ636" s="391"/>
      <c r="AK636" s="383"/>
      <c r="AL636" s="177"/>
      <c r="AM636" s="177"/>
      <c r="AN636" s="177"/>
      <c r="AO636" s="366"/>
      <c r="AP636" s="366"/>
      <c r="AQ636" s="366"/>
      <c r="AR636" s="366"/>
      <c r="AS636" s="366"/>
    </row>
    <row r="637">
      <c r="A637" s="391"/>
      <c r="B637" s="383"/>
      <c r="C637" s="177"/>
      <c r="D637" s="177"/>
      <c r="E637" s="177"/>
      <c r="F637" s="391"/>
      <c r="G637" s="383"/>
      <c r="H637" s="177"/>
      <c r="I637" s="177"/>
      <c r="J637" s="177"/>
      <c r="K637" s="88"/>
      <c r="L637" s="383"/>
      <c r="M637" s="177"/>
      <c r="N637" s="177"/>
      <c r="O637" s="177"/>
      <c r="P637" s="88"/>
      <c r="Q637" s="151"/>
      <c r="R637" s="177"/>
      <c r="S637" s="177"/>
      <c r="T637" s="177"/>
      <c r="U637" s="391"/>
      <c r="V637" s="383"/>
      <c r="W637" s="177"/>
      <c r="X637" s="177"/>
      <c r="Y637" s="177"/>
      <c r="Z637" s="391"/>
      <c r="AA637" s="383"/>
      <c r="AB637" s="177"/>
      <c r="AC637" s="177"/>
      <c r="AD637" s="177"/>
      <c r="AE637" s="391"/>
      <c r="AF637" s="383"/>
      <c r="AG637" s="177"/>
      <c r="AH637" s="177"/>
      <c r="AI637" s="177"/>
      <c r="AJ637" s="391"/>
      <c r="AK637" s="383"/>
      <c r="AL637" s="177"/>
      <c r="AM637" s="177"/>
      <c r="AN637" s="177"/>
      <c r="AO637" s="366"/>
      <c r="AP637" s="366"/>
      <c r="AQ637" s="366"/>
      <c r="AR637" s="366"/>
      <c r="AS637" s="366"/>
    </row>
    <row r="638">
      <c r="A638" s="391"/>
      <c r="B638" s="383"/>
      <c r="C638" s="177"/>
      <c r="D638" s="177"/>
      <c r="E638" s="177"/>
      <c r="F638" s="391"/>
      <c r="G638" s="383"/>
      <c r="H638" s="177"/>
      <c r="I638" s="177"/>
      <c r="J638" s="177"/>
      <c r="K638" s="88"/>
      <c r="L638" s="383"/>
      <c r="M638" s="177"/>
      <c r="N638" s="177"/>
      <c r="O638" s="177"/>
      <c r="P638" s="88"/>
      <c r="Q638" s="151"/>
      <c r="R638" s="177"/>
      <c r="S638" s="177"/>
      <c r="T638" s="177"/>
      <c r="U638" s="391"/>
      <c r="V638" s="383"/>
      <c r="W638" s="177"/>
      <c r="X638" s="177"/>
      <c r="Y638" s="177"/>
      <c r="Z638" s="391"/>
      <c r="AA638" s="383"/>
      <c r="AB638" s="177"/>
      <c r="AC638" s="177"/>
      <c r="AD638" s="177"/>
      <c r="AE638" s="391"/>
      <c r="AF638" s="383"/>
      <c r="AG638" s="177"/>
      <c r="AH638" s="177"/>
      <c r="AI638" s="177"/>
      <c r="AJ638" s="391"/>
      <c r="AK638" s="383"/>
      <c r="AL638" s="177"/>
      <c r="AM638" s="177"/>
      <c r="AN638" s="177"/>
      <c r="AO638" s="366"/>
      <c r="AP638" s="366"/>
      <c r="AQ638" s="366"/>
      <c r="AR638" s="366"/>
      <c r="AS638" s="366"/>
    </row>
    <row r="639">
      <c r="A639" s="391"/>
      <c r="B639" s="383"/>
      <c r="C639" s="177"/>
      <c r="D639" s="177"/>
      <c r="E639" s="177"/>
      <c r="F639" s="391"/>
      <c r="G639" s="383"/>
      <c r="H639" s="177"/>
      <c r="I639" s="177"/>
      <c r="J639" s="177"/>
      <c r="K639" s="88"/>
      <c r="L639" s="383"/>
      <c r="M639" s="177"/>
      <c r="N639" s="177"/>
      <c r="O639" s="177"/>
      <c r="P639" s="88"/>
      <c r="Q639" s="151"/>
      <c r="R639" s="177"/>
      <c r="S639" s="177"/>
      <c r="T639" s="177"/>
      <c r="U639" s="391"/>
      <c r="V639" s="383"/>
      <c r="W639" s="177"/>
      <c r="X639" s="177"/>
      <c r="Y639" s="177"/>
      <c r="Z639" s="391"/>
      <c r="AA639" s="383"/>
      <c r="AB639" s="177"/>
      <c r="AC639" s="177"/>
      <c r="AD639" s="177"/>
      <c r="AE639" s="391"/>
      <c r="AF639" s="383"/>
      <c r="AG639" s="177"/>
      <c r="AH639" s="177"/>
      <c r="AI639" s="177"/>
      <c r="AJ639" s="391"/>
      <c r="AK639" s="383"/>
      <c r="AL639" s="177"/>
      <c r="AM639" s="177"/>
      <c r="AN639" s="177"/>
      <c r="AO639" s="366"/>
      <c r="AP639" s="366"/>
      <c r="AQ639" s="366"/>
      <c r="AR639" s="366"/>
      <c r="AS639" s="366"/>
    </row>
    <row r="640">
      <c r="A640" s="391"/>
      <c r="B640" s="383"/>
      <c r="C640" s="177"/>
      <c r="D640" s="177"/>
      <c r="E640" s="177"/>
      <c r="F640" s="391"/>
      <c r="G640" s="383"/>
      <c r="H640" s="177"/>
      <c r="I640" s="177"/>
      <c r="J640" s="177"/>
      <c r="K640" s="88"/>
      <c r="L640" s="383"/>
      <c r="M640" s="177"/>
      <c r="N640" s="177"/>
      <c r="O640" s="177"/>
      <c r="P640" s="88"/>
      <c r="Q640" s="151"/>
      <c r="R640" s="177"/>
      <c r="S640" s="177"/>
      <c r="T640" s="177"/>
      <c r="U640" s="391"/>
      <c r="V640" s="383"/>
      <c r="W640" s="177"/>
      <c r="X640" s="177"/>
      <c r="Y640" s="177"/>
      <c r="Z640" s="391"/>
      <c r="AA640" s="383"/>
      <c r="AB640" s="177"/>
      <c r="AC640" s="177"/>
      <c r="AD640" s="177"/>
      <c r="AE640" s="391"/>
      <c r="AF640" s="383"/>
      <c r="AG640" s="177"/>
      <c r="AH640" s="177"/>
      <c r="AI640" s="177"/>
      <c r="AJ640" s="391"/>
      <c r="AK640" s="383"/>
      <c r="AL640" s="177"/>
      <c r="AM640" s="177"/>
      <c r="AN640" s="177"/>
      <c r="AO640" s="366"/>
      <c r="AP640" s="366"/>
      <c r="AQ640" s="366"/>
      <c r="AR640" s="366"/>
      <c r="AS640" s="366"/>
    </row>
    <row r="641">
      <c r="A641" s="391"/>
      <c r="B641" s="383"/>
      <c r="C641" s="177"/>
      <c r="D641" s="177"/>
      <c r="E641" s="177"/>
      <c r="F641" s="391"/>
      <c r="G641" s="383"/>
      <c r="H641" s="177"/>
      <c r="I641" s="177"/>
      <c r="J641" s="177"/>
      <c r="K641" s="88"/>
      <c r="L641" s="383"/>
      <c r="M641" s="177"/>
      <c r="N641" s="177"/>
      <c r="O641" s="177"/>
      <c r="P641" s="88"/>
      <c r="Q641" s="151"/>
      <c r="R641" s="177"/>
      <c r="S641" s="177"/>
      <c r="T641" s="177"/>
      <c r="U641" s="391"/>
      <c r="V641" s="383"/>
      <c r="W641" s="177"/>
      <c r="X641" s="177"/>
      <c r="Y641" s="177"/>
      <c r="Z641" s="391"/>
      <c r="AA641" s="383"/>
      <c r="AB641" s="177"/>
      <c r="AC641" s="177"/>
      <c r="AD641" s="177"/>
      <c r="AE641" s="391"/>
      <c r="AF641" s="383"/>
      <c r="AG641" s="177"/>
      <c r="AH641" s="177"/>
      <c r="AI641" s="177"/>
      <c r="AJ641" s="391"/>
      <c r="AK641" s="383"/>
      <c r="AL641" s="177"/>
      <c r="AM641" s="177"/>
      <c r="AN641" s="177"/>
      <c r="AO641" s="366"/>
      <c r="AP641" s="366"/>
      <c r="AQ641" s="366"/>
      <c r="AR641" s="366"/>
      <c r="AS641" s="366"/>
    </row>
    <row r="642">
      <c r="A642" s="391"/>
      <c r="B642" s="383"/>
      <c r="C642" s="177"/>
      <c r="D642" s="177"/>
      <c r="E642" s="177"/>
      <c r="F642" s="391"/>
      <c r="G642" s="383"/>
      <c r="H642" s="177"/>
      <c r="I642" s="177"/>
      <c r="J642" s="177"/>
      <c r="K642" s="88"/>
      <c r="L642" s="383"/>
      <c r="M642" s="177"/>
      <c r="N642" s="177"/>
      <c r="O642" s="177"/>
      <c r="P642" s="88"/>
      <c r="Q642" s="151"/>
      <c r="R642" s="177"/>
      <c r="S642" s="177"/>
      <c r="T642" s="177"/>
      <c r="U642" s="391"/>
      <c r="V642" s="383"/>
      <c r="W642" s="177"/>
      <c r="X642" s="177"/>
      <c r="Y642" s="177"/>
      <c r="Z642" s="391"/>
      <c r="AA642" s="383"/>
      <c r="AB642" s="177"/>
      <c r="AC642" s="177"/>
      <c r="AD642" s="177"/>
      <c r="AE642" s="391"/>
      <c r="AF642" s="383"/>
      <c r="AG642" s="177"/>
      <c r="AH642" s="177"/>
      <c r="AI642" s="177"/>
      <c r="AJ642" s="391"/>
      <c r="AK642" s="383"/>
      <c r="AL642" s="177"/>
      <c r="AM642" s="177"/>
      <c r="AN642" s="177"/>
      <c r="AO642" s="366"/>
      <c r="AP642" s="366"/>
      <c r="AQ642" s="366"/>
      <c r="AR642" s="366"/>
      <c r="AS642" s="366"/>
    </row>
    <row r="643">
      <c r="A643" s="391"/>
      <c r="B643" s="383"/>
      <c r="C643" s="177"/>
      <c r="D643" s="177"/>
      <c r="E643" s="177"/>
      <c r="F643" s="391"/>
      <c r="G643" s="383"/>
      <c r="H643" s="177"/>
      <c r="I643" s="177"/>
      <c r="J643" s="177"/>
      <c r="K643" s="88"/>
      <c r="L643" s="383"/>
      <c r="M643" s="177"/>
      <c r="N643" s="177"/>
      <c r="O643" s="177"/>
      <c r="P643" s="88"/>
      <c r="Q643" s="151"/>
      <c r="R643" s="177"/>
      <c r="S643" s="177"/>
      <c r="T643" s="177"/>
      <c r="U643" s="391"/>
      <c r="V643" s="383"/>
      <c r="W643" s="177"/>
      <c r="X643" s="177"/>
      <c r="Y643" s="177"/>
      <c r="Z643" s="391"/>
      <c r="AA643" s="383"/>
      <c r="AB643" s="177"/>
      <c r="AC643" s="177"/>
      <c r="AD643" s="177"/>
      <c r="AE643" s="391"/>
      <c r="AF643" s="383"/>
      <c r="AG643" s="177"/>
      <c r="AH643" s="177"/>
      <c r="AI643" s="177"/>
      <c r="AJ643" s="391"/>
      <c r="AK643" s="383"/>
      <c r="AL643" s="177"/>
      <c r="AM643" s="177"/>
      <c r="AN643" s="177"/>
      <c r="AO643" s="366"/>
      <c r="AP643" s="366"/>
      <c r="AQ643" s="366"/>
      <c r="AR643" s="366"/>
      <c r="AS643" s="366"/>
    </row>
    <row r="644">
      <c r="A644" s="391"/>
      <c r="B644" s="383"/>
      <c r="C644" s="177"/>
      <c r="D644" s="177"/>
      <c r="E644" s="177"/>
      <c r="F644" s="391"/>
      <c r="G644" s="383"/>
      <c r="H644" s="177"/>
      <c r="I644" s="177"/>
      <c r="J644" s="177"/>
      <c r="K644" s="88"/>
      <c r="L644" s="383"/>
      <c r="M644" s="177"/>
      <c r="N644" s="177"/>
      <c r="O644" s="177"/>
      <c r="P644" s="88"/>
      <c r="Q644" s="151"/>
      <c r="R644" s="177"/>
      <c r="S644" s="177"/>
      <c r="T644" s="177"/>
      <c r="U644" s="391"/>
      <c r="V644" s="383"/>
      <c r="W644" s="177"/>
      <c r="X644" s="177"/>
      <c r="Y644" s="177"/>
      <c r="Z644" s="391"/>
      <c r="AA644" s="383"/>
      <c r="AB644" s="177"/>
      <c r="AC644" s="177"/>
      <c r="AD644" s="177"/>
      <c r="AE644" s="391"/>
      <c r="AF644" s="383"/>
      <c r="AG644" s="177"/>
      <c r="AH644" s="177"/>
      <c r="AI644" s="177"/>
      <c r="AJ644" s="391"/>
      <c r="AK644" s="383"/>
      <c r="AL644" s="177"/>
      <c r="AM644" s="177"/>
      <c r="AN644" s="177"/>
      <c r="AO644" s="366"/>
      <c r="AP644" s="366"/>
      <c r="AQ644" s="366"/>
      <c r="AR644" s="366"/>
      <c r="AS644" s="366"/>
    </row>
    <row r="645">
      <c r="A645" s="391"/>
      <c r="B645" s="383"/>
      <c r="C645" s="177"/>
      <c r="D645" s="177"/>
      <c r="E645" s="177"/>
      <c r="F645" s="391"/>
      <c r="G645" s="383"/>
      <c r="H645" s="177"/>
      <c r="I645" s="177"/>
      <c r="J645" s="177"/>
      <c r="K645" s="88"/>
      <c r="L645" s="383"/>
      <c r="M645" s="177"/>
      <c r="N645" s="177"/>
      <c r="O645" s="177"/>
      <c r="P645" s="88"/>
      <c r="Q645" s="151"/>
      <c r="R645" s="177"/>
      <c r="S645" s="177"/>
      <c r="T645" s="177"/>
      <c r="U645" s="391"/>
      <c r="V645" s="383"/>
      <c r="W645" s="177"/>
      <c r="X645" s="177"/>
      <c r="Y645" s="177"/>
      <c r="Z645" s="391"/>
      <c r="AA645" s="383"/>
      <c r="AB645" s="177"/>
      <c r="AC645" s="177"/>
      <c r="AD645" s="177"/>
      <c r="AE645" s="391"/>
      <c r="AF645" s="383"/>
      <c r="AG645" s="177"/>
      <c r="AH645" s="177"/>
      <c r="AI645" s="177"/>
      <c r="AJ645" s="391"/>
      <c r="AK645" s="383"/>
      <c r="AL645" s="177"/>
      <c r="AM645" s="177"/>
      <c r="AN645" s="177"/>
      <c r="AO645" s="366"/>
      <c r="AP645" s="366"/>
      <c r="AQ645" s="366"/>
      <c r="AR645" s="366"/>
      <c r="AS645" s="366"/>
    </row>
    <row r="646">
      <c r="A646" s="391"/>
      <c r="B646" s="383"/>
      <c r="C646" s="177"/>
      <c r="D646" s="177"/>
      <c r="E646" s="177"/>
      <c r="F646" s="391"/>
      <c r="G646" s="383"/>
      <c r="H646" s="177"/>
      <c r="I646" s="177"/>
      <c r="J646" s="177"/>
      <c r="K646" s="88"/>
      <c r="L646" s="383"/>
      <c r="M646" s="177"/>
      <c r="N646" s="177"/>
      <c r="O646" s="177"/>
      <c r="P646" s="88"/>
      <c r="Q646" s="151"/>
      <c r="R646" s="177"/>
      <c r="S646" s="177"/>
      <c r="T646" s="177"/>
      <c r="U646" s="391"/>
      <c r="V646" s="383"/>
      <c r="W646" s="177"/>
      <c r="X646" s="177"/>
      <c r="Y646" s="177"/>
      <c r="Z646" s="391"/>
      <c r="AA646" s="383"/>
      <c r="AB646" s="177"/>
      <c r="AC646" s="177"/>
      <c r="AD646" s="177"/>
      <c r="AE646" s="391"/>
      <c r="AF646" s="383"/>
      <c r="AG646" s="177"/>
      <c r="AH646" s="177"/>
      <c r="AI646" s="177"/>
      <c r="AJ646" s="391"/>
      <c r="AK646" s="383"/>
      <c r="AL646" s="177"/>
      <c r="AM646" s="177"/>
      <c r="AN646" s="177"/>
      <c r="AO646" s="366"/>
      <c r="AP646" s="366"/>
      <c r="AQ646" s="366"/>
      <c r="AR646" s="366"/>
      <c r="AS646" s="366"/>
    </row>
    <row r="647">
      <c r="A647" s="391"/>
      <c r="B647" s="383"/>
      <c r="C647" s="177"/>
      <c r="D647" s="177"/>
      <c r="E647" s="177"/>
      <c r="F647" s="391"/>
      <c r="G647" s="383"/>
      <c r="H647" s="177"/>
      <c r="I647" s="177"/>
      <c r="J647" s="177"/>
      <c r="K647" s="88"/>
      <c r="L647" s="383"/>
      <c r="M647" s="177"/>
      <c r="N647" s="177"/>
      <c r="O647" s="177"/>
      <c r="P647" s="88"/>
      <c r="Q647" s="151"/>
      <c r="R647" s="177"/>
      <c r="S647" s="177"/>
      <c r="T647" s="177"/>
      <c r="U647" s="391"/>
      <c r="V647" s="383"/>
      <c r="W647" s="177"/>
      <c r="X647" s="177"/>
      <c r="Y647" s="177"/>
      <c r="Z647" s="391"/>
      <c r="AA647" s="383"/>
      <c r="AB647" s="177"/>
      <c r="AC647" s="177"/>
      <c r="AD647" s="177"/>
      <c r="AE647" s="391"/>
      <c r="AF647" s="383"/>
      <c r="AG647" s="177"/>
      <c r="AH647" s="177"/>
      <c r="AI647" s="177"/>
      <c r="AJ647" s="391"/>
      <c r="AK647" s="383"/>
      <c r="AL647" s="177"/>
      <c r="AM647" s="177"/>
      <c r="AN647" s="177"/>
      <c r="AO647" s="366"/>
      <c r="AP647" s="366"/>
      <c r="AQ647" s="366"/>
      <c r="AR647" s="366"/>
      <c r="AS647" s="366"/>
    </row>
    <row r="648">
      <c r="A648" s="391"/>
      <c r="B648" s="383"/>
      <c r="C648" s="177"/>
      <c r="D648" s="177"/>
      <c r="E648" s="177"/>
      <c r="F648" s="391"/>
      <c r="G648" s="383"/>
      <c r="H648" s="177"/>
      <c r="I648" s="177"/>
      <c r="J648" s="177"/>
      <c r="K648" s="88"/>
      <c r="L648" s="383"/>
      <c r="M648" s="177"/>
      <c r="N648" s="177"/>
      <c r="O648" s="177"/>
      <c r="P648" s="88"/>
      <c r="Q648" s="151"/>
      <c r="R648" s="177"/>
      <c r="S648" s="177"/>
      <c r="T648" s="177"/>
      <c r="U648" s="391"/>
      <c r="V648" s="383"/>
      <c r="W648" s="177"/>
      <c r="X648" s="177"/>
      <c r="Y648" s="177"/>
      <c r="Z648" s="391"/>
      <c r="AA648" s="383"/>
      <c r="AB648" s="177"/>
      <c r="AC648" s="177"/>
      <c r="AD648" s="177"/>
      <c r="AE648" s="391"/>
      <c r="AF648" s="383"/>
      <c r="AG648" s="177"/>
      <c r="AH648" s="177"/>
      <c r="AI648" s="177"/>
      <c r="AJ648" s="391"/>
      <c r="AK648" s="383"/>
      <c r="AL648" s="177"/>
      <c r="AM648" s="177"/>
      <c r="AN648" s="177"/>
      <c r="AO648" s="366"/>
      <c r="AP648" s="366"/>
      <c r="AQ648" s="366"/>
      <c r="AR648" s="366"/>
      <c r="AS648" s="366"/>
    </row>
    <row r="649">
      <c r="A649" s="391"/>
      <c r="B649" s="383"/>
      <c r="C649" s="177"/>
      <c r="D649" s="177"/>
      <c r="E649" s="177"/>
      <c r="F649" s="391"/>
      <c r="G649" s="383"/>
      <c r="H649" s="177"/>
      <c r="I649" s="177"/>
      <c r="J649" s="177"/>
      <c r="K649" s="88"/>
      <c r="L649" s="383"/>
      <c r="M649" s="177"/>
      <c r="N649" s="177"/>
      <c r="O649" s="177"/>
      <c r="P649" s="88"/>
      <c r="Q649" s="151"/>
      <c r="R649" s="177"/>
      <c r="S649" s="177"/>
      <c r="T649" s="177"/>
      <c r="U649" s="391"/>
      <c r="V649" s="383"/>
      <c r="W649" s="177"/>
      <c r="X649" s="177"/>
      <c r="Y649" s="177"/>
      <c r="Z649" s="391"/>
      <c r="AA649" s="383"/>
      <c r="AB649" s="177"/>
      <c r="AC649" s="177"/>
      <c r="AD649" s="177"/>
      <c r="AE649" s="391"/>
      <c r="AF649" s="383"/>
      <c r="AG649" s="177"/>
      <c r="AH649" s="177"/>
      <c r="AI649" s="177"/>
      <c r="AJ649" s="391"/>
      <c r="AK649" s="383"/>
      <c r="AL649" s="177"/>
      <c r="AM649" s="177"/>
      <c r="AN649" s="177"/>
      <c r="AO649" s="366"/>
      <c r="AP649" s="366"/>
      <c r="AQ649" s="366"/>
      <c r="AR649" s="366"/>
      <c r="AS649" s="366"/>
    </row>
    <row r="650">
      <c r="A650" s="391"/>
      <c r="B650" s="383"/>
      <c r="C650" s="177"/>
      <c r="D650" s="177"/>
      <c r="E650" s="177"/>
      <c r="F650" s="391"/>
      <c r="G650" s="383"/>
      <c r="H650" s="177"/>
      <c r="I650" s="177"/>
      <c r="J650" s="177"/>
      <c r="K650" s="88"/>
      <c r="L650" s="383"/>
      <c r="M650" s="177"/>
      <c r="N650" s="177"/>
      <c r="O650" s="177"/>
      <c r="P650" s="88"/>
      <c r="Q650" s="151"/>
      <c r="R650" s="177"/>
      <c r="S650" s="177"/>
      <c r="T650" s="177"/>
      <c r="U650" s="391"/>
      <c r="V650" s="383"/>
      <c r="W650" s="177"/>
      <c r="X650" s="177"/>
      <c r="Y650" s="177"/>
      <c r="Z650" s="391"/>
      <c r="AA650" s="383"/>
      <c r="AB650" s="177"/>
      <c r="AC650" s="177"/>
      <c r="AD650" s="177"/>
      <c r="AE650" s="391"/>
      <c r="AF650" s="383"/>
      <c r="AG650" s="177"/>
      <c r="AH650" s="177"/>
      <c r="AI650" s="177"/>
      <c r="AJ650" s="391"/>
      <c r="AK650" s="383"/>
      <c r="AL650" s="177"/>
      <c r="AM650" s="177"/>
      <c r="AN650" s="177"/>
      <c r="AO650" s="366"/>
      <c r="AP650" s="366"/>
      <c r="AQ650" s="366"/>
      <c r="AR650" s="366"/>
      <c r="AS650" s="366"/>
    </row>
    <row r="651">
      <c r="A651" s="391"/>
      <c r="B651" s="383"/>
      <c r="C651" s="177"/>
      <c r="D651" s="177"/>
      <c r="E651" s="177"/>
      <c r="F651" s="391"/>
      <c r="G651" s="383"/>
      <c r="H651" s="177"/>
      <c r="I651" s="177"/>
      <c r="J651" s="177"/>
      <c r="K651" s="88"/>
      <c r="L651" s="383"/>
      <c r="M651" s="177"/>
      <c r="N651" s="177"/>
      <c r="O651" s="177"/>
      <c r="P651" s="88"/>
      <c r="Q651" s="151"/>
      <c r="R651" s="177"/>
      <c r="S651" s="177"/>
      <c r="T651" s="177"/>
      <c r="U651" s="391"/>
      <c r="V651" s="383"/>
      <c r="W651" s="177"/>
      <c r="X651" s="177"/>
      <c r="Y651" s="177"/>
      <c r="Z651" s="391"/>
      <c r="AA651" s="383"/>
      <c r="AB651" s="177"/>
      <c r="AC651" s="177"/>
      <c r="AD651" s="177"/>
      <c r="AE651" s="391"/>
      <c r="AF651" s="383"/>
      <c r="AG651" s="177"/>
      <c r="AH651" s="177"/>
      <c r="AI651" s="177"/>
      <c r="AJ651" s="391"/>
      <c r="AK651" s="383"/>
      <c r="AL651" s="177"/>
      <c r="AM651" s="177"/>
      <c r="AN651" s="177"/>
      <c r="AO651" s="366"/>
      <c r="AP651" s="366"/>
      <c r="AQ651" s="366"/>
      <c r="AR651" s="366"/>
      <c r="AS651" s="366"/>
    </row>
    <row r="652">
      <c r="A652" s="391"/>
      <c r="B652" s="383"/>
      <c r="C652" s="177"/>
      <c r="D652" s="177"/>
      <c r="E652" s="177"/>
      <c r="F652" s="391"/>
      <c r="G652" s="383"/>
      <c r="H652" s="177"/>
      <c r="I652" s="177"/>
      <c r="J652" s="177"/>
      <c r="K652" s="88"/>
      <c r="L652" s="383"/>
      <c r="M652" s="177"/>
      <c r="N652" s="177"/>
      <c r="O652" s="177"/>
      <c r="P652" s="88"/>
      <c r="Q652" s="151"/>
      <c r="R652" s="177"/>
      <c r="S652" s="177"/>
      <c r="T652" s="177"/>
      <c r="U652" s="391"/>
      <c r="V652" s="383"/>
      <c r="W652" s="177"/>
      <c r="X652" s="177"/>
      <c r="Y652" s="177"/>
      <c r="Z652" s="391"/>
      <c r="AA652" s="383"/>
      <c r="AB652" s="177"/>
      <c r="AC652" s="177"/>
      <c r="AD652" s="177"/>
      <c r="AE652" s="391"/>
      <c r="AF652" s="383"/>
      <c r="AG652" s="177"/>
      <c r="AH652" s="177"/>
      <c r="AI652" s="177"/>
      <c r="AJ652" s="391"/>
      <c r="AK652" s="383"/>
      <c r="AL652" s="177"/>
      <c r="AM652" s="177"/>
      <c r="AN652" s="177"/>
      <c r="AO652" s="366"/>
      <c r="AP652" s="366"/>
      <c r="AQ652" s="366"/>
      <c r="AR652" s="366"/>
      <c r="AS652" s="366"/>
    </row>
    <row r="653">
      <c r="A653" s="391"/>
      <c r="B653" s="383"/>
      <c r="C653" s="177"/>
      <c r="D653" s="177"/>
      <c r="E653" s="177"/>
      <c r="F653" s="391"/>
      <c r="G653" s="383"/>
      <c r="H653" s="177"/>
      <c r="I653" s="177"/>
      <c r="J653" s="177"/>
      <c r="K653" s="88"/>
      <c r="L653" s="383"/>
      <c r="M653" s="177"/>
      <c r="N653" s="177"/>
      <c r="O653" s="177"/>
      <c r="P653" s="88"/>
      <c r="Q653" s="151"/>
      <c r="R653" s="177"/>
      <c r="S653" s="177"/>
      <c r="T653" s="177"/>
      <c r="U653" s="391"/>
      <c r="V653" s="383"/>
      <c r="W653" s="177"/>
      <c r="X653" s="177"/>
      <c r="Y653" s="177"/>
      <c r="Z653" s="391"/>
      <c r="AA653" s="383"/>
      <c r="AB653" s="177"/>
      <c r="AC653" s="177"/>
      <c r="AD653" s="177"/>
      <c r="AE653" s="391"/>
      <c r="AF653" s="383"/>
      <c r="AG653" s="177"/>
      <c r="AH653" s="177"/>
      <c r="AI653" s="177"/>
      <c r="AJ653" s="391"/>
      <c r="AK653" s="383"/>
      <c r="AL653" s="177"/>
      <c r="AM653" s="177"/>
      <c r="AN653" s="177"/>
      <c r="AO653" s="366"/>
      <c r="AP653" s="366"/>
      <c r="AQ653" s="366"/>
      <c r="AR653" s="366"/>
      <c r="AS653" s="366"/>
    </row>
    <row r="654">
      <c r="A654" s="391"/>
      <c r="B654" s="383"/>
      <c r="C654" s="177"/>
      <c r="D654" s="177"/>
      <c r="E654" s="177"/>
      <c r="F654" s="391"/>
      <c r="G654" s="383"/>
      <c r="H654" s="177"/>
      <c r="I654" s="177"/>
      <c r="J654" s="177"/>
      <c r="K654" s="88"/>
      <c r="L654" s="383"/>
      <c r="M654" s="177"/>
      <c r="N654" s="177"/>
      <c r="O654" s="177"/>
      <c r="P654" s="88"/>
      <c r="Q654" s="151"/>
      <c r="R654" s="177"/>
      <c r="S654" s="177"/>
      <c r="T654" s="177"/>
      <c r="U654" s="391"/>
      <c r="V654" s="383"/>
      <c r="W654" s="177"/>
      <c r="X654" s="177"/>
      <c r="Y654" s="177"/>
      <c r="Z654" s="391"/>
      <c r="AA654" s="383"/>
      <c r="AB654" s="177"/>
      <c r="AC654" s="177"/>
      <c r="AD654" s="177"/>
      <c r="AE654" s="391"/>
      <c r="AF654" s="383"/>
      <c r="AG654" s="177"/>
      <c r="AH654" s="177"/>
      <c r="AI654" s="177"/>
      <c r="AJ654" s="391"/>
      <c r="AK654" s="383"/>
      <c r="AL654" s="177"/>
      <c r="AM654" s="177"/>
      <c r="AN654" s="177"/>
      <c r="AO654" s="366"/>
      <c r="AP654" s="366"/>
      <c r="AQ654" s="366"/>
      <c r="AR654" s="366"/>
      <c r="AS654" s="366"/>
    </row>
    <row r="655">
      <c r="A655" s="391"/>
      <c r="B655" s="383"/>
      <c r="C655" s="177"/>
      <c r="D655" s="177"/>
      <c r="E655" s="177"/>
      <c r="F655" s="391"/>
      <c r="G655" s="383"/>
      <c r="H655" s="177"/>
      <c r="I655" s="177"/>
      <c r="J655" s="177"/>
      <c r="K655" s="88"/>
      <c r="L655" s="383"/>
      <c r="M655" s="177"/>
      <c r="N655" s="177"/>
      <c r="O655" s="177"/>
      <c r="P655" s="88"/>
      <c r="Q655" s="151"/>
      <c r="R655" s="177"/>
      <c r="S655" s="177"/>
      <c r="T655" s="177"/>
      <c r="U655" s="391"/>
      <c r="V655" s="383"/>
      <c r="W655" s="177"/>
      <c r="X655" s="177"/>
      <c r="Y655" s="177"/>
      <c r="Z655" s="391"/>
      <c r="AA655" s="383"/>
      <c r="AB655" s="177"/>
      <c r="AC655" s="177"/>
      <c r="AD655" s="177"/>
      <c r="AE655" s="391"/>
      <c r="AF655" s="383"/>
      <c r="AG655" s="177"/>
      <c r="AH655" s="177"/>
      <c r="AI655" s="177"/>
      <c r="AJ655" s="391"/>
      <c r="AK655" s="383"/>
      <c r="AL655" s="177"/>
      <c r="AM655" s="177"/>
      <c r="AN655" s="177"/>
      <c r="AO655" s="366"/>
      <c r="AP655" s="366"/>
      <c r="AQ655" s="366"/>
      <c r="AR655" s="366"/>
      <c r="AS655" s="366"/>
    </row>
    <row r="656">
      <c r="A656" s="391"/>
      <c r="B656" s="383"/>
      <c r="C656" s="177"/>
      <c r="D656" s="177"/>
      <c r="E656" s="177"/>
      <c r="F656" s="391"/>
      <c r="G656" s="383"/>
      <c r="H656" s="177"/>
      <c r="I656" s="177"/>
      <c r="J656" s="177"/>
      <c r="K656" s="88"/>
      <c r="L656" s="383"/>
      <c r="M656" s="177"/>
      <c r="N656" s="177"/>
      <c r="O656" s="177"/>
      <c r="P656" s="88"/>
      <c r="Q656" s="151"/>
      <c r="R656" s="177"/>
      <c r="S656" s="177"/>
      <c r="T656" s="177"/>
      <c r="U656" s="391"/>
      <c r="V656" s="383"/>
      <c r="W656" s="177"/>
      <c r="X656" s="177"/>
      <c r="Y656" s="177"/>
      <c r="Z656" s="391"/>
      <c r="AA656" s="383"/>
      <c r="AB656" s="177"/>
      <c r="AC656" s="177"/>
      <c r="AD656" s="177"/>
      <c r="AE656" s="391"/>
      <c r="AF656" s="383"/>
      <c r="AG656" s="177"/>
      <c r="AH656" s="177"/>
      <c r="AI656" s="177"/>
      <c r="AJ656" s="391"/>
      <c r="AK656" s="383"/>
      <c r="AL656" s="177"/>
      <c r="AM656" s="177"/>
      <c r="AN656" s="177"/>
      <c r="AO656" s="366"/>
      <c r="AP656" s="366"/>
      <c r="AQ656" s="366"/>
      <c r="AR656" s="366"/>
      <c r="AS656" s="366"/>
    </row>
    <row r="657">
      <c r="A657" s="391"/>
      <c r="B657" s="383"/>
      <c r="C657" s="177"/>
      <c r="D657" s="177"/>
      <c r="E657" s="177"/>
      <c r="F657" s="391"/>
      <c r="G657" s="383"/>
      <c r="H657" s="177"/>
      <c r="I657" s="177"/>
      <c r="J657" s="177"/>
      <c r="K657" s="88"/>
      <c r="L657" s="383"/>
      <c r="M657" s="177"/>
      <c r="N657" s="177"/>
      <c r="O657" s="177"/>
      <c r="P657" s="88"/>
      <c r="Q657" s="151"/>
      <c r="R657" s="177"/>
      <c r="S657" s="177"/>
      <c r="T657" s="177"/>
      <c r="U657" s="391"/>
      <c r="V657" s="383"/>
      <c r="W657" s="177"/>
      <c r="X657" s="177"/>
      <c r="Y657" s="177"/>
      <c r="Z657" s="391"/>
      <c r="AA657" s="383"/>
      <c r="AB657" s="177"/>
      <c r="AC657" s="177"/>
      <c r="AD657" s="177"/>
      <c r="AE657" s="391"/>
      <c r="AF657" s="383"/>
      <c r="AG657" s="177"/>
      <c r="AH657" s="177"/>
      <c r="AI657" s="177"/>
      <c r="AJ657" s="391"/>
      <c r="AK657" s="383"/>
      <c r="AL657" s="177"/>
      <c r="AM657" s="177"/>
      <c r="AN657" s="177"/>
      <c r="AO657" s="366"/>
      <c r="AP657" s="366"/>
      <c r="AQ657" s="366"/>
      <c r="AR657" s="366"/>
      <c r="AS657" s="366"/>
    </row>
    <row r="658">
      <c r="A658" s="391"/>
      <c r="B658" s="383"/>
      <c r="C658" s="177"/>
      <c r="D658" s="177"/>
      <c r="E658" s="177"/>
      <c r="F658" s="391"/>
      <c r="G658" s="383"/>
      <c r="H658" s="177"/>
      <c r="I658" s="177"/>
      <c r="J658" s="177"/>
      <c r="K658" s="88"/>
      <c r="L658" s="383"/>
      <c r="M658" s="177"/>
      <c r="N658" s="177"/>
      <c r="O658" s="177"/>
      <c r="P658" s="88"/>
      <c r="Q658" s="151"/>
      <c r="R658" s="177"/>
      <c r="S658" s="177"/>
      <c r="T658" s="177"/>
      <c r="U658" s="391"/>
      <c r="V658" s="383"/>
      <c r="W658" s="177"/>
      <c r="X658" s="177"/>
      <c r="Y658" s="177"/>
      <c r="Z658" s="391"/>
      <c r="AA658" s="383"/>
      <c r="AB658" s="177"/>
      <c r="AC658" s="177"/>
      <c r="AD658" s="177"/>
      <c r="AE658" s="391"/>
      <c r="AF658" s="383"/>
      <c r="AG658" s="177"/>
      <c r="AH658" s="177"/>
      <c r="AI658" s="177"/>
      <c r="AJ658" s="391"/>
      <c r="AK658" s="383"/>
      <c r="AL658" s="177"/>
      <c r="AM658" s="177"/>
      <c r="AN658" s="177"/>
      <c r="AO658" s="366"/>
      <c r="AP658" s="366"/>
      <c r="AQ658" s="366"/>
      <c r="AR658" s="366"/>
      <c r="AS658" s="366"/>
    </row>
    <row r="659">
      <c r="A659" s="391"/>
      <c r="B659" s="383"/>
      <c r="C659" s="177"/>
      <c r="D659" s="177"/>
      <c r="E659" s="177"/>
      <c r="F659" s="391"/>
      <c r="G659" s="383"/>
      <c r="H659" s="177"/>
      <c r="I659" s="177"/>
      <c r="J659" s="177"/>
      <c r="K659" s="88"/>
      <c r="L659" s="383"/>
      <c r="M659" s="177"/>
      <c r="N659" s="177"/>
      <c r="O659" s="177"/>
      <c r="P659" s="88"/>
      <c r="Q659" s="151"/>
      <c r="R659" s="177"/>
      <c r="S659" s="177"/>
      <c r="T659" s="177"/>
      <c r="U659" s="391"/>
      <c r="V659" s="383"/>
      <c r="W659" s="177"/>
      <c r="X659" s="177"/>
      <c r="Y659" s="177"/>
      <c r="Z659" s="391"/>
      <c r="AA659" s="383"/>
      <c r="AB659" s="177"/>
      <c r="AC659" s="177"/>
      <c r="AD659" s="177"/>
      <c r="AE659" s="391"/>
      <c r="AF659" s="383"/>
      <c r="AG659" s="177"/>
      <c r="AH659" s="177"/>
      <c r="AI659" s="177"/>
      <c r="AJ659" s="391"/>
      <c r="AK659" s="383"/>
      <c r="AL659" s="177"/>
      <c r="AM659" s="177"/>
      <c r="AN659" s="177"/>
      <c r="AO659" s="366"/>
      <c r="AP659" s="366"/>
      <c r="AQ659" s="366"/>
      <c r="AR659" s="366"/>
      <c r="AS659" s="366"/>
    </row>
    <row r="660">
      <c r="A660" s="391"/>
      <c r="B660" s="383"/>
      <c r="C660" s="177"/>
      <c r="D660" s="177"/>
      <c r="E660" s="177"/>
      <c r="F660" s="391"/>
      <c r="G660" s="383"/>
      <c r="H660" s="177"/>
      <c r="I660" s="177"/>
      <c r="J660" s="177"/>
      <c r="K660" s="88"/>
      <c r="L660" s="383"/>
      <c r="M660" s="177"/>
      <c r="N660" s="177"/>
      <c r="O660" s="177"/>
      <c r="P660" s="88"/>
      <c r="Q660" s="151"/>
      <c r="R660" s="177"/>
      <c r="S660" s="177"/>
      <c r="T660" s="177"/>
      <c r="U660" s="391"/>
      <c r="V660" s="383"/>
      <c r="W660" s="177"/>
      <c r="X660" s="177"/>
      <c r="Y660" s="177"/>
      <c r="Z660" s="391"/>
      <c r="AA660" s="383"/>
      <c r="AB660" s="177"/>
      <c r="AC660" s="177"/>
      <c r="AD660" s="177"/>
      <c r="AE660" s="391"/>
      <c r="AF660" s="383"/>
      <c r="AG660" s="177"/>
      <c r="AH660" s="177"/>
      <c r="AI660" s="177"/>
      <c r="AJ660" s="391"/>
      <c r="AK660" s="383"/>
      <c r="AL660" s="177"/>
      <c r="AM660" s="177"/>
      <c r="AN660" s="177"/>
      <c r="AO660" s="366"/>
      <c r="AP660" s="366"/>
      <c r="AQ660" s="366"/>
      <c r="AR660" s="366"/>
      <c r="AS660" s="366"/>
    </row>
    <row r="661">
      <c r="A661" s="391"/>
      <c r="B661" s="383"/>
      <c r="C661" s="177"/>
      <c r="D661" s="177"/>
      <c r="E661" s="177"/>
      <c r="F661" s="391"/>
      <c r="G661" s="383"/>
      <c r="H661" s="177"/>
      <c r="I661" s="177"/>
      <c r="J661" s="177"/>
      <c r="K661" s="88"/>
      <c r="L661" s="383"/>
      <c r="M661" s="177"/>
      <c r="N661" s="177"/>
      <c r="O661" s="177"/>
      <c r="P661" s="88"/>
      <c r="Q661" s="151"/>
      <c r="R661" s="177"/>
      <c r="S661" s="177"/>
      <c r="T661" s="177"/>
      <c r="U661" s="391"/>
      <c r="V661" s="383"/>
      <c r="W661" s="177"/>
      <c r="X661" s="177"/>
      <c r="Y661" s="177"/>
      <c r="Z661" s="391"/>
      <c r="AA661" s="383"/>
      <c r="AB661" s="177"/>
      <c r="AC661" s="177"/>
      <c r="AD661" s="177"/>
      <c r="AE661" s="391"/>
      <c r="AF661" s="383"/>
      <c r="AG661" s="177"/>
      <c r="AH661" s="177"/>
      <c r="AI661" s="177"/>
      <c r="AJ661" s="391"/>
      <c r="AK661" s="383"/>
      <c r="AL661" s="177"/>
      <c r="AM661" s="177"/>
      <c r="AN661" s="177"/>
      <c r="AO661" s="366"/>
      <c r="AP661" s="366"/>
      <c r="AQ661" s="366"/>
      <c r="AR661" s="366"/>
      <c r="AS661" s="366"/>
    </row>
    <row r="662">
      <c r="A662" s="391"/>
      <c r="B662" s="383"/>
      <c r="C662" s="177"/>
      <c r="D662" s="177"/>
      <c r="E662" s="177"/>
      <c r="F662" s="391"/>
      <c r="G662" s="383"/>
      <c r="H662" s="177"/>
      <c r="I662" s="177"/>
      <c r="J662" s="177"/>
      <c r="K662" s="88"/>
      <c r="L662" s="383"/>
      <c r="M662" s="177"/>
      <c r="N662" s="177"/>
      <c r="O662" s="177"/>
      <c r="P662" s="88"/>
      <c r="Q662" s="151"/>
      <c r="R662" s="177"/>
      <c r="S662" s="177"/>
      <c r="T662" s="177"/>
      <c r="U662" s="391"/>
      <c r="V662" s="383"/>
      <c r="W662" s="177"/>
      <c r="X662" s="177"/>
      <c r="Y662" s="177"/>
      <c r="Z662" s="391"/>
      <c r="AA662" s="383"/>
      <c r="AB662" s="177"/>
      <c r="AC662" s="177"/>
      <c r="AD662" s="177"/>
      <c r="AE662" s="391"/>
      <c r="AF662" s="383"/>
      <c r="AG662" s="177"/>
      <c r="AH662" s="177"/>
      <c r="AI662" s="177"/>
      <c r="AJ662" s="391"/>
      <c r="AK662" s="383"/>
      <c r="AL662" s="177"/>
      <c r="AM662" s="177"/>
      <c r="AN662" s="177"/>
      <c r="AO662" s="366"/>
      <c r="AP662" s="366"/>
      <c r="AQ662" s="366"/>
      <c r="AR662" s="366"/>
      <c r="AS662" s="366"/>
    </row>
    <row r="663">
      <c r="A663" s="391"/>
      <c r="B663" s="383"/>
      <c r="C663" s="177"/>
      <c r="D663" s="177"/>
      <c r="E663" s="177"/>
      <c r="F663" s="391"/>
      <c r="G663" s="383"/>
      <c r="H663" s="177"/>
      <c r="I663" s="177"/>
      <c r="J663" s="177"/>
      <c r="K663" s="88"/>
      <c r="L663" s="383"/>
      <c r="M663" s="177"/>
      <c r="N663" s="177"/>
      <c r="O663" s="177"/>
      <c r="P663" s="88"/>
      <c r="Q663" s="151"/>
      <c r="R663" s="177"/>
      <c r="S663" s="177"/>
      <c r="T663" s="177"/>
      <c r="U663" s="391"/>
      <c r="V663" s="383"/>
      <c r="W663" s="177"/>
      <c r="X663" s="177"/>
      <c r="Y663" s="177"/>
      <c r="Z663" s="391"/>
      <c r="AA663" s="383"/>
      <c r="AB663" s="177"/>
      <c r="AC663" s="177"/>
      <c r="AD663" s="177"/>
      <c r="AE663" s="391"/>
      <c r="AF663" s="383"/>
      <c r="AG663" s="177"/>
      <c r="AH663" s="177"/>
      <c r="AI663" s="177"/>
      <c r="AJ663" s="391"/>
      <c r="AK663" s="383"/>
      <c r="AL663" s="177"/>
      <c r="AM663" s="177"/>
      <c r="AN663" s="177"/>
      <c r="AO663" s="366"/>
      <c r="AP663" s="366"/>
      <c r="AQ663" s="366"/>
      <c r="AR663" s="366"/>
      <c r="AS663" s="366"/>
    </row>
    <row r="664">
      <c r="A664" s="391"/>
      <c r="B664" s="383"/>
      <c r="C664" s="177"/>
      <c r="D664" s="177"/>
      <c r="E664" s="177"/>
      <c r="F664" s="391"/>
      <c r="G664" s="383"/>
      <c r="H664" s="177"/>
      <c r="I664" s="177"/>
      <c r="J664" s="177"/>
      <c r="K664" s="88"/>
      <c r="L664" s="383"/>
      <c r="M664" s="177"/>
      <c r="N664" s="177"/>
      <c r="O664" s="177"/>
      <c r="P664" s="88"/>
      <c r="Q664" s="151"/>
      <c r="R664" s="177"/>
      <c r="S664" s="177"/>
      <c r="T664" s="177"/>
      <c r="U664" s="391"/>
      <c r="V664" s="383"/>
      <c r="W664" s="177"/>
      <c r="X664" s="177"/>
      <c r="Y664" s="177"/>
      <c r="Z664" s="391"/>
      <c r="AA664" s="383"/>
      <c r="AB664" s="177"/>
      <c r="AC664" s="177"/>
      <c r="AD664" s="177"/>
      <c r="AE664" s="391"/>
      <c r="AF664" s="383"/>
      <c r="AG664" s="177"/>
      <c r="AH664" s="177"/>
      <c r="AI664" s="177"/>
      <c r="AJ664" s="391"/>
      <c r="AK664" s="383"/>
      <c r="AL664" s="177"/>
      <c r="AM664" s="177"/>
      <c r="AN664" s="177"/>
      <c r="AO664" s="366"/>
      <c r="AP664" s="366"/>
      <c r="AQ664" s="366"/>
      <c r="AR664" s="366"/>
      <c r="AS664" s="366"/>
    </row>
    <row r="665">
      <c r="A665" s="391"/>
      <c r="B665" s="383"/>
      <c r="C665" s="177"/>
      <c r="D665" s="177"/>
      <c r="E665" s="177"/>
      <c r="F665" s="391"/>
      <c r="G665" s="383"/>
      <c r="H665" s="177"/>
      <c r="I665" s="177"/>
      <c r="J665" s="177"/>
      <c r="K665" s="88"/>
      <c r="L665" s="383"/>
      <c r="M665" s="177"/>
      <c r="N665" s="177"/>
      <c r="O665" s="177"/>
      <c r="P665" s="88"/>
      <c r="Q665" s="151"/>
      <c r="R665" s="177"/>
      <c r="S665" s="177"/>
      <c r="T665" s="177"/>
      <c r="U665" s="391"/>
      <c r="V665" s="383"/>
      <c r="W665" s="177"/>
      <c r="X665" s="177"/>
      <c r="Y665" s="177"/>
      <c r="Z665" s="391"/>
      <c r="AA665" s="383"/>
      <c r="AB665" s="177"/>
      <c r="AC665" s="177"/>
      <c r="AD665" s="177"/>
      <c r="AE665" s="391"/>
      <c r="AF665" s="383"/>
      <c r="AG665" s="177"/>
      <c r="AH665" s="177"/>
      <c r="AI665" s="177"/>
      <c r="AJ665" s="391"/>
      <c r="AK665" s="383"/>
      <c r="AL665" s="177"/>
      <c r="AM665" s="177"/>
      <c r="AN665" s="177"/>
      <c r="AO665" s="366"/>
      <c r="AP665" s="366"/>
      <c r="AQ665" s="366"/>
      <c r="AR665" s="366"/>
      <c r="AS665" s="366"/>
    </row>
    <row r="666">
      <c r="A666" s="391"/>
      <c r="B666" s="383"/>
      <c r="C666" s="177"/>
      <c r="D666" s="177"/>
      <c r="E666" s="177"/>
      <c r="F666" s="391"/>
      <c r="G666" s="383"/>
      <c r="H666" s="177"/>
      <c r="I666" s="177"/>
      <c r="J666" s="177"/>
      <c r="K666" s="88"/>
      <c r="L666" s="383"/>
      <c r="M666" s="177"/>
      <c r="N666" s="177"/>
      <c r="O666" s="177"/>
      <c r="P666" s="88"/>
      <c r="Q666" s="151"/>
      <c r="R666" s="177"/>
      <c r="S666" s="177"/>
      <c r="T666" s="177"/>
      <c r="U666" s="391"/>
      <c r="V666" s="383"/>
      <c r="W666" s="177"/>
      <c r="X666" s="177"/>
      <c r="Y666" s="177"/>
      <c r="Z666" s="391"/>
      <c r="AA666" s="383"/>
      <c r="AB666" s="177"/>
      <c r="AC666" s="177"/>
      <c r="AD666" s="177"/>
      <c r="AE666" s="391"/>
      <c r="AF666" s="383"/>
      <c r="AG666" s="177"/>
      <c r="AH666" s="177"/>
      <c r="AI666" s="177"/>
      <c r="AJ666" s="391"/>
      <c r="AK666" s="383"/>
      <c r="AL666" s="177"/>
      <c r="AM666" s="177"/>
      <c r="AN666" s="177"/>
      <c r="AO666" s="366"/>
      <c r="AP666" s="366"/>
      <c r="AQ666" s="366"/>
      <c r="AR666" s="366"/>
      <c r="AS666" s="366"/>
    </row>
    <row r="667">
      <c r="A667" s="391"/>
      <c r="B667" s="383"/>
      <c r="C667" s="177"/>
      <c r="D667" s="177"/>
      <c r="E667" s="177"/>
      <c r="F667" s="391"/>
      <c r="G667" s="383"/>
      <c r="H667" s="177"/>
      <c r="I667" s="177"/>
      <c r="J667" s="177"/>
      <c r="K667" s="88"/>
      <c r="L667" s="383"/>
      <c r="M667" s="177"/>
      <c r="N667" s="177"/>
      <c r="O667" s="177"/>
      <c r="P667" s="88"/>
      <c r="Q667" s="151"/>
      <c r="R667" s="177"/>
      <c r="S667" s="177"/>
      <c r="T667" s="177"/>
      <c r="U667" s="391"/>
      <c r="V667" s="383"/>
      <c r="W667" s="177"/>
      <c r="X667" s="177"/>
      <c r="Y667" s="177"/>
      <c r="Z667" s="391"/>
      <c r="AA667" s="383"/>
      <c r="AB667" s="177"/>
      <c r="AC667" s="177"/>
      <c r="AD667" s="177"/>
      <c r="AE667" s="391"/>
      <c r="AF667" s="383"/>
      <c r="AG667" s="177"/>
      <c r="AH667" s="177"/>
      <c r="AI667" s="177"/>
      <c r="AJ667" s="391"/>
      <c r="AK667" s="383"/>
      <c r="AL667" s="177"/>
      <c r="AM667" s="177"/>
      <c r="AN667" s="177"/>
      <c r="AO667" s="366"/>
      <c r="AP667" s="366"/>
      <c r="AQ667" s="366"/>
      <c r="AR667" s="366"/>
      <c r="AS667" s="366"/>
    </row>
    <row r="668">
      <c r="A668" s="391"/>
      <c r="B668" s="383"/>
      <c r="C668" s="177"/>
      <c r="D668" s="177"/>
      <c r="E668" s="177"/>
      <c r="F668" s="391"/>
      <c r="G668" s="383"/>
      <c r="H668" s="177"/>
      <c r="I668" s="177"/>
      <c r="J668" s="177"/>
      <c r="K668" s="88"/>
      <c r="L668" s="383"/>
      <c r="M668" s="177"/>
      <c r="N668" s="177"/>
      <c r="O668" s="177"/>
      <c r="P668" s="88"/>
      <c r="Q668" s="151"/>
      <c r="R668" s="177"/>
      <c r="S668" s="177"/>
      <c r="T668" s="177"/>
      <c r="U668" s="391"/>
      <c r="V668" s="383"/>
      <c r="W668" s="177"/>
      <c r="X668" s="177"/>
      <c r="Y668" s="177"/>
      <c r="Z668" s="391"/>
      <c r="AA668" s="383"/>
      <c r="AB668" s="177"/>
      <c r="AC668" s="177"/>
      <c r="AD668" s="177"/>
      <c r="AE668" s="391"/>
      <c r="AF668" s="383"/>
      <c r="AG668" s="177"/>
      <c r="AH668" s="177"/>
      <c r="AI668" s="177"/>
      <c r="AJ668" s="391"/>
      <c r="AK668" s="383"/>
      <c r="AL668" s="177"/>
      <c r="AM668" s="177"/>
      <c r="AN668" s="177"/>
      <c r="AO668" s="366"/>
      <c r="AP668" s="366"/>
      <c r="AQ668" s="366"/>
      <c r="AR668" s="366"/>
      <c r="AS668" s="366"/>
    </row>
    <row r="669">
      <c r="A669" s="391"/>
      <c r="B669" s="383"/>
      <c r="C669" s="177"/>
      <c r="D669" s="177"/>
      <c r="E669" s="177"/>
      <c r="F669" s="391"/>
      <c r="G669" s="383"/>
      <c r="H669" s="177"/>
      <c r="I669" s="177"/>
      <c r="J669" s="177"/>
      <c r="K669" s="88"/>
      <c r="L669" s="383"/>
      <c r="M669" s="177"/>
      <c r="N669" s="177"/>
      <c r="O669" s="177"/>
      <c r="P669" s="88"/>
      <c r="Q669" s="151"/>
      <c r="R669" s="177"/>
      <c r="S669" s="177"/>
      <c r="T669" s="177"/>
      <c r="U669" s="391"/>
      <c r="V669" s="383"/>
      <c r="W669" s="177"/>
      <c r="X669" s="177"/>
      <c r="Y669" s="177"/>
      <c r="Z669" s="391"/>
      <c r="AA669" s="383"/>
      <c r="AB669" s="177"/>
      <c r="AC669" s="177"/>
      <c r="AD669" s="177"/>
      <c r="AE669" s="391"/>
      <c r="AF669" s="383"/>
      <c r="AG669" s="177"/>
      <c r="AH669" s="177"/>
      <c r="AI669" s="177"/>
      <c r="AJ669" s="391"/>
      <c r="AK669" s="383"/>
      <c r="AL669" s="177"/>
      <c r="AM669" s="177"/>
      <c r="AN669" s="177"/>
      <c r="AO669" s="366"/>
      <c r="AP669" s="366"/>
      <c r="AQ669" s="366"/>
      <c r="AR669" s="366"/>
      <c r="AS669" s="366"/>
    </row>
    <row r="670">
      <c r="A670" s="391"/>
      <c r="B670" s="383"/>
      <c r="C670" s="177"/>
      <c r="D670" s="177"/>
      <c r="E670" s="177"/>
      <c r="F670" s="391"/>
      <c r="G670" s="383"/>
      <c r="H670" s="177"/>
      <c r="I670" s="177"/>
      <c r="J670" s="177"/>
      <c r="K670" s="88"/>
      <c r="L670" s="383"/>
      <c r="M670" s="177"/>
      <c r="N670" s="177"/>
      <c r="O670" s="177"/>
      <c r="P670" s="88"/>
      <c r="Q670" s="151"/>
      <c r="R670" s="177"/>
      <c r="S670" s="177"/>
      <c r="T670" s="177"/>
      <c r="U670" s="391"/>
      <c r="V670" s="383"/>
      <c r="W670" s="177"/>
      <c r="X670" s="177"/>
      <c r="Y670" s="177"/>
      <c r="Z670" s="391"/>
      <c r="AA670" s="383"/>
      <c r="AB670" s="177"/>
      <c r="AC670" s="177"/>
      <c r="AD670" s="177"/>
      <c r="AE670" s="391"/>
      <c r="AF670" s="383"/>
      <c r="AG670" s="177"/>
      <c r="AH670" s="177"/>
      <c r="AI670" s="177"/>
      <c r="AJ670" s="391"/>
      <c r="AK670" s="383"/>
      <c r="AL670" s="177"/>
      <c r="AM670" s="177"/>
      <c r="AN670" s="177"/>
      <c r="AO670" s="366"/>
      <c r="AP670" s="366"/>
      <c r="AQ670" s="366"/>
      <c r="AR670" s="366"/>
      <c r="AS670" s="366"/>
    </row>
    <row r="671">
      <c r="A671" s="391"/>
      <c r="B671" s="383"/>
      <c r="C671" s="177"/>
      <c r="D671" s="177"/>
      <c r="E671" s="177"/>
      <c r="F671" s="391"/>
      <c r="G671" s="383"/>
      <c r="H671" s="177"/>
      <c r="I671" s="177"/>
      <c r="J671" s="177"/>
      <c r="K671" s="88"/>
      <c r="L671" s="383"/>
      <c r="M671" s="177"/>
      <c r="N671" s="177"/>
      <c r="O671" s="177"/>
      <c r="P671" s="88"/>
      <c r="Q671" s="151"/>
      <c r="R671" s="177"/>
      <c r="S671" s="177"/>
      <c r="T671" s="177"/>
      <c r="U671" s="391"/>
      <c r="V671" s="383"/>
      <c r="W671" s="177"/>
      <c r="X671" s="177"/>
      <c r="Y671" s="177"/>
      <c r="Z671" s="391"/>
      <c r="AA671" s="383"/>
      <c r="AB671" s="177"/>
      <c r="AC671" s="177"/>
      <c r="AD671" s="177"/>
      <c r="AE671" s="391"/>
      <c r="AF671" s="383"/>
      <c r="AG671" s="177"/>
      <c r="AH671" s="177"/>
      <c r="AI671" s="177"/>
      <c r="AJ671" s="391"/>
      <c r="AK671" s="383"/>
      <c r="AL671" s="177"/>
      <c r="AM671" s="177"/>
      <c r="AN671" s="177"/>
      <c r="AO671" s="366"/>
      <c r="AP671" s="366"/>
      <c r="AQ671" s="366"/>
      <c r="AR671" s="366"/>
      <c r="AS671" s="366"/>
    </row>
    <row r="672">
      <c r="A672" s="391"/>
      <c r="B672" s="383"/>
      <c r="C672" s="177"/>
      <c r="D672" s="177"/>
      <c r="E672" s="177"/>
      <c r="F672" s="391"/>
      <c r="G672" s="383"/>
      <c r="H672" s="177"/>
      <c r="I672" s="177"/>
      <c r="J672" s="177"/>
      <c r="K672" s="88"/>
      <c r="L672" s="383"/>
      <c r="M672" s="177"/>
      <c r="N672" s="177"/>
      <c r="O672" s="177"/>
      <c r="P672" s="88"/>
      <c r="Q672" s="151"/>
      <c r="R672" s="177"/>
      <c r="S672" s="177"/>
      <c r="T672" s="177"/>
      <c r="U672" s="391"/>
      <c r="V672" s="383"/>
      <c r="W672" s="177"/>
      <c r="X672" s="177"/>
      <c r="Y672" s="177"/>
      <c r="Z672" s="391"/>
      <c r="AA672" s="383"/>
      <c r="AB672" s="177"/>
      <c r="AC672" s="177"/>
      <c r="AD672" s="177"/>
      <c r="AE672" s="391"/>
      <c r="AF672" s="383"/>
      <c r="AG672" s="177"/>
      <c r="AH672" s="177"/>
      <c r="AI672" s="177"/>
      <c r="AJ672" s="391"/>
      <c r="AK672" s="383"/>
      <c r="AL672" s="177"/>
      <c r="AM672" s="177"/>
      <c r="AN672" s="177"/>
      <c r="AO672" s="366"/>
      <c r="AP672" s="366"/>
      <c r="AQ672" s="366"/>
      <c r="AR672" s="366"/>
      <c r="AS672" s="366"/>
    </row>
    <row r="673">
      <c r="A673" s="391"/>
      <c r="B673" s="383"/>
      <c r="C673" s="177"/>
      <c r="D673" s="177"/>
      <c r="E673" s="177"/>
      <c r="F673" s="391"/>
      <c r="G673" s="383"/>
      <c r="H673" s="177"/>
      <c r="I673" s="177"/>
      <c r="J673" s="177"/>
      <c r="K673" s="88"/>
      <c r="L673" s="383"/>
      <c r="M673" s="177"/>
      <c r="N673" s="177"/>
      <c r="O673" s="177"/>
      <c r="P673" s="88"/>
      <c r="Q673" s="151"/>
      <c r="R673" s="177"/>
      <c r="S673" s="177"/>
      <c r="T673" s="177"/>
      <c r="U673" s="391"/>
      <c r="V673" s="383"/>
      <c r="W673" s="177"/>
      <c r="X673" s="177"/>
      <c r="Y673" s="177"/>
      <c r="Z673" s="391"/>
      <c r="AA673" s="383"/>
      <c r="AB673" s="177"/>
      <c r="AC673" s="177"/>
      <c r="AD673" s="177"/>
      <c r="AE673" s="391"/>
      <c r="AF673" s="383"/>
      <c r="AG673" s="177"/>
      <c r="AH673" s="177"/>
      <c r="AI673" s="177"/>
      <c r="AJ673" s="391"/>
      <c r="AK673" s="383"/>
      <c r="AL673" s="177"/>
      <c r="AM673" s="177"/>
      <c r="AN673" s="177"/>
      <c r="AO673" s="366"/>
      <c r="AP673" s="366"/>
      <c r="AQ673" s="366"/>
      <c r="AR673" s="366"/>
      <c r="AS673" s="366"/>
    </row>
    <row r="674">
      <c r="A674" s="391"/>
      <c r="B674" s="383"/>
      <c r="C674" s="177"/>
      <c r="D674" s="177"/>
      <c r="E674" s="177"/>
      <c r="F674" s="391"/>
      <c r="G674" s="383"/>
      <c r="H674" s="177"/>
      <c r="I674" s="177"/>
      <c r="J674" s="177"/>
      <c r="K674" s="88"/>
      <c r="L674" s="383"/>
      <c r="M674" s="177"/>
      <c r="N674" s="177"/>
      <c r="O674" s="177"/>
      <c r="P674" s="88"/>
      <c r="Q674" s="151"/>
      <c r="R674" s="177"/>
      <c r="S674" s="177"/>
      <c r="T674" s="177"/>
      <c r="U674" s="391"/>
      <c r="V674" s="383"/>
      <c r="W674" s="177"/>
      <c r="X674" s="177"/>
      <c r="Y674" s="177"/>
      <c r="Z674" s="391"/>
      <c r="AA674" s="383"/>
      <c r="AB674" s="177"/>
      <c r="AC674" s="177"/>
      <c r="AD674" s="177"/>
      <c r="AE674" s="391"/>
      <c r="AF674" s="383"/>
      <c r="AG674" s="177"/>
      <c r="AH674" s="177"/>
      <c r="AI674" s="177"/>
      <c r="AJ674" s="391"/>
      <c r="AK674" s="383"/>
      <c r="AL674" s="177"/>
      <c r="AM674" s="177"/>
      <c r="AN674" s="177"/>
      <c r="AO674" s="366"/>
      <c r="AP674" s="366"/>
      <c r="AQ674" s="366"/>
      <c r="AR674" s="366"/>
      <c r="AS674" s="366"/>
    </row>
    <row r="675">
      <c r="A675" s="391"/>
      <c r="B675" s="383"/>
      <c r="C675" s="177"/>
      <c r="D675" s="177"/>
      <c r="E675" s="177"/>
      <c r="F675" s="391"/>
      <c r="G675" s="383"/>
      <c r="H675" s="177"/>
      <c r="I675" s="177"/>
      <c r="J675" s="177"/>
      <c r="K675" s="88"/>
      <c r="L675" s="383"/>
      <c r="M675" s="177"/>
      <c r="N675" s="177"/>
      <c r="O675" s="177"/>
      <c r="P675" s="88"/>
      <c r="Q675" s="151"/>
      <c r="R675" s="177"/>
      <c r="S675" s="177"/>
      <c r="T675" s="177"/>
      <c r="U675" s="391"/>
      <c r="V675" s="383"/>
      <c r="W675" s="177"/>
      <c r="X675" s="177"/>
      <c r="Y675" s="177"/>
      <c r="Z675" s="391"/>
      <c r="AA675" s="383"/>
      <c r="AB675" s="177"/>
      <c r="AC675" s="177"/>
      <c r="AD675" s="177"/>
      <c r="AE675" s="391"/>
      <c r="AF675" s="383"/>
      <c r="AG675" s="177"/>
      <c r="AH675" s="177"/>
      <c r="AI675" s="177"/>
      <c r="AJ675" s="391"/>
      <c r="AK675" s="383"/>
      <c r="AL675" s="177"/>
      <c r="AM675" s="177"/>
      <c r="AN675" s="177"/>
      <c r="AO675" s="366"/>
      <c r="AP675" s="366"/>
      <c r="AQ675" s="366"/>
      <c r="AR675" s="366"/>
      <c r="AS675" s="366"/>
    </row>
    <row r="676">
      <c r="A676" s="391"/>
      <c r="B676" s="383"/>
      <c r="C676" s="177"/>
      <c r="D676" s="177"/>
      <c r="E676" s="177"/>
      <c r="F676" s="391"/>
      <c r="G676" s="383"/>
      <c r="H676" s="177"/>
      <c r="I676" s="177"/>
      <c r="J676" s="177"/>
      <c r="K676" s="88"/>
      <c r="L676" s="383"/>
      <c r="M676" s="177"/>
      <c r="N676" s="177"/>
      <c r="O676" s="177"/>
      <c r="P676" s="88"/>
      <c r="Q676" s="151"/>
      <c r="R676" s="177"/>
      <c r="S676" s="177"/>
      <c r="T676" s="177"/>
      <c r="U676" s="391"/>
      <c r="V676" s="383"/>
      <c r="W676" s="177"/>
      <c r="X676" s="177"/>
      <c r="Y676" s="177"/>
      <c r="Z676" s="391"/>
      <c r="AA676" s="383"/>
      <c r="AB676" s="177"/>
      <c r="AC676" s="177"/>
      <c r="AD676" s="177"/>
      <c r="AE676" s="391"/>
      <c r="AF676" s="383"/>
      <c r="AG676" s="177"/>
      <c r="AH676" s="177"/>
      <c r="AI676" s="177"/>
      <c r="AJ676" s="391"/>
      <c r="AK676" s="383"/>
      <c r="AL676" s="177"/>
      <c r="AM676" s="177"/>
      <c r="AN676" s="177"/>
      <c r="AO676" s="366"/>
      <c r="AP676" s="366"/>
      <c r="AQ676" s="366"/>
      <c r="AR676" s="366"/>
      <c r="AS676" s="366"/>
    </row>
    <row r="677">
      <c r="A677" s="391"/>
      <c r="B677" s="383"/>
      <c r="C677" s="177"/>
      <c r="D677" s="177"/>
      <c r="E677" s="177"/>
      <c r="F677" s="391"/>
      <c r="G677" s="383"/>
      <c r="H677" s="177"/>
      <c r="I677" s="177"/>
      <c r="J677" s="177"/>
      <c r="K677" s="88"/>
      <c r="L677" s="383"/>
      <c r="M677" s="177"/>
      <c r="N677" s="177"/>
      <c r="O677" s="177"/>
      <c r="P677" s="88"/>
      <c r="Q677" s="151"/>
      <c r="R677" s="177"/>
      <c r="S677" s="177"/>
      <c r="T677" s="177"/>
      <c r="U677" s="391"/>
      <c r="V677" s="383"/>
      <c r="W677" s="177"/>
      <c r="X677" s="177"/>
      <c r="Y677" s="177"/>
      <c r="Z677" s="391"/>
      <c r="AA677" s="383"/>
      <c r="AB677" s="177"/>
      <c r="AC677" s="177"/>
      <c r="AD677" s="177"/>
      <c r="AE677" s="391"/>
      <c r="AF677" s="383"/>
      <c r="AG677" s="177"/>
      <c r="AH677" s="177"/>
      <c r="AI677" s="177"/>
      <c r="AJ677" s="391"/>
      <c r="AK677" s="383"/>
      <c r="AL677" s="177"/>
      <c r="AM677" s="177"/>
      <c r="AN677" s="177"/>
      <c r="AO677" s="366"/>
      <c r="AP677" s="366"/>
      <c r="AQ677" s="366"/>
      <c r="AR677" s="366"/>
      <c r="AS677" s="366"/>
    </row>
    <row r="678">
      <c r="A678" s="391"/>
      <c r="B678" s="383"/>
      <c r="C678" s="177"/>
      <c r="D678" s="177"/>
      <c r="E678" s="177"/>
      <c r="F678" s="391"/>
      <c r="G678" s="383"/>
      <c r="H678" s="177"/>
      <c r="I678" s="177"/>
      <c r="J678" s="177"/>
      <c r="K678" s="88"/>
      <c r="L678" s="383"/>
      <c r="M678" s="177"/>
      <c r="N678" s="177"/>
      <c r="O678" s="177"/>
      <c r="P678" s="88"/>
      <c r="Q678" s="151"/>
      <c r="R678" s="177"/>
      <c r="S678" s="177"/>
      <c r="T678" s="177"/>
      <c r="U678" s="391"/>
      <c r="V678" s="383"/>
      <c r="W678" s="177"/>
      <c r="X678" s="177"/>
      <c r="Y678" s="177"/>
      <c r="Z678" s="391"/>
      <c r="AA678" s="383"/>
      <c r="AB678" s="177"/>
      <c r="AC678" s="177"/>
      <c r="AD678" s="177"/>
      <c r="AE678" s="391"/>
      <c r="AF678" s="383"/>
      <c r="AG678" s="177"/>
      <c r="AH678" s="177"/>
      <c r="AI678" s="177"/>
      <c r="AJ678" s="391"/>
      <c r="AK678" s="383"/>
      <c r="AL678" s="177"/>
      <c r="AM678" s="177"/>
      <c r="AN678" s="177"/>
      <c r="AO678" s="366"/>
      <c r="AP678" s="366"/>
      <c r="AQ678" s="366"/>
      <c r="AR678" s="366"/>
      <c r="AS678" s="366"/>
    </row>
    <row r="679">
      <c r="A679" s="391"/>
      <c r="B679" s="383"/>
      <c r="C679" s="177"/>
      <c r="D679" s="177"/>
      <c r="E679" s="177"/>
      <c r="F679" s="391"/>
      <c r="G679" s="383"/>
      <c r="H679" s="177"/>
      <c r="I679" s="177"/>
      <c r="J679" s="177"/>
      <c r="K679" s="88"/>
      <c r="L679" s="383"/>
      <c r="M679" s="177"/>
      <c r="N679" s="177"/>
      <c r="O679" s="177"/>
      <c r="P679" s="88"/>
      <c r="Q679" s="151"/>
      <c r="R679" s="177"/>
      <c r="S679" s="177"/>
      <c r="T679" s="177"/>
      <c r="U679" s="391"/>
      <c r="V679" s="383"/>
      <c r="W679" s="177"/>
      <c r="X679" s="177"/>
      <c r="Y679" s="177"/>
      <c r="Z679" s="391"/>
      <c r="AA679" s="383"/>
      <c r="AB679" s="177"/>
      <c r="AC679" s="177"/>
      <c r="AD679" s="177"/>
      <c r="AE679" s="391"/>
      <c r="AF679" s="383"/>
      <c r="AG679" s="177"/>
      <c r="AH679" s="177"/>
      <c r="AI679" s="177"/>
      <c r="AJ679" s="391"/>
      <c r="AK679" s="383"/>
      <c r="AL679" s="177"/>
      <c r="AM679" s="177"/>
      <c r="AN679" s="177"/>
      <c r="AO679" s="366"/>
      <c r="AP679" s="366"/>
      <c r="AQ679" s="366"/>
      <c r="AR679" s="366"/>
      <c r="AS679" s="366"/>
    </row>
    <row r="680">
      <c r="A680" s="391"/>
      <c r="B680" s="383"/>
      <c r="C680" s="177"/>
      <c r="D680" s="177"/>
      <c r="E680" s="177"/>
      <c r="F680" s="391"/>
      <c r="G680" s="383"/>
      <c r="H680" s="177"/>
      <c r="I680" s="177"/>
      <c r="J680" s="177"/>
      <c r="K680" s="88"/>
      <c r="L680" s="383"/>
      <c r="M680" s="177"/>
      <c r="N680" s="177"/>
      <c r="O680" s="177"/>
      <c r="P680" s="88"/>
      <c r="Q680" s="151"/>
      <c r="R680" s="177"/>
      <c r="S680" s="177"/>
      <c r="T680" s="177"/>
      <c r="U680" s="391"/>
      <c r="V680" s="383"/>
      <c r="W680" s="177"/>
      <c r="X680" s="177"/>
      <c r="Y680" s="177"/>
      <c r="Z680" s="391"/>
      <c r="AA680" s="383"/>
      <c r="AB680" s="177"/>
      <c r="AC680" s="177"/>
      <c r="AD680" s="177"/>
      <c r="AE680" s="391"/>
      <c r="AF680" s="383"/>
      <c r="AG680" s="177"/>
      <c r="AH680" s="177"/>
      <c r="AI680" s="177"/>
      <c r="AJ680" s="391"/>
      <c r="AK680" s="383"/>
      <c r="AL680" s="177"/>
      <c r="AM680" s="177"/>
      <c r="AN680" s="177"/>
      <c r="AO680" s="366"/>
      <c r="AP680" s="366"/>
      <c r="AQ680" s="366"/>
      <c r="AR680" s="366"/>
      <c r="AS680" s="366"/>
    </row>
    <row r="681">
      <c r="A681" s="391"/>
      <c r="B681" s="383"/>
      <c r="C681" s="177"/>
      <c r="D681" s="177"/>
      <c r="E681" s="177"/>
      <c r="F681" s="391"/>
      <c r="G681" s="383"/>
      <c r="H681" s="177"/>
      <c r="I681" s="177"/>
      <c r="J681" s="177"/>
      <c r="K681" s="88"/>
      <c r="L681" s="383"/>
      <c r="M681" s="177"/>
      <c r="N681" s="177"/>
      <c r="O681" s="177"/>
      <c r="P681" s="88"/>
      <c r="Q681" s="151"/>
      <c r="R681" s="177"/>
      <c r="S681" s="177"/>
      <c r="T681" s="177"/>
      <c r="U681" s="391"/>
      <c r="V681" s="383"/>
      <c r="W681" s="177"/>
      <c r="X681" s="177"/>
      <c r="Y681" s="177"/>
      <c r="Z681" s="391"/>
      <c r="AA681" s="383"/>
      <c r="AB681" s="177"/>
      <c r="AC681" s="177"/>
      <c r="AD681" s="177"/>
      <c r="AE681" s="391"/>
      <c r="AF681" s="383"/>
      <c r="AG681" s="177"/>
      <c r="AH681" s="177"/>
      <c r="AI681" s="177"/>
      <c r="AJ681" s="391"/>
      <c r="AK681" s="383"/>
      <c r="AL681" s="177"/>
      <c r="AM681" s="177"/>
      <c r="AN681" s="177"/>
      <c r="AO681" s="366"/>
      <c r="AP681" s="366"/>
      <c r="AQ681" s="366"/>
      <c r="AR681" s="366"/>
      <c r="AS681" s="366"/>
    </row>
    <row r="682">
      <c r="A682" s="391"/>
      <c r="B682" s="383"/>
      <c r="C682" s="177"/>
      <c r="D682" s="177"/>
      <c r="E682" s="177"/>
      <c r="F682" s="391"/>
      <c r="G682" s="383"/>
      <c r="H682" s="177"/>
      <c r="I682" s="177"/>
      <c r="J682" s="177"/>
      <c r="K682" s="88"/>
      <c r="L682" s="383"/>
      <c r="M682" s="177"/>
      <c r="N682" s="177"/>
      <c r="O682" s="177"/>
      <c r="P682" s="88"/>
      <c r="Q682" s="151"/>
      <c r="R682" s="177"/>
      <c r="S682" s="177"/>
      <c r="T682" s="177"/>
      <c r="U682" s="391"/>
      <c r="V682" s="383"/>
      <c r="W682" s="177"/>
      <c r="X682" s="177"/>
      <c r="Y682" s="177"/>
      <c r="Z682" s="391"/>
      <c r="AA682" s="383"/>
      <c r="AB682" s="177"/>
      <c r="AC682" s="177"/>
      <c r="AD682" s="177"/>
      <c r="AE682" s="391"/>
      <c r="AF682" s="383"/>
      <c r="AG682" s="177"/>
      <c r="AH682" s="177"/>
      <c r="AI682" s="177"/>
      <c r="AJ682" s="391"/>
      <c r="AK682" s="383"/>
      <c r="AL682" s="177"/>
      <c r="AM682" s="177"/>
      <c r="AN682" s="177"/>
      <c r="AO682" s="366"/>
      <c r="AP682" s="366"/>
      <c r="AQ682" s="366"/>
      <c r="AR682" s="366"/>
      <c r="AS682" s="366"/>
    </row>
    <row r="683">
      <c r="A683" s="391"/>
      <c r="B683" s="383"/>
      <c r="C683" s="177"/>
      <c r="D683" s="177"/>
      <c r="E683" s="177"/>
      <c r="F683" s="391"/>
      <c r="G683" s="383"/>
      <c r="H683" s="177"/>
      <c r="I683" s="177"/>
      <c r="J683" s="177"/>
      <c r="K683" s="88"/>
      <c r="L683" s="383"/>
      <c r="M683" s="177"/>
      <c r="N683" s="177"/>
      <c r="O683" s="177"/>
      <c r="P683" s="88"/>
      <c r="Q683" s="151"/>
      <c r="R683" s="177"/>
      <c r="S683" s="177"/>
      <c r="T683" s="177"/>
      <c r="U683" s="391"/>
      <c r="V683" s="383"/>
      <c r="W683" s="177"/>
      <c r="X683" s="177"/>
      <c r="Y683" s="177"/>
      <c r="Z683" s="391"/>
      <c r="AA683" s="383"/>
      <c r="AB683" s="177"/>
      <c r="AC683" s="177"/>
      <c r="AD683" s="177"/>
      <c r="AE683" s="391"/>
      <c r="AF683" s="383"/>
      <c r="AG683" s="177"/>
      <c r="AH683" s="177"/>
      <c r="AI683" s="177"/>
      <c r="AJ683" s="391"/>
      <c r="AK683" s="383"/>
      <c r="AL683" s="177"/>
      <c r="AM683" s="177"/>
      <c r="AN683" s="177"/>
      <c r="AO683" s="366"/>
      <c r="AP683" s="366"/>
      <c r="AQ683" s="366"/>
      <c r="AR683" s="366"/>
      <c r="AS683" s="366"/>
    </row>
    <row r="684">
      <c r="A684" s="391"/>
      <c r="B684" s="383"/>
      <c r="C684" s="177"/>
      <c r="D684" s="177"/>
      <c r="E684" s="177"/>
      <c r="F684" s="391"/>
      <c r="G684" s="383"/>
      <c r="H684" s="177"/>
      <c r="I684" s="177"/>
      <c r="J684" s="177"/>
      <c r="K684" s="88"/>
      <c r="L684" s="383"/>
      <c r="M684" s="177"/>
      <c r="N684" s="177"/>
      <c r="O684" s="177"/>
      <c r="P684" s="88"/>
      <c r="Q684" s="151"/>
      <c r="R684" s="177"/>
      <c r="S684" s="177"/>
      <c r="T684" s="177"/>
      <c r="U684" s="391"/>
      <c r="V684" s="383"/>
      <c r="W684" s="177"/>
      <c r="X684" s="177"/>
      <c r="Y684" s="177"/>
      <c r="Z684" s="391"/>
      <c r="AA684" s="383"/>
      <c r="AB684" s="177"/>
      <c r="AC684" s="177"/>
      <c r="AD684" s="177"/>
      <c r="AE684" s="391"/>
      <c r="AF684" s="383"/>
      <c r="AG684" s="177"/>
      <c r="AH684" s="177"/>
      <c r="AI684" s="177"/>
      <c r="AJ684" s="391"/>
      <c r="AK684" s="383"/>
      <c r="AL684" s="177"/>
      <c r="AM684" s="177"/>
      <c r="AN684" s="177"/>
      <c r="AO684" s="366"/>
      <c r="AP684" s="366"/>
      <c r="AQ684" s="366"/>
      <c r="AR684" s="366"/>
      <c r="AS684" s="366"/>
    </row>
    <row r="685">
      <c r="A685" s="391"/>
      <c r="B685" s="383"/>
      <c r="C685" s="177"/>
      <c r="D685" s="177"/>
      <c r="E685" s="177"/>
      <c r="F685" s="391"/>
      <c r="G685" s="383"/>
      <c r="H685" s="177"/>
      <c r="I685" s="177"/>
      <c r="J685" s="177"/>
      <c r="K685" s="88"/>
      <c r="L685" s="383"/>
      <c r="M685" s="177"/>
      <c r="N685" s="177"/>
      <c r="O685" s="177"/>
      <c r="P685" s="88"/>
      <c r="Q685" s="151"/>
      <c r="R685" s="177"/>
      <c r="S685" s="177"/>
      <c r="T685" s="177"/>
      <c r="U685" s="391"/>
      <c r="V685" s="383"/>
      <c r="W685" s="177"/>
      <c r="X685" s="177"/>
      <c r="Y685" s="177"/>
      <c r="Z685" s="391"/>
      <c r="AA685" s="383"/>
      <c r="AB685" s="177"/>
      <c r="AC685" s="177"/>
      <c r="AD685" s="177"/>
      <c r="AE685" s="391"/>
      <c r="AF685" s="383"/>
      <c r="AG685" s="177"/>
      <c r="AH685" s="177"/>
      <c r="AI685" s="177"/>
      <c r="AJ685" s="391"/>
      <c r="AK685" s="383"/>
      <c r="AL685" s="177"/>
      <c r="AM685" s="177"/>
      <c r="AN685" s="177"/>
      <c r="AO685" s="366"/>
      <c r="AP685" s="366"/>
      <c r="AQ685" s="366"/>
      <c r="AR685" s="366"/>
      <c r="AS685" s="366"/>
    </row>
    <row r="686">
      <c r="A686" s="391"/>
      <c r="B686" s="383"/>
      <c r="C686" s="177"/>
      <c r="D686" s="177"/>
      <c r="E686" s="177"/>
      <c r="F686" s="391"/>
      <c r="G686" s="383"/>
      <c r="H686" s="177"/>
      <c r="I686" s="177"/>
      <c r="J686" s="177"/>
      <c r="K686" s="88"/>
      <c r="L686" s="383"/>
      <c r="M686" s="177"/>
      <c r="N686" s="177"/>
      <c r="O686" s="177"/>
      <c r="P686" s="88"/>
      <c r="Q686" s="151"/>
      <c r="R686" s="177"/>
      <c r="S686" s="177"/>
      <c r="T686" s="177"/>
      <c r="U686" s="391"/>
      <c r="V686" s="383"/>
      <c r="W686" s="177"/>
      <c r="X686" s="177"/>
      <c r="Y686" s="177"/>
      <c r="Z686" s="391"/>
      <c r="AA686" s="383"/>
      <c r="AB686" s="177"/>
      <c r="AC686" s="177"/>
      <c r="AD686" s="177"/>
      <c r="AE686" s="391"/>
      <c r="AF686" s="383"/>
      <c r="AG686" s="177"/>
      <c r="AH686" s="177"/>
      <c r="AI686" s="177"/>
      <c r="AJ686" s="391"/>
      <c r="AK686" s="383"/>
      <c r="AL686" s="177"/>
      <c r="AM686" s="177"/>
      <c r="AN686" s="177"/>
      <c r="AO686" s="366"/>
      <c r="AP686" s="366"/>
      <c r="AQ686" s="366"/>
      <c r="AR686" s="366"/>
      <c r="AS686" s="366"/>
    </row>
    <row r="687">
      <c r="A687" s="391"/>
      <c r="B687" s="383"/>
      <c r="C687" s="177"/>
      <c r="D687" s="177"/>
      <c r="E687" s="177"/>
      <c r="F687" s="391"/>
      <c r="G687" s="383"/>
      <c r="H687" s="177"/>
      <c r="I687" s="177"/>
      <c r="J687" s="177"/>
      <c r="K687" s="88"/>
      <c r="L687" s="383"/>
      <c r="M687" s="177"/>
      <c r="N687" s="177"/>
      <c r="O687" s="177"/>
      <c r="P687" s="88"/>
      <c r="Q687" s="151"/>
      <c r="R687" s="177"/>
      <c r="S687" s="177"/>
      <c r="T687" s="177"/>
      <c r="U687" s="391"/>
      <c r="V687" s="383"/>
      <c r="W687" s="177"/>
      <c r="X687" s="177"/>
      <c r="Y687" s="177"/>
      <c r="Z687" s="391"/>
      <c r="AA687" s="383"/>
      <c r="AB687" s="177"/>
      <c r="AC687" s="177"/>
      <c r="AD687" s="177"/>
      <c r="AE687" s="391"/>
      <c r="AF687" s="383"/>
      <c r="AG687" s="177"/>
      <c r="AH687" s="177"/>
      <c r="AI687" s="177"/>
      <c r="AJ687" s="391"/>
      <c r="AK687" s="383"/>
      <c r="AL687" s="177"/>
      <c r="AM687" s="177"/>
      <c r="AN687" s="177"/>
      <c r="AO687" s="366"/>
      <c r="AP687" s="366"/>
      <c r="AQ687" s="366"/>
      <c r="AR687" s="366"/>
      <c r="AS687" s="366"/>
    </row>
    <row r="688">
      <c r="A688" s="391"/>
      <c r="B688" s="383"/>
      <c r="C688" s="177"/>
      <c r="D688" s="177"/>
      <c r="E688" s="177"/>
      <c r="F688" s="391"/>
      <c r="G688" s="383"/>
      <c r="H688" s="177"/>
      <c r="I688" s="177"/>
      <c r="J688" s="177"/>
      <c r="K688" s="88"/>
      <c r="L688" s="383"/>
      <c r="M688" s="177"/>
      <c r="N688" s="177"/>
      <c r="O688" s="177"/>
      <c r="P688" s="88"/>
      <c r="Q688" s="151"/>
      <c r="R688" s="177"/>
      <c r="S688" s="177"/>
      <c r="T688" s="177"/>
      <c r="U688" s="391"/>
      <c r="V688" s="383"/>
      <c r="W688" s="177"/>
      <c r="X688" s="177"/>
      <c r="Y688" s="177"/>
      <c r="Z688" s="391"/>
      <c r="AA688" s="383"/>
      <c r="AB688" s="177"/>
      <c r="AC688" s="177"/>
      <c r="AD688" s="177"/>
      <c r="AE688" s="391"/>
      <c r="AF688" s="383"/>
      <c r="AG688" s="177"/>
      <c r="AH688" s="177"/>
      <c r="AI688" s="177"/>
      <c r="AJ688" s="391"/>
      <c r="AK688" s="383"/>
      <c r="AL688" s="177"/>
      <c r="AM688" s="177"/>
      <c r="AN688" s="177"/>
      <c r="AO688" s="366"/>
      <c r="AP688" s="366"/>
      <c r="AQ688" s="366"/>
      <c r="AR688" s="366"/>
      <c r="AS688" s="366"/>
    </row>
    <row r="689">
      <c r="A689" s="391"/>
      <c r="B689" s="383"/>
      <c r="C689" s="177"/>
      <c r="D689" s="177"/>
      <c r="E689" s="177"/>
      <c r="F689" s="391"/>
      <c r="G689" s="383"/>
      <c r="H689" s="177"/>
      <c r="I689" s="177"/>
      <c r="J689" s="177"/>
      <c r="K689" s="88"/>
      <c r="L689" s="383"/>
      <c r="M689" s="177"/>
      <c r="N689" s="177"/>
      <c r="O689" s="177"/>
      <c r="P689" s="88"/>
      <c r="Q689" s="151"/>
      <c r="R689" s="177"/>
      <c r="S689" s="177"/>
      <c r="T689" s="177"/>
      <c r="U689" s="391"/>
      <c r="V689" s="383"/>
      <c r="W689" s="177"/>
      <c r="X689" s="177"/>
      <c r="Y689" s="177"/>
      <c r="Z689" s="391"/>
      <c r="AA689" s="383"/>
      <c r="AB689" s="177"/>
      <c r="AC689" s="177"/>
      <c r="AD689" s="177"/>
      <c r="AE689" s="391"/>
      <c r="AF689" s="383"/>
      <c r="AG689" s="177"/>
      <c r="AH689" s="177"/>
      <c r="AI689" s="177"/>
      <c r="AJ689" s="391"/>
      <c r="AK689" s="383"/>
      <c r="AL689" s="177"/>
      <c r="AM689" s="177"/>
      <c r="AN689" s="177"/>
      <c r="AO689" s="366"/>
      <c r="AP689" s="366"/>
      <c r="AQ689" s="366"/>
      <c r="AR689" s="366"/>
      <c r="AS689" s="366"/>
    </row>
    <row r="690">
      <c r="A690" s="391"/>
      <c r="B690" s="383"/>
      <c r="C690" s="177"/>
      <c r="D690" s="177"/>
      <c r="E690" s="177"/>
      <c r="F690" s="391"/>
      <c r="G690" s="383"/>
      <c r="H690" s="177"/>
      <c r="I690" s="177"/>
      <c r="J690" s="177"/>
      <c r="K690" s="88"/>
      <c r="L690" s="383"/>
      <c r="M690" s="177"/>
      <c r="N690" s="177"/>
      <c r="O690" s="177"/>
      <c r="P690" s="88"/>
      <c r="Q690" s="151"/>
      <c r="R690" s="177"/>
      <c r="S690" s="177"/>
      <c r="T690" s="177"/>
      <c r="U690" s="391"/>
      <c r="V690" s="383"/>
      <c r="W690" s="177"/>
      <c r="X690" s="177"/>
      <c r="Y690" s="177"/>
      <c r="Z690" s="391"/>
      <c r="AA690" s="383"/>
      <c r="AB690" s="177"/>
      <c r="AC690" s="177"/>
      <c r="AD690" s="177"/>
      <c r="AE690" s="391"/>
      <c r="AF690" s="383"/>
      <c r="AG690" s="177"/>
      <c r="AH690" s="177"/>
      <c r="AI690" s="177"/>
      <c r="AJ690" s="391"/>
      <c r="AK690" s="383"/>
      <c r="AL690" s="177"/>
      <c r="AM690" s="177"/>
      <c r="AN690" s="177"/>
      <c r="AO690" s="366"/>
      <c r="AP690" s="366"/>
      <c r="AQ690" s="366"/>
      <c r="AR690" s="366"/>
      <c r="AS690" s="366"/>
    </row>
    <row r="691">
      <c r="A691" s="391"/>
      <c r="B691" s="383"/>
      <c r="C691" s="177"/>
      <c r="D691" s="177"/>
      <c r="E691" s="177"/>
      <c r="F691" s="391"/>
      <c r="G691" s="383"/>
      <c r="H691" s="177"/>
      <c r="I691" s="177"/>
      <c r="J691" s="177"/>
      <c r="K691" s="88"/>
      <c r="L691" s="383"/>
      <c r="M691" s="177"/>
      <c r="N691" s="177"/>
      <c r="O691" s="177"/>
      <c r="P691" s="88"/>
      <c r="Q691" s="151"/>
      <c r="R691" s="177"/>
      <c r="S691" s="177"/>
      <c r="T691" s="177"/>
      <c r="U691" s="391"/>
      <c r="V691" s="383"/>
      <c r="W691" s="177"/>
      <c r="X691" s="177"/>
      <c r="Y691" s="177"/>
      <c r="Z691" s="391"/>
      <c r="AA691" s="383"/>
      <c r="AB691" s="177"/>
      <c r="AC691" s="177"/>
      <c r="AD691" s="177"/>
      <c r="AE691" s="391"/>
      <c r="AF691" s="383"/>
      <c r="AG691" s="177"/>
      <c r="AH691" s="177"/>
      <c r="AI691" s="177"/>
      <c r="AJ691" s="391"/>
      <c r="AK691" s="383"/>
      <c r="AL691" s="177"/>
      <c r="AM691" s="177"/>
      <c r="AN691" s="177"/>
      <c r="AO691" s="366"/>
      <c r="AP691" s="366"/>
      <c r="AQ691" s="366"/>
      <c r="AR691" s="366"/>
      <c r="AS691" s="366"/>
    </row>
    <row r="692">
      <c r="A692" s="391"/>
      <c r="B692" s="383"/>
      <c r="C692" s="177"/>
      <c r="D692" s="177"/>
      <c r="E692" s="177"/>
      <c r="F692" s="391"/>
      <c r="G692" s="383"/>
      <c r="H692" s="177"/>
      <c r="I692" s="177"/>
      <c r="J692" s="177"/>
      <c r="K692" s="88"/>
      <c r="L692" s="383"/>
      <c r="M692" s="177"/>
      <c r="N692" s="177"/>
      <c r="O692" s="177"/>
      <c r="P692" s="88"/>
      <c r="Q692" s="151"/>
      <c r="R692" s="177"/>
      <c r="S692" s="177"/>
      <c r="T692" s="177"/>
      <c r="U692" s="391"/>
      <c r="V692" s="383"/>
      <c r="W692" s="177"/>
      <c r="X692" s="177"/>
      <c r="Y692" s="177"/>
      <c r="Z692" s="391"/>
      <c r="AA692" s="383"/>
      <c r="AB692" s="177"/>
      <c r="AC692" s="177"/>
      <c r="AD692" s="177"/>
      <c r="AE692" s="391"/>
      <c r="AF692" s="383"/>
      <c r="AG692" s="177"/>
      <c r="AH692" s="177"/>
      <c r="AI692" s="177"/>
      <c r="AJ692" s="391"/>
      <c r="AK692" s="383"/>
      <c r="AL692" s="177"/>
      <c r="AM692" s="177"/>
      <c r="AN692" s="177"/>
      <c r="AO692" s="366"/>
      <c r="AP692" s="366"/>
      <c r="AQ692" s="366"/>
      <c r="AR692" s="366"/>
      <c r="AS692" s="366"/>
    </row>
    <row r="693">
      <c r="A693" s="391"/>
      <c r="B693" s="383"/>
      <c r="C693" s="177"/>
      <c r="D693" s="177"/>
      <c r="E693" s="177"/>
      <c r="F693" s="391"/>
      <c r="G693" s="383"/>
      <c r="H693" s="177"/>
      <c r="I693" s="177"/>
      <c r="J693" s="177"/>
      <c r="K693" s="88"/>
      <c r="L693" s="383"/>
      <c r="M693" s="177"/>
      <c r="N693" s="177"/>
      <c r="O693" s="177"/>
      <c r="P693" s="88"/>
      <c r="Q693" s="151"/>
      <c r="R693" s="177"/>
      <c r="S693" s="177"/>
      <c r="T693" s="177"/>
      <c r="U693" s="391"/>
      <c r="V693" s="383"/>
      <c r="W693" s="177"/>
      <c r="X693" s="177"/>
      <c r="Y693" s="177"/>
      <c r="Z693" s="391"/>
      <c r="AA693" s="383"/>
      <c r="AB693" s="177"/>
      <c r="AC693" s="177"/>
      <c r="AD693" s="177"/>
      <c r="AE693" s="391"/>
      <c r="AF693" s="383"/>
      <c r="AG693" s="177"/>
      <c r="AH693" s="177"/>
      <c r="AI693" s="177"/>
      <c r="AJ693" s="391"/>
      <c r="AK693" s="383"/>
      <c r="AL693" s="177"/>
      <c r="AM693" s="177"/>
      <c r="AN693" s="177"/>
      <c r="AO693" s="366"/>
      <c r="AP693" s="366"/>
      <c r="AQ693" s="366"/>
      <c r="AR693" s="366"/>
      <c r="AS693" s="366"/>
    </row>
    <row r="694">
      <c r="A694" s="391"/>
      <c r="B694" s="383"/>
      <c r="C694" s="177"/>
      <c r="D694" s="177"/>
      <c r="E694" s="177"/>
      <c r="F694" s="391"/>
      <c r="G694" s="383"/>
      <c r="H694" s="177"/>
      <c r="I694" s="177"/>
      <c r="J694" s="177"/>
      <c r="K694" s="88"/>
      <c r="L694" s="383"/>
      <c r="M694" s="177"/>
      <c r="N694" s="177"/>
      <c r="O694" s="177"/>
      <c r="P694" s="88"/>
      <c r="Q694" s="151"/>
      <c r="R694" s="177"/>
      <c r="S694" s="177"/>
      <c r="T694" s="177"/>
      <c r="U694" s="391"/>
      <c r="V694" s="383"/>
      <c r="W694" s="177"/>
      <c r="X694" s="177"/>
      <c r="Y694" s="177"/>
      <c r="Z694" s="391"/>
      <c r="AA694" s="383"/>
      <c r="AB694" s="177"/>
      <c r="AC694" s="177"/>
      <c r="AD694" s="177"/>
      <c r="AE694" s="391"/>
      <c r="AF694" s="383"/>
      <c r="AG694" s="177"/>
      <c r="AH694" s="177"/>
      <c r="AI694" s="177"/>
      <c r="AJ694" s="391"/>
      <c r="AK694" s="383"/>
      <c r="AL694" s="177"/>
      <c r="AM694" s="177"/>
      <c r="AN694" s="177"/>
      <c r="AO694" s="366"/>
      <c r="AP694" s="366"/>
      <c r="AQ694" s="366"/>
      <c r="AR694" s="366"/>
      <c r="AS694" s="366"/>
    </row>
    <row r="695">
      <c r="A695" s="391"/>
      <c r="B695" s="383"/>
      <c r="C695" s="177"/>
      <c r="D695" s="177"/>
      <c r="E695" s="177"/>
      <c r="F695" s="391"/>
      <c r="G695" s="383"/>
      <c r="H695" s="177"/>
      <c r="I695" s="177"/>
      <c r="J695" s="177"/>
      <c r="K695" s="88"/>
      <c r="L695" s="383"/>
      <c r="M695" s="177"/>
      <c r="N695" s="177"/>
      <c r="O695" s="177"/>
      <c r="P695" s="88"/>
      <c r="Q695" s="151"/>
      <c r="R695" s="177"/>
      <c r="S695" s="177"/>
      <c r="T695" s="177"/>
      <c r="U695" s="391"/>
      <c r="V695" s="383"/>
      <c r="W695" s="177"/>
      <c r="X695" s="177"/>
      <c r="Y695" s="177"/>
      <c r="Z695" s="391"/>
      <c r="AA695" s="383"/>
      <c r="AB695" s="177"/>
      <c r="AC695" s="177"/>
      <c r="AD695" s="177"/>
      <c r="AE695" s="391"/>
      <c r="AF695" s="383"/>
      <c r="AG695" s="177"/>
      <c r="AH695" s="177"/>
      <c r="AI695" s="177"/>
      <c r="AJ695" s="391"/>
      <c r="AK695" s="383"/>
      <c r="AL695" s="177"/>
      <c r="AM695" s="177"/>
      <c r="AN695" s="177"/>
      <c r="AO695" s="366"/>
      <c r="AP695" s="366"/>
      <c r="AQ695" s="366"/>
      <c r="AR695" s="366"/>
      <c r="AS695" s="366"/>
    </row>
    <row r="696">
      <c r="A696" s="391"/>
      <c r="B696" s="383"/>
      <c r="C696" s="177"/>
      <c r="D696" s="177"/>
      <c r="E696" s="177"/>
      <c r="F696" s="391"/>
      <c r="G696" s="383"/>
      <c r="H696" s="177"/>
      <c r="I696" s="177"/>
      <c r="J696" s="177"/>
      <c r="K696" s="88"/>
      <c r="L696" s="383"/>
      <c r="M696" s="177"/>
      <c r="N696" s="177"/>
      <c r="O696" s="177"/>
      <c r="P696" s="88"/>
      <c r="Q696" s="151"/>
      <c r="R696" s="177"/>
      <c r="S696" s="177"/>
      <c r="T696" s="177"/>
      <c r="U696" s="391"/>
      <c r="V696" s="383"/>
      <c r="W696" s="177"/>
      <c r="X696" s="177"/>
      <c r="Y696" s="177"/>
      <c r="Z696" s="391"/>
      <c r="AA696" s="383"/>
      <c r="AB696" s="177"/>
      <c r="AC696" s="177"/>
      <c r="AD696" s="177"/>
      <c r="AE696" s="391"/>
      <c r="AF696" s="383"/>
      <c r="AG696" s="177"/>
      <c r="AH696" s="177"/>
      <c r="AI696" s="177"/>
      <c r="AJ696" s="391"/>
      <c r="AK696" s="383"/>
      <c r="AL696" s="177"/>
      <c r="AM696" s="177"/>
      <c r="AN696" s="177"/>
      <c r="AO696" s="366"/>
      <c r="AP696" s="366"/>
      <c r="AQ696" s="366"/>
      <c r="AR696" s="366"/>
      <c r="AS696" s="366"/>
    </row>
    <row r="697">
      <c r="A697" s="391"/>
      <c r="B697" s="383"/>
      <c r="C697" s="177"/>
      <c r="D697" s="177"/>
      <c r="E697" s="177"/>
      <c r="F697" s="391"/>
      <c r="G697" s="383"/>
      <c r="H697" s="177"/>
      <c r="I697" s="177"/>
      <c r="J697" s="177"/>
      <c r="K697" s="88"/>
      <c r="L697" s="383"/>
      <c r="M697" s="177"/>
      <c r="N697" s="177"/>
      <c r="O697" s="177"/>
      <c r="P697" s="88"/>
      <c r="Q697" s="151"/>
      <c r="R697" s="177"/>
      <c r="S697" s="177"/>
      <c r="T697" s="177"/>
      <c r="U697" s="391"/>
      <c r="V697" s="383"/>
      <c r="W697" s="177"/>
      <c r="X697" s="177"/>
      <c r="Y697" s="177"/>
      <c r="Z697" s="391"/>
      <c r="AA697" s="383"/>
      <c r="AB697" s="177"/>
      <c r="AC697" s="177"/>
      <c r="AD697" s="177"/>
      <c r="AE697" s="391"/>
      <c r="AF697" s="383"/>
      <c r="AG697" s="177"/>
      <c r="AH697" s="177"/>
      <c r="AI697" s="177"/>
      <c r="AJ697" s="391"/>
      <c r="AK697" s="383"/>
      <c r="AL697" s="177"/>
      <c r="AM697" s="177"/>
      <c r="AN697" s="177"/>
      <c r="AO697" s="366"/>
      <c r="AP697" s="366"/>
      <c r="AQ697" s="366"/>
      <c r="AR697" s="366"/>
      <c r="AS697" s="366"/>
    </row>
    <row r="698">
      <c r="A698" s="391"/>
      <c r="B698" s="383"/>
      <c r="C698" s="177"/>
      <c r="D698" s="177"/>
      <c r="E698" s="177"/>
      <c r="F698" s="391"/>
      <c r="G698" s="383"/>
      <c r="H698" s="177"/>
      <c r="I698" s="177"/>
      <c r="J698" s="177"/>
      <c r="K698" s="88"/>
      <c r="L698" s="383"/>
      <c r="M698" s="177"/>
      <c r="N698" s="177"/>
      <c r="O698" s="177"/>
      <c r="P698" s="88"/>
      <c r="Q698" s="151"/>
      <c r="R698" s="177"/>
      <c r="S698" s="177"/>
      <c r="T698" s="177"/>
      <c r="U698" s="391"/>
      <c r="V698" s="383"/>
      <c r="W698" s="177"/>
      <c r="X698" s="177"/>
      <c r="Y698" s="177"/>
      <c r="Z698" s="391"/>
      <c r="AA698" s="383"/>
      <c r="AB698" s="177"/>
      <c r="AC698" s="177"/>
      <c r="AD698" s="177"/>
      <c r="AE698" s="391"/>
      <c r="AF698" s="383"/>
      <c r="AG698" s="177"/>
      <c r="AH698" s="177"/>
      <c r="AI698" s="177"/>
      <c r="AJ698" s="391"/>
      <c r="AK698" s="383"/>
      <c r="AL698" s="177"/>
      <c r="AM698" s="177"/>
      <c r="AN698" s="177"/>
      <c r="AO698" s="366"/>
      <c r="AP698" s="366"/>
      <c r="AQ698" s="366"/>
      <c r="AR698" s="366"/>
      <c r="AS698" s="366"/>
    </row>
    <row r="699">
      <c r="A699" s="391"/>
      <c r="B699" s="383"/>
      <c r="C699" s="177"/>
      <c r="D699" s="177"/>
      <c r="E699" s="177"/>
      <c r="F699" s="391"/>
      <c r="G699" s="383"/>
      <c r="H699" s="177"/>
      <c r="I699" s="177"/>
      <c r="J699" s="177"/>
      <c r="K699" s="88"/>
      <c r="L699" s="383"/>
      <c r="M699" s="177"/>
      <c r="N699" s="177"/>
      <c r="O699" s="177"/>
      <c r="P699" s="88"/>
      <c r="Q699" s="151"/>
      <c r="R699" s="177"/>
      <c r="S699" s="177"/>
      <c r="T699" s="177"/>
      <c r="U699" s="391"/>
      <c r="V699" s="383"/>
      <c r="W699" s="177"/>
      <c r="X699" s="177"/>
      <c r="Y699" s="177"/>
      <c r="Z699" s="391"/>
      <c r="AA699" s="383"/>
      <c r="AB699" s="177"/>
      <c r="AC699" s="177"/>
      <c r="AD699" s="177"/>
      <c r="AE699" s="391"/>
      <c r="AF699" s="383"/>
      <c r="AG699" s="177"/>
      <c r="AH699" s="177"/>
      <c r="AI699" s="177"/>
      <c r="AJ699" s="391"/>
      <c r="AK699" s="383"/>
      <c r="AL699" s="177"/>
      <c r="AM699" s="177"/>
      <c r="AN699" s="177"/>
      <c r="AO699" s="366"/>
      <c r="AP699" s="366"/>
      <c r="AQ699" s="366"/>
      <c r="AR699" s="366"/>
      <c r="AS699" s="366"/>
    </row>
    <row r="700">
      <c r="A700" s="391"/>
      <c r="B700" s="383"/>
      <c r="C700" s="177"/>
      <c r="D700" s="177"/>
      <c r="E700" s="177"/>
      <c r="F700" s="391"/>
      <c r="G700" s="383"/>
      <c r="H700" s="177"/>
      <c r="I700" s="177"/>
      <c r="J700" s="177"/>
      <c r="K700" s="88"/>
      <c r="L700" s="383"/>
      <c r="M700" s="177"/>
      <c r="N700" s="177"/>
      <c r="O700" s="177"/>
      <c r="P700" s="88"/>
      <c r="Q700" s="151"/>
      <c r="R700" s="177"/>
      <c r="S700" s="177"/>
      <c r="T700" s="177"/>
      <c r="U700" s="391"/>
      <c r="V700" s="383"/>
      <c r="W700" s="177"/>
      <c r="X700" s="177"/>
      <c r="Y700" s="177"/>
      <c r="Z700" s="391"/>
      <c r="AA700" s="383"/>
      <c r="AB700" s="177"/>
      <c r="AC700" s="177"/>
      <c r="AD700" s="177"/>
      <c r="AE700" s="391"/>
      <c r="AF700" s="383"/>
      <c r="AG700" s="177"/>
      <c r="AH700" s="177"/>
      <c r="AI700" s="177"/>
      <c r="AJ700" s="391"/>
      <c r="AK700" s="383"/>
      <c r="AL700" s="177"/>
      <c r="AM700" s="177"/>
      <c r="AN700" s="177"/>
      <c r="AO700" s="366"/>
      <c r="AP700" s="366"/>
      <c r="AQ700" s="366"/>
      <c r="AR700" s="366"/>
      <c r="AS700" s="366"/>
    </row>
    <row r="701">
      <c r="A701" s="391"/>
      <c r="B701" s="383"/>
      <c r="C701" s="177"/>
      <c r="D701" s="177"/>
      <c r="E701" s="177"/>
      <c r="F701" s="391"/>
      <c r="G701" s="383"/>
      <c r="H701" s="177"/>
      <c r="I701" s="177"/>
      <c r="J701" s="177"/>
      <c r="K701" s="88"/>
      <c r="L701" s="383"/>
      <c r="M701" s="177"/>
      <c r="N701" s="177"/>
      <c r="O701" s="177"/>
      <c r="P701" s="88"/>
      <c r="Q701" s="151"/>
      <c r="R701" s="177"/>
      <c r="S701" s="177"/>
      <c r="T701" s="177"/>
      <c r="U701" s="391"/>
      <c r="V701" s="383"/>
      <c r="W701" s="177"/>
      <c r="X701" s="177"/>
      <c r="Y701" s="177"/>
      <c r="Z701" s="391"/>
      <c r="AA701" s="383"/>
      <c r="AB701" s="177"/>
      <c r="AC701" s="177"/>
      <c r="AD701" s="177"/>
      <c r="AE701" s="391"/>
      <c r="AF701" s="383"/>
      <c r="AG701" s="177"/>
      <c r="AH701" s="177"/>
      <c r="AI701" s="177"/>
      <c r="AJ701" s="391"/>
      <c r="AK701" s="383"/>
      <c r="AL701" s="177"/>
      <c r="AM701" s="177"/>
      <c r="AN701" s="177"/>
      <c r="AO701" s="366"/>
      <c r="AP701" s="366"/>
      <c r="AQ701" s="366"/>
      <c r="AR701" s="366"/>
      <c r="AS701" s="366"/>
    </row>
    <row r="702">
      <c r="A702" s="391"/>
      <c r="B702" s="383"/>
      <c r="C702" s="177"/>
      <c r="D702" s="177"/>
      <c r="E702" s="177"/>
      <c r="F702" s="391"/>
      <c r="G702" s="383"/>
      <c r="H702" s="177"/>
      <c r="I702" s="177"/>
      <c r="J702" s="177"/>
      <c r="K702" s="88"/>
      <c r="L702" s="383"/>
      <c r="M702" s="177"/>
      <c r="N702" s="177"/>
      <c r="O702" s="177"/>
      <c r="P702" s="88"/>
      <c r="Q702" s="151"/>
      <c r="R702" s="177"/>
      <c r="S702" s="177"/>
      <c r="T702" s="177"/>
      <c r="U702" s="391"/>
      <c r="V702" s="383"/>
      <c r="W702" s="177"/>
      <c r="X702" s="177"/>
      <c r="Y702" s="177"/>
      <c r="Z702" s="391"/>
      <c r="AA702" s="383"/>
      <c r="AB702" s="177"/>
      <c r="AC702" s="177"/>
      <c r="AD702" s="177"/>
      <c r="AE702" s="391"/>
      <c r="AF702" s="383"/>
      <c r="AG702" s="177"/>
      <c r="AH702" s="177"/>
      <c r="AI702" s="177"/>
      <c r="AJ702" s="391"/>
      <c r="AK702" s="383"/>
      <c r="AL702" s="177"/>
      <c r="AM702" s="177"/>
      <c r="AN702" s="177"/>
      <c r="AO702" s="366"/>
      <c r="AP702" s="366"/>
      <c r="AQ702" s="366"/>
      <c r="AR702" s="366"/>
      <c r="AS702" s="366"/>
    </row>
    <row r="703">
      <c r="A703" s="391"/>
      <c r="B703" s="383"/>
      <c r="C703" s="177"/>
      <c r="D703" s="177"/>
      <c r="E703" s="177"/>
      <c r="F703" s="391"/>
      <c r="G703" s="383"/>
      <c r="H703" s="177"/>
      <c r="I703" s="177"/>
      <c r="J703" s="177"/>
      <c r="K703" s="88"/>
      <c r="L703" s="383"/>
      <c r="M703" s="177"/>
      <c r="N703" s="177"/>
      <c r="O703" s="177"/>
      <c r="P703" s="88"/>
      <c r="Q703" s="151"/>
      <c r="R703" s="177"/>
      <c r="S703" s="177"/>
      <c r="T703" s="177"/>
      <c r="U703" s="391"/>
      <c r="V703" s="383"/>
      <c r="W703" s="177"/>
      <c r="X703" s="177"/>
      <c r="Y703" s="177"/>
      <c r="Z703" s="391"/>
      <c r="AA703" s="383"/>
      <c r="AB703" s="177"/>
      <c r="AC703" s="177"/>
      <c r="AD703" s="177"/>
      <c r="AE703" s="391"/>
      <c r="AF703" s="383"/>
      <c r="AG703" s="177"/>
      <c r="AH703" s="177"/>
      <c r="AI703" s="177"/>
      <c r="AJ703" s="391"/>
      <c r="AK703" s="383"/>
      <c r="AL703" s="177"/>
      <c r="AM703" s="177"/>
      <c r="AN703" s="177"/>
      <c r="AO703" s="366"/>
      <c r="AP703" s="366"/>
      <c r="AQ703" s="366"/>
      <c r="AR703" s="366"/>
      <c r="AS703" s="366"/>
    </row>
    <row r="704">
      <c r="A704" s="391"/>
      <c r="B704" s="383"/>
      <c r="C704" s="177"/>
      <c r="D704" s="177"/>
      <c r="E704" s="177"/>
      <c r="F704" s="391"/>
      <c r="G704" s="383"/>
      <c r="H704" s="177"/>
      <c r="I704" s="177"/>
      <c r="J704" s="177"/>
      <c r="K704" s="88"/>
      <c r="L704" s="383"/>
      <c r="M704" s="177"/>
      <c r="N704" s="177"/>
      <c r="O704" s="177"/>
      <c r="P704" s="88"/>
      <c r="Q704" s="151"/>
      <c r="R704" s="177"/>
      <c r="S704" s="177"/>
      <c r="T704" s="177"/>
      <c r="U704" s="391"/>
      <c r="V704" s="383"/>
      <c r="W704" s="177"/>
      <c r="X704" s="177"/>
      <c r="Y704" s="177"/>
      <c r="Z704" s="391"/>
      <c r="AA704" s="383"/>
      <c r="AB704" s="177"/>
      <c r="AC704" s="177"/>
      <c r="AD704" s="177"/>
      <c r="AE704" s="391"/>
      <c r="AF704" s="383"/>
      <c r="AG704" s="177"/>
      <c r="AH704" s="177"/>
      <c r="AI704" s="177"/>
      <c r="AJ704" s="391"/>
      <c r="AK704" s="383"/>
      <c r="AL704" s="177"/>
      <c r="AM704" s="177"/>
      <c r="AN704" s="177"/>
      <c r="AO704" s="366"/>
      <c r="AP704" s="366"/>
      <c r="AQ704" s="366"/>
      <c r="AR704" s="366"/>
      <c r="AS704" s="366"/>
    </row>
    <row r="705">
      <c r="A705" s="391"/>
      <c r="B705" s="383"/>
      <c r="C705" s="177"/>
      <c r="D705" s="177"/>
      <c r="E705" s="177"/>
      <c r="F705" s="391"/>
      <c r="G705" s="383"/>
      <c r="H705" s="177"/>
      <c r="I705" s="177"/>
      <c r="J705" s="177"/>
      <c r="K705" s="88"/>
      <c r="L705" s="383"/>
      <c r="M705" s="177"/>
      <c r="N705" s="177"/>
      <c r="O705" s="177"/>
      <c r="P705" s="88"/>
      <c r="Q705" s="151"/>
      <c r="R705" s="177"/>
      <c r="S705" s="177"/>
      <c r="T705" s="177"/>
      <c r="U705" s="391"/>
      <c r="V705" s="383"/>
      <c r="W705" s="177"/>
      <c r="X705" s="177"/>
      <c r="Y705" s="177"/>
      <c r="Z705" s="391"/>
      <c r="AA705" s="383"/>
      <c r="AB705" s="177"/>
      <c r="AC705" s="177"/>
      <c r="AD705" s="177"/>
      <c r="AE705" s="391"/>
      <c r="AF705" s="383"/>
      <c r="AG705" s="177"/>
      <c r="AH705" s="177"/>
      <c r="AI705" s="177"/>
      <c r="AJ705" s="391"/>
      <c r="AK705" s="383"/>
      <c r="AL705" s="177"/>
      <c r="AM705" s="177"/>
      <c r="AN705" s="177"/>
      <c r="AO705" s="366"/>
      <c r="AP705" s="366"/>
      <c r="AQ705" s="366"/>
      <c r="AR705" s="366"/>
      <c r="AS705" s="366"/>
    </row>
    <row r="706">
      <c r="A706" s="391"/>
      <c r="B706" s="383"/>
      <c r="C706" s="177"/>
      <c r="D706" s="177"/>
      <c r="E706" s="177"/>
      <c r="F706" s="391"/>
      <c r="G706" s="383"/>
      <c r="H706" s="177"/>
      <c r="I706" s="177"/>
      <c r="J706" s="177"/>
      <c r="K706" s="88"/>
      <c r="L706" s="383"/>
      <c r="M706" s="177"/>
      <c r="N706" s="177"/>
      <c r="O706" s="177"/>
      <c r="P706" s="88"/>
      <c r="Q706" s="151"/>
      <c r="R706" s="177"/>
      <c r="S706" s="177"/>
      <c r="T706" s="177"/>
      <c r="U706" s="391"/>
      <c r="V706" s="383"/>
      <c r="W706" s="177"/>
      <c r="X706" s="177"/>
      <c r="Y706" s="177"/>
      <c r="Z706" s="391"/>
      <c r="AA706" s="383"/>
      <c r="AB706" s="177"/>
      <c r="AC706" s="177"/>
      <c r="AD706" s="177"/>
      <c r="AE706" s="391"/>
      <c r="AF706" s="383"/>
      <c r="AG706" s="177"/>
      <c r="AH706" s="177"/>
      <c r="AI706" s="177"/>
      <c r="AJ706" s="391"/>
      <c r="AK706" s="383"/>
      <c r="AL706" s="177"/>
      <c r="AM706" s="177"/>
      <c r="AN706" s="177"/>
      <c r="AO706" s="366"/>
      <c r="AP706" s="366"/>
      <c r="AQ706" s="366"/>
      <c r="AR706" s="366"/>
      <c r="AS706" s="366"/>
    </row>
    <row r="707">
      <c r="A707" s="391"/>
      <c r="B707" s="383"/>
      <c r="C707" s="177"/>
      <c r="D707" s="177"/>
      <c r="E707" s="177"/>
      <c r="F707" s="391"/>
      <c r="G707" s="383"/>
      <c r="H707" s="177"/>
      <c r="I707" s="177"/>
      <c r="J707" s="177"/>
      <c r="K707" s="88"/>
      <c r="L707" s="383"/>
      <c r="M707" s="177"/>
      <c r="N707" s="177"/>
      <c r="O707" s="177"/>
      <c r="P707" s="88"/>
      <c r="Q707" s="151"/>
      <c r="R707" s="177"/>
      <c r="S707" s="177"/>
      <c r="T707" s="177"/>
      <c r="U707" s="391"/>
      <c r="V707" s="383"/>
      <c r="W707" s="177"/>
      <c r="X707" s="177"/>
      <c r="Y707" s="177"/>
      <c r="Z707" s="391"/>
      <c r="AA707" s="383"/>
      <c r="AB707" s="177"/>
      <c r="AC707" s="177"/>
      <c r="AD707" s="177"/>
      <c r="AE707" s="391"/>
      <c r="AF707" s="383"/>
      <c r="AG707" s="177"/>
      <c r="AH707" s="177"/>
      <c r="AI707" s="177"/>
      <c r="AJ707" s="391"/>
      <c r="AK707" s="383"/>
      <c r="AL707" s="177"/>
      <c r="AM707" s="177"/>
      <c r="AN707" s="177"/>
      <c r="AO707" s="366"/>
      <c r="AP707" s="366"/>
      <c r="AQ707" s="366"/>
      <c r="AR707" s="366"/>
      <c r="AS707" s="366"/>
    </row>
    <row r="708">
      <c r="A708" s="391"/>
      <c r="B708" s="383"/>
      <c r="C708" s="177"/>
      <c r="D708" s="177"/>
      <c r="E708" s="177"/>
      <c r="F708" s="391"/>
      <c r="G708" s="383"/>
      <c r="H708" s="177"/>
      <c r="I708" s="177"/>
      <c r="J708" s="177"/>
      <c r="K708" s="88"/>
      <c r="L708" s="383"/>
      <c r="M708" s="177"/>
      <c r="N708" s="177"/>
      <c r="O708" s="177"/>
      <c r="P708" s="88"/>
      <c r="Q708" s="151"/>
      <c r="R708" s="177"/>
      <c r="S708" s="177"/>
      <c r="T708" s="177"/>
      <c r="U708" s="391"/>
      <c r="V708" s="383"/>
      <c r="W708" s="177"/>
      <c r="X708" s="177"/>
      <c r="Y708" s="177"/>
      <c r="Z708" s="391"/>
      <c r="AA708" s="383"/>
      <c r="AB708" s="177"/>
      <c r="AC708" s="177"/>
      <c r="AD708" s="177"/>
      <c r="AE708" s="391"/>
      <c r="AF708" s="383"/>
      <c r="AG708" s="177"/>
      <c r="AH708" s="177"/>
      <c r="AI708" s="177"/>
      <c r="AJ708" s="391"/>
      <c r="AK708" s="383"/>
      <c r="AL708" s="177"/>
      <c r="AM708" s="177"/>
      <c r="AN708" s="177"/>
      <c r="AO708" s="366"/>
      <c r="AP708" s="366"/>
      <c r="AQ708" s="366"/>
      <c r="AR708" s="366"/>
      <c r="AS708" s="366"/>
    </row>
    <row r="709">
      <c r="A709" s="391"/>
      <c r="B709" s="383"/>
      <c r="C709" s="177"/>
      <c r="D709" s="177"/>
      <c r="E709" s="177"/>
      <c r="F709" s="391"/>
      <c r="G709" s="383"/>
      <c r="H709" s="177"/>
      <c r="I709" s="177"/>
      <c r="J709" s="177"/>
      <c r="K709" s="88"/>
      <c r="L709" s="383"/>
      <c r="M709" s="177"/>
      <c r="N709" s="177"/>
      <c r="O709" s="177"/>
      <c r="P709" s="88"/>
      <c r="Q709" s="151"/>
      <c r="R709" s="177"/>
      <c r="S709" s="177"/>
      <c r="T709" s="177"/>
      <c r="U709" s="391"/>
      <c r="V709" s="383"/>
      <c r="W709" s="177"/>
      <c r="X709" s="177"/>
      <c r="Y709" s="177"/>
      <c r="Z709" s="391"/>
      <c r="AA709" s="383"/>
      <c r="AB709" s="177"/>
      <c r="AC709" s="177"/>
      <c r="AD709" s="177"/>
      <c r="AE709" s="391"/>
      <c r="AF709" s="383"/>
      <c r="AG709" s="177"/>
      <c r="AH709" s="177"/>
      <c r="AI709" s="177"/>
      <c r="AJ709" s="391"/>
      <c r="AK709" s="383"/>
      <c r="AL709" s="177"/>
      <c r="AM709" s="177"/>
      <c r="AN709" s="177"/>
      <c r="AO709" s="366"/>
      <c r="AP709" s="366"/>
      <c r="AQ709" s="366"/>
      <c r="AR709" s="366"/>
      <c r="AS709" s="366"/>
    </row>
    <row r="710">
      <c r="A710" s="391"/>
      <c r="B710" s="383"/>
      <c r="C710" s="177"/>
      <c r="D710" s="177"/>
      <c r="E710" s="177"/>
      <c r="F710" s="391"/>
      <c r="G710" s="383"/>
      <c r="H710" s="177"/>
      <c r="I710" s="177"/>
      <c r="J710" s="177"/>
      <c r="K710" s="88"/>
      <c r="L710" s="383"/>
      <c r="M710" s="177"/>
      <c r="N710" s="177"/>
      <c r="O710" s="177"/>
      <c r="P710" s="88"/>
      <c r="Q710" s="151"/>
      <c r="R710" s="177"/>
      <c r="S710" s="177"/>
      <c r="T710" s="177"/>
      <c r="U710" s="391"/>
      <c r="V710" s="383"/>
      <c r="W710" s="177"/>
      <c r="X710" s="177"/>
      <c r="Y710" s="177"/>
      <c r="Z710" s="391"/>
      <c r="AA710" s="383"/>
      <c r="AB710" s="177"/>
      <c r="AC710" s="177"/>
      <c r="AD710" s="177"/>
      <c r="AE710" s="391"/>
      <c r="AF710" s="383"/>
      <c r="AG710" s="177"/>
      <c r="AH710" s="177"/>
      <c r="AI710" s="177"/>
      <c r="AJ710" s="391"/>
      <c r="AK710" s="383"/>
      <c r="AL710" s="177"/>
      <c r="AM710" s="177"/>
      <c r="AN710" s="177"/>
      <c r="AO710" s="366"/>
      <c r="AP710" s="366"/>
      <c r="AQ710" s="366"/>
      <c r="AR710" s="366"/>
      <c r="AS710" s="366"/>
    </row>
    <row r="711">
      <c r="A711" s="391"/>
      <c r="B711" s="383"/>
      <c r="C711" s="177"/>
      <c r="D711" s="177"/>
      <c r="E711" s="177"/>
      <c r="F711" s="391"/>
      <c r="G711" s="383"/>
      <c r="H711" s="177"/>
      <c r="I711" s="177"/>
      <c r="J711" s="177"/>
      <c r="K711" s="88"/>
      <c r="L711" s="383"/>
      <c r="M711" s="177"/>
      <c r="N711" s="177"/>
      <c r="O711" s="177"/>
      <c r="P711" s="88"/>
      <c r="Q711" s="151"/>
      <c r="R711" s="177"/>
      <c r="S711" s="177"/>
      <c r="T711" s="177"/>
      <c r="U711" s="391"/>
      <c r="V711" s="383"/>
      <c r="W711" s="177"/>
      <c r="X711" s="177"/>
      <c r="Y711" s="177"/>
      <c r="Z711" s="391"/>
      <c r="AA711" s="383"/>
      <c r="AB711" s="177"/>
      <c r="AC711" s="177"/>
      <c r="AD711" s="177"/>
      <c r="AE711" s="391"/>
      <c r="AF711" s="383"/>
      <c r="AG711" s="177"/>
      <c r="AH711" s="177"/>
      <c r="AI711" s="177"/>
      <c r="AJ711" s="391"/>
      <c r="AK711" s="383"/>
      <c r="AL711" s="177"/>
      <c r="AM711" s="177"/>
      <c r="AN711" s="177"/>
      <c r="AO711" s="366"/>
      <c r="AP711" s="366"/>
      <c r="AQ711" s="366"/>
      <c r="AR711" s="366"/>
      <c r="AS711" s="366"/>
    </row>
    <row r="712">
      <c r="A712" s="391"/>
      <c r="B712" s="383"/>
      <c r="C712" s="177"/>
      <c r="D712" s="177"/>
      <c r="E712" s="177"/>
      <c r="F712" s="391"/>
      <c r="G712" s="383"/>
      <c r="H712" s="177"/>
      <c r="I712" s="177"/>
      <c r="J712" s="177"/>
      <c r="K712" s="88"/>
      <c r="L712" s="383"/>
      <c r="M712" s="177"/>
      <c r="N712" s="177"/>
      <c r="O712" s="177"/>
      <c r="P712" s="88"/>
      <c r="Q712" s="151"/>
      <c r="R712" s="177"/>
      <c r="S712" s="177"/>
      <c r="T712" s="177"/>
      <c r="U712" s="391"/>
      <c r="V712" s="383"/>
      <c r="W712" s="177"/>
      <c r="X712" s="177"/>
      <c r="Y712" s="177"/>
      <c r="Z712" s="391"/>
      <c r="AA712" s="383"/>
      <c r="AB712" s="177"/>
      <c r="AC712" s="177"/>
      <c r="AD712" s="177"/>
      <c r="AE712" s="391"/>
      <c r="AF712" s="383"/>
      <c r="AG712" s="177"/>
      <c r="AH712" s="177"/>
      <c r="AI712" s="177"/>
      <c r="AJ712" s="391"/>
      <c r="AK712" s="383"/>
      <c r="AL712" s="177"/>
      <c r="AM712" s="177"/>
      <c r="AN712" s="177"/>
      <c r="AO712" s="366"/>
      <c r="AP712" s="366"/>
      <c r="AQ712" s="366"/>
      <c r="AR712" s="366"/>
      <c r="AS712" s="366"/>
    </row>
    <row r="713">
      <c r="A713" s="391"/>
      <c r="B713" s="383"/>
      <c r="C713" s="177"/>
      <c r="D713" s="177"/>
      <c r="E713" s="177"/>
      <c r="F713" s="391"/>
      <c r="G713" s="383"/>
      <c r="H713" s="177"/>
      <c r="I713" s="177"/>
      <c r="J713" s="177"/>
      <c r="K713" s="88"/>
      <c r="L713" s="383"/>
      <c r="M713" s="177"/>
      <c r="N713" s="177"/>
      <c r="O713" s="177"/>
      <c r="P713" s="88"/>
      <c r="Q713" s="151"/>
      <c r="R713" s="177"/>
      <c r="S713" s="177"/>
      <c r="T713" s="177"/>
      <c r="U713" s="391"/>
      <c r="V713" s="383"/>
      <c r="W713" s="177"/>
      <c r="X713" s="177"/>
      <c r="Y713" s="177"/>
      <c r="Z713" s="391"/>
      <c r="AA713" s="383"/>
      <c r="AB713" s="177"/>
      <c r="AC713" s="177"/>
      <c r="AD713" s="177"/>
      <c r="AE713" s="391"/>
      <c r="AF713" s="383"/>
      <c r="AG713" s="177"/>
      <c r="AH713" s="177"/>
      <c r="AI713" s="177"/>
      <c r="AJ713" s="391"/>
      <c r="AK713" s="383"/>
      <c r="AL713" s="177"/>
      <c r="AM713" s="177"/>
      <c r="AN713" s="177"/>
      <c r="AO713" s="366"/>
      <c r="AP713" s="366"/>
      <c r="AQ713" s="366"/>
      <c r="AR713" s="366"/>
      <c r="AS713" s="366"/>
    </row>
    <row r="714">
      <c r="A714" s="391"/>
      <c r="B714" s="383"/>
      <c r="C714" s="177"/>
      <c r="D714" s="177"/>
      <c r="E714" s="177"/>
      <c r="F714" s="391"/>
      <c r="G714" s="383"/>
      <c r="H714" s="177"/>
      <c r="I714" s="177"/>
      <c r="J714" s="177"/>
      <c r="K714" s="88"/>
      <c r="L714" s="383"/>
      <c r="M714" s="177"/>
      <c r="N714" s="177"/>
      <c r="O714" s="177"/>
      <c r="P714" s="88"/>
      <c r="Q714" s="151"/>
      <c r="R714" s="177"/>
      <c r="S714" s="177"/>
      <c r="T714" s="177"/>
      <c r="U714" s="391"/>
      <c r="V714" s="383"/>
      <c r="W714" s="177"/>
      <c r="X714" s="177"/>
      <c r="Y714" s="177"/>
      <c r="Z714" s="391"/>
      <c r="AA714" s="383"/>
      <c r="AB714" s="177"/>
      <c r="AC714" s="177"/>
      <c r="AD714" s="177"/>
      <c r="AE714" s="391"/>
      <c r="AF714" s="383"/>
      <c r="AG714" s="177"/>
      <c r="AH714" s="177"/>
      <c r="AI714" s="177"/>
      <c r="AJ714" s="391"/>
      <c r="AK714" s="383"/>
      <c r="AL714" s="177"/>
      <c r="AM714" s="177"/>
      <c r="AN714" s="177"/>
      <c r="AO714" s="366"/>
      <c r="AP714" s="366"/>
      <c r="AQ714" s="366"/>
      <c r="AR714" s="366"/>
      <c r="AS714" s="366"/>
    </row>
    <row r="715">
      <c r="A715" s="391"/>
      <c r="B715" s="383"/>
      <c r="C715" s="177"/>
      <c r="D715" s="177"/>
      <c r="E715" s="177"/>
      <c r="F715" s="391"/>
      <c r="G715" s="383"/>
      <c r="H715" s="177"/>
      <c r="I715" s="177"/>
      <c r="J715" s="177"/>
      <c r="K715" s="88"/>
      <c r="L715" s="383"/>
      <c r="M715" s="177"/>
      <c r="N715" s="177"/>
      <c r="O715" s="177"/>
      <c r="P715" s="88"/>
      <c r="Q715" s="151"/>
      <c r="R715" s="177"/>
      <c r="S715" s="177"/>
      <c r="T715" s="177"/>
      <c r="U715" s="391"/>
      <c r="V715" s="383"/>
      <c r="W715" s="177"/>
      <c r="X715" s="177"/>
      <c r="Y715" s="177"/>
      <c r="Z715" s="391"/>
      <c r="AA715" s="383"/>
      <c r="AB715" s="177"/>
      <c r="AC715" s="177"/>
      <c r="AD715" s="177"/>
      <c r="AE715" s="391"/>
      <c r="AF715" s="383"/>
      <c r="AG715" s="177"/>
      <c r="AH715" s="177"/>
      <c r="AI715" s="177"/>
      <c r="AJ715" s="391"/>
      <c r="AK715" s="383"/>
      <c r="AL715" s="177"/>
      <c r="AM715" s="177"/>
      <c r="AN715" s="177"/>
      <c r="AO715" s="366"/>
      <c r="AP715" s="366"/>
      <c r="AQ715" s="366"/>
      <c r="AR715" s="366"/>
      <c r="AS715" s="366"/>
    </row>
    <row r="716">
      <c r="A716" s="391"/>
      <c r="B716" s="383"/>
      <c r="C716" s="177"/>
      <c r="D716" s="177"/>
      <c r="E716" s="177"/>
      <c r="F716" s="391"/>
      <c r="G716" s="383"/>
      <c r="H716" s="177"/>
      <c r="I716" s="177"/>
      <c r="J716" s="177"/>
      <c r="K716" s="88"/>
      <c r="L716" s="383"/>
      <c r="M716" s="177"/>
      <c r="N716" s="177"/>
      <c r="O716" s="177"/>
      <c r="P716" s="88"/>
      <c r="Q716" s="151"/>
      <c r="R716" s="177"/>
      <c r="S716" s="177"/>
      <c r="T716" s="177"/>
      <c r="U716" s="391"/>
      <c r="V716" s="383"/>
      <c r="W716" s="177"/>
      <c r="X716" s="177"/>
      <c r="Y716" s="177"/>
      <c r="Z716" s="391"/>
      <c r="AA716" s="383"/>
      <c r="AB716" s="177"/>
      <c r="AC716" s="177"/>
      <c r="AD716" s="177"/>
      <c r="AE716" s="391"/>
      <c r="AF716" s="383"/>
      <c r="AG716" s="177"/>
      <c r="AH716" s="177"/>
      <c r="AI716" s="177"/>
      <c r="AJ716" s="391"/>
      <c r="AK716" s="383"/>
      <c r="AL716" s="177"/>
      <c r="AM716" s="177"/>
      <c r="AN716" s="177"/>
      <c r="AO716" s="366"/>
      <c r="AP716" s="366"/>
      <c r="AQ716" s="366"/>
      <c r="AR716" s="366"/>
      <c r="AS716" s="366"/>
    </row>
    <row r="717">
      <c r="A717" s="391"/>
      <c r="B717" s="383"/>
      <c r="C717" s="177"/>
      <c r="D717" s="177"/>
      <c r="E717" s="177"/>
      <c r="F717" s="391"/>
      <c r="G717" s="383"/>
      <c r="H717" s="177"/>
      <c r="I717" s="177"/>
      <c r="J717" s="177"/>
      <c r="K717" s="88"/>
      <c r="L717" s="383"/>
      <c r="M717" s="177"/>
      <c r="N717" s="177"/>
      <c r="O717" s="177"/>
      <c r="P717" s="88"/>
      <c r="Q717" s="151"/>
      <c r="R717" s="177"/>
      <c r="S717" s="177"/>
      <c r="T717" s="177"/>
      <c r="U717" s="391"/>
      <c r="V717" s="383"/>
      <c r="W717" s="177"/>
      <c r="X717" s="177"/>
      <c r="Y717" s="177"/>
      <c r="Z717" s="391"/>
      <c r="AA717" s="383"/>
      <c r="AB717" s="177"/>
      <c r="AC717" s="177"/>
      <c r="AD717" s="177"/>
      <c r="AE717" s="391"/>
      <c r="AF717" s="383"/>
      <c r="AG717" s="177"/>
      <c r="AH717" s="177"/>
      <c r="AI717" s="177"/>
      <c r="AJ717" s="391"/>
      <c r="AK717" s="383"/>
      <c r="AL717" s="177"/>
      <c r="AM717" s="177"/>
      <c r="AN717" s="177"/>
      <c r="AO717" s="366"/>
      <c r="AP717" s="366"/>
      <c r="AQ717" s="366"/>
      <c r="AR717" s="366"/>
      <c r="AS717" s="366"/>
    </row>
    <row r="718">
      <c r="A718" s="391"/>
      <c r="B718" s="383"/>
      <c r="C718" s="177"/>
      <c r="D718" s="177"/>
      <c r="E718" s="177"/>
      <c r="F718" s="391"/>
      <c r="G718" s="383"/>
      <c r="H718" s="177"/>
      <c r="I718" s="177"/>
      <c r="J718" s="177"/>
      <c r="K718" s="88"/>
      <c r="L718" s="383"/>
      <c r="M718" s="177"/>
      <c r="N718" s="177"/>
      <c r="O718" s="177"/>
      <c r="P718" s="88"/>
      <c r="Q718" s="151"/>
      <c r="R718" s="177"/>
      <c r="S718" s="177"/>
      <c r="T718" s="177"/>
      <c r="U718" s="391"/>
      <c r="V718" s="383"/>
      <c r="W718" s="177"/>
      <c r="X718" s="177"/>
      <c r="Y718" s="177"/>
      <c r="Z718" s="391"/>
      <c r="AA718" s="383"/>
      <c r="AB718" s="177"/>
      <c r="AC718" s="177"/>
      <c r="AD718" s="177"/>
      <c r="AE718" s="391"/>
      <c r="AF718" s="383"/>
      <c r="AG718" s="177"/>
      <c r="AH718" s="177"/>
      <c r="AI718" s="177"/>
      <c r="AJ718" s="391"/>
      <c r="AK718" s="383"/>
      <c r="AL718" s="177"/>
      <c r="AM718" s="177"/>
      <c r="AN718" s="177"/>
      <c r="AO718" s="366"/>
      <c r="AP718" s="366"/>
      <c r="AQ718" s="366"/>
      <c r="AR718" s="366"/>
      <c r="AS718" s="366"/>
    </row>
    <row r="719">
      <c r="A719" s="391"/>
      <c r="B719" s="383"/>
      <c r="C719" s="177"/>
      <c r="D719" s="177"/>
      <c r="E719" s="177"/>
      <c r="F719" s="391"/>
      <c r="G719" s="383"/>
      <c r="H719" s="177"/>
      <c r="I719" s="177"/>
      <c r="J719" s="177"/>
      <c r="K719" s="88"/>
      <c r="L719" s="383"/>
      <c r="M719" s="177"/>
      <c r="N719" s="177"/>
      <c r="O719" s="177"/>
      <c r="P719" s="88"/>
      <c r="Q719" s="151"/>
      <c r="R719" s="177"/>
      <c r="S719" s="177"/>
      <c r="T719" s="177"/>
      <c r="U719" s="391"/>
      <c r="V719" s="383"/>
      <c r="W719" s="177"/>
      <c r="X719" s="177"/>
      <c r="Y719" s="177"/>
      <c r="Z719" s="391"/>
      <c r="AA719" s="383"/>
      <c r="AB719" s="177"/>
      <c r="AC719" s="177"/>
      <c r="AD719" s="177"/>
      <c r="AE719" s="391"/>
      <c r="AF719" s="383"/>
      <c r="AG719" s="177"/>
      <c r="AH719" s="177"/>
      <c r="AI719" s="177"/>
      <c r="AJ719" s="391"/>
      <c r="AK719" s="383"/>
      <c r="AL719" s="177"/>
      <c r="AM719" s="177"/>
      <c r="AN719" s="177"/>
      <c r="AO719" s="366"/>
      <c r="AP719" s="366"/>
      <c r="AQ719" s="366"/>
      <c r="AR719" s="366"/>
      <c r="AS719" s="366"/>
    </row>
    <row r="720">
      <c r="A720" s="391"/>
      <c r="B720" s="383"/>
      <c r="C720" s="177"/>
      <c r="D720" s="177"/>
      <c r="E720" s="177"/>
      <c r="F720" s="391"/>
      <c r="G720" s="383"/>
      <c r="H720" s="177"/>
      <c r="I720" s="177"/>
      <c r="J720" s="177"/>
      <c r="K720" s="88"/>
      <c r="L720" s="383"/>
      <c r="M720" s="177"/>
      <c r="N720" s="177"/>
      <c r="O720" s="177"/>
      <c r="P720" s="88"/>
      <c r="Q720" s="151"/>
      <c r="R720" s="177"/>
      <c r="S720" s="177"/>
      <c r="T720" s="177"/>
      <c r="U720" s="391"/>
      <c r="V720" s="383"/>
      <c r="W720" s="177"/>
      <c r="X720" s="177"/>
      <c r="Y720" s="177"/>
      <c r="Z720" s="391"/>
      <c r="AA720" s="383"/>
      <c r="AB720" s="177"/>
      <c r="AC720" s="177"/>
      <c r="AD720" s="177"/>
      <c r="AE720" s="391"/>
      <c r="AF720" s="383"/>
      <c r="AG720" s="177"/>
      <c r="AH720" s="177"/>
      <c r="AI720" s="177"/>
      <c r="AJ720" s="391"/>
      <c r="AK720" s="383"/>
      <c r="AL720" s="177"/>
      <c r="AM720" s="177"/>
      <c r="AN720" s="177"/>
      <c r="AO720" s="366"/>
      <c r="AP720" s="366"/>
      <c r="AQ720" s="366"/>
      <c r="AR720" s="366"/>
      <c r="AS720" s="366"/>
    </row>
    <row r="721">
      <c r="A721" s="391"/>
      <c r="B721" s="383"/>
      <c r="C721" s="177"/>
      <c r="D721" s="177"/>
      <c r="E721" s="177"/>
      <c r="F721" s="391"/>
      <c r="G721" s="383"/>
      <c r="H721" s="177"/>
      <c r="I721" s="177"/>
      <c r="J721" s="177"/>
      <c r="K721" s="88"/>
      <c r="L721" s="383"/>
      <c r="M721" s="177"/>
      <c r="N721" s="177"/>
      <c r="O721" s="177"/>
      <c r="P721" s="88"/>
      <c r="Q721" s="151"/>
      <c r="R721" s="177"/>
      <c r="S721" s="177"/>
      <c r="T721" s="177"/>
      <c r="U721" s="391"/>
      <c r="V721" s="383"/>
      <c r="W721" s="177"/>
      <c r="X721" s="177"/>
      <c r="Y721" s="177"/>
      <c r="Z721" s="391"/>
      <c r="AA721" s="383"/>
      <c r="AB721" s="177"/>
      <c r="AC721" s="177"/>
      <c r="AD721" s="177"/>
      <c r="AE721" s="391"/>
      <c r="AF721" s="383"/>
      <c r="AG721" s="177"/>
      <c r="AH721" s="177"/>
      <c r="AI721" s="177"/>
      <c r="AJ721" s="391"/>
      <c r="AK721" s="383"/>
      <c r="AL721" s="177"/>
      <c r="AM721" s="177"/>
      <c r="AN721" s="177"/>
      <c r="AO721" s="366"/>
      <c r="AP721" s="366"/>
      <c r="AQ721" s="366"/>
      <c r="AR721" s="366"/>
      <c r="AS721" s="366"/>
    </row>
    <row r="722">
      <c r="A722" s="391"/>
      <c r="B722" s="383"/>
      <c r="C722" s="177"/>
      <c r="D722" s="177"/>
      <c r="E722" s="177"/>
      <c r="F722" s="391"/>
      <c r="G722" s="383"/>
      <c r="H722" s="177"/>
      <c r="I722" s="177"/>
      <c r="J722" s="177"/>
      <c r="K722" s="88"/>
      <c r="L722" s="383"/>
      <c r="M722" s="177"/>
      <c r="N722" s="177"/>
      <c r="O722" s="177"/>
      <c r="P722" s="88"/>
      <c r="Q722" s="151"/>
      <c r="R722" s="177"/>
      <c r="S722" s="177"/>
      <c r="T722" s="177"/>
      <c r="U722" s="391"/>
      <c r="V722" s="383"/>
      <c r="W722" s="177"/>
      <c r="X722" s="177"/>
      <c r="Y722" s="177"/>
      <c r="Z722" s="391"/>
      <c r="AA722" s="383"/>
      <c r="AB722" s="177"/>
      <c r="AC722" s="177"/>
      <c r="AD722" s="177"/>
      <c r="AE722" s="391"/>
      <c r="AF722" s="383"/>
      <c r="AG722" s="177"/>
      <c r="AH722" s="177"/>
      <c r="AI722" s="177"/>
      <c r="AJ722" s="391"/>
      <c r="AK722" s="383"/>
      <c r="AL722" s="177"/>
      <c r="AM722" s="177"/>
      <c r="AN722" s="177"/>
      <c r="AO722" s="366"/>
      <c r="AP722" s="366"/>
      <c r="AQ722" s="366"/>
      <c r="AR722" s="366"/>
      <c r="AS722" s="366"/>
    </row>
    <row r="723">
      <c r="A723" s="391"/>
      <c r="B723" s="383"/>
      <c r="C723" s="177"/>
      <c r="D723" s="177"/>
      <c r="E723" s="177"/>
      <c r="F723" s="391"/>
      <c r="G723" s="383"/>
      <c r="H723" s="177"/>
      <c r="I723" s="177"/>
      <c r="J723" s="177"/>
      <c r="K723" s="88"/>
      <c r="L723" s="383"/>
      <c r="M723" s="177"/>
      <c r="N723" s="177"/>
      <c r="O723" s="177"/>
      <c r="P723" s="88"/>
      <c r="Q723" s="151"/>
      <c r="R723" s="177"/>
      <c r="S723" s="177"/>
      <c r="T723" s="177"/>
      <c r="U723" s="391"/>
      <c r="V723" s="383"/>
      <c r="W723" s="177"/>
      <c r="X723" s="177"/>
      <c r="Y723" s="177"/>
      <c r="Z723" s="391"/>
      <c r="AA723" s="383"/>
      <c r="AB723" s="177"/>
      <c r="AC723" s="177"/>
      <c r="AD723" s="177"/>
      <c r="AE723" s="391"/>
      <c r="AF723" s="383"/>
      <c r="AG723" s="177"/>
      <c r="AH723" s="177"/>
      <c r="AI723" s="177"/>
      <c r="AJ723" s="391"/>
      <c r="AK723" s="383"/>
      <c r="AL723" s="177"/>
      <c r="AM723" s="177"/>
      <c r="AN723" s="177"/>
      <c r="AO723" s="366"/>
      <c r="AP723" s="366"/>
      <c r="AQ723" s="366"/>
      <c r="AR723" s="366"/>
      <c r="AS723" s="366"/>
    </row>
    <row r="724">
      <c r="A724" s="391"/>
      <c r="B724" s="383"/>
      <c r="C724" s="177"/>
      <c r="D724" s="177"/>
      <c r="E724" s="177"/>
      <c r="F724" s="391"/>
      <c r="G724" s="383"/>
      <c r="H724" s="177"/>
      <c r="I724" s="177"/>
      <c r="J724" s="177"/>
      <c r="K724" s="88"/>
      <c r="L724" s="383"/>
      <c r="M724" s="177"/>
      <c r="N724" s="177"/>
      <c r="O724" s="177"/>
      <c r="P724" s="88"/>
      <c r="Q724" s="151"/>
      <c r="R724" s="177"/>
      <c r="S724" s="177"/>
      <c r="T724" s="177"/>
      <c r="U724" s="391"/>
      <c r="V724" s="383"/>
      <c r="W724" s="177"/>
      <c r="X724" s="177"/>
      <c r="Y724" s="177"/>
      <c r="Z724" s="391"/>
      <c r="AA724" s="383"/>
      <c r="AB724" s="177"/>
      <c r="AC724" s="177"/>
      <c r="AD724" s="177"/>
      <c r="AE724" s="391"/>
      <c r="AF724" s="383"/>
      <c r="AG724" s="177"/>
      <c r="AH724" s="177"/>
      <c r="AI724" s="177"/>
      <c r="AJ724" s="391"/>
      <c r="AK724" s="383"/>
      <c r="AL724" s="177"/>
      <c r="AM724" s="177"/>
      <c r="AN724" s="177"/>
      <c r="AO724" s="366"/>
      <c r="AP724" s="366"/>
      <c r="AQ724" s="366"/>
      <c r="AR724" s="366"/>
      <c r="AS724" s="366"/>
    </row>
    <row r="725">
      <c r="A725" s="391"/>
      <c r="B725" s="383"/>
      <c r="C725" s="177"/>
      <c r="D725" s="177"/>
      <c r="E725" s="177"/>
      <c r="F725" s="391"/>
      <c r="G725" s="383"/>
      <c r="H725" s="177"/>
      <c r="I725" s="177"/>
      <c r="J725" s="177"/>
      <c r="K725" s="88"/>
      <c r="L725" s="383"/>
      <c r="M725" s="177"/>
      <c r="N725" s="177"/>
      <c r="O725" s="177"/>
      <c r="P725" s="88"/>
      <c r="Q725" s="151"/>
      <c r="R725" s="177"/>
      <c r="S725" s="177"/>
      <c r="T725" s="177"/>
      <c r="U725" s="391"/>
      <c r="V725" s="383"/>
      <c r="W725" s="177"/>
      <c r="X725" s="177"/>
      <c r="Y725" s="177"/>
      <c r="Z725" s="391"/>
      <c r="AA725" s="383"/>
      <c r="AB725" s="177"/>
      <c r="AC725" s="177"/>
      <c r="AD725" s="177"/>
      <c r="AE725" s="391"/>
      <c r="AF725" s="383"/>
      <c r="AG725" s="177"/>
      <c r="AH725" s="177"/>
      <c r="AI725" s="177"/>
      <c r="AJ725" s="391"/>
      <c r="AK725" s="383"/>
      <c r="AL725" s="177"/>
      <c r="AM725" s="177"/>
      <c r="AN725" s="177"/>
      <c r="AO725" s="366"/>
      <c r="AP725" s="366"/>
      <c r="AQ725" s="366"/>
      <c r="AR725" s="366"/>
      <c r="AS725" s="366"/>
    </row>
    <row r="726">
      <c r="A726" s="391"/>
      <c r="B726" s="383"/>
      <c r="C726" s="177"/>
      <c r="D726" s="177"/>
      <c r="E726" s="177"/>
      <c r="F726" s="391"/>
      <c r="G726" s="383"/>
      <c r="H726" s="177"/>
      <c r="I726" s="177"/>
      <c r="J726" s="177"/>
      <c r="K726" s="88"/>
      <c r="L726" s="383"/>
      <c r="M726" s="177"/>
      <c r="N726" s="177"/>
      <c r="O726" s="177"/>
      <c r="P726" s="88"/>
      <c r="Q726" s="151"/>
      <c r="R726" s="177"/>
      <c r="S726" s="177"/>
      <c r="T726" s="177"/>
      <c r="U726" s="391"/>
      <c r="V726" s="383"/>
      <c r="W726" s="177"/>
      <c r="X726" s="177"/>
      <c r="Y726" s="177"/>
      <c r="Z726" s="391"/>
      <c r="AA726" s="383"/>
      <c r="AB726" s="177"/>
      <c r="AC726" s="177"/>
      <c r="AD726" s="177"/>
      <c r="AE726" s="391"/>
      <c r="AF726" s="383"/>
      <c r="AG726" s="177"/>
      <c r="AH726" s="177"/>
      <c r="AI726" s="177"/>
      <c r="AJ726" s="391"/>
      <c r="AK726" s="383"/>
      <c r="AL726" s="177"/>
      <c r="AM726" s="177"/>
      <c r="AN726" s="177"/>
      <c r="AO726" s="366"/>
      <c r="AP726" s="366"/>
      <c r="AQ726" s="366"/>
      <c r="AR726" s="366"/>
      <c r="AS726" s="366"/>
    </row>
    <row r="727">
      <c r="A727" s="391"/>
      <c r="B727" s="383"/>
      <c r="C727" s="177"/>
      <c r="D727" s="177"/>
      <c r="E727" s="177"/>
      <c r="F727" s="391"/>
      <c r="G727" s="383"/>
      <c r="H727" s="177"/>
      <c r="I727" s="177"/>
      <c r="J727" s="177"/>
      <c r="K727" s="88"/>
      <c r="L727" s="383"/>
      <c r="M727" s="177"/>
      <c r="N727" s="177"/>
      <c r="O727" s="177"/>
      <c r="P727" s="88"/>
      <c r="Q727" s="151"/>
      <c r="R727" s="177"/>
      <c r="S727" s="177"/>
      <c r="T727" s="177"/>
      <c r="U727" s="391"/>
      <c r="V727" s="383"/>
      <c r="W727" s="177"/>
      <c r="X727" s="177"/>
      <c r="Y727" s="177"/>
      <c r="Z727" s="391"/>
      <c r="AA727" s="383"/>
      <c r="AB727" s="177"/>
      <c r="AC727" s="177"/>
      <c r="AD727" s="177"/>
      <c r="AE727" s="391"/>
      <c r="AF727" s="383"/>
      <c r="AG727" s="177"/>
      <c r="AH727" s="177"/>
      <c r="AI727" s="177"/>
      <c r="AJ727" s="391"/>
      <c r="AK727" s="383"/>
      <c r="AL727" s="177"/>
      <c r="AM727" s="177"/>
      <c r="AN727" s="177"/>
      <c r="AO727" s="366"/>
      <c r="AP727" s="366"/>
      <c r="AQ727" s="366"/>
      <c r="AR727" s="366"/>
      <c r="AS727" s="366"/>
    </row>
    <row r="728">
      <c r="A728" s="391"/>
      <c r="B728" s="383"/>
      <c r="C728" s="177"/>
      <c r="D728" s="177"/>
      <c r="E728" s="177"/>
      <c r="F728" s="391"/>
      <c r="G728" s="383"/>
      <c r="H728" s="177"/>
      <c r="I728" s="177"/>
      <c r="J728" s="177"/>
      <c r="K728" s="88"/>
      <c r="L728" s="383"/>
      <c r="M728" s="177"/>
      <c r="N728" s="177"/>
      <c r="O728" s="177"/>
      <c r="P728" s="88"/>
      <c r="Q728" s="151"/>
      <c r="R728" s="177"/>
      <c r="S728" s="177"/>
      <c r="T728" s="177"/>
      <c r="U728" s="391"/>
      <c r="V728" s="383"/>
      <c r="W728" s="177"/>
      <c r="X728" s="177"/>
      <c r="Y728" s="177"/>
      <c r="Z728" s="391"/>
      <c r="AA728" s="383"/>
      <c r="AB728" s="177"/>
      <c r="AC728" s="177"/>
      <c r="AD728" s="177"/>
      <c r="AE728" s="391"/>
      <c r="AF728" s="383"/>
      <c r="AG728" s="177"/>
      <c r="AH728" s="177"/>
      <c r="AI728" s="177"/>
      <c r="AJ728" s="391"/>
      <c r="AK728" s="383"/>
      <c r="AL728" s="177"/>
      <c r="AM728" s="177"/>
      <c r="AN728" s="177"/>
      <c r="AO728" s="366"/>
      <c r="AP728" s="366"/>
      <c r="AQ728" s="366"/>
      <c r="AR728" s="366"/>
      <c r="AS728" s="366"/>
    </row>
    <row r="729">
      <c r="A729" s="391"/>
      <c r="B729" s="383"/>
      <c r="C729" s="177"/>
      <c r="D729" s="177"/>
      <c r="E729" s="177"/>
      <c r="F729" s="391"/>
      <c r="G729" s="383"/>
      <c r="H729" s="177"/>
      <c r="I729" s="177"/>
      <c r="J729" s="177"/>
      <c r="K729" s="88"/>
      <c r="L729" s="383"/>
      <c r="M729" s="177"/>
      <c r="N729" s="177"/>
      <c r="O729" s="177"/>
      <c r="P729" s="88"/>
      <c r="Q729" s="151"/>
      <c r="R729" s="177"/>
      <c r="S729" s="177"/>
      <c r="T729" s="177"/>
      <c r="U729" s="391"/>
      <c r="V729" s="383"/>
      <c r="W729" s="177"/>
      <c r="X729" s="177"/>
      <c r="Y729" s="177"/>
      <c r="Z729" s="391"/>
      <c r="AA729" s="383"/>
      <c r="AB729" s="177"/>
      <c r="AC729" s="177"/>
      <c r="AD729" s="177"/>
      <c r="AE729" s="391"/>
      <c r="AF729" s="383"/>
      <c r="AG729" s="177"/>
      <c r="AH729" s="177"/>
      <c r="AI729" s="177"/>
      <c r="AJ729" s="391"/>
      <c r="AK729" s="383"/>
      <c r="AL729" s="177"/>
      <c r="AM729" s="177"/>
      <c r="AN729" s="177"/>
      <c r="AO729" s="366"/>
      <c r="AP729" s="366"/>
      <c r="AQ729" s="366"/>
      <c r="AR729" s="366"/>
      <c r="AS729" s="366"/>
    </row>
    <row r="730">
      <c r="A730" s="391"/>
      <c r="B730" s="383"/>
      <c r="C730" s="177"/>
      <c r="D730" s="177"/>
      <c r="E730" s="177"/>
      <c r="F730" s="391"/>
      <c r="G730" s="383"/>
      <c r="H730" s="177"/>
      <c r="I730" s="177"/>
      <c r="J730" s="177"/>
      <c r="K730" s="88"/>
      <c r="L730" s="383"/>
      <c r="M730" s="177"/>
      <c r="N730" s="177"/>
      <c r="O730" s="177"/>
      <c r="P730" s="88"/>
      <c r="Q730" s="151"/>
      <c r="R730" s="177"/>
      <c r="S730" s="177"/>
      <c r="T730" s="177"/>
      <c r="U730" s="391"/>
      <c r="V730" s="383"/>
      <c r="W730" s="177"/>
      <c r="X730" s="177"/>
      <c r="Y730" s="177"/>
      <c r="Z730" s="391"/>
      <c r="AA730" s="383"/>
      <c r="AB730" s="177"/>
      <c r="AC730" s="177"/>
      <c r="AD730" s="177"/>
      <c r="AE730" s="391"/>
      <c r="AF730" s="383"/>
      <c r="AG730" s="177"/>
      <c r="AH730" s="177"/>
      <c r="AI730" s="177"/>
      <c r="AJ730" s="391"/>
      <c r="AK730" s="383"/>
      <c r="AL730" s="177"/>
      <c r="AM730" s="177"/>
      <c r="AN730" s="177"/>
      <c r="AO730" s="366"/>
      <c r="AP730" s="366"/>
      <c r="AQ730" s="366"/>
      <c r="AR730" s="366"/>
      <c r="AS730" s="366"/>
    </row>
    <row r="731">
      <c r="A731" s="391"/>
      <c r="B731" s="383"/>
      <c r="C731" s="177"/>
      <c r="D731" s="177"/>
      <c r="E731" s="177"/>
      <c r="F731" s="391"/>
      <c r="G731" s="383"/>
      <c r="H731" s="177"/>
      <c r="I731" s="177"/>
      <c r="J731" s="177"/>
      <c r="K731" s="88"/>
      <c r="L731" s="383"/>
      <c r="M731" s="177"/>
      <c r="N731" s="177"/>
      <c r="O731" s="177"/>
      <c r="P731" s="88"/>
      <c r="Q731" s="151"/>
      <c r="R731" s="177"/>
      <c r="S731" s="177"/>
      <c r="T731" s="177"/>
      <c r="U731" s="391"/>
      <c r="V731" s="383"/>
      <c r="W731" s="177"/>
      <c r="X731" s="177"/>
      <c r="Y731" s="177"/>
      <c r="Z731" s="391"/>
      <c r="AA731" s="383"/>
      <c r="AB731" s="177"/>
      <c r="AC731" s="177"/>
      <c r="AD731" s="177"/>
      <c r="AE731" s="391"/>
      <c r="AF731" s="383"/>
      <c r="AG731" s="177"/>
      <c r="AH731" s="177"/>
      <c r="AI731" s="177"/>
      <c r="AJ731" s="391"/>
      <c r="AK731" s="383"/>
      <c r="AL731" s="177"/>
      <c r="AM731" s="177"/>
      <c r="AN731" s="177"/>
      <c r="AO731" s="366"/>
      <c r="AP731" s="366"/>
      <c r="AQ731" s="366"/>
      <c r="AR731" s="366"/>
      <c r="AS731" s="366"/>
    </row>
    <row r="732">
      <c r="A732" s="391"/>
      <c r="B732" s="383"/>
      <c r="C732" s="177"/>
      <c r="D732" s="177"/>
      <c r="E732" s="177"/>
      <c r="F732" s="391"/>
      <c r="G732" s="383"/>
      <c r="H732" s="177"/>
      <c r="I732" s="177"/>
      <c r="J732" s="177"/>
      <c r="K732" s="88"/>
      <c r="L732" s="383"/>
      <c r="M732" s="177"/>
      <c r="N732" s="177"/>
      <c r="O732" s="177"/>
      <c r="P732" s="88"/>
      <c r="Q732" s="151"/>
      <c r="R732" s="177"/>
      <c r="S732" s="177"/>
      <c r="T732" s="177"/>
      <c r="U732" s="391"/>
      <c r="V732" s="383"/>
      <c r="W732" s="177"/>
      <c r="X732" s="177"/>
      <c r="Y732" s="177"/>
      <c r="Z732" s="391"/>
      <c r="AA732" s="383"/>
      <c r="AB732" s="177"/>
      <c r="AC732" s="177"/>
      <c r="AD732" s="177"/>
      <c r="AE732" s="391"/>
      <c r="AF732" s="383"/>
      <c r="AG732" s="177"/>
      <c r="AH732" s="177"/>
      <c r="AI732" s="177"/>
      <c r="AJ732" s="391"/>
      <c r="AK732" s="383"/>
      <c r="AL732" s="177"/>
      <c r="AM732" s="177"/>
      <c r="AN732" s="177"/>
      <c r="AO732" s="366"/>
      <c r="AP732" s="366"/>
      <c r="AQ732" s="366"/>
      <c r="AR732" s="366"/>
      <c r="AS732" s="366"/>
    </row>
    <row r="733">
      <c r="A733" s="391"/>
      <c r="B733" s="383"/>
      <c r="C733" s="177"/>
      <c r="D733" s="177"/>
      <c r="E733" s="177"/>
      <c r="F733" s="391"/>
      <c r="G733" s="383"/>
      <c r="H733" s="177"/>
      <c r="I733" s="177"/>
      <c r="J733" s="177"/>
      <c r="K733" s="88"/>
      <c r="L733" s="383"/>
      <c r="M733" s="177"/>
      <c r="N733" s="177"/>
      <c r="O733" s="177"/>
      <c r="P733" s="88"/>
      <c r="Q733" s="151"/>
      <c r="R733" s="177"/>
      <c r="S733" s="177"/>
      <c r="T733" s="177"/>
      <c r="U733" s="391"/>
      <c r="V733" s="383"/>
      <c r="W733" s="177"/>
      <c r="X733" s="177"/>
      <c r="Y733" s="177"/>
      <c r="Z733" s="391"/>
      <c r="AA733" s="383"/>
      <c r="AB733" s="177"/>
      <c r="AC733" s="177"/>
      <c r="AD733" s="177"/>
      <c r="AE733" s="391"/>
      <c r="AF733" s="383"/>
      <c r="AG733" s="177"/>
      <c r="AH733" s="177"/>
      <c r="AI733" s="177"/>
      <c r="AJ733" s="391"/>
      <c r="AK733" s="383"/>
      <c r="AL733" s="177"/>
      <c r="AM733" s="177"/>
      <c r="AN733" s="177"/>
      <c r="AO733" s="366"/>
      <c r="AP733" s="366"/>
      <c r="AQ733" s="366"/>
      <c r="AR733" s="366"/>
      <c r="AS733" s="366"/>
    </row>
    <row r="734">
      <c r="A734" s="391"/>
      <c r="B734" s="383"/>
      <c r="C734" s="177"/>
      <c r="D734" s="177"/>
      <c r="E734" s="177"/>
      <c r="F734" s="391"/>
      <c r="G734" s="383"/>
      <c r="H734" s="177"/>
      <c r="I734" s="177"/>
      <c r="J734" s="177"/>
      <c r="K734" s="88"/>
      <c r="L734" s="383"/>
      <c r="M734" s="177"/>
      <c r="N734" s="177"/>
      <c r="O734" s="177"/>
      <c r="P734" s="88"/>
      <c r="Q734" s="151"/>
      <c r="R734" s="177"/>
      <c r="S734" s="177"/>
      <c r="T734" s="177"/>
      <c r="U734" s="391"/>
      <c r="V734" s="383"/>
      <c r="W734" s="177"/>
      <c r="X734" s="177"/>
      <c r="Y734" s="177"/>
      <c r="Z734" s="391"/>
      <c r="AA734" s="383"/>
      <c r="AB734" s="177"/>
      <c r="AC734" s="177"/>
      <c r="AD734" s="177"/>
      <c r="AE734" s="391"/>
      <c r="AF734" s="383"/>
      <c r="AG734" s="177"/>
      <c r="AH734" s="177"/>
      <c r="AI734" s="177"/>
      <c r="AJ734" s="391"/>
      <c r="AK734" s="383"/>
      <c r="AL734" s="177"/>
      <c r="AM734" s="177"/>
      <c r="AN734" s="177"/>
      <c r="AO734" s="366"/>
      <c r="AP734" s="366"/>
      <c r="AQ734" s="366"/>
      <c r="AR734" s="366"/>
      <c r="AS734" s="366"/>
    </row>
    <row r="735">
      <c r="A735" s="391"/>
      <c r="B735" s="383"/>
      <c r="C735" s="177"/>
      <c r="D735" s="177"/>
      <c r="E735" s="177"/>
      <c r="F735" s="391"/>
      <c r="G735" s="383"/>
      <c r="H735" s="177"/>
      <c r="I735" s="177"/>
      <c r="J735" s="177"/>
      <c r="K735" s="88"/>
      <c r="L735" s="383"/>
      <c r="M735" s="177"/>
      <c r="N735" s="177"/>
      <c r="O735" s="177"/>
      <c r="P735" s="88"/>
      <c r="Q735" s="151"/>
      <c r="R735" s="177"/>
      <c r="S735" s="177"/>
      <c r="T735" s="177"/>
      <c r="U735" s="391"/>
      <c r="V735" s="383"/>
      <c r="W735" s="177"/>
      <c r="X735" s="177"/>
      <c r="Y735" s="177"/>
      <c r="Z735" s="391"/>
      <c r="AA735" s="383"/>
      <c r="AB735" s="177"/>
      <c r="AC735" s="177"/>
      <c r="AD735" s="177"/>
      <c r="AE735" s="391"/>
      <c r="AF735" s="383"/>
      <c r="AG735" s="177"/>
      <c r="AH735" s="177"/>
      <c r="AI735" s="177"/>
      <c r="AJ735" s="391"/>
      <c r="AK735" s="383"/>
      <c r="AL735" s="177"/>
      <c r="AM735" s="177"/>
      <c r="AN735" s="177"/>
      <c r="AO735" s="366"/>
      <c r="AP735" s="366"/>
      <c r="AQ735" s="366"/>
      <c r="AR735" s="366"/>
      <c r="AS735" s="366"/>
    </row>
    <row r="736">
      <c r="A736" s="391"/>
      <c r="B736" s="383"/>
      <c r="C736" s="177"/>
      <c r="D736" s="177"/>
      <c r="E736" s="177"/>
      <c r="F736" s="391"/>
      <c r="G736" s="383"/>
      <c r="H736" s="177"/>
      <c r="I736" s="177"/>
      <c r="J736" s="177"/>
      <c r="K736" s="88"/>
      <c r="L736" s="383"/>
      <c r="M736" s="177"/>
      <c r="N736" s="177"/>
      <c r="O736" s="177"/>
      <c r="P736" s="88"/>
      <c r="Q736" s="151"/>
      <c r="R736" s="177"/>
      <c r="S736" s="177"/>
      <c r="T736" s="177"/>
      <c r="U736" s="391"/>
      <c r="V736" s="383"/>
      <c r="W736" s="177"/>
      <c r="X736" s="177"/>
      <c r="Y736" s="177"/>
      <c r="Z736" s="391"/>
      <c r="AA736" s="383"/>
      <c r="AB736" s="177"/>
      <c r="AC736" s="177"/>
      <c r="AD736" s="177"/>
      <c r="AE736" s="391"/>
      <c r="AF736" s="383"/>
      <c r="AG736" s="177"/>
      <c r="AH736" s="177"/>
      <c r="AI736" s="177"/>
      <c r="AJ736" s="391"/>
      <c r="AK736" s="383"/>
      <c r="AL736" s="177"/>
      <c r="AM736" s="177"/>
      <c r="AN736" s="177"/>
      <c r="AO736" s="366"/>
      <c r="AP736" s="366"/>
      <c r="AQ736" s="366"/>
      <c r="AR736" s="366"/>
      <c r="AS736" s="366"/>
    </row>
    <row r="737">
      <c r="A737" s="391"/>
      <c r="B737" s="383"/>
      <c r="C737" s="177"/>
      <c r="D737" s="177"/>
      <c r="E737" s="177"/>
      <c r="F737" s="391"/>
      <c r="G737" s="383"/>
      <c r="H737" s="177"/>
      <c r="I737" s="177"/>
      <c r="J737" s="177"/>
      <c r="K737" s="88"/>
      <c r="L737" s="383"/>
      <c r="M737" s="177"/>
      <c r="N737" s="177"/>
      <c r="O737" s="177"/>
      <c r="P737" s="88"/>
      <c r="Q737" s="151"/>
      <c r="R737" s="177"/>
      <c r="S737" s="177"/>
      <c r="T737" s="177"/>
      <c r="U737" s="391"/>
      <c r="V737" s="383"/>
      <c r="W737" s="177"/>
      <c r="X737" s="177"/>
      <c r="Y737" s="177"/>
      <c r="Z737" s="391"/>
      <c r="AA737" s="383"/>
      <c r="AB737" s="177"/>
      <c r="AC737" s="177"/>
      <c r="AD737" s="177"/>
      <c r="AE737" s="391"/>
      <c r="AF737" s="383"/>
      <c r="AG737" s="177"/>
      <c r="AH737" s="177"/>
      <c r="AI737" s="177"/>
      <c r="AJ737" s="391"/>
      <c r="AK737" s="383"/>
      <c r="AL737" s="177"/>
      <c r="AM737" s="177"/>
      <c r="AN737" s="177"/>
      <c r="AO737" s="366"/>
      <c r="AP737" s="366"/>
      <c r="AQ737" s="366"/>
      <c r="AR737" s="366"/>
      <c r="AS737" s="366"/>
    </row>
    <row r="738">
      <c r="A738" s="391"/>
      <c r="B738" s="383"/>
      <c r="C738" s="177"/>
      <c r="D738" s="177"/>
      <c r="E738" s="177"/>
      <c r="F738" s="391"/>
      <c r="G738" s="383"/>
      <c r="H738" s="177"/>
      <c r="I738" s="177"/>
      <c r="J738" s="177"/>
      <c r="K738" s="88"/>
      <c r="L738" s="383"/>
      <c r="M738" s="177"/>
      <c r="N738" s="177"/>
      <c r="O738" s="177"/>
      <c r="P738" s="88"/>
      <c r="Q738" s="151"/>
      <c r="R738" s="177"/>
      <c r="S738" s="177"/>
      <c r="T738" s="177"/>
      <c r="U738" s="391"/>
      <c r="V738" s="383"/>
      <c r="W738" s="177"/>
      <c r="X738" s="177"/>
      <c r="Y738" s="177"/>
      <c r="Z738" s="391"/>
      <c r="AA738" s="383"/>
      <c r="AB738" s="177"/>
      <c r="AC738" s="177"/>
      <c r="AD738" s="177"/>
      <c r="AE738" s="391"/>
      <c r="AF738" s="383"/>
      <c r="AG738" s="177"/>
      <c r="AH738" s="177"/>
      <c r="AI738" s="177"/>
      <c r="AJ738" s="391"/>
      <c r="AK738" s="383"/>
      <c r="AL738" s="177"/>
      <c r="AM738" s="177"/>
      <c r="AN738" s="177"/>
      <c r="AO738" s="366"/>
      <c r="AP738" s="366"/>
      <c r="AQ738" s="366"/>
      <c r="AR738" s="366"/>
      <c r="AS738" s="366"/>
    </row>
    <row r="739">
      <c r="A739" s="391"/>
      <c r="B739" s="383"/>
      <c r="C739" s="177"/>
      <c r="D739" s="177"/>
      <c r="E739" s="177"/>
      <c r="F739" s="391"/>
      <c r="G739" s="383"/>
      <c r="H739" s="177"/>
      <c r="I739" s="177"/>
      <c r="J739" s="177"/>
      <c r="K739" s="88"/>
      <c r="L739" s="383"/>
      <c r="M739" s="177"/>
      <c r="N739" s="177"/>
      <c r="O739" s="177"/>
      <c r="P739" s="88"/>
      <c r="Q739" s="151"/>
      <c r="R739" s="177"/>
      <c r="S739" s="177"/>
      <c r="T739" s="177"/>
      <c r="U739" s="391"/>
      <c r="V739" s="383"/>
      <c r="W739" s="177"/>
      <c r="X739" s="177"/>
      <c r="Y739" s="177"/>
      <c r="Z739" s="391"/>
      <c r="AA739" s="383"/>
      <c r="AB739" s="177"/>
      <c r="AC739" s="177"/>
      <c r="AD739" s="177"/>
      <c r="AE739" s="391"/>
      <c r="AF739" s="383"/>
      <c r="AG739" s="177"/>
      <c r="AH739" s="177"/>
      <c r="AI739" s="177"/>
      <c r="AJ739" s="391"/>
      <c r="AK739" s="383"/>
      <c r="AL739" s="177"/>
      <c r="AM739" s="177"/>
      <c r="AN739" s="177"/>
      <c r="AO739" s="366"/>
      <c r="AP739" s="366"/>
      <c r="AQ739" s="366"/>
      <c r="AR739" s="366"/>
      <c r="AS739" s="366"/>
    </row>
    <row r="740">
      <c r="A740" s="391"/>
      <c r="B740" s="383"/>
      <c r="C740" s="177"/>
      <c r="D740" s="177"/>
      <c r="E740" s="177"/>
      <c r="F740" s="391"/>
      <c r="G740" s="383"/>
      <c r="H740" s="177"/>
      <c r="I740" s="177"/>
      <c r="J740" s="177"/>
      <c r="K740" s="88"/>
      <c r="L740" s="383"/>
      <c r="M740" s="177"/>
      <c r="N740" s="177"/>
      <c r="O740" s="177"/>
      <c r="P740" s="88"/>
      <c r="Q740" s="151"/>
      <c r="R740" s="177"/>
      <c r="S740" s="177"/>
      <c r="T740" s="177"/>
      <c r="U740" s="391"/>
      <c r="V740" s="383"/>
      <c r="W740" s="177"/>
      <c r="X740" s="177"/>
      <c r="Y740" s="177"/>
      <c r="Z740" s="391"/>
      <c r="AA740" s="383"/>
      <c r="AB740" s="177"/>
      <c r="AC740" s="177"/>
      <c r="AD740" s="177"/>
      <c r="AE740" s="391"/>
      <c r="AF740" s="383"/>
      <c r="AG740" s="177"/>
      <c r="AH740" s="177"/>
      <c r="AI740" s="177"/>
      <c r="AJ740" s="391"/>
      <c r="AK740" s="383"/>
      <c r="AL740" s="177"/>
      <c r="AM740" s="177"/>
      <c r="AN740" s="177"/>
      <c r="AO740" s="366"/>
      <c r="AP740" s="366"/>
      <c r="AQ740" s="366"/>
      <c r="AR740" s="366"/>
      <c r="AS740" s="366"/>
    </row>
    <row r="741">
      <c r="A741" s="391"/>
      <c r="B741" s="383"/>
      <c r="C741" s="177"/>
      <c r="D741" s="177"/>
      <c r="E741" s="177"/>
      <c r="F741" s="391"/>
      <c r="G741" s="383"/>
      <c r="H741" s="177"/>
      <c r="I741" s="177"/>
      <c r="J741" s="177"/>
      <c r="K741" s="88"/>
      <c r="L741" s="383"/>
      <c r="M741" s="177"/>
      <c r="N741" s="177"/>
      <c r="O741" s="177"/>
      <c r="P741" s="88"/>
      <c r="Q741" s="151"/>
      <c r="R741" s="177"/>
      <c r="S741" s="177"/>
      <c r="T741" s="177"/>
      <c r="U741" s="391"/>
      <c r="V741" s="383"/>
      <c r="W741" s="177"/>
      <c r="X741" s="177"/>
      <c r="Y741" s="177"/>
      <c r="Z741" s="391"/>
      <c r="AA741" s="383"/>
      <c r="AB741" s="177"/>
      <c r="AC741" s="177"/>
      <c r="AD741" s="177"/>
      <c r="AE741" s="391"/>
      <c r="AF741" s="383"/>
      <c r="AG741" s="177"/>
      <c r="AH741" s="177"/>
      <c r="AI741" s="177"/>
      <c r="AJ741" s="391"/>
      <c r="AK741" s="383"/>
      <c r="AL741" s="177"/>
      <c r="AM741" s="177"/>
      <c r="AN741" s="177"/>
      <c r="AO741" s="366"/>
      <c r="AP741" s="366"/>
      <c r="AQ741" s="366"/>
      <c r="AR741" s="366"/>
      <c r="AS741" s="366"/>
    </row>
    <row r="742">
      <c r="A742" s="391"/>
      <c r="B742" s="383"/>
      <c r="C742" s="177"/>
      <c r="D742" s="177"/>
      <c r="E742" s="177"/>
      <c r="F742" s="391"/>
      <c r="G742" s="383"/>
      <c r="H742" s="177"/>
      <c r="I742" s="177"/>
      <c r="J742" s="177"/>
      <c r="K742" s="88"/>
      <c r="L742" s="383"/>
      <c r="M742" s="177"/>
      <c r="N742" s="177"/>
      <c r="O742" s="177"/>
      <c r="P742" s="88"/>
      <c r="Q742" s="151"/>
      <c r="R742" s="177"/>
      <c r="S742" s="177"/>
      <c r="T742" s="177"/>
      <c r="U742" s="391"/>
      <c r="V742" s="383"/>
      <c r="W742" s="177"/>
      <c r="X742" s="177"/>
      <c r="Y742" s="177"/>
      <c r="Z742" s="391"/>
      <c r="AA742" s="383"/>
      <c r="AB742" s="177"/>
      <c r="AC742" s="177"/>
      <c r="AD742" s="177"/>
      <c r="AE742" s="391"/>
      <c r="AF742" s="383"/>
      <c r="AG742" s="177"/>
      <c r="AH742" s="177"/>
      <c r="AI742" s="177"/>
      <c r="AJ742" s="391"/>
      <c r="AK742" s="383"/>
      <c r="AL742" s="177"/>
      <c r="AM742" s="177"/>
      <c r="AN742" s="177"/>
      <c r="AO742" s="366"/>
      <c r="AP742" s="366"/>
      <c r="AQ742" s="366"/>
      <c r="AR742" s="366"/>
      <c r="AS742" s="366"/>
    </row>
    <row r="743">
      <c r="A743" s="391"/>
      <c r="B743" s="383"/>
      <c r="C743" s="177"/>
      <c r="D743" s="177"/>
      <c r="E743" s="177"/>
      <c r="F743" s="391"/>
      <c r="G743" s="383"/>
      <c r="H743" s="177"/>
      <c r="I743" s="177"/>
      <c r="J743" s="177"/>
      <c r="K743" s="88"/>
      <c r="L743" s="383"/>
      <c r="M743" s="177"/>
      <c r="N743" s="177"/>
      <c r="O743" s="177"/>
      <c r="P743" s="88"/>
      <c r="Q743" s="151"/>
      <c r="R743" s="177"/>
      <c r="S743" s="177"/>
      <c r="T743" s="177"/>
      <c r="U743" s="391"/>
      <c r="V743" s="383"/>
      <c r="W743" s="177"/>
      <c r="X743" s="177"/>
      <c r="Y743" s="177"/>
      <c r="Z743" s="391"/>
      <c r="AA743" s="383"/>
      <c r="AB743" s="177"/>
      <c r="AC743" s="177"/>
      <c r="AD743" s="177"/>
      <c r="AE743" s="391"/>
      <c r="AF743" s="383"/>
      <c r="AG743" s="177"/>
      <c r="AH743" s="177"/>
      <c r="AI743" s="177"/>
      <c r="AJ743" s="391"/>
      <c r="AK743" s="383"/>
      <c r="AL743" s="177"/>
      <c r="AM743" s="177"/>
      <c r="AN743" s="177"/>
      <c r="AO743" s="366"/>
      <c r="AP743" s="366"/>
      <c r="AQ743" s="366"/>
      <c r="AR743" s="366"/>
      <c r="AS743" s="366"/>
    </row>
    <row r="744">
      <c r="A744" s="391"/>
      <c r="B744" s="383"/>
      <c r="C744" s="177"/>
      <c r="D744" s="177"/>
      <c r="E744" s="177"/>
      <c r="F744" s="391"/>
      <c r="G744" s="383"/>
      <c r="H744" s="177"/>
      <c r="I744" s="177"/>
      <c r="J744" s="177"/>
      <c r="K744" s="88"/>
      <c r="L744" s="383"/>
      <c r="M744" s="177"/>
      <c r="N744" s="177"/>
      <c r="O744" s="177"/>
      <c r="P744" s="88"/>
      <c r="Q744" s="151"/>
      <c r="R744" s="177"/>
      <c r="S744" s="177"/>
      <c r="T744" s="177"/>
      <c r="U744" s="391"/>
      <c r="V744" s="383"/>
      <c r="W744" s="177"/>
      <c r="X744" s="177"/>
      <c r="Y744" s="177"/>
      <c r="Z744" s="391"/>
      <c r="AA744" s="383"/>
      <c r="AB744" s="177"/>
      <c r="AC744" s="177"/>
      <c r="AD744" s="177"/>
      <c r="AE744" s="391"/>
      <c r="AF744" s="383"/>
      <c r="AG744" s="177"/>
      <c r="AH744" s="177"/>
      <c r="AI744" s="177"/>
      <c r="AJ744" s="391"/>
      <c r="AK744" s="383"/>
      <c r="AL744" s="177"/>
      <c r="AM744" s="177"/>
      <c r="AN744" s="177"/>
      <c r="AO744" s="366"/>
      <c r="AP744" s="366"/>
      <c r="AQ744" s="366"/>
      <c r="AR744" s="366"/>
      <c r="AS744" s="366"/>
    </row>
    <row r="745">
      <c r="A745" s="391"/>
      <c r="B745" s="383"/>
      <c r="C745" s="177"/>
      <c r="D745" s="177"/>
      <c r="E745" s="177"/>
      <c r="F745" s="391"/>
      <c r="G745" s="383"/>
      <c r="H745" s="177"/>
      <c r="I745" s="177"/>
      <c r="J745" s="177"/>
      <c r="K745" s="88"/>
      <c r="L745" s="383"/>
      <c r="M745" s="177"/>
      <c r="N745" s="177"/>
      <c r="O745" s="177"/>
      <c r="P745" s="88"/>
      <c r="Q745" s="151"/>
      <c r="R745" s="177"/>
      <c r="S745" s="177"/>
      <c r="T745" s="177"/>
      <c r="U745" s="391"/>
      <c r="V745" s="383"/>
      <c r="W745" s="177"/>
      <c r="X745" s="177"/>
      <c r="Y745" s="177"/>
      <c r="Z745" s="391"/>
      <c r="AA745" s="383"/>
      <c r="AB745" s="177"/>
      <c r="AC745" s="177"/>
      <c r="AD745" s="177"/>
      <c r="AE745" s="391"/>
      <c r="AF745" s="383"/>
      <c r="AG745" s="177"/>
      <c r="AH745" s="177"/>
      <c r="AI745" s="177"/>
      <c r="AJ745" s="391"/>
      <c r="AK745" s="383"/>
      <c r="AL745" s="177"/>
      <c r="AM745" s="177"/>
      <c r="AN745" s="177"/>
      <c r="AO745" s="366"/>
      <c r="AP745" s="366"/>
      <c r="AQ745" s="366"/>
      <c r="AR745" s="366"/>
      <c r="AS745" s="366"/>
    </row>
    <row r="746">
      <c r="A746" s="391"/>
      <c r="B746" s="383"/>
      <c r="C746" s="177"/>
      <c r="D746" s="177"/>
      <c r="E746" s="177"/>
      <c r="F746" s="391"/>
      <c r="G746" s="383"/>
      <c r="H746" s="177"/>
      <c r="I746" s="177"/>
      <c r="J746" s="177"/>
      <c r="K746" s="88"/>
      <c r="L746" s="383"/>
      <c r="M746" s="177"/>
      <c r="N746" s="177"/>
      <c r="O746" s="177"/>
      <c r="P746" s="88"/>
      <c r="Q746" s="151"/>
      <c r="R746" s="177"/>
      <c r="S746" s="177"/>
      <c r="T746" s="177"/>
      <c r="U746" s="391"/>
      <c r="V746" s="383"/>
      <c r="W746" s="177"/>
      <c r="X746" s="177"/>
      <c r="Y746" s="177"/>
      <c r="Z746" s="391"/>
      <c r="AA746" s="383"/>
      <c r="AB746" s="177"/>
      <c r="AC746" s="177"/>
      <c r="AD746" s="177"/>
      <c r="AE746" s="391"/>
      <c r="AF746" s="383"/>
      <c r="AG746" s="177"/>
      <c r="AH746" s="177"/>
      <c r="AI746" s="177"/>
      <c r="AJ746" s="391"/>
      <c r="AK746" s="383"/>
      <c r="AL746" s="177"/>
      <c r="AM746" s="177"/>
      <c r="AN746" s="177"/>
      <c r="AO746" s="366"/>
      <c r="AP746" s="366"/>
      <c r="AQ746" s="366"/>
      <c r="AR746" s="366"/>
      <c r="AS746" s="366"/>
    </row>
    <row r="747">
      <c r="A747" s="391"/>
      <c r="B747" s="383"/>
      <c r="C747" s="177"/>
      <c r="D747" s="177"/>
      <c r="E747" s="177"/>
      <c r="F747" s="391"/>
      <c r="G747" s="383"/>
      <c r="H747" s="177"/>
      <c r="I747" s="177"/>
      <c r="J747" s="177"/>
      <c r="K747" s="88"/>
      <c r="L747" s="383"/>
      <c r="M747" s="177"/>
      <c r="N747" s="177"/>
      <c r="O747" s="177"/>
      <c r="P747" s="88"/>
      <c r="Q747" s="151"/>
      <c r="R747" s="177"/>
      <c r="S747" s="177"/>
      <c r="T747" s="177"/>
      <c r="U747" s="391"/>
      <c r="V747" s="383"/>
      <c r="W747" s="177"/>
      <c r="X747" s="177"/>
      <c r="Y747" s="177"/>
      <c r="Z747" s="391"/>
      <c r="AA747" s="383"/>
      <c r="AB747" s="177"/>
      <c r="AC747" s="177"/>
      <c r="AD747" s="177"/>
      <c r="AE747" s="391"/>
      <c r="AF747" s="383"/>
      <c r="AG747" s="177"/>
      <c r="AH747" s="177"/>
      <c r="AI747" s="177"/>
      <c r="AJ747" s="391"/>
      <c r="AK747" s="383"/>
      <c r="AL747" s="177"/>
      <c r="AM747" s="177"/>
      <c r="AN747" s="177"/>
      <c r="AO747" s="366"/>
      <c r="AP747" s="366"/>
      <c r="AQ747" s="366"/>
      <c r="AR747" s="366"/>
      <c r="AS747" s="366"/>
    </row>
    <row r="748">
      <c r="A748" s="391"/>
      <c r="B748" s="383"/>
      <c r="C748" s="177"/>
      <c r="D748" s="177"/>
      <c r="E748" s="177"/>
      <c r="F748" s="391"/>
      <c r="G748" s="383"/>
      <c r="H748" s="177"/>
      <c r="I748" s="177"/>
      <c r="J748" s="177"/>
      <c r="K748" s="88"/>
      <c r="L748" s="383"/>
      <c r="M748" s="177"/>
      <c r="N748" s="177"/>
      <c r="O748" s="177"/>
      <c r="P748" s="88"/>
      <c r="Q748" s="151"/>
      <c r="R748" s="177"/>
      <c r="S748" s="177"/>
      <c r="T748" s="177"/>
      <c r="U748" s="391"/>
      <c r="V748" s="383"/>
      <c r="W748" s="177"/>
      <c r="X748" s="177"/>
      <c r="Y748" s="177"/>
      <c r="Z748" s="391"/>
      <c r="AA748" s="383"/>
      <c r="AB748" s="177"/>
      <c r="AC748" s="177"/>
      <c r="AD748" s="177"/>
      <c r="AE748" s="391"/>
      <c r="AF748" s="383"/>
      <c r="AG748" s="177"/>
      <c r="AH748" s="177"/>
      <c r="AI748" s="177"/>
      <c r="AJ748" s="391"/>
      <c r="AK748" s="383"/>
      <c r="AL748" s="177"/>
      <c r="AM748" s="177"/>
      <c r="AN748" s="177"/>
      <c r="AO748" s="366"/>
      <c r="AP748" s="366"/>
      <c r="AQ748" s="366"/>
      <c r="AR748" s="366"/>
      <c r="AS748" s="366"/>
    </row>
    <row r="749">
      <c r="A749" s="391"/>
      <c r="B749" s="383"/>
      <c r="C749" s="177"/>
      <c r="D749" s="177"/>
      <c r="E749" s="177"/>
      <c r="F749" s="391"/>
      <c r="G749" s="383"/>
      <c r="H749" s="177"/>
      <c r="I749" s="177"/>
      <c r="J749" s="177"/>
      <c r="K749" s="88"/>
      <c r="L749" s="383"/>
      <c r="M749" s="177"/>
      <c r="N749" s="177"/>
      <c r="O749" s="177"/>
      <c r="P749" s="88"/>
      <c r="Q749" s="151"/>
      <c r="R749" s="177"/>
      <c r="S749" s="177"/>
      <c r="T749" s="177"/>
      <c r="U749" s="391"/>
      <c r="V749" s="383"/>
      <c r="W749" s="177"/>
      <c r="X749" s="177"/>
      <c r="Y749" s="177"/>
      <c r="Z749" s="391"/>
      <c r="AA749" s="383"/>
      <c r="AB749" s="177"/>
      <c r="AC749" s="177"/>
      <c r="AD749" s="177"/>
      <c r="AE749" s="391"/>
      <c r="AF749" s="383"/>
      <c r="AG749" s="177"/>
      <c r="AH749" s="177"/>
      <c r="AI749" s="177"/>
      <c r="AJ749" s="391"/>
      <c r="AK749" s="383"/>
      <c r="AL749" s="177"/>
      <c r="AM749" s="177"/>
      <c r="AN749" s="177"/>
      <c r="AO749" s="366"/>
      <c r="AP749" s="366"/>
      <c r="AQ749" s="366"/>
      <c r="AR749" s="366"/>
      <c r="AS749" s="366"/>
    </row>
    <row r="750">
      <c r="A750" s="391"/>
      <c r="B750" s="383"/>
      <c r="C750" s="177"/>
      <c r="D750" s="177"/>
      <c r="E750" s="177"/>
      <c r="F750" s="391"/>
      <c r="G750" s="383"/>
      <c r="H750" s="177"/>
      <c r="I750" s="177"/>
      <c r="J750" s="177"/>
      <c r="K750" s="88"/>
      <c r="L750" s="383"/>
      <c r="M750" s="177"/>
      <c r="N750" s="177"/>
      <c r="O750" s="177"/>
      <c r="P750" s="88"/>
      <c r="Q750" s="151"/>
      <c r="R750" s="177"/>
      <c r="S750" s="177"/>
      <c r="T750" s="177"/>
      <c r="U750" s="391"/>
      <c r="V750" s="383"/>
      <c r="W750" s="177"/>
      <c r="X750" s="177"/>
      <c r="Y750" s="177"/>
      <c r="Z750" s="391"/>
      <c r="AA750" s="383"/>
      <c r="AB750" s="177"/>
      <c r="AC750" s="177"/>
      <c r="AD750" s="177"/>
      <c r="AE750" s="391"/>
      <c r="AF750" s="383"/>
      <c r="AG750" s="177"/>
      <c r="AH750" s="177"/>
      <c r="AI750" s="177"/>
      <c r="AJ750" s="391"/>
      <c r="AK750" s="383"/>
      <c r="AL750" s="177"/>
      <c r="AM750" s="177"/>
      <c r="AN750" s="177"/>
      <c r="AO750" s="366"/>
      <c r="AP750" s="366"/>
      <c r="AQ750" s="366"/>
      <c r="AR750" s="366"/>
      <c r="AS750" s="366"/>
    </row>
    <row r="751">
      <c r="A751" s="391"/>
      <c r="B751" s="383"/>
      <c r="C751" s="177"/>
      <c r="D751" s="177"/>
      <c r="E751" s="177"/>
      <c r="F751" s="391"/>
      <c r="G751" s="383"/>
      <c r="H751" s="177"/>
      <c r="I751" s="177"/>
      <c r="J751" s="177"/>
      <c r="K751" s="88"/>
      <c r="L751" s="383"/>
      <c r="M751" s="177"/>
      <c r="N751" s="177"/>
      <c r="O751" s="177"/>
      <c r="P751" s="88"/>
      <c r="Q751" s="151"/>
      <c r="R751" s="177"/>
      <c r="S751" s="177"/>
      <c r="T751" s="177"/>
      <c r="U751" s="391"/>
      <c r="V751" s="383"/>
      <c r="W751" s="177"/>
      <c r="X751" s="177"/>
      <c r="Y751" s="177"/>
      <c r="Z751" s="391"/>
      <c r="AA751" s="383"/>
      <c r="AB751" s="177"/>
      <c r="AC751" s="177"/>
      <c r="AD751" s="177"/>
      <c r="AE751" s="391"/>
      <c r="AF751" s="383"/>
      <c r="AG751" s="177"/>
      <c r="AH751" s="177"/>
      <c r="AI751" s="177"/>
      <c r="AJ751" s="391"/>
      <c r="AK751" s="383"/>
      <c r="AL751" s="177"/>
      <c r="AM751" s="177"/>
      <c r="AN751" s="177"/>
      <c r="AO751" s="366"/>
      <c r="AP751" s="366"/>
      <c r="AQ751" s="366"/>
      <c r="AR751" s="366"/>
      <c r="AS751" s="366"/>
    </row>
    <row r="752">
      <c r="A752" s="391"/>
      <c r="B752" s="383"/>
      <c r="C752" s="177"/>
      <c r="D752" s="177"/>
      <c r="E752" s="177"/>
      <c r="F752" s="391"/>
      <c r="G752" s="383"/>
      <c r="H752" s="177"/>
      <c r="I752" s="177"/>
      <c r="J752" s="177"/>
      <c r="K752" s="88"/>
      <c r="L752" s="383"/>
      <c r="M752" s="177"/>
      <c r="N752" s="177"/>
      <c r="O752" s="177"/>
      <c r="P752" s="88"/>
      <c r="Q752" s="151"/>
      <c r="R752" s="177"/>
      <c r="S752" s="177"/>
      <c r="T752" s="177"/>
      <c r="U752" s="391"/>
      <c r="V752" s="383"/>
      <c r="W752" s="177"/>
      <c r="X752" s="177"/>
      <c r="Y752" s="177"/>
      <c r="Z752" s="391"/>
      <c r="AA752" s="383"/>
      <c r="AB752" s="177"/>
      <c r="AC752" s="177"/>
      <c r="AD752" s="177"/>
      <c r="AE752" s="391"/>
      <c r="AF752" s="383"/>
      <c r="AG752" s="177"/>
      <c r="AH752" s="177"/>
      <c r="AI752" s="177"/>
      <c r="AJ752" s="391"/>
      <c r="AK752" s="383"/>
      <c r="AL752" s="177"/>
      <c r="AM752" s="177"/>
      <c r="AN752" s="177"/>
      <c r="AO752" s="366"/>
      <c r="AP752" s="366"/>
      <c r="AQ752" s="366"/>
      <c r="AR752" s="366"/>
      <c r="AS752" s="366"/>
    </row>
    <row r="753">
      <c r="A753" s="391"/>
      <c r="B753" s="383"/>
      <c r="C753" s="177"/>
      <c r="D753" s="177"/>
      <c r="E753" s="177"/>
      <c r="F753" s="391"/>
      <c r="G753" s="383"/>
      <c r="H753" s="177"/>
      <c r="I753" s="177"/>
      <c r="J753" s="177"/>
      <c r="K753" s="88"/>
      <c r="L753" s="383"/>
      <c r="M753" s="177"/>
      <c r="N753" s="177"/>
      <c r="O753" s="177"/>
      <c r="P753" s="88"/>
      <c r="Q753" s="151"/>
      <c r="R753" s="177"/>
      <c r="S753" s="177"/>
      <c r="T753" s="177"/>
      <c r="U753" s="391"/>
      <c r="V753" s="383"/>
      <c r="W753" s="177"/>
      <c r="X753" s="177"/>
      <c r="Y753" s="177"/>
      <c r="Z753" s="391"/>
      <c r="AA753" s="383"/>
      <c r="AB753" s="177"/>
      <c r="AC753" s="177"/>
      <c r="AD753" s="177"/>
      <c r="AE753" s="391"/>
      <c r="AF753" s="383"/>
      <c r="AG753" s="177"/>
      <c r="AH753" s="177"/>
      <c r="AI753" s="177"/>
      <c r="AJ753" s="391"/>
      <c r="AK753" s="383"/>
      <c r="AL753" s="177"/>
      <c r="AM753" s="177"/>
      <c r="AN753" s="177"/>
      <c r="AO753" s="366"/>
      <c r="AP753" s="366"/>
      <c r="AQ753" s="366"/>
      <c r="AR753" s="366"/>
      <c r="AS753" s="366"/>
    </row>
    <row r="754">
      <c r="A754" s="391"/>
      <c r="B754" s="383"/>
      <c r="C754" s="177"/>
      <c r="D754" s="177"/>
      <c r="E754" s="177"/>
      <c r="F754" s="391"/>
      <c r="G754" s="383"/>
      <c r="H754" s="177"/>
      <c r="I754" s="177"/>
      <c r="J754" s="177"/>
      <c r="K754" s="88"/>
      <c r="L754" s="383"/>
      <c r="M754" s="177"/>
      <c r="N754" s="177"/>
      <c r="O754" s="177"/>
      <c r="P754" s="88"/>
      <c r="Q754" s="151"/>
      <c r="R754" s="177"/>
      <c r="S754" s="177"/>
      <c r="T754" s="177"/>
      <c r="U754" s="391"/>
      <c r="V754" s="383"/>
      <c r="W754" s="177"/>
      <c r="X754" s="177"/>
      <c r="Y754" s="177"/>
      <c r="Z754" s="391"/>
      <c r="AA754" s="383"/>
      <c r="AB754" s="177"/>
      <c r="AC754" s="177"/>
      <c r="AD754" s="177"/>
      <c r="AE754" s="391"/>
      <c r="AF754" s="383"/>
      <c r="AG754" s="177"/>
      <c r="AH754" s="177"/>
      <c r="AI754" s="177"/>
      <c r="AJ754" s="391"/>
      <c r="AK754" s="383"/>
      <c r="AL754" s="177"/>
      <c r="AM754" s="177"/>
      <c r="AN754" s="177"/>
      <c r="AO754" s="366"/>
      <c r="AP754" s="366"/>
      <c r="AQ754" s="366"/>
      <c r="AR754" s="366"/>
      <c r="AS754" s="366"/>
    </row>
    <row r="755">
      <c r="A755" s="391"/>
      <c r="B755" s="383"/>
      <c r="C755" s="177"/>
      <c r="D755" s="177"/>
      <c r="E755" s="177"/>
      <c r="F755" s="391"/>
      <c r="G755" s="383"/>
      <c r="H755" s="177"/>
      <c r="I755" s="177"/>
      <c r="J755" s="177"/>
      <c r="K755" s="88"/>
      <c r="L755" s="383"/>
      <c r="M755" s="177"/>
      <c r="N755" s="177"/>
      <c r="O755" s="177"/>
      <c r="P755" s="88"/>
      <c r="Q755" s="151"/>
      <c r="R755" s="177"/>
      <c r="S755" s="177"/>
      <c r="T755" s="177"/>
      <c r="U755" s="391"/>
      <c r="V755" s="383"/>
      <c r="W755" s="177"/>
      <c r="X755" s="177"/>
      <c r="Y755" s="177"/>
      <c r="Z755" s="391"/>
      <c r="AA755" s="383"/>
      <c r="AB755" s="177"/>
      <c r="AC755" s="177"/>
      <c r="AD755" s="177"/>
      <c r="AE755" s="391"/>
      <c r="AF755" s="383"/>
      <c r="AG755" s="177"/>
      <c r="AH755" s="177"/>
      <c r="AI755" s="177"/>
      <c r="AJ755" s="391"/>
      <c r="AK755" s="383"/>
      <c r="AL755" s="177"/>
      <c r="AM755" s="177"/>
      <c r="AN755" s="177"/>
      <c r="AO755" s="366"/>
      <c r="AP755" s="366"/>
      <c r="AQ755" s="366"/>
      <c r="AR755" s="366"/>
      <c r="AS755" s="366"/>
    </row>
    <row r="756">
      <c r="A756" s="391"/>
      <c r="B756" s="383"/>
      <c r="C756" s="177"/>
      <c r="D756" s="177"/>
      <c r="E756" s="177"/>
      <c r="F756" s="391"/>
      <c r="G756" s="383"/>
      <c r="H756" s="177"/>
      <c r="I756" s="177"/>
      <c r="J756" s="177"/>
      <c r="K756" s="88"/>
      <c r="L756" s="383"/>
      <c r="M756" s="177"/>
      <c r="N756" s="177"/>
      <c r="O756" s="177"/>
      <c r="P756" s="88"/>
      <c r="Q756" s="151"/>
      <c r="R756" s="177"/>
      <c r="S756" s="177"/>
      <c r="T756" s="177"/>
      <c r="U756" s="391"/>
      <c r="V756" s="383"/>
      <c r="W756" s="177"/>
      <c r="X756" s="177"/>
      <c r="Y756" s="177"/>
      <c r="Z756" s="391"/>
      <c r="AA756" s="383"/>
      <c r="AB756" s="177"/>
      <c r="AC756" s="177"/>
      <c r="AD756" s="177"/>
      <c r="AE756" s="391"/>
      <c r="AF756" s="383"/>
      <c r="AG756" s="177"/>
      <c r="AH756" s="177"/>
      <c r="AI756" s="177"/>
      <c r="AJ756" s="391"/>
      <c r="AK756" s="383"/>
      <c r="AL756" s="177"/>
      <c r="AM756" s="177"/>
      <c r="AN756" s="177"/>
      <c r="AO756" s="366"/>
      <c r="AP756" s="366"/>
      <c r="AQ756" s="366"/>
      <c r="AR756" s="366"/>
      <c r="AS756" s="366"/>
    </row>
    <row r="757">
      <c r="A757" s="391"/>
      <c r="B757" s="383"/>
      <c r="C757" s="177"/>
      <c r="D757" s="177"/>
      <c r="E757" s="177"/>
      <c r="F757" s="391"/>
      <c r="G757" s="383"/>
      <c r="H757" s="177"/>
      <c r="I757" s="177"/>
      <c r="J757" s="177"/>
      <c r="K757" s="88"/>
      <c r="L757" s="383"/>
      <c r="M757" s="177"/>
      <c r="N757" s="177"/>
      <c r="O757" s="177"/>
      <c r="P757" s="88"/>
      <c r="Q757" s="151"/>
      <c r="R757" s="177"/>
      <c r="S757" s="177"/>
      <c r="T757" s="177"/>
      <c r="U757" s="391"/>
      <c r="V757" s="383"/>
      <c r="W757" s="177"/>
      <c r="X757" s="177"/>
      <c r="Y757" s="177"/>
      <c r="Z757" s="391"/>
      <c r="AA757" s="383"/>
      <c r="AB757" s="177"/>
      <c r="AC757" s="177"/>
      <c r="AD757" s="177"/>
      <c r="AE757" s="391"/>
      <c r="AF757" s="383"/>
      <c r="AG757" s="177"/>
      <c r="AH757" s="177"/>
      <c r="AI757" s="177"/>
      <c r="AJ757" s="391"/>
      <c r="AK757" s="383"/>
      <c r="AL757" s="177"/>
      <c r="AM757" s="177"/>
      <c r="AN757" s="177"/>
      <c r="AO757" s="366"/>
      <c r="AP757" s="366"/>
      <c r="AQ757" s="366"/>
      <c r="AR757" s="366"/>
      <c r="AS757" s="366"/>
    </row>
    <row r="758">
      <c r="A758" s="391"/>
      <c r="B758" s="383"/>
      <c r="C758" s="177"/>
      <c r="D758" s="177"/>
      <c r="E758" s="177"/>
      <c r="F758" s="391"/>
      <c r="G758" s="383"/>
      <c r="H758" s="177"/>
      <c r="I758" s="177"/>
      <c r="J758" s="177"/>
      <c r="K758" s="88"/>
      <c r="L758" s="383"/>
      <c r="M758" s="177"/>
      <c r="N758" s="177"/>
      <c r="O758" s="177"/>
      <c r="P758" s="88"/>
      <c r="Q758" s="151"/>
      <c r="R758" s="177"/>
      <c r="S758" s="177"/>
      <c r="T758" s="177"/>
      <c r="U758" s="391"/>
      <c r="V758" s="383"/>
      <c r="W758" s="177"/>
      <c r="X758" s="177"/>
      <c r="Y758" s="177"/>
      <c r="Z758" s="391"/>
      <c r="AA758" s="383"/>
      <c r="AB758" s="177"/>
      <c r="AC758" s="177"/>
      <c r="AD758" s="177"/>
      <c r="AE758" s="391"/>
      <c r="AF758" s="383"/>
      <c r="AG758" s="177"/>
      <c r="AH758" s="177"/>
      <c r="AI758" s="177"/>
      <c r="AJ758" s="391"/>
      <c r="AK758" s="383"/>
      <c r="AL758" s="177"/>
      <c r="AM758" s="177"/>
      <c r="AN758" s="177"/>
      <c r="AO758" s="366"/>
      <c r="AP758" s="366"/>
      <c r="AQ758" s="366"/>
      <c r="AR758" s="366"/>
      <c r="AS758" s="366"/>
    </row>
    <row r="759">
      <c r="A759" s="391"/>
      <c r="B759" s="383"/>
      <c r="C759" s="177"/>
      <c r="D759" s="177"/>
      <c r="E759" s="177"/>
      <c r="F759" s="391"/>
      <c r="G759" s="383"/>
      <c r="H759" s="177"/>
      <c r="I759" s="177"/>
      <c r="J759" s="177"/>
      <c r="K759" s="88"/>
      <c r="L759" s="383"/>
      <c r="M759" s="177"/>
      <c r="N759" s="177"/>
      <c r="O759" s="177"/>
      <c r="P759" s="88"/>
      <c r="Q759" s="151"/>
      <c r="R759" s="177"/>
      <c r="S759" s="177"/>
      <c r="T759" s="177"/>
      <c r="U759" s="391"/>
      <c r="V759" s="383"/>
      <c r="W759" s="177"/>
      <c r="X759" s="177"/>
      <c r="Y759" s="177"/>
      <c r="Z759" s="391"/>
      <c r="AA759" s="383"/>
      <c r="AB759" s="177"/>
      <c r="AC759" s="177"/>
      <c r="AD759" s="177"/>
      <c r="AE759" s="391"/>
      <c r="AF759" s="383"/>
      <c r="AG759" s="177"/>
      <c r="AH759" s="177"/>
      <c r="AI759" s="177"/>
      <c r="AJ759" s="391"/>
      <c r="AK759" s="383"/>
      <c r="AL759" s="177"/>
      <c r="AM759" s="177"/>
      <c r="AN759" s="177"/>
      <c r="AO759" s="366"/>
      <c r="AP759" s="366"/>
      <c r="AQ759" s="366"/>
      <c r="AR759" s="366"/>
      <c r="AS759" s="366"/>
    </row>
    <row r="760">
      <c r="A760" s="391"/>
      <c r="B760" s="383"/>
      <c r="C760" s="177"/>
      <c r="D760" s="177"/>
      <c r="E760" s="177"/>
      <c r="F760" s="391"/>
      <c r="G760" s="383"/>
      <c r="H760" s="177"/>
      <c r="I760" s="177"/>
      <c r="J760" s="177"/>
      <c r="K760" s="88"/>
      <c r="L760" s="383"/>
      <c r="M760" s="177"/>
      <c r="N760" s="177"/>
      <c r="O760" s="177"/>
      <c r="P760" s="88"/>
      <c r="Q760" s="151"/>
      <c r="R760" s="177"/>
      <c r="S760" s="177"/>
      <c r="T760" s="177"/>
      <c r="U760" s="391"/>
      <c r="V760" s="383"/>
      <c r="W760" s="177"/>
      <c r="X760" s="177"/>
      <c r="Y760" s="177"/>
      <c r="Z760" s="391"/>
      <c r="AA760" s="383"/>
      <c r="AB760" s="177"/>
      <c r="AC760" s="177"/>
      <c r="AD760" s="177"/>
      <c r="AE760" s="391"/>
      <c r="AF760" s="383"/>
      <c r="AG760" s="177"/>
      <c r="AH760" s="177"/>
      <c r="AI760" s="177"/>
      <c r="AJ760" s="391"/>
      <c r="AK760" s="383"/>
      <c r="AL760" s="177"/>
      <c r="AM760" s="177"/>
      <c r="AN760" s="177"/>
      <c r="AO760" s="366"/>
      <c r="AP760" s="366"/>
      <c r="AQ760" s="366"/>
      <c r="AR760" s="366"/>
      <c r="AS760" s="366"/>
    </row>
    <row r="761">
      <c r="A761" s="391"/>
      <c r="B761" s="383"/>
      <c r="C761" s="177"/>
      <c r="D761" s="177"/>
      <c r="E761" s="177"/>
      <c r="F761" s="391"/>
      <c r="G761" s="383"/>
      <c r="H761" s="177"/>
      <c r="I761" s="177"/>
      <c r="J761" s="177"/>
      <c r="K761" s="88"/>
      <c r="L761" s="383"/>
      <c r="M761" s="177"/>
      <c r="N761" s="177"/>
      <c r="O761" s="177"/>
      <c r="P761" s="88"/>
      <c r="Q761" s="151"/>
      <c r="R761" s="177"/>
      <c r="S761" s="177"/>
      <c r="T761" s="177"/>
      <c r="U761" s="391"/>
      <c r="V761" s="383"/>
      <c r="W761" s="177"/>
      <c r="X761" s="177"/>
      <c r="Y761" s="177"/>
      <c r="Z761" s="391"/>
      <c r="AA761" s="383"/>
      <c r="AB761" s="177"/>
      <c r="AC761" s="177"/>
      <c r="AD761" s="177"/>
      <c r="AE761" s="391"/>
      <c r="AF761" s="383"/>
      <c r="AG761" s="177"/>
      <c r="AH761" s="177"/>
      <c r="AI761" s="177"/>
      <c r="AJ761" s="391"/>
      <c r="AK761" s="383"/>
      <c r="AL761" s="177"/>
      <c r="AM761" s="177"/>
      <c r="AN761" s="177"/>
      <c r="AO761" s="366"/>
      <c r="AP761" s="366"/>
      <c r="AQ761" s="366"/>
      <c r="AR761" s="366"/>
      <c r="AS761" s="366"/>
    </row>
    <row r="762">
      <c r="A762" s="391"/>
      <c r="B762" s="383"/>
      <c r="C762" s="177"/>
      <c r="D762" s="177"/>
      <c r="E762" s="177"/>
      <c r="F762" s="391"/>
      <c r="G762" s="383"/>
      <c r="H762" s="177"/>
      <c r="I762" s="177"/>
      <c r="J762" s="177"/>
      <c r="K762" s="88"/>
      <c r="L762" s="383"/>
      <c r="M762" s="177"/>
      <c r="N762" s="177"/>
      <c r="O762" s="177"/>
      <c r="P762" s="88"/>
      <c r="Q762" s="151"/>
      <c r="R762" s="177"/>
      <c r="S762" s="177"/>
      <c r="T762" s="177"/>
      <c r="U762" s="391"/>
      <c r="V762" s="383"/>
      <c r="W762" s="177"/>
      <c r="X762" s="177"/>
      <c r="Y762" s="177"/>
      <c r="Z762" s="391"/>
      <c r="AA762" s="383"/>
      <c r="AB762" s="177"/>
      <c r="AC762" s="177"/>
      <c r="AD762" s="177"/>
      <c r="AE762" s="391"/>
      <c r="AF762" s="383"/>
      <c r="AG762" s="177"/>
      <c r="AH762" s="177"/>
      <c r="AI762" s="177"/>
      <c r="AJ762" s="391"/>
      <c r="AK762" s="383"/>
      <c r="AL762" s="177"/>
      <c r="AM762" s="177"/>
      <c r="AN762" s="177"/>
      <c r="AO762" s="366"/>
      <c r="AP762" s="366"/>
      <c r="AQ762" s="366"/>
      <c r="AR762" s="366"/>
      <c r="AS762" s="366"/>
    </row>
    <row r="763">
      <c r="A763" s="391"/>
      <c r="B763" s="383"/>
      <c r="C763" s="177"/>
      <c r="D763" s="177"/>
      <c r="E763" s="177"/>
      <c r="F763" s="391"/>
      <c r="G763" s="383"/>
      <c r="H763" s="177"/>
      <c r="I763" s="177"/>
      <c r="J763" s="177"/>
      <c r="K763" s="88"/>
      <c r="L763" s="383"/>
      <c r="M763" s="177"/>
      <c r="N763" s="177"/>
      <c r="O763" s="177"/>
      <c r="P763" s="88"/>
      <c r="Q763" s="151"/>
      <c r="R763" s="177"/>
      <c r="S763" s="177"/>
      <c r="T763" s="177"/>
      <c r="U763" s="391"/>
      <c r="V763" s="383"/>
      <c r="W763" s="177"/>
      <c r="X763" s="177"/>
      <c r="Y763" s="177"/>
      <c r="Z763" s="391"/>
      <c r="AA763" s="383"/>
      <c r="AB763" s="177"/>
      <c r="AC763" s="177"/>
      <c r="AD763" s="177"/>
      <c r="AE763" s="391"/>
      <c r="AF763" s="383"/>
      <c r="AG763" s="177"/>
      <c r="AH763" s="177"/>
      <c r="AI763" s="177"/>
      <c r="AJ763" s="391"/>
      <c r="AK763" s="383"/>
      <c r="AL763" s="177"/>
      <c r="AM763" s="177"/>
      <c r="AN763" s="177"/>
      <c r="AO763" s="366"/>
      <c r="AP763" s="366"/>
      <c r="AQ763" s="366"/>
      <c r="AR763" s="366"/>
      <c r="AS763" s="366"/>
    </row>
    <row r="764">
      <c r="A764" s="391"/>
      <c r="B764" s="383"/>
      <c r="C764" s="177"/>
      <c r="D764" s="177"/>
      <c r="E764" s="177"/>
      <c r="F764" s="391"/>
      <c r="G764" s="383"/>
      <c r="H764" s="177"/>
      <c r="I764" s="177"/>
      <c r="J764" s="177"/>
      <c r="K764" s="88"/>
      <c r="L764" s="383"/>
      <c r="M764" s="177"/>
      <c r="N764" s="177"/>
      <c r="O764" s="177"/>
      <c r="P764" s="88"/>
      <c r="Q764" s="151"/>
      <c r="R764" s="177"/>
      <c r="S764" s="177"/>
      <c r="T764" s="177"/>
      <c r="U764" s="391"/>
      <c r="V764" s="383"/>
      <c r="W764" s="177"/>
      <c r="X764" s="177"/>
      <c r="Y764" s="177"/>
      <c r="Z764" s="391"/>
      <c r="AA764" s="383"/>
      <c r="AB764" s="177"/>
      <c r="AC764" s="177"/>
      <c r="AD764" s="177"/>
      <c r="AE764" s="391"/>
      <c r="AF764" s="383"/>
      <c r="AG764" s="177"/>
      <c r="AH764" s="177"/>
      <c r="AI764" s="177"/>
      <c r="AJ764" s="391"/>
      <c r="AK764" s="383"/>
      <c r="AL764" s="177"/>
      <c r="AM764" s="177"/>
      <c r="AN764" s="177"/>
      <c r="AO764" s="366"/>
      <c r="AP764" s="366"/>
      <c r="AQ764" s="366"/>
      <c r="AR764" s="366"/>
      <c r="AS764" s="366"/>
    </row>
    <row r="765">
      <c r="A765" s="391"/>
      <c r="B765" s="383"/>
      <c r="C765" s="177"/>
      <c r="D765" s="177"/>
      <c r="E765" s="177"/>
      <c r="F765" s="391"/>
      <c r="G765" s="383"/>
      <c r="H765" s="177"/>
      <c r="I765" s="177"/>
      <c r="J765" s="177"/>
      <c r="K765" s="88"/>
      <c r="L765" s="383"/>
      <c r="M765" s="177"/>
      <c r="N765" s="177"/>
      <c r="O765" s="177"/>
      <c r="P765" s="88"/>
      <c r="Q765" s="151"/>
      <c r="R765" s="177"/>
      <c r="S765" s="177"/>
      <c r="T765" s="177"/>
      <c r="U765" s="391"/>
      <c r="V765" s="383"/>
      <c r="W765" s="177"/>
      <c r="X765" s="177"/>
      <c r="Y765" s="177"/>
      <c r="Z765" s="391"/>
      <c r="AA765" s="383"/>
      <c r="AB765" s="177"/>
      <c r="AC765" s="177"/>
      <c r="AD765" s="177"/>
      <c r="AE765" s="391"/>
      <c r="AF765" s="383"/>
      <c r="AG765" s="177"/>
      <c r="AH765" s="177"/>
      <c r="AI765" s="177"/>
      <c r="AJ765" s="391"/>
      <c r="AK765" s="383"/>
      <c r="AL765" s="177"/>
      <c r="AM765" s="177"/>
      <c r="AN765" s="177"/>
      <c r="AO765" s="366"/>
      <c r="AP765" s="366"/>
      <c r="AQ765" s="366"/>
      <c r="AR765" s="366"/>
      <c r="AS765" s="366"/>
    </row>
    <row r="766">
      <c r="A766" s="391"/>
      <c r="B766" s="383"/>
      <c r="C766" s="177"/>
      <c r="D766" s="177"/>
      <c r="E766" s="177"/>
      <c r="F766" s="391"/>
      <c r="G766" s="383"/>
      <c r="H766" s="177"/>
      <c r="I766" s="177"/>
      <c r="J766" s="177"/>
      <c r="K766" s="88"/>
      <c r="L766" s="383"/>
      <c r="M766" s="177"/>
      <c r="N766" s="177"/>
      <c r="O766" s="177"/>
      <c r="P766" s="88"/>
      <c r="Q766" s="151"/>
      <c r="R766" s="177"/>
      <c r="S766" s="177"/>
      <c r="T766" s="177"/>
      <c r="U766" s="391"/>
      <c r="V766" s="383"/>
      <c r="W766" s="177"/>
      <c r="X766" s="177"/>
      <c r="Y766" s="177"/>
      <c r="Z766" s="391"/>
      <c r="AA766" s="383"/>
      <c r="AB766" s="177"/>
      <c r="AC766" s="177"/>
      <c r="AD766" s="177"/>
      <c r="AE766" s="391"/>
      <c r="AF766" s="383"/>
      <c r="AG766" s="177"/>
      <c r="AH766" s="177"/>
      <c r="AI766" s="177"/>
      <c r="AJ766" s="391"/>
      <c r="AK766" s="383"/>
      <c r="AL766" s="177"/>
      <c r="AM766" s="177"/>
      <c r="AN766" s="177"/>
      <c r="AO766" s="366"/>
      <c r="AP766" s="366"/>
      <c r="AQ766" s="366"/>
      <c r="AR766" s="366"/>
      <c r="AS766" s="366"/>
    </row>
    <row r="767">
      <c r="A767" s="391"/>
      <c r="B767" s="383"/>
      <c r="C767" s="177"/>
      <c r="D767" s="177"/>
      <c r="E767" s="177"/>
      <c r="F767" s="391"/>
      <c r="G767" s="383"/>
      <c r="H767" s="177"/>
      <c r="I767" s="177"/>
      <c r="J767" s="177"/>
      <c r="K767" s="88"/>
      <c r="L767" s="383"/>
      <c r="M767" s="177"/>
      <c r="N767" s="177"/>
      <c r="O767" s="177"/>
      <c r="P767" s="88"/>
      <c r="Q767" s="151"/>
      <c r="R767" s="177"/>
      <c r="S767" s="177"/>
      <c r="T767" s="177"/>
      <c r="U767" s="391"/>
      <c r="V767" s="383"/>
      <c r="W767" s="177"/>
      <c r="X767" s="177"/>
      <c r="Y767" s="177"/>
      <c r="Z767" s="391"/>
      <c r="AA767" s="383"/>
      <c r="AB767" s="177"/>
      <c r="AC767" s="177"/>
      <c r="AD767" s="177"/>
      <c r="AE767" s="391"/>
      <c r="AF767" s="383"/>
      <c r="AG767" s="177"/>
      <c r="AH767" s="177"/>
      <c r="AI767" s="177"/>
      <c r="AJ767" s="391"/>
      <c r="AK767" s="383"/>
      <c r="AL767" s="177"/>
      <c r="AM767" s="177"/>
      <c r="AN767" s="177"/>
      <c r="AO767" s="366"/>
      <c r="AP767" s="366"/>
      <c r="AQ767" s="366"/>
      <c r="AR767" s="366"/>
      <c r="AS767" s="366"/>
    </row>
    <row r="768">
      <c r="A768" s="391"/>
      <c r="B768" s="383"/>
      <c r="C768" s="177"/>
      <c r="D768" s="177"/>
      <c r="E768" s="177"/>
      <c r="F768" s="391"/>
      <c r="G768" s="383"/>
      <c r="H768" s="177"/>
      <c r="I768" s="177"/>
      <c r="J768" s="177"/>
      <c r="K768" s="88"/>
      <c r="L768" s="383"/>
      <c r="M768" s="177"/>
      <c r="N768" s="177"/>
      <c r="O768" s="177"/>
      <c r="P768" s="88"/>
      <c r="Q768" s="151"/>
      <c r="R768" s="177"/>
      <c r="S768" s="177"/>
      <c r="T768" s="177"/>
      <c r="U768" s="391"/>
      <c r="V768" s="383"/>
      <c r="W768" s="177"/>
      <c r="X768" s="177"/>
      <c r="Y768" s="177"/>
      <c r="Z768" s="391"/>
      <c r="AA768" s="383"/>
      <c r="AB768" s="177"/>
      <c r="AC768" s="177"/>
      <c r="AD768" s="177"/>
      <c r="AE768" s="391"/>
      <c r="AF768" s="383"/>
      <c r="AG768" s="177"/>
      <c r="AH768" s="177"/>
      <c r="AI768" s="177"/>
      <c r="AJ768" s="391"/>
      <c r="AK768" s="383"/>
      <c r="AL768" s="177"/>
      <c r="AM768" s="177"/>
      <c r="AN768" s="177"/>
      <c r="AO768" s="366"/>
      <c r="AP768" s="366"/>
      <c r="AQ768" s="366"/>
      <c r="AR768" s="366"/>
      <c r="AS768" s="366"/>
    </row>
    <row r="769">
      <c r="A769" s="391"/>
      <c r="B769" s="383"/>
      <c r="C769" s="177"/>
      <c r="D769" s="177"/>
      <c r="E769" s="177"/>
      <c r="F769" s="391"/>
      <c r="G769" s="383"/>
      <c r="H769" s="177"/>
      <c r="I769" s="177"/>
      <c r="J769" s="177"/>
      <c r="K769" s="88"/>
      <c r="L769" s="383"/>
      <c r="M769" s="177"/>
      <c r="N769" s="177"/>
      <c r="O769" s="177"/>
      <c r="P769" s="88"/>
      <c r="Q769" s="151"/>
      <c r="R769" s="177"/>
      <c r="S769" s="177"/>
      <c r="T769" s="177"/>
      <c r="U769" s="391"/>
      <c r="V769" s="383"/>
      <c r="W769" s="177"/>
      <c r="X769" s="177"/>
      <c r="Y769" s="177"/>
      <c r="Z769" s="391"/>
      <c r="AA769" s="383"/>
      <c r="AB769" s="177"/>
      <c r="AC769" s="177"/>
      <c r="AD769" s="177"/>
      <c r="AE769" s="391"/>
      <c r="AF769" s="383"/>
      <c r="AG769" s="177"/>
      <c r="AH769" s="177"/>
      <c r="AI769" s="177"/>
      <c r="AJ769" s="391"/>
      <c r="AK769" s="383"/>
      <c r="AL769" s="177"/>
      <c r="AM769" s="177"/>
      <c r="AN769" s="177"/>
      <c r="AO769" s="366"/>
      <c r="AP769" s="366"/>
      <c r="AQ769" s="366"/>
      <c r="AR769" s="366"/>
      <c r="AS769" s="366"/>
    </row>
    <row r="770">
      <c r="A770" s="391"/>
      <c r="B770" s="383"/>
      <c r="C770" s="177"/>
      <c r="D770" s="177"/>
      <c r="E770" s="177"/>
      <c r="F770" s="391"/>
      <c r="G770" s="383"/>
      <c r="H770" s="177"/>
      <c r="I770" s="177"/>
      <c r="J770" s="177"/>
      <c r="K770" s="88"/>
      <c r="L770" s="383"/>
      <c r="M770" s="177"/>
      <c r="N770" s="177"/>
      <c r="O770" s="177"/>
      <c r="P770" s="88"/>
      <c r="Q770" s="151"/>
      <c r="R770" s="177"/>
      <c r="S770" s="177"/>
      <c r="T770" s="177"/>
      <c r="U770" s="391"/>
      <c r="V770" s="383"/>
      <c r="W770" s="177"/>
      <c r="X770" s="177"/>
      <c r="Y770" s="177"/>
      <c r="Z770" s="391"/>
      <c r="AA770" s="383"/>
      <c r="AB770" s="177"/>
      <c r="AC770" s="177"/>
      <c r="AD770" s="177"/>
      <c r="AE770" s="391"/>
      <c r="AF770" s="383"/>
      <c r="AG770" s="177"/>
      <c r="AH770" s="177"/>
      <c r="AI770" s="177"/>
      <c r="AJ770" s="391"/>
      <c r="AK770" s="383"/>
      <c r="AL770" s="177"/>
      <c r="AM770" s="177"/>
      <c r="AN770" s="177"/>
      <c r="AO770" s="366"/>
      <c r="AP770" s="366"/>
      <c r="AQ770" s="366"/>
      <c r="AR770" s="366"/>
      <c r="AS770" s="366"/>
    </row>
    <row r="771">
      <c r="A771" s="391"/>
      <c r="B771" s="383"/>
      <c r="C771" s="177"/>
      <c r="D771" s="177"/>
      <c r="E771" s="177"/>
      <c r="F771" s="391"/>
      <c r="G771" s="383"/>
      <c r="H771" s="177"/>
      <c r="I771" s="177"/>
      <c r="J771" s="177"/>
      <c r="K771" s="88"/>
      <c r="L771" s="383"/>
      <c r="M771" s="177"/>
      <c r="N771" s="177"/>
      <c r="O771" s="177"/>
      <c r="P771" s="88"/>
      <c r="Q771" s="151"/>
      <c r="R771" s="177"/>
      <c r="S771" s="177"/>
      <c r="T771" s="177"/>
      <c r="U771" s="391"/>
      <c r="V771" s="383"/>
      <c r="W771" s="177"/>
      <c r="X771" s="177"/>
      <c r="Y771" s="177"/>
      <c r="Z771" s="391"/>
      <c r="AA771" s="383"/>
      <c r="AB771" s="177"/>
      <c r="AC771" s="177"/>
      <c r="AD771" s="177"/>
      <c r="AE771" s="391"/>
      <c r="AF771" s="383"/>
      <c r="AG771" s="177"/>
      <c r="AH771" s="177"/>
      <c r="AI771" s="177"/>
      <c r="AJ771" s="391"/>
      <c r="AK771" s="383"/>
      <c r="AL771" s="177"/>
      <c r="AM771" s="177"/>
      <c r="AN771" s="177"/>
      <c r="AO771" s="366"/>
      <c r="AP771" s="366"/>
      <c r="AQ771" s="366"/>
      <c r="AR771" s="366"/>
      <c r="AS771" s="366"/>
    </row>
    <row r="772">
      <c r="A772" s="391"/>
      <c r="B772" s="383"/>
      <c r="C772" s="177"/>
      <c r="D772" s="177"/>
      <c r="E772" s="177"/>
      <c r="F772" s="391"/>
      <c r="G772" s="383"/>
      <c r="H772" s="177"/>
      <c r="I772" s="177"/>
      <c r="J772" s="177"/>
      <c r="K772" s="88"/>
      <c r="L772" s="383"/>
      <c r="M772" s="177"/>
      <c r="N772" s="177"/>
      <c r="O772" s="177"/>
      <c r="P772" s="88"/>
      <c r="Q772" s="151"/>
      <c r="R772" s="177"/>
      <c r="S772" s="177"/>
      <c r="T772" s="177"/>
      <c r="U772" s="391"/>
      <c r="V772" s="383"/>
      <c r="W772" s="177"/>
      <c r="X772" s="177"/>
      <c r="Y772" s="177"/>
      <c r="Z772" s="391"/>
      <c r="AA772" s="383"/>
      <c r="AB772" s="177"/>
      <c r="AC772" s="177"/>
      <c r="AD772" s="177"/>
      <c r="AE772" s="391"/>
      <c r="AF772" s="383"/>
      <c r="AG772" s="177"/>
      <c r="AH772" s="177"/>
      <c r="AI772" s="177"/>
      <c r="AJ772" s="391"/>
      <c r="AK772" s="383"/>
      <c r="AL772" s="177"/>
      <c r="AM772" s="177"/>
      <c r="AN772" s="177"/>
      <c r="AO772" s="366"/>
      <c r="AP772" s="366"/>
      <c r="AQ772" s="366"/>
      <c r="AR772" s="366"/>
      <c r="AS772" s="366"/>
    </row>
    <row r="773">
      <c r="A773" s="391"/>
      <c r="B773" s="383"/>
      <c r="C773" s="177"/>
      <c r="D773" s="177"/>
      <c r="E773" s="177"/>
      <c r="F773" s="391"/>
      <c r="G773" s="383"/>
      <c r="H773" s="177"/>
      <c r="I773" s="177"/>
      <c r="J773" s="177"/>
      <c r="K773" s="88"/>
      <c r="L773" s="383"/>
      <c r="M773" s="177"/>
      <c r="N773" s="177"/>
      <c r="O773" s="177"/>
      <c r="P773" s="88"/>
      <c r="Q773" s="151"/>
      <c r="R773" s="177"/>
      <c r="S773" s="177"/>
      <c r="T773" s="177"/>
      <c r="U773" s="391"/>
      <c r="V773" s="383"/>
      <c r="W773" s="177"/>
      <c r="X773" s="177"/>
      <c r="Y773" s="177"/>
      <c r="Z773" s="391"/>
      <c r="AA773" s="383"/>
      <c r="AB773" s="177"/>
      <c r="AC773" s="177"/>
      <c r="AD773" s="177"/>
      <c r="AE773" s="391"/>
      <c r="AF773" s="383"/>
      <c r="AG773" s="177"/>
      <c r="AH773" s="177"/>
      <c r="AI773" s="177"/>
      <c r="AJ773" s="391"/>
      <c r="AK773" s="383"/>
      <c r="AL773" s="177"/>
      <c r="AM773" s="177"/>
      <c r="AN773" s="177"/>
      <c r="AO773" s="366"/>
      <c r="AP773" s="366"/>
      <c r="AQ773" s="366"/>
      <c r="AR773" s="366"/>
      <c r="AS773" s="366"/>
    </row>
    <row r="774">
      <c r="A774" s="391"/>
      <c r="B774" s="383"/>
      <c r="C774" s="177"/>
      <c r="D774" s="177"/>
      <c r="E774" s="177"/>
      <c r="F774" s="391"/>
      <c r="G774" s="383"/>
      <c r="H774" s="177"/>
      <c r="I774" s="177"/>
      <c r="J774" s="177"/>
      <c r="K774" s="88"/>
      <c r="L774" s="383"/>
      <c r="M774" s="177"/>
      <c r="N774" s="177"/>
      <c r="O774" s="177"/>
      <c r="P774" s="88"/>
      <c r="Q774" s="151"/>
      <c r="R774" s="177"/>
      <c r="S774" s="177"/>
      <c r="T774" s="177"/>
      <c r="U774" s="391"/>
      <c r="V774" s="383"/>
      <c r="W774" s="177"/>
      <c r="X774" s="177"/>
      <c r="Y774" s="177"/>
      <c r="Z774" s="391"/>
      <c r="AA774" s="383"/>
      <c r="AB774" s="177"/>
      <c r="AC774" s="177"/>
      <c r="AD774" s="177"/>
      <c r="AE774" s="391"/>
      <c r="AF774" s="383"/>
      <c r="AG774" s="177"/>
      <c r="AH774" s="177"/>
      <c r="AI774" s="177"/>
      <c r="AJ774" s="391"/>
      <c r="AK774" s="383"/>
      <c r="AL774" s="177"/>
      <c r="AM774" s="177"/>
      <c r="AN774" s="177"/>
      <c r="AO774" s="366"/>
      <c r="AP774" s="366"/>
      <c r="AQ774" s="366"/>
      <c r="AR774" s="366"/>
      <c r="AS774" s="366"/>
    </row>
    <row r="775">
      <c r="A775" s="391"/>
      <c r="B775" s="383"/>
      <c r="C775" s="177"/>
      <c r="D775" s="177"/>
      <c r="E775" s="177"/>
      <c r="F775" s="391"/>
      <c r="G775" s="383"/>
      <c r="H775" s="177"/>
      <c r="I775" s="177"/>
      <c r="J775" s="177"/>
      <c r="K775" s="88"/>
      <c r="L775" s="383"/>
      <c r="M775" s="177"/>
      <c r="N775" s="177"/>
      <c r="O775" s="177"/>
      <c r="P775" s="88"/>
      <c r="Q775" s="151"/>
      <c r="R775" s="177"/>
      <c r="S775" s="177"/>
      <c r="T775" s="177"/>
      <c r="U775" s="391"/>
      <c r="V775" s="383"/>
      <c r="W775" s="177"/>
      <c r="X775" s="177"/>
      <c r="Y775" s="177"/>
      <c r="Z775" s="391"/>
      <c r="AA775" s="383"/>
      <c r="AB775" s="177"/>
      <c r="AC775" s="177"/>
      <c r="AD775" s="177"/>
      <c r="AE775" s="391"/>
      <c r="AF775" s="383"/>
      <c r="AG775" s="177"/>
      <c r="AH775" s="177"/>
      <c r="AI775" s="177"/>
      <c r="AJ775" s="391"/>
      <c r="AK775" s="383"/>
      <c r="AL775" s="177"/>
      <c r="AM775" s="177"/>
      <c r="AN775" s="177"/>
      <c r="AO775" s="366"/>
      <c r="AP775" s="366"/>
      <c r="AQ775" s="366"/>
      <c r="AR775" s="366"/>
      <c r="AS775" s="366"/>
    </row>
    <row r="776">
      <c r="A776" s="391"/>
      <c r="B776" s="383"/>
      <c r="C776" s="177"/>
      <c r="D776" s="177"/>
      <c r="E776" s="177"/>
      <c r="F776" s="391"/>
      <c r="G776" s="383"/>
      <c r="H776" s="177"/>
      <c r="I776" s="177"/>
      <c r="J776" s="177"/>
      <c r="K776" s="88"/>
      <c r="L776" s="383"/>
      <c r="M776" s="177"/>
      <c r="N776" s="177"/>
      <c r="O776" s="177"/>
      <c r="P776" s="88"/>
      <c r="Q776" s="151"/>
      <c r="R776" s="177"/>
      <c r="S776" s="177"/>
      <c r="T776" s="177"/>
      <c r="U776" s="391"/>
      <c r="V776" s="383"/>
      <c r="W776" s="177"/>
      <c r="X776" s="177"/>
      <c r="Y776" s="177"/>
      <c r="Z776" s="391"/>
      <c r="AA776" s="383"/>
      <c r="AB776" s="177"/>
      <c r="AC776" s="177"/>
      <c r="AD776" s="177"/>
      <c r="AE776" s="391"/>
      <c r="AF776" s="383"/>
      <c r="AG776" s="177"/>
      <c r="AH776" s="177"/>
      <c r="AI776" s="177"/>
      <c r="AJ776" s="391"/>
      <c r="AK776" s="383"/>
      <c r="AL776" s="177"/>
      <c r="AM776" s="177"/>
      <c r="AN776" s="177"/>
      <c r="AO776" s="366"/>
      <c r="AP776" s="366"/>
      <c r="AQ776" s="366"/>
      <c r="AR776" s="366"/>
      <c r="AS776" s="366"/>
    </row>
    <row r="777">
      <c r="A777" s="391"/>
      <c r="B777" s="383"/>
      <c r="C777" s="177"/>
      <c r="D777" s="177"/>
      <c r="E777" s="177"/>
      <c r="F777" s="391"/>
      <c r="G777" s="383"/>
      <c r="H777" s="177"/>
      <c r="I777" s="177"/>
      <c r="J777" s="177"/>
      <c r="K777" s="88"/>
      <c r="L777" s="383"/>
      <c r="M777" s="177"/>
      <c r="N777" s="177"/>
      <c r="O777" s="177"/>
      <c r="P777" s="88"/>
      <c r="Q777" s="151"/>
      <c r="R777" s="177"/>
      <c r="S777" s="177"/>
      <c r="T777" s="177"/>
      <c r="U777" s="391"/>
      <c r="V777" s="383"/>
      <c r="W777" s="177"/>
      <c r="X777" s="177"/>
      <c r="Y777" s="177"/>
      <c r="Z777" s="391"/>
      <c r="AA777" s="383"/>
      <c r="AB777" s="177"/>
      <c r="AC777" s="177"/>
      <c r="AD777" s="177"/>
      <c r="AE777" s="391"/>
      <c r="AF777" s="383"/>
      <c r="AG777" s="177"/>
      <c r="AH777" s="177"/>
      <c r="AI777" s="177"/>
      <c r="AJ777" s="391"/>
      <c r="AK777" s="383"/>
      <c r="AL777" s="177"/>
      <c r="AM777" s="177"/>
      <c r="AN777" s="177"/>
      <c r="AO777" s="366"/>
      <c r="AP777" s="366"/>
      <c r="AQ777" s="366"/>
      <c r="AR777" s="366"/>
      <c r="AS777" s="366"/>
    </row>
    <row r="778">
      <c r="A778" s="391"/>
      <c r="B778" s="383"/>
      <c r="C778" s="177"/>
      <c r="D778" s="177"/>
      <c r="E778" s="177"/>
      <c r="F778" s="391"/>
      <c r="G778" s="383"/>
      <c r="H778" s="177"/>
      <c r="I778" s="177"/>
      <c r="J778" s="177"/>
      <c r="K778" s="88"/>
      <c r="L778" s="383"/>
      <c r="M778" s="177"/>
      <c r="N778" s="177"/>
      <c r="O778" s="177"/>
      <c r="P778" s="88"/>
      <c r="Q778" s="151"/>
      <c r="R778" s="177"/>
      <c r="S778" s="177"/>
      <c r="T778" s="177"/>
      <c r="U778" s="391"/>
      <c r="V778" s="383"/>
      <c r="W778" s="177"/>
      <c r="X778" s="177"/>
      <c r="Y778" s="177"/>
      <c r="Z778" s="391"/>
      <c r="AA778" s="383"/>
      <c r="AB778" s="177"/>
      <c r="AC778" s="177"/>
      <c r="AD778" s="177"/>
      <c r="AE778" s="391"/>
      <c r="AF778" s="383"/>
      <c r="AG778" s="177"/>
      <c r="AH778" s="177"/>
      <c r="AI778" s="177"/>
      <c r="AJ778" s="391"/>
      <c r="AK778" s="383"/>
      <c r="AL778" s="177"/>
      <c r="AM778" s="177"/>
      <c r="AN778" s="177"/>
      <c r="AO778" s="366"/>
      <c r="AP778" s="366"/>
      <c r="AQ778" s="366"/>
      <c r="AR778" s="366"/>
      <c r="AS778" s="366"/>
    </row>
    <row r="779">
      <c r="A779" s="391"/>
      <c r="B779" s="383"/>
      <c r="C779" s="177"/>
      <c r="D779" s="177"/>
      <c r="E779" s="177"/>
      <c r="F779" s="391"/>
      <c r="G779" s="383"/>
      <c r="H779" s="177"/>
      <c r="I779" s="177"/>
      <c r="J779" s="177"/>
      <c r="K779" s="88"/>
      <c r="L779" s="383"/>
      <c r="M779" s="177"/>
      <c r="N779" s="177"/>
      <c r="O779" s="177"/>
      <c r="P779" s="88"/>
      <c r="Q779" s="151"/>
      <c r="R779" s="177"/>
      <c r="S779" s="177"/>
      <c r="T779" s="177"/>
      <c r="U779" s="391"/>
      <c r="V779" s="383"/>
      <c r="W779" s="177"/>
      <c r="X779" s="177"/>
      <c r="Y779" s="177"/>
      <c r="Z779" s="391"/>
      <c r="AA779" s="383"/>
      <c r="AB779" s="177"/>
      <c r="AC779" s="177"/>
      <c r="AD779" s="177"/>
      <c r="AE779" s="391"/>
      <c r="AF779" s="383"/>
      <c r="AG779" s="177"/>
      <c r="AH779" s="177"/>
      <c r="AI779" s="177"/>
      <c r="AJ779" s="391"/>
      <c r="AK779" s="383"/>
      <c r="AL779" s="177"/>
      <c r="AM779" s="177"/>
      <c r="AN779" s="177"/>
      <c r="AO779" s="366"/>
      <c r="AP779" s="366"/>
      <c r="AQ779" s="366"/>
      <c r="AR779" s="366"/>
      <c r="AS779" s="366"/>
    </row>
    <row r="780">
      <c r="A780" s="391"/>
      <c r="B780" s="383"/>
      <c r="C780" s="177"/>
      <c r="D780" s="177"/>
      <c r="E780" s="177"/>
      <c r="F780" s="391"/>
      <c r="G780" s="383"/>
      <c r="H780" s="177"/>
      <c r="I780" s="177"/>
      <c r="J780" s="177"/>
      <c r="K780" s="88"/>
      <c r="L780" s="383"/>
      <c r="M780" s="177"/>
      <c r="N780" s="177"/>
      <c r="O780" s="177"/>
      <c r="P780" s="88"/>
      <c r="Q780" s="151"/>
      <c r="R780" s="177"/>
      <c r="S780" s="177"/>
      <c r="T780" s="177"/>
      <c r="U780" s="391"/>
      <c r="V780" s="383"/>
      <c r="W780" s="177"/>
      <c r="X780" s="177"/>
      <c r="Y780" s="177"/>
      <c r="Z780" s="391"/>
      <c r="AA780" s="383"/>
      <c r="AB780" s="177"/>
      <c r="AC780" s="177"/>
      <c r="AD780" s="177"/>
      <c r="AE780" s="391"/>
      <c r="AF780" s="383"/>
      <c r="AG780" s="177"/>
      <c r="AH780" s="177"/>
      <c r="AI780" s="177"/>
      <c r="AJ780" s="391"/>
      <c r="AK780" s="383"/>
      <c r="AL780" s="177"/>
      <c r="AM780" s="177"/>
      <c r="AN780" s="177"/>
      <c r="AO780" s="366"/>
      <c r="AP780" s="366"/>
      <c r="AQ780" s="366"/>
      <c r="AR780" s="366"/>
      <c r="AS780" s="366"/>
    </row>
    <row r="781">
      <c r="A781" s="391"/>
      <c r="B781" s="383"/>
      <c r="C781" s="177"/>
      <c r="D781" s="177"/>
      <c r="E781" s="177"/>
      <c r="F781" s="391"/>
      <c r="G781" s="383"/>
      <c r="H781" s="177"/>
      <c r="I781" s="177"/>
      <c r="J781" s="177"/>
      <c r="K781" s="88"/>
      <c r="L781" s="383"/>
      <c r="M781" s="177"/>
      <c r="N781" s="177"/>
      <c r="O781" s="177"/>
      <c r="P781" s="88"/>
      <c r="Q781" s="151"/>
      <c r="R781" s="177"/>
      <c r="S781" s="177"/>
      <c r="T781" s="177"/>
      <c r="U781" s="391"/>
      <c r="V781" s="383"/>
      <c r="W781" s="177"/>
      <c r="X781" s="177"/>
      <c r="Y781" s="177"/>
      <c r="Z781" s="391"/>
      <c r="AA781" s="383"/>
      <c r="AB781" s="177"/>
      <c r="AC781" s="177"/>
      <c r="AD781" s="177"/>
      <c r="AE781" s="391"/>
      <c r="AF781" s="383"/>
      <c r="AG781" s="177"/>
      <c r="AH781" s="177"/>
      <c r="AI781" s="177"/>
      <c r="AJ781" s="391"/>
      <c r="AK781" s="383"/>
      <c r="AL781" s="177"/>
      <c r="AM781" s="177"/>
      <c r="AN781" s="177"/>
      <c r="AO781" s="366"/>
      <c r="AP781" s="366"/>
      <c r="AQ781" s="366"/>
      <c r="AR781" s="366"/>
      <c r="AS781" s="366"/>
    </row>
    <row r="782">
      <c r="A782" s="391"/>
      <c r="B782" s="383"/>
      <c r="C782" s="177"/>
      <c r="D782" s="177"/>
      <c r="E782" s="177"/>
      <c r="F782" s="391"/>
      <c r="G782" s="383"/>
      <c r="H782" s="177"/>
      <c r="I782" s="177"/>
      <c r="J782" s="177"/>
      <c r="K782" s="88"/>
      <c r="L782" s="383"/>
      <c r="M782" s="177"/>
      <c r="N782" s="177"/>
      <c r="O782" s="177"/>
      <c r="P782" s="88"/>
      <c r="Q782" s="151"/>
      <c r="R782" s="177"/>
      <c r="S782" s="177"/>
      <c r="T782" s="177"/>
      <c r="U782" s="391"/>
      <c r="V782" s="383"/>
      <c r="W782" s="177"/>
      <c r="X782" s="177"/>
      <c r="Y782" s="177"/>
      <c r="Z782" s="391"/>
      <c r="AA782" s="383"/>
      <c r="AB782" s="177"/>
      <c r="AC782" s="177"/>
      <c r="AD782" s="177"/>
      <c r="AE782" s="391"/>
      <c r="AF782" s="383"/>
      <c r="AG782" s="177"/>
      <c r="AH782" s="177"/>
      <c r="AI782" s="177"/>
      <c r="AJ782" s="391"/>
      <c r="AK782" s="383"/>
      <c r="AL782" s="177"/>
      <c r="AM782" s="177"/>
      <c r="AN782" s="177"/>
      <c r="AO782" s="366"/>
      <c r="AP782" s="366"/>
      <c r="AQ782" s="366"/>
      <c r="AR782" s="366"/>
      <c r="AS782" s="366"/>
    </row>
    <row r="783">
      <c r="A783" s="391"/>
      <c r="B783" s="383"/>
      <c r="C783" s="177"/>
      <c r="D783" s="177"/>
      <c r="E783" s="177"/>
      <c r="F783" s="391"/>
      <c r="G783" s="383"/>
      <c r="H783" s="177"/>
      <c r="I783" s="177"/>
      <c r="J783" s="177"/>
      <c r="K783" s="88"/>
      <c r="L783" s="383"/>
      <c r="M783" s="177"/>
      <c r="N783" s="177"/>
      <c r="O783" s="177"/>
      <c r="P783" s="88"/>
      <c r="Q783" s="151"/>
      <c r="R783" s="177"/>
      <c r="S783" s="177"/>
      <c r="T783" s="177"/>
      <c r="U783" s="391"/>
      <c r="V783" s="383"/>
      <c r="W783" s="177"/>
      <c r="X783" s="177"/>
      <c r="Y783" s="177"/>
      <c r="Z783" s="391"/>
      <c r="AA783" s="383"/>
      <c r="AB783" s="177"/>
      <c r="AC783" s="177"/>
      <c r="AD783" s="177"/>
      <c r="AE783" s="391"/>
      <c r="AF783" s="383"/>
      <c r="AG783" s="177"/>
      <c r="AH783" s="177"/>
      <c r="AI783" s="177"/>
      <c r="AJ783" s="391"/>
      <c r="AK783" s="383"/>
      <c r="AL783" s="177"/>
      <c r="AM783" s="177"/>
      <c r="AN783" s="177"/>
      <c r="AO783" s="366"/>
      <c r="AP783" s="366"/>
      <c r="AQ783" s="366"/>
      <c r="AR783" s="366"/>
      <c r="AS783" s="366"/>
    </row>
    <row r="784">
      <c r="A784" s="391"/>
      <c r="B784" s="383"/>
      <c r="C784" s="177"/>
      <c r="D784" s="177"/>
      <c r="E784" s="177"/>
      <c r="F784" s="391"/>
      <c r="G784" s="383"/>
      <c r="H784" s="177"/>
      <c r="I784" s="177"/>
      <c r="J784" s="177"/>
      <c r="K784" s="88"/>
      <c r="L784" s="383"/>
      <c r="M784" s="177"/>
      <c r="N784" s="177"/>
      <c r="O784" s="177"/>
      <c r="P784" s="88"/>
      <c r="Q784" s="151"/>
      <c r="R784" s="177"/>
      <c r="S784" s="177"/>
      <c r="T784" s="177"/>
      <c r="U784" s="391"/>
      <c r="V784" s="383"/>
      <c r="W784" s="177"/>
      <c r="X784" s="177"/>
      <c r="Y784" s="177"/>
      <c r="Z784" s="391"/>
      <c r="AA784" s="383"/>
      <c r="AB784" s="177"/>
      <c r="AC784" s="177"/>
      <c r="AD784" s="177"/>
      <c r="AE784" s="391"/>
      <c r="AF784" s="383"/>
      <c r="AG784" s="177"/>
      <c r="AH784" s="177"/>
      <c r="AI784" s="177"/>
      <c r="AJ784" s="391"/>
      <c r="AK784" s="383"/>
      <c r="AL784" s="177"/>
      <c r="AM784" s="177"/>
      <c r="AN784" s="177"/>
      <c r="AO784" s="366"/>
      <c r="AP784" s="366"/>
      <c r="AQ784" s="366"/>
      <c r="AR784" s="366"/>
      <c r="AS784" s="366"/>
    </row>
    <row r="785">
      <c r="A785" s="391"/>
      <c r="B785" s="383"/>
      <c r="C785" s="177"/>
      <c r="D785" s="177"/>
      <c r="E785" s="177"/>
      <c r="F785" s="391"/>
      <c r="G785" s="383"/>
      <c r="H785" s="177"/>
      <c r="I785" s="177"/>
      <c r="J785" s="177"/>
      <c r="K785" s="88"/>
      <c r="L785" s="383"/>
      <c r="M785" s="177"/>
      <c r="N785" s="177"/>
      <c r="O785" s="177"/>
      <c r="P785" s="88"/>
      <c r="Q785" s="151"/>
      <c r="R785" s="177"/>
      <c r="S785" s="177"/>
      <c r="T785" s="177"/>
      <c r="U785" s="391"/>
      <c r="V785" s="383"/>
      <c r="W785" s="177"/>
      <c r="X785" s="177"/>
      <c r="Y785" s="177"/>
      <c r="Z785" s="391"/>
      <c r="AA785" s="383"/>
      <c r="AB785" s="177"/>
      <c r="AC785" s="177"/>
      <c r="AD785" s="177"/>
      <c r="AE785" s="391"/>
      <c r="AF785" s="383"/>
      <c r="AG785" s="177"/>
      <c r="AH785" s="177"/>
      <c r="AI785" s="177"/>
      <c r="AJ785" s="391"/>
      <c r="AK785" s="383"/>
      <c r="AL785" s="177"/>
      <c r="AM785" s="177"/>
      <c r="AN785" s="177"/>
      <c r="AO785" s="366"/>
      <c r="AP785" s="366"/>
      <c r="AQ785" s="366"/>
      <c r="AR785" s="366"/>
      <c r="AS785" s="366"/>
    </row>
    <row r="786">
      <c r="A786" s="391"/>
      <c r="B786" s="383"/>
      <c r="C786" s="177"/>
      <c r="D786" s="177"/>
      <c r="E786" s="177"/>
      <c r="F786" s="391"/>
      <c r="G786" s="383"/>
      <c r="H786" s="177"/>
      <c r="I786" s="177"/>
      <c r="J786" s="177"/>
      <c r="K786" s="88"/>
      <c r="L786" s="383"/>
      <c r="M786" s="177"/>
      <c r="N786" s="177"/>
      <c r="O786" s="177"/>
      <c r="P786" s="88"/>
      <c r="Q786" s="151"/>
      <c r="R786" s="177"/>
      <c r="S786" s="177"/>
      <c r="T786" s="177"/>
      <c r="U786" s="391"/>
      <c r="V786" s="383"/>
      <c r="W786" s="177"/>
      <c r="X786" s="177"/>
      <c r="Y786" s="177"/>
      <c r="Z786" s="391"/>
      <c r="AA786" s="383"/>
      <c r="AB786" s="177"/>
      <c r="AC786" s="177"/>
      <c r="AD786" s="177"/>
      <c r="AE786" s="391"/>
      <c r="AF786" s="383"/>
      <c r="AG786" s="177"/>
      <c r="AH786" s="177"/>
      <c r="AI786" s="177"/>
      <c r="AJ786" s="391"/>
      <c r="AK786" s="383"/>
      <c r="AL786" s="177"/>
      <c r="AM786" s="177"/>
      <c r="AN786" s="177"/>
      <c r="AO786" s="366"/>
      <c r="AP786" s="366"/>
      <c r="AQ786" s="366"/>
      <c r="AR786" s="366"/>
      <c r="AS786" s="366"/>
    </row>
    <row r="787">
      <c r="A787" s="391"/>
      <c r="B787" s="383"/>
      <c r="C787" s="177"/>
      <c r="D787" s="177"/>
      <c r="E787" s="177"/>
      <c r="F787" s="391"/>
      <c r="G787" s="383"/>
      <c r="H787" s="177"/>
      <c r="I787" s="177"/>
      <c r="J787" s="177"/>
      <c r="K787" s="88"/>
      <c r="L787" s="383"/>
      <c r="M787" s="177"/>
      <c r="N787" s="177"/>
      <c r="O787" s="177"/>
      <c r="P787" s="88"/>
      <c r="Q787" s="151"/>
      <c r="R787" s="177"/>
      <c r="S787" s="177"/>
      <c r="T787" s="177"/>
      <c r="U787" s="391"/>
      <c r="V787" s="383"/>
      <c r="W787" s="177"/>
      <c r="X787" s="177"/>
      <c r="Y787" s="177"/>
      <c r="Z787" s="391"/>
      <c r="AA787" s="383"/>
      <c r="AB787" s="177"/>
      <c r="AC787" s="177"/>
      <c r="AD787" s="177"/>
      <c r="AE787" s="391"/>
      <c r="AF787" s="383"/>
      <c r="AG787" s="177"/>
      <c r="AH787" s="177"/>
      <c r="AI787" s="177"/>
      <c r="AJ787" s="391"/>
      <c r="AK787" s="383"/>
      <c r="AL787" s="177"/>
      <c r="AM787" s="177"/>
      <c r="AN787" s="177"/>
      <c r="AO787" s="366"/>
      <c r="AP787" s="366"/>
      <c r="AQ787" s="366"/>
      <c r="AR787" s="366"/>
      <c r="AS787" s="366"/>
    </row>
    <row r="788">
      <c r="A788" s="391"/>
      <c r="B788" s="383"/>
      <c r="C788" s="177"/>
      <c r="D788" s="177"/>
      <c r="E788" s="177"/>
      <c r="F788" s="391"/>
      <c r="G788" s="383"/>
      <c r="H788" s="177"/>
      <c r="I788" s="177"/>
      <c r="J788" s="177"/>
      <c r="K788" s="88"/>
      <c r="L788" s="383"/>
      <c r="M788" s="177"/>
      <c r="N788" s="177"/>
      <c r="O788" s="177"/>
      <c r="P788" s="88"/>
      <c r="Q788" s="151"/>
      <c r="R788" s="177"/>
      <c r="S788" s="177"/>
      <c r="T788" s="177"/>
      <c r="U788" s="391"/>
      <c r="V788" s="383"/>
      <c r="W788" s="177"/>
      <c r="X788" s="177"/>
      <c r="Y788" s="177"/>
      <c r="Z788" s="391"/>
      <c r="AA788" s="383"/>
      <c r="AB788" s="177"/>
      <c r="AC788" s="177"/>
      <c r="AD788" s="177"/>
      <c r="AE788" s="391"/>
      <c r="AF788" s="383"/>
      <c r="AG788" s="177"/>
      <c r="AH788" s="177"/>
      <c r="AI788" s="177"/>
      <c r="AJ788" s="391"/>
      <c r="AK788" s="383"/>
      <c r="AL788" s="177"/>
      <c r="AM788" s="177"/>
      <c r="AN788" s="177"/>
      <c r="AO788" s="366"/>
      <c r="AP788" s="366"/>
      <c r="AQ788" s="366"/>
      <c r="AR788" s="366"/>
      <c r="AS788" s="366"/>
    </row>
    <row r="789">
      <c r="A789" s="391"/>
      <c r="B789" s="383"/>
      <c r="C789" s="177"/>
      <c r="D789" s="177"/>
      <c r="E789" s="177"/>
      <c r="F789" s="391"/>
      <c r="G789" s="383"/>
      <c r="H789" s="177"/>
      <c r="I789" s="177"/>
      <c r="J789" s="177"/>
      <c r="K789" s="88"/>
      <c r="L789" s="383"/>
      <c r="M789" s="177"/>
      <c r="N789" s="177"/>
      <c r="O789" s="177"/>
      <c r="P789" s="88"/>
      <c r="Q789" s="151"/>
      <c r="R789" s="177"/>
      <c r="S789" s="177"/>
      <c r="T789" s="177"/>
      <c r="U789" s="391"/>
      <c r="V789" s="383"/>
      <c r="W789" s="177"/>
      <c r="X789" s="177"/>
      <c r="Y789" s="177"/>
      <c r="Z789" s="391"/>
      <c r="AA789" s="383"/>
      <c r="AB789" s="177"/>
      <c r="AC789" s="177"/>
      <c r="AD789" s="177"/>
      <c r="AE789" s="391"/>
      <c r="AF789" s="383"/>
      <c r="AG789" s="177"/>
      <c r="AH789" s="177"/>
      <c r="AI789" s="177"/>
      <c r="AJ789" s="391"/>
      <c r="AK789" s="383"/>
      <c r="AL789" s="177"/>
      <c r="AM789" s="177"/>
      <c r="AN789" s="177"/>
      <c r="AO789" s="366"/>
      <c r="AP789" s="366"/>
      <c r="AQ789" s="366"/>
      <c r="AR789" s="366"/>
      <c r="AS789" s="366"/>
    </row>
    <row r="790">
      <c r="A790" s="391"/>
      <c r="B790" s="383"/>
      <c r="C790" s="177"/>
      <c r="D790" s="177"/>
      <c r="E790" s="177"/>
      <c r="F790" s="391"/>
      <c r="G790" s="383"/>
      <c r="H790" s="177"/>
      <c r="I790" s="177"/>
      <c r="J790" s="177"/>
      <c r="K790" s="88"/>
      <c r="L790" s="383"/>
      <c r="M790" s="177"/>
      <c r="N790" s="177"/>
      <c r="O790" s="177"/>
      <c r="P790" s="88"/>
      <c r="Q790" s="151"/>
      <c r="R790" s="177"/>
      <c r="S790" s="177"/>
      <c r="T790" s="177"/>
      <c r="U790" s="391"/>
      <c r="V790" s="383"/>
      <c r="W790" s="177"/>
      <c r="X790" s="177"/>
      <c r="Y790" s="177"/>
      <c r="Z790" s="391"/>
      <c r="AA790" s="383"/>
      <c r="AB790" s="177"/>
      <c r="AC790" s="177"/>
      <c r="AD790" s="177"/>
      <c r="AE790" s="391"/>
      <c r="AF790" s="383"/>
      <c r="AG790" s="177"/>
      <c r="AH790" s="177"/>
      <c r="AI790" s="177"/>
      <c r="AJ790" s="391"/>
      <c r="AK790" s="383"/>
      <c r="AL790" s="177"/>
      <c r="AM790" s="177"/>
      <c r="AN790" s="177"/>
      <c r="AO790" s="366"/>
      <c r="AP790" s="366"/>
      <c r="AQ790" s="366"/>
      <c r="AR790" s="366"/>
      <c r="AS790" s="366"/>
    </row>
    <row r="791">
      <c r="A791" s="391"/>
      <c r="B791" s="383"/>
      <c r="C791" s="177"/>
      <c r="D791" s="177"/>
      <c r="E791" s="177"/>
      <c r="F791" s="391"/>
      <c r="G791" s="383"/>
      <c r="H791" s="177"/>
      <c r="I791" s="177"/>
      <c r="J791" s="177"/>
      <c r="K791" s="88"/>
      <c r="L791" s="383"/>
      <c r="M791" s="177"/>
      <c r="N791" s="177"/>
      <c r="O791" s="177"/>
      <c r="P791" s="88"/>
      <c r="Q791" s="151"/>
      <c r="R791" s="177"/>
      <c r="S791" s="177"/>
      <c r="T791" s="177"/>
      <c r="U791" s="391"/>
      <c r="V791" s="383"/>
      <c r="W791" s="177"/>
      <c r="X791" s="177"/>
      <c r="Y791" s="177"/>
      <c r="Z791" s="391"/>
      <c r="AA791" s="383"/>
      <c r="AB791" s="177"/>
      <c r="AC791" s="177"/>
      <c r="AD791" s="177"/>
      <c r="AE791" s="391"/>
      <c r="AF791" s="383"/>
      <c r="AG791" s="177"/>
      <c r="AH791" s="177"/>
      <c r="AI791" s="177"/>
      <c r="AJ791" s="391"/>
      <c r="AK791" s="383"/>
      <c r="AL791" s="177"/>
      <c r="AM791" s="177"/>
      <c r="AN791" s="177"/>
      <c r="AO791" s="366"/>
      <c r="AP791" s="366"/>
      <c r="AQ791" s="366"/>
      <c r="AR791" s="366"/>
      <c r="AS791" s="366"/>
    </row>
    <row r="792">
      <c r="A792" s="391"/>
      <c r="B792" s="383"/>
      <c r="C792" s="177"/>
      <c r="D792" s="177"/>
      <c r="E792" s="177"/>
      <c r="F792" s="391"/>
      <c r="G792" s="383"/>
      <c r="H792" s="177"/>
      <c r="I792" s="177"/>
      <c r="J792" s="177"/>
      <c r="K792" s="88"/>
      <c r="L792" s="383"/>
      <c r="M792" s="177"/>
      <c r="N792" s="177"/>
      <c r="O792" s="177"/>
      <c r="P792" s="88"/>
      <c r="Q792" s="151"/>
      <c r="R792" s="177"/>
      <c r="S792" s="177"/>
      <c r="T792" s="177"/>
      <c r="U792" s="391"/>
      <c r="V792" s="383"/>
      <c r="W792" s="177"/>
      <c r="X792" s="177"/>
      <c r="Y792" s="177"/>
      <c r="Z792" s="391"/>
      <c r="AA792" s="383"/>
      <c r="AB792" s="177"/>
      <c r="AC792" s="177"/>
      <c r="AD792" s="177"/>
      <c r="AE792" s="391"/>
      <c r="AF792" s="383"/>
      <c r="AG792" s="177"/>
      <c r="AH792" s="177"/>
      <c r="AI792" s="177"/>
      <c r="AJ792" s="391"/>
      <c r="AK792" s="383"/>
      <c r="AL792" s="177"/>
      <c r="AM792" s="177"/>
      <c r="AN792" s="177"/>
      <c r="AO792" s="366"/>
      <c r="AP792" s="366"/>
      <c r="AQ792" s="366"/>
      <c r="AR792" s="366"/>
      <c r="AS792" s="366"/>
    </row>
    <row r="793">
      <c r="A793" s="391"/>
      <c r="B793" s="383"/>
      <c r="C793" s="177"/>
      <c r="D793" s="177"/>
      <c r="E793" s="177"/>
      <c r="F793" s="391"/>
      <c r="G793" s="383"/>
      <c r="H793" s="177"/>
      <c r="I793" s="177"/>
      <c r="J793" s="177"/>
      <c r="K793" s="88"/>
      <c r="L793" s="383"/>
      <c r="M793" s="177"/>
      <c r="N793" s="177"/>
      <c r="O793" s="177"/>
      <c r="P793" s="88"/>
      <c r="Q793" s="151"/>
      <c r="R793" s="177"/>
      <c r="S793" s="177"/>
      <c r="T793" s="177"/>
      <c r="U793" s="391"/>
      <c r="V793" s="383"/>
      <c r="W793" s="177"/>
      <c r="X793" s="177"/>
      <c r="Y793" s="177"/>
      <c r="Z793" s="391"/>
      <c r="AA793" s="383"/>
      <c r="AB793" s="177"/>
      <c r="AC793" s="177"/>
      <c r="AD793" s="177"/>
      <c r="AE793" s="391"/>
      <c r="AF793" s="383"/>
      <c r="AG793" s="177"/>
      <c r="AH793" s="177"/>
      <c r="AI793" s="177"/>
      <c r="AJ793" s="391"/>
      <c r="AK793" s="383"/>
      <c r="AL793" s="177"/>
      <c r="AM793" s="177"/>
      <c r="AN793" s="177"/>
      <c r="AO793" s="366"/>
      <c r="AP793" s="366"/>
      <c r="AQ793" s="366"/>
      <c r="AR793" s="366"/>
      <c r="AS793" s="366"/>
    </row>
    <row r="794">
      <c r="A794" s="391"/>
      <c r="B794" s="383"/>
      <c r="C794" s="177"/>
      <c r="D794" s="177"/>
      <c r="E794" s="177"/>
      <c r="F794" s="391"/>
      <c r="G794" s="383"/>
      <c r="H794" s="177"/>
      <c r="I794" s="177"/>
      <c r="J794" s="177"/>
      <c r="K794" s="88"/>
      <c r="L794" s="383"/>
      <c r="M794" s="177"/>
      <c r="N794" s="177"/>
      <c r="O794" s="177"/>
      <c r="P794" s="88"/>
      <c r="Q794" s="151"/>
      <c r="R794" s="177"/>
      <c r="S794" s="177"/>
      <c r="T794" s="177"/>
      <c r="U794" s="391"/>
      <c r="V794" s="383"/>
      <c r="W794" s="177"/>
      <c r="X794" s="177"/>
      <c r="Y794" s="177"/>
      <c r="Z794" s="391"/>
      <c r="AA794" s="383"/>
      <c r="AB794" s="177"/>
      <c r="AC794" s="177"/>
      <c r="AD794" s="177"/>
      <c r="AE794" s="391"/>
      <c r="AF794" s="383"/>
      <c r="AG794" s="177"/>
      <c r="AH794" s="177"/>
      <c r="AI794" s="177"/>
      <c r="AJ794" s="391"/>
      <c r="AK794" s="383"/>
      <c r="AL794" s="177"/>
      <c r="AM794" s="177"/>
      <c r="AN794" s="177"/>
      <c r="AO794" s="366"/>
      <c r="AP794" s="366"/>
      <c r="AQ794" s="366"/>
      <c r="AR794" s="366"/>
      <c r="AS794" s="366"/>
    </row>
    <row r="795">
      <c r="A795" s="391"/>
      <c r="B795" s="383"/>
      <c r="C795" s="177"/>
      <c r="D795" s="177"/>
      <c r="E795" s="177"/>
      <c r="F795" s="391"/>
      <c r="G795" s="383"/>
      <c r="H795" s="177"/>
      <c r="I795" s="177"/>
      <c r="J795" s="177"/>
      <c r="K795" s="88"/>
      <c r="L795" s="383"/>
      <c r="M795" s="177"/>
      <c r="N795" s="177"/>
      <c r="O795" s="177"/>
      <c r="P795" s="88"/>
      <c r="Q795" s="151"/>
      <c r="R795" s="177"/>
      <c r="S795" s="177"/>
      <c r="T795" s="177"/>
      <c r="U795" s="391"/>
      <c r="V795" s="383"/>
      <c r="W795" s="177"/>
      <c r="X795" s="177"/>
      <c r="Y795" s="177"/>
      <c r="Z795" s="391"/>
      <c r="AA795" s="383"/>
      <c r="AB795" s="177"/>
      <c r="AC795" s="177"/>
      <c r="AD795" s="177"/>
      <c r="AE795" s="391"/>
      <c r="AF795" s="383"/>
      <c r="AG795" s="177"/>
      <c r="AH795" s="177"/>
      <c r="AI795" s="177"/>
      <c r="AJ795" s="391"/>
      <c r="AK795" s="383"/>
      <c r="AL795" s="177"/>
      <c r="AM795" s="177"/>
      <c r="AN795" s="177"/>
      <c r="AO795" s="366"/>
      <c r="AP795" s="366"/>
      <c r="AQ795" s="366"/>
      <c r="AR795" s="366"/>
      <c r="AS795" s="366"/>
    </row>
    <row r="796">
      <c r="A796" s="391"/>
      <c r="B796" s="383"/>
      <c r="C796" s="177"/>
      <c r="D796" s="177"/>
      <c r="E796" s="177"/>
      <c r="F796" s="391"/>
      <c r="G796" s="383"/>
      <c r="H796" s="177"/>
      <c r="I796" s="177"/>
      <c r="J796" s="177"/>
      <c r="K796" s="88"/>
      <c r="L796" s="383"/>
      <c r="M796" s="177"/>
      <c r="N796" s="177"/>
      <c r="O796" s="177"/>
      <c r="P796" s="88"/>
      <c r="Q796" s="151"/>
      <c r="R796" s="177"/>
      <c r="S796" s="177"/>
      <c r="T796" s="177"/>
      <c r="U796" s="391"/>
      <c r="V796" s="383"/>
      <c r="W796" s="177"/>
      <c r="X796" s="177"/>
      <c r="Y796" s="177"/>
      <c r="Z796" s="391"/>
      <c r="AA796" s="383"/>
      <c r="AB796" s="177"/>
      <c r="AC796" s="177"/>
      <c r="AD796" s="177"/>
      <c r="AE796" s="391"/>
      <c r="AF796" s="383"/>
      <c r="AG796" s="177"/>
      <c r="AH796" s="177"/>
      <c r="AI796" s="177"/>
      <c r="AJ796" s="391"/>
      <c r="AK796" s="383"/>
      <c r="AL796" s="177"/>
      <c r="AM796" s="177"/>
      <c r="AN796" s="177"/>
      <c r="AO796" s="366"/>
      <c r="AP796" s="366"/>
      <c r="AQ796" s="366"/>
      <c r="AR796" s="366"/>
      <c r="AS796" s="366"/>
    </row>
    <row r="797">
      <c r="A797" s="391"/>
      <c r="B797" s="383"/>
      <c r="C797" s="177"/>
      <c r="D797" s="177"/>
      <c r="E797" s="177"/>
      <c r="F797" s="391"/>
      <c r="G797" s="383"/>
      <c r="H797" s="177"/>
      <c r="I797" s="177"/>
      <c r="J797" s="177"/>
      <c r="K797" s="88"/>
      <c r="L797" s="383"/>
      <c r="M797" s="177"/>
      <c r="N797" s="177"/>
      <c r="O797" s="177"/>
      <c r="P797" s="88"/>
      <c r="Q797" s="151"/>
      <c r="R797" s="177"/>
      <c r="S797" s="177"/>
      <c r="T797" s="177"/>
      <c r="U797" s="391"/>
      <c r="V797" s="383"/>
      <c r="W797" s="177"/>
      <c r="X797" s="177"/>
      <c r="Y797" s="177"/>
      <c r="Z797" s="391"/>
      <c r="AA797" s="383"/>
      <c r="AB797" s="177"/>
      <c r="AC797" s="177"/>
      <c r="AD797" s="177"/>
      <c r="AE797" s="391"/>
      <c r="AF797" s="383"/>
      <c r="AG797" s="177"/>
      <c r="AH797" s="177"/>
      <c r="AI797" s="177"/>
      <c r="AJ797" s="391"/>
      <c r="AK797" s="383"/>
      <c r="AL797" s="177"/>
      <c r="AM797" s="177"/>
      <c r="AN797" s="177"/>
      <c r="AO797" s="366"/>
      <c r="AP797" s="366"/>
      <c r="AQ797" s="366"/>
      <c r="AR797" s="366"/>
      <c r="AS797" s="366"/>
    </row>
    <row r="798">
      <c r="A798" s="391"/>
      <c r="B798" s="383"/>
      <c r="C798" s="177"/>
      <c r="D798" s="177"/>
      <c r="E798" s="177"/>
      <c r="F798" s="391"/>
      <c r="G798" s="383"/>
      <c r="H798" s="177"/>
      <c r="I798" s="177"/>
      <c r="J798" s="177"/>
      <c r="K798" s="88"/>
      <c r="L798" s="383"/>
      <c r="M798" s="177"/>
      <c r="N798" s="177"/>
      <c r="O798" s="177"/>
      <c r="P798" s="88"/>
      <c r="Q798" s="151"/>
      <c r="R798" s="177"/>
      <c r="S798" s="177"/>
      <c r="T798" s="177"/>
      <c r="U798" s="391"/>
      <c r="V798" s="383"/>
      <c r="W798" s="177"/>
      <c r="X798" s="177"/>
      <c r="Y798" s="177"/>
      <c r="Z798" s="391"/>
      <c r="AA798" s="383"/>
      <c r="AB798" s="177"/>
      <c r="AC798" s="177"/>
      <c r="AD798" s="177"/>
      <c r="AE798" s="391"/>
      <c r="AF798" s="383"/>
      <c r="AG798" s="177"/>
      <c r="AH798" s="177"/>
      <c r="AI798" s="177"/>
      <c r="AJ798" s="391"/>
      <c r="AK798" s="383"/>
      <c r="AL798" s="177"/>
      <c r="AM798" s="177"/>
      <c r="AN798" s="177"/>
      <c r="AO798" s="366"/>
      <c r="AP798" s="366"/>
      <c r="AQ798" s="366"/>
      <c r="AR798" s="366"/>
      <c r="AS798" s="366"/>
    </row>
    <row r="799">
      <c r="A799" s="391"/>
      <c r="B799" s="383"/>
      <c r="C799" s="177"/>
      <c r="D799" s="177"/>
      <c r="E799" s="177"/>
      <c r="F799" s="391"/>
      <c r="G799" s="383"/>
      <c r="H799" s="177"/>
      <c r="I799" s="177"/>
      <c r="J799" s="177"/>
      <c r="K799" s="88"/>
      <c r="L799" s="383"/>
      <c r="M799" s="177"/>
      <c r="N799" s="177"/>
      <c r="O799" s="177"/>
      <c r="P799" s="88"/>
      <c r="Q799" s="151"/>
      <c r="R799" s="177"/>
      <c r="S799" s="177"/>
      <c r="T799" s="177"/>
      <c r="U799" s="391"/>
      <c r="V799" s="383"/>
      <c r="W799" s="177"/>
      <c r="X799" s="177"/>
      <c r="Y799" s="177"/>
      <c r="Z799" s="391"/>
      <c r="AA799" s="383"/>
      <c r="AB799" s="177"/>
      <c r="AC799" s="177"/>
      <c r="AD799" s="177"/>
      <c r="AE799" s="391"/>
      <c r="AF799" s="383"/>
      <c r="AG799" s="177"/>
      <c r="AH799" s="177"/>
      <c r="AI799" s="177"/>
      <c r="AJ799" s="391"/>
      <c r="AK799" s="383"/>
      <c r="AL799" s="177"/>
      <c r="AM799" s="177"/>
      <c r="AN799" s="177"/>
      <c r="AO799" s="366"/>
      <c r="AP799" s="366"/>
      <c r="AQ799" s="366"/>
      <c r="AR799" s="366"/>
      <c r="AS799" s="366"/>
    </row>
    <row r="800">
      <c r="A800" s="391"/>
      <c r="B800" s="383"/>
      <c r="C800" s="177"/>
      <c r="D800" s="177"/>
      <c r="E800" s="177"/>
      <c r="F800" s="391"/>
      <c r="G800" s="383"/>
      <c r="H800" s="177"/>
      <c r="I800" s="177"/>
      <c r="J800" s="177"/>
      <c r="K800" s="88"/>
      <c r="L800" s="383"/>
      <c r="M800" s="177"/>
      <c r="N800" s="177"/>
      <c r="O800" s="177"/>
      <c r="P800" s="88"/>
      <c r="Q800" s="151"/>
      <c r="R800" s="177"/>
      <c r="S800" s="177"/>
      <c r="T800" s="177"/>
      <c r="U800" s="391"/>
      <c r="V800" s="383"/>
      <c r="W800" s="177"/>
      <c r="X800" s="177"/>
      <c r="Y800" s="177"/>
      <c r="Z800" s="391"/>
      <c r="AA800" s="383"/>
      <c r="AB800" s="177"/>
      <c r="AC800" s="177"/>
      <c r="AD800" s="177"/>
      <c r="AE800" s="391"/>
      <c r="AF800" s="383"/>
      <c r="AG800" s="177"/>
      <c r="AH800" s="177"/>
      <c r="AI800" s="177"/>
      <c r="AJ800" s="391"/>
      <c r="AK800" s="383"/>
      <c r="AL800" s="177"/>
      <c r="AM800" s="177"/>
      <c r="AN800" s="177"/>
      <c r="AO800" s="366"/>
      <c r="AP800" s="366"/>
      <c r="AQ800" s="366"/>
      <c r="AR800" s="366"/>
      <c r="AS800" s="366"/>
    </row>
    <row r="801">
      <c r="A801" s="391"/>
      <c r="B801" s="383"/>
      <c r="C801" s="177"/>
      <c r="D801" s="177"/>
      <c r="E801" s="177"/>
      <c r="F801" s="391"/>
      <c r="G801" s="383"/>
      <c r="H801" s="177"/>
      <c r="I801" s="177"/>
      <c r="J801" s="177"/>
      <c r="K801" s="88"/>
      <c r="L801" s="383"/>
      <c r="M801" s="177"/>
      <c r="N801" s="177"/>
      <c r="O801" s="177"/>
      <c r="P801" s="88"/>
      <c r="Q801" s="151"/>
      <c r="R801" s="177"/>
      <c r="S801" s="177"/>
      <c r="T801" s="177"/>
      <c r="U801" s="391"/>
      <c r="V801" s="383"/>
      <c r="W801" s="177"/>
      <c r="X801" s="177"/>
      <c r="Y801" s="177"/>
      <c r="Z801" s="391"/>
      <c r="AA801" s="383"/>
      <c r="AB801" s="177"/>
      <c r="AC801" s="177"/>
      <c r="AD801" s="177"/>
      <c r="AE801" s="391"/>
      <c r="AF801" s="383"/>
      <c r="AG801" s="177"/>
      <c r="AH801" s="177"/>
      <c r="AI801" s="177"/>
      <c r="AJ801" s="391"/>
      <c r="AK801" s="383"/>
      <c r="AL801" s="177"/>
      <c r="AM801" s="177"/>
      <c r="AN801" s="177"/>
      <c r="AO801" s="366"/>
      <c r="AP801" s="366"/>
      <c r="AQ801" s="366"/>
      <c r="AR801" s="366"/>
      <c r="AS801" s="366"/>
    </row>
    <row r="802">
      <c r="A802" s="391"/>
      <c r="B802" s="383"/>
      <c r="C802" s="177"/>
      <c r="D802" s="177"/>
      <c r="E802" s="177"/>
      <c r="F802" s="391"/>
      <c r="G802" s="383"/>
      <c r="H802" s="177"/>
      <c r="I802" s="177"/>
      <c r="J802" s="177"/>
      <c r="K802" s="88"/>
      <c r="L802" s="383"/>
      <c r="M802" s="177"/>
      <c r="N802" s="177"/>
      <c r="O802" s="177"/>
      <c r="P802" s="88"/>
      <c r="Q802" s="151"/>
      <c r="R802" s="177"/>
      <c r="S802" s="177"/>
      <c r="T802" s="177"/>
      <c r="U802" s="391"/>
      <c r="V802" s="383"/>
      <c r="W802" s="177"/>
      <c r="X802" s="177"/>
      <c r="Y802" s="177"/>
      <c r="Z802" s="391"/>
      <c r="AA802" s="383"/>
      <c r="AB802" s="177"/>
      <c r="AC802" s="177"/>
      <c r="AD802" s="177"/>
      <c r="AE802" s="391"/>
      <c r="AF802" s="383"/>
      <c r="AG802" s="177"/>
      <c r="AH802" s="177"/>
      <c r="AI802" s="177"/>
      <c r="AJ802" s="391"/>
      <c r="AK802" s="383"/>
      <c r="AL802" s="177"/>
      <c r="AM802" s="177"/>
      <c r="AN802" s="177"/>
      <c r="AO802" s="366"/>
      <c r="AP802" s="366"/>
      <c r="AQ802" s="366"/>
      <c r="AR802" s="366"/>
      <c r="AS802" s="366"/>
    </row>
    <row r="803">
      <c r="A803" s="391"/>
      <c r="B803" s="383"/>
      <c r="C803" s="177"/>
      <c r="D803" s="177"/>
      <c r="E803" s="177"/>
      <c r="F803" s="391"/>
      <c r="G803" s="383"/>
      <c r="H803" s="177"/>
      <c r="I803" s="177"/>
      <c r="J803" s="177"/>
      <c r="K803" s="88"/>
      <c r="L803" s="383"/>
      <c r="M803" s="177"/>
      <c r="N803" s="177"/>
      <c r="O803" s="177"/>
      <c r="P803" s="88"/>
      <c r="Q803" s="151"/>
      <c r="R803" s="177"/>
      <c r="S803" s="177"/>
      <c r="T803" s="177"/>
      <c r="U803" s="391"/>
      <c r="V803" s="383"/>
      <c r="W803" s="177"/>
      <c r="X803" s="177"/>
      <c r="Y803" s="177"/>
      <c r="Z803" s="391"/>
      <c r="AA803" s="383"/>
      <c r="AB803" s="177"/>
      <c r="AC803" s="177"/>
      <c r="AD803" s="177"/>
      <c r="AE803" s="391"/>
      <c r="AF803" s="383"/>
      <c r="AG803" s="177"/>
      <c r="AH803" s="177"/>
      <c r="AI803" s="177"/>
      <c r="AJ803" s="391"/>
      <c r="AK803" s="383"/>
      <c r="AL803" s="177"/>
      <c r="AM803" s="177"/>
      <c r="AN803" s="177"/>
      <c r="AO803" s="366"/>
      <c r="AP803" s="366"/>
      <c r="AQ803" s="366"/>
      <c r="AR803" s="366"/>
      <c r="AS803" s="366"/>
    </row>
    <row r="804">
      <c r="A804" s="391"/>
      <c r="B804" s="383"/>
      <c r="C804" s="177"/>
      <c r="D804" s="177"/>
      <c r="E804" s="177"/>
      <c r="F804" s="391"/>
      <c r="G804" s="383"/>
      <c r="H804" s="177"/>
      <c r="I804" s="177"/>
      <c r="J804" s="177"/>
      <c r="K804" s="88"/>
      <c r="L804" s="383"/>
      <c r="M804" s="177"/>
      <c r="N804" s="177"/>
      <c r="O804" s="177"/>
      <c r="P804" s="88"/>
      <c r="Q804" s="151"/>
      <c r="R804" s="177"/>
      <c r="S804" s="177"/>
      <c r="T804" s="177"/>
      <c r="U804" s="391"/>
      <c r="V804" s="383"/>
      <c r="W804" s="177"/>
      <c r="X804" s="177"/>
      <c r="Y804" s="177"/>
      <c r="Z804" s="391"/>
      <c r="AA804" s="383"/>
      <c r="AB804" s="177"/>
      <c r="AC804" s="177"/>
      <c r="AD804" s="177"/>
      <c r="AE804" s="391"/>
      <c r="AF804" s="383"/>
      <c r="AG804" s="177"/>
      <c r="AH804" s="177"/>
      <c r="AI804" s="177"/>
      <c r="AJ804" s="391"/>
      <c r="AK804" s="383"/>
      <c r="AL804" s="177"/>
      <c r="AM804" s="177"/>
      <c r="AN804" s="177"/>
      <c r="AO804" s="366"/>
      <c r="AP804" s="366"/>
      <c r="AQ804" s="366"/>
      <c r="AR804" s="366"/>
      <c r="AS804" s="366"/>
    </row>
    <row r="805">
      <c r="A805" s="391"/>
      <c r="B805" s="383"/>
      <c r="C805" s="177"/>
      <c r="D805" s="177"/>
      <c r="E805" s="177"/>
      <c r="F805" s="391"/>
      <c r="G805" s="383"/>
      <c r="H805" s="177"/>
      <c r="I805" s="177"/>
      <c r="J805" s="177"/>
      <c r="K805" s="88"/>
      <c r="L805" s="383"/>
      <c r="M805" s="177"/>
      <c r="N805" s="177"/>
      <c r="O805" s="177"/>
      <c r="P805" s="88"/>
      <c r="Q805" s="151"/>
      <c r="R805" s="177"/>
      <c r="S805" s="177"/>
      <c r="T805" s="177"/>
      <c r="U805" s="391"/>
      <c r="V805" s="383"/>
      <c r="W805" s="177"/>
      <c r="X805" s="177"/>
      <c r="Y805" s="177"/>
      <c r="Z805" s="391"/>
      <c r="AA805" s="383"/>
      <c r="AB805" s="177"/>
      <c r="AC805" s="177"/>
      <c r="AD805" s="177"/>
      <c r="AE805" s="391"/>
      <c r="AF805" s="383"/>
      <c r="AG805" s="177"/>
      <c r="AH805" s="177"/>
      <c r="AI805" s="177"/>
      <c r="AJ805" s="391"/>
      <c r="AK805" s="383"/>
      <c r="AL805" s="177"/>
      <c r="AM805" s="177"/>
      <c r="AN805" s="177"/>
      <c r="AO805" s="366"/>
      <c r="AP805" s="366"/>
      <c r="AQ805" s="366"/>
      <c r="AR805" s="366"/>
      <c r="AS805" s="366"/>
    </row>
    <row r="806">
      <c r="A806" s="391"/>
      <c r="B806" s="383"/>
      <c r="C806" s="177"/>
      <c r="D806" s="177"/>
      <c r="E806" s="177"/>
      <c r="F806" s="391"/>
      <c r="G806" s="383"/>
      <c r="H806" s="177"/>
      <c r="I806" s="177"/>
      <c r="J806" s="177"/>
      <c r="K806" s="88"/>
      <c r="L806" s="383"/>
      <c r="M806" s="177"/>
      <c r="N806" s="177"/>
      <c r="O806" s="177"/>
      <c r="P806" s="88"/>
      <c r="Q806" s="151"/>
      <c r="R806" s="177"/>
      <c r="S806" s="177"/>
      <c r="T806" s="177"/>
      <c r="U806" s="391"/>
      <c r="V806" s="383"/>
      <c r="W806" s="177"/>
      <c r="X806" s="177"/>
      <c r="Y806" s="177"/>
      <c r="Z806" s="391"/>
      <c r="AA806" s="383"/>
      <c r="AB806" s="177"/>
      <c r="AC806" s="177"/>
      <c r="AD806" s="177"/>
      <c r="AE806" s="391"/>
      <c r="AF806" s="383"/>
      <c r="AG806" s="177"/>
      <c r="AH806" s="177"/>
      <c r="AI806" s="177"/>
      <c r="AJ806" s="391"/>
      <c r="AK806" s="383"/>
      <c r="AL806" s="177"/>
      <c r="AM806" s="177"/>
      <c r="AN806" s="177"/>
      <c r="AO806" s="366"/>
      <c r="AP806" s="366"/>
      <c r="AQ806" s="366"/>
      <c r="AR806" s="366"/>
      <c r="AS806" s="366"/>
    </row>
    <row r="807">
      <c r="A807" s="391"/>
      <c r="B807" s="383"/>
      <c r="C807" s="177"/>
      <c r="D807" s="177"/>
      <c r="E807" s="177"/>
      <c r="F807" s="391"/>
      <c r="G807" s="383"/>
      <c r="H807" s="177"/>
      <c r="I807" s="177"/>
      <c r="J807" s="177"/>
      <c r="K807" s="88"/>
      <c r="L807" s="383"/>
      <c r="M807" s="177"/>
      <c r="N807" s="177"/>
      <c r="O807" s="177"/>
      <c r="P807" s="88"/>
      <c r="Q807" s="151"/>
      <c r="R807" s="177"/>
      <c r="S807" s="177"/>
      <c r="T807" s="177"/>
      <c r="U807" s="391"/>
      <c r="V807" s="383"/>
      <c r="W807" s="177"/>
      <c r="X807" s="177"/>
      <c r="Y807" s="177"/>
      <c r="Z807" s="391"/>
      <c r="AA807" s="383"/>
      <c r="AB807" s="177"/>
      <c r="AC807" s="177"/>
      <c r="AD807" s="177"/>
      <c r="AE807" s="391"/>
      <c r="AF807" s="383"/>
      <c r="AG807" s="177"/>
      <c r="AH807" s="177"/>
      <c r="AI807" s="177"/>
      <c r="AJ807" s="391"/>
      <c r="AK807" s="383"/>
      <c r="AL807" s="177"/>
      <c r="AM807" s="177"/>
      <c r="AN807" s="177"/>
      <c r="AO807" s="366"/>
      <c r="AP807" s="366"/>
      <c r="AQ807" s="366"/>
      <c r="AR807" s="366"/>
      <c r="AS807" s="366"/>
    </row>
    <row r="808">
      <c r="A808" s="391"/>
      <c r="B808" s="383"/>
      <c r="C808" s="177"/>
      <c r="D808" s="177"/>
      <c r="E808" s="177"/>
      <c r="F808" s="391"/>
      <c r="G808" s="383"/>
      <c r="H808" s="177"/>
      <c r="I808" s="177"/>
      <c r="J808" s="177"/>
      <c r="K808" s="88"/>
      <c r="L808" s="383"/>
      <c r="M808" s="177"/>
      <c r="N808" s="177"/>
      <c r="O808" s="177"/>
      <c r="P808" s="88"/>
      <c r="Q808" s="151"/>
      <c r="R808" s="177"/>
      <c r="S808" s="177"/>
      <c r="T808" s="177"/>
      <c r="U808" s="391"/>
      <c r="V808" s="383"/>
      <c r="W808" s="177"/>
      <c r="X808" s="177"/>
      <c r="Y808" s="177"/>
      <c r="Z808" s="391"/>
      <c r="AA808" s="383"/>
      <c r="AB808" s="177"/>
      <c r="AC808" s="177"/>
      <c r="AD808" s="177"/>
      <c r="AE808" s="391"/>
      <c r="AF808" s="383"/>
      <c r="AG808" s="177"/>
      <c r="AH808" s="177"/>
      <c r="AI808" s="177"/>
      <c r="AJ808" s="391"/>
      <c r="AK808" s="383"/>
      <c r="AL808" s="177"/>
      <c r="AM808" s="177"/>
      <c r="AN808" s="177"/>
      <c r="AO808" s="366"/>
      <c r="AP808" s="366"/>
      <c r="AQ808" s="366"/>
      <c r="AR808" s="366"/>
      <c r="AS808" s="366"/>
    </row>
    <row r="809">
      <c r="A809" s="391"/>
      <c r="B809" s="383"/>
      <c r="C809" s="177"/>
      <c r="D809" s="177"/>
      <c r="E809" s="177"/>
      <c r="F809" s="391"/>
      <c r="G809" s="383"/>
      <c r="H809" s="177"/>
      <c r="I809" s="177"/>
      <c r="J809" s="177"/>
      <c r="K809" s="88"/>
      <c r="L809" s="383"/>
      <c r="M809" s="177"/>
      <c r="N809" s="177"/>
      <c r="O809" s="177"/>
      <c r="P809" s="88"/>
      <c r="Q809" s="151"/>
      <c r="R809" s="177"/>
      <c r="S809" s="177"/>
      <c r="T809" s="177"/>
      <c r="U809" s="391"/>
      <c r="V809" s="383"/>
      <c r="W809" s="177"/>
      <c r="X809" s="177"/>
      <c r="Y809" s="177"/>
      <c r="Z809" s="391"/>
      <c r="AA809" s="383"/>
      <c r="AB809" s="177"/>
      <c r="AC809" s="177"/>
      <c r="AD809" s="177"/>
      <c r="AE809" s="391"/>
      <c r="AF809" s="383"/>
      <c r="AG809" s="177"/>
      <c r="AH809" s="177"/>
      <c r="AI809" s="177"/>
      <c r="AJ809" s="391"/>
      <c r="AK809" s="383"/>
      <c r="AL809" s="177"/>
      <c r="AM809" s="177"/>
      <c r="AN809" s="177"/>
      <c r="AO809" s="366"/>
      <c r="AP809" s="366"/>
      <c r="AQ809" s="366"/>
      <c r="AR809" s="366"/>
      <c r="AS809" s="366"/>
    </row>
    <row r="810">
      <c r="A810" s="391"/>
      <c r="B810" s="383"/>
      <c r="C810" s="177"/>
      <c r="D810" s="177"/>
      <c r="E810" s="177"/>
      <c r="F810" s="391"/>
      <c r="G810" s="383"/>
      <c r="H810" s="177"/>
      <c r="I810" s="177"/>
      <c r="J810" s="177"/>
      <c r="K810" s="88"/>
      <c r="L810" s="383"/>
      <c r="M810" s="177"/>
      <c r="N810" s="177"/>
      <c r="O810" s="177"/>
      <c r="P810" s="88"/>
      <c r="Q810" s="151"/>
      <c r="R810" s="177"/>
      <c r="S810" s="177"/>
      <c r="T810" s="177"/>
      <c r="U810" s="391"/>
      <c r="V810" s="383"/>
      <c r="W810" s="177"/>
      <c r="X810" s="177"/>
      <c r="Y810" s="177"/>
      <c r="Z810" s="391"/>
      <c r="AA810" s="383"/>
      <c r="AB810" s="177"/>
      <c r="AC810" s="177"/>
      <c r="AD810" s="177"/>
      <c r="AE810" s="391"/>
      <c r="AF810" s="383"/>
      <c r="AG810" s="177"/>
      <c r="AH810" s="177"/>
      <c r="AI810" s="177"/>
      <c r="AJ810" s="391"/>
      <c r="AK810" s="383"/>
      <c r="AL810" s="177"/>
      <c r="AM810" s="177"/>
      <c r="AN810" s="177"/>
      <c r="AO810" s="366"/>
      <c r="AP810" s="366"/>
      <c r="AQ810" s="366"/>
      <c r="AR810" s="366"/>
      <c r="AS810" s="366"/>
    </row>
    <row r="811">
      <c r="A811" s="391"/>
      <c r="B811" s="383"/>
      <c r="C811" s="177"/>
      <c r="D811" s="177"/>
      <c r="E811" s="177"/>
      <c r="F811" s="391"/>
      <c r="G811" s="383"/>
      <c r="H811" s="177"/>
      <c r="I811" s="177"/>
      <c r="J811" s="177"/>
      <c r="K811" s="88"/>
      <c r="L811" s="383"/>
      <c r="M811" s="177"/>
      <c r="N811" s="177"/>
      <c r="O811" s="177"/>
      <c r="P811" s="88"/>
      <c r="Q811" s="151"/>
      <c r="R811" s="177"/>
      <c r="S811" s="177"/>
      <c r="T811" s="177"/>
      <c r="U811" s="391"/>
      <c r="V811" s="383"/>
      <c r="W811" s="177"/>
      <c r="X811" s="177"/>
      <c r="Y811" s="177"/>
      <c r="Z811" s="391"/>
      <c r="AA811" s="383"/>
      <c r="AB811" s="177"/>
      <c r="AC811" s="177"/>
      <c r="AD811" s="177"/>
      <c r="AE811" s="391"/>
      <c r="AF811" s="383"/>
      <c r="AG811" s="177"/>
      <c r="AH811" s="177"/>
      <c r="AI811" s="177"/>
      <c r="AJ811" s="391"/>
      <c r="AK811" s="383"/>
      <c r="AL811" s="177"/>
      <c r="AM811" s="177"/>
      <c r="AN811" s="177"/>
      <c r="AO811" s="366"/>
      <c r="AP811" s="366"/>
      <c r="AQ811" s="366"/>
      <c r="AR811" s="366"/>
      <c r="AS811" s="366"/>
    </row>
    <row r="812">
      <c r="A812" s="391"/>
      <c r="B812" s="383"/>
      <c r="C812" s="177"/>
      <c r="D812" s="177"/>
      <c r="E812" s="177"/>
      <c r="F812" s="391"/>
      <c r="G812" s="383"/>
      <c r="H812" s="177"/>
      <c r="I812" s="177"/>
      <c r="J812" s="177"/>
      <c r="K812" s="88"/>
      <c r="L812" s="383"/>
      <c r="M812" s="177"/>
      <c r="N812" s="177"/>
      <c r="O812" s="177"/>
      <c r="P812" s="88"/>
      <c r="Q812" s="151"/>
      <c r="R812" s="177"/>
      <c r="S812" s="177"/>
      <c r="T812" s="177"/>
      <c r="U812" s="391"/>
      <c r="V812" s="383"/>
      <c r="W812" s="177"/>
      <c r="X812" s="177"/>
      <c r="Y812" s="177"/>
      <c r="Z812" s="391"/>
      <c r="AA812" s="383"/>
      <c r="AB812" s="177"/>
      <c r="AC812" s="177"/>
      <c r="AD812" s="177"/>
      <c r="AE812" s="391"/>
      <c r="AF812" s="383"/>
      <c r="AG812" s="177"/>
      <c r="AH812" s="177"/>
      <c r="AI812" s="177"/>
      <c r="AJ812" s="391"/>
      <c r="AK812" s="383"/>
      <c r="AL812" s="177"/>
      <c r="AM812" s="177"/>
      <c r="AN812" s="177"/>
      <c r="AO812" s="366"/>
      <c r="AP812" s="366"/>
      <c r="AQ812" s="366"/>
      <c r="AR812" s="366"/>
      <c r="AS812" s="366"/>
    </row>
    <row r="813">
      <c r="A813" s="391"/>
      <c r="B813" s="383"/>
      <c r="C813" s="177"/>
      <c r="D813" s="177"/>
      <c r="E813" s="177"/>
      <c r="F813" s="391"/>
      <c r="G813" s="383"/>
      <c r="H813" s="177"/>
      <c r="I813" s="177"/>
      <c r="J813" s="177"/>
      <c r="K813" s="88"/>
      <c r="L813" s="383"/>
      <c r="M813" s="177"/>
      <c r="N813" s="177"/>
      <c r="O813" s="177"/>
      <c r="P813" s="88"/>
      <c r="Q813" s="151"/>
      <c r="R813" s="177"/>
      <c r="S813" s="177"/>
      <c r="T813" s="177"/>
      <c r="U813" s="391"/>
      <c r="V813" s="383"/>
      <c r="W813" s="177"/>
      <c r="X813" s="177"/>
      <c r="Y813" s="177"/>
      <c r="Z813" s="391"/>
      <c r="AA813" s="383"/>
      <c r="AB813" s="177"/>
      <c r="AC813" s="177"/>
      <c r="AD813" s="177"/>
      <c r="AE813" s="391"/>
      <c r="AF813" s="383"/>
      <c r="AG813" s="177"/>
      <c r="AH813" s="177"/>
      <c r="AI813" s="177"/>
      <c r="AJ813" s="391"/>
      <c r="AK813" s="383"/>
      <c r="AL813" s="177"/>
      <c r="AM813" s="177"/>
      <c r="AN813" s="177"/>
      <c r="AO813" s="366"/>
      <c r="AP813" s="366"/>
      <c r="AQ813" s="366"/>
      <c r="AR813" s="366"/>
      <c r="AS813" s="366"/>
    </row>
    <row r="814">
      <c r="A814" s="391"/>
      <c r="B814" s="383"/>
      <c r="C814" s="177"/>
      <c r="D814" s="177"/>
      <c r="E814" s="177"/>
      <c r="F814" s="391"/>
      <c r="G814" s="383"/>
      <c r="H814" s="177"/>
      <c r="I814" s="177"/>
      <c r="J814" s="177"/>
      <c r="K814" s="88"/>
      <c r="L814" s="383"/>
      <c r="M814" s="177"/>
      <c r="N814" s="177"/>
      <c r="O814" s="177"/>
      <c r="P814" s="88"/>
      <c r="Q814" s="151"/>
      <c r="R814" s="177"/>
      <c r="S814" s="177"/>
      <c r="T814" s="177"/>
      <c r="U814" s="391"/>
      <c r="V814" s="383"/>
      <c r="W814" s="177"/>
      <c r="X814" s="177"/>
      <c r="Y814" s="177"/>
      <c r="Z814" s="391"/>
      <c r="AA814" s="383"/>
      <c r="AB814" s="177"/>
      <c r="AC814" s="177"/>
      <c r="AD814" s="177"/>
      <c r="AE814" s="391"/>
      <c r="AF814" s="383"/>
      <c r="AG814" s="177"/>
      <c r="AH814" s="177"/>
      <c r="AI814" s="177"/>
      <c r="AJ814" s="391"/>
      <c r="AK814" s="383"/>
      <c r="AL814" s="177"/>
      <c r="AM814" s="177"/>
      <c r="AN814" s="177"/>
      <c r="AO814" s="366"/>
      <c r="AP814" s="366"/>
      <c r="AQ814" s="366"/>
      <c r="AR814" s="366"/>
      <c r="AS814" s="366"/>
    </row>
    <row r="815">
      <c r="A815" s="391"/>
      <c r="B815" s="383"/>
      <c r="C815" s="177"/>
      <c r="D815" s="177"/>
      <c r="E815" s="177"/>
      <c r="F815" s="391"/>
      <c r="G815" s="383"/>
      <c r="H815" s="177"/>
      <c r="I815" s="177"/>
      <c r="J815" s="177"/>
      <c r="K815" s="88"/>
      <c r="L815" s="383"/>
      <c r="M815" s="177"/>
      <c r="N815" s="177"/>
      <c r="O815" s="177"/>
      <c r="P815" s="88"/>
      <c r="Q815" s="151"/>
      <c r="R815" s="177"/>
      <c r="S815" s="177"/>
      <c r="T815" s="177"/>
      <c r="U815" s="391"/>
      <c r="V815" s="383"/>
      <c r="W815" s="177"/>
      <c r="X815" s="177"/>
      <c r="Y815" s="177"/>
      <c r="Z815" s="391"/>
      <c r="AA815" s="383"/>
      <c r="AB815" s="177"/>
      <c r="AC815" s="177"/>
      <c r="AD815" s="177"/>
      <c r="AE815" s="391"/>
      <c r="AF815" s="383"/>
      <c r="AG815" s="177"/>
      <c r="AH815" s="177"/>
      <c r="AI815" s="177"/>
      <c r="AJ815" s="391"/>
      <c r="AK815" s="383"/>
      <c r="AL815" s="177"/>
      <c r="AM815" s="177"/>
      <c r="AN815" s="177"/>
      <c r="AO815" s="366"/>
      <c r="AP815" s="366"/>
      <c r="AQ815" s="366"/>
      <c r="AR815" s="366"/>
      <c r="AS815" s="366"/>
    </row>
    <row r="816">
      <c r="A816" s="391"/>
      <c r="B816" s="383"/>
      <c r="C816" s="177"/>
      <c r="D816" s="177"/>
      <c r="E816" s="177"/>
      <c r="F816" s="391"/>
      <c r="G816" s="383"/>
      <c r="H816" s="177"/>
      <c r="I816" s="177"/>
      <c r="J816" s="177"/>
      <c r="K816" s="88"/>
      <c r="L816" s="383"/>
      <c r="M816" s="177"/>
      <c r="N816" s="177"/>
      <c r="O816" s="177"/>
      <c r="P816" s="88"/>
      <c r="Q816" s="151"/>
      <c r="R816" s="177"/>
      <c r="S816" s="177"/>
      <c r="T816" s="177"/>
      <c r="U816" s="391"/>
      <c r="V816" s="383"/>
      <c r="W816" s="177"/>
      <c r="X816" s="177"/>
      <c r="Y816" s="177"/>
      <c r="Z816" s="391"/>
      <c r="AA816" s="383"/>
      <c r="AB816" s="177"/>
      <c r="AC816" s="177"/>
      <c r="AD816" s="177"/>
      <c r="AE816" s="391"/>
      <c r="AF816" s="383"/>
      <c r="AG816" s="177"/>
      <c r="AH816" s="177"/>
      <c r="AI816" s="177"/>
      <c r="AJ816" s="391"/>
      <c r="AK816" s="383"/>
      <c r="AL816" s="177"/>
      <c r="AM816" s="177"/>
      <c r="AN816" s="177"/>
      <c r="AO816" s="366"/>
      <c r="AP816" s="366"/>
      <c r="AQ816" s="366"/>
      <c r="AR816" s="366"/>
      <c r="AS816" s="366"/>
    </row>
    <row r="817">
      <c r="A817" s="391"/>
      <c r="B817" s="383"/>
      <c r="C817" s="177"/>
      <c r="D817" s="177"/>
      <c r="E817" s="177"/>
      <c r="F817" s="391"/>
      <c r="G817" s="383"/>
      <c r="H817" s="177"/>
      <c r="I817" s="177"/>
      <c r="J817" s="177"/>
      <c r="K817" s="88"/>
      <c r="L817" s="383"/>
      <c r="M817" s="177"/>
      <c r="N817" s="177"/>
      <c r="O817" s="177"/>
      <c r="P817" s="88"/>
      <c r="Q817" s="151"/>
      <c r="R817" s="177"/>
      <c r="S817" s="177"/>
      <c r="T817" s="177"/>
      <c r="U817" s="391"/>
      <c r="V817" s="383"/>
      <c r="W817" s="177"/>
      <c r="X817" s="177"/>
      <c r="Y817" s="177"/>
      <c r="Z817" s="391"/>
      <c r="AA817" s="383"/>
      <c r="AB817" s="177"/>
      <c r="AC817" s="177"/>
      <c r="AD817" s="177"/>
      <c r="AE817" s="391"/>
      <c r="AF817" s="383"/>
      <c r="AG817" s="177"/>
      <c r="AH817" s="177"/>
      <c r="AI817" s="177"/>
      <c r="AJ817" s="391"/>
      <c r="AK817" s="383"/>
      <c r="AL817" s="177"/>
      <c r="AM817" s="177"/>
      <c r="AN817" s="177"/>
      <c r="AO817" s="366"/>
      <c r="AP817" s="366"/>
      <c r="AQ817" s="366"/>
      <c r="AR817" s="366"/>
      <c r="AS817" s="366"/>
    </row>
    <row r="818">
      <c r="A818" s="391"/>
      <c r="B818" s="383"/>
      <c r="C818" s="177"/>
      <c r="D818" s="177"/>
      <c r="E818" s="177"/>
      <c r="F818" s="391"/>
      <c r="G818" s="383"/>
      <c r="H818" s="177"/>
      <c r="I818" s="177"/>
      <c r="J818" s="177"/>
      <c r="K818" s="88"/>
      <c r="L818" s="383"/>
      <c r="M818" s="177"/>
      <c r="N818" s="177"/>
      <c r="O818" s="177"/>
      <c r="P818" s="88"/>
      <c r="Q818" s="151"/>
      <c r="R818" s="177"/>
      <c r="S818" s="177"/>
      <c r="T818" s="177"/>
      <c r="U818" s="391"/>
      <c r="V818" s="383"/>
      <c r="W818" s="177"/>
      <c r="X818" s="177"/>
      <c r="Y818" s="177"/>
      <c r="Z818" s="391"/>
      <c r="AA818" s="383"/>
      <c r="AB818" s="177"/>
      <c r="AC818" s="177"/>
      <c r="AD818" s="177"/>
      <c r="AE818" s="391"/>
      <c r="AF818" s="383"/>
      <c r="AG818" s="177"/>
      <c r="AH818" s="177"/>
      <c r="AI818" s="177"/>
      <c r="AJ818" s="391"/>
      <c r="AK818" s="383"/>
      <c r="AL818" s="177"/>
      <c r="AM818" s="177"/>
      <c r="AN818" s="177"/>
      <c r="AO818" s="366"/>
      <c r="AP818" s="366"/>
      <c r="AQ818" s="366"/>
      <c r="AR818" s="366"/>
      <c r="AS818" s="366"/>
    </row>
    <row r="819">
      <c r="A819" s="391"/>
      <c r="B819" s="383"/>
      <c r="C819" s="177"/>
      <c r="D819" s="177"/>
      <c r="E819" s="177"/>
      <c r="F819" s="391"/>
      <c r="G819" s="383"/>
      <c r="H819" s="177"/>
      <c r="I819" s="177"/>
      <c r="J819" s="177"/>
      <c r="K819" s="88"/>
      <c r="L819" s="383"/>
      <c r="M819" s="177"/>
      <c r="N819" s="177"/>
      <c r="O819" s="177"/>
      <c r="P819" s="88"/>
      <c r="Q819" s="151"/>
      <c r="R819" s="177"/>
      <c r="S819" s="177"/>
      <c r="T819" s="177"/>
      <c r="U819" s="391"/>
      <c r="V819" s="383"/>
      <c r="W819" s="177"/>
      <c r="X819" s="177"/>
      <c r="Y819" s="177"/>
      <c r="Z819" s="391"/>
      <c r="AA819" s="383"/>
      <c r="AB819" s="177"/>
      <c r="AC819" s="177"/>
      <c r="AD819" s="177"/>
      <c r="AE819" s="391"/>
      <c r="AF819" s="383"/>
      <c r="AG819" s="177"/>
      <c r="AH819" s="177"/>
      <c r="AI819" s="177"/>
      <c r="AJ819" s="391"/>
      <c r="AK819" s="383"/>
      <c r="AL819" s="177"/>
      <c r="AM819" s="177"/>
      <c r="AN819" s="177"/>
      <c r="AO819" s="366"/>
      <c r="AP819" s="366"/>
      <c r="AQ819" s="366"/>
      <c r="AR819" s="366"/>
      <c r="AS819" s="366"/>
    </row>
    <row r="820">
      <c r="A820" s="391"/>
      <c r="B820" s="383"/>
      <c r="C820" s="177"/>
      <c r="D820" s="177"/>
      <c r="E820" s="177"/>
      <c r="F820" s="391"/>
      <c r="G820" s="383"/>
      <c r="H820" s="177"/>
      <c r="I820" s="177"/>
      <c r="J820" s="177"/>
      <c r="K820" s="88"/>
      <c r="L820" s="383"/>
      <c r="M820" s="177"/>
      <c r="N820" s="177"/>
      <c r="O820" s="177"/>
      <c r="P820" s="88"/>
      <c r="Q820" s="151"/>
      <c r="R820" s="177"/>
      <c r="S820" s="177"/>
      <c r="T820" s="177"/>
      <c r="U820" s="391"/>
      <c r="V820" s="383"/>
      <c r="W820" s="177"/>
      <c r="X820" s="177"/>
      <c r="Y820" s="177"/>
      <c r="Z820" s="391"/>
      <c r="AA820" s="383"/>
      <c r="AB820" s="177"/>
      <c r="AC820" s="177"/>
      <c r="AD820" s="177"/>
      <c r="AE820" s="391"/>
      <c r="AF820" s="383"/>
      <c r="AG820" s="177"/>
      <c r="AH820" s="177"/>
      <c r="AI820" s="177"/>
      <c r="AJ820" s="391"/>
      <c r="AK820" s="383"/>
      <c r="AL820" s="177"/>
      <c r="AM820" s="177"/>
      <c r="AN820" s="177"/>
      <c r="AO820" s="366"/>
      <c r="AP820" s="366"/>
      <c r="AQ820" s="366"/>
      <c r="AR820" s="366"/>
      <c r="AS820" s="366"/>
    </row>
    <row r="821">
      <c r="A821" s="391"/>
      <c r="B821" s="383"/>
      <c r="C821" s="177"/>
      <c r="D821" s="177"/>
      <c r="E821" s="177"/>
      <c r="F821" s="391"/>
      <c r="G821" s="383"/>
      <c r="H821" s="177"/>
      <c r="I821" s="177"/>
      <c r="J821" s="177"/>
      <c r="K821" s="88"/>
      <c r="L821" s="383"/>
      <c r="M821" s="177"/>
      <c r="N821" s="177"/>
      <c r="O821" s="177"/>
      <c r="P821" s="88"/>
      <c r="Q821" s="151"/>
      <c r="R821" s="177"/>
      <c r="S821" s="177"/>
      <c r="T821" s="177"/>
      <c r="U821" s="391"/>
      <c r="V821" s="383"/>
      <c r="W821" s="177"/>
      <c r="X821" s="177"/>
      <c r="Y821" s="177"/>
      <c r="Z821" s="391"/>
      <c r="AA821" s="383"/>
      <c r="AB821" s="177"/>
      <c r="AC821" s="177"/>
      <c r="AD821" s="177"/>
      <c r="AE821" s="391"/>
      <c r="AF821" s="383"/>
      <c r="AG821" s="177"/>
      <c r="AH821" s="177"/>
      <c r="AI821" s="177"/>
      <c r="AJ821" s="391"/>
      <c r="AK821" s="383"/>
      <c r="AL821" s="177"/>
      <c r="AM821" s="177"/>
      <c r="AN821" s="177"/>
      <c r="AO821" s="366"/>
      <c r="AP821" s="366"/>
      <c r="AQ821" s="366"/>
      <c r="AR821" s="366"/>
      <c r="AS821" s="366"/>
    </row>
    <row r="822">
      <c r="A822" s="391"/>
      <c r="B822" s="383"/>
      <c r="C822" s="177"/>
      <c r="D822" s="177"/>
      <c r="E822" s="177"/>
      <c r="F822" s="391"/>
      <c r="G822" s="383"/>
      <c r="H822" s="177"/>
      <c r="I822" s="177"/>
      <c r="J822" s="177"/>
      <c r="K822" s="88"/>
      <c r="L822" s="383"/>
      <c r="M822" s="177"/>
      <c r="N822" s="177"/>
      <c r="O822" s="177"/>
      <c r="P822" s="88"/>
      <c r="Q822" s="151"/>
      <c r="R822" s="177"/>
      <c r="S822" s="177"/>
      <c r="T822" s="177"/>
      <c r="U822" s="391"/>
      <c r="V822" s="383"/>
      <c r="W822" s="177"/>
      <c r="X822" s="177"/>
      <c r="Y822" s="177"/>
      <c r="Z822" s="391"/>
      <c r="AA822" s="383"/>
      <c r="AB822" s="177"/>
      <c r="AC822" s="177"/>
      <c r="AD822" s="177"/>
      <c r="AE822" s="391"/>
      <c r="AF822" s="383"/>
      <c r="AG822" s="177"/>
      <c r="AH822" s="177"/>
      <c r="AI822" s="177"/>
      <c r="AJ822" s="391"/>
      <c r="AK822" s="383"/>
      <c r="AL822" s="177"/>
      <c r="AM822" s="177"/>
      <c r="AN822" s="177"/>
      <c r="AO822" s="366"/>
      <c r="AP822" s="366"/>
      <c r="AQ822" s="366"/>
      <c r="AR822" s="366"/>
      <c r="AS822" s="366"/>
    </row>
    <row r="823">
      <c r="A823" s="391"/>
      <c r="B823" s="383"/>
      <c r="C823" s="177"/>
      <c r="D823" s="177"/>
      <c r="E823" s="177"/>
      <c r="F823" s="391"/>
      <c r="G823" s="383"/>
      <c r="H823" s="177"/>
      <c r="I823" s="177"/>
      <c r="J823" s="177"/>
      <c r="K823" s="88"/>
      <c r="L823" s="383"/>
      <c r="M823" s="177"/>
      <c r="N823" s="177"/>
      <c r="O823" s="177"/>
      <c r="P823" s="88"/>
      <c r="Q823" s="151"/>
      <c r="R823" s="177"/>
      <c r="S823" s="177"/>
      <c r="T823" s="177"/>
      <c r="U823" s="391"/>
      <c r="V823" s="383"/>
      <c r="W823" s="177"/>
      <c r="X823" s="177"/>
      <c r="Y823" s="177"/>
      <c r="Z823" s="391"/>
      <c r="AA823" s="383"/>
      <c r="AB823" s="177"/>
      <c r="AC823" s="177"/>
      <c r="AD823" s="177"/>
      <c r="AE823" s="391"/>
      <c r="AF823" s="383"/>
      <c r="AG823" s="177"/>
      <c r="AH823" s="177"/>
      <c r="AI823" s="177"/>
      <c r="AJ823" s="391"/>
      <c r="AK823" s="383"/>
      <c r="AL823" s="177"/>
      <c r="AM823" s="177"/>
      <c r="AN823" s="177"/>
      <c r="AO823" s="366"/>
      <c r="AP823" s="366"/>
      <c r="AQ823" s="366"/>
      <c r="AR823" s="366"/>
      <c r="AS823" s="366"/>
    </row>
    <row r="824">
      <c r="A824" s="391"/>
      <c r="B824" s="383"/>
      <c r="C824" s="177"/>
      <c r="D824" s="177"/>
      <c r="E824" s="177"/>
      <c r="F824" s="391"/>
      <c r="G824" s="383"/>
      <c r="H824" s="177"/>
      <c r="I824" s="177"/>
      <c r="J824" s="177"/>
      <c r="K824" s="88"/>
      <c r="L824" s="383"/>
      <c r="M824" s="177"/>
      <c r="N824" s="177"/>
      <c r="O824" s="177"/>
      <c r="P824" s="88"/>
      <c r="Q824" s="151"/>
      <c r="R824" s="177"/>
      <c r="S824" s="177"/>
      <c r="T824" s="177"/>
      <c r="U824" s="391"/>
      <c r="V824" s="383"/>
      <c r="W824" s="177"/>
      <c r="X824" s="177"/>
      <c r="Y824" s="177"/>
      <c r="Z824" s="391"/>
      <c r="AA824" s="383"/>
      <c r="AB824" s="177"/>
      <c r="AC824" s="177"/>
      <c r="AD824" s="177"/>
      <c r="AE824" s="391"/>
      <c r="AF824" s="383"/>
      <c r="AG824" s="177"/>
      <c r="AH824" s="177"/>
      <c r="AI824" s="177"/>
      <c r="AJ824" s="391"/>
      <c r="AK824" s="383"/>
      <c r="AL824" s="177"/>
      <c r="AM824" s="177"/>
      <c r="AN824" s="177"/>
      <c r="AO824" s="366"/>
      <c r="AP824" s="366"/>
      <c r="AQ824" s="366"/>
      <c r="AR824" s="366"/>
      <c r="AS824" s="366"/>
    </row>
    <row r="825">
      <c r="A825" s="391"/>
      <c r="B825" s="383"/>
      <c r="C825" s="177"/>
      <c r="D825" s="177"/>
      <c r="E825" s="177"/>
      <c r="F825" s="391"/>
      <c r="G825" s="383"/>
      <c r="H825" s="177"/>
      <c r="I825" s="177"/>
      <c r="J825" s="177"/>
      <c r="K825" s="88"/>
      <c r="L825" s="383"/>
      <c r="M825" s="177"/>
      <c r="N825" s="177"/>
      <c r="O825" s="177"/>
      <c r="P825" s="88"/>
      <c r="Q825" s="151"/>
      <c r="R825" s="177"/>
      <c r="S825" s="177"/>
      <c r="T825" s="177"/>
      <c r="U825" s="391"/>
      <c r="V825" s="383"/>
      <c r="W825" s="177"/>
      <c r="X825" s="177"/>
      <c r="Y825" s="177"/>
      <c r="Z825" s="391"/>
      <c r="AA825" s="383"/>
      <c r="AB825" s="177"/>
      <c r="AC825" s="177"/>
      <c r="AD825" s="177"/>
      <c r="AE825" s="391"/>
      <c r="AF825" s="383"/>
      <c r="AG825" s="177"/>
      <c r="AH825" s="177"/>
      <c r="AI825" s="177"/>
      <c r="AJ825" s="391"/>
      <c r="AK825" s="383"/>
      <c r="AL825" s="177"/>
      <c r="AM825" s="177"/>
      <c r="AN825" s="177"/>
      <c r="AO825" s="366"/>
      <c r="AP825" s="366"/>
      <c r="AQ825" s="366"/>
      <c r="AR825" s="366"/>
      <c r="AS825" s="366"/>
    </row>
    <row r="826">
      <c r="A826" s="391"/>
      <c r="B826" s="383"/>
      <c r="C826" s="177"/>
      <c r="D826" s="177"/>
      <c r="E826" s="177"/>
      <c r="F826" s="391"/>
      <c r="G826" s="383"/>
      <c r="H826" s="177"/>
      <c r="I826" s="177"/>
      <c r="J826" s="177"/>
      <c r="K826" s="88"/>
      <c r="L826" s="383"/>
      <c r="M826" s="177"/>
      <c r="N826" s="177"/>
      <c r="O826" s="177"/>
      <c r="P826" s="88"/>
      <c r="Q826" s="151"/>
      <c r="R826" s="177"/>
      <c r="S826" s="177"/>
      <c r="T826" s="177"/>
      <c r="U826" s="391"/>
      <c r="V826" s="383"/>
      <c r="W826" s="177"/>
      <c r="X826" s="177"/>
      <c r="Y826" s="177"/>
      <c r="Z826" s="391"/>
      <c r="AA826" s="383"/>
      <c r="AB826" s="177"/>
      <c r="AC826" s="177"/>
      <c r="AD826" s="177"/>
      <c r="AE826" s="391"/>
      <c r="AF826" s="383"/>
      <c r="AG826" s="177"/>
      <c r="AH826" s="177"/>
      <c r="AI826" s="177"/>
      <c r="AJ826" s="391"/>
      <c r="AK826" s="383"/>
      <c r="AL826" s="177"/>
      <c r="AM826" s="177"/>
      <c r="AN826" s="177"/>
      <c r="AO826" s="366"/>
      <c r="AP826" s="366"/>
      <c r="AQ826" s="366"/>
      <c r="AR826" s="366"/>
      <c r="AS826" s="366"/>
    </row>
    <row r="827">
      <c r="A827" s="391"/>
      <c r="B827" s="383"/>
      <c r="C827" s="177"/>
      <c r="D827" s="177"/>
      <c r="E827" s="177"/>
      <c r="F827" s="391"/>
      <c r="G827" s="383"/>
      <c r="H827" s="177"/>
      <c r="I827" s="177"/>
      <c r="J827" s="177"/>
      <c r="K827" s="88"/>
      <c r="L827" s="383"/>
      <c r="M827" s="177"/>
      <c r="N827" s="177"/>
      <c r="O827" s="177"/>
      <c r="P827" s="88"/>
      <c r="Q827" s="151"/>
      <c r="R827" s="177"/>
      <c r="S827" s="177"/>
      <c r="T827" s="177"/>
      <c r="U827" s="391"/>
      <c r="V827" s="383"/>
      <c r="W827" s="177"/>
      <c r="X827" s="177"/>
      <c r="Y827" s="177"/>
      <c r="Z827" s="391"/>
      <c r="AA827" s="383"/>
      <c r="AB827" s="177"/>
      <c r="AC827" s="177"/>
      <c r="AD827" s="177"/>
      <c r="AE827" s="391"/>
      <c r="AF827" s="383"/>
      <c r="AG827" s="177"/>
      <c r="AH827" s="177"/>
      <c r="AI827" s="177"/>
      <c r="AJ827" s="391"/>
      <c r="AK827" s="383"/>
      <c r="AL827" s="177"/>
      <c r="AM827" s="177"/>
      <c r="AN827" s="177"/>
      <c r="AO827" s="366"/>
      <c r="AP827" s="366"/>
      <c r="AQ827" s="366"/>
      <c r="AR827" s="366"/>
      <c r="AS827" s="366"/>
    </row>
    <row r="828">
      <c r="A828" s="391"/>
      <c r="B828" s="383"/>
      <c r="C828" s="177"/>
      <c r="D828" s="177"/>
      <c r="E828" s="177"/>
      <c r="F828" s="391"/>
      <c r="G828" s="383"/>
      <c r="H828" s="177"/>
      <c r="I828" s="177"/>
      <c r="J828" s="177"/>
      <c r="K828" s="88"/>
      <c r="L828" s="383"/>
      <c r="M828" s="177"/>
      <c r="N828" s="177"/>
      <c r="O828" s="177"/>
      <c r="P828" s="88"/>
      <c r="Q828" s="151"/>
      <c r="R828" s="177"/>
      <c r="S828" s="177"/>
      <c r="T828" s="177"/>
      <c r="U828" s="391"/>
      <c r="V828" s="383"/>
      <c r="W828" s="177"/>
      <c r="X828" s="177"/>
      <c r="Y828" s="177"/>
      <c r="Z828" s="391"/>
      <c r="AA828" s="383"/>
      <c r="AB828" s="177"/>
      <c r="AC828" s="177"/>
      <c r="AD828" s="177"/>
      <c r="AE828" s="391"/>
      <c r="AF828" s="383"/>
      <c r="AG828" s="177"/>
      <c r="AH828" s="177"/>
      <c r="AI828" s="177"/>
      <c r="AJ828" s="391"/>
      <c r="AK828" s="383"/>
      <c r="AL828" s="177"/>
      <c r="AM828" s="177"/>
      <c r="AN828" s="177"/>
      <c r="AO828" s="366"/>
      <c r="AP828" s="366"/>
      <c r="AQ828" s="366"/>
      <c r="AR828" s="366"/>
      <c r="AS828" s="366"/>
    </row>
    <row r="829">
      <c r="A829" s="391"/>
      <c r="B829" s="383"/>
      <c r="C829" s="177"/>
      <c r="D829" s="177"/>
      <c r="E829" s="177"/>
      <c r="F829" s="391"/>
      <c r="G829" s="383"/>
      <c r="H829" s="177"/>
      <c r="I829" s="177"/>
      <c r="J829" s="177"/>
      <c r="K829" s="88"/>
      <c r="L829" s="383"/>
      <c r="M829" s="177"/>
      <c r="N829" s="177"/>
      <c r="O829" s="177"/>
      <c r="P829" s="88"/>
      <c r="Q829" s="151"/>
      <c r="R829" s="177"/>
      <c r="S829" s="177"/>
      <c r="T829" s="177"/>
      <c r="U829" s="391"/>
      <c r="V829" s="383"/>
      <c r="W829" s="177"/>
      <c r="X829" s="177"/>
      <c r="Y829" s="177"/>
      <c r="Z829" s="391"/>
      <c r="AA829" s="383"/>
      <c r="AB829" s="177"/>
      <c r="AC829" s="177"/>
      <c r="AD829" s="177"/>
      <c r="AE829" s="391"/>
      <c r="AF829" s="383"/>
      <c r="AG829" s="177"/>
      <c r="AH829" s="177"/>
      <c r="AI829" s="177"/>
      <c r="AJ829" s="391"/>
      <c r="AK829" s="383"/>
      <c r="AL829" s="177"/>
      <c r="AM829" s="177"/>
      <c r="AN829" s="177"/>
      <c r="AO829" s="366"/>
      <c r="AP829" s="366"/>
      <c r="AQ829" s="366"/>
      <c r="AR829" s="366"/>
      <c r="AS829" s="366"/>
    </row>
    <row r="830">
      <c r="A830" s="391"/>
      <c r="B830" s="383"/>
      <c r="C830" s="177"/>
      <c r="D830" s="177"/>
      <c r="E830" s="177"/>
      <c r="F830" s="391"/>
      <c r="G830" s="383"/>
      <c r="H830" s="177"/>
      <c r="I830" s="177"/>
      <c r="J830" s="177"/>
      <c r="K830" s="88"/>
      <c r="L830" s="383"/>
      <c r="M830" s="177"/>
      <c r="N830" s="177"/>
      <c r="O830" s="177"/>
      <c r="P830" s="88"/>
      <c r="Q830" s="151"/>
      <c r="R830" s="177"/>
      <c r="S830" s="177"/>
      <c r="T830" s="177"/>
      <c r="U830" s="391"/>
      <c r="V830" s="383"/>
      <c r="W830" s="177"/>
      <c r="X830" s="177"/>
      <c r="Y830" s="177"/>
      <c r="Z830" s="391"/>
      <c r="AA830" s="383"/>
      <c r="AB830" s="177"/>
      <c r="AC830" s="177"/>
      <c r="AD830" s="177"/>
      <c r="AE830" s="391"/>
      <c r="AF830" s="383"/>
      <c r="AG830" s="177"/>
      <c r="AH830" s="177"/>
      <c r="AI830" s="177"/>
      <c r="AJ830" s="391"/>
      <c r="AK830" s="383"/>
      <c r="AL830" s="177"/>
      <c r="AM830" s="177"/>
      <c r="AN830" s="177"/>
      <c r="AO830" s="366"/>
      <c r="AP830" s="366"/>
      <c r="AQ830" s="366"/>
      <c r="AR830" s="366"/>
      <c r="AS830" s="366"/>
    </row>
    <row r="831">
      <c r="A831" s="391"/>
      <c r="B831" s="383"/>
      <c r="C831" s="177"/>
      <c r="D831" s="177"/>
      <c r="E831" s="177"/>
      <c r="F831" s="391"/>
      <c r="G831" s="383"/>
      <c r="H831" s="177"/>
      <c r="I831" s="177"/>
      <c r="J831" s="177"/>
      <c r="K831" s="88"/>
      <c r="L831" s="383"/>
      <c r="M831" s="177"/>
      <c r="N831" s="177"/>
      <c r="O831" s="177"/>
      <c r="P831" s="88"/>
      <c r="Q831" s="151"/>
      <c r="R831" s="177"/>
      <c r="S831" s="177"/>
      <c r="T831" s="177"/>
      <c r="U831" s="391"/>
      <c r="V831" s="383"/>
      <c r="W831" s="177"/>
      <c r="X831" s="177"/>
      <c r="Y831" s="177"/>
      <c r="Z831" s="391"/>
      <c r="AA831" s="383"/>
      <c r="AB831" s="177"/>
      <c r="AC831" s="177"/>
      <c r="AD831" s="177"/>
      <c r="AE831" s="391"/>
      <c r="AF831" s="383"/>
      <c r="AG831" s="177"/>
      <c r="AH831" s="177"/>
      <c r="AI831" s="177"/>
      <c r="AJ831" s="391"/>
      <c r="AK831" s="383"/>
      <c r="AL831" s="177"/>
      <c r="AM831" s="177"/>
      <c r="AN831" s="177"/>
      <c r="AO831" s="366"/>
      <c r="AP831" s="366"/>
      <c r="AQ831" s="366"/>
      <c r="AR831" s="366"/>
      <c r="AS831" s="366"/>
    </row>
    <row r="832">
      <c r="A832" s="391"/>
      <c r="B832" s="383"/>
      <c r="C832" s="177"/>
      <c r="D832" s="177"/>
      <c r="E832" s="177"/>
      <c r="F832" s="391"/>
      <c r="G832" s="383"/>
      <c r="H832" s="177"/>
      <c r="I832" s="177"/>
      <c r="J832" s="177"/>
      <c r="K832" s="88"/>
      <c r="L832" s="383"/>
      <c r="M832" s="177"/>
      <c r="N832" s="177"/>
      <c r="O832" s="177"/>
      <c r="P832" s="88"/>
      <c r="Q832" s="151"/>
      <c r="R832" s="177"/>
      <c r="S832" s="177"/>
      <c r="T832" s="177"/>
      <c r="U832" s="391"/>
      <c r="V832" s="383"/>
      <c r="W832" s="177"/>
      <c r="X832" s="177"/>
      <c r="Y832" s="177"/>
      <c r="Z832" s="391"/>
      <c r="AA832" s="383"/>
      <c r="AB832" s="177"/>
      <c r="AC832" s="177"/>
      <c r="AD832" s="177"/>
      <c r="AE832" s="391"/>
      <c r="AF832" s="383"/>
      <c r="AG832" s="177"/>
      <c r="AH832" s="177"/>
      <c r="AI832" s="177"/>
      <c r="AJ832" s="391"/>
      <c r="AK832" s="383"/>
      <c r="AL832" s="177"/>
      <c r="AM832" s="177"/>
      <c r="AN832" s="177"/>
      <c r="AO832" s="366"/>
      <c r="AP832" s="366"/>
      <c r="AQ832" s="366"/>
      <c r="AR832" s="366"/>
      <c r="AS832" s="366"/>
    </row>
    <row r="833">
      <c r="A833" s="391"/>
      <c r="B833" s="383"/>
      <c r="C833" s="177"/>
      <c r="D833" s="177"/>
      <c r="E833" s="177"/>
      <c r="F833" s="391"/>
      <c r="G833" s="383"/>
      <c r="H833" s="177"/>
      <c r="I833" s="177"/>
      <c r="J833" s="177"/>
      <c r="K833" s="88"/>
      <c r="L833" s="383"/>
      <c r="M833" s="177"/>
      <c r="N833" s="177"/>
      <c r="O833" s="177"/>
      <c r="P833" s="88"/>
      <c r="Q833" s="151"/>
      <c r="R833" s="177"/>
      <c r="S833" s="177"/>
      <c r="T833" s="177"/>
      <c r="U833" s="391"/>
      <c r="V833" s="383"/>
      <c r="W833" s="177"/>
      <c r="X833" s="177"/>
      <c r="Y833" s="177"/>
      <c r="Z833" s="391"/>
      <c r="AA833" s="383"/>
      <c r="AB833" s="177"/>
      <c r="AC833" s="177"/>
      <c r="AD833" s="177"/>
      <c r="AE833" s="391"/>
      <c r="AF833" s="383"/>
      <c r="AG833" s="177"/>
      <c r="AH833" s="177"/>
      <c r="AI833" s="177"/>
      <c r="AJ833" s="391"/>
      <c r="AK833" s="383"/>
      <c r="AL833" s="177"/>
      <c r="AM833" s="177"/>
      <c r="AN833" s="177"/>
      <c r="AO833" s="366"/>
      <c r="AP833" s="366"/>
      <c r="AQ833" s="366"/>
      <c r="AR833" s="366"/>
      <c r="AS833" s="366"/>
    </row>
    <row r="834">
      <c r="A834" s="391"/>
      <c r="B834" s="383"/>
      <c r="C834" s="177"/>
      <c r="D834" s="177"/>
      <c r="E834" s="177"/>
      <c r="F834" s="391"/>
      <c r="G834" s="383"/>
      <c r="H834" s="177"/>
      <c r="I834" s="177"/>
      <c r="J834" s="177"/>
      <c r="K834" s="88"/>
      <c r="L834" s="383"/>
      <c r="M834" s="177"/>
      <c r="N834" s="177"/>
      <c r="O834" s="177"/>
      <c r="P834" s="88"/>
      <c r="Q834" s="151"/>
      <c r="R834" s="177"/>
      <c r="S834" s="177"/>
      <c r="T834" s="177"/>
      <c r="U834" s="391"/>
      <c r="V834" s="383"/>
      <c r="W834" s="177"/>
      <c r="X834" s="177"/>
      <c r="Y834" s="177"/>
      <c r="Z834" s="391"/>
      <c r="AA834" s="383"/>
      <c r="AB834" s="177"/>
      <c r="AC834" s="177"/>
      <c r="AD834" s="177"/>
      <c r="AE834" s="391"/>
      <c r="AF834" s="383"/>
      <c r="AG834" s="177"/>
      <c r="AH834" s="177"/>
      <c r="AI834" s="177"/>
      <c r="AJ834" s="391"/>
      <c r="AK834" s="383"/>
      <c r="AL834" s="177"/>
      <c r="AM834" s="177"/>
      <c r="AN834" s="177"/>
      <c r="AO834" s="366"/>
      <c r="AP834" s="366"/>
      <c r="AQ834" s="366"/>
      <c r="AR834" s="366"/>
      <c r="AS834" s="366"/>
    </row>
    <row r="835">
      <c r="A835" s="391"/>
      <c r="B835" s="383"/>
      <c r="C835" s="177"/>
      <c r="D835" s="177"/>
      <c r="E835" s="177"/>
      <c r="F835" s="391"/>
      <c r="G835" s="383"/>
      <c r="H835" s="177"/>
      <c r="I835" s="177"/>
      <c r="J835" s="177"/>
      <c r="K835" s="88"/>
      <c r="L835" s="383"/>
      <c r="M835" s="177"/>
      <c r="N835" s="177"/>
      <c r="O835" s="177"/>
      <c r="P835" s="88"/>
      <c r="Q835" s="151"/>
      <c r="R835" s="177"/>
      <c r="S835" s="177"/>
      <c r="T835" s="177"/>
      <c r="U835" s="391"/>
      <c r="V835" s="383"/>
      <c r="W835" s="177"/>
      <c r="X835" s="177"/>
      <c r="Y835" s="177"/>
      <c r="Z835" s="391"/>
      <c r="AA835" s="383"/>
      <c r="AB835" s="177"/>
      <c r="AC835" s="177"/>
      <c r="AD835" s="177"/>
      <c r="AE835" s="391"/>
      <c r="AF835" s="383"/>
      <c r="AG835" s="177"/>
      <c r="AH835" s="177"/>
      <c r="AI835" s="177"/>
      <c r="AJ835" s="391"/>
      <c r="AK835" s="383"/>
      <c r="AL835" s="177"/>
      <c r="AM835" s="177"/>
      <c r="AN835" s="177"/>
      <c r="AO835" s="366"/>
      <c r="AP835" s="366"/>
      <c r="AQ835" s="366"/>
      <c r="AR835" s="366"/>
      <c r="AS835" s="366"/>
    </row>
    <row r="836">
      <c r="A836" s="391"/>
      <c r="B836" s="383"/>
      <c r="C836" s="177"/>
      <c r="D836" s="177"/>
      <c r="E836" s="177"/>
      <c r="F836" s="391"/>
      <c r="G836" s="383"/>
      <c r="H836" s="177"/>
      <c r="I836" s="177"/>
      <c r="J836" s="177"/>
      <c r="K836" s="88"/>
      <c r="L836" s="383"/>
      <c r="M836" s="177"/>
      <c r="N836" s="177"/>
      <c r="O836" s="177"/>
      <c r="P836" s="88"/>
      <c r="Q836" s="151"/>
      <c r="R836" s="177"/>
      <c r="S836" s="177"/>
      <c r="T836" s="177"/>
      <c r="U836" s="391"/>
      <c r="V836" s="383"/>
      <c r="W836" s="177"/>
      <c r="X836" s="177"/>
      <c r="Y836" s="177"/>
      <c r="Z836" s="391"/>
      <c r="AA836" s="383"/>
      <c r="AB836" s="177"/>
      <c r="AC836" s="177"/>
      <c r="AD836" s="177"/>
      <c r="AE836" s="391"/>
      <c r="AF836" s="383"/>
      <c r="AG836" s="177"/>
      <c r="AH836" s="177"/>
      <c r="AI836" s="177"/>
      <c r="AJ836" s="391"/>
      <c r="AK836" s="383"/>
      <c r="AL836" s="177"/>
      <c r="AM836" s="177"/>
      <c r="AN836" s="177"/>
      <c r="AO836" s="366"/>
      <c r="AP836" s="366"/>
      <c r="AQ836" s="366"/>
      <c r="AR836" s="366"/>
      <c r="AS836" s="366"/>
    </row>
    <row r="837">
      <c r="A837" s="391"/>
      <c r="B837" s="383"/>
      <c r="C837" s="177"/>
      <c r="D837" s="177"/>
      <c r="E837" s="177"/>
      <c r="F837" s="391"/>
      <c r="G837" s="383"/>
      <c r="H837" s="177"/>
      <c r="I837" s="177"/>
      <c r="J837" s="177"/>
      <c r="K837" s="88"/>
      <c r="L837" s="383"/>
      <c r="M837" s="177"/>
      <c r="N837" s="177"/>
      <c r="O837" s="177"/>
      <c r="P837" s="88"/>
      <c r="Q837" s="151"/>
      <c r="R837" s="177"/>
      <c r="S837" s="177"/>
      <c r="T837" s="177"/>
      <c r="U837" s="391"/>
      <c r="V837" s="383"/>
      <c r="W837" s="177"/>
      <c r="X837" s="177"/>
      <c r="Y837" s="177"/>
      <c r="Z837" s="391"/>
      <c r="AA837" s="383"/>
      <c r="AB837" s="177"/>
      <c r="AC837" s="177"/>
      <c r="AD837" s="177"/>
      <c r="AE837" s="391"/>
      <c r="AF837" s="383"/>
      <c r="AG837" s="177"/>
      <c r="AH837" s="177"/>
      <c r="AI837" s="177"/>
      <c r="AJ837" s="391"/>
      <c r="AK837" s="383"/>
      <c r="AL837" s="177"/>
      <c r="AM837" s="177"/>
      <c r="AN837" s="177"/>
      <c r="AO837" s="366"/>
      <c r="AP837" s="366"/>
      <c r="AQ837" s="366"/>
      <c r="AR837" s="366"/>
      <c r="AS837" s="366"/>
    </row>
    <row r="838">
      <c r="A838" s="391"/>
      <c r="B838" s="383"/>
      <c r="C838" s="177"/>
      <c r="D838" s="177"/>
      <c r="E838" s="177"/>
      <c r="F838" s="391"/>
      <c r="G838" s="383"/>
      <c r="H838" s="177"/>
      <c r="I838" s="177"/>
      <c r="J838" s="177"/>
      <c r="K838" s="88"/>
      <c r="L838" s="383"/>
      <c r="M838" s="177"/>
      <c r="N838" s="177"/>
      <c r="O838" s="177"/>
      <c r="P838" s="88"/>
      <c r="Q838" s="151"/>
      <c r="R838" s="177"/>
      <c r="S838" s="177"/>
      <c r="T838" s="177"/>
      <c r="U838" s="391"/>
      <c r="V838" s="383"/>
      <c r="W838" s="177"/>
      <c r="X838" s="177"/>
      <c r="Y838" s="177"/>
      <c r="Z838" s="391"/>
      <c r="AA838" s="383"/>
      <c r="AB838" s="177"/>
      <c r="AC838" s="177"/>
      <c r="AD838" s="177"/>
      <c r="AE838" s="391"/>
      <c r="AF838" s="383"/>
      <c r="AG838" s="177"/>
      <c r="AH838" s="177"/>
      <c r="AI838" s="177"/>
      <c r="AJ838" s="391"/>
      <c r="AK838" s="383"/>
      <c r="AL838" s="177"/>
      <c r="AM838" s="177"/>
      <c r="AN838" s="177"/>
      <c r="AO838" s="366"/>
      <c r="AP838" s="366"/>
      <c r="AQ838" s="366"/>
      <c r="AR838" s="366"/>
      <c r="AS838" s="366"/>
    </row>
    <row r="839">
      <c r="A839" s="391"/>
      <c r="B839" s="383"/>
      <c r="C839" s="177"/>
      <c r="D839" s="177"/>
      <c r="E839" s="177"/>
      <c r="F839" s="391"/>
      <c r="G839" s="383"/>
      <c r="H839" s="177"/>
      <c r="I839" s="177"/>
      <c r="J839" s="177"/>
      <c r="K839" s="88"/>
      <c r="L839" s="383"/>
      <c r="M839" s="177"/>
      <c r="N839" s="177"/>
      <c r="O839" s="177"/>
      <c r="P839" s="88"/>
      <c r="Q839" s="151"/>
      <c r="R839" s="177"/>
      <c r="S839" s="177"/>
      <c r="T839" s="177"/>
      <c r="U839" s="391"/>
      <c r="V839" s="383"/>
      <c r="W839" s="177"/>
      <c r="X839" s="177"/>
      <c r="Y839" s="177"/>
      <c r="Z839" s="391"/>
      <c r="AA839" s="383"/>
      <c r="AB839" s="177"/>
      <c r="AC839" s="177"/>
      <c r="AD839" s="177"/>
      <c r="AE839" s="391"/>
      <c r="AF839" s="383"/>
      <c r="AG839" s="177"/>
      <c r="AH839" s="177"/>
      <c r="AI839" s="177"/>
      <c r="AJ839" s="391"/>
      <c r="AK839" s="383"/>
      <c r="AL839" s="177"/>
      <c r="AM839" s="177"/>
      <c r="AN839" s="177"/>
      <c r="AO839" s="366"/>
      <c r="AP839" s="366"/>
      <c r="AQ839" s="366"/>
      <c r="AR839" s="366"/>
      <c r="AS839" s="366"/>
    </row>
    <row r="840">
      <c r="A840" s="391"/>
      <c r="B840" s="383"/>
      <c r="C840" s="177"/>
      <c r="D840" s="177"/>
      <c r="E840" s="177"/>
      <c r="F840" s="391"/>
      <c r="G840" s="383"/>
      <c r="H840" s="177"/>
      <c r="I840" s="177"/>
      <c r="J840" s="177"/>
      <c r="K840" s="88"/>
      <c r="L840" s="383"/>
      <c r="M840" s="177"/>
      <c r="N840" s="177"/>
      <c r="O840" s="177"/>
      <c r="P840" s="88"/>
      <c r="Q840" s="151"/>
      <c r="R840" s="177"/>
      <c r="S840" s="177"/>
      <c r="T840" s="177"/>
      <c r="U840" s="391"/>
      <c r="V840" s="383"/>
      <c r="W840" s="177"/>
      <c r="X840" s="177"/>
      <c r="Y840" s="177"/>
      <c r="Z840" s="391"/>
      <c r="AA840" s="383"/>
      <c r="AB840" s="177"/>
      <c r="AC840" s="177"/>
      <c r="AD840" s="177"/>
      <c r="AE840" s="391"/>
      <c r="AF840" s="383"/>
      <c r="AG840" s="177"/>
      <c r="AH840" s="177"/>
      <c r="AI840" s="177"/>
      <c r="AJ840" s="391"/>
      <c r="AK840" s="383"/>
      <c r="AL840" s="177"/>
      <c r="AM840" s="177"/>
      <c r="AN840" s="177"/>
      <c r="AO840" s="366"/>
      <c r="AP840" s="366"/>
      <c r="AQ840" s="366"/>
      <c r="AR840" s="366"/>
      <c r="AS840" s="366"/>
    </row>
    <row r="841">
      <c r="A841" s="391"/>
      <c r="B841" s="383"/>
      <c r="C841" s="177"/>
      <c r="D841" s="177"/>
      <c r="E841" s="177"/>
      <c r="F841" s="391"/>
      <c r="G841" s="383"/>
      <c r="H841" s="177"/>
      <c r="I841" s="177"/>
      <c r="J841" s="177"/>
      <c r="K841" s="88"/>
      <c r="L841" s="383"/>
      <c r="M841" s="177"/>
      <c r="N841" s="177"/>
      <c r="O841" s="177"/>
      <c r="P841" s="88"/>
      <c r="Q841" s="151"/>
      <c r="R841" s="177"/>
      <c r="S841" s="177"/>
      <c r="T841" s="177"/>
      <c r="U841" s="391"/>
      <c r="V841" s="383"/>
      <c r="W841" s="177"/>
      <c r="X841" s="177"/>
      <c r="Y841" s="177"/>
      <c r="Z841" s="391"/>
      <c r="AA841" s="383"/>
      <c r="AB841" s="177"/>
      <c r="AC841" s="177"/>
      <c r="AD841" s="177"/>
      <c r="AE841" s="391"/>
      <c r="AF841" s="383"/>
      <c r="AG841" s="177"/>
      <c r="AH841" s="177"/>
      <c r="AI841" s="177"/>
      <c r="AJ841" s="391"/>
      <c r="AK841" s="383"/>
      <c r="AL841" s="177"/>
      <c r="AM841" s="177"/>
      <c r="AN841" s="177"/>
      <c r="AO841" s="366"/>
      <c r="AP841" s="366"/>
      <c r="AQ841" s="366"/>
      <c r="AR841" s="366"/>
      <c r="AS841" s="366"/>
    </row>
    <row r="842">
      <c r="A842" s="391"/>
      <c r="B842" s="383"/>
      <c r="C842" s="177"/>
      <c r="D842" s="177"/>
      <c r="E842" s="177"/>
      <c r="F842" s="391"/>
      <c r="G842" s="383"/>
      <c r="H842" s="177"/>
      <c r="I842" s="177"/>
      <c r="J842" s="177"/>
      <c r="K842" s="88"/>
      <c r="L842" s="383"/>
      <c r="M842" s="177"/>
      <c r="N842" s="177"/>
      <c r="O842" s="177"/>
      <c r="P842" s="88"/>
      <c r="Q842" s="151"/>
      <c r="R842" s="177"/>
      <c r="S842" s="177"/>
      <c r="T842" s="177"/>
      <c r="U842" s="391"/>
      <c r="V842" s="383"/>
      <c r="W842" s="177"/>
      <c r="X842" s="177"/>
      <c r="Y842" s="177"/>
      <c r="Z842" s="391"/>
      <c r="AA842" s="383"/>
      <c r="AB842" s="177"/>
      <c r="AC842" s="177"/>
      <c r="AD842" s="177"/>
      <c r="AE842" s="391"/>
      <c r="AF842" s="383"/>
      <c r="AG842" s="177"/>
      <c r="AH842" s="177"/>
      <c r="AI842" s="177"/>
      <c r="AJ842" s="391"/>
      <c r="AK842" s="383"/>
      <c r="AL842" s="177"/>
      <c r="AM842" s="177"/>
      <c r="AN842" s="177"/>
      <c r="AO842" s="366"/>
      <c r="AP842" s="366"/>
      <c r="AQ842" s="366"/>
      <c r="AR842" s="366"/>
      <c r="AS842" s="366"/>
    </row>
    <row r="843">
      <c r="A843" s="391"/>
      <c r="B843" s="383"/>
      <c r="C843" s="177"/>
      <c r="D843" s="177"/>
      <c r="E843" s="177"/>
      <c r="F843" s="391"/>
      <c r="G843" s="383"/>
      <c r="H843" s="177"/>
      <c r="I843" s="177"/>
      <c r="J843" s="177"/>
      <c r="K843" s="88"/>
      <c r="L843" s="383"/>
      <c r="M843" s="177"/>
      <c r="N843" s="177"/>
      <c r="O843" s="177"/>
      <c r="P843" s="88"/>
      <c r="Q843" s="151"/>
      <c r="R843" s="177"/>
      <c r="S843" s="177"/>
      <c r="T843" s="177"/>
      <c r="U843" s="391"/>
      <c r="V843" s="383"/>
      <c r="W843" s="177"/>
      <c r="X843" s="177"/>
      <c r="Y843" s="177"/>
      <c r="Z843" s="391"/>
      <c r="AA843" s="383"/>
      <c r="AB843" s="177"/>
      <c r="AC843" s="177"/>
      <c r="AD843" s="177"/>
      <c r="AE843" s="391"/>
      <c r="AF843" s="383"/>
      <c r="AG843" s="177"/>
      <c r="AH843" s="177"/>
      <c r="AI843" s="177"/>
      <c r="AJ843" s="391"/>
      <c r="AK843" s="383"/>
      <c r="AL843" s="177"/>
      <c r="AM843" s="177"/>
      <c r="AN843" s="177"/>
      <c r="AO843" s="366"/>
      <c r="AP843" s="366"/>
      <c r="AQ843" s="366"/>
      <c r="AR843" s="366"/>
      <c r="AS843" s="366"/>
    </row>
    <row r="844">
      <c r="A844" s="391"/>
      <c r="B844" s="383"/>
      <c r="C844" s="177"/>
      <c r="D844" s="177"/>
      <c r="E844" s="177"/>
      <c r="F844" s="391"/>
      <c r="G844" s="383"/>
      <c r="H844" s="177"/>
      <c r="I844" s="177"/>
      <c r="J844" s="177"/>
      <c r="K844" s="88"/>
      <c r="L844" s="383"/>
      <c r="M844" s="177"/>
      <c r="N844" s="177"/>
      <c r="O844" s="177"/>
      <c r="P844" s="88"/>
      <c r="Q844" s="151"/>
      <c r="R844" s="177"/>
      <c r="S844" s="177"/>
      <c r="T844" s="177"/>
      <c r="U844" s="391"/>
      <c r="V844" s="383"/>
      <c r="W844" s="177"/>
      <c r="X844" s="177"/>
      <c r="Y844" s="177"/>
      <c r="Z844" s="391"/>
      <c r="AA844" s="383"/>
      <c r="AB844" s="177"/>
      <c r="AC844" s="177"/>
      <c r="AD844" s="177"/>
      <c r="AE844" s="391"/>
      <c r="AF844" s="383"/>
      <c r="AG844" s="177"/>
      <c r="AH844" s="177"/>
      <c r="AI844" s="177"/>
      <c r="AJ844" s="391"/>
      <c r="AK844" s="383"/>
      <c r="AL844" s="177"/>
      <c r="AM844" s="177"/>
      <c r="AN844" s="177"/>
      <c r="AO844" s="366"/>
      <c r="AP844" s="366"/>
      <c r="AQ844" s="366"/>
      <c r="AR844" s="366"/>
      <c r="AS844" s="366"/>
    </row>
    <row r="845">
      <c r="A845" s="391"/>
      <c r="B845" s="383"/>
      <c r="C845" s="177"/>
      <c r="D845" s="177"/>
      <c r="E845" s="177"/>
      <c r="F845" s="391"/>
      <c r="G845" s="383"/>
      <c r="H845" s="177"/>
      <c r="I845" s="177"/>
      <c r="J845" s="177"/>
      <c r="K845" s="88"/>
      <c r="L845" s="383"/>
      <c r="M845" s="177"/>
      <c r="N845" s="177"/>
      <c r="O845" s="177"/>
      <c r="P845" s="88"/>
      <c r="Q845" s="151"/>
      <c r="R845" s="177"/>
      <c r="S845" s="177"/>
      <c r="T845" s="177"/>
      <c r="U845" s="391"/>
      <c r="V845" s="383"/>
      <c r="W845" s="177"/>
      <c r="X845" s="177"/>
      <c r="Y845" s="177"/>
      <c r="Z845" s="391"/>
      <c r="AA845" s="383"/>
      <c r="AB845" s="177"/>
      <c r="AC845" s="177"/>
      <c r="AD845" s="177"/>
      <c r="AE845" s="391"/>
      <c r="AF845" s="383"/>
      <c r="AG845" s="177"/>
      <c r="AH845" s="177"/>
      <c r="AI845" s="177"/>
      <c r="AJ845" s="391"/>
      <c r="AK845" s="383"/>
      <c r="AL845" s="177"/>
      <c r="AM845" s="177"/>
      <c r="AN845" s="177"/>
      <c r="AO845" s="366"/>
      <c r="AP845" s="366"/>
      <c r="AQ845" s="366"/>
      <c r="AR845" s="366"/>
      <c r="AS845" s="366"/>
    </row>
    <row r="846">
      <c r="A846" s="391"/>
      <c r="B846" s="383"/>
      <c r="C846" s="177"/>
      <c r="D846" s="177"/>
      <c r="E846" s="177"/>
      <c r="F846" s="391"/>
      <c r="G846" s="383"/>
      <c r="H846" s="177"/>
      <c r="I846" s="177"/>
      <c r="J846" s="177"/>
      <c r="K846" s="88"/>
      <c r="L846" s="383"/>
      <c r="M846" s="177"/>
      <c r="N846" s="177"/>
      <c r="O846" s="177"/>
      <c r="P846" s="88"/>
      <c r="Q846" s="151"/>
      <c r="R846" s="177"/>
      <c r="S846" s="177"/>
      <c r="T846" s="177"/>
      <c r="U846" s="391"/>
      <c r="V846" s="383"/>
      <c r="W846" s="177"/>
      <c r="X846" s="177"/>
      <c r="Y846" s="177"/>
      <c r="Z846" s="391"/>
      <c r="AA846" s="383"/>
      <c r="AB846" s="177"/>
      <c r="AC846" s="177"/>
      <c r="AD846" s="177"/>
      <c r="AE846" s="391"/>
      <c r="AF846" s="383"/>
      <c r="AG846" s="177"/>
      <c r="AH846" s="177"/>
      <c r="AI846" s="177"/>
      <c r="AJ846" s="391"/>
      <c r="AK846" s="383"/>
      <c r="AL846" s="177"/>
      <c r="AM846" s="177"/>
      <c r="AN846" s="177"/>
      <c r="AO846" s="366"/>
      <c r="AP846" s="366"/>
      <c r="AQ846" s="366"/>
      <c r="AR846" s="366"/>
      <c r="AS846" s="366"/>
    </row>
    <row r="847">
      <c r="A847" s="391"/>
      <c r="B847" s="383"/>
      <c r="C847" s="177"/>
      <c r="D847" s="177"/>
      <c r="E847" s="177"/>
      <c r="F847" s="391"/>
      <c r="G847" s="383"/>
      <c r="H847" s="177"/>
      <c r="I847" s="177"/>
      <c r="J847" s="177"/>
      <c r="K847" s="88"/>
      <c r="L847" s="383"/>
      <c r="M847" s="177"/>
      <c r="N847" s="177"/>
      <c r="O847" s="177"/>
      <c r="P847" s="88"/>
      <c r="Q847" s="151"/>
      <c r="R847" s="177"/>
      <c r="S847" s="177"/>
      <c r="T847" s="177"/>
      <c r="U847" s="391"/>
      <c r="V847" s="383"/>
      <c r="W847" s="177"/>
      <c r="X847" s="177"/>
      <c r="Y847" s="177"/>
      <c r="Z847" s="391"/>
      <c r="AA847" s="383"/>
      <c r="AB847" s="177"/>
      <c r="AC847" s="177"/>
      <c r="AD847" s="177"/>
      <c r="AE847" s="391"/>
      <c r="AF847" s="383"/>
      <c r="AG847" s="177"/>
      <c r="AH847" s="177"/>
      <c r="AI847" s="177"/>
      <c r="AJ847" s="391"/>
      <c r="AK847" s="383"/>
      <c r="AL847" s="177"/>
      <c r="AM847" s="177"/>
      <c r="AN847" s="177"/>
      <c r="AO847" s="366"/>
      <c r="AP847" s="366"/>
      <c r="AQ847" s="366"/>
      <c r="AR847" s="366"/>
      <c r="AS847" s="366"/>
    </row>
    <row r="848">
      <c r="A848" s="391"/>
      <c r="B848" s="383"/>
      <c r="C848" s="177"/>
      <c r="D848" s="177"/>
      <c r="E848" s="177"/>
      <c r="F848" s="391"/>
      <c r="G848" s="383"/>
      <c r="H848" s="177"/>
      <c r="I848" s="177"/>
      <c r="J848" s="177"/>
      <c r="K848" s="88"/>
      <c r="L848" s="383"/>
      <c r="M848" s="177"/>
      <c r="N848" s="177"/>
      <c r="O848" s="177"/>
      <c r="P848" s="88"/>
      <c r="Q848" s="151"/>
      <c r="R848" s="177"/>
      <c r="S848" s="177"/>
      <c r="T848" s="177"/>
      <c r="U848" s="391"/>
      <c r="V848" s="383"/>
      <c r="W848" s="177"/>
      <c r="X848" s="177"/>
      <c r="Y848" s="177"/>
      <c r="Z848" s="391"/>
      <c r="AA848" s="383"/>
      <c r="AB848" s="177"/>
      <c r="AC848" s="177"/>
      <c r="AD848" s="177"/>
      <c r="AE848" s="391"/>
      <c r="AF848" s="383"/>
      <c r="AG848" s="177"/>
      <c r="AH848" s="177"/>
      <c r="AI848" s="177"/>
      <c r="AJ848" s="391"/>
      <c r="AK848" s="383"/>
      <c r="AL848" s="177"/>
      <c r="AM848" s="177"/>
      <c r="AN848" s="177"/>
      <c r="AO848" s="366"/>
      <c r="AP848" s="366"/>
      <c r="AQ848" s="366"/>
      <c r="AR848" s="366"/>
      <c r="AS848" s="366"/>
    </row>
    <row r="849">
      <c r="A849" s="391"/>
      <c r="B849" s="383"/>
      <c r="C849" s="177"/>
      <c r="D849" s="177"/>
      <c r="E849" s="177"/>
      <c r="F849" s="391"/>
      <c r="G849" s="383"/>
      <c r="H849" s="177"/>
      <c r="I849" s="177"/>
      <c r="J849" s="177"/>
      <c r="K849" s="88"/>
      <c r="L849" s="383"/>
      <c r="M849" s="177"/>
      <c r="N849" s="177"/>
      <c r="O849" s="177"/>
      <c r="P849" s="88"/>
      <c r="Q849" s="151"/>
      <c r="R849" s="177"/>
      <c r="S849" s="177"/>
      <c r="T849" s="177"/>
      <c r="U849" s="391"/>
      <c r="V849" s="383"/>
      <c r="W849" s="177"/>
      <c r="X849" s="177"/>
      <c r="Y849" s="177"/>
      <c r="Z849" s="391"/>
      <c r="AA849" s="383"/>
      <c r="AB849" s="177"/>
      <c r="AC849" s="177"/>
      <c r="AD849" s="177"/>
      <c r="AE849" s="391"/>
      <c r="AF849" s="383"/>
      <c r="AG849" s="177"/>
      <c r="AH849" s="177"/>
      <c r="AI849" s="177"/>
      <c r="AJ849" s="391"/>
      <c r="AK849" s="383"/>
      <c r="AL849" s="177"/>
      <c r="AM849" s="177"/>
      <c r="AN849" s="177"/>
      <c r="AO849" s="366"/>
      <c r="AP849" s="366"/>
      <c r="AQ849" s="366"/>
      <c r="AR849" s="366"/>
      <c r="AS849" s="366"/>
    </row>
    <row r="850">
      <c r="A850" s="391"/>
      <c r="B850" s="383"/>
      <c r="C850" s="177"/>
      <c r="D850" s="177"/>
      <c r="E850" s="177"/>
      <c r="F850" s="391"/>
      <c r="G850" s="383"/>
      <c r="H850" s="177"/>
      <c r="I850" s="177"/>
      <c r="J850" s="177"/>
      <c r="K850" s="88"/>
      <c r="L850" s="383"/>
      <c r="M850" s="177"/>
      <c r="N850" s="177"/>
      <c r="O850" s="177"/>
      <c r="P850" s="88"/>
      <c r="Q850" s="151"/>
      <c r="R850" s="177"/>
      <c r="S850" s="177"/>
      <c r="T850" s="177"/>
      <c r="U850" s="391"/>
      <c r="V850" s="383"/>
      <c r="W850" s="177"/>
      <c r="X850" s="177"/>
      <c r="Y850" s="177"/>
      <c r="Z850" s="391"/>
      <c r="AA850" s="383"/>
      <c r="AB850" s="177"/>
      <c r="AC850" s="177"/>
      <c r="AD850" s="177"/>
      <c r="AE850" s="391"/>
      <c r="AF850" s="383"/>
      <c r="AG850" s="177"/>
      <c r="AH850" s="177"/>
      <c r="AI850" s="177"/>
      <c r="AJ850" s="391"/>
      <c r="AK850" s="383"/>
      <c r="AL850" s="177"/>
      <c r="AM850" s="177"/>
      <c r="AN850" s="177"/>
      <c r="AO850" s="366"/>
      <c r="AP850" s="366"/>
      <c r="AQ850" s="366"/>
      <c r="AR850" s="366"/>
      <c r="AS850" s="366"/>
    </row>
    <row r="851">
      <c r="A851" s="391"/>
      <c r="B851" s="383"/>
      <c r="C851" s="177"/>
      <c r="D851" s="177"/>
      <c r="E851" s="177"/>
      <c r="F851" s="391"/>
      <c r="G851" s="383"/>
      <c r="H851" s="177"/>
      <c r="I851" s="177"/>
      <c r="J851" s="177"/>
      <c r="K851" s="88"/>
      <c r="L851" s="383"/>
      <c r="M851" s="177"/>
      <c r="N851" s="177"/>
      <c r="O851" s="177"/>
      <c r="P851" s="88"/>
      <c r="Q851" s="151"/>
      <c r="R851" s="177"/>
      <c r="S851" s="177"/>
      <c r="T851" s="177"/>
      <c r="U851" s="391"/>
      <c r="V851" s="383"/>
      <c r="W851" s="177"/>
      <c r="X851" s="177"/>
      <c r="Y851" s="177"/>
      <c r="Z851" s="391"/>
      <c r="AA851" s="383"/>
      <c r="AB851" s="177"/>
      <c r="AC851" s="177"/>
      <c r="AD851" s="177"/>
      <c r="AE851" s="391"/>
      <c r="AF851" s="383"/>
      <c r="AG851" s="177"/>
      <c r="AH851" s="177"/>
      <c r="AI851" s="177"/>
      <c r="AJ851" s="391"/>
      <c r="AK851" s="383"/>
      <c r="AL851" s="177"/>
      <c r="AM851" s="177"/>
      <c r="AN851" s="177"/>
      <c r="AO851" s="366"/>
      <c r="AP851" s="366"/>
      <c r="AQ851" s="366"/>
      <c r="AR851" s="366"/>
      <c r="AS851" s="366"/>
    </row>
    <row r="852">
      <c r="A852" s="391"/>
      <c r="B852" s="383"/>
      <c r="C852" s="177"/>
      <c r="D852" s="177"/>
      <c r="E852" s="177"/>
      <c r="F852" s="391"/>
      <c r="G852" s="383"/>
      <c r="H852" s="177"/>
      <c r="I852" s="177"/>
      <c r="J852" s="177"/>
      <c r="K852" s="88"/>
      <c r="L852" s="383"/>
      <c r="M852" s="177"/>
      <c r="N852" s="177"/>
      <c r="O852" s="177"/>
      <c r="P852" s="88"/>
      <c r="Q852" s="151"/>
      <c r="R852" s="177"/>
      <c r="S852" s="177"/>
      <c r="T852" s="177"/>
      <c r="U852" s="391"/>
      <c r="V852" s="383"/>
      <c r="W852" s="177"/>
      <c r="X852" s="177"/>
      <c r="Y852" s="177"/>
      <c r="Z852" s="391"/>
      <c r="AA852" s="383"/>
      <c r="AB852" s="177"/>
      <c r="AC852" s="177"/>
      <c r="AD852" s="177"/>
      <c r="AE852" s="391"/>
      <c r="AF852" s="383"/>
      <c r="AG852" s="177"/>
      <c r="AH852" s="177"/>
      <c r="AI852" s="177"/>
      <c r="AJ852" s="391"/>
      <c r="AK852" s="383"/>
      <c r="AL852" s="177"/>
      <c r="AM852" s="177"/>
      <c r="AN852" s="177"/>
      <c r="AO852" s="366"/>
      <c r="AP852" s="366"/>
      <c r="AQ852" s="366"/>
      <c r="AR852" s="366"/>
      <c r="AS852" s="366"/>
    </row>
    <row r="853">
      <c r="A853" s="391"/>
      <c r="B853" s="383"/>
      <c r="C853" s="177"/>
      <c r="D853" s="177"/>
      <c r="E853" s="177"/>
      <c r="F853" s="391"/>
      <c r="G853" s="383"/>
      <c r="H853" s="177"/>
      <c r="I853" s="177"/>
      <c r="J853" s="177"/>
      <c r="K853" s="88"/>
      <c r="L853" s="383"/>
      <c r="M853" s="177"/>
      <c r="N853" s="177"/>
      <c r="O853" s="177"/>
      <c r="P853" s="88"/>
      <c r="Q853" s="151"/>
      <c r="R853" s="177"/>
      <c r="S853" s="177"/>
      <c r="T853" s="177"/>
      <c r="U853" s="391"/>
      <c r="V853" s="383"/>
      <c r="W853" s="177"/>
      <c r="X853" s="177"/>
      <c r="Y853" s="177"/>
      <c r="Z853" s="391"/>
      <c r="AA853" s="383"/>
      <c r="AB853" s="177"/>
      <c r="AC853" s="177"/>
      <c r="AD853" s="177"/>
      <c r="AE853" s="391"/>
      <c r="AF853" s="383"/>
      <c r="AG853" s="177"/>
      <c r="AH853" s="177"/>
      <c r="AI853" s="177"/>
      <c r="AJ853" s="391"/>
      <c r="AK853" s="383"/>
      <c r="AL853" s="177"/>
      <c r="AM853" s="177"/>
      <c r="AN853" s="177"/>
      <c r="AO853" s="366"/>
      <c r="AP853" s="366"/>
      <c r="AQ853" s="366"/>
      <c r="AR853" s="366"/>
      <c r="AS853" s="366"/>
    </row>
    <row r="854">
      <c r="A854" s="391"/>
      <c r="B854" s="383"/>
      <c r="C854" s="177"/>
      <c r="D854" s="177"/>
      <c r="E854" s="177"/>
      <c r="F854" s="391"/>
      <c r="G854" s="383"/>
      <c r="H854" s="177"/>
      <c r="I854" s="177"/>
      <c r="J854" s="177"/>
      <c r="K854" s="88"/>
      <c r="L854" s="383"/>
      <c r="M854" s="177"/>
      <c r="N854" s="177"/>
      <c r="O854" s="177"/>
      <c r="P854" s="88"/>
      <c r="Q854" s="151"/>
      <c r="R854" s="177"/>
      <c r="S854" s="177"/>
      <c r="T854" s="177"/>
      <c r="U854" s="391"/>
      <c r="V854" s="383"/>
      <c r="W854" s="177"/>
      <c r="X854" s="177"/>
      <c r="Y854" s="177"/>
      <c r="Z854" s="391"/>
      <c r="AA854" s="383"/>
      <c r="AB854" s="177"/>
      <c r="AC854" s="177"/>
      <c r="AD854" s="177"/>
      <c r="AE854" s="391"/>
      <c r="AF854" s="383"/>
      <c r="AG854" s="177"/>
      <c r="AH854" s="177"/>
      <c r="AI854" s="177"/>
      <c r="AJ854" s="391"/>
      <c r="AK854" s="383"/>
      <c r="AL854" s="177"/>
      <c r="AM854" s="177"/>
      <c r="AN854" s="177"/>
      <c r="AO854" s="366"/>
      <c r="AP854" s="366"/>
      <c r="AQ854" s="366"/>
      <c r="AR854" s="366"/>
      <c r="AS854" s="366"/>
    </row>
    <row r="855">
      <c r="A855" s="391"/>
      <c r="B855" s="383"/>
      <c r="C855" s="177"/>
      <c r="D855" s="177"/>
      <c r="E855" s="177"/>
      <c r="F855" s="391"/>
      <c r="G855" s="383"/>
      <c r="H855" s="177"/>
      <c r="I855" s="177"/>
      <c r="J855" s="177"/>
      <c r="K855" s="88"/>
      <c r="L855" s="383"/>
      <c r="M855" s="177"/>
      <c r="N855" s="177"/>
      <c r="O855" s="177"/>
      <c r="P855" s="88"/>
      <c r="Q855" s="151"/>
      <c r="R855" s="177"/>
      <c r="S855" s="177"/>
      <c r="T855" s="177"/>
      <c r="U855" s="391"/>
      <c r="V855" s="383"/>
      <c r="W855" s="177"/>
      <c r="X855" s="177"/>
      <c r="Y855" s="177"/>
      <c r="Z855" s="391"/>
      <c r="AA855" s="383"/>
      <c r="AB855" s="177"/>
      <c r="AC855" s="177"/>
      <c r="AD855" s="177"/>
      <c r="AE855" s="391"/>
      <c r="AF855" s="383"/>
      <c r="AG855" s="177"/>
      <c r="AH855" s="177"/>
      <c r="AI855" s="177"/>
      <c r="AJ855" s="391"/>
      <c r="AK855" s="383"/>
      <c r="AL855" s="177"/>
      <c r="AM855" s="177"/>
      <c r="AN855" s="177"/>
      <c r="AO855" s="366"/>
      <c r="AP855" s="366"/>
      <c r="AQ855" s="366"/>
      <c r="AR855" s="366"/>
      <c r="AS855" s="366"/>
    </row>
    <row r="856">
      <c r="A856" s="391"/>
      <c r="B856" s="383"/>
      <c r="C856" s="177"/>
      <c r="D856" s="177"/>
      <c r="E856" s="177"/>
      <c r="F856" s="391"/>
      <c r="G856" s="383"/>
      <c r="H856" s="177"/>
      <c r="I856" s="177"/>
      <c r="J856" s="177"/>
      <c r="K856" s="88"/>
      <c r="L856" s="383"/>
      <c r="M856" s="177"/>
      <c r="N856" s="177"/>
      <c r="O856" s="177"/>
      <c r="P856" s="88"/>
      <c r="Q856" s="151"/>
      <c r="R856" s="177"/>
      <c r="S856" s="177"/>
      <c r="T856" s="177"/>
      <c r="U856" s="391"/>
      <c r="V856" s="383"/>
      <c r="W856" s="177"/>
      <c r="X856" s="177"/>
      <c r="Y856" s="177"/>
      <c r="Z856" s="391"/>
      <c r="AA856" s="383"/>
      <c r="AB856" s="177"/>
      <c r="AC856" s="177"/>
      <c r="AD856" s="177"/>
      <c r="AE856" s="391"/>
      <c r="AF856" s="383"/>
      <c r="AG856" s="177"/>
      <c r="AH856" s="177"/>
      <c r="AI856" s="177"/>
      <c r="AJ856" s="391"/>
      <c r="AK856" s="383"/>
      <c r="AL856" s="177"/>
      <c r="AM856" s="177"/>
      <c r="AN856" s="177"/>
      <c r="AO856" s="366"/>
      <c r="AP856" s="366"/>
      <c r="AQ856" s="366"/>
      <c r="AR856" s="366"/>
      <c r="AS856" s="366"/>
    </row>
    <row r="857">
      <c r="A857" s="391"/>
      <c r="B857" s="383"/>
      <c r="C857" s="177"/>
      <c r="D857" s="177"/>
      <c r="E857" s="177"/>
      <c r="F857" s="391"/>
      <c r="G857" s="383"/>
      <c r="H857" s="177"/>
      <c r="I857" s="177"/>
      <c r="J857" s="177"/>
      <c r="K857" s="88"/>
      <c r="L857" s="383"/>
      <c r="M857" s="177"/>
      <c r="N857" s="177"/>
      <c r="O857" s="177"/>
      <c r="P857" s="88"/>
      <c r="Q857" s="151"/>
      <c r="R857" s="177"/>
      <c r="S857" s="177"/>
      <c r="T857" s="177"/>
      <c r="U857" s="391"/>
      <c r="V857" s="383"/>
      <c r="W857" s="177"/>
      <c r="X857" s="177"/>
      <c r="Y857" s="177"/>
      <c r="Z857" s="391"/>
      <c r="AA857" s="383"/>
      <c r="AB857" s="177"/>
      <c r="AC857" s="177"/>
      <c r="AD857" s="177"/>
      <c r="AE857" s="391"/>
      <c r="AF857" s="383"/>
      <c r="AG857" s="177"/>
      <c r="AH857" s="177"/>
      <c r="AI857" s="177"/>
      <c r="AJ857" s="391"/>
      <c r="AK857" s="383"/>
      <c r="AL857" s="177"/>
      <c r="AM857" s="177"/>
      <c r="AN857" s="177"/>
      <c r="AO857" s="366"/>
      <c r="AP857" s="366"/>
      <c r="AQ857" s="366"/>
      <c r="AR857" s="366"/>
      <c r="AS857" s="366"/>
    </row>
    <row r="858">
      <c r="A858" s="391"/>
      <c r="B858" s="383"/>
      <c r="C858" s="177"/>
      <c r="D858" s="177"/>
      <c r="E858" s="177"/>
      <c r="F858" s="391"/>
      <c r="G858" s="383"/>
      <c r="H858" s="177"/>
      <c r="I858" s="177"/>
      <c r="J858" s="177"/>
      <c r="K858" s="88"/>
      <c r="L858" s="383"/>
      <c r="M858" s="177"/>
      <c r="N858" s="177"/>
      <c r="O858" s="177"/>
      <c r="P858" s="88"/>
      <c r="Q858" s="151"/>
      <c r="R858" s="177"/>
      <c r="S858" s="177"/>
      <c r="T858" s="177"/>
      <c r="U858" s="391"/>
      <c r="V858" s="383"/>
      <c r="W858" s="177"/>
      <c r="X858" s="177"/>
      <c r="Y858" s="177"/>
      <c r="Z858" s="391"/>
      <c r="AA858" s="383"/>
      <c r="AB858" s="177"/>
      <c r="AC858" s="177"/>
      <c r="AD858" s="177"/>
      <c r="AE858" s="391"/>
      <c r="AF858" s="383"/>
      <c r="AG858" s="177"/>
      <c r="AH858" s="177"/>
      <c r="AI858" s="177"/>
      <c r="AJ858" s="391"/>
      <c r="AK858" s="383"/>
      <c r="AL858" s="177"/>
      <c r="AM858" s="177"/>
      <c r="AN858" s="177"/>
      <c r="AO858" s="366"/>
      <c r="AP858" s="366"/>
      <c r="AQ858" s="366"/>
      <c r="AR858" s="366"/>
      <c r="AS858" s="366"/>
    </row>
    <row r="859">
      <c r="A859" s="391"/>
      <c r="B859" s="383"/>
      <c r="C859" s="177"/>
      <c r="D859" s="177"/>
      <c r="E859" s="177"/>
      <c r="F859" s="391"/>
      <c r="G859" s="383"/>
      <c r="H859" s="177"/>
      <c r="I859" s="177"/>
      <c r="J859" s="177"/>
      <c r="K859" s="88"/>
      <c r="L859" s="383"/>
      <c r="M859" s="177"/>
      <c r="N859" s="177"/>
      <c r="O859" s="177"/>
      <c r="P859" s="88"/>
      <c r="Q859" s="151"/>
      <c r="R859" s="177"/>
      <c r="S859" s="177"/>
      <c r="T859" s="177"/>
      <c r="U859" s="391"/>
      <c r="V859" s="383"/>
      <c r="W859" s="177"/>
      <c r="X859" s="177"/>
      <c r="Y859" s="177"/>
      <c r="Z859" s="391"/>
      <c r="AA859" s="383"/>
      <c r="AB859" s="177"/>
      <c r="AC859" s="177"/>
      <c r="AD859" s="177"/>
      <c r="AE859" s="391"/>
      <c r="AF859" s="383"/>
      <c r="AG859" s="177"/>
      <c r="AH859" s="177"/>
      <c r="AI859" s="177"/>
      <c r="AJ859" s="391"/>
      <c r="AK859" s="383"/>
      <c r="AL859" s="177"/>
      <c r="AM859" s="177"/>
      <c r="AN859" s="177"/>
      <c r="AO859" s="366"/>
      <c r="AP859" s="366"/>
      <c r="AQ859" s="366"/>
      <c r="AR859" s="366"/>
      <c r="AS859" s="366"/>
    </row>
    <row r="860">
      <c r="A860" s="391"/>
      <c r="B860" s="383"/>
      <c r="C860" s="177"/>
      <c r="D860" s="177"/>
      <c r="E860" s="177"/>
      <c r="F860" s="391"/>
      <c r="G860" s="383"/>
      <c r="H860" s="177"/>
      <c r="I860" s="177"/>
      <c r="J860" s="177"/>
      <c r="K860" s="88"/>
      <c r="L860" s="383"/>
      <c r="M860" s="177"/>
      <c r="N860" s="177"/>
      <c r="O860" s="177"/>
      <c r="P860" s="88"/>
      <c r="Q860" s="151"/>
      <c r="R860" s="177"/>
      <c r="S860" s="177"/>
      <c r="T860" s="177"/>
      <c r="U860" s="391"/>
      <c r="V860" s="383"/>
      <c r="W860" s="177"/>
      <c r="X860" s="177"/>
      <c r="Y860" s="177"/>
      <c r="Z860" s="391"/>
      <c r="AA860" s="383"/>
      <c r="AB860" s="177"/>
      <c r="AC860" s="177"/>
      <c r="AD860" s="177"/>
      <c r="AE860" s="391"/>
      <c r="AF860" s="383"/>
      <c r="AG860" s="177"/>
      <c r="AH860" s="177"/>
      <c r="AI860" s="177"/>
      <c r="AJ860" s="391"/>
      <c r="AK860" s="383"/>
      <c r="AL860" s="177"/>
      <c r="AM860" s="177"/>
      <c r="AN860" s="177"/>
      <c r="AO860" s="366"/>
      <c r="AP860" s="366"/>
      <c r="AQ860" s="366"/>
      <c r="AR860" s="366"/>
      <c r="AS860" s="366"/>
    </row>
    <row r="861">
      <c r="A861" s="391"/>
      <c r="B861" s="383"/>
      <c r="C861" s="177"/>
      <c r="D861" s="177"/>
      <c r="E861" s="177"/>
      <c r="F861" s="391"/>
      <c r="G861" s="383"/>
      <c r="H861" s="177"/>
      <c r="I861" s="177"/>
      <c r="J861" s="177"/>
      <c r="K861" s="88"/>
      <c r="L861" s="383"/>
      <c r="M861" s="177"/>
      <c r="N861" s="177"/>
      <c r="O861" s="177"/>
      <c r="P861" s="88"/>
      <c r="Q861" s="151"/>
      <c r="R861" s="177"/>
      <c r="S861" s="177"/>
      <c r="T861" s="177"/>
      <c r="U861" s="391"/>
      <c r="V861" s="383"/>
      <c r="W861" s="177"/>
      <c r="X861" s="177"/>
      <c r="Y861" s="177"/>
      <c r="Z861" s="391"/>
      <c r="AA861" s="383"/>
      <c r="AB861" s="177"/>
      <c r="AC861" s="177"/>
      <c r="AD861" s="177"/>
      <c r="AE861" s="391"/>
      <c r="AF861" s="383"/>
      <c r="AG861" s="177"/>
      <c r="AH861" s="177"/>
      <c r="AI861" s="177"/>
      <c r="AJ861" s="391"/>
      <c r="AK861" s="383"/>
      <c r="AL861" s="177"/>
      <c r="AM861" s="177"/>
      <c r="AN861" s="177"/>
      <c r="AO861" s="366"/>
      <c r="AP861" s="366"/>
      <c r="AQ861" s="366"/>
      <c r="AR861" s="366"/>
      <c r="AS861" s="366"/>
    </row>
    <row r="862">
      <c r="A862" s="391"/>
      <c r="B862" s="383"/>
      <c r="C862" s="177"/>
      <c r="D862" s="177"/>
      <c r="E862" s="177"/>
      <c r="F862" s="391"/>
      <c r="G862" s="383"/>
      <c r="H862" s="177"/>
      <c r="I862" s="177"/>
      <c r="J862" s="177"/>
      <c r="K862" s="88"/>
      <c r="L862" s="383"/>
      <c r="M862" s="177"/>
      <c r="N862" s="177"/>
      <c r="O862" s="177"/>
      <c r="P862" s="88"/>
      <c r="Q862" s="151"/>
      <c r="R862" s="177"/>
      <c r="S862" s="177"/>
      <c r="T862" s="177"/>
      <c r="U862" s="391"/>
      <c r="V862" s="383"/>
      <c r="W862" s="177"/>
      <c r="X862" s="177"/>
      <c r="Y862" s="177"/>
      <c r="Z862" s="391"/>
      <c r="AA862" s="383"/>
      <c r="AB862" s="177"/>
      <c r="AC862" s="177"/>
      <c r="AD862" s="177"/>
      <c r="AE862" s="391"/>
      <c r="AF862" s="383"/>
      <c r="AG862" s="177"/>
      <c r="AH862" s="177"/>
      <c r="AI862" s="177"/>
      <c r="AJ862" s="391"/>
      <c r="AK862" s="383"/>
      <c r="AL862" s="177"/>
      <c r="AM862" s="177"/>
      <c r="AN862" s="177"/>
      <c r="AO862" s="366"/>
      <c r="AP862" s="366"/>
      <c r="AQ862" s="366"/>
      <c r="AR862" s="366"/>
      <c r="AS862" s="366"/>
    </row>
    <row r="863">
      <c r="A863" s="391"/>
      <c r="B863" s="383"/>
      <c r="C863" s="177"/>
      <c r="D863" s="177"/>
      <c r="E863" s="177"/>
      <c r="F863" s="391"/>
      <c r="G863" s="383"/>
      <c r="H863" s="177"/>
      <c r="I863" s="177"/>
      <c r="J863" s="177"/>
      <c r="K863" s="88"/>
      <c r="L863" s="383"/>
      <c r="M863" s="177"/>
      <c r="N863" s="177"/>
      <c r="O863" s="177"/>
      <c r="P863" s="88"/>
      <c r="Q863" s="151"/>
      <c r="R863" s="177"/>
      <c r="S863" s="177"/>
      <c r="T863" s="177"/>
      <c r="U863" s="391"/>
      <c r="V863" s="383"/>
      <c r="W863" s="177"/>
      <c r="X863" s="177"/>
      <c r="Y863" s="177"/>
      <c r="Z863" s="391"/>
      <c r="AA863" s="383"/>
      <c r="AB863" s="177"/>
      <c r="AC863" s="177"/>
      <c r="AD863" s="177"/>
      <c r="AE863" s="391"/>
      <c r="AF863" s="383"/>
      <c r="AG863" s="177"/>
      <c r="AH863" s="177"/>
      <c r="AI863" s="177"/>
      <c r="AJ863" s="391"/>
      <c r="AK863" s="383"/>
      <c r="AL863" s="177"/>
      <c r="AM863" s="177"/>
      <c r="AN863" s="177"/>
      <c r="AO863" s="366"/>
      <c r="AP863" s="366"/>
      <c r="AQ863" s="366"/>
      <c r="AR863" s="366"/>
      <c r="AS863" s="366"/>
    </row>
    <row r="864">
      <c r="A864" s="391"/>
      <c r="B864" s="383"/>
      <c r="C864" s="177"/>
      <c r="D864" s="177"/>
      <c r="E864" s="177"/>
      <c r="F864" s="391"/>
      <c r="G864" s="383"/>
      <c r="H864" s="177"/>
      <c r="I864" s="177"/>
      <c r="J864" s="177"/>
      <c r="K864" s="88"/>
      <c r="L864" s="383"/>
      <c r="M864" s="177"/>
      <c r="N864" s="177"/>
      <c r="O864" s="177"/>
      <c r="P864" s="88"/>
      <c r="Q864" s="151"/>
      <c r="R864" s="177"/>
      <c r="S864" s="177"/>
      <c r="T864" s="177"/>
      <c r="U864" s="391"/>
      <c r="V864" s="383"/>
      <c r="W864" s="177"/>
      <c r="X864" s="177"/>
      <c r="Y864" s="177"/>
      <c r="Z864" s="391"/>
      <c r="AA864" s="383"/>
      <c r="AB864" s="177"/>
      <c r="AC864" s="177"/>
      <c r="AD864" s="177"/>
      <c r="AE864" s="391"/>
      <c r="AF864" s="383"/>
      <c r="AG864" s="177"/>
      <c r="AH864" s="177"/>
      <c r="AI864" s="177"/>
      <c r="AJ864" s="391"/>
      <c r="AK864" s="383"/>
      <c r="AL864" s="177"/>
      <c r="AM864" s="177"/>
      <c r="AN864" s="177"/>
      <c r="AO864" s="366"/>
      <c r="AP864" s="366"/>
      <c r="AQ864" s="366"/>
      <c r="AR864" s="366"/>
      <c r="AS864" s="366"/>
    </row>
    <row r="865">
      <c r="A865" s="391"/>
      <c r="B865" s="383"/>
      <c r="C865" s="177"/>
      <c r="D865" s="177"/>
      <c r="E865" s="177"/>
      <c r="F865" s="391"/>
      <c r="G865" s="383"/>
      <c r="H865" s="177"/>
      <c r="I865" s="177"/>
      <c r="J865" s="177"/>
      <c r="K865" s="88"/>
      <c r="L865" s="383"/>
      <c r="M865" s="177"/>
      <c r="N865" s="177"/>
      <c r="O865" s="177"/>
      <c r="P865" s="88"/>
      <c r="Q865" s="151"/>
      <c r="R865" s="177"/>
      <c r="S865" s="177"/>
      <c r="T865" s="177"/>
      <c r="U865" s="391"/>
      <c r="V865" s="383"/>
      <c r="W865" s="177"/>
      <c r="X865" s="177"/>
      <c r="Y865" s="177"/>
      <c r="Z865" s="391"/>
      <c r="AA865" s="383"/>
      <c r="AB865" s="177"/>
      <c r="AC865" s="177"/>
      <c r="AD865" s="177"/>
      <c r="AE865" s="391"/>
      <c r="AF865" s="383"/>
      <c r="AG865" s="177"/>
      <c r="AH865" s="177"/>
      <c r="AI865" s="177"/>
      <c r="AJ865" s="391"/>
      <c r="AK865" s="383"/>
      <c r="AL865" s="177"/>
      <c r="AM865" s="177"/>
      <c r="AN865" s="177"/>
      <c r="AO865" s="366"/>
      <c r="AP865" s="366"/>
      <c r="AQ865" s="366"/>
      <c r="AR865" s="366"/>
      <c r="AS865" s="366"/>
    </row>
    <row r="866">
      <c r="A866" s="391"/>
      <c r="B866" s="383"/>
      <c r="C866" s="177"/>
      <c r="D866" s="177"/>
      <c r="E866" s="177"/>
      <c r="F866" s="391"/>
      <c r="G866" s="383"/>
      <c r="H866" s="177"/>
      <c r="I866" s="177"/>
      <c r="J866" s="177"/>
      <c r="K866" s="88"/>
      <c r="L866" s="383"/>
      <c r="M866" s="177"/>
      <c r="N866" s="177"/>
      <c r="O866" s="177"/>
      <c r="P866" s="88"/>
      <c r="Q866" s="151"/>
      <c r="R866" s="177"/>
      <c r="S866" s="177"/>
      <c r="T866" s="177"/>
      <c r="U866" s="391"/>
      <c r="V866" s="383"/>
      <c r="W866" s="177"/>
      <c r="X866" s="177"/>
      <c r="Y866" s="177"/>
      <c r="Z866" s="391"/>
      <c r="AA866" s="383"/>
      <c r="AB866" s="177"/>
      <c r="AC866" s="177"/>
      <c r="AD866" s="177"/>
      <c r="AE866" s="391"/>
      <c r="AF866" s="383"/>
      <c r="AG866" s="177"/>
      <c r="AH866" s="177"/>
      <c r="AI866" s="177"/>
      <c r="AJ866" s="391"/>
      <c r="AK866" s="383"/>
      <c r="AL866" s="177"/>
      <c r="AM866" s="177"/>
      <c r="AN866" s="177"/>
      <c r="AO866" s="366"/>
      <c r="AP866" s="366"/>
      <c r="AQ866" s="366"/>
      <c r="AR866" s="366"/>
      <c r="AS866" s="366"/>
    </row>
    <row r="867">
      <c r="A867" s="391"/>
      <c r="B867" s="383"/>
      <c r="C867" s="177"/>
      <c r="D867" s="177"/>
      <c r="E867" s="177"/>
      <c r="F867" s="391"/>
      <c r="G867" s="383"/>
      <c r="H867" s="177"/>
      <c r="I867" s="177"/>
      <c r="J867" s="177"/>
      <c r="K867" s="88"/>
      <c r="L867" s="383"/>
      <c r="M867" s="177"/>
      <c r="N867" s="177"/>
      <c r="O867" s="177"/>
      <c r="P867" s="88"/>
      <c r="Q867" s="151"/>
      <c r="R867" s="177"/>
      <c r="S867" s="177"/>
      <c r="T867" s="177"/>
      <c r="U867" s="391"/>
      <c r="V867" s="383"/>
      <c r="W867" s="177"/>
      <c r="X867" s="177"/>
      <c r="Y867" s="177"/>
      <c r="Z867" s="391"/>
      <c r="AA867" s="383"/>
      <c r="AB867" s="177"/>
      <c r="AC867" s="177"/>
      <c r="AD867" s="177"/>
      <c r="AE867" s="391"/>
      <c r="AF867" s="383"/>
      <c r="AG867" s="177"/>
      <c r="AH867" s="177"/>
      <c r="AI867" s="177"/>
      <c r="AJ867" s="391"/>
      <c r="AK867" s="383"/>
      <c r="AL867" s="177"/>
      <c r="AM867" s="177"/>
      <c r="AN867" s="177"/>
      <c r="AO867" s="366"/>
      <c r="AP867" s="366"/>
      <c r="AQ867" s="366"/>
      <c r="AR867" s="366"/>
      <c r="AS867" s="366"/>
    </row>
    <row r="868">
      <c r="A868" s="391"/>
      <c r="B868" s="383"/>
      <c r="C868" s="177"/>
      <c r="D868" s="177"/>
      <c r="E868" s="177"/>
      <c r="F868" s="391"/>
      <c r="G868" s="383"/>
      <c r="H868" s="177"/>
      <c r="I868" s="177"/>
      <c r="J868" s="177"/>
      <c r="K868" s="88"/>
      <c r="L868" s="383"/>
      <c r="M868" s="177"/>
      <c r="N868" s="177"/>
      <c r="O868" s="177"/>
      <c r="P868" s="88"/>
      <c r="Q868" s="151"/>
      <c r="R868" s="177"/>
      <c r="S868" s="177"/>
      <c r="T868" s="177"/>
      <c r="U868" s="391"/>
      <c r="V868" s="383"/>
      <c r="W868" s="177"/>
      <c r="X868" s="177"/>
      <c r="Y868" s="177"/>
      <c r="Z868" s="391"/>
      <c r="AA868" s="383"/>
      <c r="AB868" s="177"/>
      <c r="AC868" s="177"/>
      <c r="AD868" s="177"/>
      <c r="AE868" s="391"/>
      <c r="AF868" s="383"/>
      <c r="AG868" s="177"/>
      <c r="AH868" s="177"/>
      <c r="AI868" s="177"/>
      <c r="AJ868" s="391"/>
      <c r="AK868" s="383"/>
      <c r="AL868" s="177"/>
      <c r="AM868" s="177"/>
      <c r="AN868" s="177"/>
      <c r="AO868" s="366"/>
      <c r="AP868" s="366"/>
      <c r="AQ868" s="366"/>
      <c r="AR868" s="366"/>
      <c r="AS868" s="366"/>
    </row>
    <row r="869">
      <c r="A869" s="391"/>
      <c r="B869" s="383"/>
      <c r="C869" s="177"/>
      <c r="D869" s="177"/>
      <c r="E869" s="177"/>
      <c r="F869" s="391"/>
      <c r="G869" s="383"/>
      <c r="H869" s="177"/>
      <c r="I869" s="177"/>
      <c r="J869" s="177"/>
      <c r="K869" s="88"/>
      <c r="L869" s="383"/>
      <c r="M869" s="177"/>
      <c r="N869" s="177"/>
      <c r="O869" s="177"/>
      <c r="P869" s="88"/>
      <c r="Q869" s="151"/>
      <c r="R869" s="177"/>
      <c r="S869" s="177"/>
      <c r="T869" s="177"/>
      <c r="U869" s="391"/>
      <c r="V869" s="383"/>
      <c r="W869" s="177"/>
      <c r="X869" s="177"/>
      <c r="Y869" s="177"/>
      <c r="Z869" s="391"/>
      <c r="AA869" s="383"/>
      <c r="AB869" s="177"/>
      <c r="AC869" s="177"/>
      <c r="AD869" s="177"/>
      <c r="AE869" s="391"/>
      <c r="AF869" s="383"/>
      <c r="AG869" s="177"/>
      <c r="AH869" s="177"/>
      <c r="AI869" s="177"/>
      <c r="AJ869" s="391"/>
      <c r="AK869" s="383"/>
      <c r="AL869" s="177"/>
      <c r="AM869" s="177"/>
      <c r="AN869" s="177"/>
      <c r="AO869" s="366"/>
      <c r="AP869" s="366"/>
      <c r="AQ869" s="366"/>
      <c r="AR869" s="366"/>
      <c r="AS869" s="366"/>
    </row>
    <row r="870">
      <c r="A870" s="391"/>
      <c r="B870" s="383"/>
      <c r="C870" s="177"/>
      <c r="D870" s="177"/>
      <c r="E870" s="177"/>
      <c r="F870" s="391"/>
      <c r="G870" s="383"/>
      <c r="H870" s="177"/>
      <c r="I870" s="177"/>
      <c r="J870" s="177"/>
      <c r="K870" s="88"/>
      <c r="L870" s="383"/>
      <c r="M870" s="177"/>
      <c r="N870" s="177"/>
      <c r="O870" s="177"/>
      <c r="P870" s="88"/>
      <c r="Q870" s="151"/>
      <c r="R870" s="177"/>
      <c r="S870" s="177"/>
      <c r="T870" s="177"/>
      <c r="U870" s="391"/>
      <c r="V870" s="383"/>
      <c r="W870" s="177"/>
      <c r="X870" s="177"/>
      <c r="Y870" s="177"/>
      <c r="Z870" s="391"/>
      <c r="AA870" s="383"/>
      <c r="AB870" s="177"/>
      <c r="AC870" s="177"/>
      <c r="AD870" s="177"/>
      <c r="AE870" s="391"/>
      <c r="AF870" s="383"/>
      <c r="AG870" s="177"/>
      <c r="AH870" s="177"/>
      <c r="AI870" s="177"/>
      <c r="AJ870" s="391"/>
      <c r="AK870" s="383"/>
      <c r="AL870" s="177"/>
      <c r="AM870" s="177"/>
      <c r="AN870" s="177"/>
      <c r="AO870" s="366"/>
      <c r="AP870" s="366"/>
      <c r="AQ870" s="366"/>
      <c r="AR870" s="366"/>
      <c r="AS870" s="366"/>
    </row>
    <row r="871">
      <c r="A871" s="391"/>
      <c r="B871" s="383"/>
      <c r="C871" s="177"/>
      <c r="D871" s="177"/>
      <c r="E871" s="177"/>
      <c r="F871" s="391"/>
      <c r="G871" s="383"/>
      <c r="H871" s="177"/>
      <c r="I871" s="177"/>
      <c r="J871" s="177"/>
      <c r="K871" s="88"/>
      <c r="L871" s="383"/>
      <c r="M871" s="177"/>
      <c r="N871" s="177"/>
      <c r="O871" s="177"/>
      <c r="P871" s="88"/>
      <c r="Q871" s="151"/>
      <c r="R871" s="177"/>
      <c r="S871" s="177"/>
      <c r="T871" s="177"/>
      <c r="U871" s="391"/>
      <c r="V871" s="383"/>
      <c r="W871" s="177"/>
      <c r="X871" s="177"/>
      <c r="Y871" s="177"/>
      <c r="Z871" s="391"/>
      <c r="AA871" s="383"/>
      <c r="AB871" s="177"/>
      <c r="AC871" s="177"/>
      <c r="AD871" s="177"/>
      <c r="AE871" s="391"/>
      <c r="AF871" s="383"/>
      <c r="AG871" s="177"/>
      <c r="AH871" s="177"/>
      <c r="AI871" s="177"/>
      <c r="AJ871" s="391"/>
      <c r="AK871" s="383"/>
      <c r="AL871" s="177"/>
      <c r="AM871" s="177"/>
      <c r="AN871" s="177"/>
      <c r="AO871" s="366"/>
      <c r="AP871" s="366"/>
      <c r="AQ871" s="366"/>
      <c r="AR871" s="366"/>
      <c r="AS871" s="366"/>
    </row>
    <row r="872">
      <c r="A872" s="391"/>
      <c r="B872" s="383"/>
      <c r="C872" s="177"/>
      <c r="D872" s="177"/>
      <c r="E872" s="177"/>
      <c r="F872" s="391"/>
      <c r="G872" s="383"/>
      <c r="H872" s="177"/>
      <c r="I872" s="177"/>
      <c r="J872" s="177"/>
      <c r="K872" s="88"/>
      <c r="L872" s="383"/>
      <c r="M872" s="177"/>
      <c r="N872" s="177"/>
      <c r="O872" s="177"/>
      <c r="P872" s="88"/>
      <c r="Q872" s="151"/>
      <c r="R872" s="177"/>
      <c r="S872" s="177"/>
      <c r="T872" s="177"/>
      <c r="U872" s="391"/>
      <c r="V872" s="383"/>
      <c r="W872" s="177"/>
      <c r="X872" s="177"/>
      <c r="Y872" s="177"/>
      <c r="Z872" s="391"/>
      <c r="AA872" s="383"/>
      <c r="AB872" s="177"/>
      <c r="AC872" s="177"/>
      <c r="AD872" s="177"/>
      <c r="AE872" s="391"/>
      <c r="AF872" s="383"/>
      <c r="AG872" s="177"/>
      <c r="AH872" s="177"/>
      <c r="AI872" s="177"/>
      <c r="AJ872" s="391"/>
      <c r="AK872" s="383"/>
      <c r="AL872" s="177"/>
      <c r="AM872" s="177"/>
      <c r="AN872" s="177"/>
      <c r="AO872" s="366"/>
      <c r="AP872" s="366"/>
      <c r="AQ872" s="366"/>
      <c r="AR872" s="366"/>
      <c r="AS872" s="366"/>
    </row>
    <row r="873">
      <c r="A873" s="391"/>
      <c r="B873" s="383"/>
      <c r="C873" s="177"/>
      <c r="D873" s="177"/>
      <c r="E873" s="177"/>
      <c r="F873" s="391"/>
      <c r="G873" s="383"/>
      <c r="H873" s="177"/>
      <c r="I873" s="177"/>
      <c r="J873" s="177"/>
      <c r="K873" s="88"/>
      <c r="L873" s="383"/>
      <c r="M873" s="177"/>
      <c r="N873" s="177"/>
      <c r="O873" s="177"/>
      <c r="P873" s="88"/>
      <c r="Q873" s="151"/>
      <c r="R873" s="177"/>
      <c r="S873" s="177"/>
      <c r="T873" s="177"/>
      <c r="U873" s="391"/>
      <c r="V873" s="383"/>
      <c r="W873" s="177"/>
      <c r="X873" s="177"/>
      <c r="Y873" s="177"/>
      <c r="Z873" s="391"/>
      <c r="AA873" s="383"/>
      <c r="AB873" s="177"/>
      <c r="AC873" s="177"/>
      <c r="AD873" s="177"/>
      <c r="AE873" s="391"/>
      <c r="AF873" s="383"/>
      <c r="AG873" s="177"/>
      <c r="AH873" s="177"/>
      <c r="AI873" s="177"/>
      <c r="AJ873" s="391"/>
      <c r="AK873" s="383"/>
      <c r="AL873" s="177"/>
      <c r="AM873" s="177"/>
      <c r="AN873" s="177"/>
      <c r="AO873" s="366"/>
      <c r="AP873" s="366"/>
      <c r="AQ873" s="366"/>
      <c r="AR873" s="366"/>
      <c r="AS873" s="366"/>
    </row>
    <row r="874">
      <c r="A874" s="391"/>
      <c r="B874" s="383"/>
      <c r="C874" s="177"/>
      <c r="D874" s="177"/>
      <c r="E874" s="177"/>
      <c r="F874" s="391"/>
      <c r="G874" s="383"/>
      <c r="H874" s="177"/>
      <c r="I874" s="177"/>
      <c r="J874" s="177"/>
      <c r="K874" s="88"/>
      <c r="L874" s="383"/>
      <c r="M874" s="177"/>
      <c r="N874" s="177"/>
      <c r="O874" s="177"/>
      <c r="P874" s="88"/>
      <c r="Q874" s="151"/>
      <c r="R874" s="177"/>
      <c r="S874" s="177"/>
      <c r="T874" s="177"/>
      <c r="U874" s="391"/>
      <c r="V874" s="383"/>
      <c r="W874" s="177"/>
      <c r="X874" s="177"/>
      <c r="Y874" s="177"/>
      <c r="Z874" s="391"/>
      <c r="AA874" s="383"/>
      <c r="AB874" s="177"/>
      <c r="AC874" s="177"/>
      <c r="AD874" s="177"/>
      <c r="AE874" s="391"/>
      <c r="AF874" s="383"/>
      <c r="AG874" s="177"/>
      <c r="AH874" s="177"/>
      <c r="AI874" s="177"/>
      <c r="AJ874" s="391"/>
      <c r="AK874" s="383"/>
      <c r="AL874" s="177"/>
      <c r="AM874" s="177"/>
      <c r="AN874" s="177"/>
      <c r="AO874" s="366"/>
      <c r="AP874" s="366"/>
      <c r="AQ874" s="366"/>
      <c r="AR874" s="366"/>
      <c r="AS874" s="366"/>
    </row>
    <row r="875">
      <c r="A875" s="391"/>
      <c r="B875" s="383"/>
      <c r="C875" s="177"/>
      <c r="D875" s="177"/>
      <c r="E875" s="177"/>
      <c r="F875" s="391"/>
      <c r="G875" s="383"/>
      <c r="H875" s="177"/>
      <c r="I875" s="177"/>
      <c r="J875" s="177"/>
      <c r="K875" s="88"/>
      <c r="L875" s="383"/>
      <c r="M875" s="177"/>
      <c r="N875" s="177"/>
      <c r="O875" s="177"/>
      <c r="P875" s="88"/>
      <c r="Q875" s="151"/>
      <c r="R875" s="177"/>
      <c r="S875" s="177"/>
      <c r="T875" s="177"/>
      <c r="U875" s="391"/>
      <c r="V875" s="383"/>
      <c r="W875" s="177"/>
      <c r="X875" s="177"/>
      <c r="Y875" s="177"/>
      <c r="Z875" s="391"/>
      <c r="AA875" s="383"/>
      <c r="AB875" s="177"/>
      <c r="AC875" s="177"/>
      <c r="AD875" s="177"/>
      <c r="AE875" s="391"/>
      <c r="AF875" s="383"/>
      <c r="AG875" s="177"/>
      <c r="AH875" s="177"/>
      <c r="AI875" s="177"/>
      <c r="AJ875" s="391"/>
      <c r="AK875" s="383"/>
      <c r="AL875" s="177"/>
      <c r="AM875" s="177"/>
      <c r="AN875" s="177"/>
      <c r="AO875" s="366"/>
      <c r="AP875" s="366"/>
      <c r="AQ875" s="366"/>
      <c r="AR875" s="366"/>
      <c r="AS875" s="366"/>
    </row>
    <row r="876">
      <c r="A876" s="391"/>
      <c r="B876" s="383"/>
      <c r="C876" s="177"/>
      <c r="D876" s="177"/>
      <c r="E876" s="177"/>
      <c r="F876" s="391"/>
      <c r="G876" s="383"/>
      <c r="H876" s="177"/>
      <c r="I876" s="177"/>
      <c r="J876" s="177"/>
      <c r="K876" s="88"/>
      <c r="L876" s="383"/>
      <c r="M876" s="177"/>
      <c r="N876" s="177"/>
      <c r="O876" s="177"/>
      <c r="P876" s="88"/>
      <c r="Q876" s="151"/>
      <c r="R876" s="177"/>
      <c r="S876" s="177"/>
      <c r="T876" s="177"/>
      <c r="U876" s="391"/>
      <c r="V876" s="383"/>
      <c r="W876" s="177"/>
      <c r="X876" s="177"/>
      <c r="Y876" s="177"/>
      <c r="Z876" s="391"/>
      <c r="AA876" s="383"/>
      <c r="AB876" s="177"/>
      <c r="AC876" s="177"/>
      <c r="AD876" s="177"/>
      <c r="AE876" s="391"/>
      <c r="AF876" s="383"/>
      <c r="AG876" s="177"/>
      <c r="AH876" s="177"/>
      <c r="AI876" s="177"/>
      <c r="AJ876" s="391"/>
      <c r="AK876" s="383"/>
      <c r="AL876" s="177"/>
      <c r="AM876" s="177"/>
      <c r="AN876" s="177"/>
      <c r="AO876" s="366"/>
      <c r="AP876" s="366"/>
      <c r="AQ876" s="366"/>
      <c r="AR876" s="366"/>
      <c r="AS876" s="366"/>
    </row>
    <row r="877">
      <c r="A877" s="391"/>
      <c r="B877" s="383"/>
      <c r="C877" s="177"/>
      <c r="D877" s="177"/>
      <c r="E877" s="177"/>
      <c r="F877" s="391"/>
      <c r="G877" s="383"/>
      <c r="H877" s="177"/>
      <c r="I877" s="177"/>
      <c r="J877" s="177"/>
      <c r="K877" s="88"/>
      <c r="L877" s="383"/>
      <c r="M877" s="177"/>
      <c r="N877" s="177"/>
      <c r="O877" s="177"/>
      <c r="P877" s="88"/>
      <c r="Q877" s="151"/>
      <c r="R877" s="177"/>
      <c r="S877" s="177"/>
      <c r="T877" s="177"/>
      <c r="U877" s="391"/>
      <c r="V877" s="383"/>
      <c r="W877" s="177"/>
      <c r="X877" s="177"/>
      <c r="Y877" s="177"/>
      <c r="Z877" s="391"/>
      <c r="AA877" s="383"/>
      <c r="AB877" s="177"/>
      <c r="AC877" s="177"/>
      <c r="AD877" s="177"/>
      <c r="AE877" s="391"/>
      <c r="AF877" s="383"/>
      <c r="AG877" s="177"/>
      <c r="AH877" s="177"/>
      <c r="AI877" s="177"/>
      <c r="AJ877" s="391"/>
      <c r="AK877" s="383"/>
      <c r="AL877" s="177"/>
      <c r="AM877" s="177"/>
      <c r="AN877" s="177"/>
      <c r="AO877" s="366"/>
      <c r="AP877" s="366"/>
      <c r="AQ877" s="366"/>
      <c r="AR877" s="366"/>
      <c r="AS877" s="366"/>
    </row>
    <row r="878">
      <c r="A878" s="391"/>
      <c r="B878" s="383"/>
      <c r="C878" s="177"/>
      <c r="D878" s="177"/>
      <c r="E878" s="177"/>
      <c r="F878" s="391"/>
      <c r="G878" s="383"/>
      <c r="H878" s="177"/>
      <c r="I878" s="177"/>
      <c r="J878" s="177"/>
      <c r="K878" s="88"/>
      <c r="L878" s="383"/>
      <c r="M878" s="177"/>
      <c r="N878" s="177"/>
      <c r="O878" s="177"/>
      <c r="P878" s="88"/>
      <c r="Q878" s="151"/>
      <c r="R878" s="177"/>
      <c r="S878" s="177"/>
      <c r="T878" s="177"/>
      <c r="U878" s="391"/>
      <c r="V878" s="383"/>
      <c r="W878" s="177"/>
      <c r="X878" s="177"/>
      <c r="Y878" s="177"/>
      <c r="Z878" s="391"/>
      <c r="AA878" s="383"/>
      <c r="AB878" s="177"/>
      <c r="AC878" s="177"/>
      <c r="AD878" s="177"/>
      <c r="AE878" s="391"/>
      <c r="AF878" s="383"/>
      <c r="AG878" s="177"/>
      <c r="AH878" s="177"/>
      <c r="AI878" s="177"/>
      <c r="AJ878" s="391"/>
      <c r="AK878" s="383"/>
      <c r="AL878" s="177"/>
      <c r="AM878" s="177"/>
      <c r="AN878" s="177"/>
      <c r="AO878" s="366"/>
      <c r="AP878" s="366"/>
      <c r="AQ878" s="366"/>
      <c r="AR878" s="366"/>
      <c r="AS878" s="366"/>
    </row>
    <row r="879">
      <c r="A879" s="391"/>
      <c r="B879" s="383"/>
      <c r="C879" s="177"/>
      <c r="D879" s="177"/>
      <c r="E879" s="177"/>
      <c r="F879" s="391"/>
      <c r="G879" s="383"/>
      <c r="H879" s="177"/>
      <c r="I879" s="177"/>
      <c r="J879" s="177"/>
      <c r="K879" s="88"/>
      <c r="L879" s="383"/>
      <c r="M879" s="177"/>
      <c r="N879" s="177"/>
      <c r="O879" s="177"/>
      <c r="P879" s="88"/>
      <c r="Q879" s="151"/>
      <c r="R879" s="177"/>
      <c r="S879" s="177"/>
      <c r="T879" s="177"/>
      <c r="U879" s="391"/>
      <c r="V879" s="383"/>
      <c r="W879" s="177"/>
      <c r="X879" s="177"/>
      <c r="Y879" s="177"/>
      <c r="Z879" s="391"/>
      <c r="AA879" s="383"/>
      <c r="AB879" s="177"/>
      <c r="AC879" s="177"/>
      <c r="AD879" s="177"/>
      <c r="AE879" s="391"/>
      <c r="AF879" s="383"/>
      <c r="AG879" s="177"/>
      <c r="AH879" s="177"/>
      <c r="AI879" s="177"/>
      <c r="AJ879" s="391"/>
      <c r="AK879" s="383"/>
      <c r="AL879" s="177"/>
      <c r="AM879" s="177"/>
      <c r="AN879" s="177"/>
      <c r="AO879" s="366"/>
      <c r="AP879" s="366"/>
      <c r="AQ879" s="366"/>
      <c r="AR879" s="366"/>
      <c r="AS879" s="366"/>
    </row>
    <row r="880">
      <c r="A880" s="391"/>
      <c r="B880" s="383"/>
      <c r="C880" s="177"/>
      <c r="D880" s="177"/>
      <c r="E880" s="177"/>
      <c r="F880" s="391"/>
      <c r="G880" s="383"/>
      <c r="H880" s="177"/>
      <c r="I880" s="177"/>
      <c r="J880" s="177"/>
      <c r="K880" s="88"/>
      <c r="L880" s="383"/>
      <c r="M880" s="177"/>
      <c r="N880" s="177"/>
      <c r="O880" s="177"/>
      <c r="P880" s="88"/>
      <c r="Q880" s="151"/>
      <c r="R880" s="177"/>
      <c r="S880" s="177"/>
      <c r="T880" s="177"/>
      <c r="U880" s="391"/>
      <c r="V880" s="383"/>
      <c r="W880" s="177"/>
      <c r="X880" s="177"/>
      <c r="Y880" s="177"/>
      <c r="Z880" s="391"/>
      <c r="AA880" s="383"/>
      <c r="AB880" s="177"/>
      <c r="AC880" s="177"/>
      <c r="AD880" s="177"/>
      <c r="AE880" s="391"/>
      <c r="AF880" s="383"/>
      <c r="AG880" s="177"/>
      <c r="AH880" s="177"/>
      <c r="AI880" s="177"/>
      <c r="AJ880" s="391"/>
      <c r="AK880" s="383"/>
      <c r="AL880" s="177"/>
      <c r="AM880" s="177"/>
      <c r="AN880" s="177"/>
      <c r="AO880" s="366"/>
      <c r="AP880" s="366"/>
      <c r="AQ880" s="366"/>
      <c r="AR880" s="366"/>
      <c r="AS880" s="366"/>
    </row>
    <row r="881">
      <c r="A881" s="391"/>
      <c r="B881" s="383"/>
      <c r="C881" s="177"/>
      <c r="D881" s="177"/>
      <c r="E881" s="177"/>
      <c r="F881" s="391"/>
      <c r="G881" s="383"/>
      <c r="H881" s="177"/>
      <c r="I881" s="177"/>
      <c r="J881" s="177"/>
      <c r="K881" s="88"/>
      <c r="L881" s="383"/>
      <c r="M881" s="177"/>
      <c r="N881" s="177"/>
      <c r="O881" s="177"/>
      <c r="P881" s="88"/>
      <c r="Q881" s="151"/>
      <c r="R881" s="177"/>
      <c r="S881" s="177"/>
      <c r="T881" s="177"/>
      <c r="U881" s="391"/>
      <c r="V881" s="383"/>
      <c r="W881" s="177"/>
      <c r="X881" s="177"/>
      <c r="Y881" s="177"/>
      <c r="Z881" s="391"/>
      <c r="AA881" s="383"/>
      <c r="AB881" s="177"/>
      <c r="AC881" s="177"/>
      <c r="AD881" s="177"/>
      <c r="AE881" s="391"/>
      <c r="AF881" s="383"/>
      <c r="AG881" s="177"/>
      <c r="AH881" s="177"/>
      <c r="AI881" s="177"/>
      <c r="AJ881" s="391"/>
      <c r="AK881" s="383"/>
      <c r="AL881" s="177"/>
      <c r="AM881" s="177"/>
      <c r="AN881" s="177"/>
      <c r="AO881" s="366"/>
      <c r="AP881" s="366"/>
      <c r="AQ881" s="366"/>
      <c r="AR881" s="366"/>
      <c r="AS881" s="366"/>
    </row>
    <row r="882">
      <c r="A882" s="391"/>
      <c r="B882" s="383"/>
      <c r="C882" s="177"/>
      <c r="D882" s="177"/>
      <c r="E882" s="177"/>
      <c r="F882" s="391"/>
      <c r="G882" s="383"/>
      <c r="H882" s="177"/>
      <c r="I882" s="177"/>
      <c r="J882" s="177"/>
      <c r="K882" s="88"/>
      <c r="L882" s="383"/>
      <c r="M882" s="177"/>
      <c r="N882" s="177"/>
      <c r="O882" s="177"/>
      <c r="P882" s="88"/>
      <c r="Q882" s="151"/>
      <c r="R882" s="177"/>
      <c r="S882" s="177"/>
      <c r="T882" s="177"/>
      <c r="U882" s="391"/>
      <c r="V882" s="383"/>
      <c r="W882" s="177"/>
      <c r="X882" s="177"/>
      <c r="Y882" s="177"/>
      <c r="Z882" s="391"/>
      <c r="AA882" s="383"/>
      <c r="AB882" s="177"/>
      <c r="AC882" s="177"/>
      <c r="AD882" s="177"/>
      <c r="AE882" s="391"/>
      <c r="AF882" s="383"/>
      <c r="AG882" s="177"/>
      <c r="AH882" s="177"/>
      <c r="AI882" s="177"/>
      <c r="AJ882" s="391"/>
      <c r="AK882" s="383"/>
      <c r="AL882" s="177"/>
      <c r="AM882" s="177"/>
      <c r="AN882" s="177"/>
      <c r="AO882" s="366"/>
      <c r="AP882" s="366"/>
      <c r="AQ882" s="366"/>
      <c r="AR882" s="366"/>
      <c r="AS882" s="366"/>
    </row>
    <row r="883">
      <c r="A883" s="391"/>
      <c r="B883" s="383"/>
      <c r="C883" s="177"/>
      <c r="D883" s="177"/>
      <c r="E883" s="177"/>
      <c r="F883" s="391"/>
      <c r="G883" s="383"/>
      <c r="H883" s="177"/>
      <c r="I883" s="177"/>
      <c r="J883" s="177"/>
      <c r="K883" s="88"/>
      <c r="L883" s="383"/>
      <c r="M883" s="177"/>
      <c r="N883" s="177"/>
      <c r="O883" s="177"/>
      <c r="P883" s="88"/>
      <c r="Q883" s="151"/>
      <c r="R883" s="177"/>
      <c r="S883" s="177"/>
      <c r="T883" s="177"/>
      <c r="U883" s="391"/>
      <c r="V883" s="383"/>
      <c r="W883" s="177"/>
      <c r="X883" s="177"/>
      <c r="Y883" s="177"/>
      <c r="Z883" s="391"/>
      <c r="AA883" s="383"/>
      <c r="AB883" s="177"/>
      <c r="AC883" s="177"/>
      <c r="AD883" s="177"/>
      <c r="AE883" s="391"/>
      <c r="AF883" s="383"/>
      <c r="AG883" s="177"/>
      <c r="AH883" s="177"/>
      <c r="AI883" s="177"/>
      <c r="AJ883" s="391"/>
      <c r="AK883" s="383"/>
      <c r="AL883" s="177"/>
      <c r="AM883" s="177"/>
      <c r="AN883" s="177"/>
      <c r="AO883" s="366"/>
      <c r="AP883" s="366"/>
      <c r="AQ883" s="366"/>
      <c r="AR883" s="366"/>
      <c r="AS883" s="366"/>
    </row>
    <row r="884">
      <c r="A884" s="391"/>
      <c r="B884" s="383"/>
      <c r="C884" s="177"/>
      <c r="D884" s="177"/>
      <c r="E884" s="177"/>
      <c r="F884" s="391"/>
      <c r="G884" s="383"/>
      <c r="H884" s="177"/>
      <c r="I884" s="177"/>
      <c r="J884" s="177"/>
      <c r="K884" s="88"/>
      <c r="L884" s="383"/>
      <c r="M884" s="177"/>
      <c r="N884" s="177"/>
      <c r="O884" s="177"/>
      <c r="P884" s="88"/>
      <c r="Q884" s="151"/>
      <c r="R884" s="177"/>
      <c r="S884" s="177"/>
      <c r="T884" s="177"/>
      <c r="U884" s="391"/>
      <c r="V884" s="383"/>
      <c r="W884" s="177"/>
      <c r="X884" s="177"/>
      <c r="Y884" s="177"/>
      <c r="Z884" s="391"/>
      <c r="AA884" s="383"/>
      <c r="AB884" s="177"/>
      <c r="AC884" s="177"/>
      <c r="AD884" s="177"/>
      <c r="AE884" s="391"/>
      <c r="AF884" s="383"/>
      <c r="AG884" s="177"/>
      <c r="AH884" s="177"/>
      <c r="AI884" s="177"/>
      <c r="AJ884" s="391"/>
      <c r="AK884" s="383"/>
      <c r="AL884" s="177"/>
      <c r="AM884" s="177"/>
      <c r="AN884" s="177"/>
      <c r="AO884" s="366"/>
      <c r="AP884" s="366"/>
      <c r="AQ884" s="366"/>
      <c r="AR884" s="366"/>
      <c r="AS884" s="366"/>
    </row>
    <row r="885">
      <c r="A885" s="391"/>
      <c r="B885" s="383"/>
      <c r="C885" s="177"/>
      <c r="D885" s="177"/>
      <c r="E885" s="177"/>
      <c r="F885" s="391"/>
      <c r="G885" s="383"/>
      <c r="H885" s="177"/>
      <c r="I885" s="177"/>
      <c r="J885" s="177"/>
      <c r="K885" s="88"/>
      <c r="L885" s="383"/>
      <c r="M885" s="177"/>
      <c r="N885" s="177"/>
      <c r="O885" s="177"/>
      <c r="P885" s="88"/>
      <c r="Q885" s="151"/>
      <c r="R885" s="177"/>
      <c r="S885" s="177"/>
      <c r="T885" s="177"/>
      <c r="U885" s="391"/>
      <c r="V885" s="383"/>
      <c r="W885" s="177"/>
      <c r="X885" s="177"/>
      <c r="Y885" s="177"/>
      <c r="Z885" s="391"/>
      <c r="AA885" s="383"/>
      <c r="AB885" s="177"/>
      <c r="AC885" s="177"/>
      <c r="AD885" s="177"/>
      <c r="AE885" s="391"/>
      <c r="AF885" s="383"/>
      <c r="AG885" s="177"/>
      <c r="AH885" s="177"/>
      <c r="AI885" s="177"/>
      <c r="AJ885" s="391"/>
      <c r="AK885" s="383"/>
      <c r="AL885" s="177"/>
      <c r="AM885" s="177"/>
      <c r="AN885" s="177"/>
      <c r="AO885" s="366"/>
      <c r="AP885" s="366"/>
      <c r="AQ885" s="366"/>
      <c r="AR885" s="366"/>
      <c r="AS885" s="366"/>
    </row>
    <row r="886">
      <c r="A886" s="391"/>
      <c r="B886" s="383"/>
      <c r="C886" s="177"/>
      <c r="D886" s="177"/>
      <c r="E886" s="177"/>
      <c r="F886" s="391"/>
      <c r="G886" s="383"/>
      <c r="H886" s="177"/>
      <c r="I886" s="177"/>
      <c r="J886" s="177"/>
      <c r="K886" s="88"/>
      <c r="L886" s="383"/>
      <c r="M886" s="177"/>
      <c r="N886" s="177"/>
      <c r="O886" s="177"/>
      <c r="P886" s="88"/>
      <c r="Q886" s="151"/>
      <c r="R886" s="177"/>
      <c r="S886" s="177"/>
      <c r="T886" s="177"/>
      <c r="U886" s="391"/>
      <c r="V886" s="383"/>
      <c r="W886" s="177"/>
      <c r="X886" s="177"/>
      <c r="Y886" s="177"/>
      <c r="Z886" s="391"/>
      <c r="AA886" s="383"/>
      <c r="AB886" s="177"/>
      <c r="AC886" s="177"/>
      <c r="AD886" s="177"/>
      <c r="AE886" s="391"/>
      <c r="AF886" s="383"/>
      <c r="AG886" s="177"/>
      <c r="AH886" s="177"/>
      <c r="AI886" s="177"/>
      <c r="AJ886" s="391"/>
      <c r="AK886" s="383"/>
      <c r="AL886" s="177"/>
      <c r="AM886" s="177"/>
      <c r="AN886" s="177"/>
      <c r="AO886" s="366"/>
      <c r="AP886" s="366"/>
      <c r="AQ886" s="366"/>
      <c r="AR886" s="366"/>
      <c r="AS886" s="366"/>
    </row>
    <row r="887">
      <c r="A887" s="391"/>
      <c r="B887" s="383"/>
      <c r="C887" s="177"/>
      <c r="D887" s="177"/>
      <c r="E887" s="177"/>
      <c r="F887" s="391"/>
      <c r="G887" s="383"/>
      <c r="H887" s="177"/>
      <c r="I887" s="177"/>
      <c r="J887" s="177"/>
      <c r="K887" s="88"/>
      <c r="L887" s="383"/>
      <c r="M887" s="177"/>
      <c r="N887" s="177"/>
      <c r="O887" s="177"/>
      <c r="P887" s="88"/>
      <c r="Q887" s="151"/>
      <c r="R887" s="177"/>
      <c r="S887" s="177"/>
      <c r="T887" s="177"/>
      <c r="U887" s="391"/>
      <c r="V887" s="383"/>
      <c r="W887" s="177"/>
      <c r="X887" s="177"/>
      <c r="Y887" s="177"/>
      <c r="Z887" s="391"/>
      <c r="AA887" s="383"/>
      <c r="AB887" s="177"/>
      <c r="AC887" s="177"/>
      <c r="AD887" s="177"/>
      <c r="AE887" s="391"/>
      <c r="AF887" s="383"/>
      <c r="AG887" s="177"/>
      <c r="AH887" s="177"/>
      <c r="AI887" s="177"/>
      <c r="AJ887" s="391"/>
      <c r="AK887" s="383"/>
      <c r="AL887" s="177"/>
      <c r="AM887" s="177"/>
      <c r="AN887" s="177"/>
      <c r="AO887" s="366"/>
      <c r="AP887" s="366"/>
      <c r="AQ887" s="366"/>
      <c r="AR887" s="366"/>
      <c r="AS887" s="366"/>
    </row>
    <row r="888">
      <c r="A888" s="391"/>
      <c r="B888" s="383"/>
      <c r="C888" s="177"/>
      <c r="D888" s="177"/>
      <c r="E888" s="177"/>
      <c r="F888" s="391"/>
      <c r="G888" s="383"/>
      <c r="H888" s="177"/>
      <c r="I888" s="177"/>
      <c r="J888" s="177"/>
      <c r="K888" s="88"/>
      <c r="L888" s="383"/>
      <c r="M888" s="177"/>
      <c r="N888" s="177"/>
      <c r="O888" s="177"/>
      <c r="P888" s="88"/>
      <c r="Q888" s="151"/>
      <c r="R888" s="177"/>
      <c r="S888" s="177"/>
      <c r="T888" s="177"/>
      <c r="U888" s="391"/>
      <c r="V888" s="383"/>
      <c r="W888" s="177"/>
      <c r="X888" s="177"/>
      <c r="Y888" s="177"/>
      <c r="Z888" s="391"/>
      <c r="AA888" s="383"/>
      <c r="AB888" s="177"/>
      <c r="AC888" s="177"/>
      <c r="AD888" s="177"/>
      <c r="AE888" s="391"/>
      <c r="AF888" s="383"/>
      <c r="AG888" s="177"/>
      <c r="AH888" s="177"/>
      <c r="AI888" s="177"/>
      <c r="AJ888" s="391"/>
      <c r="AK888" s="383"/>
      <c r="AL888" s="177"/>
      <c r="AM888" s="177"/>
      <c r="AN888" s="177"/>
      <c r="AO888" s="366"/>
      <c r="AP888" s="366"/>
      <c r="AQ888" s="366"/>
      <c r="AR888" s="366"/>
      <c r="AS888" s="366"/>
    </row>
    <row r="889">
      <c r="A889" s="391"/>
      <c r="B889" s="383"/>
      <c r="C889" s="177"/>
      <c r="D889" s="177"/>
      <c r="E889" s="177"/>
      <c r="F889" s="391"/>
      <c r="G889" s="383"/>
      <c r="H889" s="177"/>
      <c r="I889" s="177"/>
      <c r="J889" s="177"/>
      <c r="K889" s="88"/>
      <c r="L889" s="383"/>
      <c r="M889" s="177"/>
      <c r="N889" s="177"/>
      <c r="O889" s="177"/>
      <c r="P889" s="88"/>
      <c r="Q889" s="151"/>
      <c r="R889" s="177"/>
      <c r="S889" s="177"/>
      <c r="T889" s="177"/>
      <c r="U889" s="391"/>
      <c r="V889" s="383"/>
      <c r="W889" s="177"/>
      <c r="X889" s="177"/>
      <c r="Y889" s="177"/>
      <c r="Z889" s="391"/>
      <c r="AA889" s="383"/>
      <c r="AB889" s="177"/>
      <c r="AC889" s="177"/>
      <c r="AD889" s="177"/>
      <c r="AE889" s="391"/>
      <c r="AF889" s="383"/>
      <c r="AG889" s="177"/>
      <c r="AH889" s="177"/>
      <c r="AI889" s="177"/>
      <c r="AJ889" s="391"/>
      <c r="AK889" s="383"/>
      <c r="AL889" s="177"/>
      <c r="AM889" s="177"/>
      <c r="AN889" s="177"/>
      <c r="AO889" s="366"/>
      <c r="AP889" s="366"/>
      <c r="AQ889" s="366"/>
      <c r="AR889" s="366"/>
      <c r="AS889" s="366"/>
    </row>
    <row r="890">
      <c r="A890" s="391"/>
      <c r="B890" s="383"/>
      <c r="C890" s="177"/>
      <c r="D890" s="177"/>
      <c r="E890" s="177"/>
      <c r="F890" s="391"/>
      <c r="G890" s="383"/>
      <c r="H890" s="177"/>
      <c r="I890" s="177"/>
      <c r="J890" s="177"/>
      <c r="K890" s="88"/>
      <c r="L890" s="383"/>
      <c r="M890" s="177"/>
      <c r="N890" s="177"/>
      <c r="O890" s="177"/>
      <c r="P890" s="88"/>
      <c r="Q890" s="151"/>
      <c r="R890" s="177"/>
      <c r="S890" s="177"/>
      <c r="T890" s="177"/>
      <c r="U890" s="391"/>
      <c r="V890" s="383"/>
      <c r="W890" s="177"/>
      <c r="X890" s="177"/>
      <c r="Y890" s="177"/>
      <c r="Z890" s="391"/>
      <c r="AA890" s="383"/>
      <c r="AB890" s="177"/>
      <c r="AC890" s="177"/>
      <c r="AD890" s="177"/>
      <c r="AE890" s="391"/>
      <c r="AF890" s="383"/>
      <c r="AG890" s="177"/>
      <c r="AH890" s="177"/>
      <c r="AI890" s="177"/>
      <c r="AJ890" s="391"/>
      <c r="AK890" s="383"/>
      <c r="AL890" s="177"/>
      <c r="AM890" s="177"/>
      <c r="AN890" s="177"/>
      <c r="AO890" s="366"/>
      <c r="AP890" s="366"/>
      <c r="AQ890" s="366"/>
      <c r="AR890" s="366"/>
      <c r="AS890" s="366"/>
    </row>
    <row r="891">
      <c r="A891" s="391"/>
      <c r="B891" s="383"/>
      <c r="C891" s="177"/>
      <c r="D891" s="177"/>
      <c r="E891" s="177"/>
      <c r="F891" s="391"/>
      <c r="G891" s="383"/>
      <c r="H891" s="177"/>
      <c r="I891" s="177"/>
      <c r="J891" s="177"/>
      <c r="K891" s="88"/>
      <c r="L891" s="383"/>
      <c r="M891" s="177"/>
      <c r="N891" s="177"/>
      <c r="O891" s="177"/>
      <c r="P891" s="88"/>
      <c r="Q891" s="151"/>
      <c r="R891" s="177"/>
      <c r="S891" s="177"/>
      <c r="T891" s="177"/>
      <c r="U891" s="391"/>
      <c r="V891" s="383"/>
      <c r="W891" s="177"/>
      <c r="X891" s="177"/>
      <c r="Y891" s="177"/>
      <c r="Z891" s="391"/>
      <c r="AA891" s="383"/>
      <c r="AB891" s="177"/>
      <c r="AC891" s="177"/>
      <c r="AD891" s="177"/>
      <c r="AE891" s="391"/>
      <c r="AF891" s="383"/>
      <c r="AG891" s="177"/>
      <c r="AH891" s="177"/>
      <c r="AI891" s="177"/>
      <c r="AJ891" s="391"/>
      <c r="AK891" s="383"/>
      <c r="AL891" s="177"/>
      <c r="AM891" s="177"/>
      <c r="AN891" s="177"/>
      <c r="AO891" s="366"/>
      <c r="AP891" s="366"/>
      <c r="AQ891" s="366"/>
      <c r="AR891" s="366"/>
      <c r="AS891" s="366"/>
    </row>
    <row r="892">
      <c r="A892" s="391"/>
      <c r="B892" s="383"/>
      <c r="C892" s="177"/>
      <c r="D892" s="177"/>
      <c r="E892" s="177"/>
      <c r="F892" s="391"/>
      <c r="G892" s="383"/>
      <c r="H892" s="177"/>
      <c r="I892" s="177"/>
      <c r="J892" s="177"/>
      <c r="K892" s="88"/>
      <c r="L892" s="383"/>
      <c r="M892" s="177"/>
      <c r="N892" s="177"/>
      <c r="O892" s="177"/>
      <c r="P892" s="88"/>
      <c r="Q892" s="151"/>
      <c r="R892" s="177"/>
      <c r="S892" s="177"/>
      <c r="T892" s="177"/>
      <c r="U892" s="391"/>
      <c r="V892" s="383"/>
      <c r="W892" s="177"/>
      <c r="X892" s="177"/>
      <c r="Y892" s="177"/>
      <c r="Z892" s="391"/>
      <c r="AA892" s="383"/>
      <c r="AB892" s="177"/>
      <c r="AC892" s="177"/>
      <c r="AD892" s="177"/>
      <c r="AE892" s="391"/>
      <c r="AF892" s="383"/>
      <c r="AG892" s="177"/>
      <c r="AH892" s="177"/>
      <c r="AI892" s="177"/>
      <c r="AJ892" s="391"/>
      <c r="AK892" s="383"/>
      <c r="AL892" s="177"/>
      <c r="AM892" s="177"/>
      <c r="AN892" s="177"/>
      <c r="AO892" s="366"/>
      <c r="AP892" s="366"/>
      <c r="AQ892" s="366"/>
      <c r="AR892" s="366"/>
      <c r="AS892" s="366"/>
    </row>
    <row r="893">
      <c r="A893" s="391"/>
      <c r="B893" s="383"/>
      <c r="C893" s="177"/>
      <c r="D893" s="177"/>
      <c r="E893" s="177"/>
      <c r="F893" s="391"/>
      <c r="G893" s="383"/>
      <c r="H893" s="177"/>
      <c r="I893" s="177"/>
      <c r="J893" s="177"/>
      <c r="K893" s="88"/>
      <c r="L893" s="383"/>
      <c r="M893" s="177"/>
      <c r="N893" s="177"/>
      <c r="O893" s="177"/>
      <c r="P893" s="88"/>
      <c r="Q893" s="151"/>
      <c r="R893" s="177"/>
      <c r="S893" s="177"/>
      <c r="T893" s="177"/>
      <c r="U893" s="391"/>
      <c r="V893" s="383"/>
      <c r="W893" s="177"/>
      <c r="X893" s="177"/>
      <c r="Y893" s="177"/>
      <c r="Z893" s="391"/>
      <c r="AA893" s="383"/>
      <c r="AB893" s="177"/>
      <c r="AC893" s="177"/>
      <c r="AD893" s="177"/>
      <c r="AE893" s="391"/>
      <c r="AF893" s="383"/>
      <c r="AG893" s="177"/>
      <c r="AH893" s="177"/>
      <c r="AI893" s="177"/>
      <c r="AJ893" s="391"/>
      <c r="AK893" s="383"/>
      <c r="AL893" s="177"/>
      <c r="AM893" s="177"/>
      <c r="AN893" s="177"/>
      <c r="AO893" s="366"/>
      <c r="AP893" s="366"/>
      <c r="AQ893" s="366"/>
      <c r="AR893" s="366"/>
      <c r="AS893" s="366"/>
    </row>
    <row r="894">
      <c r="A894" s="391"/>
      <c r="B894" s="383"/>
      <c r="C894" s="177"/>
      <c r="D894" s="177"/>
      <c r="E894" s="177"/>
      <c r="F894" s="391"/>
      <c r="G894" s="383"/>
      <c r="H894" s="177"/>
      <c r="I894" s="177"/>
      <c r="J894" s="177"/>
      <c r="K894" s="88"/>
      <c r="L894" s="383"/>
      <c r="M894" s="177"/>
      <c r="N894" s="177"/>
      <c r="O894" s="177"/>
      <c r="P894" s="88"/>
      <c r="Q894" s="151"/>
      <c r="R894" s="177"/>
      <c r="S894" s="177"/>
      <c r="T894" s="177"/>
      <c r="U894" s="391"/>
      <c r="V894" s="383"/>
      <c r="W894" s="177"/>
      <c r="X894" s="177"/>
      <c r="Y894" s="177"/>
      <c r="Z894" s="391"/>
      <c r="AA894" s="383"/>
      <c r="AB894" s="177"/>
      <c r="AC894" s="177"/>
      <c r="AD894" s="177"/>
      <c r="AE894" s="391"/>
      <c r="AF894" s="383"/>
      <c r="AG894" s="177"/>
      <c r="AH894" s="177"/>
      <c r="AI894" s="177"/>
      <c r="AJ894" s="391"/>
      <c r="AK894" s="383"/>
      <c r="AL894" s="177"/>
      <c r="AM894" s="177"/>
      <c r="AN894" s="177"/>
      <c r="AO894" s="366"/>
      <c r="AP894" s="366"/>
      <c r="AQ894" s="366"/>
      <c r="AR894" s="366"/>
      <c r="AS894" s="366"/>
    </row>
    <row r="895">
      <c r="A895" s="391"/>
      <c r="B895" s="383"/>
      <c r="C895" s="177"/>
      <c r="D895" s="177"/>
      <c r="E895" s="177"/>
      <c r="F895" s="391"/>
      <c r="G895" s="383"/>
      <c r="H895" s="177"/>
      <c r="I895" s="177"/>
      <c r="J895" s="177"/>
      <c r="K895" s="88"/>
      <c r="L895" s="383"/>
      <c r="M895" s="177"/>
      <c r="N895" s="177"/>
      <c r="O895" s="177"/>
      <c r="P895" s="88"/>
      <c r="Q895" s="151"/>
      <c r="R895" s="177"/>
      <c r="S895" s="177"/>
      <c r="T895" s="177"/>
      <c r="U895" s="391"/>
      <c r="V895" s="383"/>
      <c r="W895" s="177"/>
      <c r="X895" s="177"/>
      <c r="Y895" s="177"/>
      <c r="Z895" s="391"/>
      <c r="AA895" s="383"/>
      <c r="AB895" s="177"/>
      <c r="AC895" s="177"/>
      <c r="AD895" s="177"/>
      <c r="AE895" s="391"/>
      <c r="AF895" s="383"/>
      <c r="AG895" s="177"/>
      <c r="AH895" s="177"/>
      <c r="AI895" s="177"/>
      <c r="AJ895" s="391"/>
      <c r="AK895" s="383"/>
      <c r="AL895" s="177"/>
      <c r="AM895" s="177"/>
      <c r="AN895" s="177"/>
      <c r="AO895" s="366"/>
      <c r="AP895" s="366"/>
      <c r="AQ895" s="366"/>
      <c r="AR895" s="366"/>
      <c r="AS895" s="366"/>
    </row>
    <row r="896">
      <c r="A896" s="391"/>
      <c r="B896" s="383"/>
      <c r="C896" s="177"/>
      <c r="D896" s="177"/>
      <c r="E896" s="177"/>
      <c r="F896" s="391"/>
      <c r="G896" s="383"/>
      <c r="H896" s="177"/>
      <c r="I896" s="177"/>
      <c r="J896" s="177"/>
      <c r="K896" s="88"/>
      <c r="L896" s="383"/>
      <c r="M896" s="177"/>
      <c r="N896" s="177"/>
      <c r="O896" s="177"/>
      <c r="P896" s="88"/>
      <c r="Q896" s="151"/>
      <c r="R896" s="177"/>
      <c r="S896" s="177"/>
      <c r="T896" s="177"/>
      <c r="U896" s="391"/>
      <c r="V896" s="383"/>
      <c r="W896" s="177"/>
      <c r="X896" s="177"/>
      <c r="Y896" s="177"/>
      <c r="Z896" s="391"/>
      <c r="AA896" s="383"/>
      <c r="AB896" s="177"/>
      <c r="AC896" s="177"/>
      <c r="AD896" s="177"/>
      <c r="AE896" s="391"/>
      <c r="AF896" s="383"/>
      <c r="AG896" s="177"/>
      <c r="AH896" s="177"/>
      <c r="AI896" s="177"/>
      <c r="AJ896" s="391"/>
      <c r="AK896" s="383"/>
      <c r="AL896" s="177"/>
      <c r="AM896" s="177"/>
      <c r="AN896" s="177"/>
      <c r="AO896" s="366"/>
      <c r="AP896" s="366"/>
      <c r="AQ896" s="366"/>
      <c r="AR896" s="366"/>
      <c r="AS896" s="366"/>
    </row>
    <row r="897">
      <c r="A897" s="391"/>
      <c r="B897" s="383"/>
      <c r="C897" s="177"/>
      <c r="D897" s="177"/>
      <c r="E897" s="177"/>
      <c r="F897" s="391"/>
      <c r="G897" s="383"/>
      <c r="H897" s="177"/>
      <c r="I897" s="177"/>
      <c r="J897" s="177"/>
      <c r="K897" s="88"/>
      <c r="L897" s="383"/>
      <c r="M897" s="177"/>
      <c r="N897" s="177"/>
      <c r="O897" s="177"/>
      <c r="P897" s="88"/>
      <c r="Q897" s="151"/>
      <c r="R897" s="177"/>
      <c r="S897" s="177"/>
      <c r="T897" s="177"/>
      <c r="U897" s="391"/>
      <c r="V897" s="383"/>
      <c r="W897" s="177"/>
      <c r="X897" s="177"/>
      <c r="Y897" s="177"/>
      <c r="Z897" s="391"/>
      <c r="AA897" s="383"/>
      <c r="AB897" s="177"/>
      <c r="AC897" s="177"/>
      <c r="AD897" s="177"/>
      <c r="AE897" s="391"/>
      <c r="AF897" s="383"/>
      <c r="AG897" s="177"/>
      <c r="AH897" s="177"/>
      <c r="AI897" s="177"/>
      <c r="AJ897" s="391"/>
      <c r="AK897" s="383"/>
      <c r="AL897" s="177"/>
      <c r="AM897" s="177"/>
      <c r="AN897" s="177"/>
      <c r="AO897" s="366"/>
      <c r="AP897" s="366"/>
      <c r="AQ897" s="366"/>
      <c r="AR897" s="366"/>
      <c r="AS897" s="366"/>
    </row>
    <row r="898">
      <c r="A898" s="391"/>
      <c r="B898" s="383"/>
      <c r="C898" s="177"/>
      <c r="D898" s="177"/>
      <c r="E898" s="177"/>
      <c r="F898" s="391"/>
      <c r="G898" s="383"/>
      <c r="H898" s="177"/>
      <c r="I898" s="177"/>
      <c r="J898" s="177"/>
      <c r="K898" s="88"/>
      <c r="L898" s="383"/>
      <c r="M898" s="177"/>
      <c r="N898" s="177"/>
      <c r="O898" s="177"/>
      <c r="P898" s="88"/>
      <c r="Q898" s="151"/>
      <c r="R898" s="177"/>
      <c r="S898" s="177"/>
      <c r="T898" s="177"/>
      <c r="U898" s="391"/>
      <c r="V898" s="383"/>
      <c r="W898" s="177"/>
      <c r="X898" s="177"/>
      <c r="Y898" s="177"/>
      <c r="Z898" s="391"/>
      <c r="AA898" s="383"/>
      <c r="AB898" s="177"/>
      <c r="AC898" s="177"/>
      <c r="AD898" s="177"/>
      <c r="AE898" s="391"/>
      <c r="AF898" s="383"/>
      <c r="AG898" s="177"/>
      <c r="AH898" s="177"/>
      <c r="AI898" s="177"/>
      <c r="AJ898" s="391"/>
      <c r="AK898" s="383"/>
      <c r="AL898" s="177"/>
      <c r="AM898" s="177"/>
      <c r="AN898" s="177"/>
      <c r="AO898" s="366"/>
      <c r="AP898" s="366"/>
      <c r="AQ898" s="366"/>
      <c r="AR898" s="366"/>
      <c r="AS898" s="366"/>
    </row>
    <row r="899">
      <c r="A899" s="391"/>
      <c r="B899" s="383"/>
      <c r="C899" s="177"/>
      <c r="D899" s="177"/>
      <c r="E899" s="177"/>
      <c r="F899" s="391"/>
      <c r="G899" s="383"/>
      <c r="H899" s="177"/>
      <c r="I899" s="177"/>
      <c r="J899" s="177"/>
      <c r="K899" s="88"/>
      <c r="L899" s="383"/>
      <c r="M899" s="177"/>
      <c r="N899" s="177"/>
      <c r="O899" s="177"/>
      <c r="P899" s="88"/>
      <c r="Q899" s="151"/>
      <c r="R899" s="177"/>
      <c r="S899" s="177"/>
      <c r="T899" s="177"/>
      <c r="U899" s="391"/>
      <c r="V899" s="383"/>
      <c r="W899" s="177"/>
      <c r="X899" s="177"/>
      <c r="Y899" s="177"/>
      <c r="Z899" s="391"/>
      <c r="AA899" s="383"/>
      <c r="AB899" s="177"/>
      <c r="AC899" s="177"/>
      <c r="AD899" s="177"/>
      <c r="AE899" s="391"/>
      <c r="AF899" s="383"/>
      <c r="AG899" s="177"/>
      <c r="AH899" s="177"/>
      <c r="AI899" s="177"/>
      <c r="AJ899" s="391"/>
      <c r="AK899" s="383"/>
      <c r="AL899" s="177"/>
      <c r="AM899" s="177"/>
      <c r="AN899" s="177"/>
      <c r="AO899" s="366"/>
      <c r="AP899" s="366"/>
      <c r="AQ899" s="366"/>
      <c r="AR899" s="366"/>
      <c r="AS899" s="366"/>
    </row>
    <row r="900">
      <c r="A900" s="391"/>
      <c r="B900" s="383"/>
      <c r="C900" s="177"/>
      <c r="D900" s="177"/>
      <c r="E900" s="177"/>
      <c r="F900" s="391"/>
      <c r="G900" s="383"/>
      <c r="H900" s="177"/>
      <c r="I900" s="177"/>
      <c r="J900" s="177"/>
      <c r="K900" s="88"/>
      <c r="L900" s="383"/>
      <c r="M900" s="177"/>
      <c r="N900" s="177"/>
      <c r="O900" s="177"/>
      <c r="P900" s="88"/>
      <c r="Q900" s="151"/>
      <c r="R900" s="177"/>
      <c r="S900" s="177"/>
      <c r="T900" s="177"/>
      <c r="U900" s="391"/>
      <c r="V900" s="383"/>
      <c r="W900" s="177"/>
      <c r="X900" s="177"/>
      <c r="Y900" s="177"/>
      <c r="Z900" s="391"/>
      <c r="AA900" s="383"/>
      <c r="AB900" s="177"/>
      <c r="AC900" s="177"/>
      <c r="AD900" s="177"/>
      <c r="AE900" s="391"/>
      <c r="AF900" s="383"/>
      <c r="AG900" s="177"/>
      <c r="AH900" s="177"/>
      <c r="AI900" s="177"/>
      <c r="AJ900" s="391"/>
      <c r="AK900" s="383"/>
      <c r="AL900" s="177"/>
      <c r="AM900" s="177"/>
      <c r="AN900" s="177"/>
      <c r="AO900" s="366"/>
      <c r="AP900" s="366"/>
      <c r="AQ900" s="366"/>
      <c r="AR900" s="366"/>
      <c r="AS900" s="366"/>
    </row>
    <row r="901">
      <c r="A901" s="391"/>
      <c r="B901" s="383"/>
      <c r="C901" s="177"/>
      <c r="D901" s="177"/>
      <c r="E901" s="177"/>
      <c r="F901" s="391"/>
      <c r="G901" s="383"/>
      <c r="H901" s="177"/>
      <c r="I901" s="177"/>
      <c r="J901" s="177"/>
      <c r="K901" s="88"/>
      <c r="L901" s="383"/>
      <c r="M901" s="177"/>
      <c r="N901" s="177"/>
      <c r="O901" s="177"/>
      <c r="P901" s="88"/>
      <c r="Q901" s="151"/>
      <c r="R901" s="177"/>
      <c r="S901" s="177"/>
      <c r="T901" s="177"/>
      <c r="U901" s="391"/>
      <c r="V901" s="383"/>
      <c r="W901" s="177"/>
      <c r="X901" s="177"/>
      <c r="Y901" s="177"/>
      <c r="Z901" s="391"/>
      <c r="AA901" s="383"/>
      <c r="AB901" s="177"/>
      <c r="AC901" s="177"/>
      <c r="AD901" s="177"/>
      <c r="AE901" s="391"/>
      <c r="AF901" s="383"/>
      <c r="AG901" s="177"/>
      <c r="AH901" s="177"/>
      <c r="AI901" s="177"/>
      <c r="AJ901" s="391"/>
      <c r="AK901" s="383"/>
      <c r="AL901" s="177"/>
      <c r="AM901" s="177"/>
      <c r="AN901" s="177"/>
      <c r="AO901" s="366"/>
      <c r="AP901" s="366"/>
      <c r="AQ901" s="366"/>
      <c r="AR901" s="366"/>
      <c r="AS901" s="366"/>
    </row>
    <row r="902">
      <c r="A902" s="391"/>
      <c r="B902" s="383"/>
      <c r="C902" s="177"/>
      <c r="D902" s="177"/>
      <c r="E902" s="177"/>
      <c r="F902" s="391"/>
      <c r="G902" s="383"/>
      <c r="H902" s="177"/>
      <c r="I902" s="177"/>
      <c r="J902" s="177"/>
      <c r="K902" s="88"/>
      <c r="L902" s="383"/>
      <c r="M902" s="177"/>
      <c r="N902" s="177"/>
      <c r="O902" s="177"/>
      <c r="P902" s="88"/>
      <c r="Q902" s="151"/>
      <c r="R902" s="177"/>
      <c r="S902" s="177"/>
      <c r="T902" s="177"/>
      <c r="U902" s="391"/>
      <c r="V902" s="383"/>
      <c r="W902" s="177"/>
      <c r="X902" s="177"/>
      <c r="Y902" s="177"/>
      <c r="Z902" s="391"/>
      <c r="AA902" s="383"/>
      <c r="AB902" s="177"/>
      <c r="AC902" s="177"/>
      <c r="AD902" s="177"/>
      <c r="AE902" s="391"/>
      <c r="AF902" s="383"/>
      <c r="AG902" s="177"/>
      <c r="AH902" s="177"/>
      <c r="AI902" s="177"/>
      <c r="AJ902" s="391"/>
      <c r="AK902" s="383"/>
      <c r="AL902" s="177"/>
      <c r="AM902" s="177"/>
      <c r="AN902" s="177"/>
      <c r="AO902" s="366"/>
      <c r="AP902" s="366"/>
      <c r="AQ902" s="366"/>
      <c r="AR902" s="366"/>
      <c r="AS902" s="366"/>
    </row>
    <row r="903">
      <c r="A903" s="391"/>
      <c r="B903" s="383"/>
      <c r="C903" s="177"/>
      <c r="D903" s="177"/>
      <c r="E903" s="177"/>
      <c r="F903" s="391"/>
      <c r="G903" s="383"/>
      <c r="H903" s="177"/>
      <c r="I903" s="177"/>
      <c r="J903" s="177"/>
      <c r="K903" s="88"/>
      <c r="L903" s="383"/>
      <c r="M903" s="177"/>
      <c r="N903" s="177"/>
      <c r="O903" s="177"/>
      <c r="P903" s="88"/>
      <c r="Q903" s="151"/>
      <c r="R903" s="177"/>
      <c r="S903" s="177"/>
      <c r="T903" s="177"/>
      <c r="U903" s="391"/>
      <c r="V903" s="383"/>
      <c r="W903" s="177"/>
      <c r="X903" s="177"/>
      <c r="Y903" s="177"/>
      <c r="Z903" s="391"/>
      <c r="AA903" s="383"/>
      <c r="AB903" s="177"/>
      <c r="AC903" s="177"/>
      <c r="AD903" s="177"/>
      <c r="AE903" s="391"/>
      <c r="AF903" s="383"/>
      <c r="AG903" s="177"/>
      <c r="AH903" s="177"/>
      <c r="AI903" s="177"/>
      <c r="AJ903" s="391"/>
      <c r="AK903" s="383"/>
      <c r="AL903" s="177"/>
      <c r="AM903" s="177"/>
      <c r="AN903" s="177"/>
      <c r="AO903" s="366"/>
      <c r="AP903" s="366"/>
      <c r="AQ903" s="366"/>
      <c r="AR903" s="366"/>
      <c r="AS903" s="366"/>
    </row>
    <row r="904">
      <c r="A904" s="391"/>
      <c r="B904" s="383"/>
      <c r="C904" s="177"/>
      <c r="D904" s="177"/>
      <c r="E904" s="177"/>
      <c r="F904" s="391"/>
      <c r="G904" s="383"/>
      <c r="H904" s="177"/>
      <c r="I904" s="177"/>
      <c r="J904" s="177"/>
      <c r="K904" s="88"/>
      <c r="L904" s="383"/>
      <c r="M904" s="177"/>
      <c r="N904" s="177"/>
      <c r="O904" s="177"/>
      <c r="P904" s="88"/>
      <c r="Q904" s="151"/>
      <c r="R904" s="177"/>
      <c r="S904" s="177"/>
      <c r="T904" s="177"/>
      <c r="U904" s="391"/>
      <c r="V904" s="383"/>
      <c r="W904" s="177"/>
      <c r="X904" s="177"/>
      <c r="Y904" s="177"/>
      <c r="Z904" s="391"/>
      <c r="AA904" s="383"/>
      <c r="AB904" s="177"/>
      <c r="AC904" s="177"/>
      <c r="AD904" s="177"/>
      <c r="AE904" s="391"/>
      <c r="AF904" s="383"/>
      <c r="AG904" s="177"/>
      <c r="AH904" s="177"/>
      <c r="AI904" s="177"/>
      <c r="AJ904" s="391"/>
      <c r="AK904" s="383"/>
      <c r="AL904" s="177"/>
      <c r="AM904" s="177"/>
      <c r="AN904" s="177"/>
      <c r="AO904" s="366"/>
      <c r="AP904" s="366"/>
      <c r="AQ904" s="366"/>
      <c r="AR904" s="366"/>
      <c r="AS904" s="366"/>
    </row>
    <row r="905">
      <c r="A905" s="391"/>
      <c r="B905" s="383"/>
      <c r="C905" s="177"/>
      <c r="D905" s="177"/>
      <c r="E905" s="177"/>
      <c r="F905" s="391"/>
      <c r="G905" s="383"/>
      <c r="H905" s="177"/>
      <c r="I905" s="177"/>
      <c r="J905" s="177"/>
      <c r="K905" s="88"/>
      <c r="L905" s="383"/>
      <c r="M905" s="177"/>
      <c r="N905" s="177"/>
      <c r="O905" s="177"/>
      <c r="P905" s="88"/>
      <c r="Q905" s="151"/>
      <c r="R905" s="177"/>
      <c r="S905" s="177"/>
      <c r="T905" s="177"/>
      <c r="U905" s="391"/>
      <c r="V905" s="383"/>
      <c r="W905" s="177"/>
      <c r="X905" s="177"/>
      <c r="Y905" s="177"/>
      <c r="Z905" s="391"/>
      <c r="AA905" s="383"/>
      <c r="AB905" s="177"/>
      <c r="AC905" s="177"/>
      <c r="AD905" s="177"/>
      <c r="AE905" s="391"/>
      <c r="AF905" s="383"/>
      <c r="AG905" s="177"/>
      <c r="AH905" s="177"/>
      <c r="AI905" s="177"/>
      <c r="AJ905" s="391"/>
      <c r="AK905" s="383"/>
      <c r="AL905" s="177"/>
      <c r="AM905" s="177"/>
      <c r="AN905" s="177"/>
      <c r="AO905" s="366"/>
      <c r="AP905" s="366"/>
      <c r="AQ905" s="366"/>
      <c r="AR905" s="366"/>
      <c r="AS905" s="366"/>
    </row>
    <row r="906">
      <c r="A906" s="391"/>
      <c r="B906" s="383"/>
      <c r="C906" s="177"/>
      <c r="D906" s="177"/>
      <c r="E906" s="177"/>
      <c r="F906" s="391"/>
      <c r="G906" s="383"/>
      <c r="H906" s="177"/>
      <c r="I906" s="177"/>
      <c r="J906" s="177"/>
      <c r="K906" s="88"/>
      <c r="L906" s="383"/>
      <c r="M906" s="177"/>
      <c r="N906" s="177"/>
      <c r="O906" s="177"/>
      <c r="P906" s="88"/>
      <c r="Q906" s="151"/>
      <c r="R906" s="177"/>
      <c r="S906" s="177"/>
      <c r="T906" s="177"/>
      <c r="U906" s="391"/>
      <c r="V906" s="383"/>
      <c r="W906" s="177"/>
      <c r="X906" s="177"/>
      <c r="Y906" s="177"/>
      <c r="Z906" s="391"/>
      <c r="AA906" s="383"/>
      <c r="AB906" s="177"/>
      <c r="AC906" s="177"/>
      <c r="AD906" s="177"/>
      <c r="AE906" s="391"/>
      <c r="AF906" s="383"/>
      <c r="AG906" s="177"/>
      <c r="AH906" s="177"/>
      <c r="AI906" s="177"/>
      <c r="AJ906" s="391"/>
      <c r="AK906" s="383"/>
      <c r="AL906" s="177"/>
      <c r="AM906" s="177"/>
      <c r="AN906" s="177"/>
      <c r="AO906" s="366"/>
      <c r="AP906" s="366"/>
      <c r="AQ906" s="366"/>
      <c r="AR906" s="366"/>
      <c r="AS906" s="366"/>
    </row>
    <row r="907">
      <c r="A907" s="391"/>
      <c r="B907" s="383"/>
      <c r="C907" s="177"/>
      <c r="D907" s="177"/>
      <c r="E907" s="177"/>
      <c r="F907" s="391"/>
      <c r="G907" s="383"/>
      <c r="H907" s="177"/>
      <c r="I907" s="177"/>
      <c r="J907" s="177"/>
      <c r="K907" s="88"/>
      <c r="L907" s="383"/>
      <c r="M907" s="177"/>
      <c r="N907" s="177"/>
      <c r="O907" s="177"/>
      <c r="P907" s="88"/>
      <c r="Q907" s="151"/>
      <c r="R907" s="177"/>
      <c r="S907" s="177"/>
      <c r="T907" s="177"/>
      <c r="U907" s="391"/>
      <c r="V907" s="383"/>
      <c r="W907" s="177"/>
      <c r="X907" s="177"/>
      <c r="Y907" s="177"/>
      <c r="Z907" s="391"/>
      <c r="AA907" s="383"/>
      <c r="AB907" s="177"/>
      <c r="AC907" s="177"/>
      <c r="AD907" s="177"/>
      <c r="AE907" s="391"/>
      <c r="AF907" s="383"/>
      <c r="AG907" s="177"/>
      <c r="AH907" s="177"/>
      <c r="AI907" s="177"/>
      <c r="AJ907" s="391"/>
      <c r="AK907" s="383"/>
      <c r="AL907" s="177"/>
      <c r="AM907" s="177"/>
      <c r="AN907" s="177"/>
      <c r="AO907" s="366"/>
      <c r="AP907" s="366"/>
      <c r="AQ907" s="366"/>
      <c r="AR907" s="366"/>
      <c r="AS907" s="366"/>
    </row>
    <row r="908">
      <c r="A908" s="391"/>
      <c r="B908" s="383"/>
      <c r="C908" s="177"/>
      <c r="D908" s="177"/>
      <c r="E908" s="177"/>
      <c r="F908" s="391"/>
      <c r="G908" s="383"/>
      <c r="H908" s="177"/>
      <c r="I908" s="177"/>
      <c r="J908" s="177"/>
      <c r="K908" s="88"/>
      <c r="L908" s="383"/>
      <c r="M908" s="177"/>
      <c r="N908" s="177"/>
      <c r="O908" s="177"/>
      <c r="P908" s="88"/>
      <c r="Q908" s="151"/>
      <c r="R908" s="177"/>
      <c r="S908" s="177"/>
      <c r="T908" s="177"/>
      <c r="U908" s="391"/>
      <c r="V908" s="383"/>
      <c r="W908" s="177"/>
      <c r="X908" s="177"/>
      <c r="Y908" s="177"/>
      <c r="Z908" s="391"/>
      <c r="AA908" s="383"/>
      <c r="AB908" s="177"/>
      <c r="AC908" s="177"/>
      <c r="AD908" s="177"/>
      <c r="AE908" s="391"/>
      <c r="AF908" s="383"/>
      <c r="AG908" s="177"/>
      <c r="AH908" s="177"/>
      <c r="AI908" s="177"/>
      <c r="AJ908" s="391"/>
      <c r="AK908" s="383"/>
      <c r="AL908" s="177"/>
      <c r="AM908" s="177"/>
      <c r="AN908" s="177"/>
      <c r="AO908" s="366"/>
      <c r="AP908" s="366"/>
      <c r="AQ908" s="366"/>
      <c r="AR908" s="366"/>
      <c r="AS908" s="366"/>
    </row>
    <row r="909">
      <c r="A909" s="391"/>
      <c r="B909" s="383"/>
      <c r="C909" s="177"/>
      <c r="D909" s="177"/>
      <c r="E909" s="177"/>
      <c r="F909" s="391"/>
      <c r="G909" s="383"/>
      <c r="H909" s="177"/>
      <c r="I909" s="177"/>
      <c r="J909" s="177"/>
      <c r="K909" s="88"/>
      <c r="L909" s="383"/>
      <c r="M909" s="177"/>
      <c r="N909" s="177"/>
      <c r="O909" s="177"/>
      <c r="P909" s="88"/>
      <c r="Q909" s="151"/>
      <c r="R909" s="177"/>
      <c r="S909" s="177"/>
      <c r="T909" s="177"/>
      <c r="U909" s="391"/>
      <c r="V909" s="383"/>
      <c r="W909" s="177"/>
      <c r="X909" s="177"/>
      <c r="Y909" s="177"/>
      <c r="Z909" s="391"/>
      <c r="AA909" s="383"/>
      <c r="AB909" s="177"/>
      <c r="AC909" s="177"/>
      <c r="AD909" s="177"/>
      <c r="AE909" s="391"/>
      <c r="AF909" s="383"/>
      <c r="AG909" s="177"/>
      <c r="AH909" s="177"/>
      <c r="AI909" s="177"/>
      <c r="AJ909" s="391"/>
      <c r="AK909" s="383"/>
      <c r="AL909" s="177"/>
      <c r="AM909" s="177"/>
      <c r="AN909" s="177"/>
      <c r="AO909" s="366"/>
      <c r="AP909" s="366"/>
      <c r="AQ909" s="366"/>
      <c r="AR909" s="366"/>
      <c r="AS909" s="366"/>
    </row>
    <row r="910">
      <c r="A910" s="391"/>
      <c r="B910" s="383"/>
      <c r="C910" s="177"/>
      <c r="D910" s="177"/>
      <c r="E910" s="177"/>
      <c r="F910" s="391"/>
      <c r="G910" s="383"/>
      <c r="H910" s="177"/>
      <c r="I910" s="177"/>
      <c r="J910" s="177"/>
      <c r="K910" s="88"/>
      <c r="L910" s="383"/>
      <c r="M910" s="177"/>
      <c r="N910" s="177"/>
      <c r="O910" s="177"/>
      <c r="P910" s="88"/>
      <c r="Q910" s="151"/>
      <c r="R910" s="177"/>
      <c r="S910" s="177"/>
      <c r="T910" s="177"/>
      <c r="U910" s="391"/>
      <c r="V910" s="383"/>
      <c r="W910" s="177"/>
      <c r="X910" s="177"/>
      <c r="Y910" s="177"/>
      <c r="Z910" s="391"/>
      <c r="AA910" s="383"/>
      <c r="AB910" s="177"/>
      <c r="AC910" s="177"/>
      <c r="AD910" s="177"/>
      <c r="AE910" s="391"/>
      <c r="AF910" s="383"/>
      <c r="AG910" s="177"/>
      <c r="AH910" s="177"/>
      <c r="AI910" s="177"/>
      <c r="AJ910" s="391"/>
      <c r="AK910" s="383"/>
      <c r="AL910" s="177"/>
      <c r="AM910" s="177"/>
      <c r="AN910" s="177"/>
      <c r="AO910" s="366"/>
      <c r="AP910" s="366"/>
      <c r="AQ910" s="366"/>
      <c r="AR910" s="366"/>
      <c r="AS910" s="366"/>
    </row>
    <row r="911">
      <c r="A911" s="391"/>
      <c r="B911" s="383"/>
      <c r="C911" s="177"/>
      <c r="D911" s="177"/>
      <c r="E911" s="177"/>
      <c r="F911" s="391"/>
      <c r="G911" s="383"/>
      <c r="H911" s="177"/>
      <c r="I911" s="177"/>
      <c r="J911" s="177"/>
      <c r="K911" s="88"/>
      <c r="L911" s="383"/>
      <c r="M911" s="177"/>
      <c r="N911" s="177"/>
      <c r="O911" s="177"/>
      <c r="P911" s="88"/>
      <c r="Q911" s="151"/>
      <c r="R911" s="177"/>
      <c r="S911" s="177"/>
      <c r="T911" s="177"/>
      <c r="U911" s="391"/>
      <c r="V911" s="383"/>
      <c r="W911" s="177"/>
      <c r="X911" s="177"/>
      <c r="Y911" s="177"/>
      <c r="Z911" s="391"/>
      <c r="AA911" s="383"/>
      <c r="AB911" s="177"/>
      <c r="AC911" s="177"/>
      <c r="AD911" s="177"/>
      <c r="AE911" s="391"/>
      <c r="AF911" s="383"/>
      <c r="AG911" s="177"/>
      <c r="AH911" s="177"/>
      <c r="AI911" s="177"/>
      <c r="AJ911" s="391"/>
      <c r="AK911" s="383"/>
      <c r="AL911" s="177"/>
      <c r="AM911" s="177"/>
      <c r="AN911" s="177"/>
      <c r="AO911" s="366"/>
      <c r="AP911" s="366"/>
      <c r="AQ911" s="366"/>
      <c r="AR911" s="366"/>
      <c r="AS911" s="366"/>
    </row>
    <row r="912">
      <c r="A912" s="391"/>
      <c r="B912" s="383"/>
      <c r="C912" s="177"/>
      <c r="D912" s="177"/>
      <c r="E912" s="177"/>
      <c r="F912" s="391"/>
      <c r="G912" s="383"/>
      <c r="H912" s="177"/>
      <c r="I912" s="177"/>
      <c r="J912" s="177"/>
      <c r="K912" s="88"/>
      <c r="L912" s="383"/>
      <c r="M912" s="177"/>
      <c r="N912" s="177"/>
      <c r="O912" s="177"/>
      <c r="P912" s="88"/>
      <c r="Q912" s="151"/>
      <c r="R912" s="177"/>
      <c r="S912" s="177"/>
      <c r="T912" s="177"/>
      <c r="U912" s="391"/>
      <c r="V912" s="383"/>
      <c r="W912" s="177"/>
      <c r="X912" s="177"/>
      <c r="Y912" s="177"/>
      <c r="Z912" s="391"/>
      <c r="AA912" s="383"/>
      <c r="AB912" s="177"/>
      <c r="AC912" s="177"/>
      <c r="AD912" s="177"/>
      <c r="AE912" s="391"/>
      <c r="AF912" s="383"/>
      <c r="AG912" s="177"/>
      <c r="AH912" s="177"/>
      <c r="AI912" s="177"/>
      <c r="AJ912" s="391"/>
      <c r="AK912" s="383"/>
      <c r="AL912" s="177"/>
      <c r="AM912" s="177"/>
      <c r="AN912" s="177"/>
      <c r="AO912" s="366"/>
      <c r="AP912" s="366"/>
      <c r="AQ912" s="366"/>
      <c r="AR912" s="366"/>
      <c r="AS912" s="366"/>
    </row>
    <row r="913">
      <c r="A913" s="391"/>
      <c r="B913" s="383"/>
      <c r="C913" s="177"/>
      <c r="D913" s="177"/>
      <c r="E913" s="177"/>
      <c r="F913" s="391"/>
      <c r="G913" s="383"/>
      <c r="H913" s="177"/>
      <c r="I913" s="177"/>
      <c r="J913" s="177"/>
      <c r="K913" s="88"/>
      <c r="L913" s="383"/>
      <c r="M913" s="177"/>
      <c r="N913" s="177"/>
      <c r="O913" s="177"/>
      <c r="P913" s="88"/>
      <c r="Q913" s="151"/>
      <c r="R913" s="177"/>
      <c r="S913" s="177"/>
      <c r="T913" s="177"/>
      <c r="U913" s="391"/>
      <c r="V913" s="383"/>
      <c r="W913" s="177"/>
      <c r="X913" s="177"/>
      <c r="Y913" s="177"/>
      <c r="Z913" s="391"/>
      <c r="AA913" s="383"/>
      <c r="AB913" s="177"/>
      <c r="AC913" s="177"/>
      <c r="AD913" s="177"/>
      <c r="AE913" s="391"/>
      <c r="AF913" s="383"/>
      <c r="AG913" s="177"/>
      <c r="AH913" s="177"/>
      <c r="AI913" s="177"/>
      <c r="AJ913" s="391"/>
      <c r="AK913" s="383"/>
      <c r="AL913" s="177"/>
      <c r="AM913" s="177"/>
      <c r="AN913" s="177"/>
      <c r="AO913" s="366"/>
      <c r="AP913" s="366"/>
      <c r="AQ913" s="366"/>
      <c r="AR913" s="366"/>
      <c r="AS913" s="366"/>
    </row>
    <row r="914">
      <c r="A914" s="391"/>
      <c r="B914" s="383"/>
      <c r="C914" s="177"/>
      <c r="D914" s="177"/>
      <c r="E914" s="177"/>
      <c r="F914" s="391"/>
      <c r="G914" s="383"/>
      <c r="H914" s="177"/>
      <c r="I914" s="177"/>
      <c r="J914" s="177"/>
      <c r="K914" s="88"/>
      <c r="L914" s="383"/>
      <c r="M914" s="177"/>
      <c r="N914" s="177"/>
      <c r="O914" s="177"/>
      <c r="P914" s="88"/>
      <c r="Q914" s="151"/>
      <c r="R914" s="177"/>
      <c r="S914" s="177"/>
      <c r="T914" s="177"/>
      <c r="U914" s="391"/>
      <c r="V914" s="383"/>
      <c r="W914" s="177"/>
      <c r="X914" s="177"/>
      <c r="Y914" s="177"/>
      <c r="Z914" s="391"/>
      <c r="AA914" s="383"/>
      <c r="AB914" s="177"/>
      <c r="AC914" s="177"/>
      <c r="AD914" s="177"/>
      <c r="AE914" s="391"/>
      <c r="AF914" s="383"/>
      <c r="AG914" s="177"/>
      <c r="AH914" s="177"/>
      <c r="AI914" s="177"/>
      <c r="AJ914" s="391"/>
      <c r="AK914" s="383"/>
      <c r="AL914" s="177"/>
      <c r="AM914" s="177"/>
      <c r="AN914" s="177"/>
      <c r="AO914" s="366"/>
      <c r="AP914" s="366"/>
      <c r="AQ914" s="366"/>
      <c r="AR914" s="366"/>
      <c r="AS914" s="366"/>
    </row>
    <row r="915">
      <c r="A915" s="391"/>
      <c r="B915" s="383"/>
      <c r="C915" s="177"/>
      <c r="D915" s="177"/>
      <c r="E915" s="177"/>
      <c r="F915" s="391"/>
      <c r="G915" s="383"/>
      <c r="H915" s="177"/>
      <c r="I915" s="177"/>
      <c r="J915" s="177"/>
      <c r="K915" s="88"/>
      <c r="L915" s="383"/>
      <c r="M915" s="177"/>
      <c r="N915" s="177"/>
      <c r="O915" s="177"/>
      <c r="P915" s="88"/>
      <c r="Q915" s="151"/>
      <c r="R915" s="177"/>
      <c r="S915" s="177"/>
      <c r="T915" s="177"/>
      <c r="U915" s="391"/>
      <c r="V915" s="383"/>
      <c r="W915" s="177"/>
      <c r="X915" s="177"/>
      <c r="Y915" s="177"/>
      <c r="Z915" s="391"/>
      <c r="AA915" s="383"/>
      <c r="AB915" s="177"/>
      <c r="AC915" s="177"/>
      <c r="AD915" s="177"/>
      <c r="AE915" s="391"/>
      <c r="AF915" s="383"/>
      <c r="AG915" s="177"/>
      <c r="AH915" s="177"/>
      <c r="AI915" s="177"/>
      <c r="AJ915" s="391"/>
      <c r="AK915" s="383"/>
      <c r="AL915" s="177"/>
      <c r="AM915" s="177"/>
      <c r="AN915" s="177"/>
      <c r="AO915" s="366"/>
      <c r="AP915" s="366"/>
      <c r="AQ915" s="366"/>
      <c r="AR915" s="366"/>
      <c r="AS915" s="366"/>
    </row>
    <row r="916">
      <c r="A916" s="391"/>
      <c r="B916" s="383"/>
      <c r="C916" s="177"/>
      <c r="D916" s="177"/>
      <c r="E916" s="177"/>
      <c r="F916" s="391"/>
      <c r="G916" s="383"/>
      <c r="H916" s="177"/>
      <c r="I916" s="177"/>
      <c r="J916" s="177"/>
      <c r="K916" s="88"/>
      <c r="L916" s="383"/>
      <c r="M916" s="177"/>
      <c r="N916" s="177"/>
      <c r="O916" s="177"/>
      <c r="P916" s="88"/>
      <c r="Q916" s="151"/>
      <c r="R916" s="177"/>
      <c r="S916" s="177"/>
      <c r="T916" s="177"/>
      <c r="U916" s="391"/>
      <c r="V916" s="383"/>
      <c r="W916" s="177"/>
      <c r="X916" s="177"/>
      <c r="Y916" s="177"/>
      <c r="Z916" s="391"/>
      <c r="AA916" s="383"/>
      <c r="AB916" s="177"/>
      <c r="AC916" s="177"/>
      <c r="AD916" s="177"/>
      <c r="AE916" s="391"/>
      <c r="AF916" s="383"/>
      <c r="AG916" s="177"/>
      <c r="AH916" s="177"/>
      <c r="AI916" s="177"/>
      <c r="AJ916" s="391"/>
      <c r="AK916" s="383"/>
      <c r="AL916" s="177"/>
      <c r="AM916" s="177"/>
      <c r="AN916" s="177"/>
      <c r="AO916" s="366"/>
      <c r="AP916" s="366"/>
      <c r="AQ916" s="366"/>
      <c r="AR916" s="366"/>
      <c r="AS916" s="366"/>
    </row>
    <row r="917">
      <c r="A917" s="391"/>
      <c r="B917" s="383"/>
      <c r="C917" s="177"/>
      <c r="D917" s="177"/>
      <c r="E917" s="177"/>
      <c r="F917" s="391"/>
      <c r="G917" s="383"/>
      <c r="H917" s="177"/>
      <c r="I917" s="177"/>
      <c r="J917" s="177"/>
      <c r="K917" s="88"/>
      <c r="L917" s="383"/>
      <c r="M917" s="177"/>
      <c r="N917" s="177"/>
      <c r="O917" s="177"/>
      <c r="P917" s="88"/>
      <c r="Q917" s="151"/>
      <c r="R917" s="177"/>
      <c r="S917" s="177"/>
      <c r="T917" s="177"/>
      <c r="U917" s="391"/>
      <c r="V917" s="383"/>
      <c r="W917" s="177"/>
      <c r="X917" s="177"/>
      <c r="Y917" s="177"/>
      <c r="Z917" s="391"/>
      <c r="AA917" s="383"/>
      <c r="AB917" s="177"/>
      <c r="AC917" s="177"/>
      <c r="AD917" s="177"/>
      <c r="AE917" s="391"/>
      <c r="AF917" s="383"/>
      <c r="AG917" s="177"/>
      <c r="AH917" s="177"/>
      <c r="AI917" s="177"/>
      <c r="AJ917" s="391"/>
      <c r="AK917" s="383"/>
      <c r="AL917" s="177"/>
      <c r="AM917" s="177"/>
      <c r="AN917" s="177"/>
      <c r="AO917" s="366"/>
      <c r="AP917" s="366"/>
      <c r="AQ917" s="366"/>
      <c r="AR917" s="366"/>
      <c r="AS917" s="366"/>
    </row>
    <row r="918">
      <c r="A918" s="391"/>
      <c r="B918" s="383"/>
      <c r="C918" s="177"/>
      <c r="D918" s="177"/>
      <c r="E918" s="177"/>
      <c r="F918" s="391"/>
      <c r="G918" s="383"/>
      <c r="H918" s="177"/>
      <c r="I918" s="177"/>
      <c r="J918" s="177"/>
      <c r="K918" s="88"/>
      <c r="L918" s="383"/>
      <c r="M918" s="177"/>
      <c r="N918" s="177"/>
      <c r="O918" s="177"/>
      <c r="P918" s="88"/>
      <c r="Q918" s="151"/>
      <c r="R918" s="177"/>
      <c r="S918" s="177"/>
      <c r="T918" s="177"/>
      <c r="U918" s="391"/>
      <c r="V918" s="383"/>
      <c r="W918" s="177"/>
      <c r="X918" s="177"/>
      <c r="Y918" s="177"/>
      <c r="Z918" s="391"/>
      <c r="AA918" s="383"/>
      <c r="AB918" s="177"/>
      <c r="AC918" s="177"/>
      <c r="AD918" s="177"/>
      <c r="AE918" s="391"/>
      <c r="AF918" s="383"/>
      <c r="AG918" s="177"/>
      <c r="AH918" s="177"/>
      <c r="AI918" s="177"/>
      <c r="AJ918" s="391"/>
      <c r="AK918" s="383"/>
      <c r="AL918" s="177"/>
      <c r="AM918" s="177"/>
      <c r="AN918" s="177"/>
      <c r="AO918" s="366"/>
      <c r="AP918" s="366"/>
      <c r="AQ918" s="366"/>
      <c r="AR918" s="366"/>
      <c r="AS918" s="366"/>
    </row>
    <row r="919">
      <c r="A919" s="391"/>
      <c r="B919" s="383"/>
      <c r="C919" s="177"/>
      <c r="D919" s="177"/>
      <c r="E919" s="177"/>
      <c r="F919" s="391"/>
      <c r="G919" s="383"/>
      <c r="H919" s="177"/>
      <c r="I919" s="177"/>
      <c r="J919" s="177"/>
      <c r="K919" s="88"/>
      <c r="L919" s="383"/>
      <c r="M919" s="177"/>
      <c r="N919" s="177"/>
      <c r="O919" s="177"/>
      <c r="P919" s="88"/>
      <c r="Q919" s="151"/>
      <c r="R919" s="177"/>
      <c r="S919" s="177"/>
      <c r="T919" s="177"/>
      <c r="U919" s="391"/>
      <c r="V919" s="383"/>
      <c r="W919" s="177"/>
      <c r="X919" s="177"/>
      <c r="Y919" s="177"/>
      <c r="Z919" s="391"/>
      <c r="AA919" s="383"/>
      <c r="AB919" s="177"/>
      <c r="AC919" s="177"/>
      <c r="AD919" s="177"/>
      <c r="AE919" s="391"/>
      <c r="AF919" s="383"/>
      <c r="AG919" s="177"/>
      <c r="AH919" s="177"/>
      <c r="AI919" s="177"/>
      <c r="AJ919" s="391"/>
      <c r="AK919" s="383"/>
      <c r="AL919" s="177"/>
      <c r="AM919" s="177"/>
      <c r="AN919" s="177"/>
      <c r="AO919" s="366"/>
      <c r="AP919" s="366"/>
      <c r="AQ919" s="366"/>
      <c r="AR919" s="366"/>
      <c r="AS919" s="366"/>
    </row>
    <row r="920">
      <c r="A920" s="391"/>
      <c r="B920" s="383"/>
      <c r="C920" s="177"/>
      <c r="D920" s="177"/>
      <c r="E920" s="177"/>
      <c r="F920" s="391"/>
      <c r="G920" s="383"/>
      <c r="H920" s="177"/>
      <c r="I920" s="177"/>
      <c r="J920" s="177"/>
      <c r="K920" s="88"/>
      <c r="L920" s="383"/>
      <c r="M920" s="177"/>
      <c r="N920" s="177"/>
      <c r="O920" s="177"/>
      <c r="P920" s="88"/>
      <c r="Q920" s="151"/>
      <c r="R920" s="177"/>
      <c r="S920" s="177"/>
      <c r="T920" s="177"/>
      <c r="U920" s="391"/>
      <c r="V920" s="383"/>
      <c r="W920" s="177"/>
      <c r="X920" s="177"/>
      <c r="Y920" s="177"/>
      <c r="Z920" s="391"/>
      <c r="AA920" s="383"/>
      <c r="AB920" s="177"/>
      <c r="AC920" s="177"/>
      <c r="AD920" s="177"/>
      <c r="AE920" s="391"/>
      <c r="AF920" s="383"/>
      <c r="AG920" s="177"/>
      <c r="AH920" s="177"/>
      <c r="AI920" s="177"/>
      <c r="AJ920" s="391"/>
      <c r="AK920" s="383"/>
      <c r="AL920" s="177"/>
      <c r="AM920" s="177"/>
      <c r="AN920" s="177"/>
      <c r="AO920" s="366"/>
      <c r="AP920" s="366"/>
      <c r="AQ920" s="366"/>
      <c r="AR920" s="366"/>
      <c r="AS920" s="366"/>
    </row>
    <row r="921">
      <c r="A921" s="391"/>
      <c r="B921" s="383"/>
      <c r="C921" s="177"/>
      <c r="D921" s="177"/>
      <c r="E921" s="177"/>
      <c r="F921" s="391"/>
      <c r="G921" s="383"/>
      <c r="H921" s="177"/>
      <c r="I921" s="177"/>
      <c r="J921" s="177"/>
      <c r="K921" s="88"/>
      <c r="L921" s="383"/>
      <c r="M921" s="177"/>
      <c r="N921" s="177"/>
      <c r="O921" s="177"/>
      <c r="P921" s="88"/>
      <c r="Q921" s="151"/>
      <c r="R921" s="177"/>
      <c r="S921" s="177"/>
      <c r="T921" s="177"/>
      <c r="U921" s="391"/>
      <c r="V921" s="383"/>
      <c r="W921" s="177"/>
      <c r="X921" s="177"/>
      <c r="Y921" s="177"/>
      <c r="Z921" s="391"/>
      <c r="AA921" s="383"/>
      <c r="AB921" s="177"/>
      <c r="AC921" s="177"/>
      <c r="AD921" s="177"/>
      <c r="AE921" s="391"/>
      <c r="AF921" s="383"/>
      <c r="AG921" s="177"/>
      <c r="AH921" s="177"/>
      <c r="AI921" s="177"/>
      <c r="AJ921" s="391"/>
      <c r="AK921" s="383"/>
      <c r="AL921" s="177"/>
      <c r="AM921" s="177"/>
      <c r="AN921" s="177"/>
      <c r="AO921" s="366"/>
      <c r="AP921" s="366"/>
      <c r="AQ921" s="366"/>
      <c r="AR921" s="366"/>
      <c r="AS921" s="366"/>
    </row>
    <row r="922">
      <c r="A922" s="391"/>
      <c r="B922" s="383"/>
      <c r="C922" s="177"/>
      <c r="D922" s="177"/>
      <c r="E922" s="177"/>
      <c r="F922" s="391"/>
      <c r="G922" s="383"/>
      <c r="H922" s="177"/>
      <c r="I922" s="177"/>
      <c r="J922" s="177"/>
      <c r="K922" s="88"/>
      <c r="L922" s="383"/>
      <c r="M922" s="177"/>
      <c r="N922" s="177"/>
      <c r="O922" s="177"/>
      <c r="P922" s="88"/>
      <c r="Q922" s="151"/>
      <c r="R922" s="177"/>
      <c r="S922" s="177"/>
      <c r="T922" s="177"/>
      <c r="U922" s="391"/>
      <c r="V922" s="383"/>
      <c r="W922" s="177"/>
      <c r="X922" s="177"/>
      <c r="Y922" s="177"/>
      <c r="Z922" s="391"/>
      <c r="AA922" s="383"/>
      <c r="AB922" s="177"/>
      <c r="AC922" s="177"/>
      <c r="AD922" s="177"/>
      <c r="AE922" s="391"/>
      <c r="AF922" s="383"/>
      <c r="AG922" s="177"/>
      <c r="AH922" s="177"/>
      <c r="AI922" s="177"/>
      <c r="AJ922" s="391"/>
      <c r="AK922" s="383"/>
      <c r="AL922" s="177"/>
      <c r="AM922" s="177"/>
      <c r="AN922" s="177"/>
      <c r="AO922" s="366"/>
      <c r="AP922" s="366"/>
      <c r="AQ922" s="366"/>
      <c r="AR922" s="366"/>
      <c r="AS922" s="366"/>
    </row>
    <row r="923">
      <c r="A923" s="391"/>
      <c r="B923" s="383"/>
      <c r="C923" s="177"/>
      <c r="D923" s="177"/>
      <c r="E923" s="177"/>
      <c r="F923" s="391"/>
      <c r="G923" s="383"/>
      <c r="H923" s="177"/>
      <c r="I923" s="177"/>
      <c r="J923" s="177"/>
      <c r="K923" s="88"/>
      <c r="L923" s="383"/>
      <c r="M923" s="177"/>
      <c r="N923" s="177"/>
      <c r="O923" s="177"/>
      <c r="P923" s="88"/>
      <c r="Q923" s="151"/>
      <c r="R923" s="177"/>
      <c r="S923" s="177"/>
      <c r="T923" s="177"/>
      <c r="U923" s="391"/>
      <c r="V923" s="383"/>
      <c r="W923" s="177"/>
      <c r="X923" s="177"/>
      <c r="Y923" s="177"/>
      <c r="Z923" s="391"/>
      <c r="AA923" s="383"/>
      <c r="AB923" s="177"/>
      <c r="AC923" s="177"/>
      <c r="AD923" s="177"/>
      <c r="AE923" s="391"/>
      <c r="AF923" s="383"/>
      <c r="AG923" s="177"/>
      <c r="AH923" s="177"/>
      <c r="AI923" s="177"/>
      <c r="AJ923" s="391"/>
      <c r="AK923" s="383"/>
      <c r="AL923" s="177"/>
      <c r="AM923" s="177"/>
      <c r="AN923" s="177"/>
      <c r="AO923" s="366"/>
      <c r="AP923" s="366"/>
      <c r="AQ923" s="366"/>
      <c r="AR923" s="366"/>
      <c r="AS923" s="366"/>
    </row>
    <row r="924">
      <c r="A924" s="391"/>
      <c r="B924" s="383"/>
      <c r="C924" s="177"/>
      <c r="D924" s="177"/>
      <c r="E924" s="177"/>
      <c r="F924" s="391"/>
      <c r="G924" s="383"/>
      <c r="H924" s="177"/>
      <c r="I924" s="177"/>
      <c r="J924" s="177"/>
      <c r="K924" s="88"/>
      <c r="L924" s="383"/>
      <c r="M924" s="177"/>
      <c r="N924" s="177"/>
      <c r="O924" s="177"/>
      <c r="P924" s="88"/>
      <c r="Q924" s="151"/>
      <c r="R924" s="177"/>
      <c r="S924" s="177"/>
      <c r="T924" s="177"/>
      <c r="U924" s="391"/>
      <c r="V924" s="383"/>
      <c r="W924" s="177"/>
      <c r="X924" s="177"/>
      <c r="Y924" s="177"/>
      <c r="Z924" s="391"/>
      <c r="AA924" s="383"/>
      <c r="AB924" s="177"/>
      <c r="AC924" s="177"/>
      <c r="AD924" s="177"/>
      <c r="AE924" s="391"/>
      <c r="AF924" s="383"/>
      <c r="AG924" s="177"/>
      <c r="AH924" s="177"/>
      <c r="AI924" s="177"/>
      <c r="AJ924" s="391"/>
      <c r="AK924" s="383"/>
      <c r="AL924" s="177"/>
      <c r="AM924" s="177"/>
      <c r="AN924" s="177"/>
      <c r="AO924" s="366"/>
      <c r="AP924" s="366"/>
      <c r="AQ924" s="366"/>
      <c r="AR924" s="366"/>
      <c r="AS924" s="366"/>
    </row>
    <row r="925">
      <c r="A925" s="391"/>
      <c r="B925" s="383"/>
      <c r="C925" s="177"/>
      <c r="D925" s="177"/>
      <c r="E925" s="177"/>
      <c r="F925" s="391"/>
      <c r="G925" s="383"/>
      <c r="H925" s="177"/>
      <c r="I925" s="177"/>
      <c r="J925" s="177"/>
      <c r="K925" s="88"/>
      <c r="L925" s="383"/>
      <c r="M925" s="177"/>
      <c r="N925" s="177"/>
      <c r="O925" s="177"/>
      <c r="P925" s="88"/>
      <c r="Q925" s="151"/>
      <c r="R925" s="177"/>
      <c r="S925" s="177"/>
      <c r="T925" s="177"/>
      <c r="U925" s="391"/>
      <c r="V925" s="383"/>
      <c r="W925" s="177"/>
      <c r="X925" s="177"/>
      <c r="Y925" s="177"/>
      <c r="Z925" s="391"/>
      <c r="AA925" s="383"/>
      <c r="AB925" s="177"/>
      <c r="AC925" s="177"/>
      <c r="AD925" s="177"/>
      <c r="AE925" s="391"/>
      <c r="AF925" s="383"/>
      <c r="AG925" s="177"/>
      <c r="AH925" s="177"/>
      <c r="AI925" s="177"/>
      <c r="AJ925" s="391"/>
      <c r="AK925" s="383"/>
      <c r="AL925" s="177"/>
      <c r="AM925" s="177"/>
      <c r="AN925" s="177"/>
      <c r="AO925" s="366"/>
      <c r="AP925" s="366"/>
      <c r="AQ925" s="366"/>
      <c r="AR925" s="366"/>
      <c r="AS925" s="366"/>
    </row>
    <row r="926">
      <c r="A926" s="391"/>
      <c r="B926" s="383"/>
      <c r="C926" s="177"/>
      <c r="D926" s="177"/>
      <c r="E926" s="177"/>
      <c r="F926" s="391"/>
      <c r="G926" s="383"/>
      <c r="H926" s="177"/>
      <c r="I926" s="177"/>
      <c r="J926" s="177"/>
      <c r="K926" s="88"/>
      <c r="L926" s="383"/>
      <c r="M926" s="177"/>
      <c r="N926" s="177"/>
      <c r="O926" s="177"/>
      <c r="P926" s="88"/>
      <c r="Q926" s="151"/>
      <c r="R926" s="177"/>
      <c r="S926" s="177"/>
      <c r="T926" s="177"/>
      <c r="U926" s="391"/>
      <c r="V926" s="383"/>
      <c r="W926" s="177"/>
      <c r="X926" s="177"/>
      <c r="Y926" s="177"/>
      <c r="Z926" s="391"/>
      <c r="AA926" s="383"/>
      <c r="AB926" s="177"/>
      <c r="AC926" s="177"/>
      <c r="AD926" s="177"/>
      <c r="AE926" s="391"/>
      <c r="AF926" s="383"/>
      <c r="AG926" s="177"/>
      <c r="AH926" s="177"/>
      <c r="AI926" s="177"/>
      <c r="AJ926" s="391"/>
      <c r="AK926" s="383"/>
      <c r="AL926" s="177"/>
      <c r="AM926" s="177"/>
      <c r="AN926" s="177"/>
      <c r="AO926" s="366"/>
      <c r="AP926" s="366"/>
      <c r="AQ926" s="366"/>
      <c r="AR926" s="366"/>
      <c r="AS926" s="366"/>
    </row>
    <row r="927">
      <c r="A927" s="391"/>
      <c r="B927" s="383"/>
      <c r="C927" s="177"/>
      <c r="D927" s="177"/>
      <c r="E927" s="177"/>
      <c r="F927" s="391"/>
      <c r="G927" s="383"/>
      <c r="H927" s="177"/>
      <c r="I927" s="177"/>
      <c r="J927" s="177"/>
      <c r="K927" s="88"/>
      <c r="L927" s="383"/>
      <c r="M927" s="177"/>
      <c r="N927" s="177"/>
      <c r="O927" s="177"/>
      <c r="P927" s="88"/>
      <c r="Q927" s="151"/>
      <c r="R927" s="177"/>
      <c r="S927" s="177"/>
      <c r="T927" s="177"/>
      <c r="U927" s="391"/>
      <c r="V927" s="383"/>
      <c r="W927" s="177"/>
      <c r="X927" s="177"/>
      <c r="Y927" s="177"/>
      <c r="Z927" s="391"/>
      <c r="AA927" s="383"/>
      <c r="AB927" s="177"/>
      <c r="AC927" s="177"/>
      <c r="AD927" s="177"/>
      <c r="AE927" s="391"/>
      <c r="AF927" s="383"/>
      <c r="AG927" s="177"/>
      <c r="AH927" s="177"/>
      <c r="AI927" s="177"/>
      <c r="AJ927" s="391"/>
      <c r="AK927" s="383"/>
      <c r="AL927" s="177"/>
      <c r="AM927" s="177"/>
      <c r="AN927" s="177"/>
      <c r="AO927" s="366"/>
      <c r="AP927" s="366"/>
      <c r="AQ927" s="366"/>
      <c r="AR927" s="366"/>
      <c r="AS927" s="366"/>
    </row>
    <row r="928">
      <c r="A928" s="391"/>
      <c r="B928" s="383"/>
      <c r="C928" s="177"/>
      <c r="D928" s="177"/>
      <c r="E928" s="177"/>
      <c r="F928" s="391"/>
      <c r="G928" s="383"/>
      <c r="H928" s="177"/>
      <c r="I928" s="177"/>
      <c r="J928" s="177"/>
      <c r="K928" s="88"/>
      <c r="L928" s="383"/>
      <c r="M928" s="177"/>
      <c r="N928" s="177"/>
      <c r="O928" s="177"/>
      <c r="P928" s="88"/>
      <c r="Q928" s="151"/>
      <c r="R928" s="177"/>
      <c r="S928" s="177"/>
      <c r="T928" s="177"/>
      <c r="U928" s="391"/>
      <c r="V928" s="383"/>
      <c r="W928" s="177"/>
      <c r="X928" s="177"/>
      <c r="Y928" s="177"/>
      <c r="Z928" s="391"/>
      <c r="AA928" s="383"/>
      <c r="AB928" s="177"/>
      <c r="AC928" s="177"/>
      <c r="AD928" s="177"/>
      <c r="AE928" s="391"/>
      <c r="AF928" s="383"/>
      <c r="AG928" s="177"/>
      <c r="AH928" s="177"/>
      <c r="AI928" s="177"/>
      <c r="AJ928" s="391"/>
      <c r="AK928" s="383"/>
      <c r="AL928" s="177"/>
      <c r="AM928" s="177"/>
      <c r="AN928" s="177"/>
      <c r="AO928" s="366"/>
      <c r="AP928" s="366"/>
      <c r="AQ928" s="366"/>
      <c r="AR928" s="366"/>
      <c r="AS928" s="366"/>
    </row>
    <row r="929">
      <c r="A929" s="391"/>
      <c r="B929" s="383"/>
      <c r="C929" s="177"/>
      <c r="D929" s="177"/>
      <c r="E929" s="177"/>
      <c r="F929" s="391"/>
      <c r="G929" s="383"/>
      <c r="H929" s="177"/>
      <c r="I929" s="177"/>
      <c r="J929" s="177"/>
      <c r="K929" s="88"/>
      <c r="L929" s="383"/>
      <c r="M929" s="177"/>
      <c r="N929" s="177"/>
      <c r="O929" s="177"/>
      <c r="P929" s="88"/>
      <c r="Q929" s="151"/>
      <c r="R929" s="177"/>
      <c r="S929" s="177"/>
      <c r="T929" s="177"/>
      <c r="U929" s="391"/>
      <c r="V929" s="383"/>
      <c r="W929" s="177"/>
      <c r="X929" s="177"/>
      <c r="Y929" s="177"/>
      <c r="Z929" s="391"/>
      <c r="AA929" s="383"/>
      <c r="AB929" s="177"/>
      <c r="AC929" s="177"/>
      <c r="AD929" s="177"/>
      <c r="AE929" s="391"/>
      <c r="AF929" s="383"/>
      <c r="AG929" s="177"/>
      <c r="AH929" s="177"/>
      <c r="AI929" s="177"/>
      <c r="AJ929" s="391"/>
      <c r="AK929" s="383"/>
      <c r="AL929" s="177"/>
      <c r="AM929" s="177"/>
      <c r="AN929" s="177"/>
      <c r="AO929" s="366"/>
      <c r="AP929" s="366"/>
      <c r="AQ929" s="366"/>
      <c r="AR929" s="366"/>
      <c r="AS929" s="366"/>
    </row>
    <row r="930">
      <c r="A930" s="391"/>
      <c r="B930" s="383"/>
      <c r="C930" s="177"/>
      <c r="D930" s="177"/>
      <c r="E930" s="177"/>
      <c r="F930" s="391"/>
      <c r="G930" s="383"/>
      <c r="H930" s="177"/>
      <c r="I930" s="177"/>
      <c r="J930" s="177"/>
      <c r="K930" s="88"/>
      <c r="L930" s="383"/>
      <c r="M930" s="177"/>
      <c r="N930" s="177"/>
      <c r="O930" s="177"/>
      <c r="P930" s="88"/>
      <c r="Q930" s="151"/>
      <c r="R930" s="177"/>
      <c r="S930" s="177"/>
      <c r="T930" s="177"/>
      <c r="U930" s="391"/>
      <c r="V930" s="383"/>
      <c r="W930" s="177"/>
      <c r="X930" s="177"/>
      <c r="Y930" s="177"/>
      <c r="Z930" s="391"/>
      <c r="AA930" s="383"/>
      <c r="AB930" s="177"/>
      <c r="AC930" s="177"/>
      <c r="AD930" s="177"/>
      <c r="AE930" s="391"/>
      <c r="AF930" s="383"/>
      <c r="AG930" s="177"/>
      <c r="AH930" s="177"/>
      <c r="AI930" s="177"/>
      <c r="AJ930" s="391"/>
      <c r="AK930" s="383"/>
      <c r="AL930" s="177"/>
      <c r="AM930" s="177"/>
      <c r="AN930" s="177"/>
      <c r="AO930" s="366"/>
      <c r="AP930" s="366"/>
      <c r="AQ930" s="366"/>
      <c r="AR930" s="366"/>
      <c r="AS930" s="366"/>
    </row>
    <row r="931">
      <c r="A931" s="391"/>
      <c r="B931" s="383"/>
      <c r="C931" s="177"/>
      <c r="D931" s="177"/>
      <c r="E931" s="177"/>
      <c r="F931" s="391"/>
      <c r="G931" s="383"/>
      <c r="H931" s="177"/>
      <c r="I931" s="177"/>
      <c r="J931" s="177"/>
      <c r="K931" s="88"/>
      <c r="L931" s="383"/>
      <c r="M931" s="177"/>
      <c r="N931" s="177"/>
      <c r="O931" s="177"/>
      <c r="P931" s="88"/>
      <c r="Q931" s="151"/>
      <c r="R931" s="177"/>
      <c r="S931" s="177"/>
      <c r="T931" s="177"/>
      <c r="U931" s="391"/>
      <c r="V931" s="383"/>
      <c r="W931" s="177"/>
      <c r="X931" s="177"/>
      <c r="Y931" s="177"/>
      <c r="Z931" s="391"/>
      <c r="AA931" s="383"/>
      <c r="AB931" s="177"/>
      <c r="AC931" s="177"/>
      <c r="AD931" s="177"/>
      <c r="AE931" s="391"/>
      <c r="AF931" s="383"/>
      <c r="AG931" s="177"/>
      <c r="AH931" s="177"/>
      <c r="AI931" s="177"/>
      <c r="AJ931" s="391"/>
      <c r="AK931" s="383"/>
      <c r="AL931" s="177"/>
      <c r="AM931" s="177"/>
      <c r="AN931" s="177"/>
      <c r="AO931" s="366"/>
      <c r="AP931" s="366"/>
      <c r="AQ931" s="366"/>
      <c r="AR931" s="366"/>
      <c r="AS931" s="366"/>
    </row>
    <row r="932">
      <c r="A932" s="391"/>
      <c r="B932" s="383"/>
      <c r="C932" s="177"/>
      <c r="D932" s="177"/>
      <c r="E932" s="177"/>
      <c r="F932" s="391"/>
      <c r="G932" s="383"/>
      <c r="H932" s="177"/>
      <c r="I932" s="177"/>
      <c r="J932" s="177"/>
      <c r="K932" s="88"/>
      <c r="L932" s="383"/>
      <c r="M932" s="177"/>
      <c r="N932" s="177"/>
      <c r="O932" s="177"/>
      <c r="P932" s="88"/>
      <c r="Q932" s="151"/>
      <c r="R932" s="177"/>
      <c r="S932" s="177"/>
      <c r="T932" s="177"/>
      <c r="U932" s="391"/>
      <c r="V932" s="383"/>
      <c r="W932" s="177"/>
      <c r="X932" s="177"/>
      <c r="Y932" s="177"/>
      <c r="Z932" s="391"/>
      <c r="AA932" s="383"/>
      <c r="AB932" s="177"/>
      <c r="AC932" s="177"/>
      <c r="AD932" s="177"/>
      <c r="AE932" s="391"/>
      <c r="AF932" s="383"/>
      <c r="AG932" s="177"/>
      <c r="AH932" s="177"/>
      <c r="AI932" s="177"/>
      <c r="AJ932" s="391"/>
      <c r="AK932" s="383"/>
      <c r="AL932" s="177"/>
      <c r="AM932" s="177"/>
      <c r="AN932" s="177"/>
      <c r="AO932" s="366"/>
      <c r="AP932" s="366"/>
      <c r="AQ932" s="366"/>
      <c r="AR932" s="366"/>
      <c r="AS932" s="366"/>
    </row>
    <row r="933">
      <c r="A933" s="391"/>
      <c r="B933" s="383"/>
      <c r="C933" s="177"/>
      <c r="D933" s="177"/>
      <c r="E933" s="177"/>
      <c r="F933" s="391"/>
      <c r="G933" s="383"/>
      <c r="H933" s="177"/>
      <c r="I933" s="177"/>
      <c r="J933" s="177"/>
      <c r="K933" s="88"/>
      <c r="L933" s="383"/>
      <c r="M933" s="177"/>
      <c r="N933" s="177"/>
      <c r="O933" s="177"/>
      <c r="P933" s="88"/>
      <c r="Q933" s="151"/>
      <c r="R933" s="177"/>
      <c r="S933" s="177"/>
      <c r="T933" s="177"/>
      <c r="U933" s="391"/>
      <c r="V933" s="383"/>
      <c r="W933" s="177"/>
      <c r="X933" s="177"/>
      <c r="Y933" s="177"/>
      <c r="Z933" s="391"/>
      <c r="AA933" s="383"/>
      <c r="AB933" s="177"/>
      <c r="AC933" s="177"/>
      <c r="AD933" s="177"/>
      <c r="AE933" s="391"/>
      <c r="AF933" s="383"/>
      <c r="AG933" s="177"/>
      <c r="AH933" s="177"/>
      <c r="AI933" s="177"/>
      <c r="AJ933" s="391"/>
      <c r="AK933" s="383"/>
      <c r="AL933" s="177"/>
      <c r="AM933" s="177"/>
      <c r="AN933" s="177"/>
      <c r="AO933" s="366"/>
      <c r="AP933" s="366"/>
      <c r="AQ933" s="366"/>
      <c r="AR933" s="366"/>
      <c r="AS933" s="366"/>
    </row>
    <row r="934">
      <c r="A934" s="391"/>
      <c r="B934" s="383"/>
      <c r="C934" s="177"/>
      <c r="D934" s="177"/>
      <c r="E934" s="177"/>
      <c r="F934" s="391"/>
      <c r="G934" s="383"/>
      <c r="H934" s="177"/>
      <c r="I934" s="177"/>
      <c r="J934" s="177"/>
      <c r="K934" s="88"/>
      <c r="L934" s="383"/>
      <c r="M934" s="177"/>
      <c r="N934" s="177"/>
      <c r="O934" s="177"/>
      <c r="P934" s="88"/>
      <c r="Q934" s="151"/>
      <c r="R934" s="177"/>
      <c r="S934" s="177"/>
      <c r="T934" s="177"/>
      <c r="U934" s="391"/>
      <c r="V934" s="383"/>
      <c r="W934" s="177"/>
      <c r="X934" s="177"/>
      <c r="Y934" s="177"/>
      <c r="Z934" s="391"/>
      <c r="AA934" s="383"/>
      <c r="AB934" s="177"/>
      <c r="AC934" s="177"/>
      <c r="AD934" s="177"/>
      <c r="AE934" s="391"/>
      <c r="AF934" s="383"/>
      <c r="AG934" s="177"/>
      <c r="AH934" s="177"/>
      <c r="AI934" s="177"/>
      <c r="AJ934" s="391"/>
      <c r="AK934" s="383"/>
      <c r="AL934" s="177"/>
      <c r="AM934" s="177"/>
      <c r="AN934" s="177"/>
      <c r="AO934" s="366"/>
      <c r="AP934" s="366"/>
      <c r="AQ934" s="366"/>
      <c r="AR934" s="366"/>
      <c r="AS934" s="366"/>
    </row>
    <row r="935">
      <c r="A935" s="391"/>
      <c r="B935" s="383"/>
      <c r="C935" s="177"/>
      <c r="D935" s="177"/>
      <c r="E935" s="177"/>
      <c r="F935" s="391"/>
      <c r="G935" s="383"/>
      <c r="H935" s="177"/>
      <c r="I935" s="177"/>
      <c r="J935" s="177"/>
      <c r="K935" s="88"/>
      <c r="L935" s="383"/>
      <c r="M935" s="177"/>
      <c r="N935" s="177"/>
      <c r="O935" s="177"/>
      <c r="P935" s="88"/>
      <c r="Q935" s="151"/>
      <c r="R935" s="177"/>
      <c r="S935" s="177"/>
      <c r="T935" s="177"/>
      <c r="U935" s="391"/>
      <c r="V935" s="383"/>
      <c r="W935" s="177"/>
      <c r="X935" s="177"/>
      <c r="Y935" s="177"/>
      <c r="Z935" s="391"/>
      <c r="AA935" s="383"/>
      <c r="AB935" s="177"/>
      <c r="AC935" s="177"/>
      <c r="AD935" s="177"/>
      <c r="AE935" s="391"/>
      <c r="AF935" s="383"/>
      <c r="AG935" s="177"/>
      <c r="AH935" s="177"/>
      <c r="AI935" s="177"/>
      <c r="AJ935" s="391"/>
      <c r="AK935" s="383"/>
      <c r="AL935" s="177"/>
      <c r="AM935" s="177"/>
      <c r="AN935" s="177"/>
      <c r="AO935" s="366"/>
      <c r="AP935" s="366"/>
      <c r="AQ935" s="366"/>
      <c r="AR935" s="366"/>
      <c r="AS935" s="366"/>
    </row>
    <row r="936">
      <c r="A936" s="391"/>
      <c r="B936" s="383"/>
      <c r="C936" s="177"/>
      <c r="D936" s="177"/>
      <c r="E936" s="177"/>
      <c r="F936" s="391"/>
      <c r="G936" s="383"/>
      <c r="H936" s="177"/>
      <c r="I936" s="177"/>
      <c r="J936" s="177"/>
      <c r="K936" s="88"/>
      <c r="L936" s="383"/>
      <c r="M936" s="177"/>
      <c r="N936" s="177"/>
      <c r="O936" s="177"/>
      <c r="P936" s="88"/>
      <c r="Q936" s="151"/>
      <c r="R936" s="177"/>
      <c r="S936" s="177"/>
      <c r="T936" s="177"/>
      <c r="U936" s="391"/>
      <c r="V936" s="383"/>
      <c r="W936" s="177"/>
      <c r="X936" s="177"/>
      <c r="Y936" s="177"/>
      <c r="Z936" s="391"/>
      <c r="AA936" s="383"/>
      <c r="AB936" s="177"/>
      <c r="AC936" s="177"/>
      <c r="AD936" s="177"/>
      <c r="AE936" s="391"/>
      <c r="AF936" s="383"/>
      <c r="AG936" s="177"/>
      <c r="AH936" s="177"/>
      <c r="AI936" s="177"/>
      <c r="AJ936" s="391"/>
      <c r="AK936" s="383"/>
      <c r="AL936" s="177"/>
      <c r="AM936" s="177"/>
      <c r="AN936" s="177"/>
      <c r="AO936" s="366"/>
      <c r="AP936" s="366"/>
      <c r="AQ936" s="366"/>
      <c r="AR936" s="366"/>
      <c r="AS936" s="366"/>
    </row>
    <row r="937">
      <c r="A937" s="391"/>
      <c r="B937" s="383"/>
      <c r="C937" s="177"/>
      <c r="D937" s="177"/>
      <c r="E937" s="177"/>
      <c r="F937" s="391"/>
      <c r="G937" s="383"/>
      <c r="H937" s="177"/>
      <c r="I937" s="177"/>
      <c r="J937" s="177"/>
      <c r="K937" s="88"/>
      <c r="L937" s="383"/>
      <c r="M937" s="177"/>
      <c r="N937" s="177"/>
      <c r="O937" s="177"/>
      <c r="P937" s="88"/>
      <c r="Q937" s="151"/>
      <c r="R937" s="177"/>
      <c r="S937" s="177"/>
      <c r="T937" s="177"/>
      <c r="U937" s="391"/>
      <c r="V937" s="383"/>
      <c r="W937" s="177"/>
      <c r="X937" s="177"/>
      <c r="Y937" s="177"/>
      <c r="Z937" s="391"/>
      <c r="AA937" s="383"/>
      <c r="AB937" s="177"/>
      <c r="AC937" s="177"/>
      <c r="AD937" s="177"/>
      <c r="AE937" s="391"/>
      <c r="AF937" s="383"/>
      <c r="AG937" s="177"/>
      <c r="AH937" s="177"/>
      <c r="AI937" s="177"/>
      <c r="AJ937" s="391"/>
      <c r="AK937" s="383"/>
      <c r="AL937" s="177"/>
      <c r="AM937" s="177"/>
      <c r="AN937" s="177"/>
      <c r="AO937" s="366"/>
      <c r="AP937" s="366"/>
      <c r="AQ937" s="366"/>
      <c r="AR937" s="366"/>
      <c r="AS937" s="366"/>
    </row>
    <row r="938">
      <c r="A938" s="391"/>
      <c r="B938" s="383"/>
      <c r="C938" s="177"/>
      <c r="D938" s="177"/>
      <c r="E938" s="177"/>
      <c r="F938" s="391"/>
      <c r="G938" s="383"/>
      <c r="H938" s="177"/>
      <c r="I938" s="177"/>
      <c r="J938" s="177"/>
      <c r="K938" s="88"/>
      <c r="L938" s="383"/>
      <c r="M938" s="177"/>
      <c r="N938" s="177"/>
      <c r="O938" s="177"/>
      <c r="P938" s="88"/>
      <c r="Q938" s="151"/>
      <c r="R938" s="177"/>
      <c r="S938" s="177"/>
      <c r="T938" s="177"/>
      <c r="U938" s="391"/>
      <c r="V938" s="383"/>
      <c r="W938" s="177"/>
      <c r="X938" s="177"/>
      <c r="Y938" s="177"/>
      <c r="Z938" s="391"/>
      <c r="AA938" s="383"/>
      <c r="AB938" s="177"/>
      <c r="AC938" s="177"/>
      <c r="AD938" s="177"/>
      <c r="AE938" s="391"/>
      <c r="AF938" s="383"/>
      <c r="AG938" s="177"/>
      <c r="AH938" s="177"/>
      <c r="AI938" s="177"/>
      <c r="AJ938" s="391"/>
      <c r="AK938" s="383"/>
      <c r="AL938" s="177"/>
      <c r="AM938" s="177"/>
      <c r="AN938" s="177"/>
      <c r="AO938" s="366"/>
      <c r="AP938" s="366"/>
      <c r="AQ938" s="366"/>
      <c r="AR938" s="366"/>
      <c r="AS938" s="366"/>
    </row>
    <row r="939">
      <c r="A939" s="391"/>
      <c r="B939" s="383"/>
      <c r="C939" s="177"/>
      <c r="D939" s="177"/>
      <c r="E939" s="177"/>
      <c r="F939" s="391"/>
      <c r="G939" s="383"/>
      <c r="H939" s="177"/>
      <c r="I939" s="177"/>
      <c r="J939" s="177"/>
      <c r="K939" s="88"/>
      <c r="L939" s="383"/>
      <c r="M939" s="177"/>
      <c r="N939" s="177"/>
      <c r="O939" s="177"/>
      <c r="P939" s="88"/>
      <c r="Q939" s="151"/>
      <c r="R939" s="177"/>
      <c r="S939" s="177"/>
      <c r="T939" s="177"/>
      <c r="U939" s="391"/>
      <c r="V939" s="383"/>
      <c r="W939" s="177"/>
      <c r="X939" s="177"/>
      <c r="Y939" s="177"/>
      <c r="Z939" s="391"/>
      <c r="AA939" s="383"/>
      <c r="AB939" s="177"/>
      <c r="AC939" s="177"/>
      <c r="AD939" s="177"/>
      <c r="AE939" s="391"/>
      <c r="AF939" s="383"/>
      <c r="AG939" s="177"/>
      <c r="AH939" s="177"/>
      <c r="AI939" s="177"/>
      <c r="AJ939" s="391"/>
      <c r="AK939" s="383"/>
      <c r="AL939" s="177"/>
      <c r="AM939" s="177"/>
      <c r="AN939" s="177"/>
      <c r="AO939" s="366"/>
      <c r="AP939" s="366"/>
      <c r="AQ939" s="366"/>
      <c r="AR939" s="366"/>
      <c r="AS939" s="366"/>
    </row>
    <row r="940">
      <c r="A940" s="391"/>
      <c r="B940" s="383"/>
      <c r="C940" s="177"/>
      <c r="D940" s="177"/>
      <c r="E940" s="177"/>
      <c r="F940" s="391"/>
      <c r="G940" s="383"/>
      <c r="H940" s="177"/>
      <c r="I940" s="177"/>
      <c r="J940" s="177"/>
      <c r="K940" s="88"/>
      <c r="L940" s="383"/>
      <c r="M940" s="177"/>
      <c r="N940" s="177"/>
      <c r="O940" s="177"/>
      <c r="P940" s="88"/>
      <c r="Q940" s="151"/>
      <c r="R940" s="177"/>
      <c r="S940" s="177"/>
      <c r="T940" s="177"/>
      <c r="U940" s="391"/>
      <c r="V940" s="383"/>
      <c r="W940" s="177"/>
      <c r="X940" s="177"/>
      <c r="Y940" s="177"/>
      <c r="Z940" s="391"/>
      <c r="AA940" s="383"/>
      <c r="AB940" s="177"/>
      <c r="AC940" s="177"/>
      <c r="AD940" s="177"/>
      <c r="AE940" s="391"/>
      <c r="AF940" s="383"/>
      <c r="AG940" s="177"/>
      <c r="AH940" s="177"/>
      <c r="AI940" s="177"/>
      <c r="AJ940" s="391"/>
      <c r="AK940" s="383"/>
      <c r="AL940" s="177"/>
      <c r="AM940" s="177"/>
      <c r="AN940" s="177"/>
      <c r="AO940" s="366"/>
      <c r="AP940" s="366"/>
      <c r="AQ940" s="366"/>
      <c r="AR940" s="366"/>
      <c r="AS940" s="366"/>
    </row>
    <row r="941">
      <c r="A941" s="391"/>
      <c r="B941" s="383"/>
      <c r="C941" s="177"/>
      <c r="D941" s="177"/>
      <c r="E941" s="177"/>
      <c r="F941" s="391"/>
      <c r="G941" s="383"/>
      <c r="H941" s="177"/>
      <c r="I941" s="177"/>
      <c r="J941" s="177"/>
      <c r="K941" s="88"/>
      <c r="L941" s="383"/>
      <c r="M941" s="177"/>
      <c r="N941" s="177"/>
      <c r="O941" s="177"/>
      <c r="P941" s="88"/>
      <c r="Q941" s="151"/>
      <c r="R941" s="177"/>
      <c r="S941" s="177"/>
      <c r="T941" s="177"/>
      <c r="U941" s="391"/>
      <c r="V941" s="383"/>
      <c r="W941" s="177"/>
      <c r="X941" s="177"/>
      <c r="Y941" s="177"/>
      <c r="Z941" s="391"/>
      <c r="AA941" s="383"/>
      <c r="AB941" s="177"/>
      <c r="AC941" s="177"/>
      <c r="AD941" s="177"/>
      <c r="AE941" s="391"/>
      <c r="AF941" s="383"/>
      <c r="AG941" s="177"/>
      <c r="AH941" s="177"/>
      <c r="AI941" s="177"/>
      <c r="AJ941" s="391"/>
      <c r="AK941" s="383"/>
      <c r="AL941" s="177"/>
      <c r="AM941" s="177"/>
      <c r="AN941" s="177"/>
      <c r="AO941" s="366"/>
      <c r="AP941" s="366"/>
      <c r="AQ941" s="366"/>
      <c r="AR941" s="366"/>
      <c r="AS941" s="366"/>
    </row>
    <row r="942">
      <c r="A942" s="391"/>
      <c r="B942" s="383"/>
      <c r="C942" s="177"/>
      <c r="D942" s="177"/>
      <c r="E942" s="177"/>
      <c r="F942" s="391"/>
      <c r="G942" s="383"/>
      <c r="H942" s="177"/>
      <c r="I942" s="177"/>
      <c r="J942" s="177"/>
      <c r="K942" s="88"/>
      <c r="L942" s="383"/>
      <c r="M942" s="177"/>
      <c r="N942" s="177"/>
      <c r="O942" s="177"/>
      <c r="P942" s="88"/>
      <c r="Q942" s="151"/>
      <c r="R942" s="177"/>
      <c r="S942" s="177"/>
      <c r="T942" s="177"/>
      <c r="U942" s="391"/>
      <c r="V942" s="383"/>
      <c r="W942" s="177"/>
      <c r="X942" s="177"/>
      <c r="Y942" s="177"/>
      <c r="Z942" s="391"/>
      <c r="AA942" s="383"/>
      <c r="AB942" s="177"/>
      <c r="AC942" s="177"/>
      <c r="AD942" s="177"/>
      <c r="AE942" s="391"/>
      <c r="AF942" s="383"/>
      <c r="AG942" s="177"/>
      <c r="AH942" s="177"/>
      <c r="AI942" s="177"/>
      <c r="AJ942" s="391"/>
      <c r="AK942" s="383"/>
      <c r="AL942" s="177"/>
      <c r="AM942" s="177"/>
      <c r="AN942" s="177"/>
      <c r="AO942" s="366"/>
      <c r="AP942" s="366"/>
      <c r="AQ942" s="366"/>
      <c r="AR942" s="366"/>
      <c r="AS942" s="366"/>
    </row>
    <row r="943">
      <c r="A943" s="391"/>
      <c r="B943" s="383"/>
      <c r="C943" s="177"/>
      <c r="D943" s="177"/>
      <c r="E943" s="177"/>
      <c r="F943" s="391"/>
      <c r="G943" s="383"/>
      <c r="H943" s="177"/>
      <c r="I943" s="177"/>
      <c r="J943" s="177"/>
      <c r="K943" s="88"/>
      <c r="L943" s="383"/>
      <c r="M943" s="177"/>
      <c r="N943" s="177"/>
      <c r="O943" s="177"/>
      <c r="P943" s="88"/>
      <c r="Q943" s="151"/>
      <c r="R943" s="177"/>
      <c r="S943" s="177"/>
      <c r="T943" s="177"/>
      <c r="U943" s="391"/>
      <c r="V943" s="383"/>
      <c r="W943" s="177"/>
      <c r="X943" s="177"/>
      <c r="Y943" s="177"/>
      <c r="Z943" s="391"/>
      <c r="AA943" s="383"/>
      <c r="AB943" s="177"/>
      <c r="AC943" s="177"/>
      <c r="AD943" s="177"/>
      <c r="AE943" s="391"/>
      <c r="AF943" s="383"/>
      <c r="AG943" s="177"/>
      <c r="AH943" s="177"/>
      <c r="AI943" s="177"/>
      <c r="AJ943" s="391"/>
      <c r="AK943" s="383"/>
      <c r="AL943" s="177"/>
      <c r="AM943" s="177"/>
      <c r="AN943" s="177"/>
      <c r="AO943" s="366"/>
      <c r="AP943" s="366"/>
      <c r="AQ943" s="366"/>
      <c r="AR943" s="366"/>
      <c r="AS943" s="366"/>
    </row>
    <row r="944">
      <c r="A944" s="391"/>
      <c r="B944" s="383"/>
      <c r="C944" s="177"/>
      <c r="D944" s="177"/>
      <c r="E944" s="177"/>
      <c r="F944" s="391"/>
      <c r="G944" s="383"/>
      <c r="H944" s="177"/>
      <c r="I944" s="177"/>
      <c r="J944" s="177"/>
      <c r="K944" s="88"/>
      <c r="L944" s="383"/>
      <c r="M944" s="177"/>
      <c r="N944" s="177"/>
      <c r="O944" s="177"/>
      <c r="P944" s="88"/>
      <c r="Q944" s="151"/>
      <c r="R944" s="177"/>
      <c r="S944" s="177"/>
      <c r="T944" s="177"/>
      <c r="U944" s="391"/>
      <c r="V944" s="383"/>
      <c r="W944" s="177"/>
      <c r="X944" s="177"/>
      <c r="Y944" s="177"/>
      <c r="Z944" s="391"/>
      <c r="AA944" s="383"/>
      <c r="AB944" s="177"/>
      <c r="AC944" s="177"/>
      <c r="AD944" s="177"/>
      <c r="AE944" s="391"/>
      <c r="AF944" s="383"/>
      <c r="AG944" s="177"/>
      <c r="AH944" s="177"/>
      <c r="AI944" s="177"/>
      <c r="AJ944" s="391"/>
      <c r="AK944" s="383"/>
      <c r="AL944" s="177"/>
      <c r="AM944" s="177"/>
      <c r="AN944" s="177"/>
      <c r="AO944" s="366"/>
      <c r="AP944" s="366"/>
      <c r="AQ944" s="366"/>
      <c r="AR944" s="366"/>
      <c r="AS944" s="366"/>
    </row>
    <row r="945">
      <c r="A945" s="391"/>
      <c r="B945" s="383"/>
      <c r="C945" s="177"/>
      <c r="D945" s="177"/>
      <c r="E945" s="177"/>
      <c r="F945" s="391"/>
      <c r="G945" s="383"/>
      <c r="H945" s="177"/>
      <c r="I945" s="177"/>
      <c r="J945" s="177"/>
      <c r="K945" s="88"/>
      <c r="L945" s="383"/>
      <c r="M945" s="177"/>
      <c r="N945" s="177"/>
      <c r="O945" s="177"/>
      <c r="P945" s="88"/>
      <c r="Q945" s="151"/>
      <c r="R945" s="177"/>
      <c r="S945" s="177"/>
      <c r="T945" s="177"/>
      <c r="U945" s="391"/>
      <c r="V945" s="383"/>
      <c r="W945" s="177"/>
      <c r="X945" s="177"/>
      <c r="Y945" s="177"/>
      <c r="Z945" s="391"/>
      <c r="AA945" s="383"/>
      <c r="AB945" s="177"/>
      <c r="AC945" s="177"/>
      <c r="AD945" s="177"/>
      <c r="AE945" s="391"/>
      <c r="AF945" s="383"/>
      <c r="AG945" s="177"/>
      <c r="AH945" s="177"/>
      <c r="AI945" s="177"/>
      <c r="AJ945" s="391"/>
      <c r="AK945" s="383"/>
      <c r="AL945" s="177"/>
      <c r="AM945" s="177"/>
      <c r="AN945" s="177"/>
      <c r="AO945" s="366"/>
      <c r="AP945" s="366"/>
      <c r="AQ945" s="366"/>
      <c r="AR945" s="366"/>
      <c r="AS945" s="366"/>
    </row>
    <row r="946">
      <c r="A946" s="391"/>
      <c r="B946" s="383"/>
      <c r="C946" s="177"/>
      <c r="D946" s="177"/>
      <c r="E946" s="177"/>
      <c r="F946" s="391"/>
      <c r="G946" s="383"/>
      <c r="H946" s="177"/>
      <c r="I946" s="177"/>
      <c r="J946" s="177"/>
      <c r="K946" s="88"/>
      <c r="L946" s="383"/>
      <c r="M946" s="177"/>
      <c r="N946" s="177"/>
      <c r="O946" s="177"/>
      <c r="P946" s="88"/>
      <c r="Q946" s="151"/>
      <c r="R946" s="177"/>
      <c r="S946" s="177"/>
      <c r="T946" s="177"/>
      <c r="U946" s="391"/>
      <c r="V946" s="383"/>
      <c r="W946" s="177"/>
      <c r="X946" s="177"/>
      <c r="Y946" s="177"/>
      <c r="Z946" s="391"/>
      <c r="AA946" s="383"/>
      <c r="AB946" s="177"/>
      <c r="AC946" s="177"/>
      <c r="AD946" s="177"/>
      <c r="AE946" s="391"/>
      <c r="AF946" s="383"/>
      <c r="AG946" s="177"/>
      <c r="AH946" s="177"/>
      <c r="AI946" s="177"/>
      <c r="AJ946" s="391"/>
      <c r="AK946" s="383"/>
      <c r="AL946" s="177"/>
      <c r="AM946" s="177"/>
      <c r="AN946" s="177"/>
      <c r="AO946" s="366"/>
      <c r="AP946" s="366"/>
      <c r="AQ946" s="366"/>
      <c r="AR946" s="366"/>
      <c r="AS946" s="366"/>
    </row>
    <row r="947">
      <c r="A947" s="391"/>
      <c r="B947" s="383"/>
      <c r="C947" s="177"/>
      <c r="D947" s="177"/>
      <c r="E947" s="177"/>
      <c r="F947" s="391"/>
      <c r="G947" s="383"/>
      <c r="H947" s="177"/>
      <c r="I947" s="177"/>
      <c r="J947" s="177"/>
      <c r="K947" s="88"/>
      <c r="L947" s="383"/>
      <c r="M947" s="177"/>
      <c r="N947" s="177"/>
      <c r="O947" s="177"/>
      <c r="P947" s="88"/>
      <c r="Q947" s="151"/>
      <c r="R947" s="177"/>
      <c r="S947" s="177"/>
      <c r="T947" s="177"/>
      <c r="U947" s="391"/>
      <c r="V947" s="383"/>
      <c r="W947" s="177"/>
      <c r="X947" s="177"/>
      <c r="Y947" s="177"/>
      <c r="Z947" s="391"/>
      <c r="AA947" s="383"/>
      <c r="AB947" s="177"/>
      <c r="AC947" s="177"/>
      <c r="AD947" s="177"/>
      <c r="AE947" s="391"/>
      <c r="AF947" s="383"/>
      <c r="AG947" s="177"/>
      <c r="AH947" s="177"/>
      <c r="AI947" s="177"/>
      <c r="AJ947" s="391"/>
      <c r="AK947" s="383"/>
      <c r="AL947" s="177"/>
      <c r="AM947" s="177"/>
      <c r="AN947" s="177"/>
      <c r="AO947" s="366"/>
      <c r="AP947" s="366"/>
      <c r="AQ947" s="366"/>
      <c r="AR947" s="366"/>
      <c r="AS947" s="366"/>
    </row>
    <row r="948">
      <c r="A948" s="391"/>
      <c r="B948" s="383"/>
      <c r="C948" s="177"/>
      <c r="D948" s="177"/>
      <c r="E948" s="177"/>
      <c r="F948" s="391"/>
      <c r="G948" s="383"/>
      <c r="H948" s="177"/>
      <c r="I948" s="177"/>
      <c r="J948" s="177"/>
      <c r="K948" s="88"/>
      <c r="L948" s="383"/>
      <c r="M948" s="177"/>
      <c r="N948" s="177"/>
      <c r="O948" s="177"/>
      <c r="P948" s="88"/>
      <c r="Q948" s="151"/>
      <c r="R948" s="177"/>
      <c r="S948" s="177"/>
      <c r="T948" s="177"/>
      <c r="U948" s="391"/>
      <c r="V948" s="383"/>
      <c r="W948" s="177"/>
      <c r="X948" s="177"/>
      <c r="Y948" s="177"/>
      <c r="Z948" s="391"/>
      <c r="AA948" s="383"/>
      <c r="AB948" s="177"/>
      <c r="AC948" s="177"/>
      <c r="AD948" s="177"/>
      <c r="AE948" s="391"/>
      <c r="AF948" s="383"/>
      <c r="AG948" s="177"/>
      <c r="AH948" s="177"/>
      <c r="AI948" s="177"/>
      <c r="AJ948" s="391"/>
      <c r="AK948" s="383"/>
      <c r="AL948" s="177"/>
      <c r="AM948" s="177"/>
      <c r="AN948" s="177"/>
      <c r="AO948" s="366"/>
      <c r="AP948" s="366"/>
      <c r="AQ948" s="366"/>
      <c r="AR948" s="366"/>
      <c r="AS948" s="366"/>
    </row>
    <row r="949">
      <c r="A949" s="391"/>
      <c r="B949" s="383"/>
      <c r="C949" s="177"/>
      <c r="D949" s="177"/>
      <c r="E949" s="177"/>
      <c r="F949" s="391"/>
      <c r="G949" s="383"/>
      <c r="H949" s="177"/>
      <c r="I949" s="177"/>
      <c r="J949" s="177"/>
      <c r="K949" s="88"/>
      <c r="L949" s="383"/>
      <c r="M949" s="177"/>
      <c r="N949" s="177"/>
      <c r="O949" s="177"/>
      <c r="P949" s="88"/>
      <c r="Q949" s="151"/>
      <c r="R949" s="177"/>
      <c r="S949" s="177"/>
      <c r="T949" s="177"/>
      <c r="U949" s="391"/>
      <c r="V949" s="383"/>
      <c r="W949" s="177"/>
      <c r="X949" s="177"/>
      <c r="Y949" s="177"/>
      <c r="Z949" s="391"/>
      <c r="AA949" s="383"/>
      <c r="AB949" s="177"/>
      <c r="AC949" s="177"/>
      <c r="AD949" s="177"/>
      <c r="AE949" s="391"/>
      <c r="AF949" s="383"/>
      <c r="AG949" s="177"/>
      <c r="AH949" s="177"/>
      <c r="AI949" s="177"/>
      <c r="AJ949" s="391"/>
      <c r="AK949" s="383"/>
      <c r="AL949" s="177"/>
      <c r="AM949" s="177"/>
      <c r="AN949" s="177"/>
      <c r="AO949" s="366"/>
      <c r="AP949" s="366"/>
      <c r="AQ949" s="366"/>
      <c r="AR949" s="366"/>
      <c r="AS949" s="366"/>
    </row>
    <row r="950">
      <c r="A950" s="391"/>
      <c r="B950" s="383"/>
      <c r="C950" s="177"/>
      <c r="D950" s="177"/>
      <c r="E950" s="177"/>
      <c r="F950" s="391"/>
      <c r="G950" s="383"/>
      <c r="H950" s="177"/>
      <c r="I950" s="177"/>
      <c r="J950" s="177"/>
      <c r="K950" s="88"/>
      <c r="L950" s="383"/>
      <c r="M950" s="177"/>
      <c r="N950" s="177"/>
      <c r="O950" s="177"/>
      <c r="P950" s="88"/>
      <c r="Q950" s="151"/>
      <c r="R950" s="177"/>
      <c r="S950" s="177"/>
      <c r="T950" s="177"/>
      <c r="U950" s="391"/>
      <c r="V950" s="383"/>
      <c r="W950" s="177"/>
      <c r="X950" s="177"/>
      <c r="Y950" s="177"/>
      <c r="Z950" s="391"/>
      <c r="AA950" s="383"/>
      <c r="AB950" s="177"/>
      <c r="AC950" s="177"/>
      <c r="AD950" s="177"/>
      <c r="AE950" s="391"/>
      <c r="AF950" s="383"/>
      <c r="AG950" s="177"/>
      <c r="AH950" s="177"/>
      <c r="AI950" s="177"/>
      <c r="AJ950" s="391"/>
      <c r="AK950" s="383"/>
      <c r="AL950" s="177"/>
      <c r="AM950" s="177"/>
      <c r="AN950" s="177"/>
      <c r="AO950" s="366"/>
      <c r="AP950" s="366"/>
      <c r="AQ950" s="366"/>
      <c r="AR950" s="366"/>
      <c r="AS950" s="366"/>
    </row>
    <row r="951">
      <c r="A951" s="391"/>
      <c r="B951" s="383"/>
      <c r="C951" s="177"/>
      <c r="D951" s="177"/>
      <c r="E951" s="177"/>
      <c r="F951" s="391"/>
      <c r="G951" s="383"/>
      <c r="H951" s="177"/>
      <c r="I951" s="177"/>
      <c r="J951" s="177"/>
      <c r="K951" s="88"/>
      <c r="L951" s="383"/>
      <c r="M951" s="177"/>
      <c r="N951" s="177"/>
      <c r="O951" s="177"/>
      <c r="P951" s="88"/>
      <c r="Q951" s="151"/>
      <c r="R951" s="177"/>
      <c r="S951" s="177"/>
      <c r="T951" s="177"/>
      <c r="U951" s="391"/>
      <c r="V951" s="383"/>
      <c r="W951" s="177"/>
      <c r="X951" s="177"/>
      <c r="Y951" s="177"/>
      <c r="Z951" s="391"/>
      <c r="AA951" s="383"/>
      <c r="AB951" s="177"/>
      <c r="AC951" s="177"/>
      <c r="AD951" s="177"/>
      <c r="AE951" s="391"/>
      <c r="AF951" s="383"/>
      <c r="AG951" s="177"/>
      <c r="AH951" s="177"/>
      <c r="AI951" s="177"/>
      <c r="AJ951" s="391"/>
      <c r="AK951" s="383"/>
      <c r="AL951" s="177"/>
      <c r="AM951" s="177"/>
      <c r="AN951" s="177"/>
      <c r="AO951" s="366"/>
      <c r="AP951" s="366"/>
      <c r="AQ951" s="366"/>
      <c r="AR951" s="366"/>
      <c r="AS951" s="366"/>
    </row>
    <row r="952">
      <c r="A952" s="391"/>
      <c r="B952" s="383"/>
      <c r="C952" s="177"/>
      <c r="D952" s="177"/>
      <c r="E952" s="177"/>
      <c r="F952" s="391"/>
      <c r="G952" s="383"/>
      <c r="H952" s="177"/>
      <c r="I952" s="177"/>
      <c r="J952" s="177"/>
      <c r="K952" s="88"/>
      <c r="L952" s="383"/>
      <c r="M952" s="177"/>
      <c r="N952" s="177"/>
      <c r="O952" s="177"/>
      <c r="P952" s="88"/>
      <c r="Q952" s="151"/>
      <c r="R952" s="177"/>
      <c r="S952" s="177"/>
      <c r="T952" s="177"/>
      <c r="U952" s="391"/>
      <c r="V952" s="383"/>
      <c r="W952" s="177"/>
      <c r="X952" s="177"/>
      <c r="Y952" s="177"/>
      <c r="Z952" s="391"/>
      <c r="AA952" s="383"/>
      <c r="AB952" s="177"/>
      <c r="AC952" s="177"/>
      <c r="AD952" s="177"/>
      <c r="AE952" s="391"/>
      <c r="AF952" s="383"/>
      <c r="AG952" s="177"/>
      <c r="AH952" s="177"/>
      <c r="AI952" s="177"/>
      <c r="AJ952" s="391"/>
      <c r="AK952" s="383"/>
      <c r="AL952" s="177"/>
      <c r="AM952" s="177"/>
      <c r="AN952" s="177"/>
      <c r="AO952" s="366"/>
      <c r="AP952" s="366"/>
      <c r="AQ952" s="366"/>
      <c r="AR952" s="366"/>
      <c r="AS952" s="366"/>
    </row>
    <row r="953">
      <c r="A953" s="391"/>
      <c r="B953" s="383"/>
      <c r="C953" s="177"/>
      <c r="D953" s="177"/>
      <c r="E953" s="177"/>
      <c r="F953" s="391"/>
      <c r="G953" s="383"/>
      <c r="H953" s="177"/>
      <c r="I953" s="177"/>
      <c r="J953" s="177"/>
      <c r="K953" s="88"/>
      <c r="L953" s="383"/>
      <c r="M953" s="177"/>
      <c r="N953" s="177"/>
      <c r="O953" s="177"/>
      <c r="P953" s="88"/>
      <c r="Q953" s="151"/>
      <c r="R953" s="177"/>
      <c r="S953" s="177"/>
      <c r="T953" s="177"/>
      <c r="U953" s="391"/>
      <c r="V953" s="383"/>
      <c r="W953" s="177"/>
      <c r="X953" s="177"/>
      <c r="Y953" s="177"/>
      <c r="Z953" s="391"/>
      <c r="AA953" s="383"/>
      <c r="AB953" s="177"/>
      <c r="AC953" s="177"/>
      <c r="AD953" s="177"/>
      <c r="AE953" s="391"/>
      <c r="AF953" s="383"/>
      <c r="AG953" s="177"/>
      <c r="AH953" s="177"/>
      <c r="AI953" s="177"/>
      <c r="AJ953" s="391"/>
      <c r="AK953" s="383"/>
      <c r="AL953" s="177"/>
      <c r="AM953" s="177"/>
      <c r="AN953" s="177"/>
      <c r="AO953" s="366"/>
      <c r="AP953" s="366"/>
      <c r="AQ953" s="366"/>
      <c r="AR953" s="366"/>
      <c r="AS953" s="366"/>
    </row>
    <row r="954">
      <c r="A954" s="391"/>
      <c r="B954" s="383"/>
      <c r="C954" s="177"/>
      <c r="D954" s="177"/>
      <c r="E954" s="177"/>
      <c r="F954" s="391"/>
      <c r="G954" s="383"/>
      <c r="H954" s="177"/>
      <c r="I954" s="177"/>
      <c r="J954" s="177"/>
      <c r="K954" s="88"/>
      <c r="L954" s="383"/>
      <c r="M954" s="177"/>
      <c r="N954" s="177"/>
      <c r="O954" s="177"/>
      <c r="P954" s="88"/>
      <c r="Q954" s="151"/>
      <c r="R954" s="177"/>
      <c r="S954" s="177"/>
      <c r="T954" s="177"/>
      <c r="U954" s="391"/>
      <c r="V954" s="383"/>
      <c r="W954" s="177"/>
      <c r="X954" s="177"/>
      <c r="Y954" s="177"/>
      <c r="Z954" s="391"/>
      <c r="AA954" s="383"/>
      <c r="AB954" s="177"/>
      <c r="AC954" s="177"/>
      <c r="AD954" s="177"/>
      <c r="AE954" s="391"/>
      <c r="AF954" s="383"/>
      <c r="AG954" s="177"/>
      <c r="AH954" s="177"/>
      <c r="AI954" s="177"/>
      <c r="AJ954" s="391"/>
      <c r="AK954" s="383"/>
      <c r="AL954" s="177"/>
      <c r="AM954" s="177"/>
      <c r="AN954" s="177"/>
      <c r="AO954" s="366"/>
      <c r="AP954" s="366"/>
      <c r="AQ954" s="366"/>
      <c r="AR954" s="366"/>
      <c r="AS954" s="366"/>
    </row>
    <row r="955">
      <c r="A955" s="391"/>
      <c r="B955" s="383"/>
      <c r="C955" s="177"/>
      <c r="D955" s="177"/>
      <c r="E955" s="177"/>
      <c r="F955" s="391"/>
      <c r="G955" s="383"/>
      <c r="H955" s="177"/>
      <c r="I955" s="177"/>
      <c r="J955" s="177"/>
      <c r="K955" s="88"/>
      <c r="L955" s="383"/>
      <c r="M955" s="177"/>
      <c r="N955" s="177"/>
      <c r="O955" s="177"/>
      <c r="P955" s="88"/>
      <c r="Q955" s="151"/>
      <c r="R955" s="177"/>
      <c r="S955" s="177"/>
      <c r="T955" s="177"/>
      <c r="U955" s="391"/>
      <c r="V955" s="383"/>
      <c r="W955" s="177"/>
      <c r="X955" s="177"/>
      <c r="Y955" s="177"/>
      <c r="Z955" s="391"/>
      <c r="AA955" s="383"/>
      <c r="AB955" s="177"/>
      <c r="AC955" s="177"/>
      <c r="AD955" s="177"/>
      <c r="AE955" s="391"/>
      <c r="AF955" s="383"/>
      <c r="AG955" s="177"/>
      <c r="AH955" s="177"/>
      <c r="AI955" s="177"/>
      <c r="AJ955" s="391"/>
      <c r="AK955" s="383"/>
      <c r="AL955" s="177"/>
      <c r="AM955" s="177"/>
      <c r="AN955" s="177"/>
      <c r="AO955" s="366"/>
      <c r="AP955" s="366"/>
      <c r="AQ955" s="366"/>
      <c r="AR955" s="366"/>
      <c r="AS955" s="366"/>
    </row>
    <row r="956">
      <c r="A956" s="391"/>
      <c r="B956" s="383"/>
      <c r="C956" s="177"/>
      <c r="D956" s="177"/>
      <c r="E956" s="177"/>
      <c r="F956" s="391"/>
      <c r="G956" s="383"/>
      <c r="H956" s="177"/>
      <c r="I956" s="177"/>
      <c r="J956" s="177"/>
      <c r="K956" s="88"/>
      <c r="L956" s="383"/>
      <c r="M956" s="177"/>
      <c r="N956" s="177"/>
      <c r="O956" s="177"/>
      <c r="P956" s="88"/>
      <c r="Q956" s="151"/>
      <c r="R956" s="177"/>
      <c r="S956" s="177"/>
      <c r="T956" s="177"/>
      <c r="U956" s="391"/>
      <c r="V956" s="383"/>
      <c r="W956" s="177"/>
      <c r="X956" s="177"/>
      <c r="Y956" s="177"/>
      <c r="Z956" s="391"/>
      <c r="AA956" s="383"/>
      <c r="AB956" s="177"/>
      <c r="AC956" s="177"/>
      <c r="AD956" s="177"/>
      <c r="AE956" s="391"/>
      <c r="AF956" s="383"/>
      <c r="AG956" s="177"/>
      <c r="AH956" s="177"/>
      <c r="AI956" s="177"/>
      <c r="AJ956" s="391"/>
      <c r="AK956" s="383"/>
      <c r="AL956" s="177"/>
      <c r="AM956" s="177"/>
      <c r="AN956" s="177"/>
      <c r="AO956" s="366"/>
      <c r="AP956" s="366"/>
      <c r="AQ956" s="366"/>
      <c r="AR956" s="366"/>
      <c r="AS956" s="366"/>
    </row>
    <row r="957">
      <c r="A957" s="391"/>
      <c r="B957" s="383"/>
      <c r="C957" s="177"/>
      <c r="D957" s="177"/>
      <c r="E957" s="177"/>
      <c r="F957" s="391"/>
      <c r="G957" s="383"/>
      <c r="H957" s="177"/>
      <c r="I957" s="177"/>
      <c r="J957" s="177"/>
      <c r="K957" s="88"/>
      <c r="L957" s="383"/>
      <c r="M957" s="177"/>
      <c r="N957" s="177"/>
      <c r="O957" s="177"/>
      <c r="P957" s="88"/>
      <c r="Q957" s="151"/>
      <c r="R957" s="177"/>
      <c r="S957" s="177"/>
      <c r="T957" s="177"/>
      <c r="U957" s="391"/>
      <c r="V957" s="383"/>
      <c r="W957" s="177"/>
      <c r="X957" s="177"/>
      <c r="Y957" s="177"/>
      <c r="Z957" s="391"/>
      <c r="AA957" s="383"/>
      <c r="AB957" s="177"/>
      <c r="AC957" s="177"/>
      <c r="AD957" s="177"/>
      <c r="AE957" s="391"/>
      <c r="AF957" s="383"/>
      <c r="AG957" s="177"/>
      <c r="AH957" s="177"/>
      <c r="AI957" s="177"/>
      <c r="AJ957" s="391"/>
      <c r="AK957" s="383"/>
      <c r="AL957" s="177"/>
      <c r="AM957" s="177"/>
      <c r="AN957" s="177"/>
      <c r="AO957" s="366"/>
      <c r="AP957" s="366"/>
      <c r="AQ957" s="366"/>
      <c r="AR957" s="366"/>
      <c r="AS957" s="366"/>
    </row>
    <row r="958">
      <c r="A958" s="391"/>
      <c r="B958" s="383"/>
      <c r="C958" s="177"/>
      <c r="D958" s="177"/>
      <c r="E958" s="177"/>
      <c r="F958" s="391"/>
      <c r="G958" s="383"/>
      <c r="H958" s="177"/>
      <c r="I958" s="177"/>
      <c r="J958" s="177"/>
      <c r="K958" s="88"/>
      <c r="L958" s="383"/>
      <c r="M958" s="177"/>
      <c r="N958" s="177"/>
      <c r="O958" s="177"/>
      <c r="P958" s="88"/>
      <c r="Q958" s="151"/>
      <c r="R958" s="177"/>
      <c r="S958" s="177"/>
      <c r="T958" s="177"/>
      <c r="U958" s="391"/>
      <c r="V958" s="383"/>
      <c r="W958" s="177"/>
      <c r="X958" s="177"/>
      <c r="Y958" s="177"/>
      <c r="Z958" s="391"/>
      <c r="AA958" s="383"/>
      <c r="AB958" s="177"/>
      <c r="AC958" s="177"/>
      <c r="AD958" s="177"/>
      <c r="AE958" s="391"/>
      <c r="AF958" s="383"/>
      <c r="AG958" s="177"/>
      <c r="AH958" s="177"/>
      <c r="AI958" s="177"/>
      <c r="AJ958" s="391"/>
      <c r="AK958" s="383"/>
      <c r="AL958" s="177"/>
      <c r="AM958" s="177"/>
      <c r="AN958" s="177"/>
      <c r="AO958" s="366"/>
      <c r="AP958" s="366"/>
      <c r="AQ958" s="366"/>
      <c r="AR958" s="366"/>
      <c r="AS958" s="366"/>
    </row>
    <row r="959">
      <c r="A959" s="391"/>
      <c r="B959" s="383"/>
      <c r="C959" s="177"/>
      <c r="D959" s="177"/>
      <c r="E959" s="177"/>
      <c r="F959" s="391"/>
      <c r="G959" s="383"/>
      <c r="H959" s="177"/>
      <c r="I959" s="177"/>
      <c r="J959" s="177"/>
      <c r="K959" s="88"/>
      <c r="L959" s="383"/>
      <c r="M959" s="177"/>
      <c r="N959" s="177"/>
      <c r="O959" s="177"/>
      <c r="P959" s="88"/>
      <c r="Q959" s="151"/>
      <c r="R959" s="177"/>
      <c r="S959" s="177"/>
      <c r="T959" s="177"/>
      <c r="U959" s="391"/>
      <c r="V959" s="383"/>
      <c r="W959" s="177"/>
      <c r="X959" s="177"/>
      <c r="Y959" s="177"/>
      <c r="Z959" s="391"/>
      <c r="AA959" s="383"/>
      <c r="AB959" s="177"/>
      <c r="AC959" s="177"/>
      <c r="AD959" s="177"/>
      <c r="AE959" s="391"/>
      <c r="AF959" s="383"/>
      <c r="AG959" s="177"/>
      <c r="AH959" s="177"/>
      <c r="AI959" s="177"/>
      <c r="AJ959" s="391"/>
      <c r="AK959" s="383"/>
      <c r="AL959" s="177"/>
      <c r="AM959" s="177"/>
      <c r="AN959" s="177"/>
      <c r="AO959" s="366"/>
      <c r="AP959" s="366"/>
      <c r="AQ959" s="366"/>
      <c r="AR959" s="366"/>
      <c r="AS959" s="366"/>
    </row>
    <row r="960">
      <c r="A960" s="391"/>
      <c r="B960" s="383"/>
      <c r="C960" s="177"/>
      <c r="D960" s="177"/>
      <c r="E960" s="177"/>
      <c r="F960" s="391"/>
      <c r="G960" s="383"/>
      <c r="H960" s="177"/>
      <c r="I960" s="177"/>
      <c r="J960" s="177"/>
      <c r="K960" s="88"/>
      <c r="L960" s="383"/>
      <c r="M960" s="177"/>
      <c r="N960" s="177"/>
      <c r="O960" s="177"/>
      <c r="P960" s="88"/>
      <c r="Q960" s="151"/>
      <c r="R960" s="177"/>
      <c r="S960" s="177"/>
      <c r="T960" s="177"/>
      <c r="U960" s="391"/>
      <c r="V960" s="383"/>
      <c r="W960" s="177"/>
      <c r="X960" s="177"/>
      <c r="Y960" s="177"/>
      <c r="Z960" s="391"/>
      <c r="AA960" s="383"/>
      <c r="AB960" s="177"/>
      <c r="AC960" s="177"/>
      <c r="AD960" s="177"/>
      <c r="AE960" s="391"/>
      <c r="AF960" s="383"/>
      <c r="AG960" s="177"/>
      <c r="AH960" s="177"/>
      <c r="AI960" s="177"/>
      <c r="AJ960" s="391"/>
      <c r="AK960" s="383"/>
      <c r="AL960" s="177"/>
      <c r="AM960" s="177"/>
      <c r="AN960" s="177"/>
      <c r="AO960" s="366"/>
      <c r="AP960" s="366"/>
      <c r="AQ960" s="366"/>
      <c r="AR960" s="366"/>
      <c r="AS960" s="366"/>
    </row>
    <row r="961">
      <c r="A961" s="391"/>
      <c r="B961" s="383"/>
      <c r="C961" s="177"/>
      <c r="D961" s="177"/>
      <c r="E961" s="177"/>
      <c r="F961" s="391"/>
      <c r="G961" s="383"/>
      <c r="H961" s="177"/>
      <c r="I961" s="177"/>
      <c r="J961" s="177"/>
      <c r="K961" s="88"/>
      <c r="L961" s="383"/>
      <c r="M961" s="177"/>
      <c r="N961" s="177"/>
      <c r="O961" s="177"/>
      <c r="P961" s="88"/>
      <c r="Q961" s="151"/>
      <c r="R961" s="177"/>
      <c r="S961" s="177"/>
      <c r="T961" s="177"/>
      <c r="U961" s="391"/>
      <c r="V961" s="383"/>
      <c r="W961" s="177"/>
      <c r="X961" s="177"/>
      <c r="Y961" s="177"/>
      <c r="Z961" s="391"/>
      <c r="AA961" s="383"/>
      <c r="AB961" s="177"/>
      <c r="AC961" s="177"/>
      <c r="AD961" s="177"/>
      <c r="AE961" s="391"/>
      <c r="AF961" s="383"/>
      <c r="AG961" s="177"/>
      <c r="AH961" s="177"/>
      <c r="AI961" s="177"/>
      <c r="AJ961" s="391"/>
      <c r="AK961" s="383"/>
      <c r="AL961" s="177"/>
      <c r="AM961" s="177"/>
      <c r="AN961" s="177"/>
      <c r="AO961" s="366"/>
      <c r="AP961" s="366"/>
      <c r="AQ961" s="366"/>
      <c r="AR961" s="366"/>
      <c r="AS961" s="366"/>
    </row>
    <row r="962">
      <c r="A962" s="391"/>
      <c r="B962" s="383"/>
      <c r="C962" s="177"/>
      <c r="D962" s="177"/>
      <c r="E962" s="177"/>
      <c r="F962" s="391"/>
      <c r="G962" s="383"/>
      <c r="H962" s="177"/>
      <c r="I962" s="177"/>
      <c r="J962" s="177"/>
      <c r="K962" s="88"/>
      <c r="L962" s="383"/>
      <c r="M962" s="177"/>
      <c r="N962" s="177"/>
      <c r="O962" s="177"/>
      <c r="P962" s="88"/>
      <c r="Q962" s="151"/>
      <c r="R962" s="177"/>
      <c r="S962" s="177"/>
      <c r="T962" s="177"/>
      <c r="U962" s="391"/>
      <c r="V962" s="383"/>
      <c r="W962" s="177"/>
      <c r="X962" s="177"/>
      <c r="Y962" s="177"/>
      <c r="Z962" s="391"/>
      <c r="AA962" s="383"/>
      <c r="AB962" s="177"/>
      <c r="AC962" s="177"/>
      <c r="AD962" s="177"/>
      <c r="AE962" s="391"/>
      <c r="AF962" s="383"/>
      <c r="AG962" s="177"/>
      <c r="AH962" s="177"/>
      <c r="AI962" s="177"/>
      <c r="AJ962" s="391"/>
      <c r="AK962" s="383"/>
      <c r="AL962" s="177"/>
      <c r="AM962" s="177"/>
      <c r="AN962" s="177"/>
      <c r="AO962" s="366"/>
      <c r="AP962" s="366"/>
      <c r="AQ962" s="366"/>
      <c r="AR962" s="366"/>
      <c r="AS962" s="366"/>
    </row>
    <row r="963">
      <c r="A963" s="391"/>
      <c r="B963" s="383"/>
      <c r="C963" s="177"/>
      <c r="D963" s="177"/>
      <c r="E963" s="177"/>
      <c r="F963" s="391"/>
      <c r="G963" s="383"/>
      <c r="H963" s="177"/>
      <c r="I963" s="177"/>
      <c r="J963" s="177"/>
      <c r="K963" s="88"/>
      <c r="L963" s="383"/>
      <c r="M963" s="177"/>
      <c r="N963" s="177"/>
      <c r="O963" s="177"/>
      <c r="P963" s="88"/>
      <c r="Q963" s="151"/>
      <c r="R963" s="177"/>
      <c r="S963" s="177"/>
      <c r="T963" s="177"/>
      <c r="U963" s="391"/>
      <c r="V963" s="383"/>
      <c r="W963" s="177"/>
      <c r="X963" s="177"/>
      <c r="Y963" s="177"/>
      <c r="Z963" s="391"/>
      <c r="AA963" s="383"/>
      <c r="AB963" s="177"/>
      <c r="AC963" s="177"/>
      <c r="AD963" s="177"/>
      <c r="AE963" s="391"/>
      <c r="AF963" s="383"/>
      <c r="AG963" s="177"/>
      <c r="AH963" s="177"/>
      <c r="AI963" s="177"/>
      <c r="AJ963" s="391"/>
      <c r="AK963" s="383"/>
      <c r="AL963" s="177"/>
      <c r="AM963" s="177"/>
      <c r="AN963" s="177"/>
      <c r="AO963" s="366"/>
      <c r="AP963" s="366"/>
      <c r="AQ963" s="366"/>
      <c r="AR963" s="366"/>
      <c r="AS963" s="366"/>
    </row>
    <row r="964">
      <c r="A964" s="391"/>
      <c r="B964" s="383"/>
      <c r="C964" s="177"/>
      <c r="D964" s="177"/>
      <c r="E964" s="177"/>
      <c r="F964" s="391"/>
      <c r="G964" s="383"/>
      <c r="H964" s="177"/>
      <c r="I964" s="177"/>
      <c r="J964" s="177"/>
      <c r="K964" s="88"/>
      <c r="L964" s="383"/>
      <c r="M964" s="177"/>
      <c r="N964" s="177"/>
      <c r="O964" s="177"/>
      <c r="P964" s="88"/>
      <c r="Q964" s="151"/>
      <c r="R964" s="177"/>
      <c r="S964" s="177"/>
      <c r="T964" s="177"/>
      <c r="U964" s="391"/>
      <c r="V964" s="383"/>
      <c r="W964" s="177"/>
      <c r="X964" s="177"/>
      <c r="Y964" s="177"/>
      <c r="Z964" s="391"/>
      <c r="AA964" s="383"/>
      <c r="AB964" s="177"/>
      <c r="AC964" s="177"/>
      <c r="AD964" s="177"/>
      <c r="AE964" s="391"/>
      <c r="AF964" s="383"/>
      <c r="AG964" s="177"/>
      <c r="AH964" s="177"/>
      <c r="AI964" s="177"/>
      <c r="AJ964" s="391"/>
      <c r="AK964" s="383"/>
      <c r="AL964" s="177"/>
      <c r="AM964" s="177"/>
      <c r="AN964" s="177"/>
      <c r="AO964" s="366"/>
      <c r="AP964" s="366"/>
      <c r="AQ964" s="366"/>
      <c r="AR964" s="366"/>
      <c r="AS964" s="366"/>
    </row>
    <row r="965">
      <c r="A965" s="391"/>
      <c r="B965" s="383"/>
      <c r="C965" s="177"/>
      <c r="D965" s="177"/>
      <c r="E965" s="177"/>
      <c r="F965" s="391"/>
      <c r="G965" s="383"/>
      <c r="H965" s="177"/>
      <c r="I965" s="177"/>
      <c r="J965" s="177"/>
      <c r="K965" s="88"/>
      <c r="L965" s="383"/>
      <c r="M965" s="177"/>
      <c r="N965" s="177"/>
      <c r="O965" s="177"/>
      <c r="P965" s="88"/>
      <c r="Q965" s="151"/>
      <c r="R965" s="177"/>
      <c r="S965" s="177"/>
      <c r="T965" s="177"/>
      <c r="U965" s="391"/>
      <c r="V965" s="383"/>
      <c r="W965" s="177"/>
      <c r="X965" s="177"/>
      <c r="Y965" s="177"/>
      <c r="Z965" s="391"/>
      <c r="AA965" s="383"/>
      <c r="AB965" s="177"/>
      <c r="AC965" s="177"/>
      <c r="AD965" s="177"/>
      <c r="AE965" s="391"/>
      <c r="AF965" s="383"/>
      <c r="AG965" s="177"/>
      <c r="AH965" s="177"/>
      <c r="AI965" s="177"/>
      <c r="AJ965" s="391"/>
      <c r="AK965" s="383"/>
      <c r="AL965" s="177"/>
      <c r="AM965" s="177"/>
      <c r="AN965" s="177"/>
      <c r="AO965" s="366"/>
      <c r="AP965" s="366"/>
      <c r="AQ965" s="366"/>
      <c r="AR965" s="366"/>
      <c r="AS965" s="366"/>
    </row>
    <row r="966">
      <c r="A966" s="391"/>
      <c r="B966" s="383"/>
      <c r="C966" s="177"/>
      <c r="D966" s="177"/>
      <c r="E966" s="177"/>
      <c r="F966" s="391"/>
      <c r="G966" s="383"/>
      <c r="H966" s="177"/>
      <c r="I966" s="177"/>
      <c r="J966" s="177"/>
      <c r="K966" s="88"/>
      <c r="L966" s="383"/>
      <c r="M966" s="177"/>
      <c r="N966" s="177"/>
      <c r="O966" s="177"/>
      <c r="P966" s="88"/>
      <c r="Q966" s="151"/>
      <c r="R966" s="177"/>
      <c r="S966" s="177"/>
      <c r="T966" s="177"/>
      <c r="U966" s="391"/>
      <c r="V966" s="383"/>
      <c r="W966" s="177"/>
      <c r="X966" s="177"/>
      <c r="Y966" s="177"/>
      <c r="Z966" s="391"/>
      <c r="AA966" s="383"/>
      <c r="AB966" s="177"/>
      <c r="AC966" s="177"/>
      <c r="AD966" s="177"/>
      <c r="AE966" s="391"/>
      <c r="AF966" s="383"/>
      <c r="AG966" s="177"/>
      <c r="AH966" s="177"/>
      <c r="AI966" s="177"/>
      <c r="AJ966" s="391"/>
      <c r="AK966" s="383"/>
      <c r="AL966" s="177"/>
      <c r="AM966" s="177"/>
      <c r="AN966" s="177"/>
      <c r="AO966" s="366"/>
      <c r="AP966" s="366"/>
      <c r="AQ966" s="366"/>
      <c r="AR966" s="366"/>
      <c r="AS966" s="366"/>
    </row>
    <row r="967">
      <c r="A967" s="391"/>
      <c r="B967" s="383"/>
      <c r="C967" s="177"/>
      <c r="D967" s="177"/>
      <c r="E967" s="177"/>
      <c r="F967" s="391"/>
      <c r="G967" s="383"/>
      <c r="H967" s="177"/>
      <c r="I967" s="177"/>
      <c r="J967" s="177"/>
      <c r="K967" s="88"/>
      <c r="L967" s="383"/>
      <c r="M967" s="177"/>
      <c r="N967" s="177"/>
      <c r="O967" s="177"/>
      <c r="P967" s="88"/>
      <c r="Q967" s="151"/>
      <c r="R967" s="177"/>
      <c r="S967" s="177"/>
      <c r="T967" s="177"/>
      <c r="U967" s="391"/>
      <c r="V967" s="383"/>
      <c r="W967" s="177"/>
      <c r="X967" s="177"/>
      <c r="Y967" s="177"/>
      <c r="Z967" s="391"/>
      <c r="AA967" s="383"/>
      <c r="AB967" s="177"/>
      <c r="AC967" s="177"/>
      <c r="AD967" s="177"/>
      <c r="AE967" s="391"/>
      <c r="AF967" s="383"/>
      <c r="AG967" s="177"/>
      <c r="AH967" s="177"/>
      <c r="AI967" s="177"/>
      <c r="AJ967" s="391"/>
      <c r="AK967" s="383"/>
      <c r="AL967" s="177"/>
      <c r="AM967" s="177"/>
      <c r="AN967" s="177"/>
      <c r="AO967" s="366"/>
      <c r="AP967" s="366"/>
      <c r="AQ967" s="366"/>
      <c r="AR967" s="366"/>
      <c r="AS967" s="366"/>
    </row>
    <row r="968">
      <c r="A968" s="391"/>
      <c r="B968" s="383"/>
      <c r="C968" s="177"/>
      <c r="D968" s="177"/>
      <c r="E968" s="177"/>
      <c r="F968" s="391"/>
      <c r="G968" s="383"/>
      <c r="H968" s="177"/>
      <c r="I968" s="177"/>
      <c r="J968" s="177"/>
      <c r="K968" s="88"/>
      <c r="L968" s="383"/>
      <c r="M968" s="177"/>
      <c r="N968" s="177"/>
      <c r="O968" s="177"/>
      <c r="P968" s="88"/>
      <c r="Q968" s="151"/>
      <c r="R968" s="177"/>
      <c r="S968" s="177"/>
      <c r="T968" s="177"/>
      <c r="U968" s="391"/>
      <c r="V968" s="383"/>
      <c r="W968" s="177"/>
      <c r="X968" s="177"/>
      <c r="Y968" s="177"/>
      <c r="Z968" s="391"/>
      <c r="AA968" s="383"/>
      <c r="AB968" s="177"/>
      <c r="AC968" s="177"/>
      <c r="AD968" s="177"/>
      <c r="AE968" s="391"/>
      <c r="AF968" s="383"/>
      <c r="AG968" s="177"/>
      <c r="AH968" s="177"/>
      <c r="AI968" s="177"/>
      <c r="AJ968" s="391"/>
      <c r="AK968" s="383"/>
      <c r="AL968" s="177"/>
      <c r="AM968" s="177"/>
      <c r="AN968" s="177"/>
      <c r="AO968" s="366"/>
      <c r="AP968" s="366"/>
      <c r="AQ968" s="366"/>
      <c r="AR968" s="366"/>
      <c r="AS968" s="366"/>
    </row>
    <row r="969">
      <c r="A969" s="391"/>
      <c r="B969" s="383"/>
      <c r="C969" s="177"/>
      <c r="D969" s="177"/>
      <c r="E969" s="177"/>
      <c r="F969" s="391"/>
      <c r="G969" s="383"/>
      <c r="H969" s="177"/>
      <c r="I969" s="177"/>
      <c r="J969" s="177"/>
      <c r="K969" s="88"/>
      <c r="L969" s="383"/>
      <c r="M969" s="177"/>
      <c r="N969" s="177"/>
      <c r="O969" s="177"/>
      <c r="P969" s="88"/>
      <c r="Q969" s="151"/>
      <c r="R969" s="177"/>
      <c r="S969" s="177"/>
      <c r="T969" s="177"/>
      <c r="U969" s="391"/>
      <c r="V969" s="383"/>
      <c r="W969" s="177"/>
      <c r="X969" s="177"/>
      <c r="Y969" s="177"/>
      <c r="Z969" s="391"/>
      <c r="AA969" s="383"/>
      <c r="AB969" s="177"/>
      <c r="AC969" s="177"/>
      <c r="AD969" s="177"/>
      <c r="AE969" s="391"/>
      <c r="AF969" s="383"/>
      <c r="AG969" s="177"/>
      <c r="AH969" s="177"/>
      <c r="AI969" s="177"/>
      <c r="AJ969" s="391"/>
      <c r="AK969" s="383"/>
      <c r="AL969" s="177"/>
      <c r="AM969" s="177"/>
      <c r="AN969" s="177"/>
      <c r="AO969" s="366"/>
      <c r="AP969" s="366"/>
      <c r="AQ969" s="366"/>
      <c r="AR969" s="366"/>
      <c r="AS969" s="366"/>
    </row>
    <row r="970">
      <c r="A970" s="391"/>
      <c r="B970" s="383"/>
      <c r="C970" s="177"/>
      <c r="D970" s="177"/>
      <c r="E970" s="177"/>
      <c r="F970" s="391"/>
      <c r="G970" s="383"/>
      <c r="H970" s="177"/>
      <c r="I970" s="177"/>
      <c r="J970" s="177"/>
      <c r="K970" s="88"/>
      <c r="L970" s="383"/>
      <c r="M970" s="177"/>
      <c r="N970" s="177"/>
      <c r="O970" s="177"/>
      <c r="P970" s="88"/>
      <c r="Q970" s="151"/>
      <c r="R970" s="177"/>
      <c r="S970" s="177"/>
      <c r="T970" s="177"/>
      <c r="U970" s="391"/>
      <c r="V970" s="383"/>
      <c r="W970" s="177"/>
      <c r="X970" s="177"/>
      <c r="Y970" s="177"/>
      <c r="Z970" s="391"/>
      <c r="AA970" s="383"/>
      <c r="AB970" s="177"/>
      <c r="AC970" s="177"/>
      <c r="AD970" s="177"/>
      <c r="AE970" s="391"/>
      <c r="AF970" s="383"/>
      <c r="AG970" s="177"/>
      <c r="AH970" s="177"/>
      <c r="AI970" s="177"/>
      <c r="AJ970" s="391"/>
      <c r="AK970" s="383"/>
      <c r="AL970" s="177"/>
      <c r="AM970" s="177"/>
      <c r="AN970" s="177"/>
      <c r="AO970" s="366"/>
      <c r="AP970" s="366"/>
      <c r="AQ970" s="366"/>
      <c r="AR970" s="366"/>
      <c r="AS970" s="366"/>
    </row>
    <row r="971">
      <c r="A971" s="391"/>
      <c r="B971" s="383"/>
      <c r="C971" s="177"/>
      <c r="D971" s="177"/>
      <c r="E971" s="177"/>
      <c r="F971" s="391"/>
      <c r="G971" s="383"/>
      <c r="H971" s="177"/>
      <c r="I971" s="177"/>
      <c r="J971" s="177"/>
      <c r="K971" s="88"/>
      <c r="L971" s="383"/>
      <c r="M971" s="177"/>
      <c r="N971" s="177"/>
      <c r="O971" s="177"/>
      <c r="P971" s="88"/>
      <c r="Q971" s="151"/>
      <c r="R971" s="177"/>
      <c r="S971" s="177"/>
      <c r="T971" s="177"/>
      <c r="U971" s="391"/>
      <c r="V971" s="383"/>
      <c r="W971" s="177"/>
      <c r="X971" s="177"/>
      <c r="Y971" s="177"/>
      <c r="Z971" s="391"/>
      <c r="AA971" s="383"/>
      <c r="AB971" s="177"/>
      <c r="AC971" s="177"/>
      <c r="AD971" s="177"/>
      <c r="AE971" s="391"/>
      <c r="AF971" s="383"/>
      <c r="AG971" s="177"/>
      <c r="AH971" s="177"/>
      <c r="AI971" s="177"/>
      <c r="AJ971" s="391"/>
      <c r="AK971" s="383"/>
      <c r="AL971" s="177"/>
      <c r="AM971" s="177"/>
      <c r="AN971" s="177"/>
      <c r="AO971" s="366"/>
      <c r="AP971" s="366"/>
      <c r="AQ971" s="366"/>
      <c r="AR971" s="366"/>
      <c r="AS971" s="366"/>
    </row>
    <row r="972">
      <c r="A972" s="391"/>
      <c r="B972" s="383"/>
      <c r="C972" s="177"/>
      <c r="D972" s="177"/>
      <c r="E972" s="177"/>
      <c r="F972" s="391"/>
      <c r="G972" s="383"/>
      <c r="H972" s="177"/>
      <c r="I972" s="177"/>
      <c r="J972" s="177"/>
      <c r="K972" s="88"/>
      <c r="L972" s="383"/>
      <c r="M972" s="177"/>
      <c r="N972" s="177"/>
      <c r="O972" s="177"/>
      <c r="P972" s="88"/>
      <c r="Q972" s="151"/>
      <c r="R972" s="177"/>
      <c r="S972" s="177"/>
      <c r="T972" s="177"/>
      <c r="U972" s="391"/>
      <c r="V972" s="383"/>
      <c r="W972" s="177"/>
      <c r="X972" s="177"/>
      <c r="Y972" s="177"/>
      <c r="Z972" s="391"/>
      <c r="AA972" s="383"/>
      <c r="AB972" s="177"/>
      <c r="AC972" s="177"/>
      <c r="AD972" s="177"/>
      <c r="AE972" s="391"/>
      <c r="AF972" s="383"/>
      <c r="AG972" s="177"/>
      <c r="AH972" s="177"/>
      <c r="AI972" s="177"/>
      <c r="AJ972" s="391"/>
      <c r="AK972" s="383"/>
      <c r="AL972" s="177"/>
      <c r="AM972" s="177"/>
      <c r="AN972" s="177"/>
      <c r="AO972" s="366"/>
      <c r="AP972" s="366"/>
      <c r="AQ972" s="366"/>
      <c r="AR972" s="366"/>
      <c r="AS972" s="366"/>
    </row>
    <row r="973">
      <c r="A973" s="391"/>
      <c r="B973" s="383"/>
      <c r="C973" s="177"/>
      <c r="D973" s="177"/>
      <c r="E973" s="177"/>
      <c r="F973" s="391"/>
      <c r="G973" s="383"/>
      <c r="H973" s="177"/>
      <c r="I973" s="177"/>
      <c r="J973" s="177"/>
      <c r="K973" s="88"/>
      <c r="L973" s="383"/>
      <c r="M973" s="177"/>
      <c r="N973" s="177"/>
      <c r="O973" s="177"/>
      <c r="P973" s="88"/>
      <c r="Q973" s="151"/>
      <c r="R973" s="177"/>
      <c r="S973" s="177"/>
      <c r="T973" s="177"/>
      <c r="U973" s="391"/>
      <c r="V973" s="383"/>
      <c r="W973" s="177"/>
      <c r="X973" s="177"/>
      <c r="Y973" s="177"/>
      <c r="Z973" s="391"/>
      <c r="AA973" s="383"/>
      <c r="AB973" s="177"/>
      <c r="AC973" s="177"/>
      <c r="AD973" s="177"/>
      <c r="AE973" s="391"/>
      <c r="AF973" s="383"/>
      <c r="AG973" s="177"/>
      <c r="AH973" s="177"/>
      <c r="AI973" s="177"/>
      <c r="AJ973" s="391"/>
      <c r="AK973" s="383"/>
      <c r="AL973" s="177"/>
      <c r="AM973" s="177"/>
      <c r="AN973" s="177"/>
      <c r="AO973" s="366"/>
      <c r="AP973" s="366"/>
      <c r="AQ973" s="366"/>
      <c r="AR973" s="366"/>
      <c r="AS973" s="366"/>
    </row>
    <row r="974">
      <c r="A974" s="391"/>
      <c r="B974" s="383"/>
      <c r="C974" s="177"/>
      <c r="D974" s="177"/>
      <c r="E974" s="177"/>
      <c r="F974" s="391"/>
      <c r="G974" s="383"/>
      <c r="H974" s="177"/>
      <c r="I974" s="177"/>
      <c r="J974" s="177"/>
      <c r="K974" s="88"/>
      <c r="L974" s="383"/>
      <c r="M974" s="177"/>
      <c r="N974" s="177"/>
      <c r="O974" s="177"/>
      <c r="P974" s="88"/>
      <c r="Q974" s="151"/>
      <c r="R974" s="177"/>
      <c r="S974" s="177"/>
      <c r="T974" s="177"/>
      <c r="U974" s="391"/>
      <c r="V974" s="383"/>
      <c r="W974" s="177"/>
      <c r="X974" s="177"/>
      <c r="Y974" s="177"/>
      <c r="Z974" s="391"/>
      <c r="AA974" s="383"/>
      <c r="AB974" s="177"/>
      <c r="AC974" s="177"/>
      <c r="AD974" s="177"/>
      <c r="AE974" s="391"/>
      <c r="AF974" s="383"/>
      <c r="AG974" s="177"/>
      <c r="AH974" s="177"/>
      <c r="AI974" s="177"/>
      <c r="AJ974" s="391"/>
      <c r="AK974" s="383"/>
      <c r="AL974" s="177"/>
      <c r="AM974" s="177"/>
      <c r="AN974" s="177"/>
      <c r="AO974" s="366"/>
      <c r="AP974" s="366"/>
      <c r="AQ974" s="366"/>
      <c r="AR974" s="366"/>
      <c r="AS974" s="366"/>
    </row>
    <row r="975">
      <c r="A975" s="391"/>
      <c r="B975" s="383"/>
      <c r="C975" s="177"/>
      <c r="D975" s="177"/>
      <c r="E975" s="177"/>
      <c r="F975" s="391"/>
      <c r="G975" s="383"/>
      <c r="H975" s="177"/>
      <c r="I975" s="177"/>
      <c r="J975" s="177"/>
      <c r="K975" s="88"/>
      <c r="L975" s="383"/>
      <c r="M975" s="177"/>
      <c r="N975" s="177"/>
      <c r="O975" s="177"/>
      <c r="P975" s="88"/>
      <c r="Q975" s="151"/>
      <c r="R975" s="177"/>
      <c r="S975" s="177"/>
      <c r="T975" s="177"/>
      <c r="U975" s="391"/>
      <c r="V975" s="383"/>
      <c r="W975" s="177"/>
      <c r="X975" s="177"/>
      <c r="Y975" s="177"/>
      <c r="Z975" s="391"/>
      <c r="AA975" s="383"/>
      <c r="AB975" s="177"/>
      <c r="AC975" s="177"/>
      <c r="AD975" s="177"/>
      <c r="AE975" s="391"/>
      <c r="AF975" s="383"/>
      <c r="AG975" s="177"/>
      <c r="AH975" s="177"/>
      <c r="AI975" s="177"/>
      <c r="AJ975" s="391"/>
      <c r="AK975" s="383"/>
      <c r="AL975" s="177"/>
      <c r="AM975" s="177"/>
      <c r="AN975" s="177"/>
      <c r="AO975" s="366"/>
      <c r="AP975" s="366"/>
      <c r="AQ975" s="366"/>
      <c r="AR975" s="366"/>
      <c r="AS975" s="366"/>
    </row>
    <row r="976">
      <c r="A976" s="391"/>
      <c r="B976" s="383"/>
      <c r="C976" s="177"/>
      <c r="D976" s="177"/>
      <c r="E976" s="177"/>
      <c r="F976" s="391"/>
      <c r="G976" s="383"/>
      <c r="H976" s="177"/>
      <c r="I976" s="177"/>
      <c r="J976" s="177"/>
      <c r="K976" s="88"/>
      <c r="L976" s="383"/>
      <c r="M976" s="177"/>
      <c r="N976" s="177"/>
      <c r="O976" s="177"/>
      <c r="P976" s="88"/>
      <c r="Q976" s="151"/>
      <c r="R976" s="177"/>
      <c r="S976" s="177"/>
      <c r="T976" s="177"/>
      <c r="U976" s="391"/>
      <c r="V976" s="383"/>
      <c r="W976" s="177"/>
      <c r="X976" s="177"/>
      <c r="Y976" s="177"/>
      <c r="Z976" s="391"/>
      <c r="AA976" s="383"/>
      <c r="AB976" s="177"/>
      <c r="AC976" s="177"/>
      <c r="AD976" s="177"/>
      <c r="AE976" s="391"/>
      <c r="AF976" s="383"/>
      <c r="AG976" s="177"/>
      <c r="AH976" s="177"/>
      <c r="AI976" s="177"/>
      <c r="AJ976" s="391"/>
      <c r="AK976" s="383"/>
      <c r="AL976" s="177"/>
      <c r="AM976" s="177"/>
      <c r="AN976" s="177"/>
      <c r="AO976" s="366"/>
      <c r="AP976" s="366"/>
      <c r="AQ976" s="366"/>
      <c r="AR976" s="366"/>
      <c r="AS976" s="366"/>
    </row>
    <row r="977">
      <c r="A977" s="391"/>
      <c r="B977" s="383"/>
      <c r="C977" s="177"/>
      <c r="D977" s="177"/>
      <c r="E977" s="177"/>
      <c r="F977" s="391"/>
      <c r="G977" s="383"/>
      <c r="H977" s="177"/>
      <c r="I977" s="177"/>
      <c r="J977" s="177"/>
      <c r="K977" s="88"/>
      <c r="L977" s="383"/>
      <c r="M977" s="177"/>
      <c r="N977" s="177"/>
      <c r="O977" s="177"/>
      <c r="P977" s="88"/>
      <c r="Q977" s="151"/>
      <c r="R977" s="177"/>
      <c r="S977" s="177"/>
      <c r="T977" s="177"/>
      <c r="U977" s="391"/>
      <c r="V977" s="383"/>
      <c r="W977" s="177"/>
      <c r="X977" s="177"/>
      <c r="Y977" s="177"/>
      <c r="Z977" s="391"/>
      <c r="AA977" s="383"/>
      <c r="AB977" s="177"/>
      <c r="AC977" s="177"/>
      <c r="AD977" s="177"/>
      <c r="AE977" s="391"/>
      <c r="AF977" s="383"/>
      <c r="AG977" s="177"/>
      <c r="AH977" s="177"/>
      <c r="AI977" s="177"/>
      <c r="AJ977" s="391"/>
      <c r="AK977" s="383"/>
      <c r="AL977" s="177"/>
      <c r="AM977" s="177"/>
      <c r="AN977" s="177"/>
      <c r="AO977" s="366"/>
      <c r="AP977" s="366"/>
      <c r="AQ977" s="366"/>
      <c r="AR977" s="366"/>
      <c r="AS977" s="366"/>
    </row>
    <row r="978">
      <c r="A978" s="391"/>
      <c r="B978" s="383"/>
      <c r="C978" s="177"/>
      <c r="D978" s="177"/>
      <c r="E978" s="177"/>
      <c r="F978" s="391"/>
      <c r="G978" s="383"/>
      <c r="H978" s="177"/>
      <c r="I978" s="177"/>
      <c r="J978" s="177"/>
      <c r="K978" s="88"/>
      <c r="L978" s="383"/>
      <c r="M978" s="177"/>
      <c r="N978" s="177"/>
      <c r="O978" s="177"/>
      <c r="P978" s="88"/>
      <c r="Q978" s="151"/>
      <c r="R978" s="177"/>
      <c r="S978" s="177"/>
      <c r="T978" s="177"/>
      <c r="U978" s="391"/>
      <c r="V978" s="383"/>
      <c r="W978" s="177"/>
      <c r="X978" s="177"/>
      <c r="Y978" s="177"/>
      <c r="Z978" s="391"/>
      <c r="AA978" s="383"/>
      <c r="AB978" s="177"/>
      <c r="AC978" s="177"/>
      <c r="AD978" s="177"/>
      <c r="AE978" s="391"/>
      <c r="AF978" s="383"/>
      <c r="AG978" s="177"/>
      <c r="AH978" s="177"/>
      <c r="AI978" s="177"/>
      <c r="AJ978" s="391"/>
      <c r="AK978" s="383"/>
      <c r="AL978" s="177"/>
      <c r="AM978" s="177"/>
      <c r="AN978" s="177"/>
      <c r="AO978" s="366"/>
      <c r="AP978" s="366"/>
      <c r="AQ978" s="366"/>
      <c r="AR978" s="366"/>
      <c r="AS978" s="366"/>
    </row>
    <row r="979">
      <c r="A979" s="391"/>
      <c r="B979" s="383"/>
      <c r="C979" s="177"/>
      <c r="D979" s="177"/>
      <c r="E979" s="177"/>
      <c r="F979" s="391"/>
      <c r="G979" s="383"/>
      <c r="H979" s="177"/>
      <c r="I979" s="177"/>
      <c r="J979" s="177"/>
      <c r="K979" s="88"/>
      <c r="L979" s="383"/>
      <c r="M979" s="177"/>
      <c r="N979" s="177"/>
      <c r="O979" s="177"/>
      <c r="P979" s="88"/>
      <c r="Q979" s="151"/>
      <c r="R979" s="177"/>
      <c r="S979" s="177"/>
      <c r="T979" s="177"/>
      <c r="U979" s="391"/>
      <c r="V979" s="383"/>
      <c r="W979" s="177"/>
      <c r="X979" s="177"/>
      <c r="Y979" s="177"/>
      <c r="Z979" s="391"/>
      <c r="AA979" s="383"/>
      <c r="AB979" s="177"/>
      <c r="AC979" s="177"/>
      <c r="AD979" s="177"/>
      <c r="AE979" s="391"/>
      <c r="AF979" s="383"/>
      <c r="AG979" s="177"/>
      <c r="AH979" s="177"/>
      <c r="AI979" s="177"/>
      <c r="AJ979" s="391"/>
      <c r="AK979" s="383"/>
      <c r="AL979" s="177"/>
      <c r="AM979" s="177"/>
      <c r="AN979" s="177"/>
      <c r="AO979" s="366"/>
      <c r="AP979" s="366"/>
      <c r="AQ979" s="366"/>
      <c r="AR979" s="366"/>
      <c r="AS979" s="366"/>
    </row>
    <row r="980">
      <c r="A980" s="391"/>
      <c r="B980" s="383"/>
      <c r="C980" s="177"/>
      <c r="D980" s="177"/>
      <c r="E980" s="177"/>
      <c r="F980" s="391"/>
      <c r="G980" s="383"/>
      <c r="H980" s="177"/>
      <c r="I980" s="177"/>
      <c r="J980" s="177"/>
      <c r="K980" s="88"/>
      <c r="L980" s="383"/>
      <c r="M980" s="177"/>
      <c r="N980" s="177"/>
      <c r="O980" s="177"/>
      <c r="P980" s="88"/>
      <c r="Q980" s="151"/>
      <c r="R980" s="177"/>
      <c r="S980" s="177"/>
      <c r="T980" s="177"/>
      <c r="U980" s="391"/>
      <c r="V980" s="383"/>
      <c r="W980" s="177"/>
      <c r="X980" s="177"/>
      <c r="Y980" s="177"/>
      <c r="Z980" s="391"/>
      <c r="AA980" s="383"/>
      <c r="AB980" s="177"/>
      <c r="AC980" s="177"/>
      <c r="AD980" s="177"/>
      <c r="AE980" s="391"/>
      <c r="AF980" s="383"/>
      <c r="AG980" s="177"/>
      <c r="AH980" s="177"/>
      <c r="AI980" s="177"/>
      <c r="AJ980" s="391"/>
      <c r="AK980" s="383"/>
      <c r="AL980" s="177"/>
      <c r="AM980" s="177"/>
      <c r="AN980" s="177"/>
      <c r="AO980" s="366"/>
      <c r="AP980" s="366"/>
      <c r="AQ980" s="366"/>
      <c r="AR980" s="366"/>
      <c r="AS980" s="366"/>
    </row>
    <row r="981">
      <c r="A981" s="391"/>
      <c r="B981" s="383"/>
      <c r="C981" s="177"/>
      <c r="D981" s="177"/>
      <c r="E981" s="177"/>
      <c r="F981" s="391"/>
      <c r="G981" s="383"/>
      <c r="H981" s="177"/>
      <c r="I981" s="177"/>
      <c r="J981" s="177"/>
      <c r="K981" s="88"/>
      <c r="L981" s="383"/>
      <c r="M981" s="177"/>
      <c r="N981" s="177"/>
      <c r="O981" s="177"/>
      <c r="P981" s="88"/>
      <c r="Q981" s="151"/>
      <c r="R981" s="177"/>
      <c r="S981" s="177"/>
      <c r="T981" s="177"/>
      <c r="U981" s="391"/>
      <c r="V981" s="383"/>
      <c r="W981" s="177"/>
      <c r="X981" s="177"/>
      <c r="Y981" s="177"/>
      <c r="Z981" s="391"/>
      <c r="AA981" s="383"/>
      <c r="AB981" s="177"/>
      <c r="AC981" s="177"/>
      <c r="AD981" s="177"/>
      <c r="AE981" s="391"/>
      <c r="AF981" s="383"/>
      <c r="AG981" s="177"/>
      <c r="AH981" s="177"/>
      <c r="AI981" s="177"/>
      <c r="AJ981" s="391"/>
      <c r="AK981" s="383"/>
      <c r="AL981" s="177"/>
      <c r="AM981" s="177"/>
      <c r="AN981" s="177"/>
      <c r="AO981" s="366"/>
      <c r="AP981" s="366"/>
      <c r="AQ981" s="366"/>
      <c r="AR981" s="366"/>
      <c r="AS981" s="366"/>
    </row>
    <row r="982">
      <c r="A982" s="391"/>
      <c r="B982" s="383"/>
      <c r="C982" s="177"/>
      <c r="D982" s="177"/>
      <c r="E982" s="177"/>
      <c r="F982" s="391"/>
      <c r="G982" s="383"/>
      <c r="H982" s="177"/>
      <c r="I982" s="177"/>
      <c r="J982" s="177"/>
      <c r="K982" s="88"/>
      <c r="L982" s="383"/>
      <c r="M982" s="177"/>
      <c r="N982" s="177"/>
      <c r="O982" s="177"/>
      <c r="P982" s="88"/>
      <c r="Q982" s="151"/>
      <c r="R982" s="177"/>
      <c r="S982" s="177"/>
      <c r="T982" s="177"/>
      <c r="U982" s="391"/>
      <c r="V982" s="383"/>
      <c r="W982" s="177"/>
      <c r="X982" s="177"/>
      <c r="Y982" s="177"/>
      <c r="Z982" s="391"/>
      <c r="AA982" s="383"/>
      <c r="AB982" s="177"/>
      <c r="AC982" s="177"/>
      <c r="AD982" s="177"/>
      <c r="AE982" s="391"/>
      <c r="AF982" s="383"/>
      <c r="AG982" s="177"/>
      <c r="AH982" s="177"/>
      <c r="AI982" s="177"/>
      <c r="AJ982" s="391"/>
      <c r="AK982" s="383"/>
      <c r="AL982" s="177"/>
      <c r="AM982" s="177"/>
      <c r="AN982" s="177"/>
      <c r="AO982" s="366"/>
      <c r="AP982" s="366"/>
      <c r="AQ982" s="366"/>
      <c r="AR982" s="366"/>
      <c r="AS982" s="366"/>
    </row>
    <row r="983">
      <c r="A983" s="391"/>
      <c r="B983" s="383"/>
      <c r="C983" s="177"/>
      <c r="D983" s="177"/>
      <c r="E983" s="177"/>
      <c r="F983" s="391"/>
      <c r="G983" s="383"/>
      <c r="H983" s="177"/>
      <c r="I983" s="177"/>
      <c r="J983" s="177"/>
      <c r="K983" s="88"/>
      <c r="L983" s="383"/>
      <c r="M983" s="177"/>
      <c r="N983" s="177"/>
      <c r="O983" s="177"/>
      <c r="P983" s="88"/>
      <c r="Q983" s="151"/>
      <c r="R983" s="177"/>
      <c r="S983" s="177"/>
      <c r="T983" s="177"/>
      <c r="U983" s="391"/>
      <c r="V983" s="383"/>
      <c r="W983" s="177"/>
      <c r="X983" s="177"/>
      <c r="Y983" s="177"/>
      <c r="Z983" s="391"/>
      <c r="AA983" s="383"/>
      <c r="AB983" s="177"/>
      <c r="AC983" s="177"/>
      <c r="AD983" s="177"/>
      <c r="AE983" s="391"/>
      <c r="AF983" s="383"/>
      <c r="AG983" s="177"/>
      <c r="AH983" s="177"/>
      <c r="AI983" s="177"/>
      <c r="AJ983" s="391"/>
      <c r="AK983" s="383"/>
      <c r="AL983" s="177"/>
      <c r="AM983" s="177"/>
      <c r="AN983" s="177"/>
      <c r="AO983" s="366"/>
      <c r="AP983" s="366"/>
      <c r="AQ983" s="366"/>
      <c r="AR983" s="366"/>
      <c r="AS983" s="366"/>
    </row>
    <row r="984">
      <c r="A984" s="391"/>
      <c r="B984" s="383"/>
      <c r="C984" s="177"/>
      <c r="D984" s="177"/>
      <c r="E984" s="177"/>
      <c r="F984" s="391"/>
      <c r="G984" s="383"/>
      <c r="H984" s="177"/>
      <c r="I984" s="177"/>
      <c r="J984" s="177"/>
      <c r="K984" s="88"/>
      <c r="L984" s="383"/>
      <c r="M984" s="177"/>
      <c r="N984" s="177"/>
      <c r="O984" s="177"/>
      <c r="P984" s="88"/>
      <c r="Q984" s="151"/>
      <c r="R984" s="177"/>
      <c r="S984" s="177"/>
      <c r="T984" s="177"/>
      <c r="U984" s="391"/>
      <c r="V984" s="383"/>
      <c r="W984" s="177"/>
      <c r="X984" s="177"/>
      <c r="Y984" s="177"/>
      <c r="Z984" s="391"/>
      <c r="AA984" s="383"/>
      <c r="AB984" s="177"/>
      <c r="AC984" s="177"/>
      <c r="AD984" s="177"/>
      <c r="AE984" s="391"/>
      <c r="AF984" s="383"/>
      <c r="AG984" s="177"/>
      <c r="AH984" s="177"/>
      <c r="AI984" s="177"/>
      <c r="AJ984" s="391"/>
      <c r="AK984" s="383"/>
      <c r="AL984" s="177"/>
      <c r="AM984" s="177"/>
      <c r="AN984" s="177"/>
      <c r="AO984" s="366"/>
      <c r="AP984" s="366"/>
      <c r="AQ984" s="366"/>
      <c r="AR984" s="366"/>
      <c r="AS984" s="366"/>
    </row>
    <row r="985">
      <c r="A985" s="391"/>
      <c r="B985" s="383"/>
      <c r="C985" s="177"/>
      <c r="D985" s="177"/>
      <c r="E985" s="177"/>
      <c r="F985" s="391"/>
      <c r="G985" s="383"/>
      <c r="H985" s="177"/>
      <c r="I985" s="177"/>
      <c r="J985" s="177"/>
      <c r="K985" s="88"/>
      <c r="L985" s="383"/>
      <c r="M985" s="177"/>
      <c r="N985" s="177"/>
      <c r="O985" s="177"/>
      <c r="P985" s="88"/>
      <c r="Q985" s="151"/>
      <c r="R985" s="177"/>
      <c r="S985" s="177"/>
      <c r="T985" s="177"/>
      <c r="U985" s="391"/>
      <c r="V985" s="383"/>
      <c r="W985" s="177"/>
      <c r="X985" s="177"/>
      <c r="Y985" s="177"/>
      <c r="Z985" s="391"/>
      <c r="AA985" s="383"/>
      <c r="AB985" s="177"/>
      <c r="AC985" s="177"/>
      <c r="AD985" s="177"/>
      <c r="AE985" s="391"/>
      <c r="AF985" s="383"/>
      <c r="AG985" s="177"/>
      <c r="AH985" s="177"/>
      <c r="AI985" s="177"/>
      <c r="AJ985" s="391"/>
      <c r="AK985" s="383"/>
      <c r="AL985" s="177"/>
      <c r="AM985" s="177"/>
      <c r="AN985" s="177"/>
      <c r="AO985" s="366"/>
      <c r="AP985" s="366"/>
      <c r="AQ985" s="366"/>
      <c r="AR985" s="366"/>
      <c r="AS985" s="366"/>
    </row>
    <row r="986">
      <c r="A986" s="391"/>
      <c r="B986" s="383"/>
      <c r="C986" s="177"/>
      <c r="D986" s="177"/>
      <c r="E986" s="177"/>
      <c r="F986" s="391"/>
      <c r="G986" s="383"/>
      <c r="H986" s="177"/>
      <c r="I986" s="177"/>
      <c r="J986" s="177"/>
      <c r="K986" s="88"/>
      <c r="L986" s="383"/>
      <c r="M986" s="177"/>
      <c r="N986" s="177"/>
      <c r="O986" s="177"/>
      <c r="P986" s="88"/>
      <c r="Q986" s="151"/>
      <c r="R986" s="177"/>
      <c r="S986" s="177"/>
      <c r="T986" s="177"/>
      <c r="U986" s="391"/>
      <c r="V986" s="383"/>
      <c r="W986" s="177"/>
      <c r="X986" s="177"/>
      <c r="Y986" s="177"/>
      <c r="Z986" s="391"/>
      <c r="AA986" s="383"/>
      <c r="AB986" s="177"/>
      <c r="AC986" s="177"/>
      <c r="AD986" s="177"/>
      <c r="AE986" s="391"/>
      <c r="AF986" s="383"/>
      <c r="AG986" s="177"/>
      <c r="AH986" s="177"/>
      <c r="AI986" s="177"/>
      <c r="AJ986" s="391"/>
      <c r="AK986" s="383"/>
      <c r="AL986" s="177"/>
      <c r="AM986" s="177"/>
      <c r="AN986" s="177"/>
      <c r="AO986" s="366"/>
      <c r="AP986" s="366"/>
      <c r="AQ986" s="366"/>
      <c r="AR986" s="366"/>
      <c r="AS986" s="366"/>
    </row>
    <row r="987">
      <c r="A987" s="391"/>
      <c r="B987" s="383"/>
      <c r="C987" s="177"/>
      <c r="D987" s="177"/>
      <c r="E987" s="177"/>
      <c r="F987" s="391"/>
      <c r="G987" s="383"/>
      <c r="H987" s="177"/>
      <c r="I987" s="177"/>
      <c r="J987" s="177"/>
      <c r="K987" s="88"/>
      <c r="L987" s="383"/>
      <c r="M987" s="177"/>
      <c r="N987" s="177"/>
      <c r="O987" s="177"/>
      <c r="P987" s="88"/>
      <c r="Q987" s="151"/>
      <c r="R987" s="177"/>
      <c r="S987" s="177"/>
      <c r="T987" s="177"/>
      <c r="U987" s="391"/>
      <c r="V987" s="383"/>
      <c r="W987" s="177"/>
      <c r="X987" s="177"/>
      <c r="Y987" s="177"/>
      <c r="Z987" s="391"/>
      <c r="AA987" s="383"/>
      <c r="AB987" s="177"/>
      <c r="AC987" s="177"/>
      <c r="AD987" s="177"/>
      <c r="AE987" s="391"/>
      <c r="AF987" s="383"/>
      <c r="AG987" s="177"/>
      <c r="AH987" s="177"/>
      <c r="AI987" s="177"/>
      <c r="AJ987" s="391"/>
      <c r="AK987" s="383"/>
      <c r="AL987" s="177"/>
      <c r="AM987" s="177"/>
      <c r="AN987" s="177"/>
      <c r="AO987" s="366"/>
      <c r="AP987" s="366"/>
      <c r="AQ987" s="366"/>
      <c r="AR987" s="366"/>
      <c r="AS987" s="366"/>
    </row>
    <row r="988">
      <c r="A988" s="391"/>
      <c r="B988" s="383"/>
      <c r="C988" s="177"/>
      <c r="D988" s="177"/>
      <c r="E988" s="177"/>
      <c r="F988" s="391"/>
      <c r="G988" s="383"/>
      <c r="H988" s="177"/>
      <c r="I988" s="177"/>
      <c r="J988" s="177"/>
      <c r="K988" s="88"/>
      <c r="L988" s="383"/>
      <c r="M988" s="177"/>
      <c r="N988" s="177"/>
      <c r="O988" s="177"/>
      <c r="P988" s="88"/>
      <c r="Q988" s="151"/>
      <c r="R988" s="177"/>
      <c r="S988" s="177"/>
      <c r="T988" s="177"/>
      <c r="U988" s="391"/>
      <c r="V988" s="383"/>
      <c r="W988" s="177"/>
      <c r="X988" s="177"/>
      <c r="Y988" s="177"/>
      <c r="Z988" s="391"/>
      <c r="AA988" s="383"/>
      <c r="AB988" s="177"/>
      <c r="AC988" s="177"/>
      <c r="AD988" s="177"/>
      <c r="AE988" s="391"/>
      <c r="AF988" s="383"/>
      <c r="AG988" s="177"/>
      <c r="AH988" s="177"/>
      <c r="AI988" s="177"/>
      <c r="AJ988" s="391"/>
      <c r="AK988" s="383"/>
      <c r="AL988" s="177"/>
      <c r="AM988" s="177"/>
      <c r="AN988" s="177"/>
      <c r="AO988" s="366"/>
      <c r="AP988" s="366"/>
      <c r="AQ988" s="366"/>
      <c r="AR988" s="366"/>
      <c r="AS988" s="366"/>
    </row>
    <row r="989">
      <c r="A989" s="391"/>
      <c r="B989" s="383"/>
      <c r="C989" s="177"/>
      <c r="D989" s="177"/>
      <c r="E989" s="177"/>
      <c r="F989" s="391"/>
      <c r="G989" s="383"/>
      <c r="H989" s="177"/>
      <c r="I989" s="177"/>
      <c r="J989" s="177"/>
      <c r="K989" s="88"/>
      <c r="L989" s="383"/>
      <c r="M989" s="177"/>
      <c r="N989" s="177"/>
      <c r="O989" s="177"/>
      <c r="P989" s="88"/>
      <c r="Q989" s="151"/>
      <c r="R989" s="177"/>
      <c r="S989" s="177"/>
      <c r="T989" s="177"/>
      <c r="U989" s="391"/>
      <c r="V989" s="383"/>
      <c r="W989" s="177"/>
      <c r="X989" s="177"/>
      <c r="Y989" s="177"/>
      <c r="Z989" s="391"/>
      <c r="AA989" s="383"/>
      <c r="AB989" s="177"/>
      <c r="AC989" s="177"/>
      <c r="AD989" s="177"/>
      <c r="AE989" s="391"/>
      <c r="AF989" s="383"/>
      <c r="AG989" s="177"/>
      <c r="AH989" s="177"/>
      <c r="AI989" s="177"/>
      <c r="AJ989" s="391"/>
      <c r="AK989" s="383"/>
      <c r="AL989" s="177"/>
      <c r="AM989" s="177"/>
      <c r="AN989" s="177"/>
      <c r="AO989" s="366"/>
      <c r="AP989" s="366"/>
      <c r="AQ989" s="366"/>
      <c r="AR989" s="366"/>
      <c r="AS989" s="366"/>
    </row>
    <row r="990">
      <c r="A990" s="391"/>
      <c r="B990" s="383"/>
      <c r="C990" s="177"/>
      <c r="D990" s="177"/>
      <c r="E990" s="177"/>
      <c r="F990" s="391"/>
      <c r="G990" s="383"/>
      <c r="H990" s="177"/>
      <c r="I990" s="177"/>
      <c r="J990" s="177"/>
      <c r="K990" s="88"/>
      <c r="L990" s="383"/>
      <c r="M990" s="177"/>
      <c r="N990" s="177"/>
      <c r="O990" s="177"/>
      <c r="P990" s="88"/>
      <c r="Q990" s="151"/>
      <c r="R990" s="177"/>
      <c r="S990" s="177"/>
      <c r="T990" s="177"/>
      <c r="U990" s="391"/>
      <c r="V990" s="383"/>
      <c r="W990" s="177"/>
      <c r="X990" s="177"/>
      <c r="Y990" s="177"/>
      <c r="Z990" s="391"/>
      <c r="AA990" s="383"/>
      <c r="AB990" s="177"/>
      <c r="AC990" s="177"/>
      <c r="AD990" s="177"/>
      <c r="AE990" s="391"/>
      <c r="AF990" s="383"/>
      <c r="AG990" s="177"/>
      <c r="AH990" s="177"/>
      <c r="AI990" s="177"/>
      <c r="AJ990" s="391"/>
      <c r="AK990" s="383"/>
      <c r="AL990" s="177"/>
      <c r="AM990" s="177"/>
      <c r="AN990" s="177"/>
      <c r="AO990" s="366"/>
      <c r="AP990" s="366"/>
      <c r="AQ990" s="366"/>
      <c r="AR990" s="366"/>
      <c r="AS990" s="366"/>
    </row>
    <row r="991">
      <c r="A991" s="391"/>
      <c r="B991" s="383"/>
      <c r="C991" s="177"/>
      <c r="D991" s="177"/>
      <c r="E991" s="177"/>
      <c r="F991" s="391"/>
      <c r="G991" s="383"/>
      <c r="H991" s="177"/>
      <c r="I991" s="177"/>
      <c r="J991" s="177"/>
      <c r="K991" s="88"/>
      <c r="L991" s="383"/>
      <c r="M991" s="177"/>
      <c r="N991" s="177"/>
      <c r="O991" s="177"/>
      <c r="P991" s="88"/>
      <c r="Q991" s="151"/>
      <c r="R991" s="177"/>
      <c r="S991" s="177"/>
      <c r="T991" s="177"/>
      <c r="U991" s="391"/>
      <c r="V991" s="383"/>
      <c r="W991" s="177"/>
      <c r="X991" s="177"/>
      <c r="Y991" s="177"/>
      <c r="Z991" s="391"/>
      <c r="AA991" s="383"/>
      <c r="AB991" s="177"/>
      <c r="AC991" s="177"/>
      <c r="AD991" s="177"/>
      <c r="AE991" s="391"/>
      <c r="AF991" s="383"/>
      <c r="AG991" s="177"/>
      <c r="AH991" s="177"/>
      <c r="AI991" s="177"/>
      <c r="AJ991" s="391"/>
      <c r="AK991" s="383"/>
      <c r="AL991" s="177"/>
      <c r="AM991" s="177"/>
      <c r="AN991" s="177"/>
      <c r="AO991" s="366"/>
      <c r="AP991" s="366"/>
      <c r="AQ991" s="366"/>
      <c r="AR991" s="366"/>
      <c r="AS991" s="366"/>
    </row>
    <row r="992">
      <c r="A992" s="391"/>
      <c r="B992" s="383"/>
      <c r="C992" s="177"/>
      <c r="D992" s="177"/>
      <c r="E992" s="177"/>
      <c r="F992" s="391"/>
      <c r="G992" s="383"/>
      <c r="H992" s="177"/>
      <c r="I992" s="177"/>
      <c r="J992" s="177"/>
      <c r="K992" s="88"/>
      <c r="L992" s="383"/>
      <c r="M992" s="177"/>
      <c r="N992" s="177"/>
      <c r="O992" s="177"/>
      <c r="P992" s="88"/>
      <c r="Q992" s="151"/>
      <c r="R992" s="177"/>
      <c r="S992" s="177"/>
      <c r="T992" s="177"/>
      <c r="U992" s="391"/>
      <c r="V992" s="383"/>
      <c r="W992" s="177"/>
      <c r="X992" s="177"/>
      <c r="Y992" s="177"/>
      <c r="Z992" s="391"/>
      <c r="AA992" s="383"/>
      <c r="AB992" s="177"/>
      <c r="AC992" s="177"/>
      <c r="AD992" s="177"/>
      <c r="AE992" s="391"/>
      <c r="AF992" s="383"/>
      <c r="AG992" s="177"/>
      <c r="AH992" s="177"/>
      <c r="AI992" s="177"/>
      <c r="AJ992" s="391"/>
      <c r="AK992" s="383"/>
      <c r="AL992" s="177"/>
      <c r="AM992" s="177"/>
      <c r="AN992" s="177"/>
      <c r="AO992" s="366"/>
      <c r="AP992" s="366"/>
      <c r="AQ992" s="366"/>
      <c r="AR992" s="366"/>
      <c r="AS992" s="366"/>
    </row>
    <row r="993">
      <c r="A993" s="391"/>
      <c r="B993" s="383"/>
      <c r="C993" s="177"/>
      <c r="D993" s="177"/>
      <c r="E993" s="177"/>
      <c r="F993" s="391"/>
      <c r="G993" s="383"/>
      <c r="H993" s="177"/>
      <c r="I993" s="177"/>
      <c r="J993" s="177"/>
      <c r="K993" s="88"/>
      <c r="L993" s="383"/>
      <c r="M993" s="177"/>
      <c r="N993" s="177"/>
      <c r="O993" s="177"/>
      <c r="P993" s="88"/>
      <c r="Q993" s="151"/>
      <c r="R993" s="177"/>
      <c r="S993" s="177"/>
      <c r="T993" s="177"/>
      <c r="U993" s="391"/>
      <c r="V993" s="383"/>
      <c r="W993" s="177"/>
      <c r="X993" s="177"/>
      <c r="Y993" s="177"/>
      <c r="Z993" s="391"/>
      <c r="AA993" s="383"/>
      <c r="AB993" s="177"/>
      <c r="AC993" s="177"/>
      <c r="AD993" s="177"/>
      <c r="AE993" s="391"/>
      <c r="AF993" s="383"/>
      <c r="AG993" s="177"/>
      <c r="AH993" s="177"/>
      <c r="AI993" s="177"/>
      <c r="AJ993" s="391"/>
      <c r="AK993" s="383"/>
      <c r="AL993" s="177"/>
      <c r="AM993" s="177"/>
      <c r="AN993" s="177"/>
      <c r="AO993" s="366"/>
      <c r="AP993" s="366"/>
      <c r="AQ993" s="366"/>
      <c r="AR993" s="366"/>
      <c r="AS993" s="366"/>
    </row>
    <row r="994">
      <c r="A994" s="391"/>
      <c r="B994" s="383"/>
      <c r="C994" s="177"/>
      <c r="D994" s="177"/>
      <c r="E994" s="177"/>
      <c r="F994" s="391"/>
      <c r="G994" s="383"/>
      <c r="H994" s="177"/>
      <c r="I994" s="177"/>
      <c r="J994" s="177"/>
      <c r="K994" s="88"/>
      <c r="L994" s="383"/>
      <c r="M994" s="177"/>
      <c r="N994" s="177"/>
      <c r="O994" s="177"/>
      <c r="P994" s="88"/>
      <c r="Q994" s="151"/>
      <c r="R994" s="177"/>
      <c r="S994" s="177"/>
      <c r="T994" s="177"/>
      <c r="U994" s="391"/>
      <c r="V994" s="383"/>
      <c r="W994" s="177"/>
      <c r="X994" s="177"/>
      <c r="Y994" s="177"/>
      <c r="Z994" s="391"/>
      <c r="AA994" s="383"/>
      <c r="AB994" s="177"/>
      <c r="AC994" s="177"/>
      <c r="AD994" s="177"/>
      <c r="AE994" s="391"/>
      <c r="AF994" s="383"/>
      <c r="AG994" s="177"/>
      <c r="AH994" s="177"/>
      <c r="AI994" s="177"/>
      <c r="AJ994" s="391"/>
      <c r="AK994" s="383"/>
      <c r="AL994" s="177"/>
      <c r="AM994" s="177"/>
      <c r="AN994" s="177"/>
      <c r="AO994" s="366"/>
      <c r="AP994" s="366"/>
      <c r="AQ994" s="366"/>
      <c r="AR994" s="366"/>
      <c r="AS994" s="366"/>
    </row>
    <row r="995">
      <c r="A995" s="391"/>
      <c r="B995" s="383"/>
      <c r="C995" s="177"/>
      <c r="D995" s="177"/>
      <c r="E995" s="177"/>
      <c r="F995" s="391"/>
      <c r="G995" s="383"/>
      <c r="H995" s="177"/>
      <c r="I995" s="177"/>
      <c r="J995" s="177"/>
      <c r="K995" s="88"/>
      <c r="L995" s="383"/>
      <c r="M995" s="177"/>
      <c r="N995" s="177"/>
      <c r="O995" s="177"/>
      <c r="P995" s="88"/>
      <c r="Q995" s="151"/>
      <c r="R995" s="177"/>
      <c r="S995" s="177"/>
      <c r="T995" s="177"/>
      <c r="U995" s="391"/>
      <c r="V995" s="383"/>
      <c r="W995" s="177"/>
      <c r="X995" s="177"/>
      <c r="Y995" s="177"/>
      <c r="Z995" s="391"/>
      <c r="AA995" s="383"/>
      <c r="AB995" s="177"/>
      <c r="AC995" s="177"/>
      <c r="AD995" s="177"/>
      <c r="AE995" s="391"/>
      <c r="AF995" s="383"/>
      <c r="AG995" s="177"/>
      <c r="AH995" s="177"/>
      <c r="AI995" s="177"/>
      <c r="AJ995" s="391"/>
      <c r="AK995" s="383"/>
      <c r="AL995" s="177"/>
      <c r="AM995" s="177"/>
      <c r="AN995" s="177"/>
      <c r="AO995" s="366"/>
      <c r="AP995" s="366"/>
      <c r="AQ995" s="366"/>
      <c r="AR995" s="366"/>
      <c r="AS995" s="366"/>
    </row>
    <row r="996">
      <c r="A996" s="391"/>
      <c r="B996" s="383"/>
      <c r="C996" s="177"/>
      <c r="D996" s="177"/>
      <c r="E996" s="177"/>
      <c r="F996" s="391"/>
      <c r="G996" s="383"/>
      <c r="H996" s="177"/>
      <c r="I996" s="177"/>
      <c r="J996" s="177"/>
      <c r="K996" s="88"/>
      <c r="L996" s="383"/>
      <c r="M996" s="177"/>
      <c r="N996" s="177"/>
      <c r="O996" s="177"/>
      <c r="P996" s="88"/>
      <c r="Q996" s="151"/>
      <c r="R996" s="177"/>
      <c r="S996" s="177"/>
      <c r="T996" s="177"/>
      <c r="U996" s="391"/>
      <c r="V996" s="383"/>
      <c r="W996" s="177"/>
      <c r="X996" s="177"/>
      <c r="Y996" s="177"/>
      <c r="Z996" s="391"/>
      <c r="AA996" s="383"/>
      <c r="AB996" s="177"/>
      <c r="AC996" s="177"/>
      <c r="AD996" s="177"/>
      <c r="AE996" s="391"/>
      <c r="AF996" s="383"/>
      <c r="AG996" s="177"/>
      <c r="AH996" s="177"/>
      <c r="AI996" s="177"/>
      <c r="AJ996" s="391"/>
      <c r="AK996" s="383"/>
      <c r="AL996" s="177"/>
      <c r="AM996" s="177"/>
      <c r="AN996" s="177"/>
      <c r="AO996" s="366"/>
      <c r="AP996" s="366"/>
      <c r="AQ996" s="366"/>
      <c r="AR996" s="366"/>
      <c r="AS996" s="366"/>
    </row>
    <row r="997">
      <c r="A997" s="391"/>
      <c r="B997" s="383"/>
      <c r="C997" s="177"/>
      <c r="D997" s="177"/>
      <c r="E997" s="177"/>
      <c r="F997" s="391"/>
      <c r="G997" s="383"/>
      <c r="H997" s="177"/>
      <c r="I997" s="177"/>
      <c r="J997" s="177"/>
      <c r="K997" s="88"/>
      <c r="L997" s="383"/>
      <c r="M997" s="177"/>
      <c r="N997" s="177"/>
      <c r="O997" s="177"/>
      <c r="P997" s="88"/>
      <c r="Q997" s="151"/>
      <c r="R997" s="177"/>
      <c r="S997" s="177"/>
      <c r="T997" s="177"/>
      <c r="U997" s="391"/>
      <c r="V997" s="383"/>
      <c r="W997" s="177"/>
      <c r="X997" s="177"/>
      <c r="Y997" s="177"/>
      <c r="Z997" s="391"/>
      <c r="AA997" s="383"/>
      <c r="AB997" s="177"/>
      <c r="AC997" s="177"/>
      <c r="AD997" s="177"/>
      <c r="AE997" s="391"/>
      <c r="AF997" s="383"/>
      <c r="AG997" s="177"/>
      <c r="AH997" s="177"/>
      <c r="AI997" s="177"/>
      <c r="AJ997" s="391"/>
      <c r="AK997" s="383"/>
      <c r="AL997" s="177"/>
      <c r="AM997" s="177"/>
      <c r="AN997" s="177"/>
      <c r="AO997" s="366"/>
      <c r="AP997" s="366"/>
      <c r="AQ997" s="366"/>
      <c r="AR997" s="366"/>
      <c r="AS997" s="366"/>
    </row>
    <row r="998">
      <c r="A998" s="391"/>
      <c r="B998" s="383"/>
      <c r="C998" s="177"/>
      <c r="D998" s="177"/>
      <c r="E998" s="177"/>
      <c r="F998" s="391"/>
      <c r="G998" s="383"/>
      <c r="H998" s="177"/>
      <c r="I998" s="177"/>
      <c r="J998" s="177"/>
      <c r="K998" s="88"/>
      <c r="L998" s="383"/>
      <c r="M998" s="177"/>
      <c r="N998" s="177"/>
      <c r="O998" s="177"/>
      <c r="P998" s="88"/>
      <c r="Q998" s="151"/>
      <c r="R998" s="177"/>
      <c r="S998" s="177"/>
      <c r="T998" s="177"/>
      <c r="U998" s="391"/>
      <c r="V998" s="383"/>
      <c r="W998" s="177"/>
      <c r="X998" s="177"/>
      <c r="Y998" s="177"/>
      <c r="Z998" s="391"/>
      <c r="AA998" s="383"/>
      <c r="AB998" s="177"/>
      <c r="AC998" s="177"/>
      <c r="AD998" s="177"/>
      <c r="AE998" s="391"/>
      <c r="AF998" s="383"/>
      <c r="AG998" s="177"/>
      <c r="AH998" s="177"/>
      <c r="AI998" s="177"/>
      <c r="AJ998" s="391"/>
      <c r="AK998" s="383"/>
      <c r="AL998" s="177"/>
      <c r="AM998" s="177"/>
      <c r="AN998" s="177"/>
      <c r="AO998" s="366"/>
      <c r="AP998" s="366"/>
      <c r="AQ998" s="366"/>
      <c r="AR998" s="366"/>
      <c r="AS998" s="366"/>
    </row>
    <row r="999">
      <c r="A999" s="391"/>
      <c r="B999" s="383"/>
      <c r="C999" s="177"/>
      <c r="D999" s="177"/>
      <c r="E999" s="177"/>
      <c r="F999" s="391"/>
      <c r="G999" s="383"/>
      <c r="H999" s="177"/>
      <c r="I999" s="177"/>
      <c r="J999" s="177"/>
      <c r="K999" s="88"/>
      <c r="L999" s="383"/>
      <c r="M999" s="177"/>
      <c r="N999" s="177"/>
      <c r="O999" s="177"/>
      <c r="P999" s="88"/>
      <c r="Q999" s="151"/>
      <c r="R999" s="177"/>
      <c r="S999" s="177"/>
      <c r="T999" s="177"/>
      <c r="U999" s="391"/>
      <c r="V999" s="383"/>
      <c r="W999" s="177"/>
      <c r="X999" s="177"/>
      <c r="Y999" s="177"/>
      <c r="Z999" s="391"/>
      <c r="AA999" s="383"/>
      <c r="AB999" s="177"/>
      <c r="AC999" s="177"/>
      <c r="AD999" s="177"/>
      <c r="AE999" s="391"/>
      <c r="AF999" s="383"/>
      <c r="AG999" s="177"/>
      <c r="AH999" s="177"/>
      <c r="AI999" s="177"/>
      <c r="AJ999" s="391"/>
      <c r="AK999" s="383"/>
      <c r="AL999" s="177"/>
      <c r="AM999" s="177"/>
      <c r="AN999" s="177"/>
      <c r="AO999" s="366"/>
      <c r="AP999" s="366"/>
      <c r="AQ999" s="366"/>
      <c r="AR999" s="366"/>
      <c r="AS999" s="366"/>
    </row>
    <row r="1000">
      <c r="A1000" s="391"/>
      <c r="B1000" s="383"/>
      <c r="C1000" s="177"/>
      <c r="D1000" s="177"/>
      <c r="E1000" s="177"/>
      <c r="F1000" s="391"/>
      <c r="G1000" s="383"/>
      <c r="H1000" s="177"/>
      <c r="I1000" s="177"/>
      <c r="J1000" s="177"/>
      <c r="K1000" s="88"/>
      <c r="L1000" s="383"/>
      <c r="M1000" s="177"/>
      <c r="N1000" s="177"/>
      <c r="O1000" s="177"/>
      <c r="P1000" s="88"/>
      <c r="Q1000" s="151"/>
      <c r="R1000" s="177"/>
      <c r="S1000" s="177"/>
      <c r="T1000" s="177"/>
      <c r="U1000" s="391"/>
      <c r="V1000" s="383"/>
      <c r="W1000" s="177"/>
      <c r="X1000" s="177"/>
      <c r="Y1000" s="177"/>
      <c r="Z1000" s="391"/>
      <c r="AA1000" s="383"/>
      <c r="AB1000" s="177"/>
      <c r="AC1000" s="177"/>
      <c r="AD1000" s="177"/>
      <c r="AE1000" s="391"/>
      <c r="AF1000" s="383"/>
      <c r="AG1000" s="177"/>
      <c r="AH1000" s="177"/>
      <c r="AI1000" s="177"/>
      <c r="AJ1000" s="391"/>
      <c r="AK1000" s="383"/>
      <c r="AL1000" s="177"/>
      <c r="AM1000" s="177"/>
      <c r="AN1000" s="177"/>
      <c r="AO1000" s="366"/>
      <c r="AP1000" s="366"/>
      <c r="AQ1000" s="366"/>
      <c r="AR1000" s="366"/>
      <c r="AS1000" s="366"/>
    </row>
  </sheetData>
  <mergeCells count="15">
    <mergeCell ref="AL1:AN3"/>
    <mergeCell ref="AQ1:AS3"/>
    <mergeCell ref="C8:E8"/>
    <mergeCell ref="R8:T8"/>
    <mergeCell ref="W8:Y8"/>
    <mergeCell ref="AB8:AD8"/>
    <mergeCell ref="AG8:AI8"/>
    <mergeCell ref="AL8:AN8"/>
    <mergeCell ref="C1:E3"/>
    <mergeCell ref="H1:J3"/>
    <mergeCell ref="M1:O3"/>
    <mergeCell ref="R1:T3"/>
    <mergeCell ref="W1:Y3"/>
    <mergeCell ref="AB1:AD3"/>
    <mergeCell ref="AG1:AI3"/>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5"/>
    <col customWidth="1" min="3" max="3" width="19.5"/>
    <col customWidth="1" min="4" max="5" width="16.75"/>
    <col customWidth="1" min="6" max="6" width="34.5"/>
    <col customWidth="1" min="7" max="8" width="19.5"/>
    <col customWidth="1" min="9" max="9" width="16.75"/>
    <col customWidth="1" min="10" max="10" width="37.88"/>
    <col customWidth="1" min="11" max="11" width="28.63"/>
    <col customWidth="1" min="12" max="12" width="23.38"/>
    <col customWidth="1" min="13" max="13" width="17.0"/>
    <col customWidth="1" min="14" max="14" width="34.75"/>
    <col customWidth="1" min="15" max="15" width="19.75"/>
    <col customWidth="1" min="16" max="16" width="19.88"/>
    <col customWidth="1" min="17" max="17" width="17.0"/>
    <col customWidth="1" min="18" max="18" width="34.75"/>
    <col customWidth="1" min="19" max="19" width="19.75"/>
    <col customWidth="1" min="20" max="20" width="19.88"/>
    <col customWidth="1" min="21" max="21" width="17.0"/>
    <col customWidth="1" min="22" max="22" width="34.75"/>
    <col customWidth="1" min="23" max="23" width="19.75"/>
    <col customWidth="1" min="24" max="24" width="19.88"/>
    <col customWidth="1" min="25" max="25" width="17.0"/>
    <col customWidth="1" min="26" max="26" width="34.75"/>
    <col customWidth="1" min="27" max="27" width="19.75"/>
    <col customWidth="1" min="28" max="28" width="19.88"/>
    <col customWidth="1" min="29" max="29" width="17.0"/>
    <col customWidth="1" min="30" max="30" width="34.75"/>
    <col customWidth="1" min="31" max="31" width="19.75"/>
    <col customWidth="1" min="32" max="32" width="19.88"/>
    <col customWidth="1" min="33" max="33" width="16.88"/>
    <col customWidth="1" min="34" max="34" width="34.5"/>
    <col customWidth="1" min="35" max="35" width="19.5"/>
    <col customWidth="1" min="36" max="39" width="16.75"/>
  </cols>
  <sheetData>
    <row r="1" ht="45.0" customHeight="1">
      <c r="A1" s="57" t="s">
        <v>213</v>
      </c>
      <c r="E1" s="57" t="str">
        <f>IFERROR(__xludf.DUMMYFUNCTION("GOOGLETRANSLATE(A1,""zh-tw"",""ja"")"),"公式ゲーム「Reverse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f>
        <v>公式ゲーム「Reverse Tea Party - 存在感の薄い少女とのシンプルな生活-」を応援してください。
攻略ガイド集：公式Discord - RORO、アシスタント - MIO、Luo Ran、翻訳者 - 눈_눈、Ruika、zNagato、Libeti、Gabriel B、Maltesey、AndyJango、IntenseLag、Nian Sprout
無断転載は禁止です。</v>
      </c>
      <c r="I1" s="57" t="s">
        <v>6435</v>
      </c>
      <c r="M1" s="57" t="str">
        <f>IFERROR(__xludf.DUMMYFUNCTION("GOOGLETRANSLATE(A1,""zh-tw"",""zh"")"),"请支持正版游戏：逆流茶会-存在感薄い妹との简単生活
攻略汇整：官方Discord-RORO ，协助者-MIO、落染，翻译者-눈_눈、Ruika、zNagato、Libeti、Gabriel B、maltesey、AndyJango、IntenseLag、Nian Sprout
如未经过许可，请勿私自转载")</f>
        <v>请支持正版游戏：逆流茶会-存在感薄い妹との简単生活
攻略汇整：官方Discord-RORO ，协助者-MIO、落染，翻译者-눈_눈、Ruika、zNagato、Libeti、Gabriel B、maltesey、AndyJango、IntenseLag、Nian Sprout
如未经过许可，请勿私自转载</v>
      </c>
      <c r="Q1" s="58" t="str">
        <f>IFERROR(__xludf.DUMMYFUNCTION("GOOGLETRANSLATE(A1,""zh-tw"",""es-MX"")"),"Apoya el juego oficial: Reverse Tea Party - Una vida sencilla con una chica cuya presencia es tenue
Guía estratégica: Discord oficial - RORO, Asistentes - MIO, Luo Ran, Traductores - 눈_눈, Ruika, zNagato, Libeti, Gabriel B, Maltesey, AndyJango, IntenseLag"&amp;", Nian Sprout
Se prohíbe la reproducción no autorizada.")</f>
        <v>Apoya el juego oficial: Reverse Tea Party - Una vida sencilla con una chica cuya presencia es tenue
Guía estratégica: Discord oficial - RORO, Asistentes - MIO, Luo Ran, Traductores - 눈_눈, Ruika, zNagato, Libeti, Gabriel B, Maltesey, AndyJango, IntenseLag, Nian Sprout
Se prohíbe la reproducción no autorizada.</v>
      </c>
      <c r="U1" s="58" t="str">
        <f>IFERROR(__xludf.DUMMYFUNCTION("GOOGLETRANSLATE(A1,""zh-tw"",""KO"")"),"공식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f>
        <v>공식 게임을 응원해 주세요: 역전 티파티 - 존재감이 약한 소녀와의 소박한 삶
전략 가이드 모음: 공식 디스코드 - RORO, 어시스턴트 - MIO, Luo Ran, 번역 - 눈_눈, Ruika, zNagato, Libeti, Gabriel B, Maltesey, AndyJango, IntenseLag, Nian Sprout
무단 복제를 금합니다.</v>
      </c>
      <c r="Y1" s="58" t="str">
        <f>IFERROR(__xludf.DUMMYFUNCTION("GOOGLETRANSLATE(A1,""zh-tw"",""RU"")"),"Пожалуйста,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M"&amp;"altesey, AndyJango, IntenseLag, Nian Sprout.
Несанкционированное копирование запрещено.")</f>
        <v>Пожалуйста, поддержите официальную игру: Reverse Tea Party - A Simple Life with a Girl Whose Presence is Thin.
Сборник руководства по стратегии: Официальный Discord - RORO, Ассистенты - MIO, Luo Ran, Переводчики - 눈_눈, Ruika, zNagato, Libeti, Gabriel B, Maltesey, AndyJango, IntenseLag, Nian Sprout.
Несанкционированное копирование запрещено.</v>
      </c>
      <c r="AC1" s="58" t="str">
        <f>IFERROR(__xludf.DUMMYFUNCTION("GOOGLETRANSLATE(A1,""zh-tw"",""DE"")"),"Bitte unterstützt das offizielle Spiel: Reverse Tea Party – Ein einfaches Leben mit einem Mädchen, dessen Präsenz dünn ist.
Strategie-Guide-Zusammenstellung: Offizieller Discord – RORO, Assistenz – MIO, Luo Ran, Übersetzung – 눈_눈, Ruika, zNagato, Libeti, "&amp;"Gabriel B, Maltesey, AndyJango, IntenseLag, Nian Sprout
Unerlaubte Vervielfältigung ist verboten.")</f>
        <v>Bitte unterstützt das offizielle Spiel: Reverse Tea Party – Ein einfaches Leben mit einem Mädchen, dessen Präsenz dünn ist.
Strategie-Guide-Zusammenstellung: Offizieller Discord – RORO, Assistenz – MIO, Luo Ran, Übersetzung – 눈_눈, Ruika, zNagato, Libeti, Gabriel B, Maltesey, AndyJango, IntenseLag, Nian Sprout
Unerlaubte Vervielfältigung ist verboten.</v>
      </c>
      <c r="AG1" s="301" t="s">
        <v>6436</v>
      </c>
      <c r="AK1" s="57"/>
      <c r="AL1" s="57"/>
      <c r="AM1" s="57"/>
    </row>
    <row r="2" ht="45.0" customHeight="1">
      <c r="AK2" s="57"/>
      <c r="AL2" s="57"/>
      <c r="AM2" s="57"/>
    </row>
    <row r="3" ht="55.5" customHeight="1">
      <c r="A3" s="392" t="s">
        <v>6437</v>
      </c>
      <c r="B3" s="14" t="s">
        <v>6438</v>
      </c>
      <c r="C3" s="311" t="s">
        <v>6439</v>
      </c>
      <c r="D3" s="144" t="s">
        <v>6440</v>
      </c>
      <c r="E3" s="307" t="str">
        <f>IFERROR(__xludf.DUMMYFUNCTION("GOOGLETRANSLATE(A3,""zh-tw"",""ja"")"),"ステータス図")</f>
        <v>ステータス図</v>
      </c>
      <c r="F3" s="34" t="str">
        <f>IFERROR(__xludf.DUMMYFUNCTION("GOOGLETRANSLATE(B3,""zh-tw"",""ja"")"),"名前")</f>
        <v>名前</v>
      </c>
      <c r="G3" s="309" t="str">
        <f>IFERROR(__xludf.DUMMYFUNCTION("GOOGLETRANSLATE(C3,""zh-tw"",""ja"")"),"物語")</f>
        <v>物語</v>
      </c>
      <c r="H3" s="143" t="str">
        <f>IFERROR(__xludf.DUMMYFUNCTION("GOOGLETRANSLATE(D3,""zh-tw"",""ja"")"),"例えば")</f>
        <v>例えば</v>
      </c>
      <c r="I3" s="392" t="s">
        <v>6441</v>
      </c>
      <c r="J3" s="14" t="s">
        <v>6442</v>
      </c>
      <c r="K3" s="311" t="s">
        <v>6443</v>
      </c>
      <c r="L3" s="144" t="s">
        <v>6444</v>
      </c>
      <c r="M3" s="307" t="str">
        <f>IFERROR(__xludf.DUMMYFUNCTION("GOOGLETRANSLATE(A3,""zh-tw"",""zh"")"),"状态图示")</f>
        <v>状态图示</v>
      </c>
      <c r="N3" s="34" t="str">
        <f>IFERROR(__xludf.DUMMYFUNCTION("GOOGLETRANSLATE(B3,""zh-tw"",""zh"")"),"名称")</f>
        <v>名称</v>
      </c>
      <c r="O3" s="309" t="str">
        <f>IFERROR(__xludf.DUMMYFUNCTION("GOOGLETRANSLATE(C3,""zh-tw"",""zh"")"),"叙述")</f>
        <v>叙述</v>
      </c>
      <c r="P3" s="143" t="str">
        <f>IFERROR(__xludf.DUMMYFUNCTION("GOOGLETRANSLATE(D3,""zh-tw"",""zh"")"),"举例")</f>
        <v>举例</v>
      </c>
      <c r="Q3" s="307" t="str">
        <f>IFERROR(__xludf.DUMMYFUNCTION("GOOGLETRANSLATE(A3,""zh-tw"",""es-MX"")"),"Diagrama de estado")</f>
        <v>Diagrama de estado</v>
      </c>
      <c r="R3" s="34" t="str">
        <f>IFERROR(__xludf.DUMMYFUNCTION("GOOGLETRANSLATE(B3,""zh-tw"",""es-MX"")"),"nombre")</f>
        <v>nombre</v>
      </c>
      <c r="S3" s="309" t="str">
        <f>IFERROR(__xludf.DUMMYFUNCTION("GOOGLETRANSLATE(C3,""zh-tw"",""es-MX"")"),"Narrativo")</f>
        <v>Narrativo</v>
      </c>
      <c r="T3" s="143" t="str">
        <f>IFERROR(__xludf.DUMMYFUNCTION("GOOGLETRANSLATE(D3,""zh-tw"",""es-MX"")"),"Por ejemplo")</f>
        <v>Por ejemplo</v>
      </c>
      <c r="U3" s="307" t="str">
        <f>IFERROR(__xludf.DUMMYFUNCTION("GOOGLETRANSLATE(A3,""zh-tw"",""KO"")"),"상태 다이어그램")</f>
        <v>상태 다이어그램</v>
      </c>
      <c r="V3" s="34" t="str">
        <f>IFERROR(__xludf.DUMMYFUNCTION("GOOGLETRANSLATE(B3,""zh-tw"",""KO"")"),"이름")</f>
        <v>이름</v>
      </c>
      <c r="W3" s="309" t="str">
        <f>IFERROR(__xludf.DUMMYFUNCTION("GOOGLETRANSLATE(C3,""zh-tw"",""KO"")"),"이야기")</f>
        <v>이야기</v>
      </c>
      <c r="X3" s="143" t="str">
        <f>IFERROR(__xludf.DUMMYFUNCTION("GOOGLETRANSLATE(D3,""zh-tw"",""KO"")"),"예를 들어")</f>
        <v>예를 들어</v>
      </c>
      <c r="Y3" s="307" t="str">
        <f>IFERROR(__xludf.DUMMYFUNCTION("GOOGLETRANSLATE(A3,""zh-tw"",""RU"")"),"Диаграмма состояния")</f>
        <v>Диаграмма состояния</v>
      </c>
      <c r="Z3" s="34" t="str">
        <f>IFERROR(__xludf.DUMMYFUNCTION("GOOGLETRANSLATE(B3,""zh-tw"",""RU"")"),"имя")</f>
        <v>имя</v>
      </c>
      <c r="AA3" s="309" t="str">
        <f>IFERROR(__xludf.DUMMYFUNCTION("GOOGLETRANSLATE(C3,""zh-tw"",""RU"")"),"Повествование")</f>
        <v>Повествование</v>
      </c>
      <c r="AB3" s="143" t="str">
        <f>IFERROR(__xludf.DUMMYFUNCTION("GOOGLETRANSLATE(D3,""zh-tw"",""RU"")"),"Например")</f>
        <v>Например</v>
      </c>
      <c r="AC3" s="307" t="str">
        <f>IFERROR(__xludf.DUMMYFUNCTION("GOOGLETRANSLATE(A3,""zh-tw"",""DE"")"),"Statusdiagramm")</f>
        <v>Statusdiagramm</v>
      </c>
      <c r="AD3" s="34" t="str">
        <f>IFERROR(__xludf.DUMMYFUNCTION("GOOGLETRANSLATE(B3,""zh-tw"",""DE"")"),"Name")</f>
        <v>Name</v>
      </c>
      <c r="AE3" s="309" t="str">
        <f>IFERROR(__xludf.DUMMYFUNCTION("GOOGLETRANSLATE(C3,""zh-tw"",""DE"")"),"Erzählung")</f>
        <v>Erzählung</v>
      </c>
      <c r="AF3" s="143" t="str">
        <f>IFERROR(__xludf.DUMMYFUNCTION("GOOGLETRANSLATE(D3,""zh-tw"",""DE"")"),"Zum Beispiel")</f>
        <v>Zum Beispiel</v>
      </c>
      <c r="AG3" s="393" t="s">
        <v>6445</v>
      </c>
      <c r="AH3" s="312" t="s">
        <v>6446</v>
      </c>
      <c r="AI3" s="394" t="s">
        <v>6447</v>
      </c>
      <c r="AJ3" s="395" t="s">
        <v>3859</v>
      </c>
      <c r="AK3" s="144"/>
      <c r="AL3" s="144"/>
      <c r="AM3" s="144"/>
    </row>
    <row r="4" ht="26.25" customHeight="1">
      <c r="A4" s="175" t="s">
        <v>6448</v>
      </c>
      <c r="B4" s="319" t="s">
        <v>6449</v>
      </c>
      <c r="C4" s="321" t="s">
        <v>724</v>
      </c>
      <c r="D4" s="396" t="s">
        <v>6450</v>
      </c>
      <c r="E4" s="175" t="s">
        <v>6451</v>
      </c>
      <c r="F4" s="317" t="str">
        <f>IFERROR(__xludf.DUMMYFUNCTION("GOOGLETRANSLATE(B4,""zh-tw"",""ja"")"),"少し落ち着かない気分です")</f>
        <v>少し落ち着かない気分です</v>
      </c>
      <c r="G4" s="318" t="str">
        <f>IFERROR(__xludf.DUMMYFUNCTION("GOOGLETRANSLATE(C4,""zh-tw"",""ja"")"),"-")</f>
        <v>-</v>
      </c>
      <c r="H4" s="396" t="s">
        <v>6452</v>
      </c>
      <c r="I4" s="175" t="s">
        <v>6453</v>
      </c>
      <c r="J4" s="319" t="s">
        <v>6454</v>
      </c>
      <c r="K4" s="318" t="str">
        <f>IFERROR(__xludf.DUMMYFUNCTION("GOOGLETRANSLATE(C4,""zh-tw"",""en"")"),"-")</f>
        <v>-</v>
      </c>
      <c r="L4" s="396" t="s">
        <v>6455</v>
      </c>
      <c r="M4" s="316" t="str">
        <f>IFERROR(__xludf.DUMMYFUNCTION("GOOGLETRANSLATE(A4,""zh-tw"",""zh"")"),"兴奋")</f>
        <v>兴奋</v>
      </c>
      <c r="N4" s="317" t="str">
        <f>IFERROR(__xludf.DUMMYFUNCTION("GOOGLETRANSLATE(B4,""zh-tw"",""zh"")"),"感觉有些躁动")</f>
        <v>感觉有些躁动</v>
      </c>
      <c r="O4" s="318" t="str">
        <f>IFERROR(__xludf.DUMMYFUNCTION("GOOGLETRANSLATE(C4,""zh-tw"",""zh"")"),"-")</f>
        <v>-</v>
      </c>
      <c r="P4" s="397" t="str">
        <f>IFERROR(__xludf.DUMMYFUNCTION("GOOGLETRANSLATE(D4,""zh-tw"",""zh"")"),"哥哥有些性欲")</f>
        <v>哥哥有些性欲</v>
      </c>
      <c r="Q4" s="150" t="str">
        <f>IFERROR(__xludf.DUMMYFUNCTION("GOOGLETRANSLATE(A4,""zh-tw"",""es-MX"")"),"entusiasmado")</f>
        <v>entusiasmado</v>
      </c>
      <c r="R4" s="164" t="str">
        <f>IFERROR(__xludf.DUMMYFUNCTION("GOOGLETRANSLATE(B4,""zh-tw"",""es-MX"")"),"Me siento un poco inquieto")</f>
        <v>Me siento un poco inquieto</v>
      </c>
      <c r="S4" s="320" t="str">
        <f>IFERROR(__xludf.DUMMYFUNCTION("GOOGLETRANSLATE(C4,""zh-tw"",""es-MX"")"),"-")</f>
        <v>-</v>
      </c>
      <c r="T4" s="176" t="str">
        <f>IFERROR(__xludf.DUMMYFUNCTION("GOOGLETRANSLATE(D4,""zh-tw"",""es-MX"")"),"Mi hermano tiene cierto deseo sexual.")</f>
        <v>Mi hermano tiene cierto deseo sexual.</v>
      </c>
      <c r="U4" s="150" t="str">
        <f>IFERROR(__xludf.DUMMYFUNCTION("GOOGLETRANSLATE(A4,""zh-tw"",""KO"")"),"흥분한")</f>
        <v>흥분한</v>
      </c>
      <c r="V4" s="164" t="str">
        <f>IFERROR(__xludf.DUMMYFUNCTION("GOOGLETRANSLATE(B4,""zh-tw"",""KO"")"),"나는 조금 불안하다")</f>
        <v>나는 조금 불안하다</v>
      </c>
      <c r="W4" s="320" t="str">
        <f>IFERROR(__xludf.DUMMYFUNCTION("GOOGLETRANSLATE(C4,""zh-tw"",""KO"")"),"-")</f>
        <v>-</v>
      </c>
      <c r="X4" s="176" t="str">
        <f>IFERROR(__xludf.DUMMYFUNCTION("GOOGLETRANSLATE(D4,""zh-tw"",""KO"")"),"내 동생은 성적 욕망이 있어요.")</f>
        <v>내 동생은 성적 욕망이 있어요.</v>
      </c>
      <c r="Y4" s="316" t="str">
        <f>IFERROR(__xludf.DUMMYFUNCTION("GOOGLETRANSLATE(A4,""zh-tw"",""RU"")"),"взволнованный")</f>
        <v>взволнованный</v>
      </c>
      <c r="Z4" s="317" t="str">
        <f>IFERROR(__xludf.DUMMYFUNCTION("GOOGLETRANSLATE(B4,""zh-tw"",""RU"")"),"Я чувствую себя немного беспокойно.")</f>
        <v>Я чувствую себя немного беспокойно.</v>
      </c>
      <c r="AA4" s="318" t="str">
        <f>IFERROR(__xludf.DUMMYFUNCTION("GOOGLETRANSLATE(C4,""zh-tw"",""RU"")"),"-")</f>
        <v>-</v>
      </c>
      <c r="AB4" s="397" t="str">
        <f>IFERROR(__xludf.DUMMYFUNCTION("GOOGLETRANSLATE(D4,""zh-tw"",""RU"")"),"У моего брата есть сексуальное желание.")</f>
        <v>У моего брата есть сексуальное желание.</v>
      </c>
      <c r="AC4" s="316" t="str">
        <f>IFERROR(__xludf.DUMMYFUNCTION("GOOGLETRANSLATE(A4,""zh-tw"",""DE"")"),"aufgeregt")</f>
        <v>aufgeregt</v>
      </c>
      <c r="AD4" s="317" t="str">
        <f>IFERROR(__xludf.DUMMYFUNCTION("GOOGLETRANSLATE(B4,""zh-tw"",""DE"")"),"Ich fühle mich etwas unruhig")</f>
        <v>Ich fühle mich etwas unruhig</v>
      </c>
      <c r="AE4" s="318" t="str">
        <f>IFERROR(__xludf.DUMMYFUNCTION("GOOGLETRANSLATE(C4,""zh-tw"",""DE"")"),"-")</f>
        <v>-</v>
      </c>
      <c r="AF4" s="397" t="str">
        <f>IFERROR(__xludf.DUMMYFUNCTION("GOOGLETRANSLATE(D4,""zh-tw"",""DE"")"),"Mein Bruder hat sexuelle Bedürfnisse.")</f>
        <v>Mein Bruder hat sexuelle Bedürfnisse.</v>
      </c>
      <c r="AG4" s="156" t="s">
        <v>6456</v>
      </c>
      <c r="AH4" s="166" t="s">
        <v>6457</v>
      </c>
      <c r="AI4" s="322" t="s">
        <v>724</v>
      </c>
      <c r="AJ4" s="185" t="s">
        <v>6458</v>
      </c>
      <c r="AK4" s="396"/>
      <c r="AL4" s="396"/>
      <c r="AM4" s="396"/>
    </row>
    <row r="5" ht="26.25" customHeight="1">
      <c r="A5" s="175" t="s">
        <v>6448</v>
      </c>
      <c r="B5" s="319" t="s">
        <v>6459</v>
      </c>
      <c r="C5" s="321" t="s">
        <v>724</v>
      </c>
      <c r="D5" s="396" t="s">
        <v>6460</v>
      </c>
      <c r="E5" s="175" t="s">
        <v>6451</v>
      </c>
      <c r="F5" s="317" t="str">
        <f>IFERROR(__xludf.DUMMYFUNCTION("GOOGLETRANSLATE(B5,""zh-tw"",""ja"")"),"体全体が何らかの刺激を求めている。")</f>
        <v>体全体が何らかの刺激を求めている。</v>
      </c>
      <c r="G5" s="321" t="s">
        <v>724</v>
      </c>
      <c r="H5" s="396" t="s">
        <v>6461</v>
      </c>
      <c r="I5" s="175" t="s">
        <v>6453</v>
      </c>
      <c r="J5" s="319" t="s">
        <v>6462</v>
      </c>
      <c r="K5" s="321" t="s">
        <v>724</v>
      </c>
      <c r="L5" s="396" t="s">
        <v>6463</v>
      </c>
      <c r="M5" s="316" t="str">
        <f>IFERROR(__xludf.DUMMYFUNCTION("GOOGLETRANSLATE(A5,""zh-tw"",""zh"")"),"兴奋")</f>
        <v>兴奋</v>
      </c>
      <c r="N5" s="317" t="str">
        <f>IFERROR(__xludf.DUMMYFUNCTION("GOOGLETRANSLATE(B5,""zh-tw"",""zh"")"),"全身都在渴望着某种刺激")</f>
        <v>全身都在渴望着某种刺激</v>
      </c>
      <c r="O5" s="318" t="str">
        <f>IFERROR(__xludf.DUMMYFUNCTION("GOOGLETRANSLATE(C5,""zh-tw"",""zh"")"),"-")</f>
        <v>-</v>
      </c>
      <c r="P5" s="397" t="str">
        <f>IFERROR(__xludf.DUMMYFUNCTION("GOOGLETRANSLATE(D5,""zh-tw"",""zh"")"),"哥哥有许多性欲")</f>
        <v>哥哥有许多性欲</v>
      </c>
      <c r="Q5" s="150" t="str">
        <f>IFERROR(__xludf.DUMMYFUNCTION("GOOGLETRANSLATE(A5,""zh-tw"",""es-MX"")"),"entusiasmado")</f>
        <v>entusiasmado</v>
      </c>
      <c r="R5" s="164" t="str">
        <f>IFERROR(__xludf.DUMMYFUNCTION("GOOGLETRANSLATE(B5,""zh-tw"",""es-MX"")"),"Todo mi cuerpo anhela algún tipo de estimulación.")</f>
        <v>Todo mi cuerpo anhela algún tipo de estimulación.</v>
      </c>
      <c r="S5" s="320" t="str">
        <f>IFERROR(__xludf.DUMMYFUNCTION("GOOGLETRANSLATE(C5,""zh-tw"",""es-MX"")"),"-")</f>
        <v>-</v>
      </c>
      <c r="T5" s="176" t="str">
        <f>IFERROR(__xludf.DUMMYFUNCTION("GOOGLETRANSLATE(D5,""zh-tw"",""es-MX"")"),"Mi hermano tiene un alto deseo sexual.")</f>
        <v>Mi hermano tiene un alto deseo sexual.</v>
      </c>
      <c r="U5" s="150" t="str">
        <f>IFERROR(__xludf.DUMMYFUNCTION("GOOGLETRANSLATE(A5,""zh-tw"",""KO"")"),"흥분한")</f>
        <v>흥분한</v>
      </c>
      <c r="V5" s="164" t="str">
        <f>IFERROR(__xludf.DUMMYFUNCTION("GOOGLETRANSLATE(B5,""zh-tw"",""KO"")"),"내 온몸은 어떤 종류의 자극을 갈구하고 있어요.")</f>
        <v>내 온몸은 어떤 종류의 자극을 갈구하고 있어요.</v>
      </c>
      <c r="W5" s="320" t="str">
        <f>IFERROR(__xludf.DUMMYFUNCTION("GOOGLETRANSLATE(C5,""zh-tw"",""KO"")"),"-")</f>
        <v>-</v>
      </c>
      <c r="X5" s="176" t="str">
        <f>IFERROR(__xludf.DUMMYFUNCTION("GOOGLETRANSLATE(D5,""zh-tw"",""KO"")"),"내 동생은 성욕이 강해요.")</f>
        <v>내 동생은 성욕이 강해요.</v>
      </c>
      <c r="Y5" s="316" t="str">
        <f>IFERROR(__xludf.DUMMYFUNCTION("GOOGLETRANSLATE(A5,""zh-tw"",""RU"")"),"взволнованный")</f>
        <v>взволнованный</v>
      </c>
      <c r="Z5" s="317" t="str">
        <f>IFERROR(__xludf.DUMMYFUNCTION("GOOGLETRANSLATE(B5,""zh-tw"",""RU"")"),"Все мое тело жаждет какой-то стимуляции.")</f>
        <v>Все мое тело жаждет какой-то стимуляции.</v>
      </c>
      <c r="AA5" s="318" t="str">
        <f>IFERROR(__xludf.DUMMYFUNCTION("GOOGLETRANSLATE(C5,""zh-tw"",""RU"")"),"-")</f>
        <v>-</v>
      </c>
      <c r="AB5" s="397" t="str">
        <f>IFERROR(__xludf.DUMMYFUNCTION("GOOGLETRANSLATE(D5,""zh-tw"",""RU"")"),"У моего брата высокое сексуальное влечение.")</f>
        <v>У моего брата высокое сексуальное влечение.</v>
      </c>
      <c r="AC5" s="316" t="str">
        <f>IFERROR(__xludf.DUMMYFUNCTION("GOOGLETRANSLATE(A5,""zh-tw"",""DE"")"),"aufgeregt")</f>
        <v>aufgeregt</v>
      </c>
      <c r="AD5" s="317" t="str">
        <f>IFERROR(__xludf.DUMMYFUNCTION("GOOGLETRANSLATE(B5,""zh-tw"",""DE"")"),"Mein ganzer Körper verlangt nach irgendeiner Art von Stimulation.")</f>
        <v>Mein ganzer Körper verlangt nach irgendeiner Art von Stimulation.</v>
      </c>
      <c r="AE5" s="318" t="str">
        <f>IFERROR(__xludf.DUMMYFUNCTION("GOOGLETRANSLATE(C5,""zh-tw"",""DE"")"),"-")</f>
        <v>-</v>
      </c>
      <c r="AF5" s="397" t="str">
        <f>IFERROR(__xludf.DUMMYFUNCTION("GOOGLETRANSLATE(D5,""zh-tw"",""DE"")"),"Mein Bruder hat einen starken Sexualtrieb.")</f>
        <v>Mein Bruder hat einen starken Sexualtrieb.</v>
      </c>
      <c r="AG5" s="156" t="s">
        <v>6456</v>
      </c>
      <c r="AH5" s="166" t="s">
        <v>6464</v>
      </c>
      <c r="AI5" s="322" t="s">
        <v>724</v>
      </c>
      <c r="AJ5" s="185" t="s">
        <v>6465</v>
      </c>
      <c r="AK5" s="396"/>
      <c r="AL5" s="396"/>
      <c r="AM5" s="396"/>
    </row>
    <row r="6" ht="26.25" customHeight="1">
      <c r="A6" s="175" t="s">
        <v>6448</v>
      </c>
      <c r="B6" s="319" t="s">
        <v>6466</v>
      </c>
      <c r="C6" s="321" t="s">
        <v>724</v>
      </c>
      <c r="D6" s="396" t="s">
        <v>6467</v>
      </c>
      <c r="E6" s="175" t="s">
        <v>6451</v>
      </c>
      <c r="F6" s="317" t="str">
        <f>IFERROR(__xludf.DUMMYFUNCTION("GOOGLETRANSLATE(B6,""zh-tw"",""ja"")"),"もう自分をコントロールできない。")</f>
        <v>もう自分をコントロールできない。</v>
      </c>
      <c r="G6" s="321" t="s">
        <v>724</v>
      </c>
      <c r="H6" s="396" t="s">
        <v>6468</v>
      </c>
      <c r="I6" s="175" t="s">
        <v>6453</v>
      </c>
      <c r="J6" s="319" t="s">
        <v>6469</v>
      </c>
      <c r="K6" s="321" t="s">
        <v>724</v>
      </c>
      <c r="L6" s="396" t="s">
        <v>6470</v>
      </c>
      <c r="M6" s="316" t="str">
        <f>IFERROR(__xludf.DUMMYFUNCTION("GOOGLETRANSLATE(A6,""zh-tw"",""zh"")"),"兴奋")</f>
        <v>兴奋</v>
      </c>
      <c r="N6" s="317" t="str">
        <f>IFERROR(__xludf.DUMMYFUNCTION("GOOGLETRANSLATE(B6,""zh-tw"",""zh"")"),"要控制不住自己了")</f>
        <v>要控制不住自己了</v>
      </c>
      <c r="O6" s="318" t="str">
        <f>IFERROR(__xludf.DUMMYFUNCTION("GOOGLETRANSLATE(C6,""zh-tw"",""zh"")"),"-")</f>
        <v>-</v>
      </c>
      <c r="P6" s="397" t="str">
        <f>IFERROR(__xludf.DUMMYFUNCTION("GOOGLETRANSLATE(D6,""zh-tw"",""zh"")"),"哥哥更多性欲")</f>
        <v>哥哥更多性欲</v>
      </c>
      <c r="Q6" s="150" t="str">
        <f>IFERROR(__xludf.DUMMYFUNCTION("GOOGLETRANSLATE(A6,""zh-tw"",""es-MX"")"),"entusiasmado")</f>
        <v>entusiasmado</v>
      </c>
      <c r="R6" s="164" t="str">
        <f>IFERROR(__xludf.DUMMYFUNCTION("GOOGLETRANSLATE(B6,""zh-tw"",""es-MX"")"),"Ya no puedo controlarme.")</f>
        <v>Ya no puedo controlarme.</v>
      </c>
      <c r="S6" s="320" t="str">
        <f>IFERROR(__xludf.DUMMYFUNCTION("GOOGLETRANSLATE(C6,""zh-tw"",""es-MX"")"),"-")</f>
        <v>-</v>
      </c>
      <c r="T6" s="176" t="str">
        <f>IFERROR(__xludf.DUMMYFUNCTION("GOOGLETRANSLATE(D6,""zh-tw"",""es-MX"")"),"El hermano mayor tiene mayor libido.")</f>
        <v>El hermano mayor tiene mayor libido.</v>
      </c>
      <c r="U6" s="150" t="str">
        <f>IFERROR(__xludf.DUMMYFUNCTION("GOOGLETRANSLATE(A6,""zh-tw"",""KO"")"),"흥분한")</f>
        <v>흥분한</v>
      </c>
      <c r="V6" s="164" t="str">
        <f>IFERROR(__xludf.DUMMYFUNCTION("GOOGLETRANSLATE(B6,""zh-tw"",""KO"")"),"나는 더 이상 나 자신을 통제할 수 없어.")</f>
        <v>나는 더 이상 나 자신을 통제할 수 없어.</v>
      </c>
      <c r="W6" s="320" t="str">
        <f>IFERROR(__xludf.DUMMYFUNCTION("GOOGLETRANSLATE(C6,""zh-tw"",""KO"")"),"-")</f>
        <v>-</v>
      </c>
      <c r="X6" s="176" t="str">
        <f>IFERROR(__xludf.DUMMYFUNCTION("GOOGLETRANSLATE(D6,""zh-tw"",""KO"")"),"형은 성욕이 더 강하다")</f>
        <v>형은 성욕이 더 강하다</v>
      </c>
      <c r="Y6" s="316" t="str">
        <f>IFERROR(__xludf.DUMMYFUNCTION("GOOGLETRANSLATE(A6,""zh-tw"",""RU"")"),"взволнованный")</f>
        <v>взволнованный</v>
      </c>
      <c r="Z6" s="317" t="str">
        <f>IFERROR(__xludf.DUMMYFUNCTION("GOOGLETRANSLATE(B6,""zh-tw"",""RU"")"),"Я больше не могу себя контролировать.")</f>
        <v>Я больше не могу себя контролировать.</v>
      </c>
      <c r="AA6" s="318" t="str">
        <f>IFERROR(__xludf.DUMMYFUNCTION("GOOGLETRANSLATE(C6,""zh-tw"",""RU"")"),"-")</f>
        <v>-</v>
      </c>
      <c r="AB6" s="397" t="str">
        <f>IFERROR(__xludf.DUMMYFUNCTION("GOOGLETRANSLATE(D6,""zh-tw"",""RU"")"),"У старшего брата более сильное сексуальное влечение")</f>
        <v>У старшего брата более сильное сексуальное влечение</v>
      </c>
      <c r="AC6" s="316" t="str">
        <f>IFERROR(__xludf.DUMMYFUNCTION("GOOGLETRANSLATE(A6,""zh-tw"",""DE"")"),"aufgeregt")</f>
        <v>aufgeregt</v>
      </c>
      <c r="AD6" s="317" t="str">
        <f>IFERROR(__xludf.DUMMYFUNCTION("GOOGLETRANSLATE(B6,""zh-tw"",""DE"")"),"Ich kann mich nicht mehr beherrschen.")</f>
        <v>Ich kann mich nicht mehr beherrschen.</v>
      </c>
      <c r="AE6" s="318" t="str">
        <f>IFERROR(__xludf.DUMMYFUNCTION("GOOGLETRANSLATE(C6,""zh-tw"",""DE"")"),"-")</f>
        <v>-</v>
      </c>
      <c r="AF6" s="397" t="str">
        <f>IFERROR(__xludf.DUMMYFUNCTION("GOOGLETRANSLATE(D6,""zh-tw"",""DE"")"),"Der ältere Bruder hat einen stärkeren Sexualtrieb.")</f>
        <v>Der ältere Bruder hat einen stärkeren Sexualtrieb.</v>
      </c>
      <c r="AG6" s="156" t="s">
        <v>6456</v>
      </c>
      <c r="AH6" s="166" t="s">
        <v>6471</v>
      </c>
      <c r="AI6" s="322" t="s">
        <v>724</v>
      </c>
      <c r="AJ6" s="185" t="s">
        <v>6472</v>
      </c>
      <c r="AK6" s="396"/>
      <c r="AL6" s="396"/>
      <c r="AM6" s="396"/>
    </row>
    <row r="7">
      <c r="A7" s="175" t="s">
        <v>6473</v>
      </c>
      <c r="B7" s="319" t="s">
        <v>6474</v>
      </c>
      <c r="C7" s="321" t="s">
        <v>6475</v>
      </c>
      <c r="D7" s="396" t="s">
        <v>6476</v>
      </c>
      <c r="E7" s="175" t="s">
        <v>6477</v>
      </c>
      <c r="F7" s="317" t="str">
        <f>IFERROR(__xludf.DUMMYFUNCTION("GOOGLETRANSLATE(B7,""zh-tw"",""ja"")"),"うーん…")</f>
        <v>うーん…</v>
      </c>
      <c r="G7" s="321" t="s">
        <v>6478</v>
      </c>
      <c r="H7" s="396" t="s">
        <v>6479</v>
      </c>
      <c r="I7" s="175" t="s">
        <v>6480</v>
      </c>
      <c r="J7" s="319" t="s">
        <v>6481</v>
      </c>
      <c r="K7" s="321" t="s">
        <v>6482</v>
      </c>
      <c r="L7" s="396" t="s">
        <v>6483</v>
      </c>
      <c r="M7" s="316" t="str">
        <f>IFERROR(__xludf.DUMMYFUNCTION("GOOGLETRANSLATE(A7,""zh-tw"",""zh"")"),"兽人")</f>
        <v>兽人</v>
      </c>
      <c r="N7" s="317" t="str">
        <f>IFERROR(__xludf.DUMMYFUNCTION("GOOGLETRANSLATE(B7,""zh-tw"",""zh"")"),"唔噢噢噢噢.......!")</f>
        <v>唔噢噢噢噢.......!</v>
      </c>
      <c r="O7" s="318" t="str">
        <f>IFERROR(__xludf.DUMMYFUNCTION("GOOGLETRANSLATE(C7,""zh-tw"",""zh"")"),"扭曲为了满脑子都是欲望的Beast！")</f>
        <v>扭曲为了满脑子都是欲望的Beast！</v>
      </c>
      <c r="P7" s="397" t="str">
        <f>IFERROR(__xludf.DUMMYFUNCTION("GOOGLETRANSLATE(D7,""zh-tw"",""zh"")"),"哥哥性欲极高")</f>
        <v>哥哥性欲极高</v>
      </c>
      <c r="Q7" s="150" t="str">
        <f>IFERROR(__xludf.DUMMYFUNCTION("GOOGLETRANSLATE(A7,""zh-tw"",""es-MX"")"),"Orcos")</f>
        <v>Orcos</v>
      </c>
      <c r="R7" s="164" t="str">
        <f>IFERROR(__xludf.DUMMYFUNCTION("GOOGLETRANSLATE(B7,""zh-tw"",""es-MX"")"),"Ughh...")</f>
        <v>Ughh...</v>
      </c>
      <c r="S7" s="320" t="str">
        <f>IFERROR(__xludf.DUMMYFUNCTION("GOOGLETRANSLATE(C7,""zh-tw"",""es-MX"")"),"¡Ha sido transformado en una Bestia cuya mente está llena de deseo!")</f>
        <v>¡Ha sido transformado en una Bestia cuya mente está llena de deseo!</v>
      </c>
      <c r="T7" s="176" t="str">
        <f>IFERROR(__xludf.DUMMYFUNCTION("GOOGLETRANSLATE(D7,""zh-tw"",""es-MX"")"),"Mi hermano tiene un deseo sexual extremadamente alto.")</f>
        <v>Mi hermano tiene un deseo sexual extremadamente alto.</v>
      </c>
      <c r="U7" s="150" t="str">
        <f>IFERROR(__xludf.DUMMYFUNCTION("GOOGLETRANSLATE(A7,""zh-tw"",""KO"")"),"오크들")</f>
        <v>오크들</v>
      </c>
      <c r="V7" s="164" t="str">
        <f>IFERROR(__xludf.DUMMYFUNCTION("GOOGLETRANSLATE(B7,""zh-tw"",""KO"")"),"으악...")</f>
        <v>으악...</v>
      </c>
      <c r="W7" s="320" t="str">
        <f>IFERROR(__xludf.DUMMYFUNCTION("GOOGLETRANSLATE(C7,""zh-tw"",""KO"")"),"그것은 욕망으로 가득 찬 마음을 가진 짐승으로 뒤틀렸습니다!")</f>
        <v>그것은 욕망으로 가득 찬 마음을 가진 짐승으로 뒤틀렸습니다!</v>
      </c>
      <c r="X7" s="176" t="str">
        <f>IFERROR(__xludf.DUMMYFUNCTION("GOOGLETRANSLATE(D7,""zh-tw"",""KO"")"),"내 동생은 성욕이 매우 강해요.")</f>
        <v>내 동생은 성욕이 매우 강해요.</v>
      </c>
      <c r="Y7" s="316" t="str">
        <f>IFERROR(__xludf.DUMMYFUNCTION("GOOGLETRANSLATE(A7,""zh-tw"",""RU"")"),"Орки")</f>
        <v>Орки</v>
      </c>
      <c r="Z7" s="317" t="str">
        <f>IFERROR(__xludf.DUMMYFUNCTION("GOOGLETRANSLATE(B7,""zh-tw"",""RU"")"),"Уф...")</f>
        <v>Уф...</v>
      </c>
      <c r="AA7" s="318" t="str">
        <f>IFERROR(__xludf.DUMMYFUNCTION("GOOGLETRANSLATE(C7,""zh-tw"",""RU"")"),"Его превратили в Зверя, разум которого полон желаний!")</f>
        <v>Его превратили в Зверя, разум которого полон желаний!</v>
      </c>
      <c r="AB7" s="397" t="str">
        <f>IFERROR(__xludf.DUMMYFUNCTION("GOOGLETRANSLATE(D7,""zh-tw"",""RU"")"),"У моего брата чрезвычайно высокое сексуальное влечение.")</f>
        <v>У моего брата чрезвычайно высокое сексуальное влечение.</v>
      </c>
      <c r="AC7" s="316" t="str">
        <f>IFERROR(__xludf.DUMMYFUNCTION("GOOGLETRANSLATE(A7,""zh-tw"",""DE"")"),"Orks")</f>
        <v>Orks</v>
      </c>
      <c r="AD7" s="317" t="str">
        <f>IFERROR(__xludf.DUMMYFUNCTION("GOOGLETRANSLATE(B7,""zh-tw"",""DE"")"),"Ugh ...")</f>
        <v>Ugh ...</v>
      </c>
      <c r="AE7" s="318" t="str">
        <f>IFERROR(__xludf.DUMMYFUNCTION("GOOGLETRANSLATE(C7,""zh-tw"",""DE"")"),"Es wurde zu einem Ungeheuer verdreht, dessen Geist von Begierde erfüllt ist!")</f>
        <v>Es wurde zu einem Ungeheuer verdreht, dessen Geist von Begierde erfüllt ist!</v>
      </c>
      <c r="AF7" s="397" t="str">
        <f>IFERROR(__xludf.DUMMYFUNCTION("GOOGLETRANSLATE(D7,""zh-tw"",""DE"")"),"Mein Bruder hat einen extrem hohen Sexualtrieb.")</f>
        <v>Mein Bruder hat einen extrem hohen Sexualtrieb.</v>
      </c>
      <c r="AG7" s="156" t="s">
        <v>6480</v>
      </c>
      <c r="AH7" s="166" t="s">
        <v>6481</v>
      </c>
      <c r="AI7" s="322" t="s">
        <v>6484</v>
      </c>
      <c r="AJ7" s="185" t="s">
        <v>6485</v>
      </c>
      <c r="AK7" s="396"/>
      <c r="AL7" s="396"/>
      <c r="AM7" s="396"/>
    </row>
    <row r="8">
      <c r="A8" s="175" t="s">
        <v>6486</v>
      </c>
      <c r="B8" s="319" t="s">
        <v>6487</v>
      </c>
      <c r="C8" s="321" t="s">
        <v>6488</v>
      </c>
      <c r="D8" s="396" t="s">
        <v>6489</v>
      </c>
      <c r="E8" s="175" t="s">
        <v>6490</v>
      </c>
      <c r="F8" s="319" t="s">
        <v>6491</v>
      </c>
      <c r="G8" s="318" t="str">
        <f>IFERROR(__xludf.DUMMYFUNCTION("GOOGLETRANSLATE(C8,""zh-tw"",""ja"")"),"賢者モードに入ると、すべての属性が上昇します。")</f>
        <v>賢者モードに入ると、すべての属性が上昇します。</v>
      </c>
      <c r="H8" s="396" t="s">
        <v>6492</v>
      </c>
      <c r="I8" s="175" t="s">
        <v>6493</v>
      </c>
      <c r="J8" s="319" t="s">
        <v>6494</v>
      </c>
      <c r="K8" s="321" t="s">
        <v>6495</v>
      </c>
      <c r="L8" s="396" t="s">
        <v>6496</v>
      </c>
      <c r="M8" s="316" t="str">
        <f>IFERROR(__xludf.DUMMYFUNCTION("GOOGLETRANSLATE(A8,""zh-tw"",""zh"")"),"贤者")</f>
        <v>贤者</v>
      </c>
      <c r="N8" s="317" t="str">
        <f>IFERROR(__xludf.DUMMYFUNCTION("GOOGLETRANSLATE(B8,""zh-tw"",""zh"")"),"现在我感觉自己无所不能。")</f>
        <v>现在我感觉自己无所不能。</v>
      </c>
      <c r="O8" s="318" t="str">
        <f>IFERROR(__xludf.DUMMYFUNCTION("GOOGLETRANSLATE(C8,""zh-tw"",""zh"")"),"进入了贤者模式，全属性上升")</f>
        <v>进入了贤者模式，全属性上升</v>
      </c>
      <c r="P8" s="397" t="str">
        <f>IFERROR(__xludf.DUMMYFUNCTION("GOOGLETRANSLATE(D8,""zh-tw"",""zh"")"),"哥哥毫无性欲")</f>
        <v>哥哥毫无性欲</v>
      </c>
      <c r="Q8" s="150" t="str">
        <f>IFERROR(__xludf.DUMMYFUNCTION("GOOGLETRANSLATE(A8,""zh-tw"",""es-MX"")"),"Sabio")</f>
        <v>Sabio</v>
      </c>
      <c r="R8" s="164" t="str">
        <f>IFERROR(__xludf.DUMMYFUNCTION("GOOGLETRANSLATE(B8,""zh-tw"",""es-MX"")"),"Siento que ahora mismo puedo hacer cualquier cosa.")</f>
        <v>Siento que ahora mismo puedo hacer cualquier cosa.</v>
      </c>
      <c r="S8" s="320" t="str">
        <f>IFERROR(__xludf.DUMMYFUNCTION("GOOGLETRANSLATE(C8,""zh-tw"",""es-MX"")"),"Al entrar en el Modo Sabio, todos los atributos aumentan.")</f>
        <v>Al entrar en el Modo Sabio, todos los atributos aumentan.</v>
      </c>
      <c r="T8" s="176" t="str">
        <f>IFERROR(__xludf.DUMMYFUNCTION("GOOGLETRANSLATE(D8,""zh-tw"",""es-MX"")"),"Mi hermano no tiene deseo sexual.")</f>
        <v>Mi hermano no tiene deseo sexual.</v>
      </c>
      <c r="U8" s="150" t="str">
        <f>IFERROR(__xludf.DUMMYFUNCTION("GOOGLETRANSLATE(A8,""zh-tw"",""KO"")"),"세이지")</f>
        <v>세이지</v>
      </c>
      <c r="V8" s="164" t="str">
        <f>IFERROR(__xludf.DUMMYFUNCTION("GOOGLETRANSLATE(B8,""zh-tw"",""KO"")"),"지금은 무엇이든 할 수 있을 것 같은 기분이 들어요.")</f>
        <v>지금은 무엇이든 할 수 있을 것 같은 기분이 들어요.</v>
      </c>
      <c r="W8" s="320" t="str">
        <f>IFERROR(__xludf.DUMMYFUNCTION("GOOGLETRANSLATE(C8,""zh-tw"",""KO"")"),"세이지 모드에 들어가면 모든 속성이 증가합니다.")</f>
        <v>세이지 모드에 들어가면 모든 속성이 증가합니다.</v>
      </c>
      <c r="X8" s="176" t="str">
        <f>IFERROR(__xludf.DUMMYFUNCTION("GOOGLETRANSLATE(D8,""zh-tw"",""KO"")"),"내 동생은 성욕이 없어요.")</f>
        <v>내 동생은 성욕이 없어요.</v>
      </c>
      <c r="Y8" s="316" t="str">
        <f>IFERROR(__xludf.DUMMYFUNCTION("GOOGLETRANSLATE(A8,""zh-tw"",""RU"")"),"Мудрец")</f>
        <v>Мудрец</v>
      </c>
      <c r="Z8" s="317" t="str">
        <f>IFERROR(__xludf.DUMMYFUNCTION("GOOGLETRANSLATE(B8,""zh-tw"",""RU"")"),"Я чувствую, что сейчас я могу сделать все, что угодно.")</f>
        <v>Я чувствую, что сейчас я могу сделать все, что угодно.</v>
      </c>
      <c r="AA8" s="318" t="str">
        <f>IFERROR(__xludf.DUMMYFUNCTION("GOOGLETRANSLATE(C8,""zh-tw"",""RU"")"),"При входе в режим Мудреца все характеристики увеличиваются.")</f>
        <v>При входе в режим Мудреца все характеристики увеличиваются.</v>
      </c>
      <c r="AB8" s="397" t="str">
        <f>IFERROR(__xludf.DUMMYFUNCTION("GOOGLETRANSLATE(D8,""zh-tw"",""RU"")"),"У моего брата нет сексуального влечения.")</f>
        <v>У моего брата нет сексуального влечения.</v>
      </c>
      <c r="AC8" s="316" t="str">
        <f>IFERROR(__xludf.DUMMYFUNCTION("GOOGLETRANSLATE(A8,""zh-tw"",""DE"")"),"Salbei")</f>
        <v>Salbei</v>
      </c>
      <c r="AD8" s="317" t="str">
        <f>IFERROR(__xludf.DUMMYFUNCTION("GOOGLETRANSLATE(B8,""zh-tw"",""DE"")"),"Ich habe das Gefühl, ich kann im Moment alles schaffen.")</f>
        <v>Ich habe das Gefühl, ich kann im Moment alles schaffen.</v>
      </c>
      <c r="AE8" s="318" t="str">
        <f>IFERROR(__xludf.DUMMYFUNCTION("GOOGLETRANSLATE(C8,""zh-tw"",""DE"")"),"Beim Aktivieren des Sage-Modus erhöhen sich alle Attribute.")</f>
        <v>Beim Aktivieren des Sage-Modus erhöhen sich alle Attribute.</v>
      </c>
      <c r="AF8" s="397" t="str">
        <f>IFERROR(__xludf.DUMMYFUNCTION("GOOGLETRANSLATE(D8,""zh-tw"",""DE"")"),"Mein Bruder hat kein sexuelles Verlangen.")</f>
        <v>Mein Bruder hat kein sexuelles Verlangen.</v>
      </c>
      <c r="AG8" s="156" t="s">
        <v>6497</v>
      </c>
      <c r="AH8" s="166" t="s">
        <v>6498</v>
      </c>
      <c r="AI8" s="322" t="s">
        <v>6499</v>
      </c>
      <c r="AJ8" s="185" t="s">
        <v>6500</v>
      </c>
      <c r="AK8" s="396"/>
      <c r="AL8" s="396"/>
      <c r="AM8" s="396"/>
    </row>
    <row r="9">
      <c r="A9" s="175" t="s">
        <v>6501</v>
      </c>
      <c r="B9" s="319" t="s">
        <v>724</v>
      </c>
      <c r="C9" s="321" t="s">
        <v>6502</v>
      </c>
      <c r="D9" s="396" t="s">
        <v>6503</v>
      </c>
      <c r="E9" s="316" t="str">
        <f>IFERROR(__xludf.DUMMYFUNCTION("GOOGLETRANSLATE(A9,""zh-tw"",""ja"")"),"集中")</f>
        <v>集中</v>
      </c>
      <c r="F9" s="317" t="str">
        <f>IFERROR(__xludf.DUMMYFUNCTION("GOOGLETRANSLATE(B9,""zh-tw"",""ja"")"),"-")</f>
        <v>-</v>
      </c>
      <c r="G9" s="321" t="s">
        <v>6504</v>
      </c>
      <c r="H9" s="396" t="s">
        <v>6505</v>
      </c>
      <c r="I9" s="175" t="s">
        <v>6506</v>
      </c>
      <c r="J9" s="317" t="str">
        <f>IFERROR(__xludf.DUMMYFUNCTION("GOOGLETRANSLATE(B9,""zh-tw"",""en"")"),"-")</f>
        <v>-</v>
      </c>
      <c r="K9" s="321" t="s">
        <v>6507</v>
      </c>
      <c r="L9" s="396" t="s">
        <v>6508</v>
      </c>
      <c r="M9" s="316" t="str">
        <f>IFERROR(__xludf.DUMMYFUNCTION("GOOGLETRANSLATE(A9,""zh-tw"",""zh"")"),"专注")</f>
        <v>专注</v>
      </c>
      <c r="N9" s="317" t="str">
        <f>IFERROR(__xludf.DUMMYFUNCTION("GOOGLETRANSLATE(B9,""zh-tw"",""zh"")"),"-")</f>
        <v>-</v>
      </c>
      <c r="O9" s="318" t="str">
        <f>IFERROR(__xludf.DUMMYFUNCTION("GOOGLETRANSLATE(C9,""zh-tw"",""zh"")"),"集中精力为下一击做准被，移动速度下降")</f>
        <v>集中精力为下一击做准被，移动速度下降</v>
      </c>
      <c r="P9" s="397" t="str">
        <f>IFERROR(__xludf.DUMMYFUNCTION("GOOGLETRANSLATE(D9,""zh-tw"",""zh"")"),"近战武器滑鼠右键")</f>
        <v>近战武器滑鼠右键</v>
      </c>
      <c r="Q9" s="150" t="str">
        <f>IFERROR(__xludf.DUMMYFUNCTION("GOOGLETRANSLATE(A9,""zh-tw"",""es-MX"")"),"Enfocar")</f>
        <v>Enfocar</v>
      </c>
      <c r="R9" s="164" t="str">
        <f>IFERROR(__xludf.DUMMYFUNCTION("GOOGLETRANSLATE(B9,""zh-tw"",""es-MX"")"),"-")</f>
        <v>-</v>
      </c>
      <c r="S9" s="320" t="str">
        <f>IFERROR(__xludf.DUMMYFUNCTION("GOOGLETRANSLATE(C9,""zh-tw"",""es-MX"")"),"Concentrarse en prepararse para el próximo ataque reduce la velocidad de movimiento.")</f>
        <v>Concentrarse en prepararse para el próximo ataque reduce la velocidad de movimiento.</v>
      </c>
      <c r="T9" s="176" t="str">
        <f>IFERROR(__xludf.DUMMYFUNCTION("GOOGLETRANSLATE(D9,""zh-tw"",""es-MX"")"),"botón derecho del ratón para armas cuerpo a cuerpo")</f>
        <v>botón derecho del ratón para armas cuerpo a cuerpo</v>
      </c>
      <c r="U9" s="150" t="str">
        <f>IFERROR(__xludf.DUMMYFUNCTION("GOOGLETRANSLATE(A9,""zh-tw"",""KO"")"),"집중하다")</f>
        <v>집중하다</v>
      </c>
      <c r="V9" s="164" t="str">
        <f>IFERROR(__xludf.DUMMYFUNCTION("GOOGLETRANSLATE(B9,""zh-tw"",""KO"")"),"-")</f>
        <v>-</v>
      </c>
      <c r="W9" s="320" t="str">
        <f>IFERROR(__xludf.DUMMYFUNCTION("GOOGLETRANSLATE(C9,""zh-tw"",""KO"")"),"다음 공격에 대비하는 데 집중하면 이동 속도가 감소합니다.")</f>
        <v>다음 공격에 대비하는 데 집중하면 이동 속도가 감소합니다.</v>
      </c>
      <c r="X9" s="176" t="str">
        <f>IFERROR(__xludf.DUMMYFUNCTION("GOOGLETRANSLATE(D9,""zh-tw"",""KO"")"),"근접 무기 오른쪽 마우스 버튼")</f>
        <v>근접 무기 오른쪽 마우스 버튼</v>
      </c>
      <c r="Y9" s="316" t="str">
        <f>IFERROR(__xludf.DUMMYFUNCTION("GOOGLETRANSLATE(A9,""zh-tw"",""RU"")"),"Фокус")</f>
        <v>Фокус</v>
      </c>
      <c r="Z9" s="317" t="str">
        <f>IFERROR(__xludf.DUMMYFUNCTION("GOOGLETRANSLATE(B9,""zh-tw"",""RU"")"),"-")</f>
        <v>-</v>
      </c>
      <c r="AA9" s="318" t="str">
        <f>IFERROR(__xludf.DUMMYFUNCTION("GOOGLETRANSLATE(C9,""zh-tw"",""RU"")"),"Сосредоточение на подготовке к следующей атаке снижает скорость передвижения.")</f>
        <v>Сосредоточение на подготовке к следующей атаке снижает скорость передвижения.</v>
      </c>
      <c r="AB9" s="397" t="str">
        <f>IFERROR(__xludf.DUMMYFUNCTION("GOOGLETRANSLATE(D9,""zh-tw"",""RU"")"),"Оружие ближнего боя правая кнопка мыши")</f>
        <v>Оружие ближнего боя правая кнопка мыши</v>
      </c>
      <c r="AC9" s="316" t="str">
        <f>IFERROR(__xludf.DUMMYFUNCTION("GOOGLETRANSLATE(A9,""zh-tw"",""DE"")"),"Fokus")</f>
        <v>Fokus</v>
      </c>
      <c r="AD9" s="317" t="str">
        <f>IFERROR(__xludf.DUMMYFUNCTION("GOOGLETRANSLATE(B9,""zh-tw"",""DE"")"),"-")</f>
        <v>-</v>
      </c>
      <c r="AE9" s="318" t="str">
        <f>IFERROR(__xludf.DUMMYFUNCTION("GOOGLETRANSLATE(C9,""zh-tw"",""DE"")"),"Die Konzentration auf die Vorbereitung des nächsten Angriffs verringert die Bewegungsgeschwindigkeit.")</f>
        <v>Die Konzentration auf die Vorbereitung des nächsten Angriffs verringert die Bewegungsgeschwindigkeit.</v>
      </c>
      <c r="AF9" s="397" t="str">
        <f>IFERROR(__xludf.DUMMYFUNCTION("GOOGLETRANSLATE(D9,""zh-tw"",""DE"")"),"rechte Maustaste für Nahkampfwaffen")</f>
        <v>rechte Maustaste für Nahkampfwaffen</v>
      </c>
      <c r="AG9" s="156" t="s">
        <v>6509</v>
      </c>
      <c r="AH9" s="166" t="s">
        <v>724</v>
      </c>
      <c r="AI9" s="322" t="s">
        <v>6510</v>
      </c>
      <c r="AJ9" s="185" t="s">
        <v>6511</v>
      </c>
      <c r="AK9" s="396"/>
      <c r="AL9" s="396"/>
      <c r="AM9" s="396"/>
    </row>
    <row r="10">
      <c r="A10" s="175" t="s">
        <v>6512</v>
      </c>
      <c r="B10" s="319" t="s">
        <v>6513</v>
      </c>
      <c r="C10" s="321" t="s">
        <v>724</v>
      </c>
      <c r="D10" s="396" t="s">
        <v>6514</v>
      </c>
      <c r="E10" s="175" t="s">
        <v>6515</v>
      </c>
      <c r="F10" s="319" t="s">
        <v>6516</v>
      </c>
      <c r="G10" s="318" t="str">
        <f>IFERROR(__xludf.DUMMYFUNCTION("GOOGLETRANSLATE(C10,""zh-tw"",""ja"")"),"-")</f>
        <v>-</v>
      </c>
      <c r="H10" s="396" t="s">
        <v>6517</v>
      </c>
      <c r="I10" s="175" t="s">
        <v>6518</v>
      </c>
      <c r="J10" s="319" t="s">
        <v>6519</v>
      </c>
      <c r="K10" s="318" t="str">
        <f>IFERROR(__xludf.DUMMYFUNCTION("GOOGLETRANSLATE(C10,""zh-tw"",""en"")"),"-")</f>
        <v>-</v>
      </c>
      <c r="L10" s="396" t="s">
        <v>6520</v>
      </c>
      <c r="M10" s="316" t="str">
        <f>IFERROR(__xludf.DUMMYFUNCTION("GOOGLETRANSLATE(A10,""zh-tw"",""zh"")"),"闪步")</f>
        <v>闪步</v>
      </c>
      <c r="N10" s="317" t="str">
        <f>IFERROR(__xludf.DUMMYFUNCTION("GOOGLETRANSLATE(B10,""zh-tw"",""zh"")"),"真红的三倍速")</f>
        <v>真红的三倍速</v>
      </c>
      <c r="O10" s="318" t="str">
        <f>IFERROR(__xludf.DUMMYFUNCTION("GOOGLETRANSLATE(C10,""zh-tw"",""zh"")"),"-")</f>
        <v>-</v>
      </c>
      <c r="P10" s="397" t="str">
        <f>IFERROR(__xludf.DUMMYFUNCTION("GOOGLETRANSLATE(D10,""zh-tw"",""zh"")"),"闪步过程中或过图时永久BUG")</f>
        <v>闪步过程中或过图时永久BUG</v>
      </c>
      <c r="Q10" s="150" t="str">
        <f>IFERROR(__xludf.DUMMYFUNCTION("GOOGLETRANSLATE(A10,""zh-tw"",""es-MX"")"),"Paso relámpago")</f>
        <v>Paso relámpago</v>
      </c>
      <c r="R10" s="164" t="str">
        <f>IFERROR(__xludf.DUMMYFUNCTION("GOOGLETRANSLATE(B10,""zh-tw"",""es-MX"")"),"Triple velocidad carmesí")</f>
        <v>Triple velocidad carmesí</v>
      </c>
      <c r="S10" s="320" t="str">
        <f>IFERROR(__xludf.DUMMYFUNCTION("GOOGLETRANSLATE(C10,""zh-tw"",""es-MX"")"),"-")</f>
        <v>-</v>
      </c>
      <c r="T10" s="176" t="str">
        <f>IFERROR(__xludf.DUMMYFUNCTION("GOOGLETRANSLATE(D10,""zh-tw"",""es-MX"")"),"Error permanente durante el paso de flash o la transición del mapa")</f>
        <v>Error permanente durante el paso de flash o la transición del mapa</v>
      </c>
      <c r="U10" s="150" t="str">
        <f>IFERROR(__xludf.DUMMYFUNCTION("GOOGLETRANSLATE(A10,""zh-tw"",""KO"")"),"플래시 스텝")</f>
        <v>플래시 스텝</v>
      </c>
      <c r="V10" s="164" t="str">
        <f>IFERROR(__xludf.DUMMYFUNCTION("GOOGLETRANSLATE(B10,""zh-tw"",""KO"")"),"크림슨 트리플 스피드")</f>
        <v>크림슨 트리플 스피드</v>
      </c>
      <c r="W10" s="320" t="str">
        <f>IFERROR(__xludf.DUMMYFUNCTION("GOOGLETRANSLATE(C10,""zh-tw"",""KO"")"),"-")</f>
        <v>-</v>
      </c>
      <c r="X10" s="176" t="str">
        <f>IFERROR(__xludf.DUMMYFUNCTION("GOOGLETRANSLATE(D10,""zh-tw"",""KO"")"),"플래시 스텝이나 맵 전환 중 영구적인 버그 발생")</f>
        <v>플래시 스텝이나 맵 전환 중 영구적인 버그 발생</v>
      </c>
      <c r="Y10" s="316" t="str">
        <f>IFERROR(__xludf.DUMMYFUNCTION("GOOGLETRANSLATE(A10,""zh-tw"",""RU"")"),"Флэш-шаг")</f>
        <v>Флэш-шаг</v>
      </c>
      <c r="Z10" s="317" t="str">
        <f>IFERROR(__xludf.DUMMYFUNCTION("GOOGLETRANSLATE(B10,""zh-tw"",""RU"")"),"Багровая тройная скорость")</f>
        <v>Багровая тройная скорость</v>
      </c>
      <c r="AA10" s="318" t="str">
        <f>IFERROR(__xludf.DUMMYFUNCTION("GOOGLETRANSLATE(C10,""zh-tw"",""RU"")"),"-")</f>
        <v>-</v>
      </c>
      <c r="AB10" s="397" t="str">
        <f>IFERROR(__xludf.DUMMYFUNCTION("GOOGLETRANSLATE(D10,""zh-tw"",""RU"")"),"Постоянная ошибка во время флэш-шага или перехода по карте")</f>
        <v>Постоянная ошибка во время флэш-шага или перехода по карте</v>
      </c>
      <c r="AC10" s="316" t="str">
        <f>IFERROR(__xludf.DUMMYFUNCTION("GOOGLETRANSLATE(A10,""zh-tw"",""DE"")"),"Blitzschritt")</f>
        <v>Blitzschritt</v>
      </c>
      <c r="AD10" s="317" t="str">
        <f>IFERROR(__xludf.DUMMYFUNCTION("GOOGLETRANSLATE(B10,""zh-tw"",""DE"")"),"Crimson Triple Speed")</f>
        <v>Crimson Triple Speed</v>
      </c>
      <c r="AE10" s="318" t="str">
        <f>IFERROR(__xludf.DUMMYFUNCTION("GOOGLETRANSLATE(C10,""zh-tw"",""DE"")"),"-")</f>
        <v>-</v>
      </c>
      <c r="AF10" s="397" t="str">
        <f>IFERROR(__xludf.DUMMYFUNCTION("GOOGLETRANSLATE(D10,""zh-tw"",""DE"")"),"Permanenter Fehler während des Flash-Schritts oder Kartenübergangs")</f>
        <v>Permanenter Fehler während des Flash-Schritts oder Kartenübergangs</v>
      </c>
      <c r="AG10" s="156" t="s">
        <v>6518</v>
      </c>
      <c r="AH10" s="166" t="s">
        <v>6521</v>
      </c>
      <c r="AI10" s="322" t="s">
        <v>724</v>
      </c>
      <c r="AJ10" s="185" t="s">
        <v>6522</v>
      </c>
      <c r="AK10" s="396"/>
      <c r="AL10" s="396"/>
      <c r="AM10" s="396"/>
    </row>
    <row r="11">
      <c r="A11" s="175" t="s">
        <v>6523</v>
      </c>
      <c r="B11" s="319" t="s">
        <v>724</v>
      </c>
      <c r="C11" s="321" t="s">
        <v>6524</v>
      </c>
      <c r="D11" s="396" t="s">
        <v>6525</v>
      </c>
      <c r="E11" s="175" t="s">
        <v>6526</v>
      </c>
      <c r="F11" s="317" t="str">
        <f>IFERROR(__xludf.DUMMYFUNCTION("GOOGLETRANSLATE(B11,""zh-tw"",""ja"")"),"-")</f>
        <v>-</v>
      </c>
      <c r="G11" s="321" t="s">
        <v>6527</v>
      </c>
      <c r="H11" s="396" t="s">
        <v>6528</v>
      </c>
      <c r="I11" s="175" t="s">
        <v>6529</v>
      </c>
      <c r="J11" s="317" t="str">
        <f>IFERROR(__xludf.DUMMYFUNCTION("GOOGLETRANSLATE(B11,""zh-tw"",""en"")"),"-")</f>
        <v>-</v>
      </c>
      <c r="K11" s="321" t="s">
        <v>6530</v>
      </c>
      <c r="L11" s="396" t="s">
        <v>6531</v>
      </c>
      <c r="M11" s="316" t="str">
        <f>IFERROR(__xludf.DUMMYFUNCTION("GOOGLETRANSLATE(A11,""zh-tw"",""zh"")"),"闪步禁止")</f>
        <v>闪步禁止</v>
      </c>
      <c r="N11" s="317" t="str">
        <f>IFERROR(__xludf.DUMMYFUNCTION("GOOGLETRANSLATE(B11,""zh-tw"",""zh"")"),"-")</f>
        <v>-</v>
      </c>
      <c r="O11" s="318" t="str">
        <f>IFERROR(__xludf.DUMMYFUNCTION("GOOGLETRANSLATE(C11,""zh-tw"",""zh"")"),"禁止发动闪步")</f>
        <v>禁止发动闪步</v>
      </c>
      <c r="P11" s="397" t="str">
        <f>IFERROR(__xludf.DUMMYFUNCTION("GOOGLETRANSLATE(D11,""zh-tw"",""zh"")"),"闪步cd期间")</f>
        <v>闪步cd期间</v>
      </c>
      <c r="Q11" s="150" t="str">
        <f>IFERROR(__xludf.DUMMYFUNCTION("GOOGLETRANSLATE(A11,""zh-tw"",""es-MX"")"),"Paso rápido prohibido")</f>
        <v>Paso rápido prohibido</v>
      </c>
      <c r="R11" s="164" t="str">
        <f>IFERROR(__xludf.DUMMYFUNCTION("GOOGLETRANSLATE(B11,""zh-tw"",""es-MX"")"),"-")</f>
        <v>-</v>
      </c>
      <c r="S11" s="320" t="str">
        <f>IFERROR(__xludf.DUMMYFUNCTION("GOOGLETRANSLATE(C11,""zh-tw"",""es-MX"")"),"No utilice Flash Step")</f>
        <v>No utilice Flash Step</v>
      </c>
      <c r="T11" s="176" t="str">
        <f>IFERROR(__xludf.DUMMYFUNCTION("GOOGLETRANSLATE(D11,""zh-tw"",""es-MX"")"),"enfriamiento de Paso relámpago")</f>
        <v>enfriamiento de Paso relámpago</v>
      </c>
      <c r="U11" s="150" t="str">
        <f>IFERROR(__xludf.DUMMYFUNCTION("GOOGLETRANSLATE(A11,""zh-tw"",""KO"")"),"플래시 스텝 금지")</f>
        <v>플래시 스텝 금지</v>
      </c>
      <c r="V11" s="164" t="str">
        <f>IFERROR(__xludf.DUMMYFUNCTION("GOOGLETRANSLATE(B11,""zh-tw"",""KO"")"),"-")</f>
        <v>-</v>
      </c>
      <c r="W11" s="320" t="str">
        <f>IFERROR(__xludf.DUMMYFUNCTION("GOOGLETRANSLATE(C11,""zh-tw"",""KO"")"),"플래시 스텝을 사용하지 마세요")</f>
        <v>플래시 스텝을 사용하지 마세요</v>
      </c>
      <c r="X11" s="176" t="str">
        <f>IFERROR(__xludf.DUMMYFUNCTION("GOOGLETRANSLATE(D11,""zh-tw"",""KO"")"),"플래시 스텝 쿨다운")</f>
        <v>플래시 스텝 쿨다운</v>
      </c>
      <c r="Y11" s="316" t="str">
        <f>IFERROR(__xludf.DUMMYFUNCTION("GOOGLETRANSLATE(A11,""zh-tw"",""RU"")"),"Флэш-шаг запрещен")</f>
        <v>Флэш-шаг запрещен</v>
      </c>
      <c r="Z11" s="317" t="str">
        <f>IFERROR(__xludf.DUMMYFUNCTION("GOOGLETRANSLATE(B11,""zh-tw"",""RU"")"),"-")</f>
        <v>-</v>
      </c>
      <c r="AA11" s="318" t="str">
        <f>IFERROR(__xludf.DUMMYFUNCTION("GOOGLETRANSLATE(C11,""zh-tw"",""RU"")"),"Не используйте Flash Step")</f>
        <v>Не используйте Flash Step</v>
      </c>
      <c r="AB11" s="397" t="str">
        <f>IFERROR(__xludf.DUMMYFUNCTION("GOOGLETRANSLATE(D11,""zh-tw"",""RU"")"),"Перезарядка Flash Step")</f>
        <v>Перезарядка Flash Step</v>
      </c>
      <c r="AC11" s="316" t="str">
        <f>IFERROR(__xludf.DUMMYFUNCTION("GOOGLETRANSLATE(A11,""zh-tw"",""DE"")"),"Blitzschritt verboten")</f>
        <v>Blitzschritt verboten</v>
      </c>
      <c r="AD11" s="317" t="str">
        <f>IFERROR(__xludf.DUMMYFUNCTION("GOOGLETRANSLATE(B11,""zh-tw"",""DE"")"),"-")</f>
        <v>-</v>
      </c>
      <c r="AE11" s="318" t="str">
        <f>IFERROR(__xludf.DUMMYFUNCTION("GOOGLETRANSLATE(C11,""zh-tw"",""DE"")"),"Flash Step nicht verwenden")</f>
        <v>Flash Step nicht verwenden</v>
      </c>
      <c r="AF11" s="397" t="str">
        <f>IFERROR(__xludf.DUMMYFUNCTION("GOOGLETRANSLATE(D11,""zh-tw"",""DE"")"),"Flash Step-Abklingzeit")</f>
        <v>Flash Step-Abklingzeit</v>
      </c>
      <c r="AG11" s="156" t="s">
        <v>6532</v>
      </c>
      <c r="AH11" s="166" t="s">
        <v>724</v>
      </c>
      <c r="AI11" s="322" t="s">
        <v>6533</v>
      </c>
      <c r="AJ11" s="185" t="s">
        <v>6534</v>
      </c>
      <c r="AK11" s="396"/>
      <c r="AL11" s="396"/>
      <c r="AM11" s="396"/>
    </row>
    <row r="12">
      <c r="A12" s="175" t="s">
        <v>6535</v>
      </c>
      <c r="B12" s="319" t="s">
        <v>724</v>
      </c>
      <c r="C12" s="321" t="s">
        <v>6536</v>
      </c>
      <c r="D12" s="396" t="s">
        <v>6537</v>
      </c>
      <c r="E12" s="175" t="s">
        <v>6538</v>
      </c>
      <c r="F12" s="317" t="str">
        <f>IFERROR(__xludf.DUMMYFUNCTION("GOOGLETRANSLATE(B12,""zh-tw"",""ja"")"),"-")</f>
        <v>-</v>
      </c>
      <c r="G12" s="321" t="s">
        <v>6539</v>
      </c>
      <c r="H12" s="396" t="s">
        <v>6540</v>
      </c>
      <c r="I12" s="175" t="s">
        <v>6541</v>
      </c>
      <c r="J12" s="317" t="str">
        <f>IFERROR(__xludf.DUMMYFUNCTION("GOOGLETRANSLATE(B12,""zh-tw"",""en"")"),"-")</f>
        <v>-</v>
      </c>
      <c r="K12" s="321" t="s">
        <v>6542</v>
      </c>
      <c r="L12" s="396" t="s">
        <v>6543</v>
      </c>
      <c r="M12" s="316" t="str">
        <f>IFERROR(__xludf.DUMMYFUNCTION("GOOGLETRANSLATE(A12,""zh-tw"",""zh"")"),"眩晕")</f>
        <v>眩晕</v>
      </c>
      <c r="N12" s="317" t="str">
        <f>IFERROR(__xludf.DUMMYFUNCTION("GOOGLETRANSLATE(B12,""zh-tw"",""zh"")"),"-")</f>
        <v>-</v>
      </c>
      <c r="O12" s="318" t="str">
        <f>IFERROR(__xludf.DUMMYFUNCTION("GOOGLETRANSLATE(C12,""zh-tw"",""zh"")"),"转的头晕了。")</f>
        <v>转的头晕了。</v>
      </c>
      <c r="P12" s="397" t="str">
        <f>IFERROR(__xludf.DUMMYFUNCTION("GOOGLETRANSLATE(D12,""zh-tw"",""zh"")"),"近战武器滑鼠右键结束后")</f>
        <v>近战武器滑鼠右键结束后</v>
      </c>
      <c r="Q12" s="150" t="str">
        <f>IFERROR(__xludf.DUMMYFUNCTION("GOOGLETRANSLATE(A12,""zh-tw"",""es-MX"")"),"mareo")</f>
        <v>mareo</v>
      </c>
      <c r="R12" s="164" t="str">
        <f>IFERROR(__xludf.DUMMYFUNCTION("GOOGLETRANSLATE(B12,""zh-tw"",""es-MX"")"),"-")</f>
        <v>-</v>
      </c>
      <c r="S12" s="320" t="str">
        <f>IFERROR(__xludf.DUMMYFUNCTION("GOOGLETRANSLATE(C12,""zh-tw"",""es-MX"")"),"Me mareo de tanto dar vueltas.")</f>
        <v>Me mareo de tanto dar vueltas.</v>
      </c>
      <c r="T12" s="176" t="str">
        <f>IFERROR(__xludf.DUMMYFUNCTION("GOOGLETRANSLATE(D12,""zh-tw"",""es-MX"")"),"Tras hacer clic derecho en el arma cuerpo a cuerpo...")</f>
        <v>Tras hacer clic derecho en el arma cuerpo a cuerpo...</v>
      </c>
      <c r="U12" s="150" t="str">
        <f>IFERROR(__xludf.DUMMYFUNCTION("GOOGLETRANSLATE(A12,""zh-tw"",""KO"")"),"현기증")</f>
        <v>현기증</v>
      </c>
      <c r="V12" s="164" t="str">
        <f>IFERROR(__xludf.DUMMYFUNCTION("GOOGLETRANSLATE(B12,""zh-tw"",""KO"")"),"-")</f>
        <v>-</v>
      </c>
      <c r="W12" s="320" t="str">
        <f>IFERROR(__xludf.DUMMYFUNCTION("GOOGLETRANSLATE(C12,""zh-tw"",""KO"")"),"나는 빙빙 돌아서서 어지러움을 느낀다.")</f>
        <v>나는 빙빙 돌아서서 어지러움을 느낀다.</v>
      </c>
      <c r="X12" s="176" t="str">
        <f>IFERROR(__xludf.DUMMYFUNCTION("GOOGLETRANSLATE(D12,""zh-tw"",""KO"")"),"근접 무기를 마우스 오른쪽 버튼으로 클릭한 후...")</f>
        <v>근접 무기를 마우스 오른쪽 버튼으로 클릭한 후...</v>
      </c>
      <c r="Y12" s="316" t="str">
        <f>IFERROR(__xludf.DUMMYFUNCTION("GOOGLETRANSLATE(A12,""zh-tw"",""RU"")"),"головокружение")</f>
        <v>головокружение</v>
      </c>
      <c r="Z12" s="317" t="str">
        <f>IFERROR(__xludf.DUMMYFUNCTION("GOOGLETRANSLATE(B12,""zh-tw"",""RU"")"),"-")</f>
        <v>-</v>
      </c>
      <c r="AA12" s="318" t="str">
        <f>IFERROR(__xludf.DUMMYFUNCTION("GOOGLETRANSLATE(C12,""zh-tw"",""RU"")"),"У меня кружится голова от вращения.")</f>
        <v>У меня кружится голова от вращения.</v>
      </c>
      <c r="AB12" s="397" t="str">
        <f>IFERROR(__xludf.DUMMYFUNCTION("GOOGLETRANSLATE(D12,""zh-tw"",""RU"")"),"После щелчка правой кнопкой мыши по оружию ближнего боя...")</f>
        <v>После щелчка правой кнопкой мыши по оружию ближнего боя...</v>
      </c>
      <c r="AC12" s="316" t="str">
        <f>IFERROR(__xludf.DUMMYFUNCTION("GOOGLETRANSLATE(A12,""zh-tw"",""DE"")"),"Schwindel")</f>
        <v>Schwindel</v>
      </c>
      <c r="AD12" s="317" t="str">
        <f>IFERROR(__xludf.DUMMYFUNCTION("GOOGLETRANSLATE(B12,""zh-tw"",""DE"")"),"-")</f>
        <v>-</v>
      </c>
      <c r="AE12" s="318" t="str">
        <f>IFERROR(__xludf.DUMMYFUNCTION("GOOGLETRANSLATE(C12,""zh-tw"",""DE"")"),"Mir ist schwindlig vom vielen Drehen.")</f>
        <v>Mir ist schwindlig vom vielen Drehen.</v>
      </c>
      <c r="AF12" s="397" t="str">
        <f>IFERROR(__xludf.DUMMYFUNCTION("GOOGLETRANSLATE(D12,""zh-tw"",""DE"")"),"Nach einem Rechtsklick auf die Nahkampfwaffe...")</f>
        <v>Nach einem Rechtsklick auf die Nahkampfwaffe...</v>
      </c>
      <c r="AG12" s="156" t="s">
        <v>6544</v>
      </c>
      <c r="AH12" s="166" t="s">
        <v>724</v>
      </c>
      <c r="AI12" s="322" t="s">
        <v>6545</v>
      </c>
      <c r="AJ12" s="185" t="s">
        <v>6546</v>
      </c>
      <c r="AK12" s="396"/>
      <c r="AL12" s="396"/>
      <c r="AM12" s="396"/>
    </row>
    <row r="13">
      <c r="A13" s="175" t="s">
        <v>6547</v>
      </c>
      <c r="B13" s="319" t="s">
        <v>724</v>
      </c>
      <c r="C13" s="321" t="s">
        <v>6548</v>
      </c>
      <c r="D13" s="396" t="s">
        <v>6549</v>
      </c>
      <c r="E13" s="316" t="str">
        <f>IFERROR(__xludf.DUMMYFUNCTION("GOOGLETRANSLATE(A13,""zh-tw"",""ja"")"),"呪文詠唱")</f>
        <v>呪文詠唱</v>
      </c>
      <c r="F13" s="317" t="str">
        <f>IFERROR(__xludf.DUMMYFUNCTION("GOOGLETRANSLATE(B13,""zh-tw"",""ja"")"),"-")</f>
        <v>-</v>
      </c>
      <c r="G13" s="318" t="str">
        <f>IFERROR(__xludf.DUMMYFUNCTION("GOOGLETRANSLATE(C13,""zh-tw"",""ja"")"),"魔法の詠唱中")</f>
        <v>魔法の詠唱中</v>
      </c>
      <c r="H13" s="397" t="str">
        <f>IFERROR(__xludf.DUMMYFUNCTION("GOOGLETRANSLATE(D13,""zh-tw"",""ja"")"),"杖武器を右クリックします。")</f>
        <v>杖武器を右クリックします。</v>
      </c>
      <c r="I13" s="175" t="s">
        <v>6550</v>
      </c>
      <c r="J13" s="317" t="str">
        <f>IFERROR(__xludf.DUMMYFUNCTION("GOOGLETRANSLATE(B13,""zh-tw"",""en"")"),"-")</f>
        <v>-</v>
      </c>
      <c r="K13" s="321" t="s">
        <v>6551</v>
      </c>
      <c r="L13" s="396" t="s">
        <v>6552</v>
      </c>
      <c r="M13" s="316" t="str">
        <f>IFERROR(__xludf.DUMMYFUNCTION("GOOGLETRANSLATE(A13,""zh-tw"",""zh"")"),"施法")</f>
        <v>施法</v>
      </c>
      <c r="N13" s="317" t="str">
        <f>IFERROR(__xludf.DUMMYFUNCTION("GOOGLETRANSLATE(B13,""zh-tw"",""zh"")"),"-")</f>
        <v>-</v>
      </c>
      <c r="O13" s="318" t="str">
        <f>IFERROR(__xludf.DUMMYFUNCTION("GOOGLETRANSLATE(C13,""zh-tw"",""zh"")"),"魔法吟唱中")</f>
        <v>魔法吟唱中</v>
      </c>
      <c r="P13" s="397" t="str">
        <f>IFERROR(__xludf.DUMMYFUNCTION("GOOGLETRANSLATE(D13,""zh-tw"",""zh"")"),"法杖武器滑鼠右键")</f>
        <v>法杖武器滑鼠右键</v>
      </c>
      <c r="Q13" s="150" t="str">
        <f>IFERROR(__xludf.DUMMYFUNCTION("GOOGLETRANSLATE(A13,""zh-tw"",""es-MX"")"),"Lanzamiento de hechizos")</f>
        <v>Lanzamiento de hechizos</v>
      </c>
      <c r="R13" s="164" t="str">
        <f>IFERROR(__xludf.DUMMYFUNCTION("GOOGLETRANSLATE(B13,""zh-tw"",""es-MX"")"),"-")</f>
        <v>-</v>
      </c>
      <c r="S13" s="320" t="str">
        <f>IFERROR(__xludf.DUMMYFUNCTION("GOOGLETRANSLATE(C13,""zh-tw"",""es-MX"")"),"Durante el canto mágico")</f>
        <v>Durante el canto mágico</v>
      </c>
      <c r="T13" s="176" t="str">
        <f>IFERROR(__xludf.DUMMYFUNCTION("GOOGLETRANSLATE(D13,""zh-tw"",""es-MX"")"),"Haz clic derecho en el arma de bastón.")</f>
        <v>Haz clic derecho en el arma de bastón.</v>
      </c>
      <c r="U13" s="150" t="str">
        <f>IFERROR(__xludf.DUMMYFUNCTION("GOOGLETRANSLATE(A13,""zh-tw"",""KO"")"),"주문시전")</f>
        <v>주문시전</v>
      </c>
      <c r="V13" s="164" t="str">
        <f>IFERROR(__xludf.DUMMYFUNCTION("GOOGLETRANSLATE(B13,""zh-tw"",""KO"")"),"-")</f>
        <v>-</v>
      </c>
      <c r="W13" s="320" t="str">
        <f>IFERROR(__xludf.DUMMYFUNCTION("GOOGLETRANSLATE(C13,""zh-tw"",""KO"")"),"마법의 주문을 외우는 동안")</f>
        <v>마법의 주문을 외우는 동안</v>
      </c>
      <c r="X13" s="176" t="str">
        <f>IFERROR(__xludf.DUMMYFUNCTION("GOOGLETRANSLATE(D13,""zh-tw"",""KO"")"),"지팡이 무기를 마우스 오른쪽 버튼으로 클릭합니다.")</f>
        <v>지팡이 무기를 마우스 오른쪽 버튼으로 클릭합니다.</v>
      </c>
      <c r="Y13" s="316" t="str">
        <f>IFERROR(__xludf.DUMMYFUNCTION("GOOGLETRANSLATE(A13,""zh-tw"",""RU"")"),"Колдовство")</f>
        <v>Колдовство</v>
      </c>
      <c r="Z13" s="317" t="str">
        <f>IFERROR(__xludf.DUMMYFUNCTION("GOOGLETRANSLATE(B13,""zh-tw"",""RU"")"),"-")</f>
        <v>-</v>
      </c>
      <c r="AA13" s="318" t="str">
        <f>IFERROR(__xludf.DUMMYFUNCTION("GOOGLETRANSLATE(C13,""zh-tw"",""RU"")"),"Во время магического песнопения")</f>
        <v>Во время магического песнопения</v>
      </c>
      <c r="AB13" s="397" t="str">
        <f>IFERROR(__xludf.DUMMYFUNCTION("GOOGLETRANSLATE(D13,""zh-tw"",""RU"")"),"Щелкните правой кнопкой мыши по оружию-посоху.")</f>
        <v>Щелкните правой кнопкой мыши по оружию-посоху.</v>
      </c>
      <c r="AC13" s="316" t="str">
        <f>IFERROR(__xludf.DUMMYFUNCTION("GOOGLETRANSLATE(A13,""zh-tw"",""DE"")"),"Zauberwirken")</f>
        <v>Zauberwirken</v>
      </c>
      <c r="AD13" s="317" t="str">
        <f>IFERROR(__xludf.DUMMYFUNCTION("GOOGLETRANSLATE(B13,""zh-tw"",""DE"")"),"-")</f>
        <v>-</v>
      </c>
      <c r="AE13" s="318" t="str">
        <f>IFERROR(__xludf.DUMMYFUNCTION("GOOGLETRANSLATE(C13,""zh-tw"",""DE"")"),"Während des Zaubergesangs")</f>
        <v>Während des Zaubergesangs</v>
      </c>
      <c r="AF13" s="397" t="str">
        <f>IFERROR(__xludf.DUMMYFUNCTION("GOOGLETRANSLATE(D13,""zh-tw"",""DE"")"),"Rechtsklicken Sie auf die Stabwaffe.")</f>
        <v>Rechtsklicken Sie auf die Stabwaffe.</v>
      </c>
      <c r="AG13" s="156" t="s">
        <v>6553</v>
      </c>
      <c r="AH13" s="166" t="s">
        <v>724</v>
      </c>
      <c r="AI13" s="322" t="s">
        <v>6554</v>
      </c>
      <c r="AJ13" s="185" t="s">
        <v>6555</v>
      </c>
      <c r="AK13" s="396"/>
      <c r="AL13" s="396"/>
      <c r="AM13" s="396"/>
    </row>
    <row r="14">
      <c r="A14" s="175" t="s">
        <v>6556</v>
      </c>
      <c r="B14" s="319" t="s">
        <v>6557</v>
      </c>
      <c r="C14" s="321" t="s">
        <v>6558</v>
      </c>
      <c r="D14" s="396" t="s">
        <v>6559</v>
      </c>
      <c r="E14" s="175" t="s">
        <v>6556</v>
      </c>
      <c r="F14" s="319" t="s">
        <v>6560</v>
      </c>
      <c r="G14" s="321" t="s">
        <v>6561</v>
      </c>
      <c r="H14" s="396" t="s">
        <v>6562</v>
      </c>
      <c r="I14" s="175" t="s">
        <v>6563</v>
      </c>
      <c r="J14" s="319" t="s">
        <v>6564</v>
      </c>
      <c r="K14" s="321" t="s">
        <v>6565</v>
      </c>
      <c r="L14" s="396" t="s">
        <v>6566</v>
      </c>
      <c r="M14" s="316" t="str">
        <f>IFERROR(__xludf.DUMMYFUNCTION("GOOGLETRANSLATE(A14,""zh-tw"",""zh"")"),"中毒")</f>
        <v>中毒</v>
      </c>
      <c r="N14" s="317" t="str">
        <f>IFERROR(__xludf.DUMMYFUNCTION("GOOGLETRANSLATE(B14,""zh-tw"",""zh"")"),"体内感染了毒素")</f>
        <v>体内感染了毒素</v>
      </c>
      <c r="O14" s="318" t="str">
        <f>IFERROR(__xludf.DUMMYFUNCTION("GOOGLETRANSLATE(C14,""zh-tw"",""zh"")"),"随时间经过受到更多伤害")</f>
        <v>随时间经过受到更多伤害</v>
      </c>
      <c r="P14" s="397" t="str">
        <f>IFERROR(__xludf.DUMMYFUNCTION("GOOGLETRANSLATE(D14,""zh-tw"",""zh"")"),"被丧尸攻击")</f>
        <v>被丧尸攻击</v>
      </c>
      <c r="Q14" s="150" t="str">
        <f>IFERROR(__xludf.DUMMYFUNCTION("GOOGLETRANSLATE(A14,""zh-tw"",""es-MX"")"),"Envenenamiento")</f>
        <v>Envenenamiento</v>
      </c>
      <c r="R14" s="164" t="str">
        <f>IFERROR(__xludf.DUMMYFUNCTION("GOOGLETRANSLATE(B14,""zh-tw"",""es-MX"")"),"Infección por toxinas")</f>
        <v>Infección por toxinas</v>
      </c>
      <c r="S14" s="320" t="str">
        <f>IFERROR(__xludf.DUMMYFUNCTION("GOOGLETRANSLATE(C14,""zh-tw"",""es-MX"")"),"Mayor daño con el tiempo")</f>
        <v>Mayor daño con el tiempo</v>
      </c>
      <c r="T14" s="176" t="str">
        <f>IFERROR(__xludf.DUMMYFUNCTION("GOOGLETRANSLATE(D14,""zh-tw"",""es-MX"")"),"Atacado por zombis")</f>
        <v>Atacado por zombis</v>
      </c>
      <c r="U14" s="150" t="str">
        <f>IFERROR(__xludf.DUMMYFUNCTION("GOOGLETRANSLATE(A14,""zh-tw"",""KO"")"),"중독")</f>
        <v>중독</v>
      </c>
      <c r="V14" s="164" t="str">
        <f>IFERROR(__xludf.DUMMYFUNCTION("GOOGLETRANSLATE(B14,""zh-tw"",""KO"")"),"독소 감염")</f>
        <v>독소 감염</v>
      </c>
      <c r="W14" s="320" t="str">
        <f>IFERROR(__xludf.DUMMYFUNCTION("GOOGLETRANSLATE(C14,""zh-tw"",""KO"")"),"시간이 지남에 따라 더 많은 손상")</f>
        <v>시간이 지남에 따라 더 많은 손상</v>
      </c>
      <c r="X14" s="176" t="str">
        <f>IFERROR(__xludf.DUMMYFUNCTION("GOOGLETRANSLATE(D14,""zh-tw"",""KO"")"),"좀비의 공격을 받다")</f>
        <v>좀비의 공격을 받다</v>
      </c>
      <c r="Y14" s="316" t="str">
        <f>IFERROR(__xludf.DUMMYFUNCTION("GOOGLETRANSLATE(A14,""zh-tw"",""RU"")"),"Отравление")</f>
        <v>Отравление</v>
      </c>
      <c r="Z14" s="317" t="str">
        <f>IFERROR(__xludf.DUMMYFUNCTION("GOOGLETRANSLATE(B14,""zh-tw"",""RU"")"),"Заражение токсинами")</f>
        <v>Заражение токсинами</v>
      </c>
      <c r="AA14" s="318" t="str">
        <f>IFERROR(__xludf.DUMMYFUNCTION("GOOGLETRANSLATE(C14,""zh-tw"",""RU"")"),"Со временем ущерб увеличивается")</f>
        <v>Со временем ущерб увеличивается</v>
      </c>
      <c r="AB14" s="397" t="str">
        <f>IFERROR(__xludf.DUMMYFUNCTION("GOOGLETRANSLATE(D14,""zh-tw"",""RU"")"),"Напали зомби")</f>
        <v>Напали зомби</v>
      </c>
      <c r="AC14" s="316" t="str">
        <f>IFERROR(__xludf.DUMMYFUNCTION("GOOGLETRANSLATE(A14,""zh-tw"",""DE"")"),"Vergiftung")</f>
        <v>Vergiftung</v>
      </c>
      <c r="AD14" s="317" t="str">
        <f>IFERROR(__xludf.DUMMYFUNCTION("GOOGLETRANSLATE(B14,""zh-tw"",""DE"")"),"Infektion mit Toxinen")</f>
        <v>Infektion mit Toxinen</v>
      </c>
      <c r="AE14" s="318" t="str">
        <f>IFERROR(__xludf.DUMMYFUNCTION("GOOGLETRANSLATE(C14,""zh-tw"",""DE"")"),"Mehr Schaden im Laufe der Zeit")</f>
        <v>Mehr Schaden im Laufe der Zeit</v>
      </c>
      <c r="AF14" s="397" t="str">
        <f>IFERROR(__xludf.DUMMYFUNCTION("GOOGLETRANSLATE(D14,""zh-tw"",""DE"")"),"Von Zombies angegriffen")</f>
        <v>Von Zombies angegriffen</v>
      </c>
      <c r="AG14" s="156" t="s">
        <v>6567</v>
      </c>
      <c r="AH14" s="166" t="s">
        <v>6568</v>
      </c>
      <c r="AI14" s="322" t="s">
        <v>6569</v>
      </c>
      <c r="AJ14" s="185" t="s">
        <v>6570</v>
      </c>
      <c r="AK14" s="396"/>
      <c r="AL14" s="396"/>
      <c r="AM14" s="396"/>
    </row>
    <row r="15">
      <c r="A15" s="175" t="s">
        <v>6571</v>
      </c>
      <c r="B15" s="319" t="s">
        <v>6572</v>
      </c>
      <c r="C15" s="321" t="s">
        <v>6573</v>
      </c>
      <c r="D15" s="396" t="s">
        <v>6574</v>
      </c>
      <c r="E15" s="316" t="str">
        <f>IFERROR(__xludf.DUMMYFUNCTION("GOOGLETRANSLATE(A15,""zh-tw"",""ja"")"),"出血")</f>
        <v>出血</v>
      </c>
      <c r="F15" s="319" t="s">
        <v>6575</v>
      </c>
      <c r="G15" s="318" t="str">
        <f>IFERROR(__xludf.DUMMYFUNCTION("GOOGLETRANSLATE(C15,""zh-tw"",""ja"")"),"受けるダメージは最大スタミナに基づいて決まります。")</f>
        <v>受けるダメージは最大スタミナに基づいて決まります。</v>
      </c>
      <c r="H15" s="396" t="s">
        <v>6576</v>
      </c>
      <c r="I15" s="316" t="str">
        <f>IFERROR(__xludf.DUMMYFUNCTION("GOOGLETRANSLATE(A15,""zh-tw"",""en"")"),"Bleeding")</f>
        <v>Bleeding</v>
      </c>
      <c r="J15" s="319" t="s">
        <v>6577</v>
      </c>
      <c r="K15" s="321" t="s">
        <v>6578</v>
      </c>
      <c r="L15" s="396" t="s">
        <v>6579</v>
      </c>
      <c r="M15" s="316" t="str">
        <f>IFERROR(__xludf.DUMMYFUNCTION("GOOGLETRANSLATE(A15,""zh-tw"",""zh"")"),"出血")</f>
        <v>出血</v>
      </c>
      <c r="N15" s="317" t="str">
        <f>IFERROR(__xludf.DUMMYFUNCTION("GOOGLETRANSLATE(B15,""zh-tw"",""zh"")"),"血流不止。")</f>
        <v>血流不止。</v>
      </c>
      <c r="O15" s="318" t="str">
        <f>IFERROR(__xludf.DUMMYFUNCTION("GOOGLETRANSLATE(C15,""zh-tw"",""zh"")"),"根据体力上限受到伤害")</f>
        <v>根据体力上限受到伤害</v>
      </c>
      <c r="P15" s="397" t="str">
        <f>IFERROR(__xludf.DUMMYFUNCTION("GOOGLETRANSLATE(D15,""zh-tw"",""zh"")"),"被小红兽攻击")</f>
        <v>被小红兽攻击</v>
      </c>
      <c r="Q15" s="150" t="str">
        <f>IFERROR(__xludf.DUMMYFUNCTION("GOOGLETRANSLATE(A15,""zh-tw"",""es-MX"")"),"Sangría")</f>
        <v>Sangría</v>
      </c>
      <c r="R15" s="164" t="str">
        <f>IFERROR(__xludf.DUMMYFUNCTION("GOOGLETRANSLATE(B15,""zh-tw"",""es-MX"")"),"La hemorragia no cesaba.")</f>
        <v>La hemorragia no cesaba.</v>
      </c>
      <c r="S15" s="320" t="str">
        <f>IFERROR(__xludf.DUMMYFUNCTION("GOOGLETRANSLATE(C15,""zh-tw"",""es-MX"")"),"El daño recibido se basa en la resistencia máxima.")</f>
        <v>El daño recibido se basa en la resistencia máxima.</v>
      </c>
      <c r="T15" s="176" t="str">
        <f>IFERROR(__xludf.DUMMYFUNCTION("GOOGLETRANSLATE(D15,""zh-tw"",""es-MX"")"),"Atacado por la pequeña bestia roja")</f>
        <v>Atacado por la pequeña bestia roja</v>
      </c>
      <c r="U15" s="150" t="str">
        <f>IFERROR(__xludf.DUMMYFUNCTION("GOOGLETRANSLATE(A15,""zh-tw"",""KO"")"),"출혈")</f>
        <v>출혈</v>
      </c>
      <c r="V15" s="164" t="str">
        <f>IFERROR(__xludf.DUMMYFUNCTION("GOOGLETRANSLATE(B15,""zh-tw"",""KO"")"),"출혈이 멈추지 않았습니다.")</f>
        <v>출혈이 멈추지 않았습니다.</v>
      </c>
      <c r="W15" s="320" t="str">
        <f>IFERROR(__xludf.DUMMYFUNCTION("GOOGLETRANSLATE(C15,""zh-tw"",""KO"")"),"최대 체력에 따라 받은 피해량입니다.")</f>
        <v>최대 체력에 따라 받은 피해량입니다.</v>
      </c>
      <c r="X15" s="176" t="str">
        <f>IFERROR(__xludf.DUMMYFUNCTION("GOOGLETRANSLATE(D15,""zh-tw"",""KO"")"),"작은 붉은 짐승에게 공격당함")</f>
        <v>작은 붉은 짐승에게 공격당함</v>
      </c>
      <c r="Y15" s="316" t="str">
        <f>IFERROR(__xludf.DUMMYFUNCTION("GOOGLETRANSLATE(A15,""zh-tw"",""RU"")"),"Кровотечение")</f>
        <v>Кровотечение</v>
      </c>
      <c r="Z15" s="317" t="str">
        <f>IFERROR(__xludf.DUMMYFUNCTION("GOOGLETRANSLATE(B15,""zh-tw"",""RU"")"),"Кровотечение не останавливалось.")</f>
        <v>Кровотечение не останавливалось.</v>
      </c>
      <c r="AA15" s="318" t="str">
        <f>IFERROR(__xludf.DUMMYFUNCTION("GOOGLETRANSLATE(C15,""zh-tw"",""RU"")"),"Полученный урон рассчитывается на основе максимальной выносливости.")</f>
        <v>Полученный урон рассчитывается на основе максимальной выносливости.</v>
      </c>
      <c r="AB15" s="397" t="str">
        <f>IFERROR(__xludf.DUMMYFUNCTION("GOOGLETRANSLATE(D15,""zh-tw"",""RU"")"),"Напал маленький красный зверь")</f>
        <v>Напал маленький красный зверь</v>
      </c>
      <c r="AC15" s="316" t="str">
        <f>IFERROR(__xludf.DUMMYFUNCTION("GOOGLETRANSLATE(A15,""zh-tw"",""DE"")"),"Blutung")</f>
        <v>Blutung</v>
      </c>
      <c r="AD15" s="317" t="str">
        <f>IFERROR(__xludf.DUMMYFUNCTION("GOOGLETRANSLATE(B15,""zh-tw"",""DE"")"),"Die Blutung hörte nicht auf.")</f>
        <v>Die Blutung hörte nicht auf.</v>
      </c>
      <c r="AE15" s="318" t="str">
        <f>IFERROR(__xludf.DUMMYFUNCTION("GOOGLETRANSLATE(C15,""zh-tw"",""DE"")"),"Der erlittene Schaden basiert auf der maximalen Ausdauer.")</f>
        <v>Der erlittene Schaden basiert auf der maximalen Ausdauer.</v>
      </c>
      <c r="AF15" s="397" t="str">
        <f>IFERROR(__xludf.DUMMYFUNCTION("GOOGLETRANSLATE(D15,""zh-tw"",""DE"")"),"Angegriffen von dem kleinen roten Biest")</f>
        <v>Angegriffen von dem kleinen roten Biest</v>
      </c>
      <c r="AG15" s="156" t="s">
        <v>6580</v>
      </c>
      <c r="AH15" s="166" t="s">
        <v>6581</v>
      </c>
      <c r="AI15" s="322" t="s">
        <v>6582</v>
      </c>
      <c r="AJ15" s="185" t="s">
        <v>6583</v>
      </c>
      <c r="AK15" s="396"/>
      <c r="AL15" s="396"/>
      <c r="AM15" s="396"/>
    </row>
    <row r="16">
      <c r="A16" s="175" t="s">
        <v>6584</v>
      </c>
      <c r="B16" s="319" t="s">
        <v>6585</v>
      </c>
      <c r="C16" s="321" t="s">
        <v>6586</v>
      </c>
      <c r="D16" s="396" t="s">
        <v>6587</v>
      </c>
      <c r="E16" s="175" t="s">
        <v>6588</v>
      </c>
      <c r="F16" s="317" t="str">
        <f>IFERROR(__xludf.DUMMYFUNCTION("GOOGLETRANSLATE(B16,""zh-tw"",""ja"")"),"見て、この男は雷に打たれたんだ！")</f>
        <v>見て、この男は雷に打たれたんだ！</v>
      </c>
      <c r="G16" s="321" t="s">
        <v>6589</v>
      </c>
      <c r="H16" s="396" t="s">
        <v>6590</v>
      </c>
      <c r="I16" s="175" t="s">
        <v>6591</v>
      </c>
      <c r="J16" s="319" t="s">
        <v>6592</v>
      </c>
      <c r="K16" s="321" t="s">
        <v>6593</v>
      </c>
      <c r="L16" s="396" t="s">
        <v>6594</v>
      </c>
      <c r="M16" s="316" t="str">
        <f>IFERROR(__xludf.DUMMYFUNCTION("GOOGLETRANSLATE(A16,""zh-tw"",""zh"")"),"打雷")</f>
        <v>打雷</v>
      </c>
      <c r="N16" s="317" t="str">
        <f>IFERROR(__xludf.DUMMYFUNCTION("GOOGLETRANSLATE(B16,""zh-tw"",""zh"")"),"看啊，这家伙被雷劈了！")</f>
        <v>看啊，这家伙被雷劈了！</v>
      </c>
      <c r="O16" s="318" t="str">
        <f>IFERROR(__xludf.DUMMYFUNCTION("GOOGLETRANSLATE(C16,""zh-tw"",""zh"")"),"全身麻痹无法动弹！")</f>
        <v>全身麻痹无法动弹！</v>
      </c>
      <c r="P16" s="397" t="str">
        <f>IFERROR(__xludf.DUMMYFUNCTION("GOOGLETRANSLATE(D16,""zh-tw"",""zh"")"),"会漏电的的不良品、哔哩哔哩史莱姆")</f>
        <v>会漏电的的不良品、哔哩哔哩史莱姆</v>
      </c>
      <c r="Q16" s="150" t="str">
        <f>IFERROR(__xludf.DUMMYFUNCTION("GOOGLETRANSLATE(A16,""zh-tw"",""es-MX"")"),"trueno")</f>
        <v>trueno</v>
      </c>
      <c r="R16" s="164" t="str">
        <f>IFERROR(__xludf.DUMMYFUNCTION("GOOGLETRANSLATE(B16,""zh-tw"",""es-MX"")"),"¡Mira, a este tipo le cayó un rayo!")</f>
        <v>¡Mira, a este tipo le cayó un rayo!</v>
      </c>
      <c r="S16" s="320" t="str">
        <f>IFERROR(__xludf.DUMMYFUNCTION("GOOGLETRANSLATE(C16,""zh-tw"",""es-MX"")"),"¡Parálisis completa, incapaz de moverse!")</f>
        <v>¡Parálisis completa, incapaz de moverse!</v>
      </c>
      <c r="T16" s="176" t="str">
        <f>IFERROR(__xludf.DUMMYFUNCTION("GOOGLETRANSLATE(D16,""zh-tw"",""es-MX"")"),"Productos defectuosos que tienen fugas de electricidad; limo de Bilibili")</f>
        <v>Productos defectuosos que tienen fugas de electricidad; limo de Bilibili</v>
      </c>
      <c r="U16" s="150" t="str">
        <f>IFERROR(__xludf.DUMMYFUNCTION("GOOGLETRANSLATE(A16,""zh-tw"",""KO"")"),"우뢰")</f>
        <v>우뢰</v>
      </c>
      <c r="V16" s="164" t="str">
        <f>IFERROR(__xludf.DUMMYFUNCTION("GOOGLETRANSLATE(B16,""zh-tw"",""KO"")"),"보세요, 이 사람이 번개를 맞았어요!")</f>
        <v>보세요, 이 사람이 번개를 맞았어요!</v>
      </c>
      <c r="W16" s="320" t="str">
        <f>IFERROR(__xludf.DUMMYFUNCTION("GOOGLETRANSLATE(C16,""zh-tw"",""KO"")"),"완전 마비로 움직일 수 없습니다!")</f>
        <v>완전 마비로 움직일 수 없습니다!</v>
      </c>
      <c r="X16" s="176" t="str">
        <f>IFERROR(__xludf.DUMMYFUNCTION("GOOGLETRANSLATE(D16,""zh-tw"",""KO"")"),"전기가 새는 불량품, 빌리빌리 슬라임")</f>
        <v>전기가 새는 불량품, 빌리빌리 슬라임</v>
      </c>
      <c r="Y16" s="316" t="str">
        <f>IFERROR(__xludf.DUMMYFUNCTION("GOOGLETRANSLATE(A16,""zh-tw"",""RU"")"),"гром")</f>
        <v>гром</v>
      </c>
      <c r="Z16" s="317" t="str">
        <f>IFERROR(__xludf.DUMMYFUNCTION("GOOGLETRANSLATE(B16,""zh-tw"",""RU"")"),"Смотри, в этого парня ударила молния!")</f>
        <v>Смотри, в этого парня ударила молния!</v>
      </c>
      <c r="AA16" s="318" t="str">
        <f>IFERROR(__xludf.DUMMYFUNCTION("GOOGLETRANSLATE(C16,""zh-tw"",""RU"")"),"Полный паралич, не могу пошевелиться!")</f>
        <v>Полный паралич, не могу пошевелиться!</v>
      </c>
      <c r="AB16" s="397" t="str">
        <f>IFERROR(__xludf.DUMMYFUNCTION("GOOGLETRANSLATE(D16,""zh-tw"",""RU"")"),"Дефектные продукты, пропускающие электричество; слизь Bilibili")</f>
        <v>Дефектные продукты, пропускающие электричество; слизь Bilibili</v>
      </c>
      <c r="AC16" s="316" t="str">
        <f>IFERROR(__xludf.DUMMYFUNCTION("GOOGLETRANSLATE(A16,""zh-tw"",""DE"")"),"Donner")</f>
        <v>Donner</v>
      </c>
      <c r="AD16" s="317" t="str">
        <f>IFERROR(__xludf.DUMMYFUNCTION("GOOGLETRANSLATE(B16,""zh-tw"",""DE"")"),"Schau mal, dieser Typ wurde vom Blitz getroffen!")</f>
        <v>Schau mal, dieser Typ wurde vom Blitz getroffen!</v>
      </c>
      <c r="AE16" s="318" t="str">
        <f>IFERROR(__xludf.DUMMYFUNCTION("GOOGLETRANSLATE(C16,""zh-tw"",""DE"")"),"Völlige Lähmung, unfähig sich zu bewegen!")</f>
        <v>Völlige Lähmung, unfähig sich zu bewegen!</v>
      </c>
      <c r="AF16" s="397" t="str">
        <f>IFERROR(__xludf.DUMMYFUNCTION("GOOGLETRANSLATE(D16,""zh-tw"",""DE"")"),"Defekte Produkte, die Strom verlieren; Bilibili-Schleim")</f>
        <v>Defekte Produkte, die Strom verlieren; Bilibili-Schleim</v>
      </c>
      <c r="AG16" s="156" t="s">
        <v>6595</v>
      </c>
      <c r="AH16" s="166" t="s">
        <v>6596</v>
      </c>
      <c r="AI16" s="322" t="s">
        <v>6597</v>
      </c>
      <c r="AJ16" s="185" t="s">
        <v>6598</v>
      </c>
      <c r="AK16" s="396"/>
      <c r="AL16" s="396"/>
      <c r="AM16" s="396"/>
    </row>
    <row r="17">
      <c r="A17" s="175" t="s">
        <v>6599</v>
      </c>
      <c r="B17" s="319" t="s">
        <v>6600</v>
      </c>
      <c r="C17" s="321" t="s">
        <v>6601</v>
      </c>
      <c r="D17" s="396" t="s">
        <v>6602</v>
      </c>
      <c r="E17" s="175" t="s">
        <v>6599</v>
      </c>
      <c r="F17" s="317" t="str">
        <f>IFERROR(__xludf.DUMMYFUNCTION("GOOGLETRANSLATE(B17,""zh-tw"",""ja"")"),"暑い！暑い！暑い！暑い！")</f>
        <v>暑い！暑い！暑い！暑い！</v>
      </c>
      <c r="G17" s="321" t="s">
        <v>6603</v>
      </c>
      <c r="H17" s="396" t="s">
        <v>6604</v>
      </c>
      <c r="I17" s="175" t="s">
        <v>6605</v>
      </c>
      <c r="J17" s="319" t="s">
        <v>6606</v>
      </c>
      <c r="K17" s="321" t="s">
        <v>6607</v>
      </c>
      <c r="L17" s="396" t="s">
        <v>6608</v>
      </c>
      <c r="M17" s="316" t="str">
        <f>IFERROR(__xludf.DUMMYFUNCTION("GOOGLETRANSLATE(A17,""zh-tw"",""zh"")"),"炎上")</f>
        <v>炎上</v>
      </c>
      <c r="N17" s="317" t="str">
        <f>IFERROR(__xludf.DUMMYFUNCTION("GOOGLETRANSLATE(B17,""zh-tw"",""zh"")"),"好烫好烫好烫——！")</f>
        <v>好烫好烫好烫——！</v>
      </c>
      <c r="O17" s="318" t="str">
        <f>IFERROR(__xludf.DUMMYFUNCTION("GOOGLETRANSLATE(C17,""zh-tw"",""zh"")"),"对自身范围内所有单位持续的灼烧")</f>
        <v>对自身范围内所有单位持续的灼烧</v>
      </c>
      <c r="P17" s="397" t="str">
        <f>IFERROR(__xludf.DUMMYFUNCTION("GOOGLETRANSLATE(D17,""zh-tw"",""zh"")"),"被火焰属性攻击")</f>
        <v>被火焰属性攻击</v>
      </c>
      <c r="Q17" s="150" t="str">
        <f>IFERROR(__xludf.DUMMYFUNCTION("GOOGLETRANSLATE(A17,""zh-tw"",""es-MX"")"),"Yan Shang")</f>
        <v>Yan Shang</v>
      </c>
      <c r="R17" s="164" t="str">
        <f>IFERROR(__xludf.DUMMYFUNCTION("GOOGLETRANSLATE(B17,""zh-tw"",""es-MX"")"),"¡Hace mucho calor! ¡Hace mucho calor! ¡Hace mucho calor!")</f>
        <v>¡Hace mucho calor! ¡Hace mucho calor! ¡Hace mucho calor!</v>
      </c>
      <c r="S17" s="320" t="str">
        <f>IFERROR(__xludf.DUMMYFUNCTION("GOOGLETRANSLATE(C17,""zh-tw"",""es-MX"")"),"Combustión continua de todas las unidades dentro de su alcance.")</f>
        <v>Combustión continua de todas las unidades dentro de su alcance.</v>
      </c>
      <c r="T17" s="176" t="str">
        <f>IFERROR(__xludf.DUMMYFUNCTION("GOOGLETRANSLATE(D17,""zh-tw"",""es-MX"")"),"Atacado por el fuego")</f>
        <v>Atacado por el fuego</v>
      </c>
      <c r="U17" s="150" t="str">
        <f>IFERROR(__xludf.DUMMYFUNCTION("GOOGLETRANSLATE(A17,""zh-tw"",""KO"")"),"옌샹")</f>
        <v>옌샹</v>
      </c>
      <c r="V17" s="164" t="str">
        <f>IFERROR(__xludf.DUMMYFUNCTION("GOOGLETRANSLATE(B17,""zh-tw"",""KO"")"),"너무 더워요! 너무 더워요! 너무 더워요!")</f>
        <v>너무 더워요! 너무 더워요! 너무 더워요!</v>
      </c>
      <c r="W17" s="320" t="str">
        <f>IFERROR(__xludf.DUMMYFUNCTION("GOOGLETRANSLATE(C17,""zh-tw"",""KO"")"),"범위 내의 모든 유닛을 지속적으로 불태웁니다.")</f>
        <v>범위 내의 모든 유닛을 지속적으로 불태웁니다.</v>
      </c>
      <c r="X17" s="176" t="str">
        <f>IFERROR(__xludf.DUMMYFUNCTION("GOOGLETRANSLATE(D17,""zh-tw"",""KO"")"),"화재로 공격받다")</f>
        <v>화재로 공격받다</v>
      </c>
      <c r="Y17" s="316" t="str">
        <f>IFERROR(__xludf.DUMMYFUNCTION("GOOGLETRANSLATE(A17,""zh-tw"",""RU"")"),"Ян Шан")</f>
        <v>Ян Шан</v>
      </c>
      <c r="Z17" s="317" t="str">
        <f>IFERROR(__xludf.DUMMYFUNCTION("GOOGLETRANSLATE(B17,""zh-tw"",""RU"")"),"Так жарко! Так жарко! Так жарко!")</f>
        <v>Так жарко! Так жарко! Так жарко!</v>
      </c>
      <c r="AA17" s="318" t="str">
        <f>IFERROR(__xludf.DUMMYFUNCTION("GOOGLETRANSLATE(C17,""zh-tw"",""RU"")"),"Непрерывное горение всех единиц в радиусе действия.")</f>
        <v>Непрерывное горение всех единиц в радиусе действия.</v>
      </c>
      <c r="AB17" s="397" t="str">
        <f>IFERROR(__xludf.DUMMYFUNCTION("GOOGLETRANSLATE(D17,""zh-tw"",""RU"")"),"Атакован огнем")</f>
        <v>Атакован огнем</v>
      </c>
      <c r="AC17" s="316" t="str">
        <f>IFERROR(__xludf.DUMMYFUNCTION("GOOGLETRANSLATE(A17,""zh-tw"",""DE"")"),"Yan Shang")</f>
        <v>Yan Shang</v>
      </c>
      <c r="AD17" s="317" t="str">
        <f>IFERROR(__xludf.DUMMYFUNCTION("GOOGLETRANSLATE(B17,""zh-tw"",""DE"")"),"Es ist so heiß! Es ist so heiß! Es ist so heiß!")</f>
        <v>Es ist so heiß! Es ist so heiß! Es ist so heiß!</v>
      </c>
      <c r="AE17" s="318" t="str">
        <f>IFERROR(__xludf.DUMMYFUNCTION("GOOGLETRANSLATE(C17,""zh-tw"",""DE"")"),"Kontinuierliches Abbrennen aller Einheiten innerhalb seiner Reichweite.")</f>
        <v>Kontinuierliches Abbrennen aller Einheiten innerhalb seiner Reichweite.</v>
      </c>
      <c r="AF17" s="397" t="str">
        <f>IFERROR(__xludf.DUMMYFUNCTION("GOOGLETRANSLATE(D17,""zh-tw"",""DE"")"),"Von Feuer angegriffen")</f>
        <v>Von Feuer angegriffen</v>
      </c>
      <c r="AG17" s="156" t="s">
        <v>6609</v>
      </c>
      <c r="AH17" s="166" t="s">
        <v>6610</v>
      </c>
      <c r="AI17" s="322" t="s">
        <v>6611</v>
      </c>
      <c r="AJ17" s="185" t="s">
        <v>6612</v>
      </c>
      <c r="AK17" s="396"/>
      <c r="AL17" s="396"/>
      <c r="AM17" s="396"/>
    </row>
    <row r="18">
      <c r="A18" s="175" t="s">
        <v>6613</v>
      </c>
      <c r="B18" s="319" t="s">
        <v>6614</v>
      </c>
      <c r="C18" s="321" t="s">
        <v>6615</v>
      </c>
      <c r="D18" s="396" t="s">
        <v>3902</v>
      </c>
      <c r="E18" s="175" t="s">
        <v>6616</v>
      </c>
      <c r="F18" s="317" t="str">
        <f>IFERROR(__xludf.DUMMYFUNCTION("GOOGLETRANSLATE(B18,""zh-tw"",""ja"")"),"アイスキャンディーにしてみよう！")</f>
        <v>アイスキャンディーにしてみよう！</v>
      </c>
      <c r="G18" s="321" t="s">
        <v>6617</v>
      </c>
      <c r="H18" s="396" t="s">
        <v>6618</v>
      </c>
      <c r="I18" s="175" t="s">
        <v>6619</v>
      </c>
      <c r="J18" s="319" t="s">
        <v>6620</v>
      </c>
      <c r="K18" s="321" t="s">
        <v>6621</v>
      </c>
      <c r="L18" s="396" t="s">
        <v>3906</v>
      </c>
      <c r="M18" s="316" t="str">
        <f>IFERROR(__xludf.DUMMYFUNCTION("GOOGLETRANSLATE(A18,""zh-tw"",""zh"")"),"冰结")</f>
        <v>冰结</v>
      </c>
      <c r="N18" s="317" t="str">
        <f>IFERROR(__xludf.DUMMYFUNCTION("GOOGLETRANSLATE(B18,""zh-tw"",""zh"")"),"变成冰棍吧！")</f>
        <v>变成冰棍吧！</v>
      </c>
      <c r="O18" s="318" t="str">
        <f>IFERROR(__xludf.DUMMYFUNCTION("GOOGLETRANSLATE(C18,""zh-tw"",""zh"")"),"被冻住了！")</f>
        <v>被冻住了！</v>
      </c>
      <c r="P18" s="397" t="str">
        <f>IFERROR(__xludf.DUMMYFUNCTION("GOOGLETRANSLATE(D18,""zh-tw"",""zh"")"),"急冻史莱姆")</f>
        <v>急冻史莱姆</v>
      </c>
      <c r="Q18" s="150" t="str">
        <f>IFERROR(__xludf.DUMMYFUNCTION("GOOGLETRANSLATE(A18,""zh-tw"",""es-MX"")"),"Hielo")</f>
        <v>Hielo</v>
      </c>
      <c r="R18" s="164" t="str">
        <f>IFERROR(__xludf.DUMMYFUNCTION("GOOGLETRANSLATE(B18,""zh-tw"",""es-MX"")"),"¡Conviértelo en un polo de hielo!")</f>
        <v>¡Conviértelo en un polo de hielo!</v>
      </c>
      <c r="S18" s="320" t="str">
        <f>IFERROR(__xludf.DUMMYFUNCTION("GOOGLETRANSLATE(C18,""zh-tw"",""es-MX"")"),"¡Está completamente congelado!")</f>
        <v>¡Está completamente congelado!</v>
      </c>
      <c r="T18" s="176" t="str">
        <f>IFERROR(__xludf.DUMMYFUNCTION("GOOGLETRANSLATE(D18,""zh-tw"",""es-MX"")"),"Limo congelado")</f>
        <v>Limo congelado</v>
      </c>
      <c r="U18" s="150" t="str">
        <f>IFERROR(__xludf.DUMMYFUNCTION("GOOGLETRANSLATE(A18,""zh-tw"",""KO"")"),"얼음")</f>
        <v>얼음</v>
      </c>
      <c r="V18" s="164" t="str">
        <f>IFERROR(__xludf.DUMMYFUNCTION("GOOGLETRANSLATE(B18,""zh-tw"",""KO"")"),"아이스팝으로 만들어 보세요!")</f>
        <v>아이스팝으로 만들어 보세요!</v>
      </c>
      <c r="W18" s="320" t="str">
        <f>IFERROR(__xludf.DUMMYFUNCTION("GOOGLETRANSLATE(C18,""zh-tw"",""KO"")"),"완전히 얼어붙어 버렸어요!")</f>
        <v>완전히 얼어붙어 버렸어요!</v>
      </c>
      <c r="X18" s="176" t="str">
        <f>IFERROR(__xludf.DUMMYFUNCTION("GOOGLETRANSLATE(D18,""zh-tw"",""KO"")"),"얼어붙은 슬라임")</f>
        <v>얼어붙은 슬라임</v>
      </c>
      <c r="Y18" s="316" t="str">
        <f>IFERROR(__xludf.DUMMYFUNCTION("GOOGLETRANSLATE(A18,""zh-tw"",""RU"")"),"Лед")</f>
        <v>Лед</v>
      </c>
      <c r="Z18" s="317" t="str">
        <f>IFERROR(__xludf.DUMMYFUNCTION("GOOGLETRANSLATE(B18,""zh-tw"",""RU"")"),"Превратите его в фруктовый лед!")</f>
        <v>Превратите его в фруктовый лед!</v>
      </c>
      <c r="AA18" s="318" t="str">
        <f>IFERROR(__xludf.DUMMYFUNCTION("GOOGLETRANSLATE(C18,""zh-tw"",""RU"")"),"Он замерз!")</f>
        <v>Он замерз!</v>
      </c>
      <c r="AB18" s="397" t="str">
        <f>IFERROR(__xludf.DUMMYFUNCTION("GOOGLETRANSLATE(D18,""zh-tw"",""RU"")"),"Замороженная слизь")</f>
        <v>Замороженная слизь</v>
      </c>
      <c r="AC18" s="316" t="str">
        <f>IFERROR(__xludf.DUMMYFUNCTION("GOOGLETRANSLATE(A18,""zh-tw"",""DE"")"),"Eis")</f>
        <v>Eis</v>
      </c>
      <c r="AD18" s="317" t="str">
        <f>IFERROR(__xludf.DUMMYFUNCTION("GOOGLETRANSLATE(B18,""zh-tw"",""DE"")"),"Verwandle es in ein Eis am Stiel!")</f>
        <v>Verwandle es in ein Eis am Stiel!</v>
      </c>
      <c r="AE18" s="318" t="str">
        <f>IFERROR(__xludf.DUMMYFUNCTION("GOOGLETRANSLATE(C18,""zh-tw"",""DE"")"),"Es ist komplett durchgefroren!")</f>
        <v>Es ist komplett durchgefroren!</v>
      </c>
      <c r="AF18" s="397" t="str">
        <f>IFERROR(__xludf.DUMMYFUNCTION("GOOGLETRANSLATE(D18,""zh-tw"",""DE"")"),"Gefrorener Schleim")</f>
        <v>Gefrorener Schleim</v>
      </c>
      <c r="AG18" s="156" t="s">
        <v>6622</v>
      </c>
      <c r="AH18" s="166" t="s">
        <v>6623</v>
      </c>
      <c r="AI18" s="322" t="s">
        <v>6624</v>
      </c>
      <c r="AJ18" s="185" t="s">
        <v>3912</v>
      </c>
      <c r="AK18" s="396"/>
      <c r="AL18" s="396"/>
      <c r="AM18" s="396"/>
    </row>
    <row r="19">
      <c r="A19" s="175" t="s">
        <v>6625</v>
      </c>
      <c r="B19" s="319" t="s">
        <v>6626</v>
      </c>
      <c r="C19" s="321" t="s">
        <v>6627</v>
      </c>
      <c r="D19" s="396" t="s">
        <v>6628</v>
      </c>
      <c r="E19" s="175" t="s">
        <v>6629</v>
      </c>
      <c r="F19" s="317" t="str">
        <f>IFERROR(__xludf.DUMMYFUNCTION("GOOGLETRANSLATE(B19,""zh-tw"",""ja"")"),"ふふ、私に反抗するとこうなるのね～♡")</f>
        <v>ふふ、私に反抗するとこうなるのね～♡</v>
      </c>
      <c r="G19" s="321" t="s">
        <v>6630</v>
      </c>
      <c r="H19" s="397" t="str">
        <f>IFERROR(__xludf.DUMMYFUNCTION("GOOGLETRANSLATE(D19,""zh-tw"",""ja"")"),"ミステリーショップでは魚はもらえません。")</f>
        <v>ミステリーショップでは魚はもらえません。</v>
      </c>
      <c r="I19" s="175" t="s">
        <v>6631</v>
      </c>
      <c r="J19" s="319" t="s">
        <v>6632</v>
      </c>
      <c r="K19" s="321" t="s">
        <v>6633</v>
      </c>
      <c r="L19" s="396" t="s">
        <v>6634</v>
      </c>
      <c r="M19" s="316" t="str">
        <f>IFERROR(__xludf.DUMMYFUNCTION("GOOGLETRANSLATE(A19,""zh-tw"",""zh"")"),"恶魔诅咒")</f>
        <v>恶魔诅咒</v>
      </c>
      <c r="N19" s="317" t="str">
        <f>IFERROR(__xludf.DUMMYFUNCTION("GOOGLETRANSLATE(B19,""zh-tw"",""zh"")"),"呋呋，这就是反抗我的下场噢~♡")</f>
        <v>呋呋，这就是反抗我的下场噢~♡</v>
      </c>
      <c r="O19" s="318" t="str">
        <f>IFERROR(__xludf.DUMMYFUNCTION("GOOGLETRANSLATE(C19,""zh-tw"",""zh"")"),"被奇怪的小鬼店长诅咒了")</f>
        <v>被奇怪的小鬼店长诅咒了</v>
      </c>
      <c r="P19" s="397" t="str">
        <f>IFERROR(__xludf.DUMMYFUNCTION("GOOGLETRANSLATE(D19,""zh-tw"",""zh"")"),"神秘商店不给鱼")</f>
        <v>神秘商店不给鱼</v>
      </c>
      <c r="Q19" s="150" t="str">
        <f>IFERROR(__xludf.DUMMYFUNCTION("GOOGLETRANSLATE(A19,""zh-tw"",""es-MX"")"),"Maldición demoníaca")</f>
        <v>Maldición demoníaca</v>
      </c>
      <c r="R19" s="164" t="str">
        <f>IFERROR(__xludf.DUMMYFUNCTION("GOOGLETRANSLATE(B19,""zh-tw"",""es-MX"")"),"Jajaja, esto es lo que pasa cuando te rebelas contra mí~♡")</f>
        <v>Jajaja, esto es lo que pasa cuando te rebelas contra mí~♡</v>
      </c>
      <c r="S19" s="320" t="str">
        <f>IFERROR(__xludf.DUMMYFUNCTION("GOOGLETRANSLATE(C19,""zh-tw"",""es-MX"")"),"Maldito por el extraño y diablillo tendero")</f>
        <v>Maldito por el extraño y diablillo tendero</v>
      </c>
      <c r="T19" s="176" t="str">
        <f>IFERROR(__xludf.DUMMYFUNCTION("GOOGLETRANSLATE(D19,""zh-tw"",""es-MX"")"),"La tienda misteriosa no te da pescado.")</f>
        <v>La tienda misteriosa no te da pescado.</v>
      </c>
      <c r="U19" s="150" t="str">
        <f>IFERROR(__xludf.DUMMYFUNCTION("GOOGLETRANSLATE(A19,""zh-tw"",""KO"")"),"악마의 저주")</f>
        <v>악마의 저주</v>
      </c>
      <c r="V19" s="164" t="str">
        <f>IFERROR(__xludf.DUMMYFUNCTION("GOOGLETRANSLATE(B19,""zh-tw"",""KO"")"),"후후, 나한테 반항하면 이렇게 되는 거야~♡")</f>
        <v>후후, 나한테 반항하면 이렇게 되는 거야~♡</v>
      </c>
      <c r="W19" s="320" t="str">
        <f>IFERROR(__xludf.DUMMYFUNCTION("GOOGLETRANSLATE(C19,""zh-tw"",""KO"")"),"이상한 작은 악마 가게 주인의 저주를 받았습니다")</f>
        <v>이상한 작은 악마 가게 주인의 저주를 받았습니다</v>
      </c>
      <c r="X19" s="176" t="str">
        <f>IFERROR(__xludf.DUMMYFUNCTION("GOOGLETRANSLATE(D19,""zh-tw"",""KO"")"),"미스터리 샵에서는 물고기를 팔지 않습니다.")</f>
        <v>미스터리 샵에서는 물고기를 팔지 않습니다.</v>
      </c>
      <c r="Y19" s="316" t="str">
        <f>IFERROR(__xludf.DUMMYFUNCTION("GOOGLETRANSLATE(A19,""zh-tw"",""RU"")"),"Проклятие демона")</f>
        <v>Проклятие демона</v>
      </c>
      <c r="Z19" s="317" t="str">
        <f>IFERROR(__xludf.DUMMYFUNCTION("GOOGLETRANSLATE(B19,""zh-tw"",""RU"")"),"Фуфу, вот что происходит, когда ты восстаёшь против меня~♡")</f>
        <v>Фуфу, вот что происходит, когда ты восстаёшь против меня~♡</v>
      </c>
      <c r="AA19" s="318" t="str">
        <f>IFERROR(__xludf.DUMMYFUNCTION("GOOGLETRANSLATE(C19,""zh-tw"",""RU"")"),"Проклят странным маленьким дьяволом-торговцем")</f>
        <v>Проклят странным маленьким дьяволом-торговцем</v>
      </c>
      <c r="AB19" s="397" t="str">
        <f>IFERROR(__xludf.DUMMYFUNCTION("GOOGLETRANSLATE(D19,""zh-tw"",""RU"")"),"Таинственный магазин не даст вам рыбу.")</f>
        <v>Таинственный магазин не даст вам рыбу.</v>
      </c>
      <c r="AC19" s="316" t="str">
        <f>IFERROR(__xludf.DUMMYFUNCTION("GOOGLETRANSLATE(A19,""zh-tw"",""DE"")"),"Dämonenfluch")</f>
        <v>Dämonenfluch</v>
      </c>
      <c r="AD19" s="317" t="str">
        <f>IFERROR(__xludf.DUMMYFUNCTION("GOOGLETRANSLATE(B19,""zh-tw"",""DE"")"),"Fufu, das passiert, wenn man gegen mich rebelliert~♡")</f>
        <v>Fufu, das passiert, wenn man gegen mich rebelliert~♡</v>
      </c>
      <c r="AE19" s="318" t="str">
        <f>IFERROR(__xludf.DUMMYFUNCTION("GOOGLETRANSLATE(C19,""zh-tw"",""DE"")"),"Verflucht von dem seltsamen kleinen Teufelsladenbesitzer")</f>
        <v>Verflucht von dem seltsamen kleinen Teufelsladenbesitzer</v>
      </c>
      <c r="AF19" s="397" t="str">
        <f>IFERROR(__xludf.DUMMYFUNCTION("GOOGLETRANSLATE(D19,""zh-tw"",""DE"")"),"Der Mystery Shop schenkt Ihnen keinen Fisch.")</f>
        <v>Der Mystery Shop schenkt Ihnen keinen Fisch.</v>
      </c>
      <c r="AG19" s="156" t="s">
        <v>6635</v>
      </c>
      <c r="AH19" s="166" t="s">
        <v>6636</v>
      </c>
      <c r="AI19" s="322" t="s">
        <v>6637</v>
      </c>
      <c r="AJ19" s="185" t="s">
        <v>6638</v>
      </c>
      <c r="AK19" s="396"/>
      <c r="AL19" s="396"/>
      <c r="AM19" s="396"/>
    </row>
    <row r="20">
      <c r="A20" s="175" t="s">
        <v>6639</v>
      </c>
      <c r="B20" s="319" t="s">
        <v>6640</v>
      </c>
      <c r="C20" s="321" t="s">
        <v>6641</v>
      </c>
      <c r="D20" s="396" t="s">
        <v>6642</v>
      </c>
      <c r="E20" s="175" t="s">
        <v>6643</v>
      </c>
      <c r="F20" s="317" t="str">
        <f>IFERROR(__xludf.DUMMYFUNCTION("GOOGLETRANSLATE(B20,""zh-tw"",""ja"")"),"ここは私の領土だから悪いことはしちゃダメよ！♡")</f>
        <v>ここは私の領土だから悪いことはしちゃダメよ！♡</v>
      </c>
      <c r="G20" s="318" t="str">
        <f>IFERROR(__xludf.DUMMYFUNCTION("GOOGLETRANSLATE(C20,""zh-tw"",""ja"")"),"攻撃行為は禁止されています")</f>
        <v>攻撃行為は禁止されています</v>
      </c>
      <c r="H20" s="397" t="str">
        <f>IFERROR(__xludf.DUMMYFUNCTION("GOOGLETRANSLATE(D20,""zh-tw"",""ja"")"),"ミステリーショップの近く")</f>
        <v>ミステリーショップの近く</v>
      </c>
      <c r="I20" s="175" t="s">
        <v>6644</v>
      </c>
      <c r="J20" s="319" t="s">
        <v>6645</v>
      </c>
      <c r="K20" s="321" t="s">
        <v>6646</v>
      </c>
      <c r="L20" s="396" t="s">
        <v>6647</v>
      </c>
      <c r="M20" s="316" t="str">
        <f>IFERROR(__xludf.DUMMYFUNCTION("GOOGLETRANSLATE(A20,""zh-tw"",""zh"")"),"禁止攻击")</f>
        <v>禁止攻击</v>
      </c>
      <c r="N20" s="317" t="str">
        <f>IFERROR(__xludf.DUMMYFUNCTION("GOOGLETRANSLATE(B20,""zh-tw"",""zh"")"),"这里可是我的领域噢，可不能做坏事呢♡！")</f>
        <v>这里可是我的领域噢，可不能做坏事呢♡！</v>
      </c>
      <c r="O20" s="318" t="str">
        <f>IFERROR(__xludf.DUMMYFUNCTION("GOOGLETRANSLATE(C20,""zh-tw"",""zh"")"),"攻击行为禁止")</f>
        <v>攻击行为禁止</v>
      </c>
      <c r="P20" s="397" t="str">
        <f>IFERROR(__xludf.DUMMYFUNCTION("GOOGLETRANSLATE(D20,""zh-tw"",""zh"")"),"神秘商店附近")</f>
        <v>神秘商店附近</v>
      </c>
      <c r="Q20" s="150" t="str">
        <f>IFERROR(__xludf.DUMMYFUNCTION("GOOGLETRANSLATE(A20,""zh-tw"",""es-MX"")"),"No atacar")</f>
        <v>No atacar</v>
      </c>
      <c r="R20" s="164" t="str">
        <f>IFERROR(__xludf.DUMMYFUNCTION("GOOGLETRANSLATE(B20,""zh-tw"",""es-MX"")"),"¡Este es mi territorio, aquí no puedes hacer nada malo! ♡")</f>
        <v>¡Este es mi territorio, aquí no puedes hacer nada malo! ♡</v>
      </c>
      <c r="S20" s="320" t="str">
        <f>IFERROR(__xludf.DUMMYFUNCTION("GOOGLETRANSLATE(C20,""zh-tw"",""es-MX"")"),"Comportamiento de ataque prohibido")</f>
        <v>Comportamiento de ataque prohibido</v>
      </c>
      <c r="T20" s="176" t="str">
        <f>IFERROR(__xludf.DUMMYFUNCTION("GOOGLETRANSLATE(D20,""zh-tw"",""es-MX"")"),"Cerca de la tienda misteriosa")</f>
        <v>Cerca de la tienda misteriosa</v>
      </c>
      <c r="U20" s="150" t="str">
        <f>IFERROR(__xludf.DUMMYFUNCTION("GOOGLETRANSLATE(A20,""zh-tw"",""KO"")"),"공격하지 마세요")</f>
        <v>공격하지 마세요</v>
      </c>
      <c r="V20" s="164" t="str">
        <f>IFERROR(__xludf.DUMMYFUNCTION("GOOGLETRANSLATE(B20,""zh-tw"",""KO"")"),"여긴 내 영역이야, 여기서는 나쁜 짓을 하면 안 돼!♡")</f>
        <v>여긴 내 영역이야, 여기서는 나쁜 짓을 하면 안 돼!♡</v>
      </c>
      <c r="W20" s="320" t="str">
        <f>IFERROR(__xludf.DUMMYFUNCTION("GOOGLETRANSLATE(C20,""zh-tw"",""KO"")"),"공격 행위 금지")</f>
        <v>공격 행위 금지</v>
      </c>
      <c r="X20" s="176" t="str">
        <f>IFERROR(__xludf.DUMMYFUNCTION("GOOGLETRANSLATE(D20,""zh-tw"",""KO"")"),"미스터리 샵 근처")</f>
        <v>미스터리 샵 근처</v>
      </c>
      <c r="Y20" s="316" t="str">
        <f>IFERROR(__xludf.DUMMYFUNCTION("GOOGLETRANSLATE(A20,""zh-tw"",""RU"")"),"Не нападать")</f>
        <v>Не нападать</v>
      </c>
      <c r="Z20" s="317" t="str">
        <f>IFERROR(__xludf.DUMMYFUNCTION("GOOGLETRANSLATE(B20,""zh-tw"",""RU"")"),"Это моя территория, здесь нельзя делать ничего плохого!♡")</f>
        <v>Это моя территория, здесь нельзя делать ничего плохого!♡</v>
      </c>
      <c r="AA20" s="318" t="str">
        <f>IFERROR(__xludf.DUMMYFUNCTION("GOOGLETRANSLATE(C20,""zh-tw"",""RU"")"),"Атакующее поведение запрещено")</f>
        <v>Атакующее поведение запрещено</v>
      </c>
      <c r="AB20" s="397" t="str">
        <f>IFERROR(__xludf.DUMMYFUNCTION("GOOGLETRANSLATE(D20,""zh-tw"",""RU"")"),"Рядом с таинственным магазином")</f>
        <v>Рядом с таинственным магазином</v>
      </c>
      <c r="AC20" s="316" t="str">
        <f>IFERROR(__xludf.DUMMYFUNCTION("GOOGLETRANSLATE(A20,""zh-tw"",""DE"")"),"Nicht angreifen")</f>
        <v>Nicht angreifen</v>
      </c>
      <c r="AD20" s="317" t="str">
        <f>IFERROR(__xludf.DUMMYFUNCTION("GOOGLETRANSLATE(B20,""zh-tw"",""DE"")"),"Das ist mein Revier, hier kannst du nichts Schlimmes anstellen! ♡")</f>
        <v>Das ist mein Revier, hier kannst du nichts Schlimmes anstellen! ♡</v>
      </c>
      <c r="AE20" s="318" t="str">
        <f>IFERROR(__xludf.DUMMYFUNCTION("GOOGLETRANSLATE(C20,""zh-tw"",""DE"")"),"Angriffsverhalten verboten")</f>
        <v>Angriffsverhalten verboten</v>
      </c>
      <c r="AF20" s="397" t="str">
        <f>IFERROR(__xludf.DUMMYFUNCTION("GOOGLETRANSLATE(D20,""zh-tw"",""DE"")"),"In der Nähe des Mystery Shops")</f>
        <v>In der Nähe des Mystery Shops</v>
      </c>
      <c r="AG20" s="156" t="s">
        <v>6648</v>
      </c>
      <c r="AH20" s="166" t="s">
        <v>6649</v>
      </c>
      <c r="AI20" s="322" t="s">
        <v>6650</v>
      </c>
      <c r="AJ20" s="185" t="s">
        <v>6651</v>
      </c>
      <c r="AK20" s="396"/>
      <c r="AL20" s="396"/>
      <c r="AM20" s="396"/>
    </row>
    <row r="21">
      <c r="A21" s="175" t="s">
        <v>6652</v>
      </c>
      <c r="B21" s="319" t="s">
        <v>6653</v>
      </c>
      <c r="C21" s="321" t="s">
        <v>6654</v>
      </c>
      <c r="D21" s="396" t="s">
        <v>6655</v>
      </c>
      <c r="E21" s="175" t="s">
        <v>6656</v>
      </c>
      <c r="F21" s="319" t="s">
        <v>6657</v>
      </c>
      <c r="G21" s="321" t="s">
        <v>6658</v>
      </c>
      <c r="H21" s="397" t="str">
        <f>IFERROR(__xludf.DUMMYFUNCTION("GOOGLETRANSLATE(D21,""zh-tw"",""ja"")"),"妹にいたずらをすると怒る")</f>
        <v>妹にいたずらをすると怒る</v>
      </c>
      <c r="I21" s="175" t="s">
        <v>6659</v>
      </c>
      <c r="J21" s="319" t="s">
        <v>6660</v>
      </c>
      <c r="K21" s="321" t="s">
        <v>6661</v>
      </c>
      <c r="L21" s="396" t="s">
        <v>6662</v>
      </c>
      <c r="M21" s="316" t="str">
        <f>IFERROR(__xludf.DUMMYFUNCTION("GOOGLETRANSLATE(A21,""zh-tw"",""zh"")"),"不要受伤")</f>
        <v>不要受伤</v>
      </c>
      <c r="N21" s="317" t="str">
        <f>IFERROR(__xludf.DUMMYFUNCTION("GOOGLETRANSLATE(B21,""zh-tw"",""zh"")"),"和妹妹重要的约定，必须要遵守呢")</f>
        <v>和妹妹重要的约定，必须要遵守呢</v>
      </c>
      <c r="O21" s="318" t="str">
        <f>IFERROR(__xludf.DUMMYFUNCTION("GOOGLETRANSLATE(C21,""zh-tw"",""zh"")"),"不要重伤回家")</f>
        <v>不要重伤回家</v>
      </c>
      <c r="P21" s="397" t="str">
        <f>IFERROR(__xludf.DUMMYFUNCTION("GOOGLETRANSLATE(D21,""zh-tw"",""zh"")"),"对妹妹恶作剧时生气")</f>
        <v>对妹妹恶作剧时生气</v>
      </c>
      <c r="Q21" s="150" t="str">
        <f>IFERROR(__xludf.DUMMYFUNCTION("GOOGLETRANSLATE(A21,""zh-tw"",""es-MX"")"),"No te lastimes.")</f>
        <v>No te lastimes.</v>
      </c>
      <c r="R21" s="164" t="str">
        <f>IFERROR(__xludf.DUMMYFUNCTION("GOOGLETRANSLATE(B21,""zh-tw"",""es-MX"")"),"Debo cumplir la importante promesa que le hice a mi hermana.")</f>
        <v>Debo cumplir la importante promesa que le hice a mi hermana.</v>
      </c>
      <c r="S21" s="320" t="str">
        <f>IFERROR(__xludf.DUMMYFUNCTION("GOOGLETRANSLATE(C21,""zh-tw"",""es-MX"")"),"No regrese a casa con lesiones graves.")</f>
        <v>No regrese a casa con lesiones graves.</v>
      </c>
      <c r="T21" s="176" t="str">
        <f>IFERROR(__xludf.DUMMYFUNCTION("GOOGLETRANSLATE(D21,""zh-tw"",""es-MX"")"),"Me enfado cuando le gasto bromas a mi hermana pequeña.")</f>
        <v>Me enfado cuando le gasto bromas a mi hermana pequeña.</v>
      </c>
      <c r="U21" s="150" t="str">
        <f>IFERROR(__xludf.DUMMYFUNCTION("GOOGLETRANSLATE(A21,""zh-tw"",""KO"")"),"다치지 마세요.")</f>
        <v>다치지 마세요.</v>
      </c>
      <c r="V21" s="164" t="str">
        <f>IFERROR(__xludf.DUMMYFUNCTION("GOOGLETRANSLATE(B21,""zh-tw"",""KO"")"),"나는 언니와의 중요한 약속을 지켜야 한다.")</f>
        <v>나는 언니와의 중요한 약속을 지켜야 한다.</v>
      </c>
      <c r="W21" s="320" t="str">
        <f>IFERROR(__xludf.DUMMYFUNCTION("GOOGLETRANSLATE(C21,""zh-tw"",""KO"")"),"심각한 부상을 입고 집으로 돌아가지 마세요.")</f>
        <v>심각한 부상을 입고 집으로 돌아가지 마세요.</v>
      </c>
      <c r="X21" s="176" t="str">
        <f>IFERROR(__xludf.DUMMYFUNCTION("GOOGLETRANSLATE(D21,""zh-tw"",""KO"")"),"여동생에게 장난을 치다가 화가 난다")</f>
        <v>여동생에게 장난을 치다가 화가 난다</v>
      </c>
      <c r="Y21" s="316" t="str">
        <f>IFERROR(__xludf.DUMMYFUNCTION("GOOGLETRANSLATE(A21,""zh-tw"",""RU"")"),"Не пораньтесь.")</f>
        <v>Не пораньтесь.</v>
      </c>
      <c r="Z21" s="317" t="str">
        <f>IFERROR(__xludf.DUMMYFUNCTION("GOOGLETRANSLATE(B21,""zh-tw"",""RU"")"),"Я должен сдержать важное обещание, данное моей сестре.")</f>
        <v>Я должен сдержать важное обещание, данное моей сестре.</v>
      </c>
      <c r="AA21" s="318" t="str">
        <f>IFERROR(__xludf.DUMMYFUNCTION("GOOGLETRANSLATE(C21,""zh-tw"",""RU"")"),"Не возвращайтесь домой с серьезными травмами.")</f>
        <v>Не возвращайтесь домой с серьезными травмами.</v>
      </c>
      <c r="AB21" s="397" t="str">
        <f>IFERROR(__xludf.DUMMYFUNCTION("GOOGLETRANSLATE(D21,""zh-tw"",""RU"")"),"Я злюсь, когда подшучиваю над своей младшей сестрой.")</f>
        <v>Я злюсь, когда подшучиваю над своей младшей сестрой.</v>
      </c>
      <c r="AC21" s="316" t="str">
        <f>IFERROR(__xludf.DUMMYFUNCTION("GOOGLETRANSLATE(A21,""zh-tw"",""DE"")"),"Verletz dich nicht.")</f>
        <v>Verletz dich nicht.</v>
      </c>
      <c r="AD21" s="317" t="str">
        <f>IFERROR(__xludf.DUMMYFUNCTION("GOOGLETRANSLATE(B21,""zh-tw"",""DE"")"),"Ich muss mein wichtiges Versprechen an meine Schwester halten.")</f>
        <v>Ich muss mein wichtiges Versprechen an meine Schwester halten.</v>
      </c>
      <c r="AE21" s="318" t="str">
        <f>IFERROR(__xludf.DUMMYFUNCTION("GOOGLETRANSLATE(C21,""zh-tw"",""DE"")"),"Kehren Sie nicht mit schweren Verletzungen nach Hause zurück.")</f>
        <v>Kehren Sie nicht mit schweren Verletzungen nach Hause zurück.</v>
      </c>
      <c r="AF21" s="397" t="str">
        <f>IFERROR(__xludf.DUMMYFUNCTION("GOOGLETRANSLATE(D21,""zh-tw"",""DE"")"),"Ich werde wütend, wenn ich meiner jüngeren Schwester Streiche spiele")</f>
        <v>Ich werde wütend, wenn ich meiner jüngeren Schwester Streiche spiele</v>
      </c>
      <c r="AG21" s="156" t="s">
        <v>6663</v>
      </c>
      <c r="AH21" s="166" t="s">
        <v>6664</v>
      </c>
      <c r="AI21" s="322" t="s">
        <v>6663</v>
      </c>
      <c r="AJ21" s="185" t="s">
        <v>6665</v>
      </c>
      <c r="AK21" s="396"/>
      <c r="AL21" s="396"/>
      <c r="AM21" s="396"/>
    </row>
    <row r="22">
      <c r="A22" s="175" t="s">
        <v>6666</v>
      </c>
      <c r="B22" s="319" t="s">
        <v>6653</v>
      </c>
      <c r="C22" s="321" t="s">
        <v>6667</v>
      </c>
      <c r="D22" s="396" t="s">
        <v>6655</v>
      </c>
      <c r="E22" s="175" t="s">
        <v>6668</v>
      </c>
      <c r="F22" s="319" t="s">
        <v>6657</v>
      </c>
      <c r="G22" s="318" t="str">
        <f>IFERROR(__xludf.DUMMYFUNCTION("GOOGLETRANSLATE(C22,""zh-tw"",""ja"")"),"肉料理を作る")</f>
        <v>肉料理を作る</v>
      </c>
      <c r="H22" s="397" t="str">
        <f>IFERROR(__xludf.DUMMYFUNCTION("GOOGLETRANSLATE(D22,""zh-tw"",""ja"")"),"妹にいたずらをすると怒る")</f>
        <v>妹にいたずらをすると怒る</v>
      </c>
      <c r="I22" s="175" t="s">
        <v>6669</v>
      </c>
      <c r="J22" s="319" t="s">
        <v>6660</v>
      </c>
      <c r="K22" s="318" t="str">
        <f>IFERROR(__xludf.DUMMYFUNCTION("GOOGLETRANSLATE(C22,""zh-tw"",""en"")"),"Making meat dishes")</f>
        <v>Making meat dishes</v>
      </c>
      <c r="L22" s="396" t="s">
        <v>6662</v>
      </c>
      <c r="M22" s="316" t="str">
        <f>IFERROR(__xludf.DUMMYFUNCTION("GOOGLETRANSLATE(A22,""zh-tw"",""zh"")"),"肉料理")</f>
        <v>肉料理</v>
      </c>
      <c r="N22" s="317" t="str">
        <f>IFERROR(__xludf.DUMMYFUNCTION("GOOGLETRANSLATE(B22,""zh-tw"",""zh"")"),"和妹妹重要的约定，必须要遵守呢")</f>
        <v>和妹妹重要的约定，必须要遵守呢</v>
      </c>
      <c r="O22" s="318" t="str">
        <f>IFERROR(__xludf.DUMMYFUNCTION("GOOGLETRANSLATE(C22,""zh-tw"",""zh"")"),"做肉料理")</f>
        <v>做肉料理</v>
      </c>
      <c r="P22" s="397" t="str">
        <f>IFERROR(__xludf.DUMMYFUNCTION("GOOGLETRANSLATE(D22,""zh-tw"",""zh"")"),"对妹妹恶作剧时生气")</f>
        <v>对妹妹恶作剧时生气</v>
      </c>
      <c r="Q22" s="150" t="str">
        <f>IFERROR(__xludf.DUMMYFUNCTION("GOOGLETRANSLATE(A22,""zh-tw"",""es-MX"")"),"Platos de carne")</f>
        <v>Platos de carne</v>
      </c>
      <c r="R22" s="164" t="str">
        <f>IFERROR(__xludf.DUMMYFUNCTION("GOOGLETRANSLATE(B22,""zh-tw"",""es-MX"")"),"Debo cumplir la importante promesa que le hice a mi hermana.")</f>
        <v>Debo cumplir la importante promesa que le hice a mi hermana.</v>
      </c>
      <c r="S22" s="320" t="str">
        <f>IFERROR(__xludf.DUMMYFUNCTION("GOOGLETRANSLATE(C22,""zh-tw"",""es-MX"")"),"Elaboración de platos de carne")</f>
        <v>Elaboración de platos de carne</v>
      </c>
      <c r="T22" s="176" t="str">
        <f>IFERROR(__xludf.DUMMYFUNCTION("GOOGLETRANSLATE(D22,""zh-tw"",""es-MX"")"),"Me enfado cuando le gasto bromas a mi hermana pequeña.")</f>
        <v>Me enfado cuando le gasto bromas a mi hermana pequeña.</v>
      </c>
      <c r="U22" s="150" t="str">
        <f>IFERROR(__xludf.DUMMYFUNCTION("GOOGLETRANSLATE(A22,""zh-tw"",""KO"")"),"고기 요리")</f>
        <v>고기 요리</v>
      </c>
      <c r="V22" s="164" t="str">
        <f>IFERROR(__xludf.DUMMYFUNCTION("GOOGLETRANSLATE(B22,""zh-tw"",""KO"")"),"나는 언니와의 중요한 약속을 지켜야 한다.")</f>
        <v>나는 언니와의 중요한 약속을 지켜야 한다.</v>
      </c>
      <c r="W22" s="320" t="str">
        <f>IFERROR(__xludf.DUMMYFUNCTION("GOOGLETRANSLATE(C22,""zh-tw"",""KO"")"),"고기 요리 만들기")</f>
        <v>고기 요리 만들기</v>
      </c>
      <c r="X22" s="176" t="str">
        <f>IFERROR(__xludf.DUMMYFUNCTION("GOOGLETRANSLATE(D22,""zh-tw"",""KO"")"),"여동생에게 장난을 치다가 화가 난다")</f>
        <v>여동생에게 장난을 치다가 화가 난다</v>
      </c>
      <c r="Y22" s="316" t="str">
        <f>IFERROR(__xludf.DUMMYFUNCTION("GOOGLETRANSLATE(A22,""zh-tw"",""RU"")"),"Мясные блюда")</f>
        <v>Мясные блюда</v>
      </c>
      <c r="Z22" s="317" t="str">
        <f>IFERROR(__xludf.DUMMYFUNCTION("GOOGLETRANSLATE(B22,""zh-tw"",""RU"")"),"Я должен сдержать важное обещание, данное моей сестре.")</f>
        <v>Я должен сдержать важное обещание, данное моей сестре.</v>
      </c>
      <c r="AA22" s="318" t="str">
        <f>IFERROR(__xludf.DUMMYFUNCTION("GOOGLETRANSLATE(C22,""zh-tw"",""RU"")"),"Приготовление мясных блюд")</f>
        <v>Приготовление мясных блюд</v>
      </c>
      <c r="AB22" s="397" t="str">
        <f>IFERROR(__xludf.DUMMYFUNCTION("GOOGLETRANSLATE(D22,""zh-tw"",""RU"")"),"Я злюсь, когда подшучиваю над своей младшей сестрой.")</f>
        <v>Я злюсь, когда подшучиваю над своей младшей сестрой.</v>
      </c>
      <c r="AC22" s="316" t="str">
        <f>IFERROR(__xludf.DUMMYFUNCTION("GOOGLETRANSLATE(A22,""zh-tw"",""DE"")"),"Fleischgerichte")</f>
        <v>Fleischgerichte</v>
      </c>
      <c r="AD22" s="317" t="str">
        <f>IFERROR(__xludf.DUMMYFUNCTION("GOOGLETRANSLATE(B22,""zh-tw"",""DE"")"),"Ich muss mein wichtiges Versprechen an meine Schwester halten.")</f>
        <v>Ich muss mein wichtiges Versprechen an meine Schwester halten.</v>
      </c>
      <c r="AE22" s="318" t="str">
        <f>IFERROR(__xludf.DUMMYFUNCTION("GOOGLETRANSLATE(C22,""zh-tw"",""DE"")"),"Fleischgerichte zubereiten")</f>
        <v>Fleischgerichte zubereiten</v>
      </c>
      <c r="AF22" s="397" t="str">
        <f>IFERROR(__xludf.DUMMYFUNCTION("GOOGLETRANSLATE(D22,""zh-tw"",""DE"")"),"Ich werde wütend, wenn ich meiner jüngeren Schwester Streiche spiele")</f>
        <v>Ich werde wütend, wenn ich meiner jüngeren Schwester Streiche spiele</v>
      </c>
      <c r="AG22" s="156" t="s">
        <v>6670</v>
      </c>
      <c r="AH22" s="166" t="s">
        <v>6664</v>
      </c>
      <c r="AI22" s="322" t="s">
        <v>6671</v>
      </c>
      <c r="AJ22" s="185" t="s">
        <v>6665</v>
      </c>
      <c r="AK22" s="396"/>
      <c r="AL22" s="396"/>
      <c r="AM22" s="396"/>
    </row>
    <row r="23">
      <c r="A23" s="175" t="s">
        <v>6672</v>
      </c>
      <c r="B23" s="319" t="s">
        <v>6673</v>
      </c>
      <c r="C23" s="321" t="s">
        <v>6674</v>
      </c>
      <c r="D23" s="396" t="s">
        <v>246</v>
      </c>
      <c r="E23" s="175" t="s">
        <v>302</v>
      </c>
      <c r="F23" s="317" t="str">
        <f>IFERROR(__xludf.DUMMYFUNCTION("GOOGLETRANSLATE(B23,""zh-tw"",""ja"")"),"...")</f>
        <v>...</v>
      </c>
      <c r="G23" s="321" t="s">
        <v>6675</v>
      </c>
      <c r="H23" s="396" t="s">
        <v>249</v>
      </c>
      <c r="I23" s="175" t="s">
        <v>6676</v>
      </c>
      <c r="J23" s="317" t="str">
        <f>IFERROR(__xludf.DUMMYFUNCTION("GOOGLETRANSLATE(B23,""zh-tw"",""en"")"),"...")</f>
        <v>...</v>
      </c>
      <c r="K23" s="321" t="s">
        <v>6677</v>
      </c>
      <c r="L23" s="396" t="s">
        <v>251</v>
      </c>
      <c r="M23" s="316" t="str">
        <f>IFERROR(__xludf.DUMMYFUNCTION("GOOGLETRANSLATE(A23,""zh-tw"",""zh"")"),"到底忘记了什么")</f>
        <v>到底忘记了什么</v>
      </c>
      <c r="N23" s="317" t="str">
        <f>IFERROR(__xludf.DUMMYFUNCTION("GOOGLETRANSLATE(B23,""zh-tw"",""zh"")"),".....")</f>
        <v>.....</v>
      </c>
      <c r="O23" s="318" t="str">
        <f>IFERROR(__xludf.DUMMYFUNCTION("GOOGLETRANSLATE(C23,""zh-tw"",""zh"")"),"感觉忘记了什么重要的事情，总有一天会想起来吧？")</f>
        <v>感觉忘记了什么重要的事情，总有一天会想起来吧？</v>
      </c>
      <c r="P23" s="397" t="str">
        <f>IFERROR(__xludf.DUMMYFUNCTION("GOOGLETRANSLATE(D23,""zh-tw"",""zh"")"),"开局选项")</f>
        <v>开局选项</v>
      </c>
      <c r="Q23" s="150" t="str">
        <f>IFERROR(__xludf.DUMMYFUNCTION("GOOGLETRANSLATE(A23,""zh-tw"",""es-MX"")"),"¿Qué es exactamente lo que has olvidado?")</f>
        <v>¿Qué es exactamente lo que has olvidado?</v>
      </c>
      <c r="R23" s="164" t="str">
        <f>IFERROR(__xludf.DUMMYFUNCTION("GOOGLETRANSLATE(B23,""zh-tw"",""es-MX"")"),"...")</f>
        <v>...</v>
      </c>
      <c r="S23" s="320" t="str">
        <f>IFERROR(__xludf.DUMMYFUNCTION("GOOGLETRANSLATE(C23,""zh-tw"",""es-MX"")"),"Tengo la sensación de haber olvidado algo importante. Algún día lo recordaré, ¿verdad?")</f>
        <v>Tengo la sensación de haber olvidado algo importante. Algún día lo recordaré, ¿verdad?</v>
      </c>
      <c r="T23" s="176" t="str">
        <f>IFERROR(__xludf.DUMMYFUNCTION("GOOGLETRANSLATE(D23,""zh-tw"",""es-MX"")"),"Opciones iniciales")</f>
        <v>Opciones iniciales</v>
      </c>
      <c r="U23" s="150" t="str">
        <f>IFERROR(__xludf.DUMMYFUNCTION("GOOGLETRANSLATE(A23,""zh-tw"",""KO"")"),"정확히 무엇을 잊으셨나요?")</f>
        <v>정확히 무엇을 잊으셨나요?</v>
      </c>
      <c r="V23" s="164" t="str">
        <f>IFERROR(__xludf.DUMMYFUNCTION("GOOGLETRANSLATE(B23,""zh-tw"",""KO"")"),"...")</f>
        <v>...</v>
      </c>
      <c r="W23" s="320" t="str">
        <f>IFERROR(__xludf.DUMMYFUNCTION("GOOGLETRANSLATE(C23,""zh-tw"",""KO"")"),"뭔가 중요한 걸 잊어버린 것 같아요. 언젠가는 생각날 거예요, 그렇죠?")</f>
        <v>뭔가 중요한 걸 잊어버린 것 같아요. 언젠가는 생각날 거예요, 그렇죠?</v>
      </c>
      <c r="X23" s="176" t="str">
        <f>IFERROR(__xludf.DUMMYFUNCTION("GOOGLETRANSLATE(D23,""zh-tw"",""KO"")"),"시작 옵션")</f>
        <v>시작 옵션</v>
      </c>
      <c r="Y23" s="316" t="str">
        <f>IFERROR(__xludf.DUMMYFUNCTION("GOOGLETRANSLATE(A23,""zh-tw"",""RU"")"),"Что именно вы забыли?")</f>
        <v>Что именно вы забыли?</v>
      </c>
      <c r="Z23" s="317" t="str">
        <f>IFERROR(__xludf.DUMMYFUNCTION("GOOGLETRANSLATE(B23,""zh-tw"",""RU"")"),"...")</f>
        <v>...</v>
      </c>
      <c r="AA23" s="318" t="str">
        <f>IFERROR(__xludf.DUMMYFUNCTION("GOOGLETRANSLATE(C23,""zh-tw"",""RU"")"),"Такое чувство, будто я забыл что-то важное. Когда-нибудь я вспомню, правда?")</f>
        <v>Такое чувство, будто я забыл что-то важное. Когда-нибудь я вспомню, правда?</v>
      </c>
      <c r="AB23" s="397" t="str">
        <f>IFERROR(__xludf.DUMMYFUNCTION("GOOGLETRANSLATE(D23,""zh-tw"",""RU"")"),"Начальные параметры")</f>
        <v>Начальные параметры</v>
      </c>
      <c r="AC23" s="316" t="str">
        <f>IFERROR(__xludf.DUMMYFUNCTION("GOOGLETRANSLATE(A23,""zh-tw"",""DE"")"),"Was genau haben Sie vergessen?")</f>
        <v>Was genau haben Sie vergessen?</v>
      </c>
      <c r="AD23" s="317" t="str">
        <f>IFERROR(__xludf.DUMMYFUNCTION("GOOGLETRANSLATE(B23,""zh-tw"",""DE"")"),"...")</f>
        <v>...</v>
      </c>
      <c r="AE23" s="318" t="str">
        <f>IFERROR(__xludf.DUMMYFUNCTION("GOOGLETRANSLATE(C23,""zh-tw"",""DE"")"),"Ich habe das Gefühl, etwas Wichtiges vergessen zu haben. Irgendwann werde ich mich schon wieder daran erinnern, oder?")</f>
        <v>Ich habe das Gefühl, etwas Wichtiges vergessen zu haben. Irgendwann werde ich mich schon wieder daran erinnern, oder?</v>
      </c>
      <c r="AF23" s="397" t="str">
        <f>IFERROR(__xludf.DUMMYFUNCTION("GOOGLETRANSLATE(D23,""zh-tw"",""DE"")"),"Startoptionen")</f>
        <v>Startoptionen</v>
      </c>
      <c r="AG23" s="156" t="s">
        <v>6678</v>
      </c>
      <c r="AH23" s="166" t="s">
        <v>6679</v>
      </c>
      <c r="AI23" s="322" t="s">
        <v>6680</v>
      </c>
      <c r="AJ23" s="185" t="s">
        <v>266</v>
      </c>
      <c r="AK23" s="396"/>
      <c r="AL23" s="396"/>
      <c r="AM23" s="396"/>
    </row>
    <row r="24">
      <c r="A24" s="175" t="s">
        <v>6681</v>
      </c>
      <c r="B24" s="319" t="s">
        <v>6682</v>
      </c>
      <c r="C24" s="321" t="s">
        <v>6683</v>
      </c>
      <c r="D24" s="396" t="s">
        <v>4479</v>
      </c>
      <c r="E24" s="175" t="s">
        <v>6684</v>
      </c>
      <c r="F24" s="319" t="s">
        <v>6685</v>
      </c>
      <c r="G24" s="318" t="str">
        <f>IFERROR(__xludf.DUMMYFUNCTION("GOOGLETRANSLATE(C24,""zh-tw"",""ja"")"),"彼の体は常に悪臭を放っていた")</f>
        <v>彼の体は常に悪臭を放っていた</v>
      </c>
      <c r="H24" s="396" t="s">
        <v>4481</v>
      </c>
      <c r="I24" s="175" t="s">
        <v>6686</v>
      </c>
      <c r="J24" s="319" t="s">
        <v>6687</v>
      </c>
      <c r="K24" s="321" t="s">
        <v>6688</v>
      </c>
      <c r="L24" s="396" t="s">
        <v>4482</v>
      </c>
      <c r="M24" s="316" t="str">
        <f>IFERROR(__xludf.DUMMYFUNCTION("GOOGLETRANSLATE(A24,""zh-tw"",""zh"")"),"浑身恶臭")</f>
        <v>浑身恶臭</v>
      </c>
      <c r="N24" s="317" t="str">
        <f>IFERROR(__xludf.DUMMYFUNCTION("GOOGLETRANSLATE(B24,""zh-tw"",""zh"")"),"浑身恶臭。")</f>
        <v>浑身恶臭。</v>
      </c>
      <c r="O24" s="318" t="str">
        <f>IFERROR(__xludf.DUMMYFUNCTION("GOOGLETRANSLATE(C24,""zh-tw"",""zh"")"),"身上不断散发着恶臭")</f>
        <v>身上不断散发着恶臭</v>
      </c>
      <c r="P24" s="397" t="str">
        <f>IFERROR(__xludf.DUMMYFUNCTION("GOOGLETRANSLATE(D24,""zh-tw"",""zh"")"),"臭鱼骨")</f>
        <v>臭鱼骨</v>
      </c>
      <c r="Q24" s="150" t="str">
        <f>IFERROR(__xludf.DUMMYFUNCTION("GOOGLETRANSLATE(A24,""zh-tw"",""es-MX"")"),"Todo su cuerpo olía asqueroso.")</f>
        <v>Todo su cuerpo olía asqueroso.</v>
      </c>
      <c r="R24" s="164" t="str">
        <f>IFERROR(__xludf.DUMMYFUNCTION("GOOGLETRANSLATE(B24,""zh-tw"",""es-MX"")"),"Olía fatal.")</f>
        <v>Olía fatal.</v>
      </c>
      <c r="S24" s="320" t="str">
        <f>IFERROR(__xludf.DUMMYFUNCTION("GOOGLETRANSLATE(C24,""zh-tw"",""es-MX"")"),"Su cuerpo desprendía constantemente un hedor nauseabundo.")</f>
        <v>Su cuerpo desprendía constantemente un hedor nauseabundo.</v>
      </c>
      <c r="T24" s="176" t="str">
        <f>IFERROR(__xludf.DUMMYFUNCTION("GOOGLETRANSLATE(D24,""zh-tw"",""es-MX"")"),"Huesas de pescado apestosas")</f>
        <v>Huesas de pescado apestosas</v>
      </c>
      <c r="U24" s="150" t="str">
        <f>IFERROR(__xludf.DUMMYFUNCTION("GOOGLETRANSLATE(A24,""zh-tw"",""KO"")"),"온몸이 역겨운 냄새가 났다")</f>
        <v>온몸이 역겨운 냄새가 났다</v>
      </c>
      <c r="V24" s="164" t="str">
        <f>IFERROR(__xludf.DUMMYFUNCTION("GOOGLETRANSLATE(B24,""zh-tw"",""KO"")"),"그는 끔찍한 냄새를 풍겼다.")</f>
        <v>그는 끔찍한 냄새를 풍겼다.</v>
      </c>
      <c r="W24" s="320" t="str">
        <f>IFERROR(__xludf.DUMMYFUNCTION("GOOGLETRANSLATE(C24,""zh-tw"",""KO"")"),"그의 몸은 끊임없이 악취를 풍겼다")</f>
        <v>그의 몸은 끊임없이 악취를 풍겼다</v>
      </c>
      <c r="X24" s="176" t="str">
        <f>IFERROR(__xludf.DUMMYFUNCTION("GOOGLETRANSLATE(D24,""zh-tw"",""KO"")"),"냄새나는 생선 뼈")</f>
        <v>냄새나는 생선 뼈</v>
      </c>
      <c r="Y24" s="316" t="str">
        <f>IFERROR(__xludf.DUMMYFUNCTION("GOOGLETRANSLATE(A24,""zh-tw"",""RU"")"),"Все тело пахло отвратительно.")</f>
        <v>Все тело пахло отвратительно.</v>
      </c>
      <c r="Z24" s="317" t="str">
        <f>IFERROR(__xludf.DUMMYFUNCTION("GOOGLETRANSLATE(B24,""zh-tw"",""RU"")"),"От него ужасно пахло.")</f>
        <v>От него ужасно пахло.</v>
      </c>
      <c r="AA24" s="318" t="str">
        <f>IFERROR(__xludf.DUMMYFUNCTION("GOOGLETRANSLATE(C24,""zh-tw"",""RU"")"),"Его тело постоянно издавало неприятный запах.")</f>
        <v>Его тело постоянно издавало неприятный запах.</v>
      </c>
      <c r="AB24" s="397" t="str">
        <f>IFERROR(__xludf.DUMMYFUNCTION("GOOGLETRANSLATE(D24,""zh-tw"",""RU"")"),"Вонючие рыбьи кости")</f>
        <v>Вонючие рыбьи кости</v>
      </c>
      <c r="AC24" s="316" t="str">
        <f>IFERROR(__xludf.DUMMYFUNCTION("GOOGLETRANSLATE(A24,""zh-tw"",""DE"")"),"Der ganze Körper roch widerlich.")</f>
        <v>Der ganze Körper roch widerlich.</v>
      </c>
      <c r="AD24" s="317" t="str">
        <f>IFERROR(__xludf.DUMMYFUNCTION("GOOGLETRANSLATE(B24,""zh-tw"",""DE"")"),"Er roch abscheulich.")</f>
        <v>Er roch abscheulich.</v>
      </c>
      <c r="AE24" s="318" t="str">
        <f>IFERROR(__xludf.DUMMYFUNCTION("GOOGLETRANSLATE(C24,""zh-tw"",""DE"")"),"Sein Körper verströmte unaufhörlich einen widerlichen Gestank.")</f>
        <v>Sein Körper verströmte unaufhörlich einen widerlichen Gestank.</v>
      </c>
      <c r="AF24" s="397" t="str">
        <f>IFERROR(__xludf.DUMMYFUNCTION("GOOGLETRANSLATE(D24,""zh-tw"",""DE"")"),"Stinkende Fischgräten")</f>
        <v>Stinkende Fischgräten</v>
      </c>
      <c r="AG24" s="156" t="s">
        <v>6689</v>
      </c>
      <c r="AH24" s="166" t="s">
        <v>6690</v>
      </c>
      <c r="AI24" s="322" t="s">
        <v>6691</v>
      </c>
      <c r="AJ24" s="185" t="s">
        <v>4487</v>
      </c>
      <c r="AK24" s="396"/>
      <c r="AL24" s="396"/>
      <c r="AM24" s="396"/>
    </row>
    <row r="25">
      <c r="A25" s="175" t="s">
        <v>6692</v>
      </c>
      <c r="B25" s="319" t="s">
        <v>6693</v>
      </c>
      <c r="C25" s="321" t="s">
        <v>6694</v>
      </c>
      <c r="D25" s="396" t="s">
        <v>6695</v>
      </c>
      <c r="E25" s="316" t="str">
        <f>IFERROR(__xludf.DUMMYFUNCTION("GOOGLETRANSLATE(A25,""zh-tw"",""ja"")"),"美味しい")</f>
        <v>美味しい</v>
      </c>
      <c r="F25" s="317" t="str">
        <f>IFERROR(__xludf.DUMMYFUNCTION("GOOGLETRANSLATE(B25,""zh-tw"",""ja"")"),"美味しいものを食べてお腹の中が温かくなりました。")</f>
        <v>美味しいものを食べてお腹の中が温かくなりました。</v>
      </c>
      <c r="G25" s="318" t="str">
        <f>IFERROR(__xludf.DUMMYFUNCTION("GOOGLETRANSLATE(C25,""zh-tw"",""ja"")"),"スタミナは1秒ごとに少しずつ回復します")</f>
        <v>スタミナは1秒ごとに少しずつ回復します</v>
      </c>
      <c r="H25" s="397" t="str">
        <f>IFERROR(__xludf.DUMMYFUNCTION("GOOGLETRANSLATE(D25,""zh-tw"",""ja"")"),"美味しい料理")</f>
        <v>美味しい料理</v>
      </c>
      <c r="I25" s="175" t="s">
        <v>6696</v>
      </c>
      <c r="J25" s="319" t="s">
        <v>6697</v>
      </c>
      <c r="K25" s="321" t="s">
        <v>6698</v>
      </c>
      <c r="L25" s="396" t="s">
        <v>6699</v>
      </c>
      <c r="M25" s="316" t="str">
        <f>IFERROR(__xludf.DUMMYFUNCTION("GOOGLETRANSLATE(A25,""zh-tw"",""zh"")"),"美味い")</f>
        <v>美味い</v>
      </c>
      <c r="N25" s="317" t="str">
        <f>IFERROR(__xludf.DUMMYFUNCTION("GOOGLETRANSLATE(B25,""zh-tw"",""zh"")"),"吃到了美味的东西，肚子里暖暖的~")</f>
        <v>吃到了美味的东西，肚子里暖暖的~</v>
      </c>
      <c r="O25" s="318" t="str">
        <f>IFERROR(__xludf.DUMMYFUNCTION("GOOGLETRANSLATE(C25,""zh-tw"",""zh"")"),"每秒体力少量回复")</f>
        <v>每秒体力少量回复</v>
      </c>
      <c r="P25" s="397" t="str">
        <f>IFERROR(__xludf.DUMMYFUNCTION("GOOGLETRANSLATE(D25,""zh-tw"",""zh"")"),"美味料理")</f>
        <v>美味料理</v>
      </c>
      <c r="Q25" s="150" t="str">
        <f>IFERROR(__xludf.DUMMYFUNCTION("GOOGLETRANSLATE(A25,""zh-tw"",""es-MX"")"),"Delicioso")</f>
        <v>Delicioso</v>
      </c>
      <c r="R25" s="164" t="str">
        <f>IFERROR(__xludf.DUMMYFUNCTION("GOOGLETRANSLATE(B25,""zh-tw"",""es-MX"")"),"Comí algo delicioso y siento calor en el estómago.")</f>
        <v>Comí algo delicioso y siento calor en el estómago.</v>
      </c>
      <c r="S25" s="320" t="str">
        <f>IFERROR(__xludf.DUMMYFUNCTION("GOOGLETRANSLATE(C25,""zh-tw"",""es-MX"")"),"La resistencia se recupera una pequeña cantidad por segundo.")</f>
        <v>La resistencia se recupera una pequeña cantidad por segundo.</v>
      </c>
      <c r="T25" s="176" t="str">
        <f>IFERROR(__xludf.DUMMYFUNCTION("GOOGLETRANSLATE(D25,""zh-tw"",""es-MX"")"),"Deliciosa cocina")</f>
        <v>Deliciosa cocina</v>
      </c>
      <c r="U25" s="150" t="str">
        <f>IFERROR(__xludf.DUMMYFUNCTION("GOOGLETRANSLATE(A25,""zh-tw"",""KO"")"),"맛있는")</f>
        <v>맛있는</v>
      </c>
      <c r="V25" s="164" t="str">
        <f>IFERROR(__xludf.DUMMYFUNCTION("GOOGLETRANSLATE(B25,""zh-tw"",""KO"")"),"맛있는 것을 먹었는데, 배가 따뜻해지는 느낌이 들어요.")</f>
        <v>맛있는 것을 먹었는데, 배가 따뜻해지는 느낌이 들어요.</v>
      </c>
      <c r="W25" s="320" t="str">
        <f>IFERROR(__xludf.DUMMYFUNCTION("GOOGLETRANSLATE(C25,""zh-tw"",""KO"")"),"체력은 초당 소량 회복됩니다.")</f>
        <v>체력은 초당 소량 회복됩니다.</v>
      </c>
      <c r="X25" s="176" t="str">
        <f>IFERROR(__xludf.DUMMYFUNCTION("GOOGLETRANSLATE(D25,""zh-tw"",""KO"")"),"맛있는 요리")</f>
        <v>맛있는 요리</v>
      </c>
      <c r="Y25" s="316" t="str">
        <f>IFERROR(__xludf.DUMMYFUNCTION("GOOGLETRANSLATE(A25,""zh-tw"",""RU"")"),"Вкусный")</f>
        <v>Вкусный</v>
      </c>
      <c r="Z25" s="317" t="str">
        <f>IFERROR(__xludf.DUMMYFUNCTION("GOOGLETRANSLATE(B25,""zh-tw"",""RU"")"),"Я съел что-то вкусное, и у меня внутри разлилось тепло.")</f>
        <v>Я съел что-то вкусное, и у меня внутри разлилось тепло.</v>
      </c>
      <c r="AA25" s="318" t="str">
        <f>IFERROR(__xludf.DUMMYFUNCTION("GOOGLETRANSLATE(C25,""zh-tw"",""RU"")"),"Выносливость восстанавливается на небольшое количество в секунду.")</f>
        <v>Выносливость восстанавливается на небольшое количество в секунду.</v>
      </c>
      <c r="AB25" s="397" t="str">
        <f>IFERROR(__xludf.DUMMYFUNCTION("GOOGLETRANSLATE(D25,""zh-tw"",""RU"")"),"Вкусная кухня")</f>
        <v>Вкусная кухня</v>
      </c>
      <c r="AC25" s="316" t="str">
        <f>IFERROR(__xludf.DUMMYFUNCTION("GOOGLETRANSLATE(A25,""zh-tw"",""DE"")"),"Lecker")</f>
        <v>Lecker</v>
      </c>
      <c r="AD25" s="317" t="str">
        <f>IFERROR(__xludf.DUMMYFUNCTION("GOOGLETRANSLATE(B25,""zh-tw"",""DE"")"),"Ich habe etwas Leckeres gegessen, und mein Magen fühlt sich warm an.")</f>
        <v>Ich habe etwas Leckeres gegessen, und mein Magen fühlt sich warm an.</v>
      </c>
      <c r="AE25" s="318" t="str">
        <f>IFERROR(__xludf.DUMMYFUNCTION("GOOGLETRANSLATE(C25,""zh-tw"",""DE"")"),"Die Ausdauer regeneriert sich pro Sekunde nur geringfügig.")</f>
        <v>Die Ausdauer regeneriert sich pro Sekunde nur geringfügig.</v>
      </c>
      <c r="AF25" s="397" t="str">
        <f>IFERROR(__xludf.DUMMYFUNCTION("GOOGLETRANSLATE(D25,""zh-tw"",""DE"")"),"Köstliche Küche")</f>
        <v>Köstliche Küche</v>
      </c>
      <c r="AG25" s="156" t="s">
        <v>6700</v>
      </c>
      <c r="AH25" s="166" t="s">
        <v>6701</v>
      </c>
      <c r="AI25" s="322" t="s">
        <v>6702</v>
      </c>
      <c r="AJ25" s="185" t="s">
        <v>6703</v>
      </c>
      <c r="AK25" s="396"/>
      <c r="AL25" s="396"/>
      <c r="AM25" s="396"/>
    </row>
    <row r="26">
      <c r="A26" s="175" t="s">
        <v>6704</v>
      </c>
      <c r="B26" s="319" t="s">
        <v>6705</v>
      </c>
      <c r="C26" s="321" t="s">
        <v>6706</v>
      </c>
      <c r="D26" s="396" t="s">
        <v>6707</v>
      </c>
      <c r="E26" s="175" t="s">
        <v>6708</v>
      </c>
      <c r="F26" s="319" t="s">
        <v>6709</v>
      </c>
      <c r="G26" s="318" t="str">
        <f>IFERROR(__xludf.DUMMYFUNCTION("GOOGLETRANSLATE(C26,""zh-tw"",""ja"")"),"攻撃力+50%")</f>
        <v>攻撃力+50%</v>
      </c>
      <c r="H26" s="397" t="str">
        <f>IFERROR(__xludf.DUMMYFUNCTION("GOOGLETRANSLATE(D26,""zh-tw"",""ja"")"),"食べ物")</f>
        <v>食べ物</v>
      </c>
      <c r="I26" s="175" t="s">
        <v>6710</v>
      </c>
      <c r="J26" s="319" t="s">
        <v>6711</v>
      </c>
      <c r="K26" s="321" t="s">
        <v>6712</v>
      </c>
      <c r="L26" s="396" t="s">
        <v>6713</v>
      </c>
      <c r="M26" s="316" t="str">
        <f>IFERROR(__xludf.DUMMYFUNCTION("GOOGLETRANSLATE(A26,""zh-tw"",""zh"")"),"力量提升")</f>
        <v>力量提升</v>
      </c>
      <c r="N26" s="317" t="str">
        <f>IFERROR(__xludf.DUMMYFUNCTION("GOOGLETRANSLATE(B26,""zh-tw"",""zh"")"),"力量……涌上来了！")</f>
        <v>力量……涌上来了！</v>
      </c>
      <c r="O26" s="318" t="str">
        <f>IFERROR(__xludf.DUMMYFUNCTION("GOOGLETRANSLATE(C26,""zh-tw"",""zh"")"),"攻击力+50%")</f>
        <v>攻击力+50%</v>
      </c>
      <c r="P26" s="397" t="str">
        <f>IFERROR(__xludf.DUMMYFUNCTION("GOOGLETRANSLATE(D26,""zh-tw"",""zh"")"),"食物")</f>
        <v>食物</v>
      </c>
      <c r="Q26" s="150" t="str">
        <f>IFERROR(__xludf.DUMMYFUNCTION("GOOGLETRANSLATE(A26,""zh-tw"",""es-MX"")"),"Mejora de la fuerza")</f>
        <v>Mejora de la fuerza</v>
      </c>
      <c r="R26" s="164" t="str">
        <f>IFERROR(__xludf.DUMMYFUNCTION("GOOGLETRANSLATE(B26,""zh-tw"",""es-MX"")"),"¡La energía... aumentó repentinamente!")</f>
        <v>¡La energía... aumentó repentinamente!</v>
      </c>
      <c r="S26" s="320" t="str">
        <f>IFERROR(__xludf.DUMMYFUNCTION("GOOGLETRANSLATE(C26,""zh-tw"",""es-MX"")"),"Poder de ataque +50%")</f>
        <v>Poder de ataque +50%</v>
      </c>
      <c r="T26" s="176" t="str">
        <f>IFERROR(__xludf.DUMMYFUNCTION("GOOGLETRANSLATE(D26,""zh-tw"",""es-MX"")"),"alimento")</f>
        <v>alimento</v>
      </c>
      <c r="U26" s="150" t="str">
        <f>IFERROR(__xludf.DUMMYFUNCTION("GOOGLETRANSLATE(A26,""zh-tw"",""KO"")"),"근력 강화")</f>
        <v>근력 강화</v>
      </c>
      <c r="V26" s="164" t="str">
        <f>IFERROR(__xludf.DUMMYFUNCTION("GOOGLETRANSLATE(B26,""zh-tw"",""KO"")"),"힘이... 솟구쳐 올랐다!")</f>
        <v>힘이... 솟구쳐 올랐다!</v>
      </c>
      <c r="W26" s="320" t="str">
        <f>IFERROR(__xludf.DUMMYFUNCTION("GOOGLETRANSLATE(C26,""zh-tw"",""KO"")"),"공격력 +50%")</f>
        <v>공격력 +50%</v>
      </c>
      <c r="X26" s="176" t="str">
        <f>IFERROR(__xludf.DUMMYFUNCTION("GOOGLETRANSLATE(D26,""zh-tw"",""KO"")"),"음식")</f>
        <v>음식</v>
      </c>
      <c r="Y26" s="316" t="str">
        <f>IFERROR(__xludf.DUMMYFUNCTION("GOOGLETRANSLATE(A26,""zh-tw"",""RU"")"),"Увеличение силы")</f>
        <v>Увеличение силы</v>
      </c>
      <c r="Z26" s="317" t="str">
        <f>IFERROR(__xludf.DUMMYFUNCTION("GOOGLETRANSLATE(B26,""zh-tw"",""RU"")"),"Сила... возросла!")</f>
        <v>Сила... возросла!</v>
      </c>
      <c r="AA26" s="318" t="str">
        <f>IFERROR(__xludf.DUMMYFUNCTION("GOOGLETRANSLATE(C26,""zh-tw"",""RU"")"),"Сила атаки +50%")</f>
        <v>Сила атаки +50%</v>
      </c>
      <c r="AB26" s="397" t="str">
        <f>IFERROR(__xludf.DUMMYFUNCTION("GOOGLETRANSLATE(D26,""zh-tw"",""RU"")"),"еда")</f>
        <v>еда</v>
      </c>
      <c r="AC26" s="316" t="str">
        <f>IFERROR(__xludf.DUMMYFUNCTION("GOOGLETRANSLATE(A26,""zh-tw"",""DE"")"),"Kraftsteigerung")</f>
        <v>Kraftsteigerung</v>
      </c>
      <c r="AD26" s="317" t="str">
        <f>IFERROR(__xludf.DUMMYFUNCTION("GOOGLETRANSLATE(B26,""zh-tw"",""DE"")"),"Die Leistung... stieg sprunghaft an!")</f>
        <v>Die Leistung... stieg sprunghaft an!</v>
      </c>
      <c r="AE26" s="318" t="str">
        <f>IFERROR(__xludf.DUMMYFUNCTION("GOOGLETRANSLATE(C26,""zh-tw"",""DE"")"),"Angriffskraft +50%")</f>
        <v>Angriffskraft +50%</v>
      </c>
      <c r="AF26" s="397" t="str">
        <f>IFERROR(__xludf.DUMMYFUNCTION("GOOGLETRANSLATE(D26,""zh-tw"",""DE"")"),"Essen")</f>
        <v>Essen</v>
      </c>
      <c r="AG26" s="156" t="s">
        <v>6714</v>
      </c>
      <c r="AH26" s="166" t="s">
        <v>6715</v>
      </c>
      <c r="AI26" s="322" t="s">
        <v>6716</v>
      </c>
      <c r="AJ26" s="185" t="s">
        <v>6717</v>
      </c>
      <c r="AK26" s="396"/>
      <c r="AL26" s="396"/>
      <c r="AM26" s="396"/>
    </row>
    <row r="27">
      <c r="A27" s="175" t="s">
        <v>6718</v>
      </c>
      <c r="B27" s="319" t="s">
        <v>6719</v>
      </c>
      <c r="C27" s="321" t="s">
        <v>6720</v>
      </c>
      <c r="D27" s="396" t="s">
        <v>6707</v>
      </c>
      <c r="E27" s="175" t="s">
        <v>6721</v>
      </c>
      <c r="F27" s="319" t="s">
        <v>6722</v>
      </c>
      <c r="G27" s="318" t="str">
        <f>IFERROR(__xludf.DUMMYFUNCTION("GOOGLETRANSLATE(C27,""zh-tw"",""ja"")"),"魔法力+50%")</f>
        <v>魔法力+50%</v>
      </c>
      <c r="H27" s="397" t="str">
        <f>IFERROR(__xludf.DUMMYFUNCTION("GOOGLETRANSLATE(D27,""zh-tw"",""ja"")"),"食べ物")</f>
        <v>食べ物</v>
      </c>
      <c r="I27" s="175" t="s">
        <v>6723</v>
      </c>
      <c r="J27" s="319" t="s">
        <v>6724</v>
      </c>
      <c r="K27" s="321" t="s">
        <v>6725</v>
      </c>
      <c r="L27" s="396" t="s">
        <v>6713</v>
      </c>
      <c r="M27" s="316" t="str">
        <f>IFERROR(__xludf.DUMMYFUNCTION("GOOGLETRANSLATE(A27,""zh-tw"",""zh"")"),"魔力提升")</f>
        <v>魔力提升</v>
      </c>
      <c r="N27" s="317" t="str">
        <f>IFERROR(__xludf.DUMMYFUNCTION("GOOGLETRANSLATE(B27,""zh-tw"",""zh"")"),"我逐渐理解一切。")</f>
        <v>我逐渐理解一切。</v>
      </c>
      <c r="O27" s="318" t="str">
        <f>IFERROR(__xludf.DUMMYFUNCTION("GOOGLETRANSLATE(C27,""zh-tw"",""zh"")"),"魔功力+50%")</f>
        <v>魔功力+50%</v>
      </c>
      <c r="P27" s="397" t="str">
        <f>IFERROR(__xludf.DUMMYFUNCTION("GOOGLETRANSLATE(D27,""zh-tw"",""zh"")"),"食物")</f>
        <v>食物</v>
      </c>
      <c r="Q27" s="150" t="str">
        <f>IFERROR(__xludf.DUMMYFUNCTION("GOOGLETRANSLATE(A27,""zh-tw"",""es-MX"")"),"Mejora mágica")</f>
        <v>Mejora mágica</v>
      </c>
      <c r="R27" s="164" t="str">
        <f>IFERROR(__xludf.DUMMYFUNCTION("GOOGLETRANSLATE(B27,""zh-tw"",""es-MX"")"),"Poco a poco fui comprendiendo todo.")</f>
        <v>Poco a poco fui comprendiendo todo.</v>
      </c>
      <c r="S27" s="320" t="str">
        <f>IFERROR(__xludf.DUMMYFUNCTION("GOOGLETRANSLATE(C27,""zh-tw"",""es-MX"")"),"Poder mágico +50%")</f>
        <v>Poder mágico +50%</v>
      </c>
      <c r="T27" s="176" t="str">
        <f>IFERROR(__xludf.DUMMYFUNCTION("GOOGLETRANSLATE(D27,""zh-tw"",""es-MX"")"),"alimento")</f>
        <v>alimento</v>
      </c>
      <c r="U27" s="150" t="str">
        <f>IFERROR(__xludf.DUMMYFUNCTION("GOOGLETRANSLATE(A27,""zh-tw"",""KO"")"),"마법 강화")</f>
        <v>마법 강화</v>
      </c>
      <c r="V27" s="164" t="str">
        <f>IFERROR(__xludf.DUMMYFUNCTION("GOOGLETRANSLATE(B27,""zh-tw"",""KO"")"),"나는 점차 모든 것을 이해하게 되었습니다.")</f>
        <v>나는 점차 모든 것을 이해하게 되었습니다.</v>
      </c>
      <c r="W27" s="320" t="str">
        <f>IFERROR(__xludf.DUMMYFUNCTION("GOOGLETRANSLATE(C27,""zh-tw"",""KO"")"),"마법력 +50%")</f>
        <v>마법력 +50%</v>
      </c>
      <c r="X27" s="176" t="str">
        <f>IFERROR(__xludf.DUMMYFUNCTION("GOOGLETRANSLATE(D27,""zh-tw"",""KO"")"),"음식")</f>
        <v>음식</v>
      </c>
      <c r="Y27" s="316" t="str">
        <f>IFERROR(__xludf.DUMMYFUNCTION("GOOGLETRANSLATE(A27,""zh-tw"",""RU"")"),"Улучшение магии")</f>
        <v>Улучшение магии</v>
      </c>
      <c r="Z27" s="317" t="str">
        <f>IFERROR(__xludf.DUMMYFUNCTION("GOOGLETRANSLATE(B27,""zh-tw"",""RU"")"),"Постепенно я все понял.")</f>
        <v>Постепенно я все понял.</v>
      </c>
      <c r="AA27" s="318" t="str">
        <f>IFERROR(__xludf.DUMMYFUNCTION("GOOGLETRANSLATE(C27,""zh-tw"",""RU"")"),"Магическая сила +50%")</f>
        <v>Магическая сила +50%</v>
      </c>
      <c r="AB27" s="397" t="str">
        <f>IFERROR(__xludf.DUMMYFUNCTION("GOOGLETRANSLATE(D27,""zh-tw"",""RU"")"),"еда")</f>
        <v>еда</v>
      </c>
      <c r="AC27" s="316" t="str">
        <f>IFERROR(__xludf.DUMMYFUNCTION("GOOGLETRANSLATE(A27,""zh-tw"",""DE"")"),"Magische Verstärkung")</f>
        <v>Magische Verstärkung</v>
      </c>
      <c r="AD27" s="317" t="str">
        <f>IFERROR(__xludf.DUMMYFUNCTION("GOOGLETRANSLATE(B27,""zh-tw"",""DE"")"),"Nach und nach verstand ich alles.")</f>
        <v>Nach und nach verstand ich alles.</v>
      </c>
      <c r="AE27" s="318" t="str">
        <f>IFERROR(__xludf.DUMMYFUNCTION("GOOGLETRANSLATE(C27,""zh-tw"",""DE"")"),"Magische Kraft +50%")</f>
        <v>Magische Kraft +50%</v>
      </c>
      <c r="AF27" s="397" t="str">
        <f>IFERROR(__xludf.DUMMYFUNCTION("GOOGLETRANSLATE(D27,""zh-tw"",""DE"")"),"Essen")</f>
        <v>Essen</v>
      </c>
      <c r="AG27" s="156" t="s">
        <v>6726</v>
      </c>
      <c r="AH27" s="166" t="s">
        <v>6727</v>
      </c>
      <c r="AI27" s="322" t="s">
        <v>6728</v>
      </c>
      <c r="AJ27" s="185" t="s">
        <v>6717</v>
      </c>
      <c r="AK27" s="396"/>
      <c r="AL27" s="396"/>
      <c r="AM27" s="396"/>
    </row>
    <row r="28">
      <c r="A28" s="175" t="s">
        <v>6729</v>
      </c>
      <c r="B28" s="319" t="s">
        <v>6730</v>
      </c>
      <c r="C28" s="321" t="s">
        <v>6731</v>
      </c>
      <c r="D28" s="396" t="s">
        <v>6707</v>
      </c>
      <c r="E28" s="316" t="str">
        <f>IFERROR(__xludf.DUMMYFUNCTION("GOOGLETRANSLATE(A28,""zh-tw"",""ja"")"),"速度増加")</f>
        <v>速度増加</v>
      </c>
      <c r="F28" s="317" t="str">
        <f>IFERROR(__xludf.DUMMYFUNCTION("GOOGLETRANSLATE(B28,""zh-tw"",""ja"")"),"ついていけるかな…？私のスピード！")</f>
        <v>ついていけるかな…？私のスピード！</v>
      </c>
      <c r="G28" s="318" t="str">
        <f>IFERROR(__xludf.DUMMYFUNCTION("GOOGLETRANSLATE(C28,""zh-tw"",""ja"")"),"移動速度の向上")</f>
        <v>移動速度の向上</v>
      </c>
      <c r="H28" s="397" t="str">
        <f>IFERROR(__xludf.DUMMYFUNCTION("GOOGLETRANSLATE(D28,""zh-tw"",""ja"")"),"食べ物")</f>
        <v>食べ物</v>
      </c>
      <c r="I28" s="175" t="s">
        <v>6732</v>
      </c>
      <c r="J28" s="319" t="s">
        <v>6733</v>
      </c>
      <c r="K28" s="321" t="s">
        <v>6734</v>
      </c>
      <c r="L28" s="396" t="s">
        <v>6713</v>
      </c>
      <c r="M28" s="316" t="str">
        <f>IFERROR(__xludf.DUMMYFUNCTION("GOOGLETRANSLATE(A28,""zh-tw"",""zh"")"),"速度提升")</f>
        <v>速度提升</v>
      </c>
      <c r="N28" s="317" t="str">
        <f>IFERROR(__xludf.DUMMYFUNCTION("GOOGLETRANSLATE(B28,""zh-tw"",""zh"")"),"跟得上吗……我的SPEED！")</f>
        <v>跟得上吗……我的SPEED！</v>
      </c>
      <c r="O28" s="318" t="str">
        <f>IFERROR(__xludf.DUMMYFUNCTION("GOOGLETRANSLATE(C28,""zh-tw"",""zh"")"),"移动速度上升")</f>
        <v>移动速度上升</v>
      </c>
      <c r="P28" s="397" t="str">
        <f>IFERROR(__xludf.DUMMYFUNCTION("GOOGLETRANSLATE(D28,""zh-tw"",""zh"")"),"食物")</f>
        <v>食物</v>
      </c>
      <c r="Q28" s="150" t="str">
        <f>IFERROR(__xludf.DUMMYFUNCTION("GOOGLETRANSLATE(A28,""zh-tw"",""es-MX"")"),"aumento de velocidad")</f>
        <v>aumento de velocidad</v>
      </c>
      <c r="R28" s="164" t="str">
        <f>IFERROR(__xludf.DUMMYFUNCTION("GOOGLETRANSLATE(B28,""zh-tw"",""es-MX"")"),"¿Podré seguirte el ritmo...? ¡Mi velocidad!")</f>
        <v>¿Podré seguirte el ritmo...? ¡Mi velocidad!</v>
      </c>
      <c r="S28" s="320" t="str">
        <f>IFERROR(__xludf.DUMMYFUNCTION("GOOGLETRANSLATE(C28,""zh-tw"",""es-MX"")"),"Mayor velocidad de movimiento")</f>
        <v>Mayor velocidad de movimiento</v>
      </c>
      <c r="T28" s="176" t="str">
        <f>IFERROR(__xludf.DUMMYFUNCTION("GOOGLETRANSLATE(D28,""zh-tw"",""es-MX"")"),"alimento")</f>
        <v>alimento</v>
      </c>
      <c r="U28" s="150" t="str">
        <f>IFERROR(__xludf.DUMMYFUNCTION("GOOGLETRANSLATE(A28,""zh-tw"",""KO"")"),"속도 증가")</f>
        <v>속도 증가</v>
      </c>
      <c r="V28" s="164" t="str">
        <f>IFERROR(__xludf.DUMMYFUNCTION("GOOGLETRANSLATE(B28,""zh-tw"",""KO"")"),"따라잡을 수 있을까...? 내 속도!")</f>
        <v>따라잡을 수 있을까...? 내 속도!</v>
      </c>
      <c r="W28" s="320" t="str">
        <f>IFERROR(__xludf.DUMMYFUNCTION("GOOGLETRANSLATE(C28,""zh-tw"",""KO"")"),"이동 속도 증가")</f>
        <v>이동 속도 증가</v>
      </c>
      <c r="X28" s="176" t="str">
        <f>IFERROR(__xludf.DUMMYFUNCTION("GOOGLETRANSLATE(D28,""zh-tw"",""KO"")"),"음식")</f>
        <v>음식</v>
      </c>
      <c r="Y28" s="316" t="str">
        <f>IFERROR(__xludf.DUMMYFUNCTION("GOOGLETRANSLATE(A28,""zh-tw"",""RU"")"),"Увеличение скорости")</f>
        <v>Увеличение скорости</v>
      </c>
      <c r="Z28" s="317" t="str">
        <f>IFERROR(__xludf.DUMMYFUNCTION("GOOGLETRANSLATE(B28,""zh-tw"",""RU"")"),"Смогу ли я угнаться...? Моя скорость!")</f>
        <v>Смогу ли я угнаться...? Моя скорость!</v>
      </c>
      <c r="AA28" s="318" t="str">
        <f>IFERROR(__xludf.DUMMYFUNCTION("GOOGLETRANSLATE(C28,""zh-tw"",""RU"")"),"Увеличенная скорость передвижения")</f>
        <v>Увеличенная скорость передвижения</v>
      </c>
      <c r="AB28" s="397" t="str">
        <f>IFERROR(__xludf.DUMMYFUNCTION("GOOGLETRANSLATE(D28,""zh-tw"",""RU"")"),"еда")</f>
        <v>еда</v>
      </c>
      <c r="AC28" s="316" t="str">
        <f>IFERROR(__xludf.DUMMYFUNCTION("GOOGLETRANSLATE(A28,""zh-tw"",""DE"")"),"Geschwindigkeitserhöhung")</f>
        <v>Geschwindigkeitserhöhung</v>
      </c>
      <c r="AD28" s="317" t="str">
        <f>IFERROR(__xludf.DUMMYFUNCTION("GOOGLETRANSLATE(B28,""zh-tw"",""DE"")"),"Kann ich mithalten...? Meine Geschwindigkeit!")</f>
        <v>Kann ich mithalten...? Meine Geschwindigkeit!</v>
      </c>
      <c r="AE28" s="318" t="str">
        <f>IFERROR(__xludf.DUMMYFUNCTION("GOOGLETRANSLATE(C28,""zh-tw"",""DE"")"),"Erhöhte Bewegungsgeschwindigkeit")</f>
        <v>Erhöhte Bewegungsgeschwindigkeit</v>
      </c>
      <c r="AF28" s="397" t="str">
        <f>IFERROR(__xludf.DUMMYFUNCTION("GOOGLETRANSLATE(D28,""zh-tw"",""DE"")"),"Essen")</f>
        <v>Essen</v>
      </c>
      <c r="AG28" s="156" t="s">
        <v>6735</v>
      </c>
      <c r="AH28" s="166" t="s">
        <v>6736</v>
      </c>
      <c r="AI28" s="322" t="s">
        <v>6737</v>
      </c>
      <c r="AJ28" s="185" t="s">
        <v>6717</v>
      </c>
      <c r="AK28" s="396"/>
      <c r="AL28" s="396"/>
      <c r="AM28" s="396"/>
    </row>
    <row r="29">
      <c r="A29" s="175" t="s">
        <v>6738</v>
      </c>
      <c r="B29" s="319" t="s">
        <v>6739</v>
      </c>
      <c r="C29" s="321" t="s">
        <v>6740</v>
      </c>
      <c r="D29" s="396" t="s">
        <v>6741</v>
      </c>
      <c r="E29" s="316" t="str">
        <f>IFERROR(__xludf.DUMMYFUNCTION("GOOGLETRANSLATE(A29,""zh-tw"",""ja"")"),"巨神兵")</f>
        <v>巨神兵</v>
      </c>
      <c r="F29" s="319" t="s">
        <v>6742</v>
      </c>
      <c r="G29" s="321" t="s">
        <v>6743</v>
      </c>
      <c r="H29" s="397" t="str">
        <f>IFERROR(__xludf.DUMMYFUNCTION("GOOGLETRANSLATE(D29,""zh-tw"",""ja"")"),"タロットカード")</f>
        <v>タロットカード</v>
      </c>
      <c r="I29" s="175" t="s">
        <v>6744</v>
      </c>
      <c r="J29" s="319" t="s">
        <v>6745</v>
      </c>
      <c r="K29" s="321" t="s">
        <v>6746</v>
      </c>
      <c r="L29" s="396" t="s">
        <v>6747</v>
      </c>
      <c r="M29" s="316" t="str">
        <f>IFERROR(__xludf.DUMMYFUNCTION("GOOGLETRANSLATE(A29,""zh-tw"",""zh"")"),"巨神兵")</f>
        <v>巨神兵</v>
      </c>
      <c r="N29" s="317" t="str">
        <f>IFERROR(__xludf.DUMMYFUNCTION("GOOGLETRANSLATE(B29,""zh-tw"",""zh"")"),"神兵天将")</f>
        <v>神兵天将</v>
      </c>
      <c r="O29" s="318" t="str">
        <f>IFERROR(__xludf.DUMMYFUNCTION("GOOGLETRANSLATE(C29,""zh-tw"",""zh"")"),"状态持续期间武器巨大化，提升攻击范围和伤害")</f>
        <v>状态持续期间武器巨大化，提升攻击范围和伤害</v>
      </c>
      <c r="P29" s="397" t="str">
        <f>IFERROR(__xludf.DUMMYFUNCTION("GOOGLETRANSLATE(D29,""zh-tw"",""zh"")"),"塔罗牌")</f>
        <v>塔罗牌</v>
      </c>
      <c r="Q29" s="150" t="str">
        <f>IFERROR(__xludf.DUMMYFUNCTION("GOOGLETRANSLATE(A29,""zh-tw"",""es-MX"")"),"Soldado Dios Gigante")</f>
        <v>Soldado Dios Gigante</v>
      </c>
      <c r="R29" s="164" t="str">
        <f>IFERROR(__xludf.DUMMYFUNCTION("GOOGLETRANSLATE(B29,""zh-tw"",""es-MX"")"),"Soldados divinos y generales celestiales")</f>
        <v>Soldados divinos y generales celestiales</v>
      </c>
      <c r="S29" s="320" t="str">
        <f>IFERROR(__xludf.DUMMYFUNCTION("GOOGLETRANSLATE(C29,""zh-tw"",""es-MX"")"),"Durante la duración del efecto, el arma crece, aumentando su alcance de ataque y su daño.")</f>
        <v>Durante la duración del efecto, el arma crece, aumentando su alcance de ataque y su daño.</v>
      </c>
      <c r="T29" s="176" t="str">
        <f>IFERROR(__xludf.DUMMYFUNCTION("GOOGLETRANSLATE(D29,""zh-tw"",""es-MX"")"),"Cartas del Tarot")</f>
        <v>Cartas del Tarot</v>
      </c>
      <c r="U29" s="150" t="str">
        <f>IFERROR(__xludf.DUMMYFUNCTION("GOOGLETRANSLATE(A29,""zh-tw"",""KO"")"),"거신병")</f>
        <v>거신병</v>
      </c>
      <c r="V29" s="164" t="str">
        <f>IFERROR(__xludf.DUMMYFUNCTION("GOOGLETRANSLATE(B29,""zh-tw"",""KO"")"),"신성한 군인과 천상의 장군")</f>
        <v>신성한 군인과 천상의 장군</v>
      </c>
      <c r="W29" s="320" t="str">
        <f>IFERROR(__xludf.DUMMYFUNCTION("GOOGLETRANSLATE(C29,""zh-tw"",""KO"")"),"효과가 지속되는 동안 무기가 더 커져 공격 범위와 피해가 증가합니다.")</f>
        <v>효과가 지속되는 동안 무기가 더 커져 공격 범위와 피해가 증가합니다.</v>
      </c>
      <c r="X29" s="176" t="str">
        <f>IFERROR(__xludf.DUMMYFUNCTION("GOOGLETRANSLATE(D29,""zh-tw"",""KO"")"),"타로 카드")</f>
        <v>타로 카드</v>
      </c>
      <c r="Y29" s="316" t="str">
        <f>IFERROR(__xludf.DUMMYFUNCTION("GOOGLETRANSLATE(A29,""zh-tw"",""RU"")"),"Гигантский Божественный Солдат")</f>
        <v>Гигантский Божественный Солдат</v>
      </c>
      <c r="Z29" s="317" t="str">
        <f>IFERROR(__xludf.DUMMYFUNCTION("GOOGLETRANSLATE(B29,""zh-tw"",""RU"")"),"Божественные солдаты и небесные генералы")</f>
        <v>Божественные солдаты и небесные генералы</v>
      </c>
      <c r="AA29" s="318" t="str">
        <f>IFERROR(__xludf.DUMMYFUNCTION("GOOGLETRANSLATE(C29,""zh-tw"",""RU"")"),"Во время действия эффекта оружие увеличивается в размерах, увеличивая дальность его атаки и урон.")</f>
        <v>Во время действия эффекта оружие увеличивается в размерах, увеличивая дальность его атаки и урон.</v>
      </c>
      <c r="AB29" s="397" t="str">
        <f>IFERROR(__xludf.DUMMYFUNCTION("GOOGLETRANSLATE(D29,""zh-tw"",""RU"")"),"Карты Таро")</f>
        <v>Карты Таро</v>
      </c>
      <c r="AC29" s="316" t="str">
        <f>IFERROR(__xludf.DUMMYFUNCTION("GOOGLETRANSLATE(A29,""zh-tw"",""DE"")"),"Riesengottsoldat")</f>
        <v>Riesengottsoldat</v>
      </c>
      <c r="AD29" s="317" t="str">
        <f>IFERROR(__xludf.DUMMYFUNCTION("GOOGLETRANSLATE(B29,""zh-tw"",""DE"")"),"Göttliche Soldaten und himmlische Generäle")</f>
        <v>Göttliche Soldaten und himmlische Generäle</v>
      </c>
      <c r="AE29" s="318" t="str">
        <f>IFERROR(__xludf.DUMMYFUNCTION("GOOGLETRANSLATE(C29,""zh-tw"",""DE"")"),"Während der Wirkungsdauer vergrößert sich die Waffe, wodurch ihre Angriffsreichweite und ihr Schaden steigen.")</f>
        <v>Während der Wirkungsdauer vergrößert sich die Waffe, wodurch ihre Angriffsreichweite und ihr Schaden steigen.</v>
      </c>
      <c r="AF29" s="397" t="str">
        <f>IFERROR(__xludf.DUMMYFUNCTION("GOOGLETRANSLATE(D29,""zh-tw"",""DE"")"),"Tarotkarten")</f>
        <v>Tarotkarten</v>
      </c>
      <c r="AG29" s="156" t="s">
        <v>6748</v>
      </c>
      <c r="AH29" s="166" t="s">
        <v>6749</v>
      </c>
      <c r="AI29" s="322" t="s">
        <v>6750</v>
      </c>
      <c r="AJ29" s="185" t="s">
        <v>6751</v>
      </c>
      <c r="AK29" s="396"/>
      <c r="AL29" s="396"/>
      <c r="AM29" s="396"/>
    </row>
    <row r="30">
      <c r="A30" s="175" t="s">
        <v>6752</v>
      </c>
      <c r="B30" s="319" t="s">
        <v>6753</v>
      </c>
      <c r="C30" s="321" t="s">
        <v>6754</v>
      </c>
      <c r="D30" s="396" t="s">
        <v>6741</v>
      </c>
      <c r="E30" s="175" t="s">
        <v>6755</v>
      </c>
      <c r="F30" s="317" t="str">
        <f>IFERROR(__xludf.DUMMYFUNCTION("GOOGLETRANSLATE(B30,""zh-tw"",""ja"")"),"運命の流れ…")</f>
        <v>運命の流れ…</v>
      </c>
      <c r="G30" s="318" t="str">
        <f>IFERROR(__xludf.DUMMYFUNCTION("GOOGLETRANSLATE(C30,""zh-tw"",""ja"")"),"運命の祝福で幸せなことに出会いやすくなります！")</f>
        <v>運命の祝福で幸せなことに出会いやすくなります！</v>
      </c>
      <c r="H30" s="397" t="str">
        <f>IFERROR(__xludf.DUMMYFUNCTION("GOOGLETRANSLATE(D30,""zh-tw"",""ja"")"),"タロットカード")</f>
        <v>タロットカード</v>
      </c>
      <c r="I30" s="175" t="s">
        <v>6756</v>
      </c>
      <c r="J30" s="319" t="s">
        <v>6757</v>
      </c>
      <c r="K30" s="318" t="str">
        <f>IFERROR(__xludf.DUMMYFUNCTION("GOOGLETRANSLATE(C30,""zh-tw"",""en"")"),"With the blessing of fate, it's easier to encounter happy things!")</f>
        <v>With the blessing of fate, it's easier to encounter happy things!</v>
      </c>
      <c r="L30" s="396" t="s">
        <v>6758</v>
      </c>
      <c r="M30" s="316" t="str">
        <f>IFERROR(__xludf.DUMMYFUNCTION("GOOGLETRANSLATE(A30,""zh-tw"",""zh"")"),"命运之轮-正")</f>
        <v>命运之轮-正</v>
      </c>
      <c r="N30" s="317" t="str">
        <f>IFERROR(__xludf.DUMMYFUNCTION("GOOGLETRANSLATE(B30,""zh-tw"",""zh"")"),"命运的流动……")</f>
        <v>命运的流动……</v>
      </c>
      <c r="O30" s="318" t="str">
        <f>IFERROR(__xludf.DUMMYFUNCTION("GOOGLETRANSLATE(C30,""zh-tw"",""zh"")"),"得到命运的加护，更容易遇到开心的事情了！")</f>
        <v>得到命运的加护，更容易遇到开心的事情了！</v>
      </c>
      <c r="P30" s="397" t="str">
        <f>IFERROR(__xludf.DUMMYFUNCTION("GOOGLETRANSLATE(D30,""zh-tw"",""zh"")"),"塔罗牌")</f>
        <v>塔罗牌</v>
      </c>
      <c r="Q30" s="150" t="str">
        <f>IFERROR(__xludf.DUMMYFUNCTION("GOOGLETRANSLATE(A30,""zh-tw"",""es-MX"")"),"La rueda de la fortuna - Derecha")</f>
        <v>La rueda de la fortuna - Derecha</v>
      </c>
      <c r="R30" s="164" t="str">
        <f>IFERROR(__xludf.DUMMYFUNCTION("GOOGLETRANSLATE(B30,""zh-tw"",""es-MX"")"),"El curso del destino...")</f>
        <v>El curso del destino...</v>
      </c>
      <c r="S30" s="320" t="str">
        <f>IFERROR(__xludf.DUMMYFUNCTION("GOOGLETRANSLATE(C30,""zh-tw"",""es-MX"")"),"¡Con la bendición del destino, es más fácil encontrar cosas felices!")</f>
        <v>¡Con la bendición del destino, es más fácil encontrar cosas felices!</v>
      </c>
      <c r="T30" s="176" t="str">
        <f>IFERROR(__xludf.DUMMYFUNCTION("GOOGLETRANSLATE(D30,""zh-tw"",""es-MX"")"),"Cartas del Tarot")</f>
        <v>Cartas del Tarot</v>
      </c>
      <c r="U30" s="150" t="str">
        <f>IFERROR(__xludf.DUMMYFUNCTION("GOOGLETRANSLATE(A30,""zh-tw"",""KO"")"),"행운의 바퀴 - 오른쪽")</f>
        <v>행운의 바퀴 - 오른쪽</v>
      </c>
      <c r="V30" s="164" t="str">
        <f>IFERROR(__xludf.DUMMYFUNCTION("GOOGLETRANSLATE(B30,""zh-tw"",""KO"")"),"운명의 흐름...")</f>
        <v>운명의 흐름...</v>
      </c>
      <c r="W30" s="320" t="str">
        <f>IFERROR(__xludf.DUMMYFUNCTION("GOOGLETRANSLATE(C30,""zh-tw"",""KO"")"),"운명의 축복을 받으면 행복한 일이 더 쉽게 찾아올 거예요!")</f>
        <v>운명의 축복을 받으면 행복한 일이 더 쉽게 찾아올 거예요!</v>
      </c>
      <c r="X30" s="176" t="str">
        <f>IFERROR(__xludf.DUMMYFUNCTION("GOOGLETRANSLATE(D30,""zh-tw"",""KO"")"),"타로 카드")</f>
        <v>타로 카드</v>
      </c>
      <c r="Y30" s="316" t="str">
        <f>IFERROR(__xludf.DUMMYFUNCTION("GOOGLETRANSLATE(A30,""zh-tw"",""RU"")"),"Колесо Фортуны - Правое")</f>
        <v>Колесо Фортуны - Правое</v>
      </c>
      <c r="Z30" s="317" t="str">
        <f>IFERROR(__xludf.DUMMYFUNCTION("GOOGLETRANSLATE(B30,""zh-tw"",""RU"")"),"Поток судьбы...")</f>
        <v>Поток судьбы...</v>
      </c>
      <c r="AA30" s="318" t="str">
        <f>IFERROR(__xludf.DUMMYFUNCTION("GOOGLETRANSLATE(C30,""zh-tw"",""RU"")"),"С благословением судьбы легче встречать счастливые вещи!")</f>
        <v>С благословением судьбы легче встречать счастливые вещи!</v>
      </c>
      <c r="AB30" s="397" t="str">
        <f>IFERROR(__xludf.DUMMYFUNCTION("GOOGLETRANSLATE(D30,""zh-tw"",""RU"")"),"Карты Таро")</f>
        <v>Карты Таро</v>
      </c>
      <c r="AC30" s="316" t="str">
        <f>IFERROR(__xludf.DUMMYFUNCTION("GOOGLETRANSLATE(A30,""zh-tw"",""DE"")"),"Glücksrad - Rechts")</f>
        <v>Glücksrad - Rechts</v>
      </c>
      <c r="AD30" s="317" t="str">
        <f>IFERROR(__xludf.DUMMYFUNCTION("GOOGLETRANSLATE(B30,""zh-tw"",""DE"")"),"Der Lauf des Schicksals...")</f>
        <v>Der Lauf des Schicksals...</v>
      </c>
      <c r="AE30" s="318" t="str">
        <f>IFERROR(__xludf.DUMMYFUNCTION("GOOGLETRANSLATE(C30,""zh-tw"",""DE"")"),"Mit dem Segen des Schicksals begegnet man leichter glücklichen Dingen!")</f>
        <v>Mit dem Segen des Schicksals begegnet man leichter glücklichen Dingen!</v>
      </c>
      <c r="AF30" s="397" t="str">
        <f>IFERROR(__xludf.DUMMYFUNCTION("GOOGLETRANSLATE(D30,""zh-tw"",""DE"")"),"Tarotkarten")</f>
        <v>Tarotkarten</v>
      </c>
      <c r="AG30" s="156" t="s">
        <v>6759</v>
      </c>
      <c r="AH30" s="166" t="s">
        <v>6760</v>
      </c>
      <c r="AI30" s="322" t="s">
        <v>6761</v>
      </c>
      <c r="AJ30" s="185" t="s">
        <v>6762</v>
      </c>
      <c r="AK30" s="396"/>
      <c r="AL30" s="396"/>
      <c r="AM30" s="396"/>
    </row>
    <row r="31">
      <c r="A31" s="175" t="s">
        <v>6763</v>
      </c>
      <c r="B31" s="319" t="s">
        <v>6764</v>
      </c>
      <c r="C31" s="321" t="s">
        <v>6765</v>
      </c>
      <c r="D31" s="396" t="s">
        <v>6741</v>
      </c>
      <c r="E31" s="175" t="s">
        <v>6766</v>
      </c>
      <c r="F31" s="317" t="str">
        <f>IFERROR(__xludf.DUMMYFUNCTION("GOOGLETRANSLATE(B31,""zh-tw"",""ja"")"),"運命は流れる…")</f>
        <v>運命は流れる…</v>
      </c>
      <c r="G31" s="318" t="str">
        <f>IFERROR(__xludf.DUMMYFUNCTION("GOOGLETRANSLATE(C31,""zh-tw"",""ja"")"),"運命に恵まれると困難なことにも遭遇しやすくなります！")</f>
        <v>運命に恵まれると困難なことにも遭遇しやすくなります！</v>
      </c>
      <c r="H31" s="397" t="str">
        <f>IFERROR(__xludf.DUMMYFUNCTION("GOOGLETRANSLATE(D31,""zh-tw"",""ja"")"),"タロットカード")</f>
        <v>タロットカード</v>
      </c>
      <c r="I31" s="175" t="s">
        <v>6767</v>
      </c>
      <c r="J31" s="319" t="s">
        <v>6768</v>
      </c>
      <c r="K31" s="318" t="str">
        <f>IFERROR(__xludf.DUMMYFUNCTION("GOOGLETRANSLATE(C31,""zh-tw"",""en"")"),"Being blessed by fate makes it easier to encounter difficult things!")</f>
        <v>Being blessed by fate makes it easier to encounter difficult things!</v>
      </c>
      <c r="L31" s="396" t="s">
        <v>6758</v>
      </c>
      <c r="M31" s="316" t="str">
        <f>IFERROR(__xludf.DUMMYFUNCTION("GOOGLETRANSLATE(A31,""zh-tw"",""zh"")"),"命运之轮-逆")</f>
        <v>命运之轮-逆</v>
      </c>
      <c r="N31" s="317" t="str">
        <f>IFERROR(__xludf.DUMMYFUNCTION("GOOGLETRANSLATE(B31,""zh-tw"",""zh"")"),"命运流动……")</f>
        <v>命运流动……</v>
      </c>
      <c r="O31" s="318" t="str">
        <f>IFERROR(__xludf.DUMMYFUNCTION("GOOGLETRANSLATE(C31,""zh-tw"",""zh"")"),"得到命运的加护，更容易遇到难过的事情了！")</f>
        <v>得到命运的加护，更容易遇到难过的事情了！</v>
      </c>
      <c r="P31" s="397" t="str">
        <f>IFERROR(__xludf.DUMMYFUNCTION("GOOGLETRANSLATE(D31,""zh-tw"",""zh"")"),"塔罗牌")</f>
        <v>塔罗牌</v>
      </c>
      <c r="Q31" s="150" t="str">
        <f>IFERROR(__xludf.DUMMYFUNCTION("GOOGLETRANSLATE(A31,""zh-tw"",""es-MX"")"),"Rueda de la Fortuna - Inversa")</f>
        <v>Rueda de la Fortuna - Inversa</v>
      </c>
      <c r="R31" s="164" t="str">
        <f>IFERROR(__xludf.DUMMYFUNCTION("GOOGLETRANSLATE(B31,""zh-tw"",""es-MX"")"),"El destino fluye...")</f>
        <v>El destino fluye...</v>
      </c>
      <c r="S31" s="320" t="str">
        <f>IFERROR(__xludf.DUMMYFUNCTION("GOOGLETRANSLATE(C31,""zh-tw"",""es-MX"")"),"¡Estar bendecido por el destino hace más fácil afrontar las dificultades!")</f>
        <v>¡Estar bendecido por el destino hace más fácil afrontar las dificultades!</v>
      </c>
      <c r="T31" s="176" t="str">
        <f>IFERROR(__xludf.DUMMYFUNCTION("GOOGLETRANSLATE(D31,""zh-tw"",""es-MX"")"),"Cartas del Tarot")</f>
        <v>Cartas del Tarot</v>
      </c>
      <c r="U31" s="150" t="str">
        <f>IFERROR(__xludf.DUMMYFUNCTION("GOOGLETRANSLATE(A31,""zh-tw"",""KO"")"),"행운의 바퀴 - 역전")</f>
        <v>행운의 바퀴 - 역전</v>
      </c>
      <c r="V31" s="164" t="str">
        <f>IFERROR(__xludf.DUMMYFUNCTION("GOOGLETRANSLATE(B31,""zh-tw"",""KO"")"),"운명은 흐른다...")</f>
        <v>운명은 흐른다...</v>
      </c>
      <c r="W31" s="320" t="str">
        <f>IFERROR(__xludf.DUMMYFUNCTION("GOOGLETRANSLATE(C31,""zh-tw"",""KO"")"),"운명의 축복을 받으면 어려운 일을 겪기가 쉬워집니다!")</f>
        <v>운명의 축복을 받으면 어려운 일을 겪기가 쉬워집니다!</v>
      </c>
      <c r="X31" s="176" t="str">
        <f>IFERROR(__xludf.DUMMYFUNCTION("GOOGLETRANSLATE(D31,""zh-tw"",""KO"")"),"타로 카드")</f>
        <v>타로 카드</v>
      </c>
      <c r="Y31" s="316" t="str">
        <f>IFERROR(__xludf.DUMMYFUNCTION("GOOGLETRANSLATE(A31,""zh-tw"",""RU"")"),"Колесо Фортуны — Обратное")</f>
        <v>Колесо Фортуны — Обратное</v>
      </c>
      <c r="Z31" s="317" t="str">
        <f>IFERROR(__xludf.DUMMYFUNCTION("GOOGLETRANSLATE(B31,""zh-tw"",""RU"")"),"Судьба течет...")</f>
        <v>Судьба течет...</v>
      </c>
      <c r="AA31" s="318" t="str">
        <f>IFERROR(__xludf.DUMMYFUNCTION("GOOGLETRANSLATE(C31,""zh-tw"",""RU"")"),"Когда судьба благословляет тебя, тебе легче справляться со сложными вещами!")</f>
        <v>Когда судьба благословляет тебя, тебе легче справляться со сложными вещами!</v>
      </c>
      <c r="AB31" s="397" t="str">
        <f>IFERROR(__xludf.DUMMYFUNCTION("GOOGLETRANSLATE(D31,""zh-tw"",""RU"")"),"Карты Таро")</f>
        <v>Карты Таро</v>
      </c>
      <c r="AC31" s="316" t="str">
        <f>IFERROR(__xludf.DUMMYFUNCTION("GOOGLETRANSLATE(A31,""zh-tw"",""DE"")"),"Glücksrad – Rückwärts")</f>
        <v>Glücksrad – Rückwärts</v>
      </c>
      <c r="AD31" s="317" t="str">
        <f>IFERROR(__xludf.DUMMYFUNCTION("GOOGLETRANSLATE(B31,""zh-tw"",""DE"")"),"Das Schicksal bestimmt seinen Lauf...")</f>
        <v>Das Schicksal bestimmt seinen Lauf...</v>
      </c>
      <c r="AE31" s="318" t="str">
        <f>IFERROR(__xludf.DUMMYFUNCTION("GOOGLETRANSLATE(C31,""zh-tw"",""DE"")"),"Vom Schicksal begünstigt zu sein, erleichtert den Umgang mit schwierigen Dingen!")</f>
        <v>Vom Schicksal begünstigt zu sein, erleichtert den Umgang mit schwierigen Dingen!</v>
      </c>
      <c r="AF31" s="397" t="str">
        <f>IFERROR(__xludf.DUMMYFUNCTION("GOOGLETRANSLATE(D31,""zh-tw"",""DE"")"),"Tarotkarten")</f>
        <v>Tarotkarten</v>
      </c>
      <c r="AG31" s="156" t="s">
        <v>6769</v>
      </c>
      <c r="AH31" s="166" t="s">
        <v>6770</v>
      </c>
      <c r="AI31" s="322" t="s">
        <v>6771</v>
      </c>
      <c r="AJ31" s="185" t="s">
        <v>6762</v>
      </c>
      <c r="AK31" s="396"/>
      <c r="AL31" s="396"/>
      <c r="AM31" s="396"/>
    </row>
    <row r="32">
      <c r="A32" s="175" t="s">
        <v>6772</v>
      </c>
      <c r="B32" s="319" t="s">
        <v>6773</v>
      </c>
      <c r="C32" s="321" t="s">
        <v>6774</v>
      </c>
      <c r="D32" s="396" t="s">
        <v>5663</v>
      </c>
      <c r="E32" s="175" t="s">
        <v>6775</v>
      </c>
      <c r="F32" s="319" t="s">
        <v>6776</v>
      </c>
      <c r="G32" s="321" t="s">
        <v>6777</v>
      </c>
      <c r="H32" s="396" t="s">
        <v>5665</v>
      </c>
      <c r="I32" s="175" t="s">
        <v>6778</v>
      </c>
      <c r="J32" s="319" t="s">
        <v>6779</v>
      </c>
      <c r="K32" s="321" t="s">
        <v>6780</v>
      </c>
      <c r="L32" s="396" t="s">
        <v>5667</v>
      </c>
      <c r="M32" s="316" t="str">
        <f>IFERROR(__xludf.DUMMYFUNCTION("GOOGLETRANSLATE(A32,""zh-tw"",""zh"")"),"生命力")</f>
        <v>生命力</v>
      </c>
      <c r="N32" s="317" t="str">
        <f>IFERROR(__xludf.DUMMYFUNCTION("GOOGLETRANSLATE(B32,""zh-tw"",""zh"")"),"但是真的很难吃……")</f>
        <v>但是真的很难吃……</v>
      </c>
      <c r="O32" s="318" t="str">
        <f>IFERROR(__xludf.DUMMYFUNCTION("GOOGLETRANSLATE(C32,""zh-tw"",""zh"")"),"体内充满了生命力，体力增加了")</f>
        <v>体内充满了生命力，体力增加了</v>
      </c>
      <c r="P32" s="397" t="str">
        <f>IFERROR(__xludf.DUMMYFUNCTION("GOOGLETRANSLATE(D32,""zh-tw"",""zh"")"),"天上之石碎片")</f>
        <v>天上之石碎片</v>
      </c>
      <c r="Q32" s="150" t="str">
        <f>IFERROR(__xludf.DUMMYFUNCTION("GOOGLETRANSLATE(A32,""zh-tw"",""es-MX"")"),"vitalidad")</f>
        <v>vitalidad</v>
      </c>
      <c r="R32" s="164" t="str">
        <f>IFERROR(__xludf.DUMMYFUNCTION("GOOGLETRANSLATE(B32,""zh-tw"",""es-MX"")"),"Pero la verdad es que tenía un sabor horrible...")</f>
        <v>Pero la verdad es que tenía un sabor horrible...</v>
      </c>
      <c r="S32" s="320" t="str">
        <f>IFERROR(__xludf.DUMMYFUNCTION("GOOGLETRANSLATE(C32,""zh-tw"",""es-MX"")"),"Mi cuerpo rebosa de vitalidad y mi fuerza física ha aumentado.")</f>
        <v>Mi cuerpo rebosa de vitalidad y mi fuerza física ha aumentado.</v>
      </c>
      <c r="T32" s="176" t="str">
        <f>IFERROR(__xludf.DUMMYFUNCTION("GOOGLETRANSLATE(D32,""zh-tw"",""es-MX"")"),"Fragmentos de la Piedra Celestial")</f>
        <v>Fragmentos de la Piedra Celestial</v>
      </c>
      <c r="U32" s="150" t="str">
        <f>IFERROR(__xludf.DUMMYFUNCTION("GOOGLETRANSLATE(A32,""zh-tw"",""KO"")"),"활력")</f>
        <v>활력</v>
      </c>
      <c r="V32" s="164" t="str">
        <f>IFERROR(__xludf.DUMMYFUNCTION("GOOGLETRANSLATE(B32,""zh-tw"",""KO"")"),"하지만 정말 맛없었어요...")</f>
        <v>하지만 정말 맛없었어요...</v>
      </c>
      <c r="W32" s="320" t="str">
        <f>IFERROR(__xludf.DUMMYFUNCTION("GOOGLETRANSLATE(C32,""zh-tw"",""KO"")"),"내 몸은 활력으로 가득 차고, 체력도 증가했습니다.")</f>
        <v>내 몸은 활력으로 가득 차고, 체력도 증가했습니다.</v>
      </c>
      <c r="X32" s="176" t="str">
        <f>IFERROR(__xludf.DUMMYFUNCTION("GOOGLETRANSLATE(D32,""zh-tw"",""KO"")"),"천상의 돌 조각들")</f>
        <v>천상의 돌 조각들</v>
      </c>
      <c r="Y32" s="316" t="str">
        <f>IFERROR(__xludf.DUMMYFUNCTION("GOOGLETRANSLATE(A32,""zh-tw"",""RU"")"),"жизненная сила")</f>
        <v>жизненная сила</v>
      </c>
      <c r="Z32" s="317" t="str">
        <f>IFERROR(__xludf.DUMMYFUNCTION("GOOGLETRANSLATE(B32,""zh-tw"",""RU"")"),"Но вкус действительно был ужасный...")</f>
        <v>Но вкус действительно был ужасный...</v>
      </c>
      <c r="AA32" s="318" t="str">
        <f>IFERROR(__xludf.DUMMYFUNCTION("GOOGLETRANSLATE(C32,""zh-tw"",""RU"")"),"Мое тело полно жизненных сил, и моя физическая сила возросла.")</f>
        <v>Мое тело полно жизненных сил, и моя физическая сила возросла.</v>
      </c>
      <c r="AB32" s="397" t="str">
        <f>IFERROR(__xludf.DUMMYFUNCTION("GOOGLETRANSLATE(D32,""zh-tw"",""RU"")"),"Фрагменты Небесного Камня")</f>
        <v>Фрагменты Небесного Камня</v>
      </c>
      <c r="AC32" s="316" t="str">
        <f>IFERROR(__xludf.DUMMYFUNCTION("GOOGLETRANSLATE(A32,""zh-tw"",""DE"")"),"Vitalität")</f>
        <v>Vitalität</v>
      </c>
      <c r="AD32" s="317" t="str">
        <f>IFERROR(__xludf.DUMMYFUNCTION("GOOGLETRANSLATE(B32,""zh-tw"",""DE"")"),"Aber es hat wirklich furchtbar geschmeckt...")</f>
        <v>Aber es hat wirklich furchtbar geschmeckt...</v>
      </c>
      <c r="AE32" s="318" t="str">
        <f>IFERROR(__xludf.DUMMYFUNCTION("GOOGLETRANSLATE(C32,""zh-tw"",""DE"")"),"Mein Körper ist voller Vitalität und meine körperliche Kraft hat zugenommen.")</f>
        <v>Mein Körper ist voller Vitalität und meine körperliche Kraft hat zugenommen.</v>
      </c>
      <c r="AF32" s="397" t="str">
        <f>IFERROR(__xludf.DUMMYFUNCTION("GOOGLETRANSLATE(D32,""zh-tw"",""DE"")"),"Fragmente des Himmelssteins")</f>
        <v>Fragmente des Himmelssteins</v>
      </c>
      <c r="AG32" s="156" t="s">
        <v>6781</v>
      </c>
      <c r="AH32" s="166" t="s">
        <v>6782</v>
      </c>
      <c r="AI32" s="322" t="s">
        <v>6783</v>
      </c>
      <c r="AJ32" s="185" t="s">
        <v>5672</v>
      </c>
      <c r="AK32" s="396"/>
      <c r="AL32" s="396"/>
      <c r="AM32" s="396"/>
    </row>
    <row r="33">
      <c r="A33" s="175" t="s">
        <v>6784</v>
      </c>
      <c r="B33" s="319" t="s">
        <v>6785</v>
      </c>
      <c r="C33" s="321" t="s">
        <v>6786</v>
      </c>
      <c r="D33" s="396" t="s">
        <v>6787</v>
      </c>
      <c r="E33" s="175" t="s">
        <v>6788</v>
      </c>
      <c r="F33" s="319" t="s">
        <v>6789</v>
      </c>
      <c r="G33" s="318" t="str">
        <f>IFERROR(__xludf.DUMMYFUNCTION("GOOGLETRANSLATE(C33,""zh-tw"",""ja"")"),"体力とスタミナが不足すると、武器の性能を最大限に発揮できなくなります。")</f>
        <v>体力とスタミナが不足すると、武器の性能を最大限に発揮できなくなります。</v>
      </c>
      <c r="H33" s="396" t="s">
        <v>6790</v>
      </c>
      <c r="I33" s="175" t="s">
        <v>6791</v>
      </c>
      <c r="J33" s="319" t="s">
        <v>6792</v>
      </c>
      <c r="K33" s="321" t="s">
        <v>6793</v>
      </c>
      <c r="L33" s="396" t="s">
        <v>6794</v>
      </c>
      <c r="M33" s="316" t="str">
        <f>IFERROR(__xludf.DUMMYFUNCTION("GOOGLETRANSLATE(A33,""zh-tw"",""zh"")"),"力不从心")</f>
        <v>力不从心</v>
      </c>
      <c r="N33" s="317" t="str">
        <f>IFERROR(__xludf.DUMMYFUNCTION("GOOGLETRANSLATE(B33,""zh-tw"",""zh"")"),"拿、拿不动了……")</f>
        <v>拿、拿不动了……</v>
      </c>
      <c r="O33" s="318" t="str">
        <f>IFERROR(__xludf.DUMMYFUNCTION("GOOGLETRANSLATE(C33,""zh-tw"",""zh"")"),"力量和体力不足，无法发挥武器性能！")</f>
        <v>力量和体力不足，无法发挥武器性能！</v>
      </c>
      <c r="P33" s="397" t="str">
        <f>IFERROR(__xludf.DUMMYFUNCTION("GOOGLETRANSLATE(D33,""zh-tw"",""zh"")"),"银辉剑为达成条件")</f>
        <v>银辉剑为达成条件</v>
      </c>
      <c r="Q33" s="150" t="str">
        <f>IFERROR(__xludf.DUMMYFUNCTION("GOOGLETRANSLATE(A33,""zh-tw"",""es-MX"")"),"Sintiéndome impotente")</f>
        <v>Sintiéndome impotente</v>
      </c>
      <c r="R33" s="164" t="str">
        <f>IFERROR(__xludf.DUMMYFUNCTION("GOOGLETRANSLATE(B33,""zh-tw"",""es-MX"")"),"Ya no puedo levantarlo...")</f>
        <v>Ya no puedo levantarlo...</v>
      </c>
      <c r="S33" s="320" t="str">
        <f>IFERROR(__xludf.DUMMYFUNCTION("GOOGLETRANSLATE(C33,""zh-tw"",""es-MX"")"),"¡La falta de fuerza y ​​resistencia impide que el arma desarrolle todo su potencial!")</f>
        <v>¡La falta de fuerza y ​​resistencia impide que el arma desarrolle todo su potencial!</v>
      </c>
      <c r="T33" s="176" t="str">
        <f>IFERROR(__xludf.DUMMYFUNCTION("GOOGLETRANSLATE(D33,""zh-tw"",""es-MX"")"),"Se requiere la Espada de Plata para cumplir las condiciones.")</f>
        <v>Se requiere la Espada de Plata para cumplir las condiciones.</v>
      </c>
      <c r="U33" s="150" t="str">
        <f>IFERROR(__xludf.DUMMYFUNCTION("GOOGLETRANSLATE(A33,""zh-tw"",""KO"")"),"무력감을 느낀다")</f>
        <v>무력감을 느낀다</v>
      </c>
      <c r="V33" s="164" t="str">
        <f>IFERROR(__xludf.DUMMYFUNCTION("GOOGLETRANSLATE(B33,""zh-tw"",""KO"")"),"더 이상 들어올릴 수 없어요...")</f>
        <v>더 이상 들어올릴 수 없어요...</v>
      </c>
      <c r="W33" s="320" t="str">
        <f>IFERROR(__xludf.DUMMYFUNCTION("GOOGLETRANSLATE(C33,""zh-tw"",""KO"")"),"힘과 지구력이 부족하면 무기가 본래의 성능을 최대한 발휘하지 못합니다!")</f>
        <v>힘과 지구력이 부족하면 무기가 본래의 성능을 최대한 발휘하지 못합니다!</v>
      </c>
      <c r="X33" s="176" t="str">
        <f>IFERROR(__xludf.DUMMYFUNCTION("GOOGLETRANSLATE(D33,""zh-tw"",""KO"")"),"조건을 충족하려면 은검이 필요합니다.")</f>
        <v>조건을 충족하려면 은검이 필요합니다.</v>
      </c>
      <c r="Y33" s="316" t="str">
        <f>IFERROR(__xludf.DUMMYFUNCTION("GOOGLETRANSLATE(A33,""zh-tw"",""RU"")"),"Чувство бессилия")</f>
        <v>Чувство бессилия</v>
      </c>
      <c r="Z33" s="317" t="str">
        <f>IFERROR(__xludf.DUMMYFUNCTION("GOOGLETRANSLATE(B33,""zh-tw"",""RU"")"),"Я больше не могу его поднять...")</f>
        <v>Я больше не могу его поднять...</v>
      </c>
      <c r="AA33" s="318" t="str">
        <f>IFERROR(__xludf.DUMMYFUNCTION("GOOGLETRANSLATE(C33,""zh-tw"",""RU"")"),"Недостаточная сила и выносливость не позволяют оружию раскрыть весь свой потенциал!")</f>
        <v>Недостаточная сила и выносливость не позволяют оружию раскрыть весь свой потенциал!</v>
      </c>
      <c r="AB33" s="397" t="str">
        <f>IFERROR(__xludf.DUMMYFUNCTION("GOOGLETRANSLATE(D33,""zh-tw"",""RU"")"),"Для выполнения условий необходим Серебряный Меч.")</f>
        <v>Для выполнения условий необходим Серебряный Меч.</v>
      </c>
      <c r="AC33" s="316" t="str">
        <f>IFERROR(__xludf.DUMMYFUNCTION("GOOGLETRANSLATE(A33,""zh-tw"",""DE"")"),"Ich fühle mich machtlos")</f>
        <v>Ich fühle mich machtlos</v>
      </c>
      <c r="AD33" s="317" t="str">
        <f>IFERROR(__xludf.DUMMYFUNCTION("GOOGLETRANSLATE(B33,""zh-tw"",""DE"")"),"Ich kann es nicht mehr heben...")</f>
        <v>Ich kann es nicht mehr heben...</v>
      </c>
      <c r="AE33" s="318" t="str">
        <f>IFERROR(__xludf.DUMMYFUNCTION("GOOGLETRANSLATE(C33,""zh-tw"",""DE"")"),"Unzureichende Kraft und Ausdauer verhindern, dass die Waffe ihr volles Potenzial entfaltet!")</f>
        <v>Unzureichende Kraft und Ausdauer verhindern, dass die Waffe ihr volles Potenzial entfaltet!</v>
      </c>
      <c r="AF33" s="397" t="str">
        <f>IFERROR(__xludf.DUMMYFUNCTION("GOOGLETRANSLATE(D33,""zh-tw"",""DE"")"),"Das Silberschwert wird benötigt, um die Bedingungen zu erfüllen.")</f>
        <v>Das Silberschwert wird benötigt, um die Bedingungen zu erfüllen.</v>
      </c>
      <c r="AG33" s="156" t="s">
        <v>6795</v>
      </c>
      <c r="AH33" s="166" t="s">
        <v>6796</v>
      </c>
      <c r="AI33" s="322" t="s">
        <v>6797</v>
      </c>
      <c r="AJ33" s="185" t="s">
        <v>6798</v>
      </c>
      <c r="AK33" s="396"/>
      <c r="AL33" s="396"/>
      <c r="AM33" s="396"/>
    </row>
    <row r="34">
      <c r="A34" s="175" t="s">
        <v>6799</v>
      </c>
      <c r="B34" s="319" t="s">
        <v>6800</v>
      </c>
      <c r="C34" s="321" t="s">
        <v>6801</v>
      </c>
      <c r="D34" s="396" t="s">
        <v>5050</v>
      </c>
      <c r="E34" s="175" t="s">
        <v>6802</v>
      </c>
      <c r="F34" s="317" t="str">
        <f>IFERROR(__xludf.DUMMYFUNCTION("GOOGLETRANSLATE(B34,""zh-tw"",""ja"")"),"祝福を享受できますように")</f>
        <v>祝福を享受できますように</v>
      </c>
      <c r="G34" s="321" t="s">
        <v>6803</v>
      </c>
      <c r="H34" s="396" t="s">
        <v>5052</v>
      </c>
      <c r="I34" s="175" t="s">
        <v>6804</v>
      </c>
      <c r="J34" s="319" t="s">
        <v>6805</v>
      </c>
      <c r="K34" s="321" t="s">
        <v>6806</v>
      </c>
      <c r="L34" s="396" t="s">
        <v>5053</v>
      </c>
      <c r="M34" s="316" t="str">
        <f>IFERROR(__xludf.DUMMYFUNCTION("GOOGLETRANSLATE(A34,""zh-tw"",""zh"")"),"丰收的祝福")</f>
        <v>丰收的祝福</v>
      </c>
      <c r="N34" s="317" t="str">
        <f>IFERROR(__xludf.DUMMYFUNCTION("GOOGLETRANSLATE(B34,""zh-tw"",""zh"")"),"与汝享赐福")</f>
        <v>与汝享赐福</v>
      </c>
      <c r="O34" s="318" t="str">
        <f>IFERROR(__xludf.DUMMYFUNCTION("GOOGLETRANSLATE(C34,""zh-tw"",""zh"")"),"获得了圣杯的祝福，获取金钱翻倍")</f>
        <v>获得了圣杯的祝福，获取金钱翻倍</v>
      </c>
      <c r="P34" s="397" t="str">
        <f>IFERROR(__xludf.DUMMYFUNCTION("GOOGLETRANSLATE(D34,""zh-tw"",""zh"")"),"未满的黄金圣杯")</f>
        <v>未满的黄金圣杯</v>
      </c>
      <c r="Q34" s="150" t="str">
        <f>IFERROR(__xludf.DUMMYFUNCTION("GOOGLETRANSLATE(A34,""zh-tw"",""es-MX"")"),"Bendiciones de una cosecha abundante")</f>
        <v>Bendiciones de una cosecha abundante</v>
      </c>
      <c r="R34" s="164" t="str">
        <f>IFERROR(__xludf.DUMMYFUNCTION("GOOGLETRANSLATE(B34,""zh-tw"",""es-MX"")"),"Que recibas bendiciones.")</f>
        <v>Que recibas bendiciones.</v>
      </c>
      <c r="S34" s="320" t="str">
        <f>IFERROR(__xludf.DUMMYFUNCTION("GOOGLETRANSLATE(C34,""zh-tw"",""es-MX"")"),"Tras recibir la bendición del Santo Grial, tu dinero se duplicará.")</f>
        <v>Tras recibir la bendición del Santo Grial, tu dinero se duplicará.</v>
      </c>
      <c r="T34" s="176" t="str">
        <f>IFERROR(__xludf.DUMMYFUNCTION("GOOGLETRANSLATE(D34,""zh-tw"",""es-MX"")"),"El Santo Grial incompleto")</f>
        <v>El Santo Grial incompleto</v>
      </c>
      <c r="U34" s="150" t="str">
        <f>IFERROR(__xludf.DUMMYFUNCTION("GOOGLETRANSLATE(A34,""zh-tw"",""KO"")"),"풍성한 수확의 축복")</f>
        <v>풍성한 수확의 축복</v>
      </c>
      <c r="V34" s="164" t="str">
        <f>IFERROR(__xludf.DUMMYFUNCTION("GOOGLETRANSLATE(B34,""zh-tw"",""KO"")"),"축복을 누리시길 바랍니다")</f>
        <v>축복을 누리시길 바랍니다</v>
      </c>
      <c r="W34" s="320" t="str">
        <f>IFERROR(__xludf.DUMMYFUNCTION("GOOGLETRANSLATE(C34,""zh-tw"",""KO"")"),"성배의 축복을 받으면 당신의 돈은 두 배가 될 것입니다.")</f>
        <v>성배의 축복을 받으면 당신의 돈은 두 배가 될 것입니다.</v>
      </c>
      <c r="X34" s="176" t="str">
        <f>IFERROR(__xludf.DUMMYFUNCTION("GOOGLETRANSLATE(D34,""zh-tw"",""KO"")"),"불완전한 성배")</f>
        <v>불완전한 성배</v>
      </c>
      <c r="Y34" s="316" t="str">
        <f>IFERROR(__xludf.DUMMYFUNCTION("GOOGLETRANSLATE(A34,""zh-tw"",""RU"")"),"Благословения обильного урожая")</f>
        <v>Благословения обильного урожая</v>
      </c>
      <c r="Z34" s="317" t="str">
        <f>IFERROR(__xludf.DUMMYFUNCTION("GOOGLETRANSLATE(B34,""zh-tw"",""RU"")"),"Да будут благословенны ваши сердца.")</f>
        <v>Да будут благословенны ваши сердца.</v>
      </c>
      <c r="AA34" s="318" t="str">
        <f>IFERROR(__xludf.DUMMYFUNCTION("GOOGLETRANSLATE(C34,""zh-tw"",""RU"")"),"Получив благословение Святого Грааля, ваши деньги удвоятся.")</f>
        <v>Получив благословение Святого Грааля, ваши деньги удвоятся.</v>
      </c>
      <c r="AB34" s="397" t="str">
        <f>IFERROR(__xludf.DUMMYFUNCTION("GOOGLETRANSLATE(D34,""zh-tw"",""RU"")"),"Незавершённый Святой Грааль")</f>
        <v>Незавершённый Святой Грааль</v>
      </c>
      <c r="AC34" s="316" t="str">
        <f>IFERROR(__xludf.DUMMYFUNCTION("GOOGLETRANSLATE(A34,""zh-tw"",""DE"")"),"Segen einer reichen Ernte")</f>
        <v>Segen einer reichen Ernte</v>
      </c>
      <c r="AD34" s="317" t="str">
        <f>IFERROR(__xludf.DUMMYFUNCTION("GOOGLETRANSLATE(B34,""zh-tw"",""DE"")"),"Mögest du gesegnet sein.")</f>
        <v>Mögest du gesegnet sein.</v>
      </c>
      <c r="AE34" s="318" t="str">
        <f>IFERROR(__xludf.DUMMYFUNCTION("GOOGLETRANSLATE(C34,""zh-tw"",""DE"")"),"Nachdem Sie den Segen des Heiligen Grals erhalten haben, wird sich Ihr Geld verdoppeln.")</f>
        <v>Nachdem Sie den Segen des Heiligen Grals erhalten haben, wird sich Ihr Geld verdoppeln.</v>
      </c>
      <c r="AF34" s="397" t="str">
        <f>IFERROR(__xludf.DUMMYFUNCTION("GOOGLETRANSLATE(D34,""zh-tw"",""DE"")"),"Der unvollständige Heilige Gral")</f>
        <v>Der unvollständige Heilige Gral</v>
      </c>
      <c r="AG34" s="156" t="s">
        <v>6807</v>
      </c>
      <c r="AH34" s="166" t="s">
        <v>6808</v>
      </c>
      <c r="AI34" s="322" t="s">
        <v>6809</v>
      </c>
      <c r="AJ34" s="185" t="s">
        <v>6810</v>
      </c>
      <c r="AK34" s="396"/>
      <c r="AL34" s="396"/>
      <c r="AM34" s="396"/>
    </row>
    <row r="35">
      <c r="A35" s="175" t="s">
        <v>6811</v>
      </c>
      <c r="B35" s="319" t="s">
        <v>724</v>
      </c>
      <c r="C35" s="321" t="s">
        <v>724</v>
      </c>
      <c r="D35" s="396" t="s">
        <v>6812</v>
      </c>
      <c r="E35" s="316" t="str">
        <f>IFERROR(__xludf.DUMMYFUNCTION("GOOGLETRANSLATE(A35,""zh-tw"",""ja"")"),"氷床")</f>
        <v>氷床</v>
      </c>
      <c r="F35" s="317" t="str">
        <f>IFERROR(__xludf.DUMMYFUNCTION("GOOGLETRANSLATE(B35,""zh-tw"",""ja"")"),"-")</f>
        <v>-</v>
      </c>
      <c r="G35" s="318" t="str">
        <f>IFERROR(__xludf.DUMMYFUNCTION("GOOGLETRANSLATE(C35,""zh-tw"",""ja"")"),"-")</f>
        <v>-</v>
      </c>
      <c r="H35" s="397" t="str">
        <f>IFERROR(__xludf.DUMMYFUNCTION("GOOGLETRANSLATE(D35,""zh-tw"",""ja"")"),"例えば、古いバージョンのアイススタッフ")</f>
        <v>例えば、古いバージョンのアイススタッフ</v>
      </c>
      <c r="I35" s="175" t="s">
        <v>6813</v>
      </c>
      <c r="J35" s="317" t="str">
        <f>IFERROR(__xludf.DUMMYFUNCTION("GOOGLETRANSLATE(B35,""zh-tw"",""en"")"),"-")</f>
        <v>-</v>
      </c>
      <c r="K35" s="318" t="str">
        <f>IFERROR(__xludf.DUMMYFUNCTION("GOOGLETRANSLATE(C35,""zh-tw"",""en"")"),"-")</f>
        <v>-</v>
      </c>
      <c r="L35" s="396" t="s">
        <v>6814</v>
      </c>
      <c r="M35" s="316" t="str">
        <f>IFERROR(__xludf.DUMMYFUNCTION("GOOGLETRANSLATE(A35,""zh-tw"",""zh"")"),"冰地板")</f>
        <v>冰地板</v>
      </c>
      <c r="N35" s="317" t="str">
        <f>IFERROR(__xludf.DUMMYFUNCTION("GOOGLETRANSLATE(B35,""zh-tw"",""zh"")"),"-")</f>
        <v>-</v>
      </c>
      <c r="O35" s="318" t="str">
        <f>IFERROR(__xludf.DUMMYFUNCTION("GOOGLETRANSLATE(C35,""zh-tw"",""zh"")"),"-")</f>
        <v>-</v>
      </c>
      <c r="P35" s="397" t="str">
        <f>IFERROR(__xludf.DUMMYFUNCTION("GOOGLETRANSLATE(D35,""zh-tw"",""zh"")"),"例如:旧版本的寒冰杖")</f>
        <v>例如:旧版本的寒冰杖</v>
      </c>
      <c r="Q35" s="150" t="str">
        <f>IFERROR(__xludf.DUMMYFUNCTION("GOOGLETRANSLATE(A35,""zh-tw"",""es-MX"")"),"suelo de hielo")</f>
        <v>suelo de hielo</v>
      </c>
      <c r="R35" s="164" t="str">
        <f>IFERROR(__xludf.DUMMYFUNCTION("GOOGLETRANSLATE(B35,""zh-tw"",""es-MX"")"),"-")</f>
        <v>-</v>
      </c>
      <c r="S35" s="320" t="str">
        <f>IFERROR(__xludf.DUMMYFUNCTION("GOOGLETRANSLATE(C35,""zh-tw"",""es-MX"")"),"-")</f>
        <v>-</v>
      </c>
      <c r="T35" s="176" t="str">
        <f>IFERROR(__xludf.DUMMYFUNCTION("GOOGLETRANSLATE(D35,""zh-tw"",""es-MX"")"),"Por ejemplo, la versión antigua de Ice Staff")</f>
        <v>Por ejemplo, la versión antigua de Ice Staff</v>
      </c>
      <c r="U35" s="150" t="str">
        <f>IFERROR(__xludf.DUMMYFUNCTION("GOOGLETRANSLATE(A35,""zh-tw"",""KO"")"),"얼음 바닥")</f>
        <v>얼음 바닥</v>
      </c>
      <c r="V35" s="164" t="str">
        <f>IFERROR(__xludf.DUMMYFUNCTION("GOOGLETRANSLATE(B35,""zh-tw"",""KO"")"),"-")</f>
        <v>-</v>
      </c>
      <c r="W35" s="320" t="str">
        <f>IFERROR(__xludf.DUMMYFUNCTION("GOOGLETRANSLATE(C35,""zh-tw"",""KO"")"),"-")</f>
        <v>-</v>
      </c>
      <c r="X35" s="176" t="str">
        <f>IFERROR(__xludf.DUMMYFUNCTION("GOOGLETRANSLATE(D35,""zh-tw"",""KO"")"),"예를 들어, Ice Staff의 이전 버전")</f>
        <v>예를 들어, Ice Staff의 이전 버전</v>
      </c>
      <c r="Y35" s="316" t="str">
        <f>IFERROR(__xludf.DUMMYFUNCTION("GOOGLETRANSLATE(A35,""zh-tw"",""RU"")"),"Ледяной пол")</f>
        <v>Ледяной пол</v>
      </c>
      <c r="Z35" s="317" t="str">
        <f>IFERROR(__xludf.DUMMYFUNCTION("GOOGLETRANSLATE(B35,""zh-tw"",""RU"")"),"-")</f>
        <v>-</v>
      </c>
      <c r="AA35" s="318" t="str">
        <f>IFERROR(__xludf.DUMMYFUNCTION("GOOGLETRANSLATE(C35,""zh-tw"",""RU"")"),"-")</f>
        <v>-</v>
      </c>
      <c r="AB35" s="397" t="str">
        <f>IFERROR(__xludf.DUMMYFUNCTION("GOOGLETRANSLATE(D35,""zh-tw"",""RU"")"),"Например, старая версия Ice Staff")</f>
        <v>Например, старая версия Ice Staff</v>
      </c>
      <c r="AC35" s="316" t="str">
        <f>IFERROR(__xludf.DUMMYFUNCTION("GOOGLETRANSLATE(A35,""zh-tw"",""DE"")"),"Eisboden")</f>
        <v>Eisboden</v>
      </c>
      <c r="AD35" s="317" t="str">
        <f>IFERROR(__xludf.DUMMYFUNCTION("GOOGLETRANSLATE(B35,""zh-tw"",""DE"")"),"-")</f>
        <v>-</v>
      </c>
      <c r="AE35" s="318" t="str">
        <f>IFERROR(__xludf.DUMMYFUNCTION("GOOGLETRANSLATE(C35,""zh-tw"",""DE"")"),"-")</f>
        <v>-</v>
      </c>
      <c r="AF35" s="397" t="str">
        <f>IFERROR(__xludf.DUMMYFUNCTION("GOOGLETRANSLATE(D35,""zh-tw"",""DE"")"),"Zum Beispiel die alte Version von Ice Staff")</f>
        <v>Zum Beispiel die alte Version von Ice Staff</v>
      </c>
      <c r="AG35" s="156" t="s">
        <v>6815</v>
      </c>
      <c r="AH35" s="166" t="s">
        <v>724</v>
      </c>
      <c r="AI35" s="322" t="s">
        <v>724</v>
      </c>
      <c r="AJ35" s="185" t="s">
        <v>6816</v>
      </c>
      <c r="AK35" s="396"/>
      <c r="AL35" s="396"/>
      <c r="AM35" s="396"/>
    </row>
    <row r="36">
      <c r="A36" s="175" t="s">
        <v>6817</v>
      </c>
      <c r="B36" s="319" t="s">
        <v>6818</v>
      </c>
      <c r="C36" s="321" t="s">
        <v>6819</v>
      </c>
      <c r="D36" s="396" t="s">
        <v>4616</v>
      </c>
      <c r="E36" s="175" t="s">
        <v>4618</v>
      </c>
      <c r="F36" s="319" t="s">
        <v>6820</v>
      </c>
      <c r="G36" s="318" t="str">
        <f>IFERROR(__xludf.DUMMYFUNCTION("GOOGLETRANSLATE(C36,""zh-tw"",""ja"")"),"全属性が上昇し、一時的に無敵になる。")</f>
        <v>全属性が上昇し、一時的に無敵になる。</v>
      </c>
      <c r="H36" s="396" t="s">
        <v>4618</v>
      </c>
      <c r="I36" s="175" t="s">
        <v>4620</v>
      </c>
      <c r="J36" s="319" t="s">
        <v>6821</v>
      </c>
      <c r="K36" s="321" t="s">
        <v>6822</v>
      </c>
      <c r="L36" s="396" t="s">
        <v>4620</v>
      </c>
      <c r="M36" s="316" t="str">
        <f>IFERROR(__xludf.DUMMYFUNCTION("GOOGLETRANSLATE(A36,""zh-tw"",""zh"")"),"上古荣光")</f>
        <v>上古荣光</v>
      </c>
      <c r="N36" s="317" t="str">
        <f>IFERROR(__xludf.DUMMYFUNCTION("GOOGLETRANSLATE(B36,""zh-tw"",""zh"")"),"你散发着荣光")</f>
        <v>你散发着荣光</v>
      </c>
      <c r="O36" s="318" t="str">
        <f>IFERROR(__xludf.DUMMYFUNCTION("GOOGLETRANSLATE(C36,""zh-tw"",""zh"")"),"全属性上升，暂时无敌")</f>
        <v>全属性上升，暂时无敌</v>
      </c>
      <c r="P36" s="397" t="str">
        <f>IFERROR(__xludf.DUMMYFUNCTION("GOOGLETRANSLATE(D36,""zh-tw"",""zh"")"),"荒古荣光")</f>
        <v>荒古荣光</v>
      </c>
      <c r="Q36" s="150" t="str">
        <f>IFERROR(__xludf.DUMMYFUNCTION("GOOGLETRANSLATE(A36,""zh-tw"",""es-MX"")"),"Gloria Antigua")</f>
        <v>Gloria Antigua</v>
      </c>
      <c r="R36" s="164" t="str">
        <f>IFERROR(__xludf.DUMMYFUNCTION("GOOGLETRANSLATE(B36,""zh-tw"",""es-MX"")"),"Irradias gloria")</f>
        <v>Irradias gloria</v>
      </c>
      <c r="S36" s="320" t="str">
        <f>IFERROR(__xludf.DUMMYFUNCTION("GOOGLETRANSLATE(C36,""zh-tw"",""es-MX"")"),"Todos los atributos aumentaron, invencibles temporalmente.")</f>
        <v>Todos los atributos aumentaron, invencibles temporalmente.</v>
      </c>
      <c r="T36" s="176" t="str">
        <f>IFERROR(__xludf.DUMMYFUNCTION("GOOGLETRANSLATE(D36,""zh-tw"",""es-MX"")"),"Gloria Antigua")</f>
        <v>Gloria Antigua</v>
      </c>
      <c r="U36" s="150" t="str">
        <f>IFERROR(__xludf.DUMMYFUNCTION("GOOGLETRANSLATE(A36,""zh-tw"",""KO"")"),"고대의 영광")</f>
        <v>고대의 영광</v>
      </c>
      <c r="V36" s="164" t="str">
        <f>IFERROR(__xludf.DUMMYFUNCTION("GOOGLETRANSLATE(B36,""zh-tw"",""KO"")"),"당신은 영광을 발산합니다")</f>
        <v>당신은 영광을 발산합니다</v>
      </c>
      <c r="W36" s="320" t="str">
        <f>IFERROR(__xludf.DUMMYFUNCTION("GOOGLETRANSLATE(C36,""zh-tw"",""KO"")"),"모든 속성이 증가하고, 일시적으로 무적이 됩니다.")</f>
        <v>모든 속성이 증가하고, 일시적으로 무적이 됩니다.</v>
      </c>
      <c r="X36" s="176" t="str">
        <f>IFERROR(__xludf.DUMMYFUNCTION("GOOGLETRANSLATE(D36,""zh-tw"",""KO"")"),"고대의 영광")</f>
        <v>고대의 영광</v>
      </c>
      <c r="Y36" s="316" t="str">
        <f>IFERROR(__xludf.DUMMYFUNCTION("GOOGLETRANSLATE(A36,""zh-tw"",""RU"")"),"Древняя слава")</f>
        <v>Древняя слава</v>
      </c>
      <c r="Z36" s="317" t="str">
        <f>IFERROR(__xludf.DUMMYFUNCTION("GOOGLETRANSLATE(B36,""zh-tw"",""RU"")"),"Ты излучаешь славу")</f>
        <v>Ты излучаешь славу</v>
      </c>
      <c r="AA36" s="318" t="str">
        <f>IFERROR(__xludf.DUMMYFUNCTION("GOOGLETRANSLATE(C36,""zh-tw"",""RU"")"),"Все характеристики увеличены, временно неуязвим.")</f>
        <v>Все характеристики увеличены, временно неуязвим.</v>
      </c>
      <c r="AB36" s="397" t="str">
        <f>IFERROR(__xludf.DUMMYFUNCTION("GOOGLETRANSLATE(D36,""zh-tw"",""RU"")"),"Древняя слава")</f>
        <v>Древняя слава</v>
      </c>
      <c r="AC36" s="150" t="str">
        <f>IFERROR(__xludf.DUMMYFUNCTION("GOOGLETRANSLATE(A36,""zh-tw"",""DE"")"),"Antiker Ruhm")</f>
        <v>Antiker Ruhm</v>
      </c>
      <c r="AD36" s="317" t="str">
        <f>IFERROR(__xludf.DUMMYFUNCTION("GOOGLETRANSLATE(B36,""zh-tw"",""DE"")"),"Du strahlst Glanz aus")</f>
        <v>Du strahlst Glanz aus</v>
      </c>
      <c r="AE36" s="318" t="str">
        <f>IFERROR(__xludf.DUMMYFUNCTION("GOOGLETRANSLATE(C36,""zh-tw"",""DE"")"),"Alle Attribute erhöht, vorübergehend unbesiegbar.")</f>
        <v>Alle Attribute erhöht, vorübergehend unbesiegbar.</v>
      </c>
      <c r="AF36" s="397" t="str">
        <f>IFERROR(__xludf.DUMMYFUNCTION("GOOGLETRANSLATE(D36,""zh-tw"",""DE"")"),"Antiker Ruhm")</f>
        <v>Antiker Ruhm</v>
      </c>
      <c r="AG36" s="156" t="s">
        <v>6823</v>
      </c>
      <c r="AH36" s="166" t="s">
        <v>6824</v>
      </c>
      <c r="AI36" s="322" t="s">
        <v>6825</v>
      </c>
      <c r="AJ36" s="185" t="s">
        <v>6823</v>
      </c>
      <c r="AK36" s="396"/>
      <c r="AL36" s="396"/>
      <c r="AM36" s="396"/>
    </row>
    <row r="37">
      <c r="A37" s="175" t="s">
        <v>2696</v>
      </c>
      <c r="B37" s="319" t="s">
        <v>6826</v>
      </c>
      <c r="C37" s="321" t="s">
        <v>6827</v>
      </c>
      <c r="D37" s="396" t="s">
        <v>6828</v>
      </c>
      <c r="E37" s="175" t="s">
        <v>2699</v>
      </c>
      <c r="F37" s="319" t="s">
        <v>6829</v>
      </c>
      <c r="G37" s="318" t="str">
        <f>IFERROR(__xludf.DUMMYFUNCTION("GOOGLETRANSLATE(C37,""zh-tw"",""ja"")"),"スタミナを回復できない")</f>
        <v>スタミナを回復できない</v>
      </c>
      <c r="H37" s="396" t="s">
        <v>4243</v>
      </c>
      <c r="I37" s="175" t="s">
        <v>4245</v>
      </c>
      <c r="J37" s="319" t="s">
        <v>6830</v>
      </c>
      <c r="K37" s="321" t="s">
        <v>6831</v>
      </c>
      <c r="L37" s="396" t="s">
        <v>4245</v>
      </c>
      <c r="M37" s="316" t="str">
        <f>IFERROR(__xludf.DUMMYFUNCTION("GOOGLETRANSLATE(A37,""zh-tw"",""zh"")"),"稻草人")</f>
        <v>稻草人</v>
      </c>
      <c r="N37" s="317" t="str">
        <f>IFERROR(__xludf.DUMMYFUNCTION("GOOGLETRANSLATE(B37,""zh-tw"",""zh"")"),"不死的稻草人之心")</f>
        <v>不死的稻草人之心</v>
      </c>
      <c r="O37" s="318" t="str">
        <f>IFERROR(__xludf.DUMMYFUNCTION("GOOGLETRANSLATE(C37,""zh-tw"",""zh"")"),"无法回复体力")</f>
        <v>无法回复体力</v>
      </c>
      <c r="P37" s="397" t="str">
        <f>IFERROR(__xludf.DUMMYFUNCTION("GOOGLETRANSLATE(D37,""zh-tw"",""zh"")"),"稻草人之心")</f>
        <v>稻草人之心</v>
      </c>
      <c r="Q37" s="150" t="str">
        <f>IFERROR(__xludf.DUMMYFUNCTION("GOOGLETRANSLATE(A37,""zh-tw"",""es-MX"")"),"espantapájaros")</f>
        <v>espantapájaros</v>
      </c>
      <c r="R37" s="164" t="str">
        <f>IFERROR(__xludf.DUMMYFUNCTION("GOOGLETRANSLATE(B37,""zh-tw"",""es-MX"")"),"El corazón inmortal del espantapájaros")</f>
        <v>El corazón inmortal del espantapájaros</v>
      </c>
      <c r="S37" s="320" t="str">
        <f>IFERROR(__xludf.DUMMYFUNCTION("GOOGLETRANSLATE(C37,""zh-tw"",""es-MX"")"),"Incapaz de recuperar la resistencia")</f>
        <v>Incapaz de recuperar la resistencia</v>
      </c>
      <c r="T37" s="176" t="str">
        <f>IFERROR(__xludf.DUMMYFUNCTION("GOOGLETRANSLATE(D37,""zh-tw"",""es-MX"")"),"El corazón del espantapájaros")</f>
        <v>El corazón del espantapájaros</v>
      </c>
      <c r="U37" s="150" t="str">
        <f>IFERROR(__xludf.DUMMYFUNCTION("GOOGLETRANSLATE(A37,""zh-tw"",""KO"")"),"허수아비")</f>
        <v>허수아비</v>
      </c>
      <c r="V37" s="164" t="str">
        <f>IFERROR(__xludf.DUMMYFUNCTION("GOOGLETRANSLATE(B37,""zh-tw"",""KO"")"),"죽지 않는 허수아비의 심장")</f>
        <v>죽지 않는 허수아비의 심장</v>
      </c>
      <c r="W37" s="320" t="str">
        <f>IFERROR(__xludf.DUMMYFUNCTION("GOOGLETRANSLATE(C37,""zh-tw"",""KO"")"),"체력 회복이 불가능합니다")</f>
        <v>체력 회복이 불가능합니다</v>
      </c>
      <c r="X37" s="176" t="str">
        <f>IFERROR(__xludf.DUMMYFUNCTION("GOOGLETRANSLATE(D37,""zh-tw"",""KO"")"),"허수아비의 심장")</f>
        <v>허수아비의 심장</v>
      </c>
      <c r="Y37" s="316" t="str">
        <f>IFERROR(__xludf.DUMMYFUNCTION("GOOGLETRANSLATE(A37,""zh-tw"",""RU"")"),"пугало")</f>
        <v>пугало</v>
      </c>
      <c r="Z37" s="317" t="str">
        <f>IFERROR(__xludf.DUMMYFUNCTION("GOOGLETRANSLATE(B37,""zh-tw"",""RU"")"),"Сердце бессмертного пугала")</f>
        <v>Сердце бессмертного пугала</v>
      </c>
      <c r="AA37" s="318" t="str">
        <f>IFERROR(__xludf.DUMMYFUNCTION("GOOGLETRANSLATE(C37,""zh-tw"",""RU"")"),"Невозможно восстановить выносливость")</f>
        <v>Невозможно восстановить выносливость</v>
      </c>
      <c r="AB37" s="397" t="str">
        <f>IFERROR(__xludf.DUMMYFUNCTION("GOOGLETRANSLATE(D37,""zh-tw"",""RU"")"),"Сердце Пугала")</f>
        <v>Сердце Пугала</v>
      </c>
      <c r="AC37" s="316" t="str">
        <f>IFERROR(__xludf.DUMMYFUNCTION("GOOGLETRANSLATE(A37,""zh-tw"",""DE"")"),"Vogelscheuche")</f>
        <v>Vogelscheuche</v>
      </c>
      <c r="AD37" s="317" t="str">
        <f>IFERROR(__xludf.DUMMYFUNCTION("GOOGLETRANSLATE(B37,""zh-tw"",""DE"")"),"Das unsterbliche Herz der Vogelscheuche")</f>
        <v>Das unsterbliche Herz der Vogelscheuche</v>
      </c>
      <c r="AE37" s="318" t="str">
        <f>IFERROR(__xludf.DUMMYFUNCTION("GOOGLETRANSLATE(C37,""zh-tw"",""DE"")"),"Ausdauer kann nicht wiederhergestellt werden")</f>
        <v>Ausdauer kann nicht wiederhergestellt werden</v>
      </c>
      <c r="AF37" s="397" t="str">
        <f>IFERROR(__xludf.DUMMYFUNCTION("GOOGLETRANSLATE(D37,""zh-tw"",""DE"")"),"Vogelscheuchenherz")</f>
        <v>Vogelscheuchenherz</v>
      </c>
      <c r="AG37" s="156" t="s">
        <v>4251</v>
      </c>
      <c r="AH37" s="166" t="s">
        <v>6832</v>
      </c>
      <c r="AI37" s="322" t="s">
        <v>6833</v>
      </c>
      <c r="AJ37" s="185" t="s">
        <v>4251</v>
      </c>
      <c r="AK37" s="396"/>
      <c r="AL37" s="396"/>
      <c r="AM37" s="396"/>
    </row>
    <row r="38">
      <c r="A38" s="175" t="s">
        <v>6834</v>
      </c>
      <c r="B38" s="319" t="s">
        <v>724</v>
      </c>
      <c r="C38" s="321" t="s">
        <v>6835</v>
      </c>
      <c r="D38" s="396" t="s">
        <v>6836</v>
      </c>
      <c r="E38" s="316" t="str">
        <f>IFERROR(__xludf.DUMMYFUNCTION("GOOGLETRANSLATE(A38,""zh-tw"",""ja"")"),"水泳")</f>
        <v>水泳</v>
      </c>
      <c r="F38" s="317" t="str">
        <f>IFERROR(__xludf.DUMMYFUNCTION("GOOGLETRANSLATE(B38,""zh-tw"",""ja"")"),"-")</f>
        <v>-</v>
      </c>
      <c r="G38" s="318" t="str">
        <f>IFERROR(__xludf.DUMMYFUNCTION("GOOGLETRANSLATE(C38,""zh-tw"",""ja"")"),"水に浮くと移動速度が低下し、攻撃もできなくなります。")</f>
        <v>水に浮くと移動速度が低下し、攻撃もできなくなります。</v>
      </c>
      <c r="H38" s="397" t="str">
        <f>IFERROR(__xludf.DUMMYFUNCTION("GOOGLETRANSLATE(D38,""zh-tw"",""ja"")"),"泳ぐ")</f>
        <v>泳ぐ</v>
      </c>
      <c r="I38" s="175" t="s">
        <v>6837</v>
      </c>
      <c r="J38" s="317" t="str">
        <f>IFERROR(__xludf.DUMMYFUNCTION("GOOGLETRANSLATE(B38,""zh-tw"",""en"")"),"-")</f>
        <v>-</v>
      </c>
      <c r="K38" s="321" t="s">
        <v>6838</v>
      </c>
      <c r="L38" s="396" t="s">
        <v>6839</v>
      </c>
      <c r="M38" s="316" t="str">
        <f>IFERROR(__xludf.DUMMYFUNCTION("GOOGLETRANSLATE(A38,""zh-tw"",""zh"")"),"游泳中")</f>
        <v>游泳中</v>
      </c>
      <c r="N38" s="317" t="str">
        <f>IFERROR(__xludf.DUMMYFUNCTION("GOOGLETRANSLATE(B38,""zh-tw"",""zh"")"),"-")</f>
        <v>-</v>
      </c>
      <c r="O38" s="318" t="str">
        <f>IFERROR(__xludf.DUMMYFUNCTION("GOOGLETRANSLATE(C38,""zh-tw"",""zh"")"),"浮在水面上，移速下降，无法攻击")</f>
        <v>浮在水面上，移速下降，无法攻击</v>
      </c>
      <c r="P38" s="397" t="str">
        <f>IFERROR(__xludf.DUMMYFUNCTION("GOOGLETRANSLATE(D38,""zh-tw"",""zh"")"),"游泳")</f>
        <v>游泳</v>
      </c>
      <c r="Q38" s="150" t="str">
        <f>IFERROR(__xludf.DUMMYFUNCTION("GOOGLETRANSLATE(A38,""zh-tw"",""es-MX"")"),"Nadar")</f>
        <v>Nadar</v>
      </c>
      <c r="R38" s="164" t="str">
        <f>IFERROR(__xludf.DUMMYFUNCTION("GOOGLETRANSLATE(B38,""zh-tw"",""es-MX"")"),"-")</f>
        <v>-</v>
      </c>
      <c r="S38" s="320" t="str">
        <f>IFERROR(__xludf.DUMMYFUNCTION("GOOGLETRANSLATE(C38,""zh-tw"",""es-MX"")"),"Al flotar en el agua, la velocidad de movimiento disminuye y los ataques se vuelven imposibles.")</f>
        <v>Al flotar en el agua, la velocidad de movimiento disminuye y los ataques se vuelven imposibles.</v>
      </c>
      <c r="T38" s="176" t="str">
        <f>IFERROR(__xludf.DUMMYFUNCTION("GOOGLETRANSLATE(D38,""zh-tw"",""es-MX"")"),"nadar")</f>
        <v>nadar</v>
      </c>
      <c r="U38" s="150" t="str">
        <f>IFERROR(__xludf.DUMMYFUNCTION("GOOGLETRANSLATE(A38,""zh-tw"",""KO"")"),"수영")</f>
        <v>수영</v>
      </c>
      <c r="V38" s="164" t="str">
        <f>IFERROR(__xludf.DUMMYFUNCTION("GOOGLETRANSLATE(B38,""zh-tw"",""KO"")"),"-")</f>
        <v>-</v>
      </c>
      <c r="W38" s="320" t="str">
        <f>IFERROR(__xludf.DUMMYFUNCTION("GOOGLETRANSLATE(C38,""zh-tw"",""KO"")"),"물 위에 떠 있는 동안에는 이동 속도가 감소하고 공격이 불가능해집니다.")</f>
        <v>물 위에 떠 있는 동안에는 이동 속도가 감소하고 공격이 불가능해집니다.</v>
      </c>
      <c r="X38" s="176" t="str">
        <f>IFERROR(__xludf.DUMMYFUNCTION("GOOGLETRANSLATE(D38,""zh-tw"",""KO"")"),"헤엄")</f>
        <v>헤엄</v>
      </c>
      <c r="Y38" s="316" t="str">
        <f>IFERROR(__xludf.DUMMYFUNCTION("GOOGLETRANSLATE(A38,""zh-tw"",""RU"")"),"Плавание")</f>
        <v>Плавание</v>
      </c>
      <c r="Z38" s="317" t="str">
        <f>IFERROR(__xludf.DUMMYFUNCTION("GOOGLETRANSLATE(B38,""zh-tw"",""RU"")"),"-")</f>
        <v>-</v>
      </c>
      <c r="AA38" s="318" t="str">
        <f>IFERROR(__xludf.DUMMYFUNCTION("GOOGLETRANSLATE(C38,""zh-tw"",""RU"")"),"Находясь на воде, скорость передвижения снижается, а атаки становятся невозможными.")</f>
        <v>Находясь на воде, скорость передвижения снижается, а атаки становятся невозможными.</v>
      </c>
      <c r="AB38" s="397" t="str">
        <f>IFERROR(__xludf.DUMMYFUNCTION("GOOGLETRANSLATE(D38,""zh-tw"",""RU"")"),"плавать")</f>
        <v>плавать</v>
      </c>
      <c r="AC38" s="316" t="str">
        <f>IFERROR(__xludf.DUMMYFUNCTION("GOOGLETRANSLATE(A38,""zh-tw"",""DE"")"),"Baden")</f>
        <v>Baden</v>
      </c>
      <c r="AD38" s="317" t="str">
        <f>IFERROR(__xludf.DUMMYFUNCTION("GOOGLETRANSLATE(B38,""zh-tw"",""DE"")"),"-")</f>
        <v>-</v>
      </c>
      <c r="AE38" s="318" t="str">
        <f>IFERROR(__xludf.DUMMYFUNCTION("GOOGLETRANSLATE(C38,""zh-tw"",""DE"")"),"Auf dem Wasser treibend, verringert sich die Bewegungsgeschwindigkeit und Angriffe werden unmöglich.")</f>
        <v>Auf dem Wasser treibend, verringert sich die Bewegungsgeschwindigkeit und Angriffe werden unmöglich.</v>
      </c>
      <c r="AF38" s="397" t="str">
        <f>IFERROR(__xludf.DUMMYFUNCTION("GOOGLETRANSLATE(D38,""zh-tw"",""DE"")"),"schwimmen")</f>
        <v>schwimmen</v>
      </c>
      <c r="AG38" s="156" t="s">
        <v>6840</v>
      </c>
      <c r="AH38" s="166" t="s">
        <v>724</v>
      </c>
      <c r="AI38" s="322" t="s">
        <v>6841</v>
      </c>
      <c r="AJ38" s="185" t="s">
        <v>6842</v>
      </c>
      <c r="AK38" s="396"/>
      <c r="AL38" s="396"/>
      <c r="AM38" s="396"/>
    </row>
    <row r="39">
      <c r="A39" s="175" t="s">
        <v>6843</v>
      </c>
      <c r="B39" s="319" t="s">
        <v>6844</v>
      </c>
      <c r="C39" s="321" t="s">
        <v>6845</v>
      </c>
      <c r="D39" s="396" t="s">
        <v>4440</v>
      </c>
      <c r="E39" s="316" t="str">
        <f>IFERROR(__xludf.DUMMYFUNCTION("GOOGLETRANSLATE(A39,""zh-tw"",""ja"")"),"騎士道")</f>
        <v>騎士道</v>
      </c>
      <c r="F39" s="317" t="str">
        <f>IFERROR(__xludf.DUMMYFUNCTION("GOOGLETRANSLATE(B39,""zh-tw"",""ja"")"),"我々は守護者だ。")</f>
        <v>我々は守護者だ。</v>
      </c>
      <c r="G39" s="318" t="str">
        <f>IFERROR(__xludf.DUMMYFUNCTION("GOOGLETRANSLATE(C39,""zh-tw"",""ja"")"),"攻撃力が30増加")</f>
        <v>攻撃力が30増加</v>
      </c>
      <c r="H39" s="397" t="str">
        <f>IFERROR(__xludf.DUMMYFUNCTION("GOOGLETRANSLATE(D39,""zh-tw"",""ja"")"),"騎士の剣")</f>
        <v>騎士の剣</v>
      </c>
      <c r="I39" s="175" t="s">
        <v>6846</v>
      </c>
      <c r="J39" s="319" t="s">
        <v>6847</v>
      </c>
      <c r="K39" s="321" t="s">
        <v>6848</v>
      </c>
      <c r="L39" s="396" t="s">
        <v>4008</v>
      </c>
      <c r="M39" s="316" t="str">
        <f>IFERROR(__xludf.DUMMYFUNCTION("GOOGLETRANSLATE(A39,""zh-tw"",""zh"")"),"骑士精神")</f>
        <v>骑士精神</v>
      </c>
      <c r="N39" s="317" t="str">
        <f>IFERROR(__xludf.DUMMYFUNCTION("GOOGLETRANSLATE(B39,""zh-tw"",""zh"")"),"我等乃是守护者")</f>
        <v>我等乃是守护者</v>
      </c>
      <c r="O39" s="318" t="str">
        <f>IFERROR(__xludf.DUMMYFUNCTION("GOOGLETRANSLATE(C39,""zh-tw"",""zh"")"),"攻击力提升30")</f>
        <v>攻击力提升30</v>
      </c>
      <c r="P39" s="397" t="str">
        <f>IFERROR(__xludf.DUMMYFUNCTION("GOOGLETRANSLATE(D39,""zh-tw"",""zh"")"),"骑士之剑")</f>
        <v>骑士之剑</v>
      </c>
      <c r="Q39" s="150" t="str">
        <f>IFERROR(__xludf.DUMMYFUNCTION("GOOGLETRANSLATE(A39,""zh-tw"",""es-MX"")"),"Caballería")</f>
        <v>Caballería</v>
      </c>
      <c r="R39" s="164" t="str">
        <f>IFERROR(__xludf.DUMMYFUNCTION("GOOGLETRANSLATE(B39,""zh-tw"",""es-MX"")"),"Somos los guardianes.")</f>
        <v>Somos los guardianes.</v>
      </c>
      <c r="S39" s="320" t="str">
        <f>IFERROR(__xludf.DUMMYFUNCTION("GOOGLETRANSLATE(C39,""zh-tw"",""es-MX"")"),"El poder de ataque aumentó en 30.")</f>
        <v>El poder de ataque aumentó en 30.</v>
      </c>
      <c r="T39" s="176" t="str">
        <f>IFERROR(__xludf.DUMMYFUNCTION("GOOGLETRANSLATE(D39,""zh-tw"",""es-MX"")"),"Espada de caballero")</f>
        <v>Espada de caballero</v>
      </c>
      <c r="U39" s="150" t="str">
        <f>IFERROR(__xludf.DUMMYFUNCTION("GOOGLETRANSLATE(A39,""zh-tw"",""KO"")"),"기사도")</f>
        <v>기사도</v>
      </c>
      <c r="V39" s="164" t="str">
        <f>IFERROR(__xludf.DUMMYFUNCTION("GOOGLETRANSLATE(B39,""zh-tw"",""KO"")"),"우리는 수호자입니다.")</f>
        <v>우리는 수호자입니다.</v>
      </c>
      <c r="W39" s="320" t="str">
        <f>IFERROR(__xludf.DUMMYFUNCTION("GOOGLETRANSLATE(C39,""zh-tw"",""KO"")"),"공격력 30 증가")</f>
        <v>공격력 30 증가</v>
      </c>
      <c r="X39" s="176" t="str">
        <f>IFERROR(__xludf.DUMMYFUNCTION("GOOGLETRANSLATE(D39,""zh-tw"",""KO"")"),"기사의 검")</f>
        <v>기사의 검</v>
      </c>
      <c r="Y39" s="316" t="str">
        <f>IFERROR(__xludf.DUMMYFUNCTION("GOOGLETRANSLATE(A39,""zh-tw"",""RU"")"),"Рыцарство")</f>
        <v>Рыцарство</v>
      </c>
      <c r="Z39" s="317" t="str">
        <f>IFERROR(__xludf.DUMMYFUNCTION("GOOGLETRANSLATE(B39,""zh-tw"",""RU"")"),"Мы — хранители.")</f>
        <v>Мы — хранители.</v>
      </c>
      <c r="AA39" s="318" t="str">
        <f>IFERROR(__xludf.DUMMYFUNCTION("GOOGLETRANSLATE(C39,""zh-tw"",""RU"")"),"Сила атаки увеличена на 30")</f>
        <v>Сила атаки увеличена на 30</v>
      </c>
      <c r="AB39" s="397" t="str">
        <f>IFERROR(__xludf.DUMMYFUNCTION("GOOGLETRANSLATE(D39,""zh-tw"",""RU"")"),"Рыцарский меч")</f>
        <v>Рыцарский меч</v>
      </c>
      <c r="AC39" s="316" t="str">
        <f>IFERROR(__xludf.DUMMYFUNCTION("GOOGLETRANSLATE(A39,""zh-tw"",""DE"")"),"Ritterlichkeit")</f>
        <v>Ritterlichkeit</v>
      </c>
      <c r="AD39" s="317" t="str">
        <f>IFERROR(__xludf.DUMMYFUNCTION("GOOGLETRANSLATE(B39,""zh-tw"",""DE"")"),"Wir sind die Wächter.")</f>
        <v>Wir sind die Wächter.</v>
      </c>
      <c r="AE39" s="318" t="str">
        <f>IFERROR(__xludf.DUMMYFUNCTION("GOOGLETRANSLATE(C39,""zh-tw"",""DE"")"),"Angriffskraft um 30 erhöht")</f>
        <v>Angriffskraft um 30 erhöht</v>
      </c>
      <c r="AF39" s="397" t="str">
        <f>IFERROR(__xludf.DUMMYFUNCTION("GOOGLETRANSLATE(D39,""zh-tw"",""DE"")"),"Ritterschwert")</f>
        <v>Ritterschwert</v>
      </c>
      <c r="AG39" s="156" t="s">
        <v>6849</v>
      </c>
      <c r="AH39" s="166" t="s">
        <v>6850</v>
      </c>
      <c r="AI39" s="322" t="s">
        <v>6851</v>
      </c>
      <c r="AJ39" s="185" t="s">
        <v>4015</v>
      </c>
      <c r="AK39" s="396"/>
      <c r="AL39" s="396"/>
      <c r="AM39" s="396"/>
    </row>
    <row r="40">
      <c r="A40" s="175" t="s">
        <v>6852</v>
      </c>
      <c r="B40" s="319" t="s">
        <v>6853</v>
      </c>
      <c r="C40" s="321" t="s">
        <v>6854</v>
      </c>
      <c r="D40" s="396" t="s">
        <v>4823</v>
      </c>
      <c r="E40" s="175" t="s">
        <v>6855</v>
      </c>
      <c r="F40" s="319" t="s">
        <v>6856</v>
      </c>
      <c r="G40" s="318" t="str">
        <f>IFERROR(__xludf.DUMMYFUNCTION("GOOGLETRANSLATE(C40,""zh-tw"",""ja"")"),"スタミナは自動的に回復します。")</f>
        <v>スタミナは自動的に回復します。</v>
      </c>
      <c r="H40" s="396" t="s">
        <v>6857</v>
      </c>
      <c r="I40" s="175" t="s">
        <v>6858</v>
      </c>
      <c r="J40" s="319" t="s">
        <v>6859</v>
      </c>
      <c r="K40" s="321" t="s">
        <v>6860</v>
      </c>
      <c r="L40" s="396" t="s">
        <v>6861</v>
      </c>
      <c r="M40" s="316" t="str">
        <f>IFERROR(__xludf.DUMMYFUNCTION("GOOGLETRANSLATE(A40,""zh-tw"",""zh"")"),"妹妹的胖次")</f>
        <v>妹妹的胖次</v>
      </c>
      <c r="N40" s="317" t="str">
        <f>IFERROR(__xludf.DUMMYFUNCTION("GOOGLETRANSLATE(B40,""zh-tw"",""zh"")"),"就感觉妹妹在身边一样……")</f>
        <v>就感觉妹妹在身边一样……</v>
      </c>
      <c r="O40" s="318" t="str">
        <f>IFERROR(__xludf.DUMMYFUNCTION("GOOGLETRANSLATE(C40,""zh-tw"",""zh"")"),"体力自动恢复中")</f>
        <v>体力自动恢复中</v>
      </c>
      <c r="P40" s="397" t="str">
        <f>IFERROR(__xludf.DUMMYFUNCTION("GOOGLETRANSLATE(D40,""zh-tw"",""zh"")"),"妹妹脱下的内裤")</f>
        <v>妹妹脱下的内裤</v>
      </c>
      <c r="Q40" s="150" t="str">
        <f>IFERROR(__xludf.DUMMYFUNCTION("GOOGLETRANSLATE(A40,""zh-tw"",""es-MX"")"),"Las bragas de mi hermana")</f>
        <v>Las bragas de mi hermana</v>
      </c>
      <c r="R40" s="164" t="str">
        <f>IFERROR(__xludf.DUMMYFUNCTION("GOOGLETRANSLATE(B40,""zh-tw"",""es-MX"")"),"Siento como si mi hermana estuviera justo a mi lado...")</f>
        <v>Siento como si mi hermana estuviera justo a mi lado...</v>
      </c>
      <c r="S40" s="320" t="str">
        <f>IFERROR(__xludf.DUMMYFUNCTION("GOOGLETRANSLATE(C40,""zh-tw"",""es-MX"")"),"La resistencia se recupera automáticamente.")</f>
        <v>La resistencia se recupera automáticamente.</v>
      </c>
      <c r="T40" s="176" t="str">
        <f>IFERROR(__xludf.DUMMYFUNCTION("GOOGLETRANSLATE(D40,""zh-tw"",""es-MX"")"),"La ropa interior de mi hermana")</f>
        <v>La ropa interior de mi hermana</v>
      </c>
      <c r="U40" s="150" t="str">
        <f>IFERROR(__xludf.DUMMYFUNCTION("GOOGLETRANSLATE(A40,""zh-tw"",""KO"")"),"내 여동생의 팬티")</f>
        <v>내 여동생의 팬티</v>
      </c>
      <c r="V40" s="164" t="str">
        <f>IFERROR(__xludf.DUMMYFUNCTION("GOOGLETRANSLATE(B40,""zh-tw"",""KO"")"),"마치 언니가 바로 옆에 있는 것 같은 느낌이 들어요...")</f>
        <v>마치 언니가 바로 옆에 있는 것 같은 느낌이 들어요...</v>
      </c>
      <c r="W40" s="320" t="str">
        <f>IFERROR(__xludf.DUMMYFUNCTION("GOOGLETRANSLATE(C40,""zh-tw"",""KO"")"),"체력은 자동으로 회복됩니다.")</f>
        <v>체력은 자동으로 회복됩니다.</v>
      </c>
      <c r="X40" s="176" t="str">
        <f>IFERROR(__xludf.DUMMYFUNCTION("GOOGLETRANSLATE(D40,""zh-tw"",""KO"")"),"내 여동생의 속옷")</f>
        <v>내 여동생의 속옷</v>
      </c>
      <c r="Y40" s="316" t="str">
        <f>IFERROR(__xludf.DUMMYFUNCTION("GOOGLETRANSLATE(A40,""zh-tw"",""RU"")"),"Трусики моей сестры")</f>
        <v>Трусики моей сестры</v>
      </c>
      <c r="Z40" s="317" t="str">
        <f>IFERROR(__xludf.DUMMYFUNCTION("GOOGLETRANSLATE(B40,""zh-tw"",""RU"")"),"Такое ощущение, будто моя сестра рядом со мной...")</f>
        <v>Такое ощущение, будто моя сестра рядом со мной...</v>
      </c>
      <c r="AA40" s="318" t="str">
        <f>IFERROR(__xludf.DUMMYFUNCTION("GOOGLETRANSLATE(C40,""zh-tw"",""RU"")"),"Выносливость восстанавливается автоматически.")</f>
        <v>Выносливость восстанавливается автоматически.</v>
      </c>
      <c r="AB40" s="397" t="str">
        <f>IFERROR(__xludf.DUMMYFUNCTION("GOOGLETRANSLATE(D40,""zh-tw"",""RU"")"),"Нижнее белье моей сестры")</f>
        <v>Нижнее белье моей сестры</v>
      </c>
      <c r="AC40" s="316" t="str">
        <f>IFERROR(__xludf.DUMMYFUNCTION("GOOGLETRANSLATE(A40,""zh-tw"",""DE"")"),"Die Höschen meiner Schwester")</f>
        <v>Die Höschen meiner Schwester</v>
      </c>
      <c r="AD40" s="317" t="str">
        <f>IFERROR(__xludf.DUMMYFUNCTION("GOOGLETRANSLATE(B40,""zh-tw"",""DE"")"),"Es fühlt sich an, als wäre meine Schwester direkt neben mir...")</f>
        <v>Es fühlt sich an, als wäre meine Schwester direkt neben mir...</v>
      </c>
      <c r="AE40" s="318" t="str">
        <f>IFERROR(__xludf.DUMMYFUNCTION("GOOGLETRANSLATE(C40,""zh-tw"",""DE"")"),"Die Ausdauer regeneriert sich automatisch.")</f>
        <v>Die Ausdauer regeneriert sich automatisch.</v>
      </c>
      <c r="AF40" s="397" t="str">
        <f>IFERROR(__xludf.DUMMYFUNCTION("GOOGLETRANSLATE(D40,""zh-tw"",""DE"")"),"Die Unterwäsche meiner Schwester")</f>
        <v>Die Unterwäsche meiner Schwester</v>
      </c>
      <c r="AG40" s="156" t="s">
        <v>6862</v>
      </c>
      <c r="AH40" s="166" t="s">
        <v>6863</v>
      </c>
      <c r="AI40" s="322" t="s">
        <v>6864</v>
      </c>
      <c r="AJ40" s="185" t="s">
        <v>6865</v>
      </c>
      <c r="AK40" s="396"/>
      <c r="AL40" s="396"/>
      <c r="AM40" s="396"/>
    </row>
    <row r="41">
      <c r="A41" s="175" t="s">
        <v>6866</v>
      </c>
      <c r="B41" s="319" t="s">
        <v>6867</v>
      </c>
      <c r="C41" s="321" t="s">
        <v>6868</v>
      </c>
      <c r="D41" s="396" t="s">
        <v>6869</v>
      </c>
      <c r="E41" s="175" t="s">
        <v>6870</v>
      </c>
      <c r="F41" s="319" t="s">
        <v>6871</v>
      </c>
      <c r="G41" s="321" t="s">
        <v>6872</v>
      </c>
      <c r="H41" s="396" t="s">
        <v>6873</v>
      </c>
      <c r="I41" s="175" t="s">
        <v>6874</v>
      </c>
      <c r="J41" s="319" t="s">
        <v>6875</v>
      </c>
      <c r="K41" s="321" t="s">
        <v>6876</v>
      </c>
      <c r="L41" s="396" t="s">
        <v>6877</v>
      </c>
      <c r="M41" s="316" t="str">
        <f>IFERROR(__xludf.DUMMYFUNCTION("GOOGLETRANSLATE(A41,""zh-tw"",""zh"")"),"咕噜咕噜")</f>
        <v>咕噜咕噜</v>
      </c>
      <c r="N41" s="317" t="str">
        <f>IFERROR(__xludf.DUMMYFUNCTION("GOOGLETRANSLATE(B41,""zh-tw"",""zh"")"),"吃坏了肚子......")</f>
        <v>吃坏了肚子......</v>
      </c>
      <c r="O41" s="318" t="str">
        <f>IFERROR(__xludf.DUMMYFUNCTION("GOOGLETRANSLATE(C41,""zh-tw"",""zh"")"),"腹痛不止！")</f>
        <v>腹痛不止！</v>
      </c>
      <c r="P41" s="397" t="str">
        <f>IFERROR(__xludf.DUMMYFUNCTION("GOOGLETRANSLATE(D41,""zh-tw"",""zh"")"),"毒料理")</f>
        <v>毒料理</v>
      </c>
      <c r="Q41" s="150" t="str">
        <f>IFERROR(__xludf.DUMMYFUNCTION("GOOGLETRANSLATE(A41,""zh-tw"",""es-MX"")"),"Glug glug")</f>
        <v>Glug glug</v>
      </c>
      <c r="R41" s="164" t="str">
        <f>IFERROR(__xludf.DUMMYFUNCTION("GOOGLETRANSLATE(B41,""zh-tw"",""es-MX"")"),"Me dio dolor de estómago...")</f>
        <v>Me dio dolor de estómago...</v>
      </c>
      <c r="S41" s="320" t="str">
        <f>IFERROR(__xludf.DUMMYFUNCTION("GOOGLETRANSLATE(C41,""zh-tw"",""es-MX"")"),"¡No me deja de doler el estómago!")</f>
        <v>¡No me deja de doler el estómago!</v>
      </c>
      <c r="T41" s="176" t="str">
        <f>IFERROR(__xludf.DUMMYFUNCTION("GOOGLETRANSLATE(D41,""zh-tw"",""es-MX"")"),"cocina venenosa")</f>
        <v>cocina venenosa</v>
      </c>
      <c r="U41" s="150" t="str">
        <f>IFERROR(__xludf.DUMMYFUNCTION("GOOGLETRANSLATE(A41,""zh-tw"",""KO"")"),"글룩글룩")</f>
        <v>글룩글룩</v>
      </c>
      <c r="V41" s="164" t="str">
        <f>IFERROR(__xludf.DUMMYFUNCTION("GOOGLETRANSLATE(B41,""zh-tw"",""KO"")"),"배가 뒤집혔어요...")</f>
        <v>배가 뒤집혔어요...</v>
      </c>
      <c r="W41" s="320" t="str">
        <f>IFERROR(__xludf.DUMMYFUNCTION("GOOGLETRANSLATE(C41,""zh-tw"",""KO"")"),"배가 계속 아파요!")</f>
        <v>배가 계속 아파요!</v>
      </c>
      <c r="X41" s="176" t="str">
        <f>IFERROR(__xludf.DUMMYFUNCTION("GOOGLETRANSLATE(D41,""zh-tw"",""KO"")"),"독이 있는 요리")</f>
        <v>독이 있는 요리</v>
      </c>
      <c r="Y41" s="316" t="str">
        <f>IFERROR(__xludf.DUMMYFUNCTION("GOOGLETRANSLATE(A41,""zh-tw"",""RU"")"),"Глюг-глюг")</f>
        <v>Глюг-глюг</v>
      </c>
      <c r="Z41" s="317" t="str">
        <f>IFERROR(__xludf.DUMMYFUNCTION("GOOGLETRANSLATE(B41,""zh-tw"",""RU"")"),"У меня было расстройство желудка...")</f>
        <v>У меня было расстройство желудка...</v>
      </c>
      <c r="AA41" s="318" t="str">
        <f>IFERROR(__xludf.DUMMYFUNCTION("GOOGLETRANSLATE(C41,""zh-tw"",""RU"")"),"Боль в животе не проходит!")</f>
        <v>Боль в животе не проходит!</v>
      </c>
      <c r="AB41" s="397" t="str">
        <f>IFERROR(__xludf.DUMMYFUNCTION("GOOGLETRANSLATE(D41,""zh-tw"",""RU"")"),"ядовитая кухня")</f>
        <v>ядовитая кухня</v>
      </c>
      <c r="AC41" s="316" t="str">
        <f>IFERROR(__xludf.DUMMYFUNCTION("GOOGLETRANSLATE(A41,""zh-tw"",""DE"")"),"Glucks, glucks")</f>
        <v>Glucks, glucks</v>
      </c>
      <c r="AD41" s="317" t="str">
        <f>IFERROR(__xludf.DUMMYFUNCTION("GOOGLETRANSLATE(B41,""zh-tw"",""DE"")"),"Ich habe Magenbeschwerden...")</f>
        <v>Ich habe Magenbeschwerden...</v>
      </c>
      <c r="AE41" s="318" t="str">
        <f>IFERROR(__xludf.DUMMYFUNCTION("GOOGLETRANSLATE(C41,""zh-tw"",""DE"")"),"Meine Magenschmerzen hören nicht auf!")</f>
        <v>Meine Magenschmerzen hören nicht auf!</v>
      </c>
      <c r="AF41" s="397" t="str">
        <f>IFERROR(__xludf.DUMMYFUNCTION("GOOGLETRANSLATE(D41,""zh-tw"",""DE"")"),"giftige Küche")</f>
        <v>giftige Küche</v>
      </c>
      <c r="AG41" s="156" t="s">
        <v>6878</v>
      </c>
      <c r="AH41" s="166" t="s">
        <v>6879</v>
      </c>
      <c r="AI41" s="322" t="s">
        <v>6880</v>
      </c>
      <c r="AJ41" s="185" t="s">
        <v>6881</v>
      </c>
      <c r="AK41" s="396"/>
      <c r="AL41" s="396"/>
      <c r="AM41" s="396"/>
    </row>
    <row r="42">
      <c r="A42" s="175" t="s">
        <v>6882</v>
      </c>
      <c r="B42" s="319" t="s">
        <v>6883</v>
      </c>
      <c r="C42" s="321" t="s">
        <v>6884</v>
      </c>
      <c r="D42" s="396" t="s">
        <v>6885</v>
      </c>
      <c r="E42" s="175" t="s">
        <v>6886</v>
      </c>
      <c r="F42" s="319" t="s">
        <v>6887</v>
      </c>
      <c r="G42" s="321" t="s">
        <v>6888</v>
      </c>
      <c r="H42" s="396" t="s">
        <v>6889</v>
      </c>
      <c r="I42" s="175" t="s">
        <v>6890</v>
      </c>
      <c r="J42" s="319" t="s">
        <v>6891</v>
      </c>
      <c r="K42" s="321" t="s">
        <v>6892</v>
      </c>
      <c r="L42" s="396" t="s">
        <v>6893</v>
      </c>
      <c r="M42" s="316" t="str">
        <f>IFERROR(__xludf.DUMMYFUNCTION("GOOGLETRANSLATE(A42,""zh-tw"",""zh"")"),"咕噜咕噜咕噜")</f>
        <v>咕噜咕噜咕噜</v>
      </c>
      <c r="N42" s="317" t="str">
        <f>IFERROR(__xludf.DUMMYFUNCTION("GOOGLETRANSLATE(B42,""zh-tw"",""zh"")"),"菊花残、满地伤...")</f>
        <v>菊花残、满地伤...</v>
      </c>
      <c r="O42" s="318" t="str">
        <f>IFERROR(__xludf.DUMMYFUNCTION("GOOGLETRANSLATE(C42,""zh-tw"",""zh"")"),"因屁股疼痛无法奔跑和冲刺！")</f>
        <v>因屁股疼痛无法奔跑和冲刺！</v>
      </c>
      <c r="P42" s="397" t="str">
        <f>IFERROR(__xludf.DUMMYFUNCTION("GOOGLETRANSLATE(D42,""zh-tw"",""zh"")"),"毒辣料理")</f>
        <v>毒辣料理</v>
      </c>
      <c r="Q42" s="150" t="str">
        <f>IFERROR(__xludf.DUMMYFUNCTION("GOOGLETRANSLATE(A42,""zh-tw"",""es-MX"")"),"Glug glug glug")</f>
        <v>Glug glug glug</v>
      </c>
      <c r="R42" s="164" t="str">
        <f>IFERROR(__xludf.DUMMYFUNCTION("GOOGLETRANSLATE(B42,""zh-tw"",""es-MX"")"),"Los crisantemos se marchitaron, las heridas quedaron esparcidas por el suelo...")</f>
        <v>Los crisantemos se marchitaron, las heridas quedaron esparcidas por el suelo...</v>
      </c>
      <c r="S42" s="320" t="str">
        <f>IFERROR(__xludf.DUMMYFUNCTION("GOOGLETRANSLATE(C42,""zh-tw"",""es-MX"")"),"¡No puedo correr ni esprintar por el dolor en las nalgas!")</f>
        <v>¡No puedo correr ni esprintar por el dolor en las nalgas!</v>
      </c>
      <c r="T42" s="176" t="str">
        <f>IFERROR(__xludf.DUMMYFUNCTION("GOOGLETRANSLATE(D42,""zh-tw"",""es-MX"")"),"Comida picante")</f>
        <v>Comida picante</v>
      </c>
      <c r="U42" s="150" t="str">
        <f>IFERROR(__xludf.DUMMYFUNCTION("GOOGLETRANSLATE(A42,""zh-tw"",""KO"")"),"글루 글루 글루")</f>
        <v>글루 글루 글루</v>
      </c>
      <c r="V42" s="164" t="str">
        <f>IFERROR(__xludf.DUMMYFUNCTION("GOOGLETRANSLATE(B42,""zh-tw"",""KO"")"),"국화는 시들었고, 상처는 땅에 흩어져 있었습니다...")</f>
        <v>국화는 시들었고, 상처는 땅에 흩어져 있었습니다...</v>
      </c>
      <c r="W42" s="320" t="str">
        <f>IFERROR(__xludf.DUMMYFUNCTION("GOOGLETRANSLATE(C42,""zh-tw"",""KO"")"),"엉덩이 통증 때문에 달리거나 달릴 수 없어요!")</f>
        <v>엉덩이 통증 때문에 달리거나 달릴 수 없어요!</v>
      </c>
      <c r="X42" s="176" t="str">
        <f>IFERROR(__xludf.DUMMYFUNCTION("GOOGLETRANSLATE(D42,""zh-tw"",""KO"")"),"매운 음식")</f>
        <v>매운 음식</v>
      </c>
      <c r="Y42" s="316" t="str">
        <f>IFERROR(__xludf.DUMMYFUNCTION("GOOGLETRANSLATE(A42,""zh-tw"",""RU"")"),"Глюг-глюг-глюг")</f>
        <v>Глюг-глюг-глюг</v>
      </c>
      <c r="Z42" s="317" t="str">
        <f>IFERROR(__xludf.DUMMYFUNCTION("GOOGLETRANSLATE(B42,""zh-tw"",""RU"")"),"Хризантемы увяли, раны разбросаны по земле...")</f>
        <v>Хризантемы увяли, раны разбросаны по земле...</v>
      </c>
      <c r="AA42" s="318" t="str">
        <f>IFERROR(__xludf.DUMMYFUNCTION("GOOGLETRANSLATE(C42,""zh-tw"",""RU"")"),"Я не могу бегать или спринтовать из-за боли в ягодицах!")</f>
        <v>Я не могу бегать или спринтовать из-за боли в ягодицах!</v>
      </c>
      <c r="AB42" s="397" t="str">
        <f>IFERROR(__xludf.DUMMYFUNCTION("GOOGLETRANSLATE(D42,""zh-tw"",""RU"")"),"Острая еда")</f>
        <v>Острая еда</v>
      </c>
      <c r="AC42" s="316" t="str">
        <f>IFERROR(__xludf.DUMMYFUNCTION("GOOGLETRANSLATE(A42,""zh-tw"",""DE"")"),"Glucks, glucks, glucks")</f>
        <v>Glucks, glucks, glucks</v>
      </c>
      <c r="AD42" s="317" t="str">
        <f>IFERROR(__xludf.DUMMYFUNCTION("GOOGLETRANSLATE(B42,""zh-tw"",""DE"")"),"Chrysanthemen verwelkten, Wunden lagen verstreut auf dem Boden...")</f>
        <v>Chrysanthemen verwelkten, Wunden lagen verstreut auf dem Boden...</v>
      </c>
      <c r="AE42" s="318" t="str">
        <f>IFERROR(__xludf.DUMMYFUNCTION("GOOGLETRANSLATE(C42,""zh-tw"",""DE"")"),"Ich kann wegen der Schmerzen im Gesäßbereich weder rennen noch sprinten!")</f>
        <v>Ich kann wegen der Schmerzen im Gesäßbereich weder rennen noch sprinten!</v>
      </c>
      <c r="AF42" s="397" t="str">
        <f>IFERROR(__xludf.DUMMYFUNCTION("GOOGLETRANSLATE(D42,""zh-tw"",""DE"")"),"scharfes Essen")</f>
        <v>scharfes Essen</v>
      </c>
      <c r="AG42" s="156" t="s">
        <v>6894</v>
      </c>
      <c r="AH42" s="166" t="s">
        <v>6895</v>
      </c>
      <c r="AI42" s="322" t="s">
        <v>6896</v>
      </c>
      <c r="AJ42" s="185" t="s">
        <v>6897</v>
      </c>
      <c r="AK42" s="396"/>
      <c r="AL42" s="396"/>
      <c r="AM42" s="396"/>
    </row>
    <row r="43">
      <c r="A43" s="175" t="s">
        <v>6898</v>
      </c>
      <c r="B43" s="319" t="s">
        <v>6899</v>
      </c>
      <c r="C43" s="321" t="s">
        <v>6900</v>
      </c>
      <c r="D43" s="396" t="s">
        <v>6901</v>
      </c>
      <c r="E43" s="175" t="s">
        <v>6902</v>
      </c>
      <c r="F43" s="319" t="s">
        <v>6903</v>
      </c>
      <c r="G43" s="321" t="s">
        <v>6904</v>
      </c>
      <c r="H43" s="396" t="s">
        <v>6905</v>
      </c>
      <c r="I43" s="175" t="s">
        <v>6906</v>
      </c>
      <c r="J43" s="319" t="s">
        <v>6907</v>
      </c>
      <c r="K43" s="321" t="s">
        <v>6908</v>
      </c>
      <c r="L43" s="397"/>
      <c r="M43" s="316" t="str">
        <f>IFERROR(__xludf.DUMMYFUNCTION("GOOGLETRANSLATE(A43,""zh-tw"",""zh"")"),"早点回家吧")</f>
        <v>早点回家吧</v>
      </c>
      <c r="N43" s="317" t="str">
        <f>IFERROR(__xludf.DUMMYFUNCTION("GOOGLETRANSLATE(B43,""zh-tw"",""zh"")"),"热死了.....")</f>
        <v>热死了.....</v>
      </c>
      <c r="O43" s="318" t="str">
        <f>IFERROR(__xludf.DUMMYFUNCTION("GOOGLETRANSLATE(C43,""zh-tw"",""zh"")"),"因为炎热浑身无力...")</f>
        <v>因为炎热浑身无力...</v>
      </c>
      <c r="P43" s="397" t="str">
        <f>IFERROR(__xludf.DUMMYFUNCTION("GOOGLETRANSLATE(D43,""zh-tw"",""zh"")"),"炎热天气")</f>
        <v>炎热天气</v>
      </c>
      <c r="Q43" s="150" t="str">
        <f>IFERROR(__xludf.DUMMYFUNCTION("GOOGLETRANSLATE(A43,""zh-tw"",""es-MX"")"),"Vuelve a casa temprano.")</f>
        <v>Vuelve a casa temprano.</v>
      </c>
      <c r="R43" s="164" t="str">
        <f>IFERROR(__xludf.DUMMYFUNCTION("GOOGLETRANSLATE(B43,""zh-tw"",""es-MX"")"),"¡Hace muchísimo calor...!")</f>
        <v>¡Hace muchísimo calor...!</v>
      </c>
      <c r="S43" s="320" t="str">
        <f>IFERROR(__xludf.DUMMYFUNCTION("GOOGLETRANSLATE(C43,""zh-tw"",""es-MX"")"),"Me siento débil por completo debido al calor...")</f>
        <v>Me siento débil por completo debido al calor...</v>
      </c>
      <c r="T43" s="176" t="str">
        <f>IFERROR(__xludf.DUMMYFUNCTION("GOOGLETRANSLATE(D43,""zh-tw"",""es-MX"")"),"clima cálido")</f>
        <v>clima cálido</v>
      </c>
      <c r="U43" s="150" t="str">
        <f>IFERROR(__xludf.DUMMYFUNCTION("GOOGLETRANSLATE(A43,""zh-tw"",""KO"")"),"일찍 집에 가세요.")</f>
        <v>일찍 집에 가세요.</v>
      </c>
      <c r="V43" s="164" t="str">
        <f>IFERROR(__xludf.DUMMYFUNCTION("GOOGLETRANSLATE(B43,""zh-tw"",""KO"")"),"너무 더워요.....")</f>
        <v>너무 더워요.....</v>
      </c>
      <c r="W43" s="320" t="str">
        <f>IFERROR(__xludf.DUMMYFUNCTION("GOOGLETRANSLATE(C43,""zh-tw"",""KO"")"),"더위 때문에 온몸이 약해지는 것 같아요...")</f>
        <v>더위 때문에 온몸이 약해지는 것 같아요...</v>
      </c>
      <c r="X43" s="176" t="str">
        <f>IFERROR(__xludf.DUMMYFUNCTION("GOOGLETRANSLATE(D43,""zh-tw"",""KO"")"),"더운 날씨")</f>
        <v>더운 날씨</v>
      </c>
      <c r="Y43" s="316" t="str">
        <f>IFERROR(__xludf.DUMMYFUNCTION("GOOGLETRANSLATE(A43,""zh-tw"",""RU"")"),"Возвращайтесь домой пораньше.")</f>
        <v>Возвращайтесь домой пораньше.</v>
      </c>
      <c r="Z43" s="317" t="str">
        <f>IFERROR(__xludf.DUMMYFUNCTION("GOOGLETRANSLATE(B43,""zh-tw"",""RU"")"),"Так жарко...")</f>
        <v>Так жарко...</v>
      </c>
      <c r="AA43" s="318" t="str">
        <f>IFERROR(__xludf.DUMMYFUNCTION("GOOGLETRANSLATE(C43,""zh-tw"",""RU"")"),"Из-за жары я чувствую слабость во всем теле...")</f>
        <v>Из-за жары я чувствую слабость во всем теле...</v>
      </c>
      <c r="AB43" s="397" t="str">
        <f>IFERROR(__xludf.DUMMYFUNCTION("GOOGLETRANSLATE(D43,""zh-tw"",""RU"")"),"жаркая погода")</f>
        <v>жаркая погода</v>
      </c>
      <c r="AC43" s="316" t="str">
        <f>IFERROR(__xludf.DUMMYFUNCTION("GOOGLETRANSLATE(A43,""zh-tw"",""DE"")"),"Geh früh nach Hause.")</f>
        <v>Geh früh nach Hause.</v>
      </c>
      <c r="AD43" s="317" t="str">
        <f>IFERROR(__xludf.DUMMYFUNCTION("GOOGLETRANSLATE(B43,""zh-tw"",""DE"")"),"Es ist so heiß.....")</f>
        <v>Es ist so heiß.....</v>
      </c>
      <c r="AE43" s="318" t="str">
        <f>IFERROR(__xludf.DUMMYFUNCTION("GOOGLETRANSLATE(C43,""zh-tw"",""DE"")"),"Mir ist wegen der Hitze ganz schwindelig...")</f>
        <v>Mir ist wegen der Hitze ganz schwindelig...</v>
      </c>
      <c r="AF43" s="397" t="str">
        <f>IFERROR(__xludf.DUMMYFUNCTION("GOOGLETRANSLATE(D43,""zh-tw"",""DE"")"),"heißes Wetter")</f>
        <v>heißes Wetter</v>
      </c>
      <c r="AG43" s="156" t="s">
        <v>1890</v>
      </c>
      <c r="AH43" s="166" t="s">
        <v>6909</v>
      </c>
      <c r="AI43" s="322" t="s">
        <v>6910</v>
      </c>
      <c r="AJ43" s="398"/>
      <c r="AK43" s="396"/>
      <c r="AL43" s="396"/>
      <c r="AM43" s="396"/>
    </row>
    <row r="44">
      <c r="A44" s="175" t="s">
        <v>6911</v>
      </c>
      <c r="B44" s="319" t="s">
        <v>6912</v>
      </c>
      <c r="C44" s="321" t="s">
        <v>6913</v>
      </c>
      <c r="D44" s="396" t="s">
        <v>6914</v>
      </c>
      <c r="E44" s="175" t="s">
        <v>6915</v>
      </c>
      <c r="F44" s="319" t="s">
        <v>6916</v>
      </c>
      <c r="G44" s="321" t="s">
        <v>6917</v>
      </c>
      <c r="H44" s="396" t="s">
        <v>6918</v>
      </c>
      <c r="I44" s="175" t="s">
        <v>6919</v>
      </c>
      <c r="J44" s="319" t="s">
        <v>6920</v>
      </c>
      <c r="K44" s="321" t="s">
        <v>6921</v>
      </c>
      <c r="L44" s="396"/>
      <c r="M44" s="316" t="str">
        <f>IFERROR(__xludf.DUMMYFUNCTION("GOOGLETRANSLATE(A44,""zh-tw"",""zh"")"),"杂鱼哥哥")</f>
        <v>杂鱼哥哥</v>
      </c>
      <c r="N44" s="317" t="str">
        <f>IFERROR(__xludf.DUMMYFUNCTION("GOOGLETRANSLATE(B44,""zh-tw"",""zh"")"),"这么简单的游戏也不会玩，真是杂鱼呢~")</f>
        <v>这么简单的游戏也不会玩，真是杂鱼呢~</v>
      </c>
      <c r="O44" s="318" t="str">
        <f>IFERROR(__xludf.DUMMYFUNCTION("GOOGLETRANSLATE(C44,""zh-tw"",""zh"")"),"因作弊而获得了杂鱼认证！")</f>
        <v>因作弊而获得了杂鱼认证！</v>
      </c>
      <c r="P44" s="397" t="str">
        <f>IFERROR(__xludf.DUMMYFUNCTION("GOOGLETRANSLATE(D44,""zh-tw"",""zh"")"),"使用作弊码")</f>
        <v>使用作弊码</v>
      </c>
      <c r="Q44" s="150" t="str">
        <f>IFERROR(__xludf.DUMMYFUNCTION("GOOGLETRANSLATE(A44,""zh-tw"",""es-MX"")"),"Hermano Peces Varios")</f>
        <v>Hermano Peces Varios</v>
      </c>
      <c r="R44" s="164" t="str">
        <f>IFERROR(__xludf.DUMMYFUNCTION("GOOGLETRANSLATE(B44,""zh-tw"",""es-MX"")"),"¿Ni siquiera puedes jugar a un juego tan sencillo? ¡Eres un novato total!")</f>
        <v>¿Ni siquiera puedes jugar a un juego tan sencillo? ¡Eres un novato total!</v>
      </c>
      <c r="S44" s="320" t="str">
        <f>IFERROR(__xludf.DUMMYFUNCTION("GOOGLETRANSLATE(C44,""zh-tw"",""es-MX"")"),"¡Obtuvo la certificación de ""pez pequeño"" haciendo trampa!")</f>
        <v>¡Obtuvo la certificación de "pez pequeño" haciendo trampa!</v>
      </c>
      <c r="T44" s="176" t="str">
        <f>IFERROR(__xludf.DUMMYFUNCTION("GOOGLETRANSLATE(D44,""zh-tw"",""es-MX"")"),"Utiliza códigos de trucos")</f>
        <v>Utiliza códigos de trucos</v>
      </c>
      <c r="U44" s="150" t="str">
        <f>IFERROR(__xludf.DUMMYFUNCTION("GOOGLETRANSLATE(A44,""zh-tw"",""KO"")"),"형제 잡어")</f>
        <v>형제 잡어</v>
      </c>
      <c r="V44" s="164" t="str">
        <f>IFERROR(__xludf.DUMMYFUNCTION("GOOGLETRANSLATE(B44,""zh-tw"",""KO"")"),"그렇게 간단한 게임도 못 하냐? 완전 초보잖아!")</f>
        <v>그렇게 간단한 게임도 못 하냐? 완전 초보잖아!</v>
      </c>
      <c r="W44" s="320" t="str">
        <f>IFERROR(__xludf.DUMMYFUNCTION("GOOGLETRANSLATE(C44,""zh-tw"",""KO"")"),"그는 부정행위를 해서 ""작은 물고기"" 자격증을 취득했습니다!")</f>
        <v>그는 부정행위를 해서 "작은 물고기" 자격증을 취득했습니다!</v>
      </c>
      <c r="X44" s="176" t="str">
        <f>IFERROR(__xludf.DUMMYFUNCTION("GOOGLETRANSLATE(D44,""zh-tw"",""KO"")"),"치트 코드를 사용하세요")</f>
        <v>치트 코드를 사용하세요</v>
      </c>
      <c r="Y44" s="316" t="str">
        <f>IFERROR(__xludf.DUMMYFUNCTION("GOOGLETRANSLATE(A44,""zh-tw"",""RU"")"),"Брат Разные Рыбы")</f>
        <v>Брат Разные Рыбы</v>
      </c>
      <c r="Z44" s="317" t="str">
        <f>IFERROR(__xludf.DUMMYFUNCTION("GOOGLETRANSLATE(B44,""zh-tw"",""RU"")"),"Ты даже в такую ​​простую игру не можешь играть? Ты нуб!")</f>
        <v>Ты даже в такую ​​простую игру не можешь играть? Ты нуб!</v>
      </c>
      <c r="AA44" s="318" t="str">
        <f>IFERROR(__xludf.DUMMYFUNCTION("GOOGLETRANSLATE(C44,""zh-tw"",""RU"")"),"Он получил сертификат «мелкой рыбки» обманным путем!")</f>
        <v>Он получил сертификат «мелкой рыбки» обманным путем!</v>
      </c>
      <c r="AB44" s="397" t="str">
        <f>IFERROR(__xludf.DUMMYFUNCTION("GOOGLETRANSLATE(D44,""zh-tw"",""RU"")"),"Используйте чит-коды")</f>
        <v>Используйте чит-коды</v>
      </c>
      <c r="AC44" s="316" t="str">
        <f>IFERROR(__xludf.DUMMYFUNCTION("GOOGLETRANSLATE(A44,""zh-tw"",""DE"")"),"Bruder Verschiedene Fische")</f>
        <v>Bruder Verschiedene Fische</v>
      </c>
      <c r="AD44" s="317" t="str">
        <f>IFERROR(__xludf.DUMMYFUNCTION("GOOGLETRANSLATE(B44,""zh-tw"",""DE"")"),"Du kannst nicht mal so ein einfaches Spiel spielen? Du bist echt ein Anfänger!")</f>
        <v>Du kannst nicht mal so ein einfaches Spiel spielen? Du bist echt ein Anfänger!</v>
      </c>
      <c r="AE44" s="318" t="str">
        <f>IFERROR(__xludf.DUMMYFUNCTION("GOOGLETRANSLATE(C44,""zh-tw"",""DE"")"),"Er hat das „kleine Fisch“-Zertifikat durch Betrug erlangt!")</f>
        <v>Er hat das „kleine Fisch“-Zertifikat durch Betrug erlangt!</v>
      </c>
      <c r="AF44" s="397" t="str">
        <f>IFERROR(__xludf.DUMMYFUNCTION("GOOGLETRANSLATE(D44,""zh-tw"",""DE"")"),"Cheat-Codes verwenden")</f>
        <v>Cheat-Codes verwenden</v>
      </c>
      <c r="AG44" s="156" t="s">
        <v>6922</v>
      </c>
      <c r="AH44" s="166" t="s">
        <v>6923</v>
      </c>
      <c r="AI44" s="322" t="s">
        <v>6924</v>
      </c>
      <c r="AJ44" s="398"/>
      <c r="AK44" s="396"/>
      <c r="AL44" s="396"/>
      <c r="AM44" s="396"/>
    </row>
    <row r="45">
      <c r="A45" s="175" t="s">
        <v>6925</v>
      </c>
      <c r="B45" s="319" t="s">
        <v>6926</v>
      </c>
      <c r="C45" s="321" t="s">
        <v>724</v>
      </c>
      <c r="D45" s="396" t="s">
        <v>5370</v>
      </c>
      <c r="E45" s="175" t="s">
        <v>6927</v>
      </c>
      <c r="F45" s="319" t="s">
        <v>6928</v>
      </c>
      <c r="G45" s="321" t="s">
        <v>724</v>
      </c>
      <c r="H45" s="396" t="s">
        <v>6929</v>
      </c>
      <c r="I45" s="175" t="s">
        <v>5374</v>
      </c>
      <c r="J45" s="319" t="s">
        <v>6930</v>
      </c>
      <c r="K45" s="318"/>
      <c r="L45" s="397"/>
      <c r="M45" s="316" t="str">
        <f>IFERROR(__xludf.DUMMYFUNCTION("GOOGLETRANSLATE(A45,""zh-tw"",""zh"")"),"世界的勇者")</f>
        <v>世界的勇者</v>
      </c>
      <c r="N45" s="317" t="str">
        <f>IFERROR(__xludf.DUMMYFUNCTION("GOOGLETRANSLATE(B45,""zh-tw"",""zh"")"),"如此可得世界荣耀，远离黑暗蒙昧")</f>
        <v>如此可得世界荣耀，远离黑暗蒙昧</v>
      </c>
      <c r="O45" s="318" t="str">
        <f>IFERROR(__xludf.DUMMYFUNCTION("GOOGLETRANSLATE(C45,""zh-tw"",""zh"")"),"-")</f>
        <v>-</v>
      </c>
      <c r="P45" s="397" t="str">
        <f>IFERROR(__xludf.DUMMYFUNCTION("GOOGLETRANSLATE(D45,""zh-tw"",""zh"")"),"红髓玉吊坠")</f>
        <v>红髓玉吊坠</v>
      </c>
      <c r="Q45" s="150" t="str">
        <f>IFERROR(__xludf.DUMMYFUNCTION("GOOGLETRANSLATE(A45,""zh-tw"",""es-MX"")"),"Héroes del mundo")</f>
        <v>Héroes del mundo</v>
      </c>
      <c r="R45" s="164" t="str">
        <f>IFERROR(__xludf.DUMMYFUNCTION("GOOGLETRANSLATE(B45,""zh-tw"",""es-MX"")"),"De esta manera, uno puede alcanzar la gloria mundial y escapar de la oscuridad y la ignorancia.")</f>
        <v>De esta manera, uno puede alcanzar la gloria mundial y escapar de la oscuridad y la ignorancia.</v>
      </c>
      <c r="S45" s="320" t="str">
        <f>IFERROR(__xludf.DUMMYFUNCTION("GOOGLETRANSLATE(C45,""zh-tw"",""es-MX"")"),"-")</f>
        <v>-</v>
      </c>
      <c r="T45" s="176" t="str">
        <f>IFERROR(__xludf.DUMMYFUNCTION("GOOGLETRANSLATE(D45,""zh-tw"",""es-MX"")"),"Colgante de cornalina roja")</f>
        <v>Colgante de cornalina roja</v>
      </c>
      <c r="U45" s="150" t="str">
        <f>IFERROR(__xludf.DUMMYFUNCTION("GOOGLETRANSLATE(A45,""zh-tw"",""KO"")"),"세계의 영웅들")</f>
        <v>세계의 영웅들</v>
      </c>
      <c r="V45" s="164" t="str">
        <f>IFERROR(__xludf.DUMMYFUNCTION("GOOGLETRANSLATE(B45,""zh-tw"",""KO"")"),"이런 식으로 사람은 세상의 영광을 얻고 어둠과 무지에서 벗어날 수 있습니다.")</f>
        <v>이런 식으로 사람은 세상의 영광을 얻고 어둠과 무지에서 벗어날 수 있습니다.</v>
      </c>
      <c r="W45" s="320" t="str">
        <f>IFERROR(__xludf.DUMMYFUNCTION("GOOGLETRANSLATE(C45,""zh-tw"",""KO"")"),"-")</f>
        <v>-</v>
      </c>
      <c r="X45" s="176" t="str">
        <f>IFERROR(__xludf.DUMMYFUNCTION("GOOGLETRANSLATE(D45,""zh-tw"",""KO"")"),"붉은 카넬리안 펜던트")</f>
        <v>붉은 카넬리안 펜던트</v>
      </c>
      <c r="Y45" s="316" t="str">
        <f>IFERROR(__xludf.DUMMYFUNCTION("GOOGLETRANSLATE(A45,""zh-tw"",""RU"")"),"Герои мира")</f>
        <v>Герои мира</v>
      </c>
      <c r="Z45" s="317" t="str">
        <f>IFERROR(__xludf.DUMMYFUNCTION("GOOGLETRANSLATE(B45,""zh-tw"",""RU"")"),"Таким образом можно обрести мировую славу и избежать тьмы и невежества.")</f>
        <v>Таким образом можно обрести мировую славу и избежать тьмы и невежества.</v>
      </c>
      <c r="AA45" s="318" t="str">
        <f>IFERROR(__xludf.DUMMYFUNCTION("GOOGLETRANSLATE(C45,""zh-tw"",""RU"")"),"-")</f>
        <v>-</v>
      </c>
      <c r="AB45" s="397" t="str">
        <f>IFERROR(__xludf.DUMMYFUNCTION("GOOGLETRANSLATE(D45,""zh-tw"",""RU"")"),"Кулон из красного сердолика")</f>
        <v>Кулон из красного сердолика</v>
      </c>
      <c r="AC45" s="316" t="str">
        <f>IFERROR(__xludf.DUMMYFUNCTION("GOOGLETRANSLATE(A45,""zh-tw"",""DE"")"),"Helden der Welt")</f>
        <v>Helden der Welt</v>
      </c>
      <c r="AD45" s="317" t="str">
        <f>IFERROR(__xludf.DUMMYFUNCTION("GOOGLETRANSLATE(B45,""zh-tw"",""DE"")"),"Auf diese Weise kann man weltlichen Ruhm erlangen und Dunkelheit und Unwissenheit entfliehen.")</f>
        <v>Auf diese Weise kann man weltlichen Ruhm erlangen und Dunkelheit und Unwissenheit entfliehen.</v>
      </c>
      <c r="AE45" s="318" t="str">
        <f>IFERROR(__xludf.DUMMYFUNCTION("GOOGLETRANSLATE(C45,""zh-tw"",""DE"")"),"-")</f>
        <v>-</v>
      </c>
      <c r="AF45" s="397" t="str">
        <f>IFERROR(__xludf.DUMMYFUNCTION("GOOGLETRANSLATE(D45,""zh-tw"",""DE"")"),"Anhänger aus rotem Karneol")</f>
        <v>Anhänger aus rotem Karneol</v>
      </c>
      <c r="AG45" s="156" t="s">
        <v>6931</v>
      </c>
      <c r="AH45" s="166" t="s">
        <v>6932</v>
      </c>
      <c r="AI45" s="399"/>
      <c r="AJ45" s="398"/>
      <c r="AK45" s="396"/>
      <c r="AL45" s="396"/>
      <c r="AM45" s="396"/>
    </row>
    <row r="46">
      <c r="A46" s="316"/>
      <c r="B46" s="317"/>
      <c r="C46" s="318"/>
      <c r="D46" s="397"/>
      <c r="E46" s="316"/>
      <c r="F46" s="317"/>
      <c r="G46" s="318"/>
      <c r="H46" s="397"/>
      <c r="I46" s="316"/>
      <c r="J46" s="317"/>
      <c r="K46" s="318"/>
      <c r="L46" s="397"/>
      <c r="M46" s="316"/>
      <c r="N46" s="317"/>
      <c r="O46" s="318"/>
      <c r="P46" s="397"/>
      <c r="Q46" s="199"/>
      <c r="R46" s="220"/>
      <c r="S46" s="400"/>
      <c r="T46" s="401"/>
      <c r="U46" s="199"/>
      <c r="V46" s="220"/>
      <c r="W46" s="400"/>
      <c r="X46" s="401"/>
      <c r="Y46" s="402"/>
      <c r="Z46" s="403"/>
      <c r="AA46" s="404"/>
      <c r="AB46" s="405"/>
      <c r="AC46" s="402"/>
      <c r="AD46" s="403"/>
      <c r="AE46" s="404"/>
      <c r="AF46" s="405"/>
      <c r="AG46" s="199"/>
      <c r="AH46" s="220"/>
      <c r="AI46" s="400"/>
      <c r="AJ46" s="401"/>
      <c r="AK46" s="397"/>
      <c r="AL46" s="397"/>
      <c r="AM46" s="397"/>
    </row>
    <row r="47">
      <c r="A47" s="316"/>
      <c r="B47" s="317"/>
      <c r="C47" s="318"/>
      <c r="D47" s="397"/>
      <c r="E47" s="316"/>
      <c r="F47" s="317"/>
      <c r="G47" s="318"/>
      <c r="H47" s="397"/>
      <c r="I47" s="316"/>
      <c r="J47" s="317"/>
      <c r="K47" s="318"/>
      <c r="L47" s="397"/>
      <c r="M47" s="316"/>
      <c r="N47" s="317"/>
      <c r="O47" s="318"/>
      <c r="P47" s="397"/>
      <c r="Q47" s="199"/>
      <c r="R47" s="220"/>
      <c r="S47" s="400"/>
      <c r="T47" s="401"/>
      <c r="U47" s="199"/>
      <c r="V47" s="220"/>
      <c r="W47" s="400"/>
      <c r="X47" s="401"/>
      <c r="Y47" s="402"/>
      <c r="Z47" s="403"/>
      <c r="AA47" s="404"/>
      <c r="AB47" s="405"/>
      <c r="AC47" s="402"/>
      <c r="AD47" s="403"/>
      <c r="AE47" s="404"/>
      <c r="AF47" s="405"/>
      <c r="AG47" s="199"/>
      <c r="AH47" s="220"/>
      <c r="AI47" s="400"/>
      <c r="AJ47" s="401"/>
      <c r="AK47" s="397"/>
      <c r="AL47" s="397"/>
      <c r="AM47" s="397"/>
    </row>
    <row r="48">
      <c r="A48" s="316"/>
      <c r="B48" s="317"/>
      <c r="C48" s="318"/>
      <c r="D48" s="397"/>
      <c r="E48" s="316"/>
      <c r="F48" s="317"/>
      <c r="G48" s="318"/>
      <c r="H48" s="397"/>
      <c r="I48" s="316"/>
      <c r="J48" s="317"/>
      <c r="K48" s="318"/>
      <c r="L48" s="397"/>
      <c r="M48" s="316"/>
      <c r="N48" s="317"/>
      <c r="O48" s="318"/>
      <c r="P48" s="397"/>
      <c r="Q48" s="199"/>
      <c r="R48" s="220"/>
      <c r="S48" s="400"/>
      <c r="T48" s="401"/>
      <c r="U48" s="199"/>
      <c r="V48" s="220"/>
      <c r="W48" s="400"/>
      <c r="X48" s="401"/>
      <c r="Y48" s="402"/>
      <c r="Z48" s="403"/>
      <c r="AA48" s="404"/>
      <c r="AB48" s="405"/>
      <c r="AC48" s="402"/>
      <c r="AD48" s="403"/>
      <c r="AE48" s="404"/>
      <c r="AF48" s="405"/>
      <c r="AG48" s="199"/>
      <c r="AH48" s="220"/>
      <c r="AI48" s="400"/>
      <c r="AJ48" s="401"/>
      <c r="AK48" s="397"/>
      <c r="AL48" s="397"/>
      <c r="AM48" s="397"/>
    </row>
    <row r="49">
      <c r="A49" s="316"/>
      <c r="B49" s="317"/>
      <c r="C49" s="318"/>
      <c r="D49" s="397"/>
      <c r="E49" s="316"/>
      <c r="F49" s="317"/>
      <c r="G49" s="318"/>
      <c r="H49" s="397"/>
      <c r="I49" s="316"/>
      <c r="J49" s="317"/>
      <c r="K49" s="318"/>
      <c r="L49" s="397"/>
      <c r="M49" s="316"/>
      <c r="N49" s="317"/>
      <c r="O49" s="318"/>
      <c r="P49" s="397"/>
      <c r="Q49" s="199"/>
      <c r="R49" s="220"/>
      <c r="S49" s="400"/>
      <c r="T49" s="401"/>
      <c r="U49" s="199"/>
      <c r="V49" s="220"/>
      <c r="W49" s="400"/>
      <c r="X49" s="401"/>
      <c r="Y49" s="402"/>
      <c r="Z49" s="403"/>
      <c r="AA49" s="404"/>
      <c r="AB49" s="405"/>
      <c r="AC49" s="402"/>
      <c r="AD49" s="403"/>
      <c r="AE49" s="404"/>
      <c r="AF49" s="405"/>
      <c r="AG49" s="199"/>
      <c r="AH49" s="220"/>
      <c r="AI49" s="400"/>
      <c r="AJ49" s="401"/>
      <c r="AK49" s="397"/>
      <c r="AL49" s="397"/>
      <c r="AM49" s="397"/>
    </row>
    <row r="50">
      <c r="A50" s="316"/>
      <c r="B50" s="317"/>
      <c r="C50" s="318"/>
      <c r="D50" s="397"/>
      <c r="E50" s="316"/>
      <c r="F50" s="317"/>
      <c r="G50" s="318"/>
      <c r="H50" s="397"/>
      <c r="I50" s="316"/>
      <c r="J50" s="317"/>
      <c r="K50" s="318"/>
      <c r="L50" s="397"/>
      <c r="M50" s="316"/>
      <c r="N50" s="317"/>
      <c r="O50" s="318"/>
      <c r="P50" s="397"/>
      <c r="Q50" s="199"/>
      <c r="R50" s="220"/>
      <c r="S50" s="400"/>
      <c r="T50" s="401"/>
      <c r="U50" s="199"/>
      <c r="V50" s="220"/>
      <c r="W50" s="400"/>
      <c r="X50" s="401"/>
      <c r="Y50" s="402"/>
      <c r="Z50" s="403"/>
      <c r="AA50" s="404"/>
      <c r="AB50" s="405"/>
      <c r="AC50" s="402"/>
      <c r="AD50" s="403"/>
      <c r="AE50" s="404"/>
      <c r="AF50" s="405"/>
      <c r="AG50" s="199"/>
      <c r="AH50" s="220"/>
      <c r="AI50" s="400"/>
      <c r="AJ50" s="401"/>
      <c r="AK50" s="397"/>
      <c r="AL50" s="397"/>
      <c r="AM50" s="397"/>
    </row>
    <row r="51">
      <c r="A51" s="316"/>
      <c r="B51" s="317"/>
      <c r="C51" s="318"/>
      <c r="D51" s="397"/>
      <c r="E51" s="316"/>
      <c r="F51" s="317"/>
      <c r="G51" s="318"/>
      <c r="H51" s="397"/>
      <c r="I51" s="316"/>
      <c r="J51" s="317"/>
      <c r="K51" s="318"/>
      <c r="L51" s="397"/>
      <c r="M51" s="316"/>
      <c r="N51" s="317"/>
      <c r="O51" s="318"/>
      <c r="P51" s="397"/>
      <c r="Q51" s="199"/>
      <c r="R51" s="220"/>
      <c r="S51" s="400"/>
      <c r="T51" s="401"/>
      <c r="U51" s="199"/>
      <c r="V51" s="220"/>
      <c r="W51" s="400"/>
      <c r="X51" s="401"/>
      <c r="Y51" s="402"/>
      <c r="Z51" s="403"/>
      <c r="AA51" s="404"/>
      <c r="AB51" s="405"/>
      <c r="AC51" s="402"/>
      <c r="AD51" s="403"/>
      <c r="AE51" s="404"/>
      <c r="AF51" s="405"/>
      <c r="AG51" s="199"/>
      <c r="AH51" s="220"/>
      <c r="AI51" s="400"/>
      <c r="AJ51" s="401"/>
      <c r="AK51" s="397"/>
      <c r="AL51" s="397"/>
      <c r="AM51" s="397"/>
    </row>
    <row r="52">
      <c r="A52" s="316"/>
      <c r="B52" s="317"/>
      <c r="C52" s="318"/>
      <c r="D52" s="397"/>
      <c r="E52" s="316"/>
      <c r="F52" s="317"/>
      <c r="G52" s="318"/>
      <c r="H52" s="397"/>
      <c r="I52" s="316"/>
      <c r="J52" s="317"/>
      <c r="K52" s="318"/>
      <c r="L52" s="397"/>
      <c r="M52" s="316"/>
      <c r="N52" s="317"/>
      <c r="O52" s="318"/>
      <c r="P52" s="397"/>
      <c r="Q52" s="199"/>
      <c r="R52" s="220"/>
      <c r="S52" s="400"/>
      <c r="T52" s="401"/>
      <c r="U52" s="199"/>
      <c r="V52" s="220"/>
      <c r="W52" s="400"/>
      <c r="X52" s="401"/>
      <c r="Y52" s="402"/>
      <c r="Z52" s="403"/>
      <c r="AA52" s="404"/>
      <c r="AB52" s="405"/>
      <c r="AC52" s="402"/>
      <c r="AD52" s="403"/>
      <c r="AE52" s="404"/>
      <c r="AF52" s="405"/>
      <c r="AG52" s="199"/>
      <c r="AH52" s="220"/>
      <c r="AI52" s="400"/>
      <c r="AJ52" s="401"/>
      <c r="AK52" s="397"/>
      <c r="AL52" s="397"/>
      <c r="AM52" s="397"/>
    </row>
    <row r="53">
      <c r="A53" s="316"/>
      <c r="B53" s="317"/>
      <c r="C53" s="318"/>
      <c r="D53" s="397"/>
      <c r="E53" s="316"/>
      <c r="F53" s="317"/>
      <c r="G53" s="318"/>
      <c r="H53" s="397"/>
      <c r="I53" s="316"/>
      <c r="J53" s="317"/>
      <c r="K53" s="318"/>
      <c r="L53" s="397"/>
      <c r="M53" s="316"/>
      <c r="N53" s="317"/>
      <c r="O53" s="318"/>
      <c r="P53" s="397"/>
      <c r="Q53" s="199"/>
      <c r="R53" s="220"/>
      <c r="S53" s="400"/>
      <c r="T53" s="401"/>
      <c r="U53" s="199"/>
      <c r="V53" s="220"/>
      <c r="W53" s="400"/>
      <c r="X53" s="401"/>
      <c r="Y53" s="199"/>
      <c r="Z53" s="220"/>
      <c r="AA53" s="400"/>
      <c r="AB53" s="401"/>
      <c r="AC53" s="199"/>
      <c r="AD53" s="220"/>
      <c r="AE53" s="400"/>
      <c r="AF53" s="401"/>
      <c r="AG53" s="199"/>
      <c r="AH53" s="220"/>
      <c r="AI53" s="400"/>
      <c r="AJ53" s="401"/>
      <c r="AK53" s="397"/>
      <c r="AL53" s="397"/>
      <c r="AM53" s="397"/>
    </row>
    <row r="54">
      <c r="A54" s="316"/>
      <c r="B54" s="317"/>
      <c r="C54" s="318"/>
      <c r="D54" s="397"/>
      <c r="E54" s="316"/>
      <c r="F54" s="317"/>
      <c r="G54" s="318"/>
      <c r="H54" s="397"/>
      <c r="I54" s="316"/>
      <c r="J54" s="317"/>
      <c r="K54" s="318"/>
      <c r="L54" s="397"/>
      <c r="M54" s="316"/>
      <c r="N54" s="317"/>
      <c r="O54" s="318"/>
      <c r="P54" s="397"/>
      <c r="Q54" s="199"/>
      <c r="R54" s="220"/>
      <c r="S54" s="400"/>
      <c r="T54" s="401"/>
      <c r="U54" s="199"/>
      <c r="V54" s="220"/>
      <c r="W54" s="400"/>
      <c r="X54" s="401"/>
      <c r="Y54" s="199"/>
      <c r="Z54" s="220"/>
      <c r="AA54" s="400"/>
      <c r="AB54" s="401"/>
      <c r="AC54" s="199"/>
      <c r="AD54" s="220"/>
      <c r="AE54" s="400"/>
      <c r="AF54" s="401"/>
      <c r="AG54" s="199"/>
      <c r="AH54" s="220"/>
      <c r="AI54" s="400"/>
      <c r="AJ54" s="401"/>
      <c r="AK54" s="397"/>
      <c r="AL54" s="397"/>
      <c r="AM54" s="397"/>
    </row>
    <row r="55">
      <c r="A55" s="316"/>
      <c r="B55" s="317"/>
      <c r="C55" s="318"/>
      <c r="D55" s="397"/>
      <c r="E55" s="316"/>
      <c r="F55" s="317"/>
      <c r="G55" s="318"/>
      <c r="H55" s="397"/>
      <c r="I55" s="316"/>
      <c r="J55" s="317"/>
      <c r="K55" s="318"/>
      <c r="L55" s="397"/>
      <c r="M55" s="316"/>
      <c r="N55" s="317"/>
      <c r="O55" s="318"/>
      <c r="P55" s="397"/>
      <c r="Q55" s="199"/>
      <c r="R55" s="220"/>
      <c r="S55" s="400"/>
      <c r="T55" s="401"/>
      <c r="U55" s="199"/>
      <c r="V55" s="220"/>
      <c r="W55" s="400"/>
      <c r="X55" s="401"/>
      <c r="Y55" s="199"/>
      <c r="Z55" s="220"/>
      <c r="AA55" s="400"/>
      <c r="AB55" s="401"/>
      <c r="AC55" s="199"/>
      <c r="AD55" s="220"/>
      <c r="AE55" s="400"/>
      <c r="AF55" s="401"/>
      <c r="AG55" s="199"/>
      <c r="AH55" s="220"/>
      <c r="AI55" s="400"/>
      <c r="AJ55" s="401"/>
      <c r="AK55" s="397"/>
      <c r="AL55" s="397"/>
      <c r="AM55" s="397"/>
    </row>
    <row r="56">
      <c r="A56" s="316"/>
      <c r="B56" s="317"/>
      <c r="C56" s="318"/>
      <c r="D56" s="397"/>
      <c r="E56" s="316"/>
      <c r="F56" s="317"/>
      <c r="G56" s="318"/>
      <c r="H56" s="397"/>
      <c r="I56" s="316"/>
      <c r="J56" s="317"/>
      <c r="K56" s="318"/>
      <c r="L56" s="397"/>
      <c r="M56" s="316"/>
      <c r="N56" s="317"/>
      <c r="O56" s="318"/>
      <c r="P56" s="397"/>
      <c r="Q56" s="199"/>
      <c r="R56" s="220"/>
      <c r="S56" s="400"/>
      <c r="T56" s="401"/>
      <c r="U56" s="199"/>
      <c r="V56" s="220"/>
      <c r="W56" s="400"/>
      <c r="X56" s="401"/>
      <c r="Y56" s="199"/>
      <c r="Z56" s="220"/>
      <c r="AA56" s="400"/>
      <c r="AB56" s="401"/>
      <c r="AC56" s="199"/>
      <c r="AD56" s="220"/>
      <c r="AE56" s="400"/>
      <c r="AF56" s="401"/>
      <c r="AG56" s="199"/>
      <c r="AH56" s="220"/>
      <c r="AI56" s="400"/>
      <c r="AJ56" s="401"/>
      <c r="AK56" s="397"/>
      <c r="AL56" s="397"/>
      <c r="AM56" s="397"/>
    </row>
    <row r="57">
      <c r="A57" s="316"/>
      <c r="B57" s="317"/>
      <c r="C57" s="318"/>
      <c r="D57" s="397"/>
      <c r="E57" s="316"/>
      <c r="F57" s="317"/>
      <c r="G57" s="318"/>
      <c r="H57" s="397"/>
      <c r="I57" s="316"/>
      <c r="J57" s="317"/>
      <c r="K57" s="318"/>
      <c r="L57" s="397"/>
      <c r="M57" s="316"/>
      <c r="N57" s="317"/>
      <c r="O57" s="318"/>
      <c r="P57" s="397"/>
      <c r="Q57" s="199"/>
      <c r="R57" s="220"/>
      <c r="S57" s="400"/>
      <c r="T57" s="401"/>
      <c r="U57" s="199"/>
      <c r="V57" s="220"/>
      <c r="W57" s="400"/>
      <c r="X57" s="401"/>
      <c r="Y57" s="199"/>
      <c r="Z57" s="220"/>
      <c r="AA57" s="400"/>
      <c r="AB57" s="401"/>
      <c r="AC57" s="199"/>
      <c r="AD57" s="220"/>
      <c r="AE57" s="400"/>
      <c r="AF57" s="401"/>
      <c r="AG57" s="199"/>
      <c r="AH57" s="220"/>
      <c r="AI57" s="400"/>
      <c r="AJ57" s="401"/>
      <c r="AK57" s="397"/>
      <c r="AL57" s="397"/>
      <c r="AM57" s="397"/>
    </row>
    <row r="58">
      <c r="A58" s="316"/>
      <c r="B58" s="317"/>
      <c r="C58" s="318"/>
      <c r="D58" s="397"/>
      <c r="E58" s="316"/>
      <c r="F58" s="317"/>
      <c r="G58" s="318"/>
      <c r="H58" s="397"/>
      <c r="I58" s="316"/>
      <c r="J58" s="317"/>
      <c r="K58" s="318"/>
      <c r="L58" s="397"/>
      <c r="M58" s="316"/>
      <c r="N58" s="317"/>
      <c r="O58" s="318"/>
      <c r="P58" s="397"/>
      <c r="Q58" s="199"/>
      <c r="R58" s="220"/>
      <c r="S58" s="400"/>
      <c r="T58" s="401"/>
      <c r="U58" s="199"/>
      <c r="V58" s="220"/>
      <c r="W58" s="400"/>
      <c r="X58" s="401"/>
      <c r="Y58" s="199"/>
      <c r="Z58" s="220"/>
      <c r="AA58" s="400"/>
      <c r="AB58" s="401"/>
      <c r="AC58" s="199"/>
      <c r="AD58" s="220"/>
      <c r="AE58" s="400"/>
      <c r="AF58" s="401"/>
      <c r="AG58" s="199"/>
      <c r="AH58" s="220"/>
      <c r="AI58" s="400"/>
      <c r="AJ58" s="401"/>
      <c r="AK58" s="397"/>
      <c r="AL58" s="397"/>
      <c r="AM58" s="397"/>
    </row>
    <row r="59">
      <c r="A59" s="316"/>
      <c r="B59" s="317"/>
      <c r="C59" s="318"/>
      <c r="D59" s="397"/>
      <c r="E59" s="316"/>
      <c r="F59" s="317"/>
      <c r="G59" s="318"/>
      <c r="H59" s="397"/>
      <c r="I59" s="316"/>
      <c r="J59" s="317"/>
      <c r="K59" s="318"/>
      <c r="L59" s="397"/>
      <c r="M59" s="316"/>
      <c r="N59" s="317"/>
      <c r="O59" s="318"/>
      <c r="P59" s="397"/>
      <c r="Q59" s="199"/>
      <c r="R59" s="220"/>
      <c r="S59" s="400"/>
      <c r="T59" s="401"/>
      <c r="U59" s="199"/>
      <c r="V59" s="220"/>
      <c r="W59" s="400"/>
      <c r="X59" s="401"/>
      <c r="Y59" s="199"/>
      <c r="Z59" s="220"/>
      <c r="AA59" s="400"/>
      <c r="AB59" s="401"/>
      <c r="AC59" s="199"/>
      <c r="AD59" s="220"/>
      <c r="AE59" s="400"/>
      <c r="AF59" s="401"/>
      <c r="AG59" s="199"/>
      <c r="AH59" s="220"/>
      <c r="AI59" s="400"/>
      <c r="AJ59" s="401"/>
      <c r="AK59" s="397"/>
      <c r="AL59" s="397"/>
      <c r="AM59" s="397"/>
    </row>
    <row r="60">
      <c r="A60" s="316"/>
      <c r="B60" s="317"/>
      <c r="C60" s="318"/>
      <c r="D60" s="397"/>
      <c r="E60" s="316"/>
      <c r="F60" s="317"/>
      <c r="G60" s="318"/>
      <c r="H60" s="397"/>
      <c r="I60" s="316"/>
      <c r="J60" s="317"/>
      <c r="K60" s="318"/>
      <c r="L60" s="397"/>
      <c r="M60" s="316"/>
      <c r="N60" s="317"/>
      <c r="O60" s="318"/>
      <c r="P60" s="397"/>
      <c r="Q60" s="199"/>
      <c r="R60" s="220"/>
      <c r="S60" s="400"/>
      <c r="T60" s="401"/>
      <c r="U60" s="199"/>
      <c r="V60" s="220"/>
      <c r="W60" s="400"/>
      <c r="X60" s="401"/>
      <c r="Y60" s="199"/>
      <c r="Z60" s="220"/>
      <c r="AA60" s="400"/>
      <c r="AB60" s="401"/>
      <c r="AC60" s="199"/>
      <c r="AD60" s="220"/>
      <c r="AE60" s="400"/>
      <c r="AF60" s="401"/>
      <c r="AG60" s="199"/>
      <c r="AH60" s="220"/>
      <c r="AI60" s="400"/>
      <c r="AJ60" s="401"/>
      <c r="AK60" s="397"/>
      <c r="AL60" s="397"/>
      <c r="AM60" s="397"/>
    </row>
    <row r="61">
      <c r="A61" s="316"/>
      <c r="B61" s="317"/>
      <c r="C61" s="318"/>
      <c r="D61" s="397"/>
      <c r="E61" s="316"/>
      <c r="F61" s="317"/>
      <c r="G61" s="318"/>
      <c r="H61" s="397"/>
      <c r="I61" s="316"/>
      <c r="J61" s="317"/>
      <c r="K61" s="318"/>
      <c r="L61" s="397"/>
      <c r="M61" s="316"/>
      <c r="N61" s="317"/>
      <c r="O61" s="318"/>
      <c r="P61" s="397"/>
      <c r="Q61" s="199"/>
      <c r="R61" s="220"/>
      <c r="S61" s="400"/>
      <c r="T61" s="401"/>
      <c r="U61" s="199"/>
      <c r="V61" s="220"/>
      <c r="W61" s="400"/>
      <c r="X61" s="401"/>
      <c r="Y61" s="199"/>
      <c r="Z61" s="220"/>
      <c r="AA61" s="400"/>
      <c r="AB61" s="401"/>
      <c r="AC61" s="199"/>
      <c r="AD61" s="220"/>
      <c r="AE61" s="400"/>
      <c r="AF61" s="401"/>
      <c r="AG61" s="199"/>
      <c r="AH61" s="220"/>
      <c r="AI61" s="400"/>
      <c r="AJ61" s="401"/>
      <c r="AK61" s="397"/>
      <c r="AL61" s="397"/>
      <c r="AM61" s="397"/>
    </row>
    <row r="62">
      <c r="A62" s="316"/>
      <c r="B62" s="317"/>
      <c r="C62" s="318"/>
      <c r="D62" s="397"/>
      <c r="E62" s="316"/>
      <c r="F62" s="317"/>
      <c r="G62" s="318"/>
      <c r="H62" s="397"/>
      <c r="I62" s="316"/>
      <c r="J62" s="317"/>
      <c r="K62" s="318"/>
      <c r="L62" s="397"/>
      <c r="M62" s="316"/>
      <c r="N62" s="317"/>
      <c r="O62" s="318"/>
      <c r="P62" s="397"/>
      <c r="Q62" s="199"/>
      <c r="R62" s="220"/>
      <c r="S62" s="400"/>
      <c r="T62" s="401"/>
      <c r="U62" s="199"/>
      <c r="V62" s="220"/>
      <c r="W62" s="400"/>
      <c r="X62" s="401"/>
      <c r="Y62" s="199"/>
      <c r="Z62" s="220"/>
      <c r="AA62" s="400"/>
      <c r="AB62" s="401"/>
      <c r="AC62" s="199"/>
      <c r="AD62" s="220"/>
      <c r="AE62" s="400"/>
      <c r="AF62" s="401"/>
      <c r="AG62" s="199"/>
      <c r="AH62" s="220"/>
      <c r="AI62" s="400"/>
      <c r="AJ62" s="401"/>
      <c r="AK62" s="397"/>
      <c r="AL62" s="397"/>
      <c r="AM62" s="397"/>
    </row>
    <row r="63">
      <c r="A63" s="316"/>
      <c r="B63" s="317"/>
      <c r="C63" s="318"/>
      <c r="D63" s="397"/>
      <c r="E63" s="316"/>
      <c r="F63" s="317"/>
      <c r="G63" s="318"/>
      <c r="H63" s="397"/>
      <c r="I63" s="316"/>
      <c r="J63" s="317"/>
      <c r="K63" s="318"/>
      <c r="L63" s="397"/>
      <c r="M63" s="316"/>
      <c r="N63" s="317"/>
      <c r="O63" s="318"/>
      <c r="P63" s="397"/>
      <c r="Q63" s="199"/>
      <c r="R63" s="220"/>
      <c r="S63" s="400"/>
      <c r="T63" s="401"/>
      <c r="U63" s="199"/>
      <c r="V63" s="220"/>
      <c r="W63" s="400"/>
      <c r="X63" s="401"/>
      <c r="Y63" s="199"/>
      <c r="Z63" s="220"/>
      <c r="AA63" s="400"/>
      <c r="AB63" s="401"/>
      <c r="AC63" s="199"/>
      <c r="AD63" s="220"/>
      <c r="AE63" s="400"/>
      <c r="AF63" s="401"/>
      <c r="AG63" s="199"/>
      <c r="AH63" s="220"/>
      <c r="AI63" s="400"/>
      <c r="AJ63" s="401"/>
      <c r="AK63" s="397"/>
      <c r="AL63" s="397"/>
      <c r="AM63" s="397"/>
    </row>
    <row r="64">
      <c r="A64" s="316"/>
      <c r="B64" s="317"/>
      <c r="C64" s="318"/>
      <c r="D64" s="397"/>
      <c r="E64" s="316"/>
      <c r="F64" s="317"/>
      <c r="G64" s="318"/>
      <c r="H64" s="397"/>
      <c r="I64" s="316"/>
      <c r="J64" s="317"/>
      <c r="K64" s="318"/>
      <c r="L64" s="397"/>
      <c r="M64" s="316"/>
      <c r="N64" s="317"/>
      <c r="O64" s="318"/>
      <c r="P64" s="397"/>
      <c r="Q64" s="199"/>
      <c r="R64" s="220"/>
      <c r="S64" s="400"/>
      <c r="T64" s="401"/>
      <c r="U64" s="199"/>
      <c r="V64" s="220"/>
      <c r="W64" s="400"/>
      <c r="X64" s="401"/>
      <c r="Y64" s="199"/>
      <c r="Z64" s="220"/>
      <c r="AA64" s="400"/>
      <c r="AB64" s="401"/>
      <c r="AC64" s="199"/>
      <c r="AD64" s="220"/>
      <c r="AE64" s="400"/>
      <c r="AF64" s="401"/>
      <c r="AG64" s="199"/>
      <c r="AH64" s="220"/>
      <c r="AI64" s="400"/>
      <c r="AJ64" s="401"/>
      <c r="AK64" s="397"/>
      <c r="AL64" s="397"/>
      <c r="AM64" s="397"/>
    </row>
    <row r="65">
      <c r="A65" s="316"/>
      <c r="B65" s="317"/>
      <c r="C65" s="318"/>
      <c r="D65" s="397"/>
      <c r="E65" s="316"/>
      <c r="F65" s="317"/>
      <c r="G65" s="318"/>
      <c r="H65" s="397"/>
      <c r="I65" s="316"/>
      <c r="J65" s="317"/>
      <c r="K65" s="318"/>
      <c r="L65" s="397"/>
      <c r="M65" s="316"/>
      <c r="N65" s="317"/>
      <c r="O65" s="318"/>
      <c r="P65" s="397"/>
      <c r="Q65" s="199"/>
      <c r="R65" s="220"/>
      <c r="S65" s="400"/>
      <c r="T65" s="401"/>
      <c r="U65" s="199"/>
      <c r="V65" s="220"/>
      <c r="W65" s="400"/>
      <c r="X65" s="401"/>
      <c r="Y65" s="199"/>
      <c r="Z65" s="220"/>
      <c r="AA65" s="400"/>
      <c r="AB65" s="401"/>
      <c r="AC65" s="199"/>
      <c r="AD65" s="220"/>
      <c r="AE65" s="400"/>
      <c r="AF65" s="401"/>
      <c r="AG65" s="199"/>
      <c r="AH65" s="220"/>
      <c r="AI65" s="400"/>
      <c r="AJ65" s="401"/>
      <c r="AK65" s="397"/>
      <c r="AL65" s="397"/>
      <c r="AM65" s="397"/>
    </row>
    <row r="66">
      <c r="A66" s="316"/>
      <c r="B66" s="317"/>
      <c r="C66" s="318"/>
      <c r="D66" s="397"/>
      <c r="E66" s="316"/>
      <c r="F66" s="317"/>
      <c r="G66" s="318"/>
      <c r="H66" s="397"/>
      <c r="I66" s="316"/>
      <c r="J66" s="317"/>
      <c r="K66" s="318"/>
      <c r="L66" s="397"/>
      <c r="M66" s="316"/>
      <c r="N66" s="317"/>
      <c r="O66" s="318"/>
      <c r="P66" s="397"/>
      <c r="Q66" s="199"/>
      <c r="R66" s="220"/>
      <c r="S66" s="400"/>
      <c r="T66" s="401"/>
      <c r="U66" s="199"/>
      <c r="V66" s="220"/>
      <c r="W66" s="400"/>
      <c r="X66" s="401"/>
      <c r="Y66" s="199"/>
      <c r="Z66" s="220"/>
      <c r="AA66" s="400"/>
      <c r="AB66" s="401"/>
      <c r="AC66" s="199"/>
      <c r="AD66" s="220"/>
      <c r="AE66" s="400"/>
      <c r="AF66" s="401"/>
      <c r="AG66" s="199"/>
      <c r="AH66" s="220"/>
      <c r="AI66" s="400"/>
      <c r="AJ66" s="401"/>
      <c r="AK66" s="397"/>
      <c r="AL66" s="397"/>
      <c r="AM66" s="397"/>
    </row>
    <row r="67">
      <c r="A67" s="316"/>
      <c r="B67" s="317"/>
      <c r="C67" s="318"/>
      <c r="D67" s="397"/>
      <c r="E67" s="316"/>
      <c r="F67" s="317"/>
      <c r="G67" s="318"/>
      <c r="H67" s="397"/>
      <c r="I67" s="316"/>
      <c r="J67" s="317"/>
      <c r="K67" s="318"/>
      <c r="L67" s="397"/>
      <c r="M67" s="316"/>
      <c r="N67" s="317"/>
      <c r="O67" s="318"/>
      <c r="P67" s="397"/>
      <c r="Q67" s="199"/>
      <c r="R67" s="220"/>
      <c r="S67" s="400"/>
      <c r="T67" s="401"/>
      <c r="U67" s="199"/>
      <c r="V67" s="220"/>
      <c r="W67" s="400"/>
      <c r="X67" s="401"/>
      <c r="Y67" s="199"/>
      <c r="Z67" s="220"/>
      <c r="AA67" s="400"/>
      <c r="AB67" s="401"/>
      <c r="AC67" s="199"/>
      <c r="AD67" s="220"/>
      <c r="AE67" s="400"/>
      <c r="AF67" s="401"/>
      <c r="AG67" s="199"/>
      <c r="AH67" s="220"/>
      <c r="AI67" s="400"/>
      <c r="AJ67" s="401"/>
      <c r="AK67" s="397"/>
      <c r="AL67" s="397"/>
      <c r="AM67" s="397"/>
    </row>
    <row r="68">
      <c r="A68" s="316"/>
      <c r="B68" s="317"/>
      <c r="C68" s="318"/>
      <c r="D68" s="397"/>
      <c r="E68" s="316"/>
      <c r="F68" s="317"/>
      <c r="G68" s="318"/>
      <c r="H68" s="397"/>
      <c r="I68" s="316"/>
      <c r="J68" s="317"/>
      <c r="K68" s="318"/>
      <c r="L68" s="397"/>
      <c r="M68" s="316"/>
      <c r="N68" s="317"/>
      <c r="O68" s="318"/>
      <c r="P68" s="397"/>
      <c r="Q68" s="199"/>
      <c r="R68" s="220"/>
      <c r="S68" s="400"/>
      <c r="T68" s="401"/>
      <c r="U68" s="199"/>
      <c r="V68" s="220"/>
      <c r="W68" s="400"/>
      <c r="X68" s="401"/>
      <c r="Y68" s="199"/>
      <c r="Z68" s="220"/>
      <c r="AA68" s="400"/>
      <c r="AB68" s="401"/>
      <c r="AC68" s="199"/>
      <c r="AD68" s="220"/>
      <c r="AE68" s="400"/>
      <c r="AF68" s="401"/>
      <c r="AG68" s="199"/>
      <c r="AH68" s="220"/>
      <c r="AI68" s="400"/>
      <c r="AJ68" s="401"/>
      <c r="AK68" s="397"/>
      <c r="AL68" s="397"/>
      <c r="AM68" s="397"/>
    </row>
    <row r="69">
      <c r="A69" s="316"/>
      <c r="B69" s="317"/>
      <c r="C69" s="318"/>
      <c r="D69" s="397"/>
      <c r="E69" s="316"/>
      <c r="F69" s="317"/>
      <c r="G69" s="318"/>
      <c r="H69" s="397"/>
      <c r="I69" s="316"/>
      <c r="J69" s="317"/>
      <c r="K69" s="318"/>
      <c r="L69" s="397"/>
      <c r="M69" s="316"/>
      <c r="N69" s="317"/>
      <c r="O69" s="318"/>
      <c r="P69" s="397"/>
      <c r="Q69" s="199"/>
      <c r="R69" s="220"/>
      <c r="S69" s="400"/>
      <c r="T69" s="401"/>
      <c r="U69" s="199"/>
      <c r="V69" s="220"/>
      <c r="W69" s="400"/>
      <c r="X69" s="401"/>
      <c r="Y69" s="199"/>
      <c r="Z69" s="220"/>
      <c r="AA69" s="400"/>
      <c r="AB69" s="401"/>
      <c r="AC69" s="199"/>
      <c r="AD69" s="220"/>
      <c r="AE69" s="400"/>
      <c r="AF69" s="401"/>
      <c r="AG69" s="199"/>
      <c r="AH69" s="220"/>
      <c r="AI69" s="400"/>
      <c r="AJ69" s="401"/>
      <c r="AK69" s="397"/>
      <c r="AL69" s="397"/>
      <c r="AM69" s="397"/>
    </row>
    <row r="70">
      <c r="A70" s="316"/>
      <c r="B70" s="317"/>
      <c r="C70" s="318"/>
      <c r="D70" s="397"/>
      <c r="E70" s="316"/>
      <c r="F70" s="317"/>
      <c r="G70" s="318"/>
      <c r="H70" s="397"/>
      <c r="I70" s="316"/>
      <c r="J70" s="317"/>
      <c r="K70" s="318"/>
      <c r="L70" s="397"/>
      <c r="M70" s="316"/>
      <c r="N70" s="317"/>
      <c r="O70" s="318"/>
      <c r="P70" s="397"/>
      <c r="Q70" s="199"/>
      <c r="R70" s="220"/>
      <c r="S70" s="400"/>
      <c r="T70" s="401"/>
      <c r="U70" s="199"/>
      <c r="V70" s="220"/>
      <c r="W70" s="400"/>
      <c r="X70" s="401"/>
      <c r="Y70" s="199"/>
      <c r="Z70" s="220"/>
      <c r="AA70" s="400"/>
      <c r="AB70" s="401"/>
      <c r="AC70" s="199"/>
      <c r="AD70" s="220"/>
      <c r="AE70" s="400"/>
      <c r="AF70" s="401"/>
      <c r="AG70" s="199"/>
      <c r="AH70" s="220"/>
      <c r="AI70" s="400"/>
      <c r="AJ70" s="401"/>
      <c r="AK70" s="397"/>
      <c r="AL70" s="397"/>
      <c r="AM70" s="397"/>
    </row>
    <row r="71">
      <c r="A71" s="316"/>
      <c r="B71" s="317"/>
      <c r="C71" s="318"/>
      <c r="D71" s="397"/>
      <c r="E71" s="316"/>
      <c r="F71" s="317"/>
      <c r="G71" s="318"/>
      <c r="H71" s="397"/>
      <c r="I71" s="316"/>
      <c r="J71" s="317"/>
      <c r="K71" s="318"/>
      <c r="L71" s="397"/>
      <c r="M71" s="316"/>
      <c r="N71" s="317"/>
      <c r="O71" s="318"/>
      <c r="P71" s="397"/>
      <c r="Q71" s="199"/>
      <c r="R71" s="220"/>
      <c r="S71" s="400"/>
      <c r="T71" s="401"/>
      <c r="U71" s="199"/>
      <c r="V71" s="220"/>
      <c r="W71" s="400"/>
      <c r="X71" s="401"/>
      <c r="Y71" s="199"/>
      <c r="Z71" s="220"/>
      <c r="AA71" s="400"/>
      <c r="AB71" s="401"/>
      <c r="AC71" s="199"/>
      <c r="AD71" s="220"/>
      <c r="AE71" s="400"/>
      <c r="AF71" s="401"/>
      <c r="AG71" s="199"/>
      <c r="AH71" s="220"/>
      <c r="AI71" s="400"/>
      <c r="AJ71" s="401"/>
      <c r="AK71" s="397"/>
      <c r="AL71" s="397"/>
      <c r="AM71" s="397"/>
    </row>
    <row r="72">
      <c r="A72" s="316"/>
      <c r="B72" s="317"/>
      <c r="C72" s="318"/>
      <c r="D72" s="397"/>
      <c r="E72" s="316"/>
      <c r="F72" s="317"/>
      <c r="G72" s="318"/>
      <c r="H72" s="397"/>
      <c r="I72" s="316"/>
      <c r="J72" s="317"/>
      <c r="K72" s="318"/>
      <c r="L72" s="397"/>
      <c r="M72" s="316"/>
      <c r="N72" s="317"/>
      <c r="O72" s="318"/>
      <c r="P72" s="397"/>
      <c r="Q72" s="199"/>
      <c r="R72" s="220"/>
      <c r="S72" s="400"/>
      <c r="T72" s="401"/>
      <c r="U72" s="199"/>
      <c r="V72" s="220"/>
      <c r="W72" s="400"/>
      <c r="X72" s="401"/>
      <c r="Y72" s="199"/>
      <c r="Z72" s="220"/>
      <c r="AA72" s="400"/>
      <c r="AB72" s="401"/>
      <c r="AC72" s="199"/>
      <c r="AD72" s="220"/>
      <c r="AE72" s="400"/>
      <c r="AF72" s="401"/>
      <c r="AG72" s="199"/>
      <c r="AH72" s="220"/>
      <c r="AI72" s="400"/>
      <c r="AJ72" s="401"/>
      <c r="AK72" s="397"/>
      <c r="AL72" s="397"/>
      <c r="AM72" s="397"/>
    </row>
    <row r="73">
      <c r="A73" s="316"/>
      <c r="B73" s="317"/>
      <c r="C73" s="318"/>
      <c r="D73" s="397"/>
      <c r="E73" s="316"/>
      <c r="F73" s="317"/>
      <c r="G73" s="318"/>
      <c r="H73" s="397"/>
      <c r="I73" s="316"/>
      <c r="J73" s="317"/>
      <c r="K73" s="318"/>
      <c r="L73" s="397"/>
      <c r="M73" s="316"/>
      <c r="N73" s="317"/>
      <c r="O73" s="318"/>
      <c r="P73" s="397"/>
      <c r="Q73" s="199"/>
      <c r="R73" s="220"/>
      <c r="S73" s="400"/>
      <c r="T73" s="401"/>
      <c r="U73" s="199"/>
      <c r="V73" s="220"/>
      <c r="W73" s="400"/>
      <c r="X73" s="401"/>
      <c r="Y73" s="199"/>
      <c r="Z73" s="220"/>
      <c r="AA73" s="400"/>
      <c r="AB73" s="401"/>
      <c r="AC73" s="199"/>
      <c r="AD73" s="220"/>
      <c r="AE73" s="400"/>
      <c r="AF73" s="401"/>
      <c r="AG73" s="199"/>
      <c r="AH73" s="220"/>
      <c r="AI73" s="400"/>
      <c r="AJ73" s="401"/>
      <c r="AK73" s="397"/>
      <c r="AL73" s="397"/>
      <c r="AM73" s="397"/>
    </row>
    <row r="74">
      <c r="A74" s="316"/>
      <c r="B74" s="317"/>
      <c r="C74" s="318"/>
      <c r="D74" s="397"/>
      <c r="E74" s="316"/>
      <c r="F74" s="317"/>
      <c r="G74" s="318"/>
      <c r="H74" s="397"/>
      <c r="I74" s="316"/>
      <c r="J74" s="317"/>
      <c r="K74" s="318"/>
      <c r="L74" s="397"/>
      <c r="M74" s="316"/>
      <c r="N74" s="317"/>
      <c r="O74" s="318"/>
      <c r="P74" s="397"/>
      <c r="Q74" s="199"/>
      <c r="R74" s="220"/>
      <c r="S74" s="400"/>
      <c r="T74" s="401"/>
      <c r="U74" s="199"/>
      <c r="V74" s="220"/>
      <c r="W74" s="400"/>
      <c r="X74" s="401"/>
      <c r="Y74" s="199"/>
      <c r="Z74" s="220"/>
      <c r="AA74" s="400"/>
      <c r="AB74" s="401"/>
      <c r="AC74" s="199"/>
      <c r="AD74" s="220"/>
      <c r="AE74" s="400"/>
      <c r="AF74" s="401"/>
      <c r="AG74" s="199"/>
      <c r="AH74" s="220"/>
      <c r="AI74" s="400"/>
      <c r="AJ74" s="401"/>
      <c r="AK74" s="397"/>
      <c r="AL74" s="397"/>
      <c r="AM74" s="397"/>
    </row>
    <row r="75">
      <c r="A75" s="316"/>
      <c r="B75" s="317"/>
      <c r="C75" s="318"/>
      <c r="D75" s="397"/>
      <c r="E75" s="316"/>
      <c r="F75" s="317"/>
      <c r="G75" s="318"/>
      <c r="H75" s="397"/>
      <c r="I75" s="316"/>
      <c r="J75" s="317"/>
      <c r="K75" s="318"/>
      <c r="L75" s="397"/>
      <c r="M75" s="316"/>
      <c r="N75" s="317"/>
      <c r="O75" s="318"/>
      <c r="P75" s="397"/>
      <c r="Q75" s="199"/>
      <c r="R75" s="220"/>
      <c r="S75" s="400"/>
      <c r="T75" s="401"/>
      <c r="U75" s="199"/>
      <c r="V75" s="220"/>
      <c r="W75" s="400"/>
      <c r="X75" s="401"/>
      <c r="Y75" s="199"/>
      <c r="Z75" s="220"/>
      <c r="AA75" s="400"/>
      <c r="AB75" s="401"/>
      <c r="AC75" s="199"/>
      <c r="AD75" s="220"/>
      <c r="AE75" s="400"/>
      <c r="AF75" s="401"/>
      <c r="AG75" s="199"/>
      <c r="AH75" s="220"/>
      <c r="AI75" s="400"/>
      <c r="AJ75" s="401"/>
      <c r="AK75" s="397"/>
      <c r="AL75" s="397"/>
      <c r="AM75" s="397"/>
    </row>
    <row r="76">
      <c r="A76" s="316"/>
      <c r="B76" s="317"/>
      <c r="C76" s="318"/>
      <c r="D76" s="397"/>
      <c r="E76" s="316"/>
      <c r="F76" s="317"/>
      <c r="G76" s="318"/>
      <c r="H76" s="397"/>
      <c r="I76" s="316"/>
      <c r="J76" s="317"/>
      <c r="K76" s="318"/>
      <c r="L76" s="397"/>
      <c r="M76" s="316"/>
      <c r="N76" s="317"/>
      <c r="O76" s="318"/>
      <c r="P76" s="397"/>
      <c r="Q76" s="199"/>
      <c r="R76" s="220"/>
      <c r="S76" s="400"/>
      <c r="T76" s="401"/>
      <c r="U76" s="199"/>
      <c r="V76" s="220"/>
      <c r="W76" s="400"/>
      <c r="X76" s="401"/>
      <c r="Y76" s="199"/>
      <c r="Z76" s="220"/>
      <c r="AA76" s="400"/>
      <c r="AB76" s="401"/>
      <c r="AC76" s="199"/>
      <c r="AD76" s="220"/>
      <c r="AE76" s="400"/>
      <c r="AF76" s="401"/>
      <c r="AG76" s="199"/>
      <c r="AH76" s="220"/>
      <c r="AI76" s="400"/>
      <c r="AJ76" s="401"/>
      <c r="AK76" s="397"/>
      <c r="AL76" s="397"/>
      <c r="AM76" s="397"/>
    </row>
    <row r="77">
      <c r="A77" s="316"/>
      <c r="B77" s="317"/>
      <c r="C77" s="318"/>
      <c r="D77" s="397"/>
      <c r="E77" s="316"/>
      <c r="F77" s="317"/>
      <c r="G77" s="318"/>
      <c r="H77" s="397"/>
      <c r="I77" s="316"/>
      <c r="J77" s="317"/>
      <c r="K77" s="318"/>
      <c r="L77" s="397"/>
      <c r="M77" s="316"/>
      <c r="N77" s="317"/>
      <c r="O77" s="318"/>
      <c r="P77" s="397"/>
      <c r="Q77" s="199"/>
      <c r="R77" s="220"/>
      <c r="S77" s="400"/>
      <c r="T77" s="401"/>
      <c r="U77" s="199"/>
      <c r="V77" s="220"/>
      <c r="W77" s="400"/>
      <c r="X77" s="401"/>
      <c r="Y77" s="199"/>
      <c r="Z77" s="220"/>
      <c r="AA77" s="400"/>
      <c r="AB77" s="401"/>
      <c r="AC77" s="199"/>
      <c r="AD77" s="220"/>
      <c r="AE77" s="400"/>
      <c r="AF77" s="401"/>
      <c r="AG77" s="199"/>
      <c r="AH77" s="220"/>
      <c r="AI77" s="400"/>
      <c r="AJ77" s="401"/>
      <c r="AK77" s="397"/>
      <c r="AL77" s="397"/>
      <c r="AM77" s="397"/>
    </row>
    <row r="78">
      <c r="A78" s="316"/>
      <c r="B78" s="317"/>
      <c r="C78" s="318"/>
      <c r="D78" s="397"/>
      <c r="E78" s="316"/>
      <c r="F78" s="317"/>
      <c r="G78" s="318"/>
      <c r="H78" s="397"/>
      <c r="I78" s="316"/>
      <c r="J78" s="317"/>
      <c r="K78" s="318"/>
      <c r="L78" s="397"/>
      <c r="M78" s="316"/>
      <c r="N78" s="317"/>
      <c r="O78" s="318"/>
      <c r="P78" s="397"/>
      <c r="Q78" s="199"/>
      <c r="R78" s="220"/>
      <c r="S78" s="400"/>
      <c r="T78" s="401"/>
      <c r="U78" s="199"/>
      <c r="V78" s="220"/>
      <c r="W78" s="400"/>
      <c r="X78" s="401"/>
      <c r="Y78" s="199"/>
      <c r="Z78" s="220"/>
      <c r="AA78" s="400"/>
      <c r="AB78" s="401"/>
      <c r="AC78" s="199"/>
      <c r="AD78" s="220"/>
      <c r="AE78" s="400"/>
      <c r="AF78" s="401"/>
      <c r="AG78" s="199"/>
      <c r="AH78" s="220"/>
      <c r="AI78" s="400"/>
      <c r="AJ78" s="401"/>
      <c r="AK78" s="397"/>
      <c r="AL78" s="397"/>
      <c r="AM78" s="397"/>
    </row>
    <row r="79">
      <c r="A79" s="316"/>
      <c r="B79" s="317"/>
      <c r="C79" s="318"/>
      <c r="D79" s="397"/>
      <c r="E79" s="316"/>
      <c r="F79" s="317"/>
      <c r="G79" s="318"/>
      <c r="H79" s="397"/>
      <c r="I79" s="316"/>
      <c r="J79" s="317"/>
      <c r="K79" s="318"/>
      <c r="L79" s="397"/>
      <c r="M79" s="316"/>
      <c r="N79" s="317"/>
      <c r="O79" s="318"/>
      <c r="P79" s="397"/>
      <c r="Q79" s="199"/>
      <c r="R79" s="220"/>
      <c r="S79" s="400"/>
      <c r="T79" s="401"/>
      <c r="U79" s="199"/>
      <c r="V79" s="220"/>
      <c r="W79" s="400"/>
      <c r="X79" s="401"/>
      <c r="Y79" s="199"/>
      <c r="Z79" s="220"/>
      <c r="AA79" s="400"/>
      <c r="AB79" s="401"/>
      <c r="AC79" s="199"/>
      <c r="AD79" s="220"/>
      <c r="AE79" s="400"/>
      <c r="AF79" s="401"/>
      <c r="AG79" s="199"/>
      <c r="AH79" s="220"/>
      <c r="AI79" s="400"/>
      <c r="AJ79" s="401"/>
      <c r="AK79" s="397"/>
      <c r="AL79" s="397"/>
      <c r="AM79" s="397"/>
    </row>
    <row r="80">
      <c r="A80" s="316"/>
      <c r="B80" s="317"/>
      <c r="C80" s="318"/>
      <c r="D80" s="397"/>
      <c r="E80" s="316"/>
      <c r="F80" s="317"/>
      <c r="G80" s="318"/>
      <c r="H80" s="397"/>
      <c r="I80" s="316"/>
      <c r="J80" s="317"/>
      <c r="K80" s="318"/>
      <c r="L80" s="397"/>
      <c r="M80" s="316"/>
      <c r="N80" s="317"/>
      <c r="O80" s="318"/>
      <c r="P80" s="397"/>
      <c r="Q80" s="199"/>
      <c r="R80" s="220"/>
      <c r="S80" s="400"/>
      <c r="T80" s="401"/>
      <c r="U80" s="199"/>
      <c r="V80" s="220"/>
      <c r="W80" s="400"/>
      <c r="X80" s="401"/>
      <c r="Y80" s="199"/>
      <c r="Z80" s="220"/>
      <c r="AA80" s="400"/>
      <c r="AB80" s="401"/>
      <c r="AC80" s="199"/>
      <c r="AD80" s="220"/>
      <c r="AE80" s="400"/>
      <c r="AF80" s="401"/>
      <c r="AG80" s="199"/>
      <c r="AH80" s="220"/>
      <c r="AI80" s="400"/>
      <c r="AJ80" s="401"/>
      <c r="AK80" s="397"/>
      <c r="AL80" s="397"/>
      <c r="AM80" s="397"/>
    </row>
    <row r="81">
      <c r="A81" s="316"/>
      <c r="B81" s="317"/>
      <c r="C81" s="318"/>
      <c r="D81" s="397"/>
      <c r="E81" s="316"/>
      <c r="F81" s="317"/>
      <c r="G81" s="318"/>
      <c r="H81" s="397"/>
      <c r="I81" s="316"/>
      <c r="J81" s="317"/>
      <c r="K81" s="318"/>
      <c r="L81" s="397"/>
      <c r="M81" s="316"/>
      <c r="N81" s="317"/>
      <c r="O81" s="318"/>
      <c r="P81" s="397"/>
      <c r="Q81" s="199"/>
      <c r="R81" s="220"/>
      <c r="S81" s="400"/>
      <c r="T81" s="401"/>
      <c r="U81" s="199"/>
      <c r="V81" s="220"/>
      <c r="W81" s="400"/>
      <c r="X81" s="401"/>
      <c r="Y81" s="199"/>
      <c r="Z81" s="220"/>
      <c r="AA81" s="400"/>
      <c r="AB81" s="401"/>
      <c r="AC81" s="199"/>
      <c r="AD81" s="220"/>
      <c r="AE81" s="400"/>
      <c r="AF81" s="401"/>
      <c r="AG81" s="199"/>
      <c r="AH81" s="220"/>
      <c r="AI81" s="400"/>
      <c r="AJ81" s="401"/>
      <c r="AK81" s="397"/>
      <c r="AL81" s="397"/>
      <c r="AM81" s="397"/>
    </row>
    <row r="82">
      <c r="A82" s="316"/>
      <c r="B82" s="317"/>
      <c r="C82" s="318"/>
      <c r="D82" s="397"/>
      <c r="E82" s="316"/>
      <c r="F82" s="317"/>
      <c r="G82" s="318"/>
      <c r="H82" s="397"/>
      <c r="I82" s="316"/>
      <c r="J82" s="317"/>
      <c r="K82" s="318"/>
      <c r="L82" s="397"/>
      <c r="M82" s="316"/>
      <c r="N82" s="317"/>
      <c r="O82" s="318"/>
      <c r="P82" s="397"/>
      <c r="Q82" s="199"/>
      <c r="R82" s="220"/>
      <c r="S82" s="400"/>
      <c r="T82" s="401"/>
      <c r="U82" s="199"/>
      <c r="V82" s="220"/>
      <c r="W82" s="400"/>
      <c r="X82" s="401"/>
      <c r="Y82" s="199"/>
      <c r="Z82" s="220"/>
      <c r="AA82" s="400"/>
      <c r="AB82" s="401"/>
      <c r="AC82" s="199"/>
      <c r="AD82" s="220"/>
      <c r="AE82" s="400"/>
      <c r="AF82" s="401"/>
      <c r="AG82" s="199"/>
      <c r="AH82" s="220"/>
      <c r="AI82" s="400"/>
      <c r="AJ82" s="401"/>
      <c r="AK82" s="397"/>
      <c r="AL82" s="397"/>
      <c r="AM82" s="397"/>
    </row>
    <row r="83">
      <c r="A83" s="316"/>
      <c r="B83" s="317"/>
      <c r="C83" s="318"/>
      <c r="D83" s="397"/>
      <c r="E83" s="316"/>
      <c r="F83" s="317"/>
      <c r="G83" s="318"/>
      <c r="H83" s="397"/>
      <c r="I83" s="316"/>
      <c r="J83" s="317"/>
      <c r="K83" s="318"/>
      <c r="L83" s="397"/>
      <c r="M83" s="316"/>
      <c r="N83" s="317"/>
      <c r="O83" s="318"/>
      <c r="P83" s="397"/>
      <c r="Q83" s="199"/>
      <c r="R83" s="220"/>
      <c r="S83" s="400"/>
      <c r="T83" s="401"/>
      <c r="U83" s="199"/>
      <c r="V83" s="220"/>
      <c r="W83" s="400"/>
      <c r="X83" s="401"/>
      <c r="Y83" s="199"/>
      <c r="Z83" s="220"/>
      <c r="AA83" s="400"/>
      <c r="AB83" s="401"/>
      <c r="AC83" s="199"/>
      <c r="AD83" s="220"/>
      <c r="AE83" s="400"/>
      <c r="AF83" s="401"/>
      <c r="AG83" s="199"/>
      <c r="AH83" s="220"/>
      <c r="AI83" s="400"/>
      <c r="AJ83" s="401"/>
      <c r="AK83" s="397"/>
      <c r="AL83" s="397"/>
      <c r="AM83" s="397"/>
    </row>
    <row r="84">
      <c r="A84" s="316"/>
      <c r="B84" s="317"/>
      <c r="C84" s="318"/>
      <c r="D84" s="397"/>
      <c r="E84" s="316"/>
      <c r="F84" s="317"/>
      <c r="G84" s="318"/>
      <c r="H84" s="397"/>
      <c r="I84" s="316"/>
      <c r="J84" s="317"/>
      <c r="K84" s="318"/>
      <c r="L84" s="397"/>
      <c r="M84" s="316"/>
      <c r="N84" s="317"/>
      <c r="O84" s="318"/>
      <c r="P84" s="397"/>
      <c r="Q84" s="199"/>
      <c r="R84" s="220"/>
      <c r="S84" s="400"/>
      <c r="T84" s="401"/>
      <c r="U84" s="199"/>
      <c r="V84" s="220"/>
      <c r="W84" s="400"/>
      <c r="X84" s="401"/>
      <c r="Y84" s="199"/>
      <c r="Z84" s="220"/>
      <c r="AA84" s="400"/>
      <c r="AB84" s="401"/>
      <c r="AC84" s="199"/>
      <c r="AD84" s="220"/>
      <c r="AE84" s="400"/>
      <c r="AF84" s="401"/>
      <c r="AG84" s="199"/>
      <c r="AH84" s="220"/>
      <c r="AI84" s="400"/>
      <c r="AJ84" s="401"/>
      <c r="AK84" s="397"/>
      <c r="AL84" s="397"/>
      <c r="AM84" s="397"/>
    </row>
    <row r="85">
      <c r="A85" s="316"/>
      <c r="B85" s="317"/>
      <c r="C85" s="318"/>
      <c r="D85" s="397"/>
      <c r="E85" s="316"/>
      <c r="F85" s="317"/>
      <c r="G85" s="318"/>
      <c r="H85" s="397"/>
      <c r="I85" s="316"/>
      <c r="J85" s="317"/>
      <c r="K85" s="318"/>
      <c r="L85" s="397"/>
      <c r="M85" s="316"/>
      <c r="N85" s="317"/>
      <c r="O85" s="318"/>
      <c r="P85" s="397"/>
      <c r="Q85" s="199"/>
      <c r="R85" s="220"/>
      <c r="S85" s="400"/>
      <c r="T85" s="401"/>
      <c r="U85" s="199"/>
      <c r="V85" s="220"/>
      <c r="W85" s="400"/>
      <c r="X85" s="401"/>
      <c r="Y85" s="199"/>
      <c r="Z85" s="220"/>
      <c r="AA85" s="400"/>
      <c r="AB85" s="401"/>
      <c r="AC85" s="199"/>
      <c r="AD85" s="220"/>
      <c r="AE85" s="400"/>
      <c r="AF85" s="401"/>
      <c r="AG85" s="199"/>
      <c r="AH85" s="220"/>
      <c r="AI85" s="400"/>
      <c r="AJ85" s="401"/>
      <c r="AK85" s="397"/>
      <c r="AL85" s="397"/>
      <c r="AM85" s="397"/>
    </row>
    <row r="86">
      <c r="A86" s="316"/>
      <c r="B86" s="317"/>
      <c r="C86" s="318"/>
      <c r="D86" s="397"/>
      <c r="E86" s="316"/>
      <c r="F86" s="317"/>
      <c r="G86" s="318"/>
      <c r="H86" s="397"/>
      <c r="I86" s="316"/>
      <c r="J86" s="317"/>
      <c r="K86" s="318"/>
      <c r="L86" s="397"/>
      <c r="M86" s="316"/>
      <c r="N86" s="317"/>
      <c r="O86" s="318"/>
      <c r="P86" s="397"/>
      <c r="Q86" s="199"/>
      <c r="R86" s="220"/>
      <c r="S86" s="400"/>
      <c r="T86" s="401"/>
      <c r="U86" s="199"/>
      <c r="V86" s="220"/>
      <c r="W86" s="400"/>
      <c r="X86" s="401"/>
      <c r="Y86" s="199"/>
      <c r="Z86" s="220"/>
      <c r="AA86" s="400"/>
      <c r="AB86" s="401"/>
      <c r="AC86" s="199"/>
      <c r="AD86" s="220"/>
      <c r="AE86" s="400"/>
      <c r="AF86" s="401"/>
      <c r="AG86" s="199"/>
      <c r="AH86" s="220"/>
      <c r="AI86" s="400"/>
      <c r="AJ86" s="401"/>
      <c r="AK86" s="397"/>
      <c r="AL86" s="397"/>
      <c r="AM86" s="397"/>
    </row>
    <row r="87">
      <c r="A87" s="316"/>
      <c r="B87" s="317"/>
      <c r="C87" s="318"/>
      <c r="D87" s="397"/>
      <c r="E87" s="316"/>
      <c r="F87" s="317"/>
      <c r="G87" s="318"/>
      <c r="H87" s="397"/>
      <c r="I87" s="316"/>
      <c r="J87" s="317"/>
      <c r="K87" s="318"/>
      <c r="L87" s="397"/>
      <c r="M87" s="316"/>
      <c r="N87" s="317"/>
      <c r="O87" s="318"/>
      <c r="P87" s="397"/>
      <c r="Q87" s="199"/>
      <c r="R87" s="220"/>
      <c r="S87" s="400"/>
      <c r="T87" s="401"/>
      <c r="U87" s="199"/>
      <c r="V87" s="220"/>
      <c r="W87" s="400"/>
      <c r="X87" s="401"/>
      <c r="Y87" s="199"/>
      <c r="Z87" s="220"/>
      <c r="AA87" s="400"/>
      <c r="AB87" s="401"/>
      <c r="AC87" s="199"/>
      <c r="AD87" s="220"/>
      <c r="AE87" s="400"/>
      <c r="AF87" s="401"/>
      <c r="AG87" s="199"/>
      <c r="AH87" s="220"/>
      <c r="AI87" s="400"/>
      <c r="AJ87" s="401"/>
      <c r="AK87" s="397"/>
      <c r="AL87" s="397"/>
      <c r="AM87" s="397"/>
    </row>
    <row r="88">
      <c r="A88" s="316"/>
      <c r="B88" s="317"/>
      <c r="C88" s="318"/>
      <c r="D88" s="397"/>
      <c r="E88" s="316"/>
      <c r="F88" s="317"/>
      <c r="G88" s="318"/>
      <c r="H88" s="397"/>
      <c r="I88" s="316"/>
      <c r="J88" s="317"/>
      <c r="K88" s="318"/>
      <c r="L88" s="397"/>
      <c r="M88" s="316"/>
      <c r="N88" s="317"/>
      <c r="O88" s="318"/>
      <c r="P88" s="397"/>
      <c r="Q88" s="199"/>
      <c r="R88" s="220"/>
      <c r="S88" s="400"/>
      <c r="T88" s="401"/>
      <c r="U88" s="199"/>
      <c r="V88" s="220"/>
      <c r="W88" s="400"/>
      <c r="X88" s="401"/>
      <c r="Y88" s="199"/>
      <c r="Z88" s="220"/>
      <c r="AA88" s="400"/>
      <c r="AB88" s="401"/>
      <c r="AC88" s="199"/>
      <c r="AD88" s="220"/>
      <c r="AE88" s="400"/>
      <c r="AF88" s="401"/>
      <c r="AG88" s="199"/>
      <c r="AH88" s="220"/>
      <c r="AI88" s="400"/>
      <c r="AJ88" s="401"/>
      <c r="AK88" s="397"/>
      <c r="AL88" s="397"/>
      <c r="AM88" s="397"/>
    </row>
    <row r="89">
      <c r="A89" s="316"/>
      <c r="B89" s="317"/>
      <c r="C89" s="318"/>
      <c r="D89" s="397"/>
      <c r="E89" s="316"/>
      <c r="F89" s="317"/>
      <c r="G89" s="318"/>
      <c r="H89" s="397"/>
      <c r="I89" s="316"/>
      <c r="J89" s="317"/>
      <c r="K89" s="318"/>
      <c r="L89" s="397"/>
      <c r="M89" s="316"/>
      <c r="N89" s="317"/>
      <c r="O89" s="318"/>
      <c r="P89" s="397"/>
      <c r="Q89" s="199"/>
      <c r="R89" s="220"/>
      <c r="S89" s="400"/>
      <c r="T89" s="401"/>
      <c r="U89" s="199"/>
      <c r="V89" s="220"/>
      <c r="W89" s="400"/>
      <c r="X89" s="401"/>
      <c r="Y89" s="199"/>
      <c r="Z89" s="220"/>
      <c r="AA89" s="400"/>
      <c r="AB89" s="401"/>
      <c r="AC89" s="199"/>
      <c r="AD89" s="220"/>
      <c r="AE89" s="400"/>
      <c r="AF89" s="401"/>
      <c r="AG89" s="199"/>
      <c r="AH89" s="220"/>
      <c r="AI89" s="400"/>
      <c r="AJ89" s="401"/>
      <c r="AK89" s="397"/>
      <c r="AL89" s="397"/>
      <c r="AM89" s="397"/>
    </row>
    <row r="90">
      <c r="A90" s="316"/>
      <c r="B90" s="317"/>
      <c r="C90" s="318"/>
      <c r="D90" s="397"/>
      <c r="E90" s="316"/>
      <c r="F90" s="317"/>
      <c r="G90" s="318"/>
      <c r="H90" s="397"/>
      <c r="I90" s="316"/>
      <c r="J90" s="317"/>
      <c r="K90" s="318"/>
      <c r="L90" s="397"/>
      <c r="M90" s="316"/>
      <c r="N90" s="317"/>
      <c r="O90" s="318"/>
      <c r="P90" s="397"/>
      <c r="Q90" s="199"/>
      <c r="R90" s="220"/>
      <c r="S90" s="400"/>
      <c r="T90" s="401"/>
      <c r="U90" s="199"/>
      <c r="V90" s="220"/>
      <c r="W90" s="400"/>
      <c r="X90" s="401"/>
      <c r="Y90" s="199"/>
      <c r="Z90" s="220"/>
      <c r="AA90" s="400"/>
      <c r="AB90" s="401"/>
      <c r="AC90" s="199"/>
      <c r="AD90" s="220"/>
      <c r="AE90" s="400"/>
      <c r="AF90" s="401"/>
      <c r="AG90" s="199"/>
      <c r="AH90" s="220"/>
      <c r="AI90" s="400"/>
      <c r="AJ90" s="401"/>
      <c r="AK90" s="397"/>
      <c r="AL90" s="397"/>
      <c r="AM90" s="397"/>
    </row>
    <row r="91">
      <c r="A91" s="316"/>
      <c r="B91" s="317"/>
      <c r="C91" s="318"/>
      <c r="D91" s="397"/>
      <c r="E91" s="316"/>
      <c r="F91" s="317"/>
      <c r="G91" s="318"/>
      <c r="H91" s="397"/>
      <c r="I91" s="316"/>
      <c r="J91" s="317"/>
      <c r="K91" s="318"/>
      <c r="L91" s="397"/>
      <c r="M91" s="316"/>
      <c r="N91" s="317"/>
      <c r="O91" s="318"/>
      <c r="P91" s="397"/>
      <c r="Q91" s="199"/>
      <c r="R91" s="220"/>
      <c r="S91" s="400"/>
      <c r="T91" s="401"/>
      <c r="U91" s="199"/>
      <c r="V91" s="220"/>
      <c r="W91" s="400"/>
      <c r="X91" s="401"/>
      <c r="Y91" s="199"/>
      <c r="Z91" s="220"/>
      <c r="AA91" s="400"/>
      <c r="AB91" s="401"/>
      <c r="AC91" s="199"/>
      <c r="AD91" s="220"/>
      <c r="AE91" s="400"/>
      <c r="AF91" s="401"/>
      <c r="AG91" s="199"/>
      <c r="AH91" s="220"/>
      <c r="AI91" s="400"/>
      <c r="AJ91" s="401"/>
      <c r="AK91" s="397"/>
      <c r="AL91" s="397"/>
      <c r="AM91" s="397"/>
    </row>
    <row r="92">
      <c r="A92" s="316"/>
      <c r="B92" s="317"/>
      <c r="C92" s="318"/>
      <c r="D92" s="397"/>
      <c r="E92" s="316"/>
      <c r="F92" s="317"/>
      <c r="G92" s="318"/>
      <c r="H92" s="397"/>
      <c r="I92" s="316"/>
      <c r="J92" s="317"/>
      <c r="K92" s="318"/>
      <c r="L92" s="397"/>
      <c r="M92" s="316"/>
      <c r="N92" s="317"/>
      <c r="O92" s="318"/>
      <c r="P92" s="397"/>
      <c r="Q92" s="199"/>
      <c r="R92" s="220"/>
      <c r="S92" s="400"/>
      <c r="T92" s="401"/>
      <c r="U92" s="199"/>
      <c r="V92" s="220"/>
      <c r="W92" s="400"/>
      <c r="X92" s="401"/>
      <c r="Y92" s="199"/>
      <c r="Z92" s="220"/>
      <c r="AA92" s="400"/>
      <c r="AB92" s="401"/>
      <c r="AC92" s="199"/>
      <c r="AD92" s="220"/>
      <c r="AE92" s="400"/>
      <c r="AF92" s="401"/>
      <c r="AG92" s="199"/>
      <c r="AH92" s="220"/>
      <c r="AI92" s="400"/>
      <c r="AJ92" s="401"/>
      <c r="AK92" s="397"/>
      <c r="AL92" s="397"/>
      <c r="AM92" s="397"/>
    </row>
    <row r="93">
      <c r="A93" s="316"/>
      <c r="B93" s="317"/>
      <c r="C93" s="318"/>
      <c r="D93" s="397"/>
      <c r="E93" s="316"/>
      <c r="F93" s="317"/>
      <c r="G93" s="318"/>
      <c r="H93" s="397"/>
      <c r="I93" s="316"/>
      <c r="J93" s="317"/>
      <c r="K93" s="318"/>
      <c r="L93" s="397"/>
      <c r="M93" s="316"/>
      <c r="N93" s="317"/>
      <c r="O93" s="318"/>
      <c r="P93" s="397"/>
      <c r="Q93" s="199"/>
      <c r="R93" s="220"/>
      <c r="S93" s="400"/>
      <c r="T93" s="401"/>
      <c r="U93" s="199"/>
      <c r="V93" s="220"/>
      <c r="W93" s="400"/>
      <c r="X93" s="401"/>
      <c r="Y93" s="199"/>
      <c r="Z93" s="220"/>
      <c r="AA93" s="400"/>
      <c r="AB93" s="401"/>
      <c r="AC93" s="199"/>
      <c r="AD93" s="220"/>
      <c r="AE93" s="400"/>
      <c r="AF93" s="401"/>
      <c r="AG93" s="199"/>
      <c r="AH93" s="220"/>
      <c r="AI93" s="400"/>
      <c r="AJ93" s="401"/>
      <c r="AK93" s="397"/>
      <c r="AL93" s="397"/>
      <c r="AM93" s="397"/>
    </row>
    <row r="94">
      <c r="A94" s="316"/>
      <c r="B94" s="317"/>
      <c r="C94" s="318"/>
      <c r="D94" s="397"/>
      <c r="E94" s="316"/>
      <c r="F94" s="317"/>
      <c r="G94" s="318"/>
      <c r="H94" s="397"/>
      <c r="I94" s="316"/>
      <c r="J94" s="317"/>
      <c r="K94" s="318"/>
      <c r="L94" s="397"/>
      <c r="M94" s="316"/>
      <c r="N94" s="317"/>
      <c r="O94" s="318"/>
      <c r="P94" s="397"/>
      <c r="Q94" s="199"/>
      <c r="R94" s="220"/>
      <c r="S94" s="400"/>
      <c r="T94" s="401"/>
      <c r="U94" s="199"/>
      <c r="V94" s="220"/>
      <c r="W94" s="400"/>
      <c r="X94" s="401"/>
      <c r="Y94" s="199"/>
      <c r="Z94" s="220"/>
      <c r="AA94" s="400"/>
      <c r="AB94" s="401"/>
      <c r="AC94" s="199"/>
      <c r="AD94" s="220"/>
      <c r="AE94" s="400"/>
      <c r="AF94" s="401"/>
      <c r="AG94" s="199"/>
      <c r="AH94" s="220"/>
      <c r="AI94" s="400"/>
      <c r="AJ94" s="401"/>
      <c r="AK94" s="397"/>
      <c r="AL94" s="397"/>
      <c r="AM94" s="397"/>
    </row>
    <row r="95">
      <c r="A95" s="316"/>
      <c r="B95" s="317"/>
      <c r="C95" s="318"/>
      <c r="D95" s="397"/>
      <c r="E95" s="316"/>
      <c r="F95" s="317"/>
      <c r="G95" s="318"/>
      <c r="H95" s="397"/>
      <c r="I95" s="316"/>
      <c r="J95" s="317"/>
      <c r="K95" s="318"/>
      <c r="L95" s="397"/>
      <c r="M95" s="316"/>
      <c r="N95" s="317"/>
      <c r="O95" s="318"/>
      <c r="P95" s="397"/>
      <c r="Q95" s="199"/>
      <c r="R95" s="220"/>
      <c r="S95" s="400"/>
      <c r="T95" s="401"/>
      <c r="U95" s="199"/>
      <c r="V95" s="220"/>
      <c r="W95" s="400"/>
      <c r="X95" s="401"/>
      <c r="Y95" s="199"/>
      <c r="Z95" s="220"/>
      <c r="AA95" s="400"/>
      <c r="AB95" s="401"/>
      <c r="AC95" s="199"/>
      <c r="AD95" s="220"/>
      <c r="AE95" s="400"/>
      <c r="AF95" s="401"/>
      <c r="AG95" s="199"/>
      <c r="AH95" s="220"/>
      <c r="AI95" s="400"/>
      <c r="AJ95" s="401"/>
      <c r="AK95" s="397"/>
      <c r="AL95" s="397"/>
      <c r="AM95" s="397"/>
    </row>
    <row r="96">
      <c r="A96" s="316"/>
      <c r="B96" s="317"/>
      <c r="C96" s="318"/>
      <c r="D96" s="397"/>
      <c r="E96" s="316"/>
      <c r="F96" s="317"/>
      <c r="G96" s="318"/>
      <c r="H96" s="397"/>
      <c r="I96" s="316"/>
      <c r="J96" s="317"/>
      <c r="K96" s="318"/>
      <c r="L96" s="397"/>
      <c r="M96" s="316"/>
      <c r="N96" s="317"/>
      <c r="O96" s="318"/>
      <c r="P96" s="397"/>
      <c r="Q96" s="199"/>
      <c r="R96" s="220"/>
      <c r="S96" s="400"/>
      <c r="T96" s="401"/>
      <c r="U96" s="199"/>
      <c r="V96" s="220"/>
      <c r="W96" s="400"/>
      <c r="X96" s="401"/>
      <c r="Y96" s="199"/>
      <c r="Z96" s="220"/>
      <c r="AA96" s="400"/>
      <c r="AB96" s="401"/>
      <c r="AC96" s="199"/>
      <c r="AD96" s="220"/>
      <c r="AE96" s="400"/>
      <c r="AF96" s="401"/>
      <c r="AG96" s="199"/>
      <c r="AH96" s="220"/>
      <c r="AI96" s="400"/>
      <c r="AJ96" s="401"/>
      <c r="AK96" s="397"/>
      <c r="AL96" s="397"/>
      <c r="AM96" s="397"/>
    </row>
    <row r="97">
      <c r="A97" s="316"/>
      <c r="B97" s="317"/>
      <c r="C97" s="318"/>
      <c r="D97" s="397"/>
      <c r="E97" s="316"/>
      <c r="F97" s="317"/>
      <c r="G97" s="318"/>
      <c r="H97" s="397"/>
      <c r="I97" s="316"/>
      <c r="J97" s="317"/>
      <c r="K97" s="318"/>
      <c r="L97" s="397"/>
      <c r="M97" s="316"/>
      <c r="N97" s="317"/>
      <c r="O97" s="318"/>
      <c r="P97" s="397"/>
      <c r="Q97" s="199"/>
      <c r="R97" s="220"/>
      <c r="S97" s="400"/>
      <c r="T97" s="401"/>
      <c r="U97" s="199"/>
      <c r="V97" s="220"/>
      <c r="W97" s="400"/>
      <c r="X97" s="401"/>
      <c r="Y97" s="199"/>
      <c r="Z97" s="220"/>
      <c r="AA97" s="400"/>
      <c r="AB97" s="401"/>
      <c r="AC97" s="199"/>
      <c r="AD97" s="220"/>
      <c r="AE97" s="400"/>
      <c r="AF97" s="401"/>
      <c r="AG97" s="199"/>
      <c r="AH97" s="220"/>
      <c r="AI97" s="400"/>
      <c r="AJ97" s="401"/>
      <c r="AK97" s="397"/>
      <c r="AL97" s="397"/>
      <c r="AM97" s="397"/>
    </row>
    <row r="98">
      <c r="A98" s="316"/>
      <c r="B98" s="317"/>
      <c r="C98" s="318"/>
      <c r="D98" s="397"/>
      <c r="E98" s="316"/>
      <c r="F98" s="317"/>
      <c r="G98" s="318"/>
      <c r="H98" s="397"/>
      <c r="I98" s="316"/>
      <c r="J98" s="317"/>
      <c r="K98" s="318"/>
      <c r="L98" s="397"/>
      <c r="M98" s="316"/>
      <c r="N98" s="317"/>
      <c r="O98" s="318"/>
      <c r="P98" s="397"/>
      <c r="Q98" s="199"/>
      <c r="R98" s="220"/>
      <c r="S98" s="400"/>
      <c r="T98" s="401"/>
      <c r="U98" s="199"/>
      <c r="V98" s="220"/>
      <c r="W98" s="400"/>
      <c r="X98" s="401"/>
      <c r="Y98" s="199"/>
      <c r="Z98" s="220"/>
      <c r="AA98" s="400"/>
      <c r="AB98" s="401"/>
      <c r="AC98" s="199"/>
      <c r="AD98" s="220"/>
      <c r="AE98" s="400"/>
      <c r="AF98" s="401"/>
      <c r="AG98" s="199"/>
      <c r="AH98" s="220"/>
      <c r="AI98" s="400"/>
      <c r="AJ98" s="401"/>
      <c r="AK98" s="397"/>
      <c r="AL98" s="397"/>
      <c r="AM98" s="397"/>
    </row>
    <row r="99">
      <c r="A99" s="316"/>
      <c r="B99" s="317"/>
      <c r="C99" s="318"/>
      <c r="D99" s="397"/>
      <c r="E99" s="316"/>
      <c r="F99" s="317"/>
      <c r="G99" s="318"/>
      <c r="H99" s="397"/>
      <c r="I99" s="316"/>
      <c r="J99" s="317"/>
      <c r="K99" s="318"/>
      <c r="L99" s="397"/>
      <c r="M99" s="316"/>
      <c r="N99" s="317"/>
      <c r="O99" s="318"/>
      <c r="P99" s="397"/>
      <c r="Q99" s="199"/>
      <c r="R99" s="220"/>
      <c r="S99" s="400"/>
      <c r="T99" s="401"/>
      <c r="U99" s="199"/>
      <c r="V99" s="220"/>
      <c r="W99" s="400"/>
      <c r="X99" s="401"/>
      <c r="Y99" s="199"/>
      <c r="Z99" s="220"/>
      <c r="AA99" s="400"/>
      <c r="AB99" s="401"/>
      <c r="AC99" s="199"/>
      <c r="AD99" s="220"/>
      <c r="AE99" s="400"/>
      <c r="AF99" s="401"/>
      <c r="AG99" s="199"/>
      <c r="AH99" s="220"/>
      <c r="AI99" s="400"/>
      <c r="AJ99" s="401"/>
      <c r="AK99" s="397"/>
      <c r="AL99" s="397"/>
      <c r="AM99" s="397"/>
    </row>
    <row r="100">
      <c r="A100" s="316"/>
      <c r="B100" s="317"/>
      <c r="C100" s="318"/>
      <c r="D100" s="397"/>
      <c r="E100" s="316"/>
      <c r="F100" s="317"/>
      <c r="G100" s="318"/>
      <c r="H100" s="397"/>
      <c r="I100" s="316"/>
      <c r="J100" s="317"/>
      <c r="K100" s="318"/>
      <c r="L100" s="397"/>
      <c r="M100" s="316"/>
      <c r="N100" s="317"/>
      <c r="O100" s="318"/>
      <c r="P100" s="397"/>
      <c r="Q100" s="199"/>
      <c r="R100" s="220"/>
      <c r="S100" s="400"/>
      <c r="T100" s="401"/>
      <c r="U100" s="199"/>
      <c r="V100" s="220"/>
      <c r="W100" s="400"/>
      <c r="X100" s="401"/>
      <c r="Y100" s="199"/>
      <c r="Z100" s="220"/>
      <c r="AA100" s="400"/>
      <c r="AB100" s="401"/>
      <c r="AC100" s="199"/>
      <c r="AD100" s="220"/>
      <c r="AE100" s="400"/>
      <c r="AF100" s="401"/>
      <c r="AG100" s="199"/>
      <c r="AH100" s="220"/>
      <c r="AI100" s="400"/>
      <c r="AJ100" s="401"/>
      <c r="AK100" s="397"/>
      <c r="AL100" s="397"/>
      <c r="AM100" s="397"/>
    </row>
    <row r="101">
      <c r="A101" s="316"/>
      <c r="B101" s="317"/>
      <c r="C101" s="318"/>
      <c r="D101" s="397"/>
      <c r="E101" s="316"/>
      <c r="F101" s="317"/>
      <c r="G101" s="318"/>
      <c r="H101" s="397"/>
      <c r="I101" s="316"/>
      <c r="J101" s="317"/>
      <c r="K101" s="318"/>
      <c r="L101" s="397"/>
      <c r="M101" s="316"/>
      <c r="N101" s="317"/>
      <c r="O101" s="318"/>
      <c r="P101" s="397"/>
      <c r="Q101" s="199"/>
      <c r="R101" s="220"/>
      <c r="S101" s="400"/>
      <c r="T101" s="401"/>
      <c r="U101" s="199"/>
      <c r="V101" s="220"/>
      <c r="W101" s="400"/>
      <c r="X101" s="401"/>
      <c r="Y101" s="199"/>
      <c r="Z101" s="220"/>
      <c r="AA101" s="400"/>
      <c r="AB101" s="401"/>
      <c r="AC101" s="199"/>
      <c r="AD101" s="220"/>
      <c r="AE101" s="400"/>
      <c r="AF101" s="401"/>
      <c r="AG101" s="199"/>
      <c r="AH101" s="220"/>
      <c r="AI101" s="400"/>
      <c r="AJ101" s="401"/>
      <c r="AK101" s="397"/>
      <c r="AL101" s="397"/>
      <c r="AM101" s="397"/>
    </row>
    <row r="102">
      <c r="A102" s="316"/>
      <c r="B102" s="317"/>
      <c r="C102" s="318"/>
      <c r="D102" s="397"/>
      <c r="E102" s="316"/>
      <c r="F102" s="317"/>
      <c r="G102" s="318"/>
      <c r="H102" s="397"/>
      <c r="I102" s="316"/>
      <c r="J102" s="317"/>
      <c r="K102" s="318"/>
      <c r="L102" s="397"/>
      <c r="M102" s="316"/>
      <c r="N102" s="317"/>
      <c r="O102" s="318"/>
      <c r="P102" s="397"/>
      <c r="Q102" s="199"/>
      <c r="R102" s="220"/>
      <c r="S102" s="400"/>
      <c r="T102" s="401"/>
      <c r="U102" s="199"/>
      <c r="V102" s="220"/>
      <c r="W102" s="400"/>
      <c r="X102" s="401"/>
      <c r="Y102" s="199"/>
      <c r="Z102" s="220"/>
      <c r="AA102" s="400"/>
      <c r="AB102" s="401"/>
      <c r="AC102" s="199"/>
      <c r="AD102" s="220"/>
      <c r="AE102" s="400"/>
      <c r="AF102" s="401"/>
      <c r="AG102" s="199"/>
      <c r="AH102" s="220"/>
      <c r="AI102" s="400"/>
      <c r="AJ102" s="401"/>
      <c r="AK102" s="397"/>
      <c r="AL102" s="397"/>
      <c r="AM102" s="397"/>
    </row>
    <row r="103">
      <c r="A103" s="316"/>
      <c r="B103" s="317"/>
      <c r="C103" s="318"/>
      <c r="D103" s="397"/>
      <c r="E103" s="316"/>
      <c r="F103" s="317"/>
      <c r="G103" s="318"/>
      <c r="H103" s="397"/>
      <c r="I103" s="316"/>
      <c r="J103" s="317"/>
      <c r="K103" s="318"/>
      <c r="L103" s="397"/>
      <c r="M103" s="316"/>
      <c r="N103" s="317"/>
      <c r="O103" s="318"/>
      <c r="P103" s="397"/>
      <c r="Q103" s="199"/>
      <c r="R103" s="220"/>
      <c r="S103" s="400"/>
      <c r="T103" s="401"/>
      <c r="U103" s="199"/>
      <c r="V103" s="220"/>
      <c r="W103" s="400"/>
      <c r="X103" s="401"/>
      <c r="Y103" s="199"/>
      <c r="Z103" s="220"/>
      <c r="AA103" s="400"/>
      <c r="AB103" s="401"/>
      <c r="AC103" s="199"/>
      <c r="AD103" s="220"/>
      <c r="AE103" s="400"/>
      <c r="AF103" s="401"/>
      <c r="AG103" s="199"/>
      <c r="AH103" s="220"/>
      <c r="AI103" s="400"/>
      <c r="AJ103" s="401"/>
      <c r="AK103" s="397"/>
      <c r="AL103" s="397"/>
      <c r="AM103" s="397"/>
    </row>
    <row r="104">
      <c r="A104" s="316"/>
      <c r="B104" s="317"/>
      <c r="C104" s="318"/>
      <c r="D104" s="397"/>
      <c r="E104" s="316"/>
      <c r="F104" s="317"/>
      <c r="G104" s="318"/>
      <c r="H104" s="397"/>
      <c r="I104" s="316"/>
      <c r="J104" s="317"/>
      <c r="K104" s="318"/>
      <c r="L104" s="397"/>
      <c r="M104" s="316"/>
      <c r="N104" s="317"/>
      <c r="O104" s="318"/>
      <c r="P104" s="397"/>
      <c r="Q104" s="199"/>
      <c r="R104" s="220"/>
      <c r="S104" s="400"/>
      <c r="T104" s="401"/>
      <c r="U104" s="199"/>
      <c r="V104" s="220"/>
      <c r="W104" s="400"/>
      <c r="X104" s="401"/>
      <c r="Y104" s="199"/>
      <c r="Z104" s="220"/>
      <c r="AA104" s="400"/>
      <c r="AB104" s="401"/>
      <c r="AC104" s="199"/>
      <c r="AD104" s="220"/>
      <c r="AE104" s="400"/>
      <c r="AF104" s="401"/>
      <c r="AG104" s="199"/>
      <c r="AH104" s="220"/>
      <c r="AI104" s="400"/>
      <c r="AJ104" s="401"/>
      <c r="AK104" s="397"/>
      <c r="AL104" s="397"/>
      <c r="AM104" s="397"/>
    </row>
    <row r="105">
      <c r="A105" s="316"/>
      <c r="B105" s="317"/>
      <c r="C105" s="318"/>
      <c r="D105" s="397"/>
      <c r="E105" s="316"/>
      <c r="F105" s="317"/>
      <c r="G105" s="318"/>
      <c r="H105" s="397"/>
      <c r="I105" s="316"/>
      <c r="J105" s="317"/>
      <c r="K105" s="318"/>
      <c r="L105" s="397"/>
      <c r="M105" s="316"/>
      <c r="N105" s="317"/>
      <c r="O105" s="318"/>
      <c r="P105" s="397"/>
      <c r="Q105" s="199"/>
      <c r="R105" s="220"/>
      <c r="S105" s="400"/>
      <c r="T105" s="401"/>
      <c r="U105" s="199"/>
      <c r="V105" s="220"/>
      <c r="W105" s="400"/>
      <c r="X105" s="401"/>
      <c r="Y105" s="199"/>
      <c r="Z105" s="220"/>
      <c r="AA105" s="400"/>
      <c r="AB105" s="401"/>
      <c r="AC105" s="199"/>
      <c r="AD105" s="220"/>
      <c r="AE105" s="400"/>
      <c r="AF105" s="401"/>
      <c r="AG105" s="199"/>
      <c r="AH105" s="220"/>
      <c r="AI105" s="400"/>
      <c r="AJ105" s="401"/>
      <c r="AK105" s="397"/>
      <c r="AL105" s="397"/>
      <c r="AM105" s="397"/>
    </row>
    <row r="106">
      <c r="A106" s="316"/>
      <c r="B106" s="317"/>
      <c r="C106" s="318"/>
      <c r="D106" s="397"/>
      <c r="E106" s="316"/>
      <c r="F106" s="317"/>
      <c r="G106" s="318"/>
      <c r="H106" s="397"/>
      <c r="I106" s="316"/>
      <c r="J106" s="317"/>
      <c r="K106" s="318"/>
      <c r="L106" s="397"/>
      <c r="M106" s="316"/>
      <c r="N106" s="317"/>
      <c r="O106" s="318"/>
      <c r="P106" s="397"/>
      <c r="Q106" s="199"/>
      <c r="R106" s="220"/>
      <c r="S106" s="400"/>
      <c r="T106" s="401"/>
      <c r="U106" s="199"/>
      <c r="V106" s="220"/>
      <c r="W106" s="400"/>
      <c r="X106" s="401"/>
      <c r="Y106" s="199"/>
      <c r="Z106" s="220"/>
      <c r="AA106" s="400"/>
      <c r="AB106" s="401"/>
      <c r="AC106" s="199"/>
      <c r="AD106" s="220"/>
      <c r="AE106" s="400"/>
      <c r="AF106" s="401"/>
      <c r="AG106" s="199"/>
      <c r="AH106" s="220"/>
      <c r="AI106" s="400"/>
      <c r="AJ106" s="401"/>
      <c r="AK106" s="397"/>
      <c r="AL106" s="397"/>
      <c r="AM106" s="397"/>
    </row>
    <row r="107">
      <c r="A107" s="316"/>
      <c r="B107" s="317"/>
      <c r="C107" s="318"/>
      <c r="D107" s="397"/>
      <c r="E107" s="316"/>
      <c r="F107" s="317"/>
      <c r="G107" s="318"/>
      <c r="H107" s="397"/>
      <c r="I107" s="316"/>
      <c r="J107" s="317"/>
      <c r="K107" s="318"/>
      <c r="L107" s="397"/>
      <c r="M107" s="316"/>
      <c r="N107" s="317"/>
      <c r="O107" s="318"/>
      <c r="P107" s="397"/>
      <c r="Q107" s="199"/>
      <c r="R107" s="220"/>
      <c r="S107" s="400"/>
      <c r="T107" s="401"/>
      <c r="U107" s="199"/>
      <c r="V107" s="220"/>
      <c r="W107" s="400"/>
      <c r="X107" s="401"/>
      <c r="Y107" s="199"/>
      <c r="Z107" s="220"/>
      <c r="AA107" s="400"/>
      <c r="AB107" s="401"/>
      <c r="AC107" s="199"/>
      <c r="AD107" s="220"/>
      <c r="AE107" s="400"/>
      <c r="AF107" s="401"/>
      <c r="AG107" s="199"/>
      <c r="AH107" s="220"/>
      <c r="AI107" s="400"/>
      <c r="AJ107" s="401"/>
      <c r="AK107" s="397"/>
      <c r="AL107" s="397"/>
      <c r="AM107" s="397"/>
    </row>
    <row r="108">
      <c r="A108" s="316"/>
      <c r="B108" s="317"/>
      <c r="C108" s="318"/>
      <c r="D108" s="397"/>
      <c r="E108" s="316"/>
      <c r="F108" s="317"/>
      <c r="G108" s="318"/>
      <c r="H108" s="397"/>
      <c r="I108" s="316"/>
      <c r="J108" s="317"/>
      <c r="K108" s="318"/>
      <c r="L108" s="397"/>
      <c r="M108" s="316"/>
      <c r="N108" s="317"/>
      <c r="O108" s="318"/>
      <c r="P108" s="397"/>
      <c r="Q108" s="199"/>
      <c r="R108" s="220"/>
      <c r="S108" s="400"/>
      <c r="T108" s="401"/>
      <c r="U108" s="199"/>
      <c r="V108" s="220"/>
      <c r="W108" s="400"/>
      <c r="X108" s="401"/>
      <c r="Y108" s="199"/>
      <c r="Z108" s="220"/>
      <c r="AA108" s="400"/>
      <c r="AB108" s="401"/>
      <c r="AC108" s="199"/>
      <c r="AD108" s="220"/>
      <c r="AE108" s="400"/>
      <c r="AF108" s="401"/>
      <c r="AG108" s="199"/>
      <c r="AH108" s="220"/>
      <c r="AI108" s="400"/>
      <c r="AJ108" s="401"/>
      <c r="AK108" s="397"/>
      <c r="AL108" s="397"/>
      <c r="AM108" s="397"/>
    </row>
    <row r="109">
      <c r="A109" s="316"/>
      <c r="B109" s="317"/>
      <c r="C109" s="318"/>
      <c r="D109" s="397"/>
      <c r="E109" s="316"/>
      <c r="F109" s="317"/>
      <c r="G109" s="318"/>
      <c r="H109" s="397"/>
      <c r="I109" s="316"/>
      <c r="J109" s="317"/>
      <c r="K109" s="318"/>
      <c r="L109" s="397"/>
      <c r="M109" s="316"/>
      <c r="N109" s="317"/>
      <c r="O109" s="318"/>
      <c r="P109" s="397"/>
      <c r="Q109" s="199"/>
      <c r="R109" s="220"/>
      <c r="S109" s="400"/>
      <c r="T109" s="401"/>
      <c r="U109" s="199"/>
      <c r="V109" s="220"/>
      <c r="W109" s="400"/>
      <c r="X109" s="401"/>
      <c r="Y109" s="199"/>
      <c r="Z109" s="220"/>
      <c r="AA109" s="400"/>
      <c r="AB109" s="401"/>
      <c r="AC109" s="199"/>
      <c r="AD109" s="220"/>
      <c r="AE109" s="400"/>
      <c r="AF109" s="401"/>
      <c r="AG109" s="199"/>
      <c r="AH109" s="220"/>
      <c r="AI109" s="400"/>
      <c r="AJ109" s="401"/>
      <c r="AK109" s="397"/>
      <c r="AL109" s="397"/>
      <c r="AM109" s="397"/>
    </row>
    <row r="110">
      <c r="A110" s="316"/>
      <c r="B110" s="317"/>
      <c r="C110" s="318"/>
      <c r="D110" s="397"/>
      <c r="E110" s="316"/>
      <c r="F110" s="317"/>
      <c r="G110" s="318"/>
      <c r="H110" s="397"/>
      <c r="I110" s="316"/>
      <c r="J110" s="317"/>
      <c r="K110" s="318"/>
      <c r="L110" s="397"/>
      <c r="M110" s="316"/>
      <c r="N110" s="317"/>
      <c r="O110" s="318"/>
      <c r="P110" s="397"/>
      <c r="Q110" s="199"/>
      <c r="R110" s="220"/>
      <c r="S110" s="400"/>
      <c r="T110" s="401"/>
      <c r="U110" s="199"/>
      <c r="V110" s="220"/>
      <c r="W110" s="400"/>
      <c r="X110" s="401"/>
      <c r="Y110" s="199"/>
      <c r="Z110" s="220"/>
      <c r="AA110" s="400"/>
      <c r="AB110" s="401"/>
      <c r="AC110" s="199"/>
      <c r="AD110" s="220"/>
      <c r="AE110" s="400"/>
      <c r="AF110" s="401"/>
      <c r="AG110" s="199"/>
      <c r="AH110" s="220"/>
      <c r="AI110" s="400"/>
      <c r="AJ110" s="401"/>
      <c r="AK110" s="397"/>
      <c r="AL110" s="397"/>
      <c r="AM110" s="397"/>
    </row>
    <row r="111">
      <c r="A111" s="316"/>
      <c r="B111" s="317"/>
      <c r="C111" s="318"/>
      <c r="D111" s="397"/>
      <c r="E111" s="316"/>
      <c r="F111" s="317"/>
      <c r="G111" s="318"/>
      <c r="H111" s="397"/>
      <c r="I111" s="316"/>
      <c r="J111" s="317"/>
      <c r="K111" s="318"/>
      <c r="L111" s="397"/>
      <c r="M111" s="316"/>
      <c r="N111" s="317"/>
      <c r="O111" s="318"/>
      <c r="P111" s="397"/>
      <c r="Q111" s="199"/>
      <c r="R111" s="220"/>
      <c r="S111" s="400"/>
      <c r="T111" s="401"/>
      <c r="U111" s="199"/>
      <c r="V111" s="220"/>
      <c r="W111" s="400"/>
      <c r="X111" s="401"/>
      <c r="Y111" s="199"/>
      <c r="Z111" s="220"/>
      <c r="AA111" s="400"/>
      <c r="AB111" s="401"/>
      <c r="AC111" s="199"/>
      <c r="AD111" s="220"/>
      <c r="AE111" s="400"/>
      <c r="AF111" s="401"/>
      <c r="AG111" s="199"/>
      <c r="AH111" s="220"/>
      <c r="AI111" s="400"/>
      <c r="AJ111" s="401"/>
      <c r="AK111" s="397"/>
      <c r="AL111" s="397"/>
      <c r="AM111" s="397"/>
    </row>
    <row r="112">
      <c r="A112" s="316"/>
      <c r="B112" s="317"/>
      <c r="C112" s="318"/>
      <c r="D112" s="397"/>
      <c r="E112" s="316"/>
      <c r="F112" s="317"/>
      <c r="G112" s="318"/>
      <c r="H112" s="397"/>
      <c r="I112" s="316"/>
      <c r="J112" s="317"/>
      <c r="K112" s="318"/>
      <c r="L112" s="397"/>
      <c r="M112" s="316"/>
      <c r="N112" s="317"/>
      <c r="O112" s="318"/>
      <c r="P112" s="397"/>
      <c r="Q112" s="199"/>
      <c r="R112" s="220"/>
      <c r="S112" s="400"/>
      <c r="T112" s="401"/>
      <c r="U112" s="199"/>
      <c r="V112" s="220"/>
      <c r="W112" s="400"/>
      <c r="X112" s="401"/>
      <c r="Y112" s="199"/>
      <c r="Z112" s="220"/>
      <c r="AA112" s="400"/>
      <c r="AB112" s="401"/>
      <c r="AC112" s="199"/>
      <c r="AD112" s="220"/>
      <c r="AE112" s="400"/>
      <c r="AF112" s="401"/>
      <c r="AG112" s="199"/>
      <c r="AH112" s="220"/>
      <c r="AI112" s="400"/>
      <c r="AJ112" s="401"/>
      <c r="AK112" s="397"/>
      <c r="AL112" s="397"/>
      <c r="AM112" s="397"/>
    </row>
    <row r="113">
      <c r="A113" s="316"/>
      <c r="B113" s="317"/>
      <c r="C113" s="318"/>
      <c r="D113" s="397"/>
      <c r="E113" s="316"/>
      <c r="F113" s="317"/>
      <c r="G113" s="318"/>
      <c r="H113" s="397"/>
      <c r="I113" s="316"/>
      <c r="J113" s="317"/>
      <c r="K113" s="318"/>
      <c r="L113" s="397"/>
      <c r="M113" s="316"/>
      <c r="N113" s="317"/>
      <c r="O113" s="318"/>
      <c r="P113" s="397"/>
      <c r="Q113" s="199"/>
      <c r="R113" s="220"/>
      <c r="S113" s="400"/>
      <c r="T113" s="401"/>
      <c r="U113" s="199"/>
      <c r="V113" s="220"/>
      <c r="W113" s="400"/>
      <c r="X113" s="401"/>
      <c r="Y113" s="199"/>
      <c r="Z113" s="220"/>
      <c r="AA113" s="400"/>
      <c r="AB113" s="401"/>
      <c r="AC113" s="199"/>
      <c r="AD113" s="220"/>
      <c r="AE113" s="400"/>
      <c r="AF113" s="401"/>
      <c r="AG113" s="199"/>
      <c r="AH113" s="220"/>
      <c r="AI113" s="400"/>
      <c r="AJ113" s="401"/>
      <c r="AK113" s="397"/>
      <c r="AL113" s="397"/>
      <c r="AM113" s="397"/>
    </row>
    <row r="114">
      <c r="A114" s="316"/>
      <c r="B114" s="317"/>
      <c r="C114" s="318"/>
      <c r="D114" s="397"/>
      <c r="E114" s="316"/>
      <c r="F114" s="317"/>
      <c r="G114" s="318"/>
      <c r="H114" s="397"/>
      <c r="I114" s="316"/>
      <c r="J114" s="317"/>
      <c r="K114" s="318"/>
      <c r="L114" s="397"/>
      <c r="M114" s="316"/>
      <c r="N114" s="317"/>
      <c r="O114" s="318"/>
      <c r="P114" s="397"/>
      <c r="Q114" s="199"/>
      <c r="R114" s="220"/>
      <c r="S114" s="400"/>
      <c r="T114" s="401"/>
      <c r="U114" s="199"/>
      <c r="V114" s="220"/>
      <c r="W114" s="400"/>
      <c r="X114" s="401"/>
      <c r="Y114" s="199"/>
      <c r="Z114" s="220"/>
      <c r="AA114" s="400"/>
      <c r="AB114" s="401"/>
      <c r="AC114" s="199"/>
      <c r="AD114" s="220"/>
      <c r="AE114" s="400"/>
      <c r="AF114" s="401"/>
      <c r="AG114" s="199"/>
      <c r="AH114" s="220"/>
      <c r="AI114" s="400"/>
      <c r="AJ114" s="401"/>
      <c r="AK114" s="397"/>
      <c r="AL114" s="397"/>
      <c r="AM114" s="397"/>
    </row>
    <row r="115">
      <c r="A115" s="316"/>
      <c r="B115" s="317"/>
      <c r="C115" s="318"/>
      <c r="D115" s="397"/>
      <c r="E115" s="316"/>
      <c r="F115" s="317"/>
      <c r="G115" s="318"/>
      <c r="H115" s="397"/>
      <c r="I115" s="316"/>
      <c r="J115" s="317"/>
      <c r="K115" s="318"/>
      <c r="L115" s="397"/>
      <c r="M115" s="316"/>
      <c r="N115" s="317"/>
      <c r="O115" s="318"/>
      <c r="P115" s="397"/>
      <c r="Q115" s="199"/>
      <c r="R115" s="220"/>
      <c r="S115" s="400"/>
      <c r="T115" s="401"/>
      <c r="U115" s="199"/>
      <c r="V115" s="220"/>
      <c r="W115" s="400"/>
      <c r="X115" s="401"/>
      <c r="Y115" s="199"/>
      <c r="Z115" s="220"/>
      <c r="AA115" s="400"/>
      <c r="AB115" s="401"/>
      <c r="AC115" s="199"/>
      <c r="AD115" s="220"/>
      <c r="AE115" s="400"/>
      <c r="AF115" s="401"/>
      <c r="AG115" s="199"/>
      <c r="AH115" s="220"/>
      <c r="AI115" s="400"/>
      <c r="AJ115" s="401"/>
      <c r="AK115" s="397"/>
      <c r="AL115" s="397"/>
      <c r="AM115" s="397"/>
    </row>
    <row r="116">
      <c r="A116" s="316"/>
      <c r="B116" s="317"/>
      <c r="C116" s="318"/>
      <c r="D116" s="397"/>
      <c r="E116" s="316"/>
      <c r="F116" s="317"/>
      <c r="G116" s="318"/>
      <c r="H116" s="397"/>
      <c r="I116" s="316"/>
      <c r="J116" s="317"/>
      <c r="K116" s="318"/>
      <c r="L116" s="397"/>
      <c r="M116" s="316"/>
      <c r="N116" s="317"/>
      <c r="O116" s="318"/>
      <c r="P116" s="397"/>
      <c r="Q116" s="199"/>
      <c r="R116" s="220"/>
      <c r="S116" s="400"/>
      <c r="T116" s="401"/>
      <c r="U116" s="199"/>
      <c r="V116" s="220"/>
      <c r="W116" s="400"/>
      <c r="X116" s="401"/>
      <c r="Y116" s="199"/>
      <c r="Z116" s="220"/>
      <c r="AA116" s="400"/>
      <c r="AB116" s="401"/>
      <c r="AC116" s="199"/>
      <c r="AD116" s="220"/>
      <c r="AE116" s="400"/>
      <c r="AF116" s="401"/>
      <c r="AG116" s="199"/>
      <c r="AH116" s="220"/>
      <c r="AI116" s="400"/>
      <c r="AJ116" s="401"/>
      <c r="AK116" s="397"/>
      <c r="AL116" s="397"/>
      <c r="AM116" s="397"/>
    </row>
    <row r="117">
      <c r="A117" s="316"/>
      <c r="B117" s="317"/>
      <c r="C117" s="318"/>
      <c r="D117" s="397"/>
      <c r="E117" s="316"/>
      <c r="F117" s="317"/>
      <c r="G117" s="318"/>
      <c r="H117" s="397"/>
      <c r="I117" s="316"/>
      <c r="J117" s="317"/>
      <c r="K117" s="318"/>
      <c r="L117" s="397"/>
      <c r="M117" s="316"/>
      <c r="N117" s="317"/>
      <c r="O117" s="318"/>
      <c r="P117" s="397"/>
      <c r="Q117" s="199"/>
      <c r="R117" s="220"/>
      <c r="S117" s="400"/>
      <c r="T117" s="401"/>
      <c r="U117" s="199"/>
      <c r="V117" s="220"/>
      <c r="W117" s="400"/>
      <c r="X117" s="401"/>
      <c r="Y117" s="199"/>
      <c r="Z117" s="220"/>
      <c r="AA117" s="400"/>
      <c r="AB117" s="401"/>
      <c r="AC117" s="199"/>
      <c r="AD117" s="220"/>
      <c r="AE117" s="400"/>
      <c r="AF117" s="401"/>
      <c r="AG117" s="199"/>
      <c r="AH117" s="220"/>
      <c r="AI117" s="400"/>
      <c r="AJ117" s="401"/>
      <c r="AK117" s="397"/>
      <c r="AL117" s="397"/>
      <c r="AM117" s="397"/>
    </row>
    <row r="118">
      <c r="A118" s="316"/>
      <c r="B118" s="317"/>
      <c r="C118" s="318"/>
      <c r="D118" s="397"/>
      <c r="E118" s="316"/>
      <c r="F118" s="317"/>
      <c r="G118" s="318"/>
      <c r="H118" s="397"/>
      <c r="I118" s="316"/>
      <c r="J118" s="317"/>
      <c r="K118" s="318"/>
      <c r="L118" s="397"/>
      <c r="M118" s="316"/>
      <c r="N118" s="317"/>
      <c r="O118" s="318"/>
      <c r="P118" s="397"/>
      <c r="Q118" s="199"/>
      <c r="R118" s="220"/>
      <c r="S118" s="400"/>
      <c r="T118" s="401"/>
      <c r="U118" s="199"/>
      <c r="V118" s="220"/>
      <c r="W118" s="400"/>
      <c r="X118" s="401"/>
      <c r="Y118" s="199"/>
      <c r="Z118" s="220"/>
      <c r="AA118" s="400"/>
      <c r="AB118" s="401"/>
      <c r="AC118" s="199"/>
      <c r="AD118" s="220"/>
      <c r="AE118" s="400"/>
      <c r="AF118" s="401"/>
      <c r="AG118" s="199"/>
      <c r="AH118" s="220"/>
      <c r="AI118" s="400"/>
      <c r="AJ118" s="401"/>
      <c r="AK118" s="397"/>
      <c r="AL118" s="397"/>
      <c r="AM118" s="397"/>
    </row>
    <row r="119">
      <c r="A119" s="316"/>
      <c r="B119" s="317"/>
      <c r="C119" s="318"/>
      <c r="D119" s="397"/>
      <c r="E119" s="316"/>
      <c r="F119" s="317"/>
      <c r="G119" s="318"/>
      <c r="H119" s="397"/>
      <c r="I119" s="316"/>
      <c r="J119" s="317"/>
      <c r="K119" s="318"/>
      <c r="L119" s="397"/>
      <c r="M119" s="316"/>
      <c r="N119" s="317"/>
      <c r="O119" s="318"/>
      <c r="P119" s="397"/>
      <c r="Q119" s="199"/>
      <c r="R119" s="220"/>
      <c r="S119" s="400"/>
      <c r="T119" s="401"/>
      <c r="U119" s="199"/>
      <c r="V119" s="220"/>
      <c r="W119" s="400"/>
      <c r="X119" s="401"/>
      <c r="Y119" s="199"/>
      <c r="Z119" s="220"/>
      <c r="AA119" s="400"/>
      <c r="AB119" s="401"/>
      <c r="AC119" s="199"/>
      <c r="AD119" s="220"/>
      <c r="AE119" s="400"/>
      <c r="AF119" s="401"/>
      <c r="AG119" s="199"/>
      <c r="AH119" s="220"/>
      <c r="AI119" s="400"/>
      <c r="AJ119" s="401"/>
      <c r="AK119" s="397"/>
      <c r="AL119" s="397"/>
      <c r="AM119" s="397"/>
    </row>
    <row r="120">
      <c r="A120" s="316"/>
      <c r="B120" s="317"/>
      <c r="C120" s="318"/>
      <c r="D120" s="397"/>
      <c r="E120" s="316"/>
      <c r="F120" s="317"/>
      <c r="G120" s="318"/>
      <c r="H120" s="397"/>
      <c r="I120" s="316"/>
      <c r="J120" s="317"/>
      <c r="K120" s="318"/>
      <c r="L120" s="397"/>
      <c r="M120" s="316"/>
      <c r="N120" s="317"/>
      <c r="O120" s="318"/>
      <c r="P120" s="397"/>
      <c r="Q120" s="199"/>
      <c r="R120" s="220"/>
      <c r="S120" s="400"/>
      <c r="T120" s="401"/>
      <c r="U120" s="199"/>
      <c r="V120" s="220"/>
      <c r="W120" s="400"/>
      <c r="X120" s="401"/>
      <c r="Y120" s="199"/>
      <c r="Z120" s="220"/>
      <c r="AA120" s="400"/>
      <c r="AB120" s="401"/>
      <c r="AC120" s="199"/>
      <c r="AD120" s="220"/>
      <c r="AE120" s="400"/>
      <c r="AF120" s="401"/>
      <c r="AG120" s="199"/>
      <c r="AH120" s="220"/>
      <c r="AI120" s="400"/>
      <c r="AJ120" s="401"/>
      <c r="AK120" s="397"/>
      <c r="AL120" s="397"/>
      <c r="AM120" s="397"/>
    </row>
    <row r="121">
      <c r="A121" s="316"/>
      <c r="B121" s="317"/>
      <c r="C121" s="318"/>
      <c r="D121" s="397"/>
      <c r="E121" s="316"/>
      <c r="F121" s="317"/>
      <c r="G121" s="318"/>
      <c r="H121" s="397"/>
      <c r="I121" s="316"/>
      <c r="J121" s="317"/>
      <c r="K121" s="318"/>
      <c r="L121" s="397"/>
      <c r="M121" s="316"/>
      <c r="N121" s="317"/>
      <c r="O121" s="318"/>
      <c r="P121" s="397"/>
      <c r="Q121" s="199"/>
      <c r="R121" s="220"/>
      <c r="S121" s="400"/>
      <c r="T121" s="401"/>
      <c r="U121" s="199"/>
      <c r="V121" s="220"/>
      <c r="W121" s="400"/>
      <c r="X121" s="401"/>
      <c r="Y121" s="199"/>
      <c r="Z121" s="220"/>
      <c r="AA121" s="400"/>
      <c r="AB121" s="401"/>
      <c r="AC121" s="199"/>
      <c r="AD121" s="220"/>
      <c r="AE121" s="400"/>
      <c r="AF121" s="401"/>
      <c r="AG121" s="199"/>
      <c r="AH121" s="220"/>
      <c r="AI121" s="400"/>
      <c r="AJ121" s="401"/>
      <c r="AK121" s="397"/>
      <c r="AL121" s="397"/>
      <c r="AM121" s="397"/>
    </row>
    <row r="122">
      <c r="A122" s="316"/>
      <c r="B122" s="317"/>
      <c r="C122" s="318"/>
      <c r="D122" s="397"/>
      <c r="E122" s="316"/>
      <c r="F122" s="317"/>
      <c r="G122" s="318"/>
      <c r="H122" s="397"/>
      <c r="I122" s="316"/>
      <c r="J122" s="317"/>
      <c r="K122" s="318"/>
      <c r="L122" s="397"/>
      <c r="M122" s="316"/>
      <c r="N122" s="317"/>
      <c r="O122" s="318"/>
      <c r="P122" s="397"/>
      <c r="Q122" s="199"/>
      <c r="R122" s="220"/>
      <c r="S122" s="400"/>
      <c r="T122" s="401"/>
      <c r="U122" s="199"/>
      <c r="V122" s="220"/>
      <c r="W122" s="400"/>
      <c r="X122" s="401"/>
      <c r="Y122" s="199"/>
      <c r="Z122" s="220"/>
      <c r="AA122" s="400"/>
      <c r="AB122" s="401"/>
      <c r="AC122" s="199"/>
      <c r="AD122" s="220"/>
      <c r="AE122" s="400"/>
      <c r="AF122" s="401"/>
      <c r="AG122" s="199"/>
      <c r="AH122" s="220"/>
      <c r="AI122" s="400"/>
      <c r="AJ122" s="401"/>
      <c r="AK122" s="397"/>
      <c r="AL122" s="397"/>
      <c r="AM122" s="397"/>
    </row>
    <row r="123">
      <c r="A123" s="316"/>
      <c r="B123" s="317"/>
      <c r="C123" s="318"/>
      <c r="D123" s="397"/>
      <c r="E123" s="316"/>
      <c r="F123" s="317"/>
      <c r="G123" s="318"/>
      <c r="H123" s="397"/>
      <c r="I123" s="316"/>
      <c r="J123" s="317"/>
      <c r="K123" s="318"/>
      <c r="L123" s="397"/>
      <c r="M123" s="316"/>
      <c r="N123" s="317"/>
      <c r="O123" s="318"/>
      <c r="P123" s="397"/>
      <c r="Q123" s="199"/>
      <c r="R123" s="220"/>
      <c r="S123" s="400"/>
      <c r="T123" s="401"/>
      <c r="U123" s="199"/>
      <c r="V123" s="220"/>
      <c r="W123" s="400"/>
      <c r="X123" s="401"/>
      <c r="Y123" s="199"/>
      <c r="Z123" s="220"/>
      <c r="AA123" s="400"/>
      <c r="AB123" s="401"/>
      <c r="AC123" s="199"/>
      <c r="AD123" s="220"/>
      <c r="AE123" s="400"/>
      <c r="AF123" s="401"/>
      <c r="AG123" s="199"/>
      <c r="AH123" s="220"/>
      <c r="AI123" s="400"/>
      <c r="AJ123" s="401"/>
      <c r="AK123" s="397"/>
      <c r="AL123" s="397"/>
      <c r="AM123" s="397"/>
    </row>
    <row r="124">
      <c r="A124" s="316"/>
      <c r="B124" s="317"/>
      <c r="C124" s="318"/>
      <c r="D124" s="397"/>
      <c r="E124" s="316"/>
      <c r="F124" s="317"/>
      <c r="G124" s="318"/>
      <c r="H124" s="397"/>
      <c r="I124" s="316"/>
      <c r="J124" s="317"/>
      <c r="K124" s="318"/>
      <c r="L124" s="397"/>
      <c r="M124" s="316"/>
      <c r="N124" s="317"/>
      <c r="O124" s="318"/>
      <c r="P124" s="397"/>
      <c r="Q124" s="199"/>
      <c r="R124" s="220"/>
      <c r="S124" s="400"/>
      <c r="T124" s="401"/>
      <c r="U124" s="199"/>
      <c r="V124" s="220"/>
      <c r="W124" s="400"/>
      <c r="X124" s="401"/>
      <c r="Y124" s="199"/>
      <c r="Z124" s="220"/>
      <c r="AA124" s="400"/>
      <c r="AB124" s="401"/>
      <c r="AC124" s="199"/>
      <c r="AD124" s="220"/>
      <c r="AE124" s="400"/>
      <c r="AF124" s="401"/>
      <c r="AG124" s="199"/>
      <c r="AH124" s="220"/>
      <c r="AI124" s="400"/>
      <c r="AJ124" s="401"/>
      <c r="AK124" s="397"/>
      <c r="AL124" s="397"/>
      <c r="AM124" s="397"/>
    </row>
    <row r="125">
      <c r="A125" s="316"/>
      <c r="B125" s="317"/>
      <c r="C125" s="318"/>
      <c r="D125" s="397"/>
      <c r="E125" s="316"/>
      <c r="F125" s="317"/>
      <c r="G125" s="318"/>
      <c r="H125" s="397"/>
      <c r="I125" s="316"/>
      <c r="J125" s="317"/>
      <c r="K125" s="318"/>
      <c r="L125" s="397"/>
      <c r="M125" s="316"/>
      <c r="N125" s="317"/>
      <c r="O125" s="318"/>
      <c r="P125" s="397"/>
      <c r="Q125" s="199"/>
      <c r="R125" s="220"/>
      <c r="S125" s="400"/>
      <c r="T125" s="401"/>
      <c r="U125" s="199"/>
      <c r="V125" s="220"/>
      <c r="W125" s="400"/>
      <c r="X125" s="401"/>
      <c r="Y125" s="199"/>
      <c r="Z125" s="220"/>
      <c r="AA125" s="400"/>
      <c r="AB125" s="401"/>
      <c r="AC125" s="199"/>
      <c r="AD125" s="220"/>
      <c r="AE125" s="400"/>
      <c r="AF125" s="401"/>
      <c r="AG125" s="199"/>
      <c r="AH125" s="220"/>
      <c r="AI125" s="400"/>
      <c r="AJ125" s="401"/>
      <c r="AK125" s="397"/>
      <c r="AL125" s="397"/>
      <c r="AM125" s="397"/>
    </row>
    <row r="126">
      <c r="A126" s="316"/>
      <c r="B126" s="317"/>
      <c r="C126" s="318"/>
      <c r="D126" s="397"/>
      <c r="E126" s="316"/>
      <c r="F126" s="317"/>
      <c r="G126" s="318"/>
      <c r="H126" s="397"/>
      <c r="I126" s="316"/>
      <c r="J126" s="317"/>
      <c r="K126" s="318"/>
      <c r="L126" s="397"/>
      <c r="M126" s="316"/>
      <c r="N126" s="317"/>
      <c r="O126" s="318"/>
      <c r="P126" s="397"/>
      <c r="Q126" s="199"/>
      <c r="R126" s="220"/>
      <c r="S126" s="400"/>
      <c r="T126" s="401"/>
      <c r="U126" s="199"/>
      <c r="V126" s="220"/>
      <c r="W126" s="400"/>
      <c r="X126" s="401"/>
      <c r="Y126" s="199"/>
      <c r="Z126" s="220"/>
      <c r="AA126" s="400"/>
      <c r="AB126" s="401"/>
      <c r="AC126" s="199"/>
      <c r="AD126" s="220"/>
      <c r="AE126" s="400"/>
      <c r="AF126" s="401"/>
      <c r="AG126" s="199"/>
      <c r="AH126" s="220"/>
      <c r="AI126" s="400"/>
      <c r="AJ126" s="401"/>
      <c r="AK126" s="397"/>
      <c r="AL126" s="397"/>
      <c r="AM126" s="397"/>
    </row>
    <row r="127">
      <c r="A127" s="316"/>
      <c r="B127" s="317"/>
      <c r="C127" s="318"/>
      <c r="D127" s="397"/>
      <c r="E127" s="316"/>
      <c r="F127" s="317"/>
      <c r="G127" s="318"/>
      <c r="H127" s="397"/>
      <c r="I127" s="316"/>
      <c r="J127" s="317"/>
      <c r="K127" s="318"/>
      <c r="L127" s="397"/>
      <c r="M127" s="316"/>
      <c r="N127" s="317"/>
      <c r="O127" s="318"/>
      <c r="P127" s="397"/>
      <c r="Q127" s="199"/>
      <c r="R127" s="220"/>
      <c r="S127" s="400"/>
      <c r="T127" s="401"/>
      <c r="U127" s="199"/>
      <c r="V127" s="220"/>
      <c r="W127" s="400"/>
      <c r="X127" s="401"/>
      <c r="Y127" s="199"/>
      <c r="Z127" s="220"/>
      <c r="AA127" s="400"/>
      <c r="AB127" s="401"/>
      <c r="AC127" s="199"/>
      <c r="AD127" s="220"/>
      <c r="AE127" s="400"/>
      <c r="AF127" s="401"/>
      <c r="AG127" s="199"/>
      <c r="AH127" s="220"/>
      <c r="AI127" s="400"/>
      <c r="AJ127" s="401"/>
      <c r="AK127" s="397"/>
      <c r="AL127" s="397"/>
      <c r="AM127" s="397"/>
    </row>
    <row r="128">
      <c r="A128" s="316"/>
      <c r="B128" s="317"/>
      <c r="C128" s="318"/>
      <c r="D128" s="397"/>
      <c r="E128" s="316"/>
      <c r="F128" s="317"/>
      <c r="G128" s="318"/>
      <c r="H128" s="397"/>
      <c r="I128" s="316"/>
      <c r="J128" s="317"/>
      <c r="K128" s="318"/>
      <c r="L128" s="397"/>
      <c r="M128" s="316"/>
      <c r="N128" s="317"/>
      <c r="O128" s="318"/>
      <c r="P128" s="397"/>
      <c r="Q128" s="199"/>
      <c r="R128" s="220"/>
      <c r="S128" s="400"/>
      <c r="T128" s="401"/>
      <c r="U128" s="199"/>
      <c r="V128" s="220"/>
      <c r="W128" s="400"/>
      <c r="X128" s="401"/>
      <c r="Y128" s="199"/>
      <c r="Z128" s="220"/>
      <c r="AA128" s="400"/>
      <c r="AB128" s="401"/>
      <c r="AC128" s="199"/>
      <c r="AD128" s="220"/>
      <c r="AE128" s="400"/>
      <c r="AF128" s="401"/>
      <c r="AG128" s="199"/>
      <c r="AH128" s="220"/>
      <c r="AI128" s="400"/>
      <c r="AJ128" s="401"/>
      <c r="AK128" s="397"/>
      <c r="AL128" s="397"/>
      <c r="AM128" s="397"/>
    </row>
    <row r="129">
      <c r="A129" s="316"/>
      <c r="B129" s="317"/>
      <c r="C129" s="318"/>
      <c r="D129" s="397"/>
      <c r="E129" s="316"/>
      <c r="F129" s="317"/>
      <c r="G129" s="318"/>
      <c r="H129" s="397"/>
      <c r="I129" s="316"/>
      <c r="J129" s="317"/>
      <c r="K129" s="318"/>
      <c r="L129" s="397"/>
      <c r="M129" s="316"/>
      <c r="N129" s="317"/>
      <c r="O129" s="318"/>
      <c r="P129" s="397"/>
      <c r="Q129" s="199"/>
      <c r="R129" s="220"/>
      <c r="S129" s="400"/>
      <c r="T129" s="401"/>
      <c r="U129" s="199"/>
      <c r="V129" s="220"/>
      <c r="W129" s="400"/>
      <c r="X129" s="401"/>
      <c r="Y129" s="199"/>
      <c r="Z129" s="220"/>
      <c r="AA129" s="400"/>
      <c r="AB129" s="401"/>
      <c r="AC129" s="199"/>
      <c r="AD129" s="220"/>
      <c r="AE129" s="400"/>
      <c r="AF129" s="401"/>
      <c r="AG129" s="199"/>
      <c r="AH129" s="220"/>
      <c r="AI129" s="400"/>
      <c r="AJ129" s="401"/>
      <c r="AK129" s="397"/>
      <c r="AL129" s="397"/>
      <c r="AM129" s="397"/>
    </row>
    <row r="130">
      <c r="A130" s="316"/>
      <c r="B130" s="317"/>
      <c r="C130" s="318"/>
      <c r="D130" s="397"/>
      <c r="E130" s="316"/>
      <c r="F130" s="317"/>
      <c r="G130" s="318"/>
      <c r="H130" s="397"/>
      <c r="I130" s="316"/>
      <c r="J130" s="317"/>
      <c r="K130" s="318"/>
      <c r="L130" s="397"/>
      <c r="M130" s="316"/>
      <c r="N130" s="317"/>
      <c r="O130" s="318"/>
      <c r="P130" s="397"/>
      <c r="Q130" s="199"/>
      <c r="R130" s="220"/>
      <c r="S130" s="400"/>
      <c r="T130" s="401"/>
      <c r="U130" s="199"/>
      <c r="V130" s="220"/>
      <c r="W130" s="400"/>
      <c r="X130" s="401"/>
      <c r="Y130" s="199"/>
      <c r="Z130" s="220"/>
      <c r="AA130" s="400"/>
      <c r="AB130" s="401"/>
      <c r="AC130" s="199"/>
      <c r="AD130" s="220"/>
      <c r="AE130" s="400"/>
      <c r="AF130" s="401"/>
      <c r="AG130" s="199"/>
      <c r="AH130" s="220"/>
      <c r="AI130" s="400"/>
      <c r="AJ130" s="401"/>
      <c r="AK130" s="397"/>
      <c r="AL130" s="397"/>
      <c r="AM130" s="397"/>
    </row>
    <row r="131">
      <c r="A131" s="316"/>
      <c r="B131" s="317"/>
      <c r="C131" s="318"/>
      <c r="D131" s="397"/>
      <c r="E131" s="316"/>
      <c r="F131" s="317"/>
      <c r="G131" s="318"/>
      <c r="H131" s="397"/>
      <c r="I131" s="316"/>
      <c r="J131" s="317"/>
      <c r="K131" s="318"/>
      <c r="L131" s="397"/>
      <c r="M131" s="316"/>
      <c r="N131" s="317"/>
      <c r="O131" s="318"/>
      <c r="P131" s="397"/>
      <c r="Q131" s="199"/>
      <c r="R131" s="220"/>
      <c r="S131" s="400"/>
      <c r="T131" s="401"/>
      <c r="U131" s="199"/>
      <c r="V131" s="220"/>
      <c r="W131" s="400"/>
      <c r="X131" s="401"/>
      <c r="Y131" s="199"/>
      <c r="Z131" s="220"/>
      <c r="AA131" s="400"/>
      <c r="AB131" s="401"/>
      <c r="AC131" s="199"/>
      <c r="AD131" s="220"/>
      <c r="AE131" s="400"/>
      <c r="AF131" s="401"/>
      <c r="AG131" s="199"/>
      <c r="AH131" s="220"/>
      <c r="AI131" s="400"/>
      <c r="AJ131" s="401"/>
      <c r="AK131" s="397"/>
      <c r="AL131" s="397"/>
      <c r="AM131" s="397"/>
    </row>
    <row r="132">
      <c r="A132" s="316"/>
      <c r="B132" s="317"/>
      <c r="C132" s="318"/>
      <c r="D132" s="397"/>
      <c r="E132" s="316"/>
      <c r="F132" s="317"/>
      <c r="G132" s="318"/>
      <c r="H132" s="397"/>
      <c r="I132" s="316"/>
      <c r="J132" s="317"/>
      <c r="K132" s="318"/>
      <c r="L132" s="397"/>
      <c r="M132" s="316"/>
      <c r="N132" s="317"/>
      <c r="O132" s="318"/>
      <c r="P132" s="397"/>
      <c r="Q132" s="199"/>
      <c r="R132" s="220"/>
      <c r="S132" s="400"/>
      <c r="T132" s="401"/>
      <c r="U132" s="199"/>
      <c r="V132" s="220"/>
      <c r="W132" s="400"/>
      <c r="X132" s="401"/>
      <c r="Y132" s="199"/>
      <c r="Z132" s="220"/>
      <c r="AA132" s="400"/>
      <c r="AB132" s="401"/>
      <c r="AC132" s="199"/>
      <c r="AD132" s="220"/>
      <c r="AE132" s="400"/>
      <c r="AF132" s="401"/>
      <c r="AG132" s="199"/>
      <c r="AH132" s="220"/>
      <c r="AI132" s="400"/>
      <c r="AJ132" s="401"/>
      <c r="AK132" s="397"/>
      <c r="AL132" s="397"/>
      <c r="AM132" s="397"/>
    </row>
    <row r="133">
      <c r="A133" s="316"/>
      <c r="B133" s="317"/>
      <c r="C133" s="318"/>
      <c r="D133" s="397"/>
      <c r="E133" s="316"/>
      <c r="F133" s="317"/>
      <c r="G133" s="318"/>
      <c r="H133" s="397"/>
      <c r="I133" s="316"/>
      <c r="J133" s="317"/>
      <c r="K133" s="318"/>
      <c r="L133" s="397"/>
      <c r="M133" s="316"/>
      <c r="N133" s="317"/>
      <c r="O133" s="318"/>
      <c r="P133" s="397"/>
      <c r="Q133" s="199"/>
      <c r="R133" s="220"/>
      <c r="S133" s="400"/>
      <c r="T133" s="401"/>
      <c r="U133" s="199"/>
      <c r="V133" s="220"/>
      <c r="W133" s="400"/>
      <c r="X133" s="401"/>
      <c r="Y133" s="199"/>
      <c r="Z133" s="220"/>
      <c r="AA133" s="400"/>
      <c r="AB133" s="401"/>
      <c r="AC133" s="199"/>
      <c r="AD133" s="220"/>
      <c r="AE133" s="400"/>
      <c r="AF133" s="401"/>
      <c r="AG133" s="199"/>
      <c r="AH133" s="220"/>
      <c r="AI133" s="400"/>
      <c r="AJ133" s="401"/>
      <c r="AK133" s="397"/>
      <c r="AL133" s="397"/>
      <c r="AM133" s="397"/>
    </row>
    <row r="134">
      <c r="A134" s="316"/>
      <c r="B134" s="317"/>
      <c r="C134" s="318"/>
      <c r="D134" s="397"/>
      <c r="E134" s="316"/>
      <c r="F134" s="317"/>
      <c r="G134" s="318"/>
      <c r="H134" s="397"/>
      <c r="I134" s="316"/>
      <c r="J134" s="317"/>
      <c r="K134" s="318"/>
      <c r="L134" s="397"/>
      <c r="M134" s="316"/>
      <c r="N134" s="317"/>
      <c r="O134" s="318"/>
      <c r="P134" s="397"/>
      <c r="Q134" s="199"/>
      <c r="R134" s="220"/>
      <c r="S134" s="400"/>
      <c r="T134" s="401"/>
      <c r="U134" s="199"/>
      <c r="V134" s="220"/>
      <c r="W134" s="400"/>
      <c r="X134" s="401"/>
      <c r="Y134" s="199"/>
      <c r="Z134" s="220"/>
      <c r="AA134" s="400"/>
      <c r="AB134" s="401"/>
      <c r="AC134" s="199"/>
      <c r="AD134" s="220"/>
      <c r="AE134" s="400"/>
      <c r="AF134" s="401"/>
      <c r="AG134" s="199"/>
      <c r="AH134" s="220"/>
      <c r="AI134" s="400"/>
      <c r="AJ134" s="401"/>
      <c r="AK134" s="397"/>
      <c r="AL134" s="397"/>
      <c r="AM134" s="397"/>
    </row>
    <row r="135">
      <c r="A135" s="316"/>
      <c r="B135" s="317"/>
      <c r="C135" s="318"/>
      <c r="D135" s="397"/>
      <c r="E135" s="316"/>
      <c r="F135" s="317"/>
      <c r="G135" s="318"/>
      <c r="H135" s="397"/>
      <c r="I135" s="316"/>
      <c r="J135" s="317"/>
      <c r="K135" s="318"/>
      <c r="L135" s="397"/>
      <c r="M135" s="316"/>
      <c r="N135" s="317"/>
      <c r="O135" s="318"/>
      <c r="P135" s="397"/>
      <c r="Q135" s="199"/>
      <c r="R135" s="220"/>
      <c r="S135" s="400"/>
      <c r="T135" s="401"/>
      <c r="U135" s="199"/>
      <c r="V135" s="220"/>
      <c r="W135" s="400"/>
      <c r="X135" s="401"/>
      <c r="Y135" s="199"/>
      <c r="Z135" s="220"/>
      <c r="AA135" s="400"/>
      <c r="AB135" s="401"/>
      <c r="AC135" s="199"/>
      <c r="AD135" s="220"/>
      <c r="AE135" s="400"/>
      <c r="AF135" s="401"/>
      <c r="AG135" s="199"/>
      <c r="AH135" s="220"/>
      <c r="AI135" s="400"/>
      <c r="AJ135" s="401"/>
      <c r="AK135" s="397"/>
      <c r="AL135" s="397"/>
      <c r="AM135" s="397"/>
    </row>
    <row r="136">
      <c r="A136" s="316"/>
      <c r="B136" s="317"/>
      <c r="C136" s="318"/>
      <c r="D136" s="397"/>
      <c r="E136" s="316"/>
      <c r="F136" s="317"/>
      <c r="G136" s="318"/>
      <c r="H136" s="397"/>
      <c r="I136" s="316"/>
      <c r="J136" s="317"/>
      <c r="K136" s="318"/>
      <c r="L136" s="397"/>
      <c r="M136" s="316"/>
      <c r="N136" s="317"/>
      <c r="O136" s="318"/>
      <c r="P136" s="397"/>
      <c r="Q136" s="199"/>
      <c r="R136" s="220"/>
      <c r="S136" s="400"/>
      <c r="T136" s="401"/>
      <c r="U136" s="199"/>
      <c r="V136" s="220"/>
      <c r="W136" s="400"/>
      <c r="X136" s="401"/>
      <c r="Y136" s="199"/>
      <c r="Z136" s="220"/>
      <c r="AA136" s="400"/>
      <c r="AB136" s="401"/>
      <c r="AC136" s="199"/>
      <c r="AD136" s="220"/>
      <c r="AE136" s="400"/>
      <c r="AF136" s="401"/>
      <c r="AG136" s="199"/>
      <c r="AH136" s="220"/>
      <c r="AI136" s="400"/>
      <c r="AJ136" s="401"/>
      <c r="AK136" s="397"/>
      <c r="AL136" s="397"/>
      <c r="AM136" s="397"/>
    </row>
    <row r="137">
      <c r="A137" s="316"/>
      <c r="B137" s="317"/>
      <c r="C137" s="318"/>
      <c r="D137" s="397"/>
      <c r="E137" s="316"/>
      <c r="F137" s="317"/>
      <c r="G137" s="318"/>
      <c r="H137" s="397"/>
      <c r="I137" s="316"/>
      <c r="J137" s="317"/>
      <c r="K137" s="318"/>
      <c r="L137" s="397"/>
      <c r="M137" s="316"/>
      <c r="N137" s="317"/>
      <c r="O137" s="318"/>
      <c r="P137" s="397"/>
      <c r="Q137" s="199"/>
      <c r="R137" s="220"/>
      <c r="S137" s="400"/>
      <c r="T137" s="401"/>
      <c r="U137" s="199"/>
      <c r="V137" s="220"/>
      <c r="W137" s="400"/>
      <c r="X137" s="401"/>
      <c r="Y137" s="199"/>
      <c r="Z137" s="220"/>
      <c r="AA137" s="400"/>
      <c r="AB137" s="401"/>
      <c r="AC137" s="199"/>
      <c r="AD137" s="220"/>
      <c r="AE137" s="400"/>
      <c r="AF137" s="401"/>
      <c r="AG137" s="199"/>
      <c r="AH137" s="220"/>
      <c r="AI137" s="400"/>
      <c r="AJ137" s="401"/>
      <c r="AK137" s="397"/>
      <c r="AL137" s="397"/>
      <c r="AM137" s="397"/>
    </row>
    <row r="138">
      <c r="A138" s="316"/>
      <c r="B138" s="317"/>
      <c r="C138" s="318"/>
      <c r="D138" s="397"/>
      <c r="E138" s="316"/>
      <c r="F138" s="317"/>
      <c r="G138" s="318"/>
      <c r="H138" s="397"/>
      <c r="I138" s="316"/>
      <c r="J138" s="317"/>
      <c r="K138" s="318"/>
      <c r="L138" s="397"/>
      <c r="M138" s="316"/>
      <c r="N138" s="317"/>
      <c r="O138" s="318"/>
      <c r="P138" s="397"/>
      <c r="Q138" s="199"/>
      <c r="R138" s="220"/>
      <c r="S138" s="400"/>
      <c r="T138" s="401"/>
      <c r="U138" s="199"/>
      <c r="V138" s="220"/>
      <c r="W138" s="400"/>
      <c r="X138" s="401"/>
      <c r="Y138" s="199"/>
      <c r="Z138" s="220"/>
      <c r="AA138" s="400"/>
      <c r="AB138" s="401"/>
      <c r="AC138" s="199"/>
      <c r="AD138" s="220"/>
      <c r="AE138" s="400"/>
      <c r="AF138" s="401"/>
      <c r="AG138" s="199"/>
      <c r="AH138" s="220"/>
      <c r="AI138" s="400"/>
      <c r="AJ138" s="401"/>
      <c r="AK138" s="397"/>
      <c r="AL138" s="397"/>
      <c r="AM138" s="397"/>
    </row>
    <row r="139">
      <c r="A139" s="316"/>
      <c r="B139" s="317"/>
      <c r="C139" s="318"/>
      <c r="D139" s="397"/>
      <c r="E139" s="316"/>
      <c r="F139" s="317"/>
      <c r="G139" s="318"/>
      <c r="H139" s="397"/>
      <c r="I139" s="316"/>
      <c r="J139" s="317"/>
      <c r="K139" s="318"/>
      <c r="L139" s="397"/>
      <c r="M139" s="316"/>
      <c r="N139" s="317"/>
      <c r="O139" s="318"/>
      <c r="P139" s="397"/>
      <c r="Q139" s="199"/>
      <c r="R139" s="220"/>
      <c r="S139" s="400"/>
      <c r="T139" s="401"/>
      <c r="U139" s="199"/>
      <c r="V139" s="220"/>
      <c r="W139" s="400"/>
      <c r="X139" s="401"/>
      <c r="Y139" s="199"/>
      <c r="Z139" s="220"/>
      <c r="AA139" s="400"/>
      <c r="AB139" s="401"/>
      <c r="AC139" s="199"/>
      <c r="AD139" s="220"/>
      <c r="AE139" s="400"/>
      <c r="AF139" s="401"/>
      <c r="AG139" s="199"/>
      <c r="AH139" s="220"/>
      <c r="AI139" s="400"/>
      <c r="AJ139" s="401"/>
      <c r="AK139" s="397"/>
      <c r="AL139" s="397"/>
      <c r="AM139" s="397"/>
    </row>
    <row r="140">
      <c r="A140" s="316"/>
      <c r="B140" s="317"/>
      <c r="C140" s="318"/>
      <c r="D140" s="397"/>
      <c r="E140" s="316"/>
      <c r="F140" s="317"/>
      <c r="G140" s="318"/>
      <c r="H140" s="397"/>
      <c r="I140" s="316"/>
      <c r="J140" s="317"/>
      <c r="K140" s="318"/>
      <c r="L140" s="397"/>
      <c r="M140" s="316"/>
      <c r="N140" s="317"/>
      <c r="O140" s="318"/>
      <c r="P140" s="397"/>
      <c r="Q140" s="199"/>
      <c r="R140" s="220"/>
      <c r="S140" s="400"/>
      <c r="T140" s="401"/>
      <c r="U140" s="199"/>
      <c r="V140" s="220"/>
      <c r="W140" s="400"/>
      <c r="X140" s="401"/>
      <c r="Y140" s="199"/>
      <c r="Z140" s="220"/>
      <c r="AA140" s="400"/>
      <c r="AB140" s="401"/>
      <c r="AC140" s="199"/>
      <c r="AD140" s="220"/>
      <c r="AE140" s="400"/>
      <c r="AF140" s="401"/>
      <c r="AG140" s="199"/>
      <c r="AH140" s="220"/>
      <c r="AI140" s="400"/>
      <c r="AJ140" s="401"/>
      <c r="AK140" s="397"/>
      <c r="AL140" s="397"/>
      <c r="AM140" s="397"/>
    </row>
    <row r="141">
      <c r="A141" s="316"/>
      <c r="B141" s="317"/>
      <c r="C141" s="318"/>
      <c r="D141" s="397"/>
      <c r="E141" s="316"/>
      <c r="F141" s="317"/>
      <c r="G141" s="318"/>
      <c r="H141" s="397"/>
      <c r="I141" s="316"/>
      <c r="J141" s="317"/>
      <c r="K141" s="318"/>
      <c r="L141" s="397"/>
      <c r="M141" s="316"/>
      <c r="N141" s="317"/>
      <c r="O141" s="318"/>
      <c r="P141" s="397"/>
      <c r="Q141" s="199"/>
      <c r="R141" s="220"/>
      <c r="S141" s="400"/>
      <c r="T141" s="401"/>
      <c r="U141" s="199"/>
      <c r="V141" s="220"/>
      <c r="W141" s="400"/>
      <c r="X141" s="401"/>
      <c r="Y141" s="199"/>
      <c r="Z141" s="220"/>
      <c r="AA141" s="400"/>
      <c r="AB141" s="401"/>
      <c r="AC141" s="199"/>
      <c r="AD141" s="220"/>
      <c r="AE141" s="400"/>
      <c r="AF141" s="401"/>
      <c r="AG141" s="199"/>
      <c r="AH141" s="220"/>
      <c r="AI141" s="400"/>
      <c r="AJ141" s="401"/>
      <c r="AK141" s="397"/>
      <c r="AL141" s="397"/>
      <c r="AM141" s="397"/>
    </row>
    <row r="142">
      <c r="A142" s="316"/>
      <c r="B142" s="317"/>
      <c r="C142" s="318"/>
      <c r="D142" s="397"/>
      <c r="E142" s="316"/>
      <c r="F142" s="317"/>
      <c r="G142" s="318"/>
      <c r="H142" s="397"/>
      <c r="I142" s="316"/>
      <c r="J142" s="317"/>
      <c r="K142" s="318"/>
      <c r="L142" s="397"/>
      <c r="M142" s="316"/>
      <c r="N142" s="317"/>
      <c r="O142" s="318"/>
      <c r="P142" s="397"/>
      <c r="Q142" s="199"/>
      <c r="R142" s="220"/>
      <c r="S142" s="400"/>
      <c r="T142" s="401"/>
      <c r="U142" s="199"/>
      <c r="V142" s="220"/>
      <c r="W142" s="400"/>
      <c r="X142" s="401"/>
      <c r="Y142" s="199"/>
      <c r="Z142" s="220"/>
      <c r="AA142" s="400"/>
      <c r="AB142" s="401"/>
      <c r="AC142" s="199"/>
      <c r="AD142" s="220"/>
      <c r="AE142" s="400"/>
      <c r="AF142" s="401"/>
      <c r="AG142" s="199"/>
      <c r="AH142" s="220"/>
      <c r="AI142" s="400"/>
      <c r="AJ142" s="401"/>
      <c r="AK142" s="397"/>
      <c r="AL142" s="397"/>
      <c r="AM142" s="397"/>
    </row>
    <row r="143">
      <c r="A143" s="316"/>
      <c r="B143" s="317"/>
      <c r="C143" s="318"/>
      <c r="D143" s="397"/>
      <c r="E143" s="316"/>
      <c r="F143" s="317"/>
      <c r="G143" s="318"/>
      <c r="H143" s="397"/>
      <c r="I143" s="316"/>
      <c r="J143" s="317"/>
      <c r="K143" s="318"/>
      <c r="L143" s="397"/>
      <c r="M143" s="316"/>
      <c r="N143" s="317"/>
      <c r="O143" s="318"/>
      <c r="P143" s="397"/>
      <c r="Q143" s="199"/>
      <c r="R143" s="220"/>
      <c r="S143" s="400"/>
      <c r="T143" s="401"/>
      <c r="U143" s="199"/>
      <c r="V143" s="220"/>
      <c r="W143" s="400"/>
      <c r="X143" s="401"/>
      <c r="Y143" s="199"/>
      <c r="Z143" s="220"/>
      <c r="AA143" s="400"/>
      <c r="AB143" s="401"/>
      <c r="AC143" s="199"/>
      <c r="AD143" s="220"/>
      <c r="AE143" s="400"/>
      <c r="AF143" s="401"/>
      <c r="AG143" s="199"/>
      <c r="AH143" s="220"/>
      <c r="AI143" s="400"/>
      <c r="AJ143" s="401"/>
      <c r="AK143" s="397"/>
      <c r="AL143" s="397"/>
      <c r="AM143" s="397"/>
    </row>
    <row r="144">
      <c r="A144" s="316"/>
      <c r="B144" s="317"/>
      <c r="C144" s="318"/>
      <c r="D144" s="397"/>
      <c r="E144" s="316"/>
      <c r="F144" s="317"/>
      <c r="G144" s="318"/>
      <c r="H144" s="397"/>
      <c r="I144" s="316"/>
      <c r="J144" s="317"/>
      <c r="K144" s="318"/>
      <c r="L144" s="397"/>
      <c r="M144" s="316"/>
      <c r="N144" s="317"/>
      <c r="O144" s="318"/>
      <c r="P144" s="397"/>
      <c r="Q144" s="199"/>
      <c r="R144" s="220"/>
      <c r="S144" s="400"/>
      <c r="T144" s="401"/>
      <c r="U144" s="199"/>
      <c r="V144" s="220"/>
      <c r="W144" s="400"/>
      <c r="X144" s="401"/>
      <c r="Y144" s="199"/>
      <c r="Z144" s="220"/>
      <c r="AA144" s="400"/>
      <c r="AB144" s="401"/>
      <c r="AC144" s="199"/>
      <c r="AD144" s="220"/>
      <c r="AE144" s="400"/>
      <c r="AF144" s="401"/>
      <c r="AG144" s="199"/>
      <c r="AH144" s="220"/>
      <c r="AI144" s="400"/>
      <c r="AJ144" s="401"/>
      <c r="AK144" s="397"/>
      <c r="AL144" s="397"/>
      <c r="AM144" s="397"/>
    </row>
    <row r="145">
      <c r="A145" s="316"/>
      <c r="B145" s="317"/>
      <c r="C145" s="318"/>
      <c r="D145" s="397"/>
      <c r="E145" s="316"/>
      <c r="F145" s="317"/>
      <c r="G145" s="318"/>
      <c r="H145" s="397"/>
      <c r="I145" s="316"/>
      <c r="J145" s="317"/>
      <c r="K145" s="318"/>
      <c r="L145" s="397"/>
      <c r="M145" s="316"/>
      <c r="N145" s="317"/>
      <c r="O145" s="318"/>
      <c r="P145" s="397"/>
      <c r="Q145" s="199"/>
      <c r="R145" s="220"/>
      <c r="S145" s="400"/>
      <c r="T145" s="401"/>
      <c r="U145" s="199"/>
      <c r="V145" s="220"/>
      <c r="W145" s="400"/>
      <c r="X145" s="401"/>
      <c r="Y145" s="199"/>
      <c r="Z145" s="220"/>
      <c r="AA145" s="400"/>
      <c r="AB145" s="401"/>
      <c r="AC145" s="199"/>
      <c r="AD145" s="220"/>
      <c r="AE145" s="400"/>
      <c r="AF145" s="401"/>
      <c r="AG145" s="199"/>
      <c r="AH145" s="220"/>
      <c r="AI145" s="400"/>
      <c r="AJ145" s="401"/>
      <c r="AK145" s="397"/>
      <c r="AL145" s="397"/>
      <c r="AM145" s="397"/>
    </row>
    <row r="146">
      <c r="A146" s="316"/>
      <c r="B146" s="317"/>
      <c r="C146" s="318"/>
      <c r="D146" s="397"/>
      <c r="E146" s="316"/>
      <c r="F146" s="317"/>
      <c r="G146" s="318"/>
      <c r="H146" s="397"/>
      <c r="I146" s="316"/>
      <c r="J146" s="317"/>
      <c r="K146" s="318"/>
      <c r="L146" s="397"/>
      <c r="M146" s="316"/>
      <c r="N146" s="317"/>
      <c r="O146" s="318"/>
      <c r="P146" s="397"/>
      <c r="Q146" s="199"/>
      <c r="R146" s="220"/>
      <c r="S146" s="400"/>
      <c r="T146" s="401"/>
      <c r="U146" s="199"/>
      <c r="V146" s="220"/>
      <c r="W146" s="400"/>
      <c r="X146" s="401"/>
      <c r="Y146" s="199"/>
      <c r="Z146" s="220"/>
      <c r="AA146" s="400"/>
      <c r="AB146" s="401"/>
      <c r="AC146" s="199"/>
      <c r="AD146" s="220"/>
      <c r="AE146" s="400"/>
      <c r="AF146" s="401"/>
      <c r="AG146" s="199"/>
      <c r="AH146" s="220"/>
      <c r="AI146" s="400"/>
      <c r="AJ146" s="401"/>
      <c r="AK146" s="397"/>
      <c r="AL146" s="397"/>
      <c r="AM146" s="397"/>
    </row>
    <row r="147">
      <c r="A147" s="316"/>
      <c r="B147" s="317"/>
      <c r="C147" s="318"/>
      <c r="D147" s="397"/>
      <c r="E147" s="316"/>
      <c r="F147" s="317"/>
      <c r="G147" s="318"/>
      <c r="H147" s="397"/>
      <c r="I147" s="316"/>
      <c r="J147" s="317"/>
      <c r="K147" s="318"/>
      <c r="L147" s="397"/>
      <c r="M147" s="316"/>
      <c r="N147" s="317"/>
      <c r="O147" s="318"/>
      <c r="P147" s="397"/>
      <c r="Q147" s="199"/>
      <c r="R147" s="220"/>
      <c r="S147" s="400"/>
      <c r="T147" s="401"/>
      <c r="U147" s="199"/>
      <c r="V147" s="220"/>
      <c r="W147" s="400"/>
      <c r="X147" s="401"/>
      <c r="Y147" s="199"/>
      <c r="Z147" s="220"/>
      <c r="AA147" s="400"/>
      <c r="AB147" s="401"/>
      <c r="AC147" s="199"/>
      <c r="AD147" s="220"/>
      <c r="AE147" s="400"/>
      <c r="AF147" s="401"/>
      <c r="AG147" s="199"/>
      <c r="AH147" s="220"/>
      <c r="AI147" s="400"/>
      <c r="AJ147" s="401"/>
      <c r="AK147" s="397"/>
      <c r="AL147" s="397"/>
      <c r="AM147" s="397"/>
    </row>
    <row r="148">
      <c r="A148" s="316"/>
      <c r="B148" s="317"/>
      <c r="C148" s="318"/>
      <c r="D148" s="397"/>
      <c r="E148" s="316"/>
      <c r="F148" s="317"/>
      <c r="G148" s="318"/>
      <c r="H148" s="397"/>
      <c r="I148" s="316"/>
      <c r="J148" s="317"/>
      <c r="K148" s="318"/>
      <c r="L148" s="397"/>
      <c r="M148" s="316"/>
      <c r="N148" s="317"/>
      <c r="O148" s="318"/>
      <c r="P148" s="397"/>
      <c r="Q148" s="199"/>
      <c r="R148" s="220"/>
      <c r="S148" s="400"/>
      <c r="T148" s="401"/>
      <c r="U148" s="199"/>
      <c r="V148" s="220"/>
      <c r="W148" s="400"/>
      <c r="X148" s="401"/>
      <c r="Y148" s="199"/>
      <c r="Z148" s="220"/>
      <c r="AA148" s="400"/>
      <c r="AB148" s="401"/>
      <c r="AC148" s="199"/>
      <c r="AD148" s="220"/>
      <c r="AE148" s="400"/>
      <c r="AF148" s="401"/>
      <c r="AG148" s="199"/>
      <c r="AH148" s="220"/>
      <c r="AI148" s="400"/>
      <c r="AJ148" s="401"/>
      <c r="AK148" s="397"/>
      <c r="AL148" s="397"/>
      <c r="AM148" s="397"/>
    </row>
    <row r="149">
      <c r="A149" s="316"/>
      <c r="B149" s="317"/>
      <c r="C149" s="318"/>
      <c r="D149" s="397"/>
      <c r="E149" s="316"/>
      <c r="F149" s="317"/>
      <c r="G149" s="318"/>
      <c r="H149" s="397"/>
      <c r="I149" s="316"/>
      <c r="J149" s="317"/>
      <c r="K149" s="318"/>
      <c r="L149" s="397"/>
      <c r="M149" s="316"/>
      <c r="N149" s="317"/>
      <c r="O149" s="318"/>
      <c r="P149" s="397"/>
      <c r="Q149" s="199"/>
      <c r="R149" s="220"/>
      <c r="S149" s="400"/>
      <c r="T149" s="401"/>
      <c r="U149" s="199"/>
      <c r="V149" s="220"/>
      <c r="W149" s="400"/>
      <c r="X149" s="401"/>
      <c r="Y149" s="199"/>
      <c r="Z149" s="220"/>
      <c r="AA149" s="400"/>
      <c r="AB149" s="401"/>
      <c r="AC149" s="199"/>
      <c r="AD149" s="220"/>
      <c r="AE149" s="400"/>
      <c r="AF149" s="401"/>
      <c r="AG149" s="199"/>
      <c r="AH149" s="220"/>
      <c r="AI149" s="400"/>
      <c r="AJ149" s="401"/>
      <c r="AK149" s="397"/>
      <c r="AL149" s="397"/>
      <c r="AM149" s="397"/>
    </row>
    <row r="150">
      <c r="A150" s="316"/>
      <c r="B150" s="317"/>
      <c r="C150" s="318"/>
      <c r="D150" s="397"/>
      <c r="E150" s="316"/>
      <c r="F150" s="317"/>
      <c r="G150" s="318"/>
      <c r="H150" s="397"/>
      <c r="I150" s="316"/>
      <c r="J150" s="317"/>
      <c r="K150" s="318"/>
      <c r="L150" s="397"/>
      <c r="M150" s="316"/>
      <c r="N150" s="317"/>
      <c r="O150" s="318"/>
      <c r="P150" s="397"/>
      <c r="Q150" s="199"/>
      <c r="R150" s="220"/>
      <c r="S150" s="400"/>
      <c r="T150" s="401"/>
      <c r="U150" s="199"/>
      <c r="V150" s="220"/>
      <c r="W150" s="400"/>
      <c r="X150" s="401"/>
      <c r="Y150" s="199"/>
      <c r="Z150" s="220"/>
      <c r="AA150" s="400"/>
      <c r="AB150" s="401"/>
      <c r="AC150" s="199"/>
      <c r="AD150" s="220"/>
      <c r="AE150" s="400"/>
      <c r="AF150" s="401"/>
      <c r="AG150" s="199"/>
      <c r="AH150" s="220"/>
      <c r="AI150" s="400"/>
      <c r="AJ150" s="401"/>
      <c r="AK150" s="397"/>
      <c r="AL150" s="397"/>
      <c r="AM150" s="397"/>
    </row>
    <row r="151">
      <c r="A151" s="316"/>
      <c r="B151" s="317"/>
      <c r="C151" s="318"/>
      <c r="D151" s="397"/>
      <c r="E151" s="316"/>
      <c r="F151" s="317"/>
      <c r="G151" s="318"/>
      <c r="H151" s="397"/>
      <c r="I151" s="316"/>
      <c r="J151" s="317"/>
      <c r="K151" s="318"/>
      <c r="L151" s="397"/>
      <c r="M151" s="316"/>
      <c r="N151" s="317"/>
      <c r="O151" s="318"/>
      <c r="P151" s="397"/>
      <c r="Q151" s="199"/>
      <c r="R151" s="220"/>
      <c r="S151" s="400"/>
      <c r="T151" s="401"/>
      <c r="U151" s="199"/>
      <c r="V151" s="220"/>
      <c r="W151" s="400"/>
      <c r="X151" s="401"/>
      <c r="Y151" s="199"/>
      <c r="Z151" s="220"/>
      <c r="AA151" s="400"/>
      <c r="AB151" s="401"/>
      <c r="AC151" s="199"/>
      <c r="AD151" s="220"/>
      <c r="AE151" s="400"/>
      <c r="AF151" s="401"/>
      <c r="AG151" s="199"/>
      <c r="AH151" s="220"/>
      <c r="AI151" s="400"/>
      <c r="AJ151" s="401"/>
      <c r="AK151" s="397"/>
      <c r="AL151" s="397"/>
      <c r="AM151" s="397"/>
    </row>
    <row r="152">
      <c r="A152" s="316"/>
      <c r="B152" s="317"/>
      <c r="C152" s="318"/>
      <c r="D152" s="397"/>
      <c r="E152" s="316"/>
      <c r="F152" s="317"/>
      <c r="G152" s="318"/>
      <c r="H152" s="397"/>
      <c r="I152" s="316"/>
      <c r="J152" s="317"/>
      <c r="K152" s="318"/>
      <c r="L152" s="397"/>
      <c r="M152" s="316"/>
      <c r="N152" s="317"/>
      <c r="O152" s="318"/>
      <c r="P152" s="397"/>
      <c r="Q152" s="199"/>
      <c r="R152" s="220"/>
      <c r="S152" s="400"/>
      <c r="T152" s="401"/>
      <c r="U152" s="199"/>
      <c r="V152" s="220"/>
      <c r="W152" s="400"/>
      <c r="X152" s="401"/>
      <c r="Y152" s="199"/>
      <c r="Z152" s="220"/>
      <c r="AA152" s="400"/>
      <c r="AB152" s="401"/>
      <c r="AC152" s="199"/>
      <c r="AD152" s="220"/>
      <c r="AE152" s="400"/>
      <c r="AF152" s="401"/>
      <c r="AG152" s="199"/>
      <c r="AH152" s="220"/>
      <c r="AI152" s="400"/>
      <c r="AJ152" s="401"/>
      <c r="AK152" s="397"/>
      <c r="AL152" s="397"/>
      <c r="AM152" s="397"/>
    </row>
    <row r="153">
      <c r="A153" s="316"/>
      <c r="B153" s="317"/>
      <c r="C153" s="318"/>
      <c r="D153" s="397"/>
      <c r="E153" s="316"/>
      <c r="F153" s="317"/>
      <c r="G153" s="318"/>
      <c r="H153" s="397"/>
      <c r="I153" s="316"/>
      <c r="J153" s="317"/>
      <c r="K153" s="318"/>
      <c r="L153" s="397"/>
      <c r="M153" s="316"/>
      <c r="N153" s="317"/>
      <c r="O153" s="318"/>
      <c r="P153" s="397"/>
      <c r="Q153" s="199"/>
      <c r="R153" s="220"/>
      <c r="S153" s="400"/>
      <c r="T153" s="401"/>
      <c r="U153" s="199"/>
      <c r="V153" s="220"/>
      <c r="W153" s="400"/>
      <c r="X153" s="401"/>
      <c r="Y153" s="199"/>
      <c r="Z153" s="220"/>
      <c r="AA153" s="400"/>
      <c r="AB153" s="401"/>
      <c r="AC153" s="199"/>
      <c r="AD153" s="220"/>
      <c r="AE153" s="400"/>
      <c r="AF153" s="401"/>
      <c r="AG153" s="199"/>
      <c r="AH153" s="220"/>
      <c r="AI153" s="400"/>
      <c r="AJ153" s="401"/>
      <c r="AK153" s="397"/>
      <c r="AL153" s="397"/>
      <c r="AM153" s="397"/>
    </row>
    <row r="154">
      <c r="A154" s="316"/>
      <c r="B154" s="317"/>
      <c r="C154" s="318"/>
      <c r="D154" s="397"/>
      <c r="E154" s="316"/>
      <c r="F154" s="317"/>
      <c r="G154" s="318"/>
      <c r="H154" s="397"/>
      <c r="I154" s="316"/>
      <c r="J154" s="317"/>
      <c r="K154" s="318"/>
      <c r="L154" s="397"/>
      <c r="M154" s="316"/>
      <c r="N154" s="317"/>
      <c r="O154" s="318"/>
      <c r="P154" s="397"/>
      <c r="Q154" s="199"/>
      <c r="R154" s="220"/>
      <c r="S154" s="400"/>
      <c r="T154" s="401"/>
      <c r="U154" s="199"/>
      <c r="V154" s="220"/>
      <c r="W154" s="400"/>
      <c r="X154" s="401"/>
      <c r="Y154" s="199"/>
      <c r="Z154" s="220"/>
      <c r="AA154" s="400"/>
      <c r="AB154" s="401"/>
      <c r="AC154" s="199"/>
      <c r="AD154" s="220"/>
      <c r="AE154" s="400"/>
      <c r="AF154" s="401"/>
      <c r="AG154" s="199"/>
      <c r="AH154" s="220"/>
      <c r="AI154" s="400"/>
      <c r="AJ154" s="401"/>
      <c r="AK154" s="397"/>
      <c r="AL154" s="397"/>
      <c r="AM154" s="397"/>
    </row>
    <row r="155">
      <c r="A155" s="316"/>
      <c r="B155" s="317"/>
      <c r="C155" s="318"/>
      <c r="D155" s="397"/>
      <c r="E155" s="316"/>
      <c r="F155" s="317"/>
      <c r="G155" s="318"/>
      <c r="H155" s="397"/>
      <c r="I155" s="316"/>
      <c r="J155" s="317"/>
      <c r="K155" s="318"/>
      <c r="L155" s="397"/>
      <c r="M155" s="316"/>
      <c r="N155" s="317"/>
      <c r="O155" s="318"/>
      <c r="P155" s="397"/>
      <c r="Q155" s="199"/>
      <c r="R155" s="220"/>
      <c r="S155" s="400"/>
      <c r="T155" s="401"/>
      <c r="U155" s="199"/>
      <c r="V155" s="220"/>
      <c r="W155" s="400"/>
      <c r="X155" s="401"/>
      <c r="Y155" s="199"/>
      <c r="Z155" s="220"/>
      <c r="AA155" s="400"/>
      <c r="AB155" s="401"/>
      <c r="AC155" s="199"/>
      <c r="AD155" s="220"/>
      <c r="AE155" s="400"/>
      <c r="AF155" s="401"/>
      <c r="AG155" s="199"/>
      <c r="AH155" s="220"/>
      <c r="AI155" s="400"/>
      <c r="AJ155" s="401"/>
      <c r="AK155" s="397"/>
      <c r="AL155" s="397"/>
      <c r="AM155" s="397"/>
    </row>
    <row r="156">
      <c r="A156" s="316"/>
      <c r="B156" s="317"/>
      <c r="C156" s="318"/>
      <c r="D156" s="397"/>
      <c r="E156" s="316"/>
      <c r="F156" s="317"/>
      <c r="G156" s="318"/>
      <c r="H156" s="397"/>
      <c r="I156" s="316"/>
      <c r="J156" s="317"/>
      <c r="K156" s="318"/>
      <c r="L156" s="397"/>
      <c r="M156" s="316"/>
      <c r="N156" s="317"/>
      <c r="O156" s="318"/>
      <c r="P156" s="397"/>
      <c r="Q156" s="199"/>
      <c r="R156" s="220"/>
      <c r="S156" s="400"/>
      <c r="T156" s="401"/>
      <c r="U156" s="199"/>
      <c r="V156" s="220"/>
      <c r="W156" s="400"/>
      <c r="X156" s="401"/>
      <c r="Y156" s="199"/>
      <c r="Z156" s="220"/>
      <c r="AA156" s="400"/>
      <c r="AB156" s="401"/>
      <c r="AC156" s="199"/>
      <c r="AD156" s="220"/>
      <c r="AE156" s="400"/>
      <c r="AF156" s="401"/>
      <c r="AG156" s="199"/>
      <c r="AH156" s="220"/>
      <c r="AI156" s="400"/>
      <c r="AJ156" s="401"/>
      <c r="AK156" s="397"/>
      <c r="AL156" s="397"/>
      <c r="AM156" s="397"/>
    </row>
    <row r="157">
      <c r="A157" s="316"/>
      <c r="B157" s="317"/>
      <c r="C157" s="318"/>
      <c r="D157" s="397"/>
      <c r="E157" s="316"/>
      <c r="F157" s="317"/>
      <c r="G157" s="318"/>
      <c r="H157" s="397"/>
      <c r="I157" s="316"/>
      <c r="J157" s="317"/>
      <c r="K157" s="318"/>
      <c r="L157" s="397"/>
      <c r="M157" s="316"/>
      <c r="N157" s="317"/>
      <c r="O157" s="318"/>
      <c r="P157" s="397"/>
      <c r="Q157" s="199"/>
      <c r="R157" s="220"/>
      <c r="S157" s="400"/>
      <c r="T157" s="401"/>
      <c r="U157" s="199"/>
      <c r="V157" s="220"/>
      <c r="W157" s="400"/>
      <c r="X157" s="401"/>
      <c r="Y157" s="199"/>
      <c r="Z157" s="220"/>
      <c r="AA157" s="400"/>
      <c r="AB157" s="401"/>
      <c r="AC157" s="199"/>
      <c r="AD157" s="220"/>
      <c r="AE157" s="400"/>
      <c r="AF157" s="401"/>
      <c r="AG157" s="199"/>
      <c r="AH157" s="220"/>
      <c r="AI157" s="400"/>
      <c r="AJ157" s="401"/>
      <c r="AK157" s="397"/>
      <c r="AL157" s="397"/>
      <c r="AM157" s="397"/>
    </row>
    <row r="158">
      <c r="A158" s="316"/>
      <c r="B158" s="317"/>
      <c r="C158" s="318"/>
      <c r="D158" s="397"/>
      <c r="E158" s="316"/>
      <c r="F158" s="317"/>
      <c r="G158" s="318"/>
      <c r="H158" s="397"/>
      <c r="I158" s="316"/>
      <c r="J158" s="317"/>
      <c r="K158" s="318"/>
      <c r="L158" s="397"/>
      <c r="M158" s="316"/>
      <c r="N158" s="317"/>
      <c r="O158" s="318"/>
      <c r="P158" s="397"/>
      <c r="Q158" s="199"/>
      <c r="R158" s="220"/>
      <c r="S158" s="400"/>
      <c r="T158" s="401"/>
      <c r="U158" s="199"/>
      <c r="V158" s="220"/>
      <c r="W158" s="400"/>
      <c r="X158" s="401"/>
      <c r="Y158" s="199"/>
      <c r="Z158" s="220"/>
      <c r="AA158" s="400"/>
      <c r="AB158" s="401"/>
      <c r="AC158" s="199"/>
      <c r="AD158" s="220"/>
      <c r="AE158" s="400"/>
      <c r="AF158" s="401"/>
      <c r="AG158" s="199"/>
      <c r="AH158" s="220"/>
      <c r="AI158" s="400"/>
      <c r="AJ158" s="401"/>
      <c r="AK158" s="397"/>
      <c r="AL158" s="397"/>
      <c r="AM158" s="397"/>
    </row>
    <row r="159">
      <c r="A159" s="316"/>
      <c r="B159" s="317"/>
      <c r="C159" s="318"/>
      <c r="D159" s="397"/>
      <c r="E159" s="316"/>
      <c r="F159" s="317"/>
      <c r="G159" s="318"/>
      <c r="H159" s="397"/>
      <c r="I159" s="316"/>
      <c r="J159" s="317"/>
      <c r="K159" s="318"/>
      <c r="L159" s="397"/>
      <c r="M159" s="316"/>
      <c r="N159" s="317"/>
      <c r="O159" s="318"/>
      <c r="P159" s="397"/>
      <c r="Q159" s="199"/>
      <c r="R159" s="220"/>
      <c r="S159" s="400"/>
      <c r="T159" s="401"/>
      <c r="U159" s="199"/>
      <c r="V159" s="220"/>
      <c r="W159" s="400"/>
      <c r="X159" s="401"/>
      <c r="Y159" s="199"/>
      <c r="Z159" s="220"/>
      <c r="AA159" s="400"/>
      <c r="AB159" s="401"/>
      <c r="AC159" s="199"/>
      <c r="AD159" s="220"/>
      <c r="AE159" s="400"/>
      <c r="AF159" s="401"/>
      <c r="AG159" s="199"/>
      <c r="AH159" s="220"/>
      <c r="AI159" s="400"/>
      <c r="AJ159" s="401"/>
      <c r="AK159" s="397"/>
      <c r="AL159" s="397"/>
      <c r="AM159" s="397"/>
    </row>
    <row r="160">
      <c r="A160" s="316"/>
      <c r="B160" s="317"/>
      <c r="C160" s="318"/>
      <c r="D160" s="397"/>
      <c r="E160" s="316"/>
      <c r="F160" s="317"/>
      <c r="G160" s="318"/>
      <c r="H160" s="397"/>
      <c r="I160" s="316"/>
      <c r="J160" s="317"/>
      <c r="K160" s="318"/>
      <c r="L160" s="397"/>
      <c r="M160" s="316"/>
      <c r="N160" s="317"/>
      <c r="O160" s="318"/>
      <c r="P160" s="397"/>
      <c r="Q160" s="199"/>
      <c r="R160" s="220"/>
      <c r="S160" s="400"/>
      <c r="T160" s="401"/>
      <c r="U160" s="199"/>
      <c r="V160" s="220"/>
      <c r="W160" s="400"/>
      <c r="X160" s="401"/>
      <c r="Y160" s="199"/>
      <c r="Z160" s="220"/>
      <c r="AA160" s="400"/>
      <c r="AB160" s="401"/>
      <c r="AC160" s="199"/>
      <c r="AD160" s="220"/>
      <c r="AE160" s="400"/>
      <c r="AF160" s="401"/>
      <c r="AG160" s="199"/>
      <c r="AH160" s="220"/>
      <c r="AI160" s="400"/>
      <c r="AJ160" s="401"/>
      <c r="AK160" s="397"/>
      <c r="AL160" s="397"/>
      <c r="AM160" s="397"/>
    </row>
    <row r="161">
      <c r="A161" s="316"/>
      <c r="B161" s="317"/>
      <c r="C161" s="318"/>
      <c r="D161" s="397"/>
      <c r="E161" s="316"/>
      <c r="F161" s="317"/>
      <c r="G161" s="318"/>
      <c r="H161" s="397"/>
      <c r="I161" s="316"/>
      <c r="J161" s="317"/>
      <c r="K161" s="318"/>
      <c r="L161" s="397"/>
      <c r="M161" s="316"/>
      <c r="N161" s="317"/>
      <c r="O161" s="318"/>
      <c r="P161" s="397"/>
      <c r="Q161" s="199"/>
      <c r="R161" s="220"/>
      <c r="S161" s="400"/>
      <c r="T161" s="401"/>
      <c r="U161" s="199"/>
      <c r="V161" s="220"/>
      <c r="W161" s="400"/>
      <c r="X161" s="401"/>
      <c r="Y161" s="199"/>
      <c r="Z161" s="220"/>
      <c r="AA161" s="400"/>
      <c r="AB161" s="401"/>
      <c r="AC161" s="199"/>
      <c r="AD161" s="220"/>
      <c r="AE161" s="400"/>
      <c r="AF161" s="401"/>
      <c r="AG161" s="199"/>
      <c r="AH161" s="220"/>
      <c r="AI161" s="400"/>
      <c r="AJ161" s="401"/>
      <c r="AK161" s="397"/>
      <c r="AL161" s="397"/>
      <c r="AM161" s="397"/>
    </row>
    <row r="162">
      <c r="A162" s="316"/>
      <c r="B162" s="317"/>
      <c r="C162" s="318"/>
      <c r="D162" s="397"/>
      <c r="E162" s="316"/>
      <c r="F162" s="317"/>
      <c r="G162" s="318"/>
      <c r="H162" s="397"/>
      <c r="I162" s="316"/>
      <c r="J162" s="317"/>
      <c r="K162" s="318"/>
      <c r="L162" s="397"/>
      <c r="M162" s="316"/>
      <c r="N162" s="317"/>
      <c r="O162" s="318"/>
      <c r="P162" s="397"/>
      <c r="Q162" s="199"/>
      <c r="R162" s="220"/>
      <c r="S162" s="400"/>
      <c r="T162" s="401"/>
      <c r="U162" s="199"/>
      <c r="V162" s="220"/>
      <c r="W162" s="400"/>
      <c r="X162" s="401"/>
      <c r="Y162" s="199"/>
      <c r="Z162" s="220"/>
      <c r="AA162" s="400"/>
      <c r="AB162" s="401"/>
      <c r="AC162" s="199"/>
      <c r="AD162" s="220"/>
      <c r="AE162" s="400"/>
      <c r="AF162" s="401"/>
      <c r="AG162" s="199"/>
      <c r="AH162" s="220"/>
      <c r="AI162" s="400"/>
      <c r="AJ162" s="401"/>
      <c r="AK162" s="397"/>
      <c r="AL162" s="397"/>
      <c r="AM162" s="397"/>
    </row>
    <row r="163">
      <c r="A163" s="316"/>
      <c r="B163" s="317"/>
      <c r="C163" s="318"/>
      <c r="D163" s="397"/>
      <c r="E163" s="316"/>
      <c r="F163" s="317"/>
      <c r="G163" s="318"/>
      <c r="H163" s="397"/>
      <c r="I163" s="316"/>
      <c r="J163" s="317"/>
      <c r="K163" s="318"/>
      <c r="L163" s="397"/>
      <c r="M163" s="316"/>
      <c r="N163" s="317"/>
      <c r="O163" s="318"/>
      <c r="P163" s="397"/>
      <c r="Q163" s="199"/>
      <c r="R163" s="220"/>
      <c r="S163" s="400"/>
      <c r="T163" s="401"/>
      <c r="U163" s="199"/>
      <c r="V163" s="220"/>
      <c r="W163" s="400"/>
      <c r="X163" s="401"/>
      <c r="Y163" s="199"/>
      <c r="Z163" s="220"/>
      <c r="AA163" s="400"/>
      <c r="AB163" s="401"/>
      <c r="AC163" s="199"/>
      <c r="AD163" s="220"/>
      <c r="AE163" s="400"/>
      <c r="AF163" s="401"/>
      <c r="AG163" s="199"/>
      <c r="AH163" s="220"/>
      <c r="AI163" s="400"/>
      <c r="AJ163" s="401"/>
      <c r="AK163" s="397"/>
      <c r="AL163" s="397"/>
      <c r="AM163" s="397"/>
    </row>
    <row r="164">
      <c r="A164" s="316"/>
      <c r="B164" s="317"/>
      <c r="C164" s="318"/>
      <c r="D164" s="397"/>
      <c r="E164" s="316"/>
      <c r="F164" s="317"/>
      <c r="G164" s="318"/>
      <c r="H164" s="397"/>
      <c r="I164" s="316"/>
      <c r="J164" s="317"/>
      <c r="K164" s="318"/>
      <c r="L164" s="397"/>
      <c r="M164" s="316"/>
      <c r="N164" s="317"/>
      <c r="O164" s="318"/>
      <c r="P164" s="397"/>
      <c r="Q164" s="199"/>
      <c r="R164" s="220"/>
      <c r="S164" s="400"/>
      <c r="T164" s="401"/>
      <c r="U164" s="199"/>
      <c r="V164" s="220"/>
      <c r="W164" s="400"/>
      <c r="X164" s="401"/>
      <c r="Y164" s="199"/>
      <c r="Z164" s="220"/>
      <c r="AA164" s="400"/>
      <c r="AB164" s="401"/>
      <c r="AC164" s="199"/>
      <c r="AD164" s="220"/>
      <c r="AE164" s="400"/>
      <c r="AF164" s="401"/>
      <c r="AG164" s="199"/>
      <c r="AH164" s="220"/>
      <c r="AI164" s="400"/>
      <c r="AJ164" s="401"/>
      <c r="AK164" s="397"/>
      <c r="AL164" s="397"/>
      <c r="AM164" s="397"/>
    </row>
    <row r="165">
      <c r="A165" s="316"/>
      <c r="B165" s="317"/>
      <c r="C165" s="318"/>
      <c r="D165" s="397"/>
      <c r="E165" s="316"/>
      <c r="F165" s="317"/>
      <c r="G165" s="318"/>
      <c r="H165" s="397"/>
      <c r="I165" s="316"/>
      <c r="J165" s="317"/>
      <c r="K165" s="318"/>
      <c r="L165" s="397"/>
      <c r="M165" s="316"/>
      <c r="N165" s="317"/>
      <c r="O165" s="318"/>
      <c r="P165" s="397"/>
      <c r="Q165" s="199"/>
      <c r="R165" s="220"/>
      <c r="S165" s="400"/>
      <c r="T165" s="401"/>
      <c r="U165" s="199"/>
      <c r="V165" s="220"/>
      <c r="W165" s="400"/>
      <c r="X165" s="401"/>
      <c r="Y165" s="199"/>
      <c r="Z165" s="220"/>
      <c r="AA165" s="400"/>
      <c r="AB165" s="401"/>
      <c r="AC165" s="199"/>
      <c r="AD165" s="220"/>
      <c r="AE165" s="400"/>
      <c r="AF165" s="401"/>
      <c r="AG165" s="199"/>
      <c r="AH165" s="220"/>
      <c r="AI165" s="400"/>
      <c r="AJ165" s="401"/>
      <c r="AK165" s="397"/>
      <c r="AL165" s="397"/>
      <c r="AM165" s="397"/>
    </row>
    <row r="166">
      <c r="A166" s="316"/>
      <c r="B166" s="317"/>
      <c r="C166" s="318"/>
      <c r="D166" s="397"/>
      <c r="E166" s="316"/>
      <c r="F166" s="317"/>
      <c r="G166" s="318"/>
      <c r="H166" s="397"/>
      <c r="I166" s="316"/>
      <c r="J166" s="317"/>
      <c r="K166" s="318"/>
      <c r="L166" s="397"/>
      <c r="M166" s="316"/>
      <c r="N166" s="317"/>
      <c r="O166" s="318"/>
      <c r="P166" s="397"/>
      <c r="Q166" s="199"/>
      <c r="R166" s="220"/>
      <c r="S166" s="400"/>
      <c r="T166" s="401"/>
      <c r="U166" s="199"/>
      <c r="V166" s="220"/>
      <c r="W166" s="400"/>
      <c r="X166" s="401"/>
      <c r="Y166" s="199"/>
      <c r="Z166" s="220"/>
      <c r="AA166" s="400"/>
      <c r="AB166" s="401"/>
      <c r="AC166" s="199"/>
      <c r="AD166" s="220"/>
      <c r="AE166" s="400"/>
      <c r="AF166" s="401"/>
      <c r="AG166" s="199"/>
      <c r="AH166" s="220"/>
      <c r="AI166" s="400"/>
      <c r="AJ166" s="401"/>
      <c r="AK166" s="397"/>
      <c r="AL166" s="397"/>
      <c r="AM166" s="397"/>
    </row>
    <row r="167">
      <c r="A167" s="316"/>
      <c r="B167" s="317"/>
      <c r="C167" s="318"/>
      <c r="D167" s="397"/>
      <c r="E167" s="316"/>
      <c r="F167" s="317"/>
      <c r="G167" s="318"/>
      <c r="H167" s="397"/>
      <c r="I167" s="316"/>
      <c r="J167" s="317"/>
      <c r="K167" s="318"/>
      <c r="L167" s="397"/>
      <c r="M167" s="316"/>
      <c r="N167" s="317"/>
      <c r="O167" s="318"/>
      <c r="P167" s="397"/>
      <c r="Q167" s="199"/>
      <c r="R167" s="220"/>
      <c r="S167" s="400"/>
      <c r="T167" s="401"/>
      <c r="U167" s="199"/>
      <c r="V167" s="220"/>
      <c r="W167" s="400"/>
      <c r="X167" s="401"/>
      <c r="Y167" s="199"/>
      <c r="Z167" s="220"/>
      <c r="AA167" s="400"/>
      <c r="AB167" s="401"/>
      <c r="AC167" s="199"/>
      <c r="AD167" s="220"/>
      <c r="AE167" s="400"/>
      <c r="AF167" s="401"/>
      <c r="AG167" s="199"/>
      <c r="AH167" s="220"/>
      <c r="AI167" s="400"/>
      <c r="AJ167" s="401"/>
      <c r="AK167" s="397"/>
      <c r="AL167" s="397"/>
      <c r="AM167" s="397"/>
    </row>
    <row r="168">
      <c r="A168" s="316"/>
      <c r="B168" s="317"/>
      <c r="C168" s="318"/>
      <c r="D168" s="397"/>
      <c r="E168" s="316"/>
      <c r="F168" s="317"/>
      <c r="G168" s="318"/>
      <c r="H168" s="397"/>
      <c r="I168" s="316"/>
      <c r="J168" s="317"/>
      <c r="K168" s="318"/>
      <c r="L168" s="397"/>
      <c r="M168" s="316"/>
      <c r="N168" s="317"/>
      <c r="O168" s="318"/>
      <c r="P168" s="397"/>
      <c r="Q168" s="199"/>
      <c r="R168" s="220"/>
      <c r="S168" s="400"/>
      <c r="T168" s="401"/>
      <c r="U168" s="199"/>
      <c r="V168" s="220"/>
      <c r="W168" s="400"/>
      <c r="X168" s="401"/>
      <c r="Y168" s="199"/>
      <c r="Z168" s="220"/>
      <c r="AA168" s="400"/>
      <c r="AB168" s="401"/>
      <c r="AC168" s="199"/>
      <c r="AD168" s="220"/>
      <c r="AE168" s="400"/>
      <c r="AF168" s="401"/>
      <c r="AG168" s="199"/>
      <c r="AH168" s="220"/>
      <c r="AI168" s="400"/>
      <c r="AJ168" s="401"/>
      <c r="AK168" s="397"/>
      <c r="AL168" s="397"/>
      <c r="AM168" s="397"/>
    </row>
    <row r="169">
      <c r="A169" s="316"/>
      <c r="B169" s="317"/>
      <c r="C169" s="318"/>
      <c r="D169" s="397"/>
      <c r="E169" s="316"/>
      <c r="F169" s="317"/>
      <c r="G169" s="318"/>
      <c r="H169" s="397"/>
      <c r="I169" s="316"/>
      <c r="J169" s="317"/>
      <c r="K169" s="318"/>
      <c r="L169" s="397"/>
      <c r="M169" s="316"/>
      <c r="N169" s="317"/>
      <c r="O169" s="318"/>
      <c r="P169" s="397"/>
      <c r="Q169" s="199"/>
      <c r="R169" s="220"/>
      <c r="S169" s="400"/>
      <c r="T169" s="401"/>
      <c r="U169" s="199"/>
      <c r="V169" s="220"/>
      <c r="W169" s="400"/>
      <c r="X169" s="401"/>
      <c r="Y169" s="199"/>
      <c r="Z169" s="220"/>
      <c r="AA169" s="400"/>
      <c r="AB169" s="401"/>
      <c r="AC169" s="199"/>
      <c r="AD169" s="220"/>
      <c r="AE169" s="400"/>
      <c r="AF169" s="401"/>
      <c r="AG169" s="199"/>
      <c r="AH169" s="220"/>
      <c r="AI169" s="400"/>
      <c r="AJ169" s="401"/>
      <c r="AK169" s="397"/>
      <c r="AL169" s="397"/>
      <c r="AM169" s="397"/>
    </row>
    <row r="170">
      <c r="A170" s="316"/>
      <c r="B170" s="317"/>
      <c r="C170" s="318"/>
      <c r="D170" s="397"/>
      <c r="E170" s="316"/>
      <c r="F170" s="317"/>
      <c r="G170" s="318"/>
      <c r="H170" s="397"/>
      <c r="I170" s="316"/>
      <c r="J170" s="317"/>
      <c r="K170" s="318"/>
      <c r="L170" s="397"/>
      <c r="M170" s="316"/>
      <c r="N170" s="317"/>
      <c r="O170" s="318"/>
      <c r="P170" s="397"/>
      <c r="Q170" s="199"/>
      <c r="R170" s="220"/>
      <c r="S170" s="400"/>
      <c r="T170" s="401"/>
      <c r="U170" s="199"/>
      <c r="V170" s="220"/>
      <c r="W170" s="400"/>
      <c r="X170" s="401"/>
      <c r="Y170" s="199"/>
      <c r="Z170" s="220"/>
      <c r="AA170" s="400"/>
      <c r="AB170" s="401"/>
      <c r="AC170" s="199"/>
      <c r="AD170" s="220"/>
      <c r="AE170" s="400"/>
      <c r="AF170" s="401"/>
      <c r="AG170" s="199"/>
      <c r="AH170" s="220"/>
      <c r="AI170" s="400"/>
      <c r="AJ170" s="401"/>
      <c r="AK170" s="397"/>
      <c r="AL170" s="397"/>
      <c r="AM170" s="397"/>
    </row>
    <row r="171">
      <c r="A171" s="316"/>
      <c r="B171" s="317"/>
      <c r="C171" s="318"/>
      <c r="D171" s="397"/>
      <c r="E171" s="316"/>
      <c r="F171" s="317"/>
      <c r="G171" s="318"/>
      <c r="H171" s="397"/>
      <c r="I171" s="316"/>
      <c r="J171" s="317"/>
      <c r="K171" s="318"/>
      <c r="L171" s="397"/>
      <c r="M171" s="316"/>
      <c r="N171" s="317"/>
      <c r="O171" s="318"/>
      <c r="P171" s="397"/>
      <c r="Q171" s="199"/>
      <c r="R171" s="220"/>
      <c r="S171" s="400"/>
      <c r="T171" s="401"/>
      <c r="U171" s="199"/>
      <c r="V171" s="220"/>
      <c r="W171" s="400"/>
      <c r="X171" s="401"/>
      <c r="Y171" s="199"/>
      <c r="Z171" s="220"/>
      <c r="AA171" s="400"/>
      <c r="AB171" s="401"/>
      <c r="AC171" s="199"/>
      <c r="AD171" s="220"/>
      <c r="AE171" s="400"/>
      <c r="AF171" s="401"/>
      <c r="AG171" s="199"/>
      <c r="AH171" s="220"/>
      <c r="AI171" s="400"/>
      <c r="AJ171" s="401"/>
      <c r="AK171" s="397"/>
      <c r="AL171" s="397"/>
      <c r="AM171" s="397"/>
    </row>
    <row r="172">
      <c r="A172" s="316"/>
      <c r="B172" s="317"/>
      <c r="C172" s="318"/>
      <c r="D172" s="397"/>
      <c r="E172" s="316"/>
      <c r="F172" s="317"/>
      <c r="G172" s="318"/>
      <c r="H172" s="397"/>
      <c r="I172" s="316"/>
      <c r="J172" s="317"/>
      <c r="K172" s="318"/>
      <c r="L172" s="397"/>
      <c r="M172" s="316"/>
      <c r="N172" s="317"/>
      <c r="O172" s="318"/>
      <c r="P172" s="397"/>
      <c r="Q172" s="199"/>
      <c r="R172" s="220"/>
      <c r="S172" s="400"/>
      <c r="T172" s="401"/>
      <c r="U172" s="199"/>
      <c r="V172" s="220"/>
      <c r="W172" s="400"/>
      <c r="X172" s="401"/>
      <c r="Y172" s="199"/>
      <c r="Z172" s="220"/>
      <c r="AA172" s="400"/>
      <c r="AB172" s="401"/>
      <c r="AC172" s="199"/>
      <c r="AD172" s="220"/>
      <c r="AE172" s="400"/>
      <c r="AF172" s="401"/>
      <c r="AG172" s="199"/>
      <c r="AH172" s="220"/>
      <c r="AI172" s="400"/>
      <c r="AJ172" s="401"/>
      <c r="AK172" s="397"/>
      <c r="AL172" s="397"/>
      <c r="AM172" s="397"/>
    </row>
    <row r="173">
      <c r="A173" s="316"/>
      <c r="B173" s="317"/>
      <c r="C173" s="318"/>
      <c r="D173" s="397"/>
      <c r="E173" s="316"/>
      <c r="F173" s="317"/>
      <c r="G173" s="318"/>
      <c r="H173" s="397"/>
      <c r="I173" s="316"/>
      <c r="J173" s="317"/>
      <c r="K173" s="318"/>
      <c r="L173" s="397"/>
      <c r="M173" s="316"/>
      <c r="N173" s="317"/>
      <c r="O173" s="318"/>
      <c r="P173" s="397"/>
      <c r="Q173" s="199"/>
      <c r="R173" s="220"/>
      <c r="S173" s="400"/>
      <c r="T173" s="401"/>
      <c r="U173" s="199"/>
      <c r="V173" s="220"/>
      <c r="W173" s="400"/>
      <c r="X173" s="401"/>
      <c r="Y173" s="199"/>
      <c r="Z173" s="220"/>
      <c r="AA173" s="400"/>
      <c r="AB173" s="401"/>
      <c r="AC173" s="199"/>
      <c r="AD173" s="220"/>
      <c r="AE173" s="400"/>
      <c r="AF173" s="401"/>
      <c r="AG173" s="199"/>
      <c r="AH173" s="220"/>
      <c r="AI173" s="400"/>
      <c r="AJ173" s="401"/>
      <c r="AK173" s="397"/>
      <c r="AL173" s="397"/>
      <c r="AM173" s="397"/>
    </row>
    <row r="174">
      <c r="A174" s="316"/>
      <c r="B174" s="317"/>
      <c r="C174" s="318"/>
      <c r="D174" s="397"/>
      <c r="E174" s="316"/>
      <c r="F174" s="317"/>
      <c r="G174" s="318"/>
      <c r="H174" s="397"/>
      <c r="I174" s="316"/>
      <c r="J174" s="317"/>
      <c r="K174" s="318"/>
      <c r="L174" s="397"/>
      <c r="M174" s="316"/>
      <c r="N174" s="317"/>
      <c r="O174" s="318"/>
      <c r="P174" s="397"/>
      <c r="Q174" s="199"/>
      <c r="R174" s="220"/>
      <c r="S174" s="400"/>
      <c r="T174" s="401"/>
      <c r="U174" s="199"/>
      <c r="V174" s="220"/>
      <c r="W174" s="400"/>
      <c r="X174" s="401"/>
      <c r="Y174" s="199"/>
      <c r="Z174" s="220"/>
      <c r="AA174" s="400"/>
      <c r="AB174" s="401"/>
      <c r="AC174" s="199"/>
      <c r="AD174" s="220"/>
      <c r="AE174" s="400"/>
      <c r="AF174" s="401"/>
      <c r="AG174" s="199"/>
      <c r="AH174" s="220"/>
      <c r="AI174" s="400"/>
      <c r="AJ174" s="401"/>
      <c r="AK174" s="397"/>
      <c r="AL174" s="397"/>
      <c r="AM174" s="397"/>
    </row>
    <row r="175">
      <c r="A175" s="316"/>
      <c r="B175" s="317"/>
      <c r="C175" s="318"/>
      <c r="D175" s="397"/>
      <c r="E175" s="316"/>
      <c r="F175" s="317"/>
      <c r="G175" s="318"/>
      <c r="H175" s="397"/>
      <c r="I175" s="316"/>
      <c r="J175" s="317"/>
      <c r="K175" s="318"/>
      <c r="L175" s="397"/>
      <c r="M175" s="316"/>
      <c r="N175" s="317"/>
      <c r="O175" s="318"/>
      <c r="P175" s="397"/>
      <c r="Q175" s="199"/>
      <c r="R175" s="220"/>
      <c r="S175" s="400"/>
      <c r="T175" s="401"/>
      <c r="U175" s="199"/>
      <c r="V175" s="220"/>
      <c r="W175" s="400"/>
      <c r="X175" s="401"/>
      <c r="Y175" s="199"/>
      <c r="Z175" s="220"/>
      <c r="AA175" s="400"/>
      <c r="AB175" s="401"/>
      <c r="AC175" s="199"/>
      <c r="AD175" s="220"/>
      <c r="AE175" s="400"/>
      <c r="AF175" s="401"/>
      <c r="AG175" s="199"/>
      <c r="AH175" s="220"/>
      <c r="AI175" s="400"/>
      <c r="AJ175" s="401"/>
      <c r="AK175" s="397"/>
      <c r="AL175" s="397"/>
      <c r="AM175" s="397"/>
    </row>
    <row r="176">
      <c r="A176" s="316"/>
      <c r="B176" s="317"/>
      <c r="C176" s="318"/>
      <c r="D176" s="397"/>
      <c r="E176" s="316"/>
      <c r="F176" s="317"/>
      <c r="G176" s="318"/>
      <c r="H176" s="397"/>
      <c r="I176" s="316"/>
      <c r="J176" s="317"/>
      <c r="K176" s="318"/>
      <c r="L176" s="397"/>
      <c r="M176" s="316"/>
      <c r="N176" s="317"/>
      <c r="O176" s="318"/>
      <c r="P176" s="397"/>
      <c r="Q176" s="199"/>
      <c r="R176" s="220"/>
      <c r="S176" s="400"/>
      <c r="T176" s="401"/>
      <c r="U176" s="199"/>
      <c r="V176" s="220"/>
      <c r="W176" s="400"/>
      <c r="X176" s="401"/>
      <c r="Y176" s="199"/>
      <c r="Z176" s="220"/>
      <c r="AA176" s="400"/>
      <c r="AB176" s="401"/>
      <c r="AC176" s="199"/>
      <c r="AD176" s="220"/>
      <c r="AE176" s="400"/>
      <c r="AF176" s="401"/>
      <c r="AG176" s="199"/>
      <c r="AH176" s="220"/>
      <c r="AI176" s="400"/>
      <c r="AJ176" s="401"/>
      <c r="AK176" s="397"/>
      <c r="AL176" s="397"/>
      <c r="AM176" s="397"/>
    </row>
    <row r="177">
      <c r="A177" s="316"/>
      <c r="B177" s="317"/>
      <c r="C177" s="318"/>
      <c r="D177" s="397"/>
      <c r="E177" s="316"/>
      <c r="F177" s="317"/>
      <c r="G177" s="318"/>
      <c r="H177" s="397"/>
      <c r="I177" s="316"/>
      <c r="J177" s="317"/>
      <c r="K177" s="318"/>
      <c r="L177" s="397"/>
      <c r="M177" s="316"/>
      <c r="N177" s="317"/>
      <c r="O177" s="318"/>
      <c r="P177" s="397"/>
      <c r="Q177" s="199"/>
      <c r="R177" s="220"/>
      <c r="S177" s="400"/>
      <c r="T177" s="401"/>
      <c r="U177" s="199"/>
      <c r="V177" s="220"/>
      <c r="W177" s="400"/>
      <c r="X177" s="401"/>
      <c r="Y177" s="199"/>
      <c r="Z177" s="220"/>
      <c r="AA177" s="400"/>
      <c r="AB177" s="401"/>
      <c r="AC177" s="199"/>
      <c r="AD177" s="220"/>
      <c r="AE177" s="400"/>
      <c r="AF177" s="401"/>
      <c r="AG177" s="199"/>
      <c r="AH177" s="220"/>
      <c r="AI177" s="400"/>
      <c r="AJ177" s="401"/>
      <c r="AK177" s="397"/>
      <c r="AL177" s="397"/>
      <c r="AM177" s="397"/>
    </row>
    <row r="178">
      <c r="A178" s="316"/>
      <c r="B178" s="317"/>
      <c r="C178" s="318"/>
      <c r="D178" s="397"/>
      <c r="E178" s="316"/>
      <c r="F178" s="317"/>
      <c r="G178" s="318"/>
      <c r="H178" s="397"/>
      <c r="I178" s="316"/>
      <c r="J178" s="317"/>
      <c r="K178" s="318"/>
      <c r="L178" s="397"/>
      <c r="M178" s="316"/>
      <c r="N178" s="317"/>
      <c r="O178" s="318"/>
      <c r="P178" s="397"/>
      <c r="Q178" s="199"/>
      <c r="R178" s="220"/>
      <c r="S178" s="400"/>
      <c r="T178" s="401"/>
      <c r="U178" s="199"/>
      <c r="V178" s="220"/>
      <c r="W178" s="400"/>
      <c r="X178" s="401"/>
      <c r="Y178" s="199"/>
      <c r="Z178" s="220"/>
      <c r="AA178" s="400"/>
      <c r="AB178" s="401"/>
      <c r="AC178" s="199"/>
      <c r="AD178" s="220"/>
      <c r="AE178" s="400"/>
      <c r="AF178" s="401"/>
      <c r="AG178" s="199"/>
      <c r="AH178" s="220"/>
      <c r="AI178" s="400"/>
      <c r="AJ178" s="401"/>
      <c r="AK178" s="397"/>
      <c r="AL178" s="397"/>
      <c r="AM178" s="397"/>
    </row>
    <row r="179">
      <c r="A179" s="316"/>
      <c r="B179" s="317"/>
      <c r="C179" s="318"/>
      <c r="D179" s="397"/>
      <c r="E179" s="316"/>
      <c r="F179" s="317"/>
      <c r="G179" s="318"/>
      <c r="H179" s="397"/>
      <c r="I179" s="316"/>
      <c r="J179" s="317"/>
      <c r="K179" s="318"/>
      <c r="L179" s="397"/>
      <c r="M179" s="316"/>
      <c r="N179" s="317"/>
      <c r="O179" s="318"/>
      <c r="P179" s="397"/>
      <c r="Q179" s="199"/>
      <c r="R179" s="220"/>
      <c r="S179" s="400"/>
      <c r="T179" s="401"/>
      <c r="U179" s="199"/>
      <c r="V179" s="220"/>
      <c r="W179" s="400"/>
      <c r="X179" s="401"/>
      <c r="Y179" s="199"/>
      <c r="Z179" s="220"/>
      <c r="AA179" s="400"/>
      <c r="AB179" s="401"/>
      <c r="AC179" s="199"/>
      <c r="AD179" s="220"/>
      <c r="AE179" s="400"/>
      <c r="AF179" s="401"/>
      <c r="AG179" s="199"/>
      <c r="AH179" s="220"/>
      <c r="AI179" s="400"/>
      <c r="AJ179" s="401"/>
      <c r="AK179" s="397"/>
      <c r="AL179" s="397"/>
      <c r="AM179" s="397"/>
    </row>
    <row r="180">
      <c r="A180" s="316"/>
      <c r="B180" s="317"/>
      <c r="C180" s="318"/>
      <c r="D180" s="397"/>
      <c r="E180" s="316"/>
      <c r="F180" s="317"/>
      <c r="G180" s="318"/>
      <c r="H180" s="397"/>
      <c r="I180" s="316"/>
      <c r="J180" s="317"/>
      <c r="K180" s="318"/>
      <c r="L180" s="397"/>
      <c r="M180" s="316"/>
      <c r="N180" s="317"/>
      <c r="O180" s="318"/>
      <c r="P180" s="397"/>
      <c r="Q180" s="199"/>
      <c r="R180" s="220"/>
      <c r="S180" s="400"/>
      <c r="T180" s="401"/>
      <c r="U180" s="199"/>
      <c r="V180" s="220"/>
      <c r="W180" s="400"/>
      <c r="X180" s="401"/>
      <c r="Y180" s="199"/>
      <c r="Z180" s="220"/>
      <c r="AA180" s="400"/>
      <c r="AB180" s="401"/>
      <c r="AC180" s="199"/>
      <c r="AD180" s="220"/>
      <c r="AE180" s="400"/>
      <c r="AF180" s="401"/>
      <c r="AG180" s="199"/>
      <c r="AH180" s="220"/>
      <c r="AI180" s="400"/>
      <c r="AJ180" s="401"/>
      <c r="AK180" s="397"/>
      <c r="AL180" s="397"/>
      <c r="AM180" s="397"/>
    </row>
    <row r="181">
      <c r="A181" s="316"/>
      <c r="B181" s="317"/>
      <c r="C181" s="318"/>
      <c r="D181" s="397"/>
      <c r="E181" s="316"/>
      <c r="F181" s="317"/>
      <c r="G181" s="318"/>
      <c r="H181" s="397"/>
      <c r="I181" s="316"/>
      <c r="J181" s="317"/>
      <c r="K181" s="318"/>
      <c r="L181" s="397"/>
      <c r="M181" s="316"/>
      <c r="N181" s="317"/>
      <c r="O181" s="318"/>
      <c r="P181" s="397"/>
      <c r="Q181" s="199"/>
      <c r="R181" s="220"/>
      <c r="S181" s="400"/>
      <c r="T181" s="401"/>
      <c r="U181" s="199"/>
      <c r="V181" s="220"/>
      <c r="W181" s="400"/>
      <c r="X181" s="401"/>
      <c r="Y181" s="199"/>
      <c r="Z181" s="220"/>
      <c r="AA181" s="400"/>
      <c r="AB181" s="401"/>
      <c r="AC181" s="199"/>
      <c r="AD181" s="220"/>
      <c r="AE181" s="400"/>
      <c r="AF181" s="401"/>
      <c r="AG181" s="199"/>
      <c r="AH181" s="220"/>
      <c r="AI181" s="400"/>
      <c r="AJ181" s="401"/>
      <c r="AK181" s="397"/>
      <c r="AL181" s="397"/>
      <c r="AM181" s="397"/>
    </row>
    <row r="182">
      <c r="A182" s="316"/>
      <c r="B182" s="317"/>
      <c r="C182" s="318"/>
      <c r="D182" s="397"/>
      <c r="E182" s="316"/>
      <c r="F182" s="317"/>
      <c r="G182" s="318"/>
      <c r="H182" s="397"/>
      <c r="I182" s="316"/>
      <c r="J182" s="317"/>
      <c r="K182" s="318"/>
      <c r="L182" s="397"/>
      <c r="M182" s="316"/>
      <c r="N182" s="317"/>
      <c r="O182" s="318"/>
      <c r="P182" s="397"/>
      <c r="Q182" s="199"/>
      <c r="R182" s="220"/>
      <c r="S182" s="400"/>
      <c r="T182" s="401"/>
      <c r="U182" s="199"/>
      <c r="V182" s="220"/>
      <c r="W182" s="400"/>
      <c r="X182" s="401"/>
      <c r="Y182" s="199"/>
      <c r="Z182" s="220"/>
      <c r="AA182" s="400"/>
      <c r="AB182" s="401"/>
      <c r="AC182" s="199"/>
      <c r="AD182" s="220"/>
      <c r="AE182" s="400"/>
      <c r="AF182" s="401"/>
      <c r="AG182" s="199"/>
      <c r="AH182" s="220"/>
      <c r="AI182" s="400"/>
      <c r="AJ182" s="401"/>
      <c r="AK182" s="397"/>
      <c r="AL182" s="397"/>
      <c r="AM182" s="397"/>
    </row>
    <row r="183">
      <c r="A183" s="316"/>
      <c r="B183" s="317"/>
      <c r="C183" s="318"/>
      <c r="D183" s="397"/>
      <c r="E183" s="316"/>
      <c r="F183" s="317"/>
      <c r="G183" s="318"/>
      <c r="H183" s="397"/>
      <c r="I183" s="316"/>
      <c r="J183" s="317"/>
      <c r="K183" s="318"/>
      <c r="L183" s="397"/>
      <c r="M183" s="316"/>
      <c r="N183" s="317"/>
      <c r="O183" s="318"/>
      <c r="P183" s="397"/>
      <c r="Q183" s="199"/>
      <c r="R183" s="220"/>
      <c r="S183" s="400"/>
      <c r="T183" s="401"/>
      <c r="U183" s="199"/>
      <c r="V183" s="220"/>
      <c r="W183" s="400"/>
      <c r="X183" s="401"/>
      <c r="Y183" s="199"/>
      <c r="Z183" s="220"/>
      <c r="AA183" s="400"/>
      <c r="AB183" s="401"/>
      <c r="AC183" s="199"/>
      <c r="AD183" s="220"/>
      <c r="AE183" s="400"/>
      <c r="AF183" s="401"/>
      <c r="AG183" s="199"/>
      <c r="AH183" s="220"/>
      <c r="AI183" s="400"/>
      <c r="AJ183" s="401"/>
      <c r="AK183" s="397"/>
      <c r="AL183" s="397"/>
      <c r="AM183" s="397"/>
    </row>
    <row r="184">
      <c r="A184" s="316"/>
      <c r="B184" s="317"/>
      <c r="C184" s="318"/>
      <c r="D184" s="397"/>
      <c r="E184" s="316"/>
      <c r="F184" s="317"/>
      <c r="G184" s="318"/>
      <c r="H184" s="397"/>
      <c r="I184" s="316"/>
      <c r="J184" s="317"/>
      <c r="K184" s="318"/>
      <c r="L184" s="397"/>
      <c r="M184" s="316"/>
      <c r="N184" s="317"/>
      <c r="O184" s="318"/>
      <c r="P184" s="397"/>
      <c r="Q184" s="199"/>
      <c r="R184" s="220"/>
      <c r="S184" s="400"/>
      <c r="T184" s="401"/>
      <c r="U184" s="199"/>
      <c r="V184" s="220"/>
      <c r="W184" s="400"/>
      <c r="X184" s="401"/>
      <c r="Y184" s="199"/>
      <c r="Z184" s="220"/>
      <c r="AA184" s="400"/>
      <c r="AB184" s="401"/>
      <c r="AC184" s="199"/>
      <c r="AD184" s="220"/>
      <c r="AE184" s="400"/>
      <c r="AF184" s="401"/>
      <c r="AG184" s="199"/>
      <c r="AH184" s="220"/>
      <c r="AI184" s="400"/>
      <c r="AJ184" s="401"/>
      <c r="AK184" s="397"/>
      <c r="AL184" s="397"/>
      <c r="AM184" s="397"/>
    </row>
    <row r="185">
      <c r="A185" s="316"/>
      <c r="B185" s="317"/>
      <c r="C185" s="318"/>
      <c r="D185" s="397"/>
      <c r="E185" s="316"/>
      <c r="F185" s="317"/>
      <c r="G185" s="318"/>
      <c r="H185" s="397"/>
      <c r="I185" s="316"/>
      <c r="J185" s="317"/>
      <c r="K185" s="318"/>
      <c r="L185" s="397"/>
      <c r="M185" s="316"/>
      <c r="N185" s="317"/>
      <c r="O185" s="318"/>
      <c r="P185" s="397"/>
      <c r="Q185" s="199"/>
      <c r="R185" s="220"/>
      <c r="S185" s="400"/>
      <c r="T185" s="401"/>
      <c r="U185" s="199"/>
      <c r="V185" s="220"/>
      <c r="W185" s="400"/>
      <c r="X185" s="401"/>
      <c r="Y185" s="199"/>
      <c r="Z185" s="220"/>
      <c r="AA185" s="400"/>
      <c r="AB185" s="401"/>
      <c r="AC185" s="199"/>
      <c r="AD185" s="220"/>
      <c r="AE185" s="400"/>
      <c r="AF185" s="401"/>
      <c r="AG185" s="199"/>
      <c r="AH185" s="220"/>
      <c r="AI185" s="400"/>
      <c r="AJ185" s="401"/>
      <c r="AK185" s="397"/>
      <c r="AL185" s="397"/>
      <c r="AM185" s="397"/>
    </row>
    <row r="186">
      <c r="A186" s="316"/>
      <c r="B186" s="317"/>
      <c r="C186" s="318"/>
      <c r="D186" s="397"/>
      <c r="E186" s="316"/>
      <c r="F186" s="317"/>
      <c r="G186" s="318"/>
      <c r="H186" s="397"/>
      <c r="I186" s="316"/>
      <c r="J186" s="317"/>
      <c r="K186" s="318"/>
      <c r="L186" s="397"/>
      <c r="M186" s="316"/>
      <c r="N186" s="317"/>
      <c r="O186" s="318"/>
      <c r="P186" s="397"/>
      <c r="Q186" s="199"/>
      <c r="R186" s="220"/>
      <c r="S186" s="400"/>
      <c r="T186" s="401"/>
      <c r="U186" s="199"/>
      <c r="V186" s="220"/>
      <c r="W186" s="400"/>
      <c r="X186" s="401"/>
      <c r="Y186" s="199"/>
      <c r="Z186" s="220"/>
      <c r="AA186" s="400"/>
      <c r="AB186" s="401"/>
      <c r="AC186" s="199"/>
      <c r="AD186" s="220"/>
      <c r="AE186" s="400"/>
      <c r="AF186" s="401"/>
      <c r="AG186" s="199"/>
      <c r="AH186" s="220"/>
      <c r="AI186" s="400"/>
      <c r="AJ186" s="401"/>
      <c r="AK186" s="397"/>
      <c r="AL186" s="397"/>
      <c r="AM186" s="397"/>
    </row>
    <row r="187">
      <c r="A187" s="316"/>
      <c r="B187" s="317"/>
      <c r="C187" s="318"/>
      <c r="D187" s="397"/>
      <c r="E187" s="316"/>
      <c r="F187" s="317"/>
      <c r="G187" s="318"/>
      <c r="H187" s="397"/>
      <c r="I187" s="316"/>
      <c r="J187" s="317"/>
      <c r="K187" s="318"/>
      <c r="L187" s="397"/>
      <c r="M187" s="316"/>
      <c r="N187" s="317"/>
      <c r="O187" s="318"/>
      <c r="P187" s="397"/>
      <c r="Q187" s="199"/>
      <c r="R187" s="220"/>
      <c r="S187" s="400"/>
      <c r="T187" s="401"/>
      <c r="U187" s="199"/>
      <c r="V187" s="220"/>
      <c r="W187" s="400"/>
      <c r="X187" s="401"/>
      <c r="Y187" s="199"/>
      <c r="Z187" s="220"/>
      <c r="AA187" s="400"/>
      <c r="AB187" s="401"/>
      <c r="AC187" s="199"/>
      <c r="AD187" s="220"/>
      <c r="AE187" s="400"/>
      <c r="AF187" s="401"/>
      <c r="AG187" s="199"/>
      <c r="AH187" s="220"/>
      <c r="AI187" s="400"/>
      <c r="AJ187" s="401"/>
      <c r="AK187" s="397"/>
      <c r="AL187" s="397"/>
      <c r="AM187" s="397"/>
    </row>
    <row r="188">
      <c r="A188" s="316"/>
      <c r="B188" s="317"/>
      <c r="C188" s="318"/>
      <c r="D188" s="397"/>
      <c r="E188" s="316"/>
      <c r="F188" s="317"/>
      <c r="G188" s="318"/>
      <c r="H188" s="397"/>
      <c r="I188" s="316"/>
      <c r="J188" s="317"/>
      <c r="K188" s="318"/>
      <c r="L188" s="397"/>
      <c r="M188" s="316"/>
      <c r="N188" s="317"/>
      <c r="O188" s="318"/>
      <c r="P188" s="397"/>
      <c r="Q188" s="199"/>
      <c r="R188" s="220"/>
      <c r="S188" s="400"/>
      <c r="T188" s="401"/>
      <c r="U188" s="199"/>
      <c r="V188" s="220"/>
      <c r="W188" s="400"/>
      <c r="X188" s="401"/>
      <c r="Y188" s="199"/>
      <c r="Z188" s="220"/>
      <c r="AA188" s="400"/>
      <c r="AB188" s="401"/>
      <c r="AC188" s="199"/>
      <c r="AD188" s="220"/>
      <c r="AE188" s="400"/>
      <c r="AF188" s="401"/>
      <c r="AG188" s="199"/>
      <c r="AH188" s="220"/>
      <c r="AI188" s="400"/>
      <c r="AJ188" s="401"/>
      <c r="AK188" s="397"/>
      <c r="AL188" s="397"/>
      <c r="AM188" s="397"/>
    </row>
    <row r="189">
      <c r="A189" s="316"/>
      <c r="B189" s="317"/>
      <c r="C189" s="318"/>
      <c r="D189" s="397"/>
      <c r="E189" s="316"/>
      <c r="F189" s="317"/>
      <c r="G189" s="318"/>
      <c r="H189" s="397"/>
      <c r="I189" s="316"/>
      <c r="J189" s="317"/>
      <c r="K189" s="318"/>
      <c r="L189" s="397"/>
      <c r="M189" s="316"/>
      <c r="N189" s="317"/>
      <c r="O189" s="318"/>
      <c r="P189" s="397"/>
      <c r="Q189" s="199"/>
      <c r="R189" s="220"/>
      <c r="S189" s="400"/>
      <c r="T189" s="401"/>
      <c r="U189" s="199"/>
      <c r="V189" s="220"/>
      <c r="W189" s="400"/>
      <c r="X189" s="401"/>
      <c r="Y189" s="199"/>
      <c r="Z189" s="220"/>
      <c r="AA189" s="400"/>
      <c r="AB189" s="401"/>
      <c r="AC189" s="199"/>
      <c r="AD189" s="220"/>
      <c r="AE189" s="400"/>
      <c r="AF189" s="401"/>
      <c r="AG189" s="199"/>
      <c r="AH189" s="220"/>
      <c r="AI189" s="400"/>
      <c r="AJ189" s="401"/>
      <c r="AK189" s="397"/>
      <c r="AL189" s="397"/>
      <c r="AM189" s="397"/>
    </row>
    <row r="190">
      <c r="A190" s="316"/>
      <c r="B190" s="317"/>
      <c r="C190" s="318"/>
      <c r="D190" s="397"/>
      <c r="E190" s="316"/>
      <c r="F190" s="317"/>
      <c r="G190" s="318"/>
      <c r="H190" s="397"/>
      <c r="I190" s="316"/>
      <c r="J190" s="317"/>
      <c r="K190" s="318"/>
      <c r="L190" s="397"/>
      <c r="M190" s="316"/>
      <c r="N190" s="317"/>
      <c r="O190" s="318"/>
      <c r="P190" s="397"/>
      <c r="Q190" s="199"/>
      <c r="R190" s="220"/>
      <c r="S190" s="400"/>
      <c r="T190" s="401"/>
      <c r="U190" s="199"/>
      <c r="V190" s="220"/>
      <c r="W190" s="400"/>
      <c r="X190" s="401"/>
      <c r="Y190" s="199"/>
      <c r="Z190" s="220"/>
      <c r="AA190" s="400"/>
      <c r="AB190" s="401"/>
      <c r="AC190" s="199"/>
      <c r="AD190" s="220"/>
      <c r="AE190" s="400"/>
      <c r="AF190" s="401"/>
      <c r="AG190" s="199"/>
      <c r="AH190" s="220"/>
      <c r="AI190" s="400"/>
      <c r="AJ190" s="401"/>
      <c r="AK190" s="397"/>
      <c r="AL190" s="397"/>
      <c r="AM190" s="397"/>
    </row>
    <row r="191">
      <c r="A191" s="316"/>
      <c r="B191" s="317"/>
      <c r="C191" s="318"/>
      <c r="D191" s="397"/>
      <c r="E191" s="316"/>
      <c r="F191" s="317"/>
      <c r="G191" s="318"/>
      <c r="H191" s="397"/>
      <c r="I191" s="316"/>
      <c r="J191" s="317"/>
      <c r="K191" s="318"/>
      <c r="L191" s="397"/>
      <c r="M191" s="316"/>
      <c r="N191" s="317"/>
      <c r="O191" s="318"/>
      <c r="P191" s="397"/>
      <c r="Q191" s="199"/>
      <c r="R191" s="220"/>
      <c r="S191" s="400"/>
      <c r="T191" s="401"/>
      <c r="U191" s="199"/>
      <c r="V191" s="220"/>
      <c r="W191" s="400"/>
      <c r="X191" s="401"/>
      <c r="Y191" s="199"/>
      <c r="Z191" s="220"/>
      <c r="AA191" s="400"/>
      <c r="AB191" s="401"/>
      <c r="AC191" s="199"/>
      <c r="AD191" s="220"/>
      <c r="AE191" s="400"/>
      <c r="AF191" s="401"/>
      <c r="AG191" s="199"/>
      <c r="AH191" s="220"/>
      <c r="AI191" s="400"/>
      <c r="AJ191" s="401"/>
      <c r="AK191" s="397"/>
      <c r="AL191" s="397"/>
      <c r="AM191" s="397"/>
    </row>
    <row r="192">
      <c r="A192" s="316"/>
      <c r="B192" s="317"/>
      <c r="C192" s="318"/>
      <c r="D192" s="397"/>
      <c r="E192" s="316"/>
      <c r="F192" s="317"/>
      <c r="G192" s="318"/>
      <c r="H192" s="397"/>
      <c r="I192" s="316"/>
      <c r="J192" s="317"/>
      <c r="K192" s="318"/>
      <c r="L192" s="397"/>
      <c r="M192" s="316"/>
      <c r="N192" s="317"/>
      <c r="O192" s="318"/>
      <c r="P192" s="397"/>
      <c r="Q192" s="199"/>
      <c r="R192" s="220"/>
      <c r="S192" s="400"/>
      <c r="T192" s="401"/>
      <c r="U192" s="199"/>
      <c r="V192" s="220"/>
      <c r="W192" s="400"/>
      <c r="X192" s="401"/>
      <c r="Y192" s="199"/>
      <c r="Z192" s="220"/>
      <c r="AA192" s="400"/>
      <c r="AB192" s="401"/>
      <c r="AC192" s="199"/>
      <c r="AD192" s="220"/>
      <c r="AE192" s="400"/>
      <c r="AF192" s="401"/>
      <c r="AG192" s="199"/>
      <c r="AH192" s="220"/>
      <c r="AI192" s="400"/>
      <c r="AJ192" s="401"/>
      <c r="AK192" s="397"/>
      <c r="AL192" s="397"/>
      <c r="AM192" s="397"/>
    </row>
    <row r="193">
      <c r="A193" s="316"/>
      <c r="B193" s="317"/>
      <c r="C193" s="318"/>
      <c r="D193" s="397"/>
      <c r="E193" s="316"/>
      <c r="F193" s="317"/>
      <c r="G193" s="318"/>
      <c r="H193" s="397"/>
      <c r="I193" s="316"/>
      <c r="J193" s="317"/>
      <c r="K193" s="318"/>
      <c r="L193" s="397"/>
      <c r="M193" s="316"/>
      <c r="N193" s="317"/>
      <c r="O193" s="318"/>
      <c r="P193" s="397"/>
      <c r="Q193" s="199"/>
      <c r="R193" s="220"/>
      <c r="S193" s="400"/>
      <c r="T193" s="401"/>
      <c r="U193" s="199"/>
      <c r="V193" s="220"/>
      <c r="W193" s="400"/>
      <c r="X193" s="401"/>
      <c r="Y193" s="199"/>
      <c r="Z193" s="220"/>
      <c r="AA193" s="400"/>
      <c r="AB193" s="401"/>
      <c r="AC193" s="199"/>
      <c r="AD193" s="220"/>
      <c r="AE193" s="400"/>
      <c r="AF193" s="401"/>
      <c r="AG193" s="199"/>
      <c r="AH193" s="220"/>
      <c r="AI193" s="400"/>
      <c r="AJ193" s="401"/>
      <c r="AK193" s="397"/>
      <c r="AL193" s="397"/>
      <c r="AM193" s="397"/>
    </row>
    <row r="194">
      <c r="A194" s="316"/>
      <c r="B194" s="317"/>
      <c r="C194" s="318"/>
      <c r="D194" s="397"/>
      <c r="E194" s="316"/>
      <c r="F194" s="317"/>
      <c r="G194" s="318"/>
      <c r="H194" s="397"/>
      <c r="I194" s="316"/>
      <c r="J194" s="317"/>
      <c r="K194" s="318"/>
      <c r="L194" s="397"/>
      <c r="M194" s="316"/>
      <c r="N194" s="317"/>
      <c r="O194" s="318"/>
      <c r="P194" s="397"/>
      <c r="Q194" s="199"/>
      <c r="R194" s="220"/>
      <c r="S194" s="400"/>
      <c r="T194" s="401"/>
      <c r="U194" s="199"/>
      <c r="V194" s="220"/>
      <c r="W194" s="400"/>
      <c r="X194" s="401"/>
      <c r="Y194" s="199"/>
      <c r="Z194" s="220"/>
      <c r="AA194" s="400"/>
      <c r="AB194" s="401"/>
      <c r="AC194" s="199"/>
      <c r="AD194" s="220"/>
      <c r="AE194" s="400"/>
      <c r="AF194" s="401"/>
      <c r="AG194" s="199"/>
      <c r="AH194" s="220"/>
      <c r="AI194" s="400"/>
      <c r="AJ194" s="401"/>
      <c r="AK194" s="397"/>
      <c r="AL194" s="397"/>
      <c r="AM194" s="397"/>
    </row>
    <row r="195">
      <c r="A195" s="316"/>
      <c r="B195" s="317"/>
      <c r="C195" s="318"/>
      <c r="D195" s="397"/>
      <c r="E195" s="316"/>
      <c r="F195" s="317"/>
      <c r="G195" s="318"/>
      <c r="H195" s="397"/>
      <c r="I195" s="316"/>
      <c r="J195" s="317"/>
      <c r="K195" s="318"/>
      <c r="L195" s="397"/>
      <c r="M195" s="316"/>
      <c r="N195" s="317"/>
      <c r="O195" s="318"/>
      <c r="P195" s="397"/>
      <c r="Q195" s="199"/>
      <c r="R195" s="220"/>
      <c r="S195" s="400"/>
      <c r="T195" s="401"/>
      <c r="U195" s="199"/>
      <c r="V195" s="220"/>
      <c r="W195" s="400"/>
      <c r="X195" s="401"/>
      <c r="Y195" s="199"/>
      <c r="Z195" s="220"/>
      <c r="AA195" s="400"/>
      <c r="AB195" s="401"/>
      <c r="AC195" s="199"/>
      <c r="AD195" s="220"/>
      <c r="AE195" s="400"/>
      <c r="AF195" s="401"/>
      <c r="AG195" s="199"/>
      <c r="AH195" s="220"/>
      <c r="AI195" s="400"/>
      <c r="AJ195" s="401"/>
      <c r="AK195" s="397"/>
      <c r="AL195" s="397"/>
      <c r="AM195" s="397"/>
    </row>
    <row r="196">
      <c r="A196" s="316"/>
      <c r="B196" s="317"/>
      <c r="C196" s="318"/>
      <c r="D196" s="397"/>
      <c r="E196" s="316"/>
      <c r="F196" s="317"/>
      <c r="G196" s="318"/>
      <c r="H196" s="397"/>
      <c r="I196" s="316"/>
      <c r="J196" s="317"/>
      <c r="K196" s="318"/>
      <c r="L196" s="397"/>
      <c r="M196" s="316"/>
      <c r="N196" s="317"/>
      <c r="O196" s="318"/>
      <c r="P196" s="397"/>
      <c r="Q196" s="199"/>
      <c r="R196" s="220"/>
      <c r="S196" s="400"/>
      <c r="T196" s="401"/>
      <c r="U196" s="199"/>
      <c r="V196" s="220"/>
      <c r="W196" s="400"/>
      <c r="X196" s="401"/>
      <c r="Y196" s="199"/>
      <c r="Z196" s="220"/>
      <c r="AA196" s="400"/>
      <c r="AB196" s="401"/>
      <c r="AC196" s="199"/>
      <c r="AD196" s="220"/>
      <c r="AE196" s="400"/>
      <c r="AF196" s="401"/>
      <c r="AG196" s="199"/>
      <c r="AH196" s="220"/>
      <c r="AI196" s="400"/>
      <c r="AJ196" s="401"/>
      <c r="AK196" s="397"/>
      <c r="AL196" s="397"/>
      <c r="AM196" s="397"/>
    </row>
    <row r="197">
      <c r="A197" s="316"/>
      <c r="B197" s="317"/>
      <c r="C197" s="318"/>
      <c r="D197" s="397"/>
      <c r="E197" s="316"/>
      <c r="F197" s="317"/>
      <c r="G197" s="318"/>
      <c r="H197" s="397"/>
      <c r="I197" s="316"/>
      <c r="J197" s="317"/>
      <c r="K197" s="318"/>
      <c r="L197" s="397"/>
      <c r="M197" s="316"/>
      <c r="N197" s="317"/>
      <c r="O197" s="318"/>
      <c r="P197" s="397"/>
      <c r="Q197" s="199"/>
      <c r="R197" s="220"/>
      <c r="S197" s="400"/>
      <c r="T197" s="401"/>
      <c r="U197" s="199"/>
      <c r="V197" s="220"/>
      <c r="W197" s="400"/>
      <c r="X197" s="401"/>
      <c r="Y197" s="199"/>
      <c r="Z197" s="220"/>
      <c r="AA197" s="400"/>
      <c r="AB197" s="401"/>
      <c r="AC197" s="199"/>
      <c r="AD197" s="220"/>
      <c r="AE197" s="400"/>
      <c r="AF197" s="401"/>
      <c r="AG197" s="199"/>
      <c r="AH197" s="220"/>
      <c r="AI197" s="400"/>
      <c r="AJ197" s="401"/>
      <c r="AK197" s="397"/>
      <c r="AL197" s="397"/>
      <c r="AM197" s="397"/>
    </row>
    <row r="198">
      <c r="A198" s="316"/>
      <c r="B198" s="317"/>
      <c r="C198" s="318"/>
      <c r="D198" s="397"/>
      <c r="E198" s="316"/>
      <c r="F198" s="317"/>
      <c r="G198" s="318"/>
      <c r="H198" s="397"/>
      <c r="I198" s="316"/>
      <c r="J198" s="317"/>
      <c r="K198" s="318"/>
      <c r="L198" s="397"/>
      <c r="M198" s="316"/>
      <c r="N198" s="317"/>
      <c r="O198" s="318"/>
      <c r="P198" s="397"/>
      <c r="Q198" s="199"/>
      <c r="R198" s="220"/>
      <c r="S198" s="400"/>
      <c r="T198" s="401"/>
      <c r="U198" s="199"/>
      <c r="V198" s="220"/>
      <c r="W198" s="400"/>
      <c r="X198" s="401"/>
      <c r="Y198" s="199"/>
      <c r="Z198" s="220"/>
      <c r="AA198" s="400"/>
      <c r="AB198" s="401"/>
      <c r="AC198" s="199"/>
      <c r="AD198" s="220"/>
      <c r="AE198" s="400"/>
      <c r="AF198" s="401"/>
      <c r="AG198" s="199"/>
      <c r="AH198" s="220"/>
      <c r="AI198" s="400"/>
      <c r="AJ198" s="401"/>
      <c r="AK198" s="397"/>
      <c r="AL198" s="397"/>
      <c r="AM198" s="397"/>
    </row>
    <row r="199">
      <c r="A199" s="316"/>
      <c r="B199" s="317"/>
      <c r="C199" s="318"/>
      <c r="D199" s="397"/>
      <c r="E199" s="316"/>
      <c r="F199" s="317"/>
      <c r="G199" s="318"/>
      <c r="H199" s="397"/>
      <c r="I199" s="316"/>
      <c r="J199" s="317"/>
      <c r="K199" s="318"/>
      <c r="L199" s="397"/>
      <c r="M199" s="316"/>
      <c r="N199" s="317"/>
      <c r="O199" s="318"/>
      <c r="P199" s="397"/>
      <c r="Q199" s="199"/>
      <c r="R199" s="220"/>
      <c r="S199" s="400"/>
      <c r="T199" s="401"/>
      <c r="U199" s="199"/>
      <c r="V199" s="220"/>
      <c r="W199" s="400"/>
      <c r="X199" s="401"/>
      <c r="Y199" s="199"/>
      <c r="Z199" s="220"/>
      <c r="AA199" s="400"/>
      <c r="AB199" s="401"/>
      <c r="AC199" s="199"/>
      <c r="AD199" s="220"/>
      <c r="AE199" s="400"/>
      <c r="AF199" s="401"/>
      <c r="AG199" s="199"/>
      <c r="AH199" s="220"/>
      <c r="AI199" s="400"/>
      <c r="AJ199" s="401"/>
      <c r="AK199" s="397"/>
      <c r="AL199" s="397"/>
      <c r="AM199" s="397"/>
    </row>
    <row r="200">
      <c r="A200" s="316"/>
      <c r="B200" s="317"/>
      <c r="C200" s="318"/>
      <c r="D200" s="397"/>
      <c r="E200" s="316"/>
      <c r="F200" s="317"/>
      <c r="G200" s="318"/>
      <c r="H200" s="397"/>
      <c r="I200" s="316"/>
      <c r="J200" s="317"/>
      <c r="K200" s="318"/>
      <c r="L200" s="397"/>
      <c r="M200" s="316"/>
      <c r="N200" s="317"/>
      <c r="O200" s="318"/>
      <c r="P200" s="397"/>
      <c r="Q200" s="199"/>
      <c r="R200" s="220"/>
      <c r="S200" s="400"/>
      <c r="T200" s="401"/>
      <c r="U200" s="199"/>
      <c r="V200" s="220"/>
      <c r="W200" s="400"/>
      <c r="X200" s="401"/>
      <c r="Y200" s="199"/>
      <c r="Z200" s="220"/>
      <c r="AA200" s="400"/>
      <c r="AB200" s="401"/>
      <c r="AC200" s="199"/>
      <c r="AD200" s="220"/>
      <c r="AE200" s="400"/>
      <c r="AF200" s="401"/>
      <c r="AG200" s="199"/>
      <c r="AH200" s="220"/>
      <c r="AI200" s="400"/>
      <c r="AJ200" s="401"/>
      <c r="AK200" s="397"/>
      <c r="AL200" s="397"/>
      <c r="AM200" s="397"/>
    </row>
    <row r="201">
      <c r="A201" s="316"/>
      <c r="B201" s="317"/>
      <c r="C201" s="318"/>
      <c r="D201" s="397"/>
      <c r="E201" s="316"/>
      <c r="F201" s="317"/>
      <c r="G201" s="318"/>
      <c r="H201" s="397"/>
      <c r="I201" s="316"/>
      <c r="J201" s="317"/>
      <c r="K201" s="318"/>
      <c r="L201" s="397"/>
      <c r="M201" s="316"/>
      <c r="N201" s="317"/>
      <c r="O201" s="318"/>
      <c r="P201" s="397"/>
      <c r="Q201" s="199"/>
      <c r="R201" s="220"/>
      <c r="S201" s="400"/>
      <c r="T201" s="401"/>
      <c r="U201" s="199"/>
      <c r="V201" s="220"/>
      <c r="W201" s="400"/>
      <c r="X201" s="401"/>
      <c r="Y201" s="199"/>
      <c r="Z201" s="220"/>
      <c r="AA201" s="400"/>
      <c r="AB201" s="401"/>
      <c r="AC201" s="199"/>
      <c r="AD201" s="220"/>
      <c r="AE201" s="400"/>
      <c r="AF201" s="401"/>
      <c r="AG201" s="199"/>
      <c r="AH201" s="220"/>
      <c r="AI201" s="400"/>
      <c r="AJ201" s="401"/>
      <c r="AK201" s="397"/>
      <c r="AL201" s="397"/>
      <c r="AM201" s="397"/>
    </row>
    <row r="202">
      <c r="A202" s="316"/>
      <c r="B202" s="317"/>
      <c r="C202" s="318"/>
      <c r="D202" s="397"/>
      <c r="E202" s="316"/>
      <c r="F202" s="317"/>
      <c r="G202" s="318"/>
      <c r="H202" s="397"/>
      <c r="I202" s="316"/>
      <c r="J202" s="317"/>
      <c r="K202" s="318"/>
      <c r="L202" s="397"/>
      <c r="M202" s="316"/>
      <c r="N202" s="317"/>
      <c r="O202" s="318"/>
      <c r="P202" s="397"/>
      <c r="Q202" s="199"/>
      <c r="R202" s="220"/>
      <c r="S202" s="400"/>
      <c r="T202" s="401"/>
      <c r="U202" s="199"/>
      <c r="V202" s="220"/>
      <c r="W202" s="400"/>
      <c r="X202" s="401"/>
      <c r="Y202" s="199"/>
      <c r="Z202" s="220"/>
      <c r="AA202" s="400"/>
      <c r="AB202" s="401"/>
      <c r="AC202" s="199"/>
      <c r="AD202" s="220"/>
      <c r="AE202" s="400"/>
      <c r="AF202" s="401"/>
      <c r="AG202" s="199"/>
      <c r="AH202" s="220"/>
      <c r="AI202" s="400"/>
      <c r="AJ202" s="401"/>
      <c r="AK202" s="397"/>
      <c r="AL202" s="397"/>
      <c r="AM202" s="397"/>
    </row>
    <row r="203">
      <c r="A203" s="316"/>
      <c r="B203" s="317"/>
      <c r="C203" s="318"/>
      <c r="D203" s="397"/>
      <c r="E203" s="316"/>
      <c r="F203" s="317"/>
      <c r="G203" s="318"/>
      <c r="H203" s="397"/>
      <c r="I203" s="316"/>
      <c r="J203" s="317"/>
      <c r="K203" s="318"/>
      <c r="L203" s="397"/>
      <c r="M203" s="316"/>
      <c r="N203" s="317"/>
      <c r="O203" s="318"/>
      <c r="P203" s="397"/>
      <c r="Q203" s="199"/>
      <c r="R203" s="220"/>
      <c r="S203" s="400"/>
      <c r="T203" s="401"/>
      <c r="U203" s="199"/>
      <c r="V203" s="220"/>
      <c r="W203" s="400"/>
      <c r="X203" s="401"/>
      <c r="Y203" s="199"/>
      <c r="Z203" s="220"/>
      <c r="AA203" s="400"/>
      <c r="AB203" s="401"/>
      <c r="AC203" s="199"/>
      <c r="AD203" s="220"/>
      <c r="AE203" s="400"/>
      <c r="AF203" s="401"/>
      <c r="AG203" s="199"/>
      <c r="AH203" s="220"/>
      <c r="AI203" s="400"/>
      <c r="AJ203" s="401"/>
      <c r="AK203" s="397"/>
      <c r="AL203" s="397"/>
      <c r="AM203" s="397"/>
    </row>
    <row r="204">
      <c r="A204" s="316"/>
      <c r="B204" s="317"/>
      <c r="C204" s="318"/>
      <c r="D204" s="397"/>
      <c r="E204" s="316"/>
      <c r="F204" s="317"/>
      <c r="G204" s="318"/>
      <c r="H204" s="397"/>
      <c r="I204" s="316"/>
      <c r="J204" s="317"/>
      <c r="K204" s="318"/>
      <c r="L204" s="397"/>
      <c r="M204" s="316"/>
      <c r="N204" s="317"/>
      <c r="O204" s="318"/>
      <c r="P204" s="397"/>
      <c r="Q204" s="199"/>
      <c r="R204" s="220"/>
      <c r="S204" s="400"/>
      <c r="T204" s="401"/>
      <c r="U204" s="199"/>
      <c r="V204" s="220"/>
      <c r="W204" s="400"/>
      <c r="X204" s="401"/>
      <c r="Y204" s="199"/>
      <c r="Z204" s="220"/>
      <c r="AA204" s="400"/>
      <c r="AB204" s="401"/>
      <c r="AC204" s="199"/>
      <c r="AD204" s="220"/>
      <c r="AE204" s="400"/>
      <c r="AF204" s="401"/>
      <c r="AG204" s="199"/>
      <c r="AH204" s="220"/>
      <c r="AI204" s="400"/>
      <c r="AJ204" s="401"/>
      <c r="AK204" s="397"/>
      <c r="AL204" s="397"/>
      <c r="AM204" s="397"/>
    </row>
    <row r="205">
      <c r="A205" s="316"/>
      <c r="B205" s="317"/>
      <c r="C205" s="318"/>
      <c r="D205" s="397"/>
      <c r="E205" s="316"/>
      <c r="F205" s="317"/>
      <c r="G205" s="318"/>
      <c r="H205" s="397"/>
      <c r="I205" s="316"/>
      <c r="J205" s="317"/>
      <c r="K205" s="318"/>
      <c r="L205" s="397"/>
      <c r="M205" s="316"/>
      <c r="N205" s="317"/>
      <c r="O205" s="318"/>
      <c r="P205" s="397"/>
      <c r="Q205" s="199"/>
      <c r="R205" s="220"/>
      <c r="S205" s="400"/>
      <c r="T205" s="401"/>
      <c r="U205" s="199"/>
      <c r="V205" s="220"/>
      <c r="W205" s="400"/>
      <c r="X205" s="401"/>
      <c r="Y205" s="199"/>
      <c r="Z205" s="220"/>
      <c r="AA205" s="400"/>
      <c r="AB205" s="401"/>
      <c r="AC205" s="199"/>
      <c r="AD205" s="220"/>
      <c r="AE205" s="400"/>
      <c r="AF205" s="401"/>
      <c r="AG205" s="199"/>
      <c r="AH205" s="220"/>
      <c r="AI205" s="400"/>
      <c r="AJ205" s="401"/>
      <c r="AK205" s="397"/>
      <c r="AL205" s="397"/>
      <c r="AM205" s="397"/>
    </row>
    <row r="206">
      <c r="A206" s="316"/>
      <c r="B206" s="317"/>
      <c r="C206" s="318"/>
      <c r="D206" s="397"/>
      <c r="E206" s="316"/>
      <c r="F206" s="317"/>
      <c r="G206" s="318"/>
      <c r="H206" s="397"/>
      <c r="I206" s="316"/>
      <c r="J206" s="317"/>
      <c r="K206" s="318"/>
      <c r="L206" s="397"/>
      <c r="M206" s="316"/>
      <c r="N206" s="317"/>
      <c r="O206" s="318"/>
      <c r="P206" s="397"/>
      <c r="Q206" s="199"/>
      <c r="R206" s="220"/>
      <c r="S206" s="400"/>
      <c r="T206" s="401"/>
      <c r="U206" s="199"/>
      <c r="V206" s="220"/>
      <c r="W206" s="400"/>
      <c r="X206" s="401"/>
      <c r="Y206" s="199"/>
      <c r="Z206" s="220"/>
      <c r="AA206" s="400"/>
      <c r="AB206" s="401"/>
      <c r="AC206" s="199"/>
      <c r="AD206" s="220"/>
      <c r="AE206" s="400"/>
      <c r="AF206" s="401"/>
      <c r="AG206" s="199"/>
      <c r="AH206" s="220"/>
      <c r="AI206" s="400"/>
      <c r="AJ206" s="401"/>
      <c r="AK206" s="397"/>
      <c r="AL206" s="397"/>
      <c r="AM206" s="397"/>
    </row>
    <row r="207">
      <c r="A207" s="316"/>
      <c r="B207" s="317"/>
      <c r="C207" s="318"/>
      <c r="D207" s="397"/>
      <c r="E207" s="316"/>
      <c r="F207" s="317"/>
      <c r="G207" s="318"/>
      <c r="H207" s="397"/>
      <c r="I207" s="316"/>
      <c r="J207" s="317"/>
      <c r="K207" s="318"/>
      <c r="L207" s="397"/>
      <c r="M207" s="316"/>
      <c r="N207" s="317"/>
      <c r="O207" s="318"/>
      <c r="P207" s="397"/>
      <c r="Q207" s="199"/>
      <c r="R207" s="220"/>
      <c r="S207" s="400"/>
      <c r="T207" s="401"/>
      <c r="U207" s="199"/>
      <c r="V207" s="220"/>
      <c r="W207" s="400"/>
      <c r="X207" s="401"/>
      <c r="Y207" s="199"/>
      <c r="Z207" s="220"/>
      <c r="AA207" s="400"/>
      <c r="AB207" s="401"/>
      <c r="AC207" s="199"/>
      <c r="AD207" s="220"/>
      <c r="AE207" s="400"/>
      <c r="AF207" s="401"/>
      <c r="AG207" s="199"/>
      <c r="AH207" s="220"/>
      <c r="AI207" s="400"/>
      <c r="AJ207" s="401"/>
      <c r="AK207" s="397"/>
      <c r="AL207" s="397"/>
      <c r="AM207" s="397"/>
    </row>
    <row r="208">
      <c r="A208" s="316"/>
      <c r="B208" s="317"/>
      <c r="C208" s="318"/>
      <c r="D208" s="397"/>
      <c r="E208" s="316"/>
      <c r="F208" s="317"/>
      <c r="G208" s="318"/>
      <c r="H208" s="397"/>
      <c r="I208" s="316"/>
      <c r="J208" s="317"/>
      <c r="K208" s="318"/>
      <c r="L208" s="397"/>
      <c r="M208" s="316"/>
      <c r="N208" s="317"/>
      <c r="O208" s="318"/>
      <c r="P208" s="397"/>
      <c r="Q208" s="199"/>
      <c r="R208" s="220"/>
      <c r="S208" s="400"/>
      <c r="T208" s="401"/>
      <c r="U208" s="199"/>
      <c r="V208" s="220"/>
      <c r="W208" s="400"/>
      <c r="X208" s="401"/>
      <c r="Y208" s="199"/>
      <c r="Z208" s="220"/>
      <c r="AA208" s="400"/>
      <c r="AB208" s="401"/>
      <c r="AC208" s="199"/>
      <c r="AD208" s="220"/>
      <c r="AE208" s="400"/>
      <c r="AF208" s="401"/>
      <c r="AG208" s="199"/>
      <c r="AH208" s="220"/>
      <c r="AI208" s="400"/>
      <c r="AJ208" s="401"/>
      <c r="AK208" s="397"/>
      <c r="AL208" s="397"/>
      <c r="AM208" s="397"/>
    </row>
    <row r="209">
      <c r="A209" s="316"/>
      <c r="B209" s="317"/>
      <c r="C209" s="318"/>
      <c r="D209" s="397"/>
      <c r="E209" s="316"/>
      <c r="F209" s="317"/>
      <c r="G209" s="318"/>
      <c r="H209" s="397"/>
      <c r="I209" s="316"/>
      <c r="J209" s="317"/>
      <c r="K209" s="318"/>
      <c r="L209" s="397"/>
      <c r="M209" s="316"/>
      <c r="N209" s="317"/>
      <c r="O209" s="318"/>
      <c r="P209" s="397"/>
      <c r="Q209" s="199"/>
      <c r="R209" s="220"/>
      <c r="S209" s="400"/>
      <c r="T209" s="401"/>
      <c r="U209" s="199"/>
      <c r="V209" s="220"/>
      <c r="W209" s="400"/>
      <c r="X209" s="401"/>
      <c r="Y209" s="199"/>
      <c r="Z209" s="220"/>
      <c r="AA209" s="400"/>
      <c r="AB209" s="401"/>
      <c r="AC209" s="199"/>
      <c r="AD209" s="220"/>
      <c r="AE209" s="400"/>
      <c r="AF209" s="401"/>
      <c r="AG209" s="199"/>
      <c r="AH209" s="220"/>
      <c r="AI209" s="400"/>
      <c r="AJ209" s="401"/>
      <c r="AK209" s="397"/>
      <c r="AL209" s="397"/>
      <c r="AM209" s="397"/>
    </row>
    <row r="210">
      <c r="A210" s="316"/>
      <c r="B210" s="317"/>
      <c r="C210" s="318"/>
      <c r="D210" s="397"/>
      <c r="E210" s="316"/>
      <c r="F210" s="317"/>
      <c r="G210" s="318"/>
      <c r="H210" s="397"/>
      <c r="I210" s="316"/>
      <c r="J210" s="317"/>
      <c r="K210" s="318"/>
      <c r="L210" s="397"/>
      <c r="M210" s="316"/>
      <c r="N210" s="317"/>
      <c r="O210" s="318"/>
      <c r="P210" s="397"/>
      <c r="Q210" s="199"/>
      <c r="R210" s="220"/>
      <c r="S210" s="400"/>
      <c r="T210" s="401"/>
      <c r="U210" s="199"/>
      <c r="V210" s="220"/>
      <c r="W210" s="400"/>
      <c r="X210" s="401"/>
      <c r="Y210" s="199"/>
      <c r="Z210" s="220"/>
      <c r="AA210" s="400"/>
      <c r="AB210" s="401"/>
      <c r="AC210" s="199"/>
      <c r="AD210" s="220"/>
      <c r="AE210" s="400"/>
      <c r="AF210" s="401"/>
      <c r="AG210" s="199"/>
      <c r="AH210" s="220"/>
      <c r="AI210" s="400"/>
      <c r="AJ210" s="401"/>
      <c r="AK210" s="397"/>
      <c r="AL210" s="397"/>
      <c r="AM210" s="397"/>
    </row>
    <row r="211">
      <c r="A211" s="316"/>
      <c r="B211" s="317"/>
      <c r="C211" s="318"/>
      <c r="D211" s="397"/>
      <c r="E211" s="316"/>
      <c r="F211" s="317"/>
      <c r="G211" s="318"/>
      <c r="H211" s="397"/>
      <c r="I211" s="316"/>
      <c r="J211" s="317"/>
      <c r="K211" s="318"/>
      <c r="L211" s="397"/>
      <c r="M211" s="316"/>
      <c r="N211" s="317"/>
      <c r="O211" s="318"/>
      <c r="P211" s="397"/>
      <c r="Q211" s="199"/>
      <c r="R211" s="220"/>
      <c r="S211" s="400"/>
      <c r="T211" s="401"/>
      <c r="U211" s="199"/>
      <c r="V211" s="220"/>
      <c r="W211" s="400"/>
      <c r="X211" s="401"/>
      <c r="Y211" s="199"/>
      <c r="Z211" s="220"/>
      <c r="AA211" s="400"/>
      <c r="AB211" s="401"/>
      <c r="AC211" s="199"/>
      <c r="AD211" s="220"/>
      <c r="AE211" s="400"/>
      <c r="AF211" s="401"/>
      <c r="AG211" s="199"/>
      <c r="AH211" s="220"/>
      <c r="AI211" s="400"/>
      <c r="AJ211" s="401"/>
      <c r="AK211" s="397"/>
      <c r="AL211" s="397"/>
      <c r="AM211" s="397"/>
    </row>
    <row r="212">
      <c r="A212" s="316"/>
      <c r="B212" s="317"/>
      <c r="C212" s="318"/>
      <c r="D212" s="397"/>
      <c r="E212" s="316"/>
      <c r="F212" s="317"/>
      <c r="G212" s="318"/>
      <c r="H212" s="397"/>
      <c r="I212" s="316"/>
      <c r="J212" s="317"/>
      <c r="K212" s="318"/>
      <c r="L212" s="397"/>
      <c r="M212" s="316"/>
      <c r="N212" s="317"/>
      <c r="O212" s="318"/>
      <c r="P212" s="397"/>
      <c r="Q212" s="199"/>
      <c r="R212" s="220"/>
      <c r="S212" s="400"/>
      <c r="T212" s="401"/>
      <c r="U212" s="199"/>
      <c r="V212" s="220"/>
      <c r="W212" s="400"/>
      <c r="X212" s="401"/>
      <c r="Y212" s="199"/>
      <c r="Z212" s="220"/>
      <c r="AA212" s="400"/>
      <c r="AB212" s="401"/>
      <c r="AC212" s="199"/>
      <c r="AD212" s="220"/>
      <c r="AE212" s="400"/>
      <c r="AF212" s="401"/>
      <c r="AG212" s="199"/>
      <c r="AH212" s="220"/>
      <c r="AI212" s="400"/>
      <c r="AJ212" s="401"/>
      <c r="AK212" s="397"/>
      <c r="AL212" s="397"/>
      <c r="AM212" s="397"/>
    </row>
    <row r="213">
      <c r="A213" s="316"/>
      <c r="B213" s="317"/>
      <c r="C213" s="318"/>
      <c r="D213" s="397"/>
      <c r="E213" s="316"/>
      <c r="F213" s="317"/>
      <c r="G213" s="318"/>
      <c r="H213" s="397"/>
      <c r="I213" s="316"/>
      <c r="J213" s="317"/>
      <c r="K213" s="318"/>
      <c r="L213" s="397"/>
      <c r="M213" s="316"/>
      <c r="N213" s="317"/>
      <c r="O213" s="318"/>
      <c r="P213" s="397"/>
      <c r="Q213" s="199"/>
      <c r="R213" s="220"/>
      <c r="S213" s="400"/>
      <c r="T213" s="401"/>
      <c r="U213" s="199"/>
      <c r="V213" s="220"/>
      <c r="W213" s="400"/>
      <c r="X213" s="401"/>
      <c r="Y213" s="199"/>
      <c r="Z213" s="220"/>
      <c r="AA213" s="400"/>
      <c r="AB213" s="401"/>
      <c r="AC213" s="199"/>
      <c r="AD213" s="220"/>
      <c r="AE213" s="400"/>
      <c r="AF213" s="401"/>
      <c r="AG213" s="199"/>
      <c r="AH213" s="220"/>
      <c r="AI213" s="400"/>
      <c r="AJ213" s="401"/>
      <c r="AK213" s="397"/>
      <c r="AL213" s="397"/>
      <c r="AM213" s="397"/>
    </row>
    <row r="214">
      <c r="A214" s="316"/>
      <c r="B214" s="317"/>
      <c r="C214" s="318"/>
      <c r="D214" s="397"/>
      <c r="E214" s="316"/>
      <c r="F214" s="317"/>
      <c r="G214" s="318"/>
      <c r="H214" s="397"/>
      <c r="I214" s="316"/>
      <c r="J214" s="317"/>
      <c r="K214" s="318"/>
      <c r="L214" s="397"/>
      <c r="M214" s="316"/>
      <c r="N214" s="317"/>
      <c r="O214" s="318"/>
      <c r="P214" s="397"/>
      <c r="Q214" s="199"/>
      <c r="R214" s="220"/>
      <c r="S214" s="400"/>
      <c r="T214" s="401"/>
      <c r="U214" s="199"/>
      <c r="V214" s="220"/>
      <c r="W214" s="400"/>
      <c r="X214" s="401"/>
      <c r="Y214" s="199"/>
      <c r="Z214" s="220"/>
      <c r="AA214" s="400"/>
      <c r="AB214" s="401"/>
      <c r="AC214" s="199"/>
      <c r="AD214" s="220"/>
      <c r="AE214" s="400"/>
      <c r="AF214" s="401"/>
      <c r="AG214" s="199"/>
      <c r="AH214" s="220"/>
      <c r="AI214" s="400"/>
      <c r="AJ214" s="401"/>
      <c r="AK214" s="397"/>
      <c r="AL214" s="397"/>
      <c r="AM214" s="397"/>
    </row>
    <row r="215">
      <c r="A215" s="316"/>
      <c r="B215" s="317"/>
      <c r="C215" s="318"/>
      <c r="D215" s="397"/>
      <c r="E215" s="316"/>
      <c r="F215" s="317"/>
      <c r="G215" s="318"/>
      <c r="H215" s="397"/>
      <c r="I215" s="316"/>
      <c r="J215" s="317"/>
      <c r="K215" s="318"/>
      <c r="L215" s="397"/>
      <c r="M215" s="316"/>
      <c r="N215" s="317"/>
      <c r="O215" s="318"/>
      <c r="P215" s="397"/>
      <c r="Q215" s="199"/>
      <c r="R215" s="220"/>
      <c r="S215" s="400"/>
      <c r="T215" s="401"/>
      <c r="U215" s="199"/>
      <c r="V215" s="220"/>
      <c r="W215" s="400"/>
      <c r="X215" s="401"/>
      <c r="Y215" s="199"/>
      <c r="Z215" s="220"/>
      <c r="AA215" s="400"/>
      <c r="AB215" s="401"/>
      <c r="AC215" s="199"/>
      <c r="AD215" s="220"/>
      <c r="AE215" s="400"/>
      <c r="AF215" s="401"/>
      <c r="AG215" s="199"/>
      <c r="AH215" s="220"/>
      <c r="AI215" s="400"/>
      <c r="AJ215" s="401"/>
      <c r="AK215" s="397"/>
      <c r="AL215" s="397"/>
      <c r="AM215" s="397"/>
    </row>
    <row r="216">
      <c r="A216" s="316"/>
      <c r="B216" s="317"/>
      <c r="C216" s="318"/>
      <c r="D216" s="397"/>
      <c r="E216" s="316"/>
      <c r="F216" s="317"/>
      <c r="G216" s="318"/>
      <c r="H216" s="397"/>
      <c r="I216" s="316"/>
      <c r="J216" s="317"/>
      <c r="K216" s="318"/>
      <c r="L216" s="397"/>
      <c r="M216" s="316"/>
      <c r="N216" s="317"/>
      <c r="O216" s="318"/>
      <c r="P216" s="397"/>
      <c r="Q216" s="199"/>
      <c r="R216" s="220"/>
      <c r="S216" s="400"/>
      <c r="T216" s="401"/>
      <c r="U216" s="199"/>
      <c r="V216" s="220"/>
      <c r="W216" s="400"/>
      <c r="X216" s="401"/>
      <c r="Y216" s="199"/>
      <c r="Z216" s="220"/>
      <c r="AA216" s="400"/>
      <c r="AB216" s="401"/>
      <c r="AC216" s="199"/>
      <c r="AD216" s="220"/>
      <c r="AE216" s="400"/>
      <c r="AF216" s="401"/>
      <c r="AG216" s="199"/>
      <c r="AH216" s="220"/>
      <c r="AI216" s="400"/>
      <c r="AJ216" s="401"/>
      <c r="AK216" s="397"/>
      <c r="AL216" s="397"/>
      <c r="AM216" s="397"/>
    </row>
    <row r="217">
      <c r="A217" s="316"/>
      <c r="B217" s="317"/>
      <c r="C217" s="318"/>
      <c r="D217" s="397"/>
      <c r="E217" s="316"/>
      <c r="F217" s="317"/>
      <c r="G217" s="318"/>
      <c r="H217" s="397"/>
      <c r="I217" s="316"/>
      <c r="J217" s="317"/>
      <c r="K217" s="318"/>
      <c r="L217" s="397"/>
      <c r="M217" s="316"/>
      <c r="N217" s="317"/>
      <c r="O217" s="318"/>
      <c r="P217" s="397"/>
      <c r="Q217" s="199"/>
      <c r="R217" s="220"/>
      <c r="S217" s="400"/>
      <c r="T217" s="401"/>
      <c r="U217" s="199"/>
      <c r="V217" s="220"/>
      <c r="W217" s="400"/>
      <c r="X217" s="401"/>
      <c r="Y217" s="199"/>
      <c r="Z217" s="220"/>
      <c r="AA217" s="400"/>
      <c r="AB217" s="401"/>
      <c r="AC217" s="199"/>
      <c r="AD217" s="220"/>
      <c r="AE217" s="400"/>
      <c r="AF217" s="401"/>
      <c r="AG217" s="199"/>
      <c r="AH217" s="220"/>
      <c r="AI217" s="400"/>
      <c r="AJ217" s="401"/>
      <c r="AK217" s="397"/>
      <c r="AL217" s="397"/>
      <c r="AM217" s="397"/>
    </row>
    <row r="218">
      <c r="A218" s="316"/>
      <c r="B218" s="317"/>
      <c r="C218" s="318"/>
      <c r="D218" s="397"/>
      <c r="E218" s="316"/>
      <c r="F218" s="317"/>
      <c r="G218" s="318"/>
      <c r="H218" s="397"/>
      <c r="I218" s="316"/>
      <c r="J218" s="317"/>
      <c r="K218" s="318"/>
      <c r="L218" s="397"/>
      <c r="M218" s="316"/>
      <c r="N218" s="317"/>
      <c r="O218" s="318"/>
      <c r="P218" s="397"/>
      <c r="Q218" s="199"/>
      <c r="R218" s="220"/>
      <c r="S218" s="400"/>
      <c r="T218" s="401"/>
      <c r="U218" s="199"/>
      <c r="V218" s="220"/>
      <c r="W218" s="400"/>
      <c r="X218" s="401"/>
      <c r="Y218" s="199"/>
      <c r="Z218" s="220"/>
      <c r="AA218" s="400"/>
      <c r="AB218" s="401"/>
      <c r="AC218" s="199"/>
      <c r="AD218" s="220"/>
      <c r="AE218" s="400"/>
      <c r="AF218" s="401"/>
      <c r="AG218" s="199"/>
      <c r="AH218" s="220"/>
      <c r="AI218" s="400"/>
      <c r="AJ218" s="401"/>
      <c r="AK218" s="397"/>
      <c r="AL218" s="397"/>
      <c r="AM218" s="397"/>
    </row>
    <row r="219">
      <c r="A219" s="316"/>
      <c r="B219" s="317"/>
      <c r="C219" s="318"/>
      <c r="D219" s="397"/>
      <c r="E219" s="316"/>
      <c r="F219" s="317"/>
      <c r="G219" s="318"/>
      <c r="H219" s="397"/>
      <c r="I219" s="316"/>
      <c r="J219" s="317"/>
      <c r="K219" s="318"/>
      <c r="L219" s="397"/>
      <c r="M219" s="316"/>
      <c r="N219" s="317"/>
      <c r="O219" s="318"/>
      <c r="P219" s="397"/>
      <c r="Q219" s="199"/>
      <c r="R219" s="220"/>
      <c r="S219" s="400"/>
      <c r="T219" s="401"/>
      <c r="U219" s="199"/>
      <c r="V219" s="220"/>
      <c r="W219" s="400"/>
      <c r="X219" s="401"/>
      <c r="Y219" s="199"/>
      <c r="Z219" s="220"/>
      <c r="AA219" s="400"/>
      <c r="AB219" s="401"/>
      <c r="AC219" s="199"/>
      <c r="AD219" s="220"/>
      <c r="AE219" s="400"/>
      <c r="AF219" s="401"/>
      <c r="AG219" s="199"/>
      <c r="AH219" s="220"/>
      <c r="AI219" s="400"/>
      <c r="AJ219" s="401"/>
      <c r="AK219" s="397"/>
      <c r="AL219" s="397"/>
      <c r="AM219" s="397"/>
    </row>
    <row r="220">
      <c r="A220" s="316"/>
      <c r="B220" s="317"/>
      <c r="C220" s="318"/>
      <c r="D220" s="397"/>
      <c r="E220" s="316"/>
      <c r="F220" s="317"/>
      <c r="G220" s="318"/>
      <c r="H220" s="397"/>
      <c r="I220" s="316"/>
      <c r="J220" s="317"/>
      <c r="K220" s="318"/>
      <c r="L220" s="397"/>
      <c r="M220" s="316"/>
      <c r="N220" s="317"/>
      <c r="O220" s="318"/>
      <c r="P220" s="397"/>
      <c r="Q220" s="199"/>
      <c r="R220" s="220"/>
      <c r="S220" s="400"/>
      <c r="T220" s="401"/>
      <c r="U220" s="199"/>
      <c r="V220" s="220"/>
      <c r="W220" s="400"/>
      <c r="X220" s="401"/>
      <c r="Y220" s="199"/>
      <c r="Z220" s="220"/>
      <c r="AA220" s="400"/>
      <c r="AB220" s="401"/>
      <c r="AC220" s="199"/>
      <c r="AD220" s="220"/>
      <c r="AE220" s="400"/>
      <c r="AF220" s="401"/>
      <c r="AG220" s="199"/>
      <c r="AH220" s="220"/>
      <c r="AI220" s="400"/>
      <c r="AJ220" s="401"/>
      <c r="AK220" s="397"/>
      <c r="AL220" s="397"/>
      <c r="AM220" s="397"/>
    </row>
    <row r="221">
      <c r="A221" s="316"/>
      <c r="B221" s="317"/>
      <c r="C221" s="318"/>
      <c r="D221" s="397"/>
      <c r="E221" s="316"/>
      <c r="F221" s="317"/>
      <c r="G221" s="318"/>
      <c r="H221" s="397"/>
      <c r="I221" s="316"/>
      <c r="J221" s="317"/>
      <c r="K221" s="318"/>
      <c r="L221" s="397"/>
      <c r="M221" s="316"/>
      <c r="N221" s="317"/>
      <c r="O221" s="318"/>
      <c r="P221" s="397"/>
      <c r="Q221" s="199"/>
      <c r="R221" s="220"/>
      <c r="S221" s="400"/>
      <c r="T221" s="401"/>
      <c r="U221" s="199"/>
      <c r="V221" s="220"/>
      <c r="W221" s="400"/>
      <c r="X221" s="401"/>
      <c r="Y221" s="199"/>
      <c r="Z221" s="220"/>
      <c r="AA221" s="400"/>
      <c r="AB221" s="401"/>
      <c r="AC221" s="199"/>
      <c r="AD221" s="220"/>
      <c r="AE221" s="400"/>
      <c r="AF221" s="401"/>
      <c r="AG221" s="199"/>
      <c r="AH221" s="220"/>
      <c r="AI221" s="400"/>
      <c r="AJ221" s="401"/>
      <c r="AK221" s="397"/>
      <c r="AL221" s="397"/>
      <c r="AM221" s="397"/>
    </row>
    <row r="222">
      <c r="A222" s="316"/>
      <c r="B222" s="317"/>
      <c r="C222" s="318"/>
      <c r="D222" s="397"/>
      <c r="E222" s="316"/>
      <c r="F222" s="317"/>
      <c r="G222" s="318"/>
      <c r="H222" s="397"/>
      <c r="I222" s="316"/>
      <c r="J222" s="317"/>
      <c r="K222" s="318"/>
      <c r="L222" s="397"/>
      <c r="M222" s="316"/>
      <c r="N222" s="317"/>
      <c r="O222" s="318"/>
      <c r="P222" s="397"/>
      <c r="Q222" s="199"/>
      <c r="R222" s="220"/>
      <c r="S222" s="400"/>
      <c r="T222" s="401"/>
      <c r="U222" s="199"/>
      <c r="V222" s="220"/>
      <c r="W222" s="400"/>
      <c r="X222" s="401"/>
      <c r="Y222" s="199"/>
      <c r="Z222" s="220"/>
      <c r="AA222" s="400"/>
      <c r="AB222" s="401"/>
      <c r="AC222" s="199"/>
      <c r="AD222" s="220"/>
      <c r="AE222" s="400"/>
      <c r="AF222" s="401"/>
      <c r="AG222" s="199"/>
      <c r="AH222" s="220"/>
      <c r="AI222" s="400"/>
      <c r="AJ222" s="401"/>
      <c r="AK222" s="397"/>
      <c r="AL222" s="397"/>
      <c r="AM222" s="397"/>
    </row>
    <row r="223">
      <c r="A223" s="316"/>
      <c r="B223" s="317"/>
      <c r="C223" s="318"/>
      <c r="D223" s="397"/>
      <c r="E223" s="316"/>
      <c r="F223" s="317"/>
      <c r="G223" s="318"/>
      <c r="H223" s="397"/>
      <c r="I223" s="316"/>
      <c r="J223" s="317"/>
      <c r="K223" s="318"/>
      <c r="L223" s="397"/>
      <c r="M223" s="316"/>
      <c r="N223" s="317"/>
      <c r="O223" s="318"/>
      <c r="P223" s="397"/>
      <c r="Q223" s="199"/>
      <c r="R223" s="220"/>
      <c r="S223" s="400"/>
      <c r="T223" s="401"/>
      <c r="U223" s="199"/>
      <c r="V223" s="220"/>
      <c r="W223" s="400"/>
      <c r="X223" s="401"/>
      <c r="Y223" s="199"/>
      <c r="Z223" s="220"/>
      <c r="AA223" s="400"/>
      <c r="AB223" s="401"/>
      <c r="AC223" s="199"/>
      <c r="AD223" s="220"/>
      <c r="AE223" s="400"/>
      <c r="AF223" s="401"/>
      <c r="AG223" s="199"/>
      <c r="AH223" s="220"/>
      <c r="AI223" s="400"/>
      <c r="AJ223" s="401"/>
      <c r="AK223" s="397"/>
      <c r="AL223" s="397"/>
      <c r="AM223" s="397"/>
    </row>
    <row r="224">
      <c r="A224" s="316"/>
      <c r="B224" s="317"/>
      <c r="C224" s="318"/>
      <c r="D224" s="397"/>
      <c r="E224" s="316"/>
      <c r="F224" s="317"/>
      <c r="G224" s="318"/>
      <c r="H224" s="397"/>
      <c r="I224" s="316"/>
      <c r="J224" s="317"/>
      <c r="K224" s="318"/>
      <c r="L224" s="397"/>
      <c r="M224" s="316"/>
      <c r="N224" s="317"/>
      <c r="O224" s="318"/>
      <c r="P224" s="397"/>
      <c r="Q224" s="199"/>
      <c r="R224" s="220"/>
      <c r="S224" s="400"/>
      <c r="T224" s="401"/>
      <c r="U224" s="199"/>
      <c r="V224" s="220"/>
      <c r="W224" s="400"/>
      <c r="X224" s="401"/>
      <c r="Y224" s="199"/>
      <c r="Z224" s="220"/>
      <c r="AA224" s="400"/>
      <c r="AB224" s="401"/>
      <c r="AC224" s="199"/>
      <c r="AD224" s="220"/>
      <c r="AE224" s="400"/>
      <c r="AF224" s="401"/>
      <c r="AG224" s="199"/>
      <c r="AH224" s="220"/>
      <c r="AI224" s="400"/>
      <c r="AJ224" s="401"/>
      <c r="AK224" s="397"/>
      <c r="AL224" s="397"/>
      <c r="AM224" s="397"/>
    </row>
    <row r="225">
      <c r="A225" s="316"/>
      <c r="B225" s="317"/>
      <c r="C225" s="318"/>
      <c r="D225" s="397"/>
      <c r="E225" s="316"/>
      <c r="F225" s="317"/>
      <c r="G225" s="318"/>
      <c r="H225" s="397"/>
      <c r="I225" s="316"/>
      <c r="J225" s="317"/>
      <c r="K225" s="318"/>
      <c r="L225" s="397"/>
      <c r="M225" s="316"/>
      <c r="N225" s="317"/>
      <c r="O225" s="318"/>
      <c r="P225" s="397"/>
      <c r="Q225" s="199"/>
      <c r="R225" s="220"/>
      <c r="S225" s="400"/>
      <c r="T225" s="401"/>
      <c r="U225" s="199"/>
      <c r="V225" s="220"/>
      <c r="W225" s="400"/>
      <c r="X225" s="401"/>
      <c r="Y225" s="199"/>
      <c r="Z225" s="220"/>
      <c r="AA225" s="400"/>
      <c r="AB225" s="401"/>
      <c r="AC225" s="199"/>
      <c r="AD225" s="220"/>
      <c r="AE225" s="400"/>
      <c r="AF225" s="401"/>
      <c r="AG225" s="199"/>
      <c r="AH225" s="220"/>
      <c r="AI225" s="400"/>
      <c r="AJ225" s="401"/>
      <c r="AK225" s="397"/>
      <c r="AL225" s="397"/>
      <c r="AM225" s="397"/>
    </row>
    <row r="226">
      <c r="A226" s="316"/>
      <c r="B226" s="317"/>
      <c r="C226" s="318"/>
      <c r="D226" s="397"/>
      <c r="E226" s="316"/>
      <c r="F226" s="317"/>
      <c r="G226" s="318"/>
      <c r="H226" s="397"/>
      <c r="I226" s="316"/>
      <c r="J226" s="317"/>
      <c r="K226" s="318"/>
      <c r="L226" s="397"/>
      <c r="M226" s="316"/>
      <c r="N226" s="317"/>
      <c r="O226" s="318"/>
      <c r="P226" s="397"/>
      <c r="Q226" s="199"/>
      <c r="R226" s="220"/>
      <c r="S226" s="400"/>
      <c r="T226" s="401"/>
      <c r="U226" s="199"/>
      <c r="V226" s="220"/>
      <c r="W226" s="400"/>
      <c r="X226" s="401"/>
      <c r="Y226" s="199"/>
      <c r="Z226" s="220"/>
      <c r="AA226" s="400"/>
      <c r="AB226" s="401"/>
      <c r="AC226" s="199"/>
      <c r="AD226" s="220"/>
      <c r="AE226" s="400"/>
      <c r="AF226" s="401"/>
      <c r="AG226" s="199"/>
      <c r="AH226" s="220"/>
      <c r="AI226" s="400"/>
      <c r="AJ226" s="401"/>
      <c r="AK226" s="397"/>
      <c r="AL226" s="397"/>
      <c r="AM226" s="397"/>
    </row>
    <row r="227">
      <c r="A227" s="316"/>
      <c r="B227" s="317"/>
      <c r="C227" s="318"/>
      <c r="D227" s="397"/>
      <c r="E227" s="316"/>
      <c r="F227" s="317"/>
      <c r="G227" s="318"/>
      <c r="H227" s="397"/>
      <c r="I227" s="316"/>
      <c r="J227" s="317"/>
      <c r="K227" s="318"/>
      <c r="L227" s="397"/>
      <c r="M227" s="316"/>
      <c r="N227" s="317"/>
      <c r="O227" s="318"/>
      <c r="P227" s="397"/>
      <c r="Q227" s="199"/>
      <c r="R227" s="220"/>
      <c r="S227" s="400"/>
      <c r="T227" s="401"/>
      <c r="U227" s="199"/>
      <c r="V227" s="220"/>
      <c r="W227" s="400"/>
      <c r="X227" s="401"/>
      <c r="Y227" s="199"/>
      <c r="Z227" s="220"/>
      <c r="AA227" s="400"/>
      <c r="AB227" s="401"/>
      <c r="AC227" s="199"/>
      <c r="AD227" s="220"/>
      <c r="AE227" s="400"/>
      <c r="AF227" s="401"/>
      <c r="AG227" s="199"/>
      <c r="AH227" s="220"/>
      <c r="AI227" s="400"/>
      <c r="AJ227" s="401"/>
      <c r="AK227" s="397"/>
      <c r="AL227" s="397"/>
      <c r="AM227" s="397"/>
    </row>
    <row r="228">
      <c r="A228" s="316"/>
      <c r="B228" s="317"/>
      <c r="C228" s="318"/>
      <c r="D228" s="397"/>
      <c r="E228" s="316"/>
      <c r="F228" s="317"/>
      <c r="G228" s="318"/>
      <c r="H228" s="397"/>
      <c r="I228" s="316"/>
      <c r="J228" s="317"/>
      <c r="K228" s="318"/>
      <c r="L228" s="397"/>
      <c r="M228" s="316"/>
      <c r="N228" s="317"/>
      <c r="O228" s="318"/>
      <c r="P228" s="397"/>
      <c r="Q228" s="199"/>
      <c r="R228" s="220"/>
      <c r="S228" s="400"/>
      <c r="T228" s="401"/>
      <c r="U228" s="199"/>
      <c r="V228" s="220"/>
      <c r="W228" s="400"/>
      <c r="X228" s="401"/>
      <c r="Y228" s="199"/>
      <c r="Z228" s="220"/>
      <c r="AA228" s="400"/>
      <c r="AB228" s="401"/>
      <c r="AC228" s="199"/>
      <c r="AD228" s="220"/>
      <c r="AE228" s="400"/>
      <c r="AF228" s="401"/>
      <c r="AG228" s="199"/>
      <c r="AH228" s="220"/>
      <c r="AI228" s="400"/>
      <c r="AJ228" s="401"/>
      <c r="AK228" s="397"/>
      <c r="AL228" s="397"/>
      <c r="AM228" s="397"/>
    </row>
    <row r="229">
      <c r="A229" s="316"/>
      <c r="B229" s="317"/>
      <c r="C229" s="318"/>
      <c r="D229" s="397"/>
      <c r="E229" s="316"/>
      <c r="F229" s="317"/>
      <c r="G229" s="318"/>
      <c r="H229" s="397"/>
      <c r="I229" s="316"/>
      <c r="J229" s="317"/>
      <c r="K229" s="318"/>
      <c r="L229" s="397"/>
      <c r="M229" s="316"/>
      <c r="N229" s="317"/>
      <c r="O229" s="318"/>
      <c r="P229" s="397"/>
      <c r="Q229" s="199"/>
      <c r="R229" s="220"/>
      <c r="S229" s="400"/>
      <c r="T229" s="401"/>
      <c r="U229" s="199"/>
      <c r="V229" s="220"/>
      <c r="W229" s="400"/>
      <c r="X229" s="401"/>
      <c r="Y229" s="199"/>
      <c r="Z229" s="220"/>
      <c r="AA229" s="400"/>
      <c r="AB229" s="401"/>
      <c r="AC229" s="199"/>
      <c r="AD229" s="220"/>
      <c r="AE229" s="400"/>
      <c r="AF229" s="401"/>
      <c r="AG229" s="199"/>
      <c r="AH229" s="220"/>
      <c r="AI229" s="400"/>
      <c r="AJ229" s="401"/>
      <c r="AK229" s="397"/>
      <c r="AL229" s="397"/>
      <c r="AM229" s="397"/>
    </row>
    <row r="230">
      <c r="A230" s="316"/>
      <c r="B230" s="317"/>
      <c r="C230" s="318"/>
      <c r="D230" s="397"/>
      <c r="E230" s="316"/>
      <c r="F230" s="317"/>
      <c r="G230" s="318"/>
      <c r="H230" s="397"/>
      <c r="I230" s="316"/>
      <c r="J230" s="317"/>
      <c r="K230" s="318"/>
      <c r="L230" s="397"/>
      <c r="M230" s="316"/>
      <c r="N230" s="317"/>
      <c r="O230" s="318"/>
      <c r="P230" s="397"/>
      <c r="Q230" s="199"/>
      <c r="R230" s="220"/>
      <c r="S230" s="400"/>
      <c r="T230" s="401"/>
      <c r="U230" s="199"/>
      <c r="V230" s="220"/>
      <c r="W230" s="400"/>
      <c r="X230" s="401"/>
      <c r="Y230" s="199"/>
      <c r="Z230" s="220"/>
      <c r="AA230" s="400"/>
      <c r="AB230" s="401"/>
      <c r="AC230" s="199"/>
      <c r="AD230" s="220"/>
      <c r="AE230" s="400"/>
      <c r="AF230" s="401"/>
      <c r="AG230" s="199"/>
      <c r="AH230" s="220"/>
      <c r="AI230" s="400"/>
      <c r="AJ230" s="401"/>
      <c r="AK230" s="397"/>
      <c r="AL230" s="397"/>
      <c r="AM230" s="397"/>
    </row>
    <row r="231">
      <c r="A231" s="316"/>
      <c r="B231" s="317"/>
      <c r="C231" s="318"/>
      <c r="D231" s="397"/>
      <c r="E231" s="316"/>
      <c r="F231" s="317"/>
      <c r="G231" s="318"/>
      <c r="H231" s="397"/>
      <c r="I231" s="316"/>
      <c r="J231" s="317"/>
      <c r="K231" s="318"/>
      <c r="L231" s="397"/>
      <c r="M231" s="316"/>
      <c r="N231" s="317"/>
      <c r="O231" s="318"/>
      <c r="P231" s="397"/>
      <c r="Q231" s="199"/>
      <c r="R231" s="220"/>
      <c r="S231" s="400"/>
      <c r="T231" s="401"/>
      <c r="U231" s="199"/>
      <c r="V231" s="220"/>
      <c r="W231" s="400"/>
      <c r="X231" s="401"/>
      <c r="Y231" s="199"/>
      <c r="Z231" s="220"/>
      <c r="AA231" s="400"/>
      <c r="AB231" s="401"/>
      <c r="AC231" s="199"/>
      <c r="AD231" s="220"/>
      <c r="AE231" s="400"/>
      <c r="AF231" s="401"/>
      <c r="AG231" s="199"/>
      <c r="AH231" s="220"/>
      <c r="AI231" s="400"/>
      <c r="AJ231" s="401"/>
      <c r="AK231" s="397"/>
      <c r="AL231" s="397"/>
      <c r="AM231" s="397"/>
    </row>
    <row r="232">
      <c r="A232" s="316"/>
      <c r="B232" s="317"/>
      <c r="C232" s="318"/>
      <c r="D232" s="397"/>
      <c r="E232" s="316"/>
      <c r="F232" s="317"/>
      <c r="G232" s="318"/>
      <c r="H232" s="397"/>
      <c r="I232" s="316"/>
      <c r="J232" s="317"/>
      <c r="K232" s="318"/>
      <c r="L232" s="397"/>
      <c r="M232" s="316"/>
      <c r="N232" s="317"/>
      <c r="O232" s="318"/>
      <c r="P232" s="397"/>
      <c r="Q232" s="199"/>
      <c r="R232" s="220"/>
      <c r="S232" s="400"/>
      <c r="T232" s="401"/>
      <c r="U232" s="199"/>
      <c r="V232" s="220"/>
      <c r="W232" s="400"/>
      <c r="X232" s="401"/>
      <c r="Y232" s="199"/>
      <c r="Z232" s="220"/>
      <c r="AA232" s="400"/>
      <c r="AB232" s="401"/>
      <c r="AC232" s="199"/>
      <c r="AD232" s="220"/>
      <c r="AE232" s="400"/>
      <c r="AF232" s="401"/>
      <c r="AG232" s="199"/>
      <c r="AH232" s="220"/>
      <c r="AI232" s="400"/>
      <c r="AJ232" s="401"/>
      <c r="AK232" s="397"/>
      <c r="AL232" s="397"/>
      <c r="AM232" s="397"/>
    </row>
    <row r="233">
      <c r="A233" s="316"/>
      <c r="B233" s="317"/>
      <c r="C233" s="318"/>
      <c r="D233" s="397"/>
      <c r="E233" s="316"/>
      <c r="F233" s="317"/>
      <c r="G233" s="318"/>
      <c r="H233" s="397"/>
      <c r="I233" s="316"/>
      <c r="J233" s="317"/>
      <c r="K233" s="318"/>
      <c r="L233" s="397"/>
      <c r="M233" s="316"/>
      <c r="N233" s="317"/>
      <c r="O233" s="318"/>
      <c r="P233" s="397"/>
      <c r="Q233" s="199"/>
      <c r="R233" s="220"/>
      <c r="S233" s="400"/>
      <c r="T233" s="401"/>
      <c r="U233" s="199"/>
      <c r="V233" s="220"/>
      <c r="W233" s="400"/>
      <c r="X233" s="401"/>
      <c r="Y233" s="199"/>
      <c r="Z233" s="220"/>
      <c r="AA233" s="400"/>
      <c r="AB233" s="401"/>
      <c r="AC233" s="199"/>
      <c r="AD233" s="220"/>
      <c r="AE233" s="400"/>
      <c r="AF233" s="401"/>
      <c r="AG233" s="199"/>
      <c r="AH233" s="220"/>
      <c r="AI233" s="400"/>
      <c r="AJ233" s="401"/>
      <c r="AK233" s="397"/>
      <c r="AL233" s="397"/>
      <c r="AM233" s="397"/>
    </row>
    <row r="234">
      <c r="A234" s="316"/>
      <c r="B234" s="317"/>
      <c r="C234" s="318"/>
      <c r="D234" s="397"/>
      <c r="E234" s="316"/>
      <c r="F234" s="317"/>
      <c r="G234" s="318"/>
      <c r="H234" s="397"/>
      <c r="I234" s="316"/>
      <c r="J234" s="317"/>
      <c r="K234" s="318"/>
      <c r="L234" s="397"/>
      <c r="M234" s="316"/>
      <c r="N234" s="317"/>
      <c r="O234" s="318"/>
      <c r="P234" s="397"/>
      <c r="Q234" s="199"/>
      <c r="R234" s="220"/>
      <c r="S234" s="400"/>
      <c r="T234" s="401"/>
      <c r="U234" s="199"/>
      <c r="V234" s="220"/>
      <c r="W234" s="400"/>
      <c r="X234" s="401"/>
      <c r="Y234" s="199"/>
      <c r="Z234" s="220"/>
      <c r="AA234" s="400"/>
      <c r="AB234" s="401"/>
      <c r="AC234" s="199"/>
      <c r="AD234" s="220"/>
      <c r="AE234" s="400"/>
      <c r="AF234" s="401"/>
      <c r="AG234" s="199"/>
      <c r="AH234" s="220"/>
      <c r="AI234" s="400"/>
      <c r="AJ234" s="401"/>
      <c r="AK234" s="397"/>
      <c r="AL234" s="397"/>
      <c r="AM234" s="397"/>
    </row>
    <row r="235">
      <c r="A235" s="316"/>
      <c r="B235" s="317"/>
      <c r="C235" s="318"/>
      <c r="D235" s="397"/>
      <c r="E235" s="316"/>
      <c r="F235" s="317"/>
      <c r="G235" s="318"/>
      <c r="H235" s="397"/>
      <c r="I235" s="316"/>
      <c r="J235" s="317"/>
      <c r="K235" s="318"/>
      <c r="L235" s="397"/>
      <c r="M235" s="316"/>
      <c r="N235" s="317"/>
      <c r="O235" s="318"/>
      <c r="P235" s="397"/>
      <c r="Q235" s="199"/>
      <c r="R235" s="220"/>
      <c r="S235" s="400"/>
      <c r="T235" s="401"/>
      <c r="U235" s="199"/>
      <c r="V235" s="220"/>
      <c r="W235" s="400"/>
      <c r="X235" s="401"/>
      <c r="Y235" s="199"/>
      <c r="Z235" s="220"/>
      <c r="AA235" s="400"/>
      <c r="AB235" s="401"/>
      <c r="AC235" s="199"/>
      <c r="AD235" s="220"/>
      <c r="AE235" s="400"/>
      <c r="AF235" s="401"/>
      <c r="AG235" s="199"/>
      <c r="AH235" s="220"/>
      <c r="AI235" s="400"/>
      <c r="AJ235" s="401"/>
      <c r="AK235" s="397"/>
      <c r="AL235" s="397"/>
      <c r="AM235" s="397"/>
    </row>
    <row r="236">
      <c r="A236" s="316"/>
      <c r="B236" s="317"/>
      <c r="C236" s="318"/>
      <c r="D236" s="397"/>
      <c r="E236" s="316"/>
      <c r="F236" s="317"/>
      <c r="G236" s="318"/>
      <c r="H236" s="397"/>
      <c r="I236" s="316"/>
      <c r="J236" s="317"/>
      <c r="K236" s="318"/>
      <c r="L236" s="397"/>
      <c r="M236" s="316"/>
      <c r="N236" s="317"/>
      <c r="O236" s="318"/>
      <c r="P236" s="397"/>
      <c r="Q236" s="199"/>
      <c r="R236" s="220"/>
      <c r="S236" s="400"/>
      <c r="T236" s="401"/>
      <c r="U236" s="199"/>
      <c r="V236" s="220"/>
      <c r="W236" s="400"/>
      <c r="X236" s="401"/>
      <c r="Y236" s="199"/>
      <c r="Z236" s="220"/>
      <c r="AA236" s="400"/>
      <c r="AB236" s="401"/>
      <c r="AC236" s="199"/>
      <c r="AD236" s="220"/>
      <c r="AE236" s="400"/>
      <c r="AF236" s="401"/>
      <c r="AG236" s="199"/>
      <c r="AH236" s="220"/>
      <c r="AI236" s="400"/>
      <c r="AJ236" s="401"/>
      <c r="AK236" s="397"/>
      <c r="AL236" s="397"/>
      <c r="AM236" s="397"/>
    </row>
    <row r="237">
      <c r="A237" s="316"/>
      <c r="B237" s="317"/>
      <c r="C237" s="318"/>
      <c r="D237" s="397"/>
      <c r="E237" s="316"/>
      <c r="F237" s="317"/>
      <c r="G237" s="318"/>
      <c r="H237" s="397"/>
      <c r="I237" s="316"/>
      <c r="J237" s="317"/>
      <c r="K237" s="318"/>
      <c r="L237" s="397"/>
      <c r="M237" s="316"/>
      <c r="N237" s="317"/>
      <c r="O237" s="318"/>
      <c r="P237" s="397"/>
      <c r="Q237" s="199"/>
      <c r="R237" s="220"/>
      <c r="S237" s="400"/>
      <c r="T237" s="401"/>
      <c r="U237" s="199"/>
      <c r="V237" s="220"/>
      <c r="W237" s="400"/>
      <c r="X237" s="401"/>
      <c r="Y237" s="199"/>
      <c r="Z237" s="220"/>
      <c r="AA237" s="400"/>
      <c r="AB237" s="401"/>
      <c r="AC237" s="199"/>
      <c r="AD237" s="220"/>
      <c r="AE237" s="400"/>
      <c r="AF237" s="401"/>
      <c r="AG237" s="199"/>
      <c r="AH237" s="220"/>
      <c r="AI237" s="400"/>
      <c r="AJ237" s="401"/>
      <c r="AK237" s="397"/>
      <c r="AL237" s="397"/>
      <c r="AM237" s="397"/>
    </row>
    <row r="238">
      <c r="A238" s="316"/>
      <c r="B238" s="317"/>
      <c r="C238" s="318"/>
      <c r="D238" s="397"/>
      <c r="E238" s="316"/>
      <c r="F238" s="317"/>
      <c r="G238" s="318"/>
      <c r="H238" s="397"/>
      <c r="I238" s="316"/>
      <c r="J238" s="317"/>
      <c r="K238" s="318"/>
      <c r="L238" s="397"/>
      <c r="M238" s="316"/>
      <c r="N238" s="317"/>
      <c r="O238" s="318"/>
      <c r="P238" s="397"/>
      <c r="Q238" s="199"/>
      <c r="R238" s="220"/>
      <c r="S238" s="400"/>
      <c r="T238" s="401"/>
      <c r="U238" s="199"/>
      <c r="V238" s="220"/>
      <c r="W238" s="400"/>
      <c r="X238" s="401"/>
      <c r="Y238" s="199"/>
      <c r="Z238" s="220"/>
      <c r="AA238" s="400"/>
      <c r="AB238" s="401"/>
      <c r="AC238" s="199"/>
      <c r="AD238" s="220"/>
      <c r="AE238" s="400"/>
      <c r="AF238" s="401"/>
      <c r="AG238" s="199"/>
      <c r="AH238" s="220"/>
      <c r="AI238" s="400"/>
      <c r="AJ238" s="401"/>
      <c r="AK238" s="397"/>
      <c r="AL238" s="397"/>
      <c r="AM238" s="397"/>
    </row>
    <row r="239">
      <c r="A239" s="316"/>
      <c r="B239" s="317"/>
      <c r="C239" s="318"/>
      <c r="D239" s="397"/>
      <c r="E239" s="316"/>
      <c r="F239" s="317"/>
      <c r="G239" s="318"/>
      <c r="H239" s="397"/>
      <c r="I239" s="316"/>
      <c r="J239" s="317"/>
      <c r="K239" s="318"/>
      <c r="L239" s="397"/>
      <c r="M239" s="316"/>
      <c r="N239" s="317"/>
      <c r="O239" s="318"/>
      <c r="P239" s="397"/>
      <c r="Q239" s="199"/>
      <c r="R239" s="220"/>
      <c r="S239" s="400"/>
      <c r="T239" s="401"/>
      <c r="U239" s="199"/>
      <c r="V239" s="220"/>
      <c r="W239" s="400"/>
      <c r="X239" s="401"/>
      <c r="Y239" s="199"/>
      <c r="Z239" s="220"/>
      <c r="AA239" s="400"/>
      <c r="AB239" s="401"/>
      <c r="AC239" s="199"/>
      <c r="AD239" s="220"/>
      <c r="AE239" s="400"/>
      <c r="AF239" s="401"/>
      <c r="AG239" s="199"/>
      <c r="AH239" s="220"/>
      <c r="AI239" s="400"/>
      <c r="AJ239" s="401"/>
      <c r="AK239" s="397"/>
      <c r="AL239" s="397"/>
      <c r="AM239" s="397"/>
    </row>
    <row r="240">
      <c r="A240" s="316"/>
      <c r="B240" s="317"/>
      <c r="C240" s="318"/>
      <c r="D240" s="397"/>
      <c r="E240" s="316"/>
      <c r="F240" s="317"/>
      <c r="G240" s="318"/>
      <c r="H240" s="397"/>
      <c r="I240" s="316"/>
      <c r="J240" s="317"/>
      <c r="K240" s="318"/>
      <c r="L240" s="397"/>
      <c r="M240" s="316"/>
      <c r="N240" s="317"/>
      <c r="O240" s="318"/>
      <c r="P240" s="397"/>
      <c r="Q240" s="199"/>
      <c r="R240" s="220"/>
      <c r="S240" s="400"/>
      <c r="T240" s="401"/>
      <c r="U240" s="199"/>
      <c r="V240" s="220"/>
      <c r="W240" s="400"/>
      <c r="X240" s="401"/>
      <c r="Y240" s="199"/>
      <c r="Z240" s="220"/>
      <c r="AA240" s="400"/>
      <c r="AB240" s="401"/>
      <c r="AC240" s="199"/>
      <c r="AD240" s="220"/>
      <c r="AE240" s="400"/>
      <c r="AF240" s="401"/>
      <c r="AG240" s="199"/>
      <c r="AH240" s="220"/>
      <c r="AI240" s="400"/>
      <c r="AJ240" s="401"/>
      <c r="AK240" s="397"/>
      <c r="AL240" s="397"/>
      <c r="AM240" s="397"/>
    </row>
    <row r="241">
      <c r="A241" s="316"/>
      <c r="B241" s="317"/>
      <c r="C241" s="318"/>
      <c r="D241" s="397"/>
      <c r="E241" s="316"/>
      <c r="F241" s="317"/>
      <c r="G241" s="318"/>
      <c r="H241" s="397"/>
      <c r="I241" s="316"/>
      <c r="J241" s="317"/>
      <c r="K241" s="318"/>
      <c r="L241" s="397"/>
      <c r="M241" s="316"/>
      <c r="N241" s="317"/>
      <c r="O241" s="318"/>
      <c r="P241" s="397"/>
      <c r="Q241" s="199"/>
      <c r="R241" s="220"/>
      <c r="S241" s="400"/>
      <c r="T241" s="401"/>
      <c r="U241" s="199"/>
      <c r="V241" s="220"/>
      <c r="W241" s="400"/>
      <c r="X241" s="401"/>
      <c r="Y241" s="199"/>
      <c r="Z241" s="220"/>
      <c r="AA241" s="400"/>
      <c r="AB241" s="401"/>
      <c r="AC241" s="199"/>
      <c r="AD241" s="220"/>
      <c r="AE241" s="400"/>
      <c r="AF241" s="401"/>
      <c r="AG241" s="199"/>
      <c r="AH241" s="220"/>
      <c r="AI241" s="400"/>
      <c r="AJ241" s="401"/>
      <c r="AK241" s="397"/>
      <c r="AL241" s="397"/>
      <c r="AM241" s="397"/>
    </row>
    <row r="242">
      <c r="A242" s="316"/>
      <c r="B242" s="317"/>
      <c r="C242" s="318"/>
      <c r="D242" s="397"/>
      <c r="E242" s="316"/>
      <c r="F242" s="317"/>
      <c r="G242" s="318"/>
      <c r="H242" s="397"/>
      <c r="I242" s="316"/>
      <c r="J242" s="317"/>
      <c r="K242" s="318"/>
      <c r="L242" s="397"/>
      <c r="M242" s="316"/>
      <c r="N242" s="317"/>
      <c r="O242" s="318"/>
      <c r="P242" s="397"/>
      <c r="Q242" s="199"/>
      <c r="R242" s="220"/>
      <c r="S242" s="400"/>
      <c r="T242" s="401"/>
      <c r="U242" s="199"/>
      <c r="V242" s="220"/>
      <c r="W242" s="400"/>
      <c r="X242" s="401"/>
      <c r="Y242" s="199"/>
      <c r="Z242" s="220"/>
      <c r="AA242" s="400"/>
      <c r="AB242" s="401"/>
      <c r="AC242" s="199"/>
      <c r="AD242" s="220"/>
      <c r="AE242" s="400"/>
      <c r="AF242" s="401"/>
      <c r="AG242" s="199"/>
      <c r="AH242" s="220"/>
      <c r="AI242" s="400"/>
      <c r="AJ242" s="401"/>
      <c r="AK242" s="397"/>
      <c r="AL242" s="397"/>
      <c r="AM242" s="397"/>
    </row>
    <row r="243">
      <c r="A243" s="316"/>
      <c r="B243" s="317"/>
      <c r="C243" s="318"/>
      <c r="D243" s="397"/>
      <c r="E243" s="316"/>
      <c r="F243" s="317"/>
      <c r="G243" s="318"/>
      <c r="H243" s="397"/>
      <c r="I243" s="316"/>
      <c r="J243" s="317"/>
      <c r="K243" s="318"/>
      <c r="L243" s="397"/>
      <c r="M243" s="316"/>
      <c r="N243" s="317"/>
      <c r="O243" s="318"/>
      <c r="P243" s="397"/>
      <c r="Q243" s="199"/>
      <c r="R243" s="220"/>
      <c r="S243" s="400"/>
      <c r="T243" s="401"/>
      <c r="U243" s="199"/>
      <c r="V243" s="220"/>
      <c r="W243" s="400"/>
      <c r="X243" s="401"/>
      <c r="Y243" s="199"/>
      <c r="Z243" s="220"/>
      <c r="AA243" s="400"/>
      <c r="AB243" s="401"/>
      <c r="AC243" s="199"/>
      <c r="AD243" s="220"/>
      <c r="AE243" s="400"/>
      <c r="AF243" s="401"/>
      <c r="AG243" s="199"/>
      <c r="AH243" s="220"/>
      <c r="AI243" s="400"/>
      <c r="AJ243" s="401"/>
      <c r="AK243" s="397"/>
      <c r="AL243" s="397"/>
      <c r="AM243" s="397"/>
    </row>
    <row r="244">
      <c r="A244" s="316"/>
      <c r="B244" s="317"/>
      <c r="C244" s="318"/>
      <c r="D244" s="397"/>
      <c r="E244" s="316"/>
      <c r="F244" s="317"/>
      <c r="G244" s="318"/>
      <c r="H244" s="397"/>
      <c r="I244" s="316"/>
      <c r="J244" s="317"/>
      <c r="K244" s="318"/>
      <c r="L244" s="397"/>
      <c r="M244" s="316"/>
      <c r="N244" s="317"/>
      <c r="O244" s="318"/>
      <c r="P244" s="397"/>
      <c r="Q244" s="199"/>
      <c r="R244" s="220"/>
      <c r="S244" s="400"/>
      <c r="T244" s="401"/>
      <c r="U244" s="199"/>
      <c r="V244" s="220"/>
      <c r="W244" s="400"/>
      <c r="X244" s="401"/>
      <c r="Y244" s="199"/>
      <c r="Z244" s="220"/>
      <c r="AA244" s="400"/>
      <c r="AB244" s="401"/>
      <c r="AC244" s="199"/>
      <c r="AD244" s="220"/>
      <c r="AE244" s="400"/>
      <c r="AF244" s="401"/>
      <c r="AG244" s="199"/>
      <c r="AH244" s="220"/>
      <c r="AI244" s="400"/>
      <c r="AJ244" s="401"/>
      <c r="AK244" s="397"/>
      <c r="AL244" s="397"/>
      <c r="AM244" s="397"/>
    </row>
    <row r="245">
      <c r="A245" s="316"/>
      <c r="B245" s="317"/>
      <c r="C245" s="318"/>
      <c r="D245" s="397"/>
      <c r="E245" s="316"/>
      <c r="F245" s="317"/>
      <c r="G245" s="318"/>
      <c r="H245" s="397"/>
      <c r="I245" s="316"/>
      <c r="J245" s="317"/>
      <c r="K245" s="318"/>
      <c r="L245" s="397"/>
      <c r="M245" s="316"/>
      <c r="N245" s="317"/>
      <c r="O245" s="318"/>
      <c r="P245" s="397"/>
      <c r="Q245" s="199"/>
      <c r="R245" s="220"/>
      <c r="S245" s="400"/>
      <c r="T245" s="401"/>
      <c r="U245" s="199"/>
      <c r="V245" s="220"/>
      <c r="W245" s="400"/>
      <c r="X245" s="401"/>
      <c r="Y245" s="199"/>
      <c r="Z245" s="220"/>
      <c r="AA245" s="400"/>
      <c r="AB245" s="401"/>
      <c r="AC245" s="199"/>
      <c r="AD245" s="220"/>
      <c r="AE245" s="400"/>
      <c r="AF245" s="401"/>
      <c r="AG245" s="199"/>
      <c r="AH245" s="220"/>
      <c r="AI245" s="400"/>
      <c r="AJ245" s="401"/>
      <c r="AK245" s="397"/>
      <c r="AL245" s="397"/>
      <c r="AM245" s="397"/>
    </row>
    <row r="246">
      <c r="A246" s="316"/>
      <c r="B246" s="317"/>
      <c r="C246" s="318"/>
      <c r="D246" s="397"/>
      <c r="E246" s="316"/>
      <c r="F246" s="317"/>
      <c r="G246" s="318"/>
      <c r="H246" s="397"/>
      <c r="I246" s="316"/>
      <c r="J246" s="317"/>
      <c r="K246" s="318"/>
      <c r="L246" s="397"/>
      <c r="M246" s="316"/>
      <c r="N246" s="317"/>
      <c r="O246" s="318"/>
      <c r="P246" s="397"/>
      <c r="Q246" s="199"/>
      <c r="R246" s="220"/>
      <c r="S246" s="400"/>
      <c r="T246" s="401"/>
      <c r="U246" s="199"/>
      <c r="V246" s="220"/>
      <c r="W246" s="400"/>
      <c r="X246" s="401"/>
      <c r="Y246" s="199"/>
      <c r="Z246" s="220"/>
      <c r="AA246" s="400"/>
      <c r="AB246" s="401"/>
      <c r="AC246" s="199"/>
      <c r="AD246" s="220"/>
      <c r="AE246" s="400"/>
      <c r="AF246" s="401"/>
      <c r="AG246" s="199"/>
      <c r="AH246" s="220"/>
      <c r="AI246" s="400"/>
      <c r="AJ246" s="401"/>
      <c r="AK246" s="397"/>
      <c r="AL246" s="397"/>
      <c r="AM246" s="397"/>
    </row>
    <row r="247">
      <c r="A247" s="316"/>
      <c r="B247" s="317"/>
      <c r="C247" s="318"/>
      <c r="D247" s="397"/>
      <c r="E247" s="316"/>
      <c r="F247" s="317"/>
      <c r="G247" s="318"/>
      <c r="H247" s="397"/>
      <c r="I247" s="316"/>
      <c r="J247" s="317"/>
      <c r="K247" s="318"/>
      <c r="L247" s="397"/>
      <c r="M247" s="316"/>
      <c r="N247" s="317"/>
      <c r="O247" s="318"/>
      <c r="P247" s="397"/>
      <c r="Q247" s="199"/>
      <c r="R247" s="220"/>
      <c r="S247" s="400"/>
      <c r="T247" s="401"/>
      <c r="U247" s="199"/>
      <c r="V247" s="220"/>
      <c r="W247" s="400"/>
      <c r="X247" s="401"/>
      <c r="Y247" s="199"/>
      <c r="Z247" s="220"/>
      <c r="AA247" s="400"/>
      <c r="AB247" s="401"/>
      <c r="AC247" s="199"/>
      <c r="AD247" s="220"/>
      <c r="AE247" s="400"/>
      <c r="AF247" s="401"/>
      <c r="AG247" s="199"/>
      <c r="AH247" s="220"/>
      <c r="AI247" s="400"/>
      <c r="AJ247" s="401"/>
      <c r="AK247" s="397"/>
      <c r="AL247" s="397"/>
      <c r="AM247" s="397"/>
    </row>
    <row r="248">
      <c r="A248" s="316"/>
      <c r="B248" s="317"/>
      <c r="C248" s="318"/>
      <c r="D248" s="397"/>
      <c r="E248" s="316"/>
      <c r="F248" s="317"/>
      <c r="G248" s="318"/>
      <c r="H248" s="397"/>
      <c r="I248" s="316"/>
      <c r="J248" s="317"/>
      <c r="K248" s="318"/>
      <c r="L248" s="397"/>
      <c r="M248" s="316"/>
      <c r="N248" s="317"/>
      <c r="O248" s="318"/>
      <c r="P248" s="397"/>
      <c r="Q248" s="199"/>
      <c r="R248" s="220"/>
      <c r="S248" s="400"/>
      <c r="T248" s="401"/>
      <c r="U248" s="199"/>
      <c r="V248" s="220"/>
      <c r="W248" s="400"/>
      <c r="X248" s="401"/>
      <c r="Y248" s="199"/>
      <c r="Z248" s="220"/>
      <c r="AA248" s="400"/>
      <c r="AB248" s="401"/>
      <c r="AC248" s="199"/>
      <c r="AD248" s="220"/>
      <c r="AE248" s="400"/>
      <c r="AF248" s="401"/>
      <c r="AG248" s="199"/>
      <c r="AH248" s="220"/>
      <c r="AI248" s="400"/>
      <c r="AJ248" s="401"/>
      <c r="AK248" s="397"/>
      <c r="AL248" s="397"/>
      <c r="AM248" s="397"/>
    </row>
    <row r="249">
      <c r="A249" s="316"/>
      <c r="B249" s="317"/>
      <c r="C249" s="318"/>
      <c r="D249" s="397"/>
      <c r="E249" s="316"/>
      <c r="F249" s="317"/>
      <c r="G249" s="318"/>
      <c r="H249" s="397"/>
      <c r="I249" s="316"/>
      <c r="J249" s="317"/>
      <c r="K249" s="318"/>
      <c r="L249" s="397"/>
      <c r="M249" s="316"/>
      <c r="N249" s="317"/>
      <c r="O249" s="318"/>
      <c r="P249" s="397"/>
      <c r="Q249" s="199"/>
      <c r="R249" s="220"/>
      <c r="S249" s="400"/>
      <c r="T249" s="401"/>
      <c r="U249" s="199"/>
      <c r="V249" s="220"/>
      <c r="W249" s="400"/>
      <c r="X249" s="401"/>
      <c r="Y249" s="199"/>
      <c r="Z249" s="220"/>
      <c r="AA249" s="400"/>
      <c r="AB249" s="401"/>
      <c r="AC249" s="199"/>
      <c r="AD249" s="220"/>
      <c r="AE249" s="400"/>
      <c r="AF249" s="401"/>
      <c r="AG249" s="199"/>
      <c r="AH249" s="220"/>
      <c r="AI249" s="400"/>
      <c r="AJ249" s="401"/>
      <c r="AK249" s="397"/>
      <c r="AL249" s="397"/>
      <c r="AM249" s="397"/>
    </row>
    <row r="250">
      <c r="A250" s="316"/>
      <c r="B250" s="317"/>
      <c r="C250" s="318"/>
      <c r="D250" s="397"/>
      <c r="E250" s="316"/>
      <c r="F250" s="317"/>
      <c r="G250" s="318"/>
      <c r="H250" s="397"/>
      <c r="I250" s="316"/>
      <c r="J250" s="317"/>
      <c r="K250" s="318"/>
      <c r="L250" s="397"/>
      <c r="M250" s="316"/>
      <c r="N250" s="317"/>
      <c r="O250" s="318"/>
      <c r="P250" s="397"/>
      <c r="Q250" s="199"/>
      <c r="R250" s="220"/>
      <c r="S250" s="400"/>
      <c r="T250" s="401"/>
      <c r="U250" s="199"/>
      <c r="V250" s="220"/>
      <c r="W250" s="400"/>
      <c r="X250" s="401"/>
      <c r="Y250" s="199"/>
      <c r="Z250" s="220"/>
      <c r="AA250" s="400"/>
      <c r="AB250" s="401"/>
      <c r="AC250" s="199"/>
      <c r="AD250" s="220"/>
      <c r="AE250" s="400"/>
      <c r="AF250" s="401"/>
      <c r="AG250" s="199"/>
      <c r="AH250" s="220"/>
      <c r="AI250" s="400"/>
      <c r="AJ250" s="401"/>
      <c r="AK250" s="397"/>
      <c r="AL250" s="397"/>
      <c r="AM250" s="397"/>
    </row>
    <row r="251">
      <c r="A251" s="316"/>
      <c r="B251" s="317"/>
      <c r="C251" s="318"/>
      <c r="D251" s="397"/>
      <c r="E251" s="316"/>
      <c r="F251" s="317"/>
      <c r="G251" s="318"/>
      <c r="H251" s="397"/>
      <c r="I251" s="316"/>
      <c r="J251" s="317"/>
      <c r="K251" s="318"/>
      <c r="L251" s="397"/>
      <c r="M251" s="316"/>
      <c r="N251" s="317"/>
      <c r="O251" s="318"/>
      <c r="P251" s="397"/>
      <c r="Q251" s="199"/>
      <c r="R251" s="220"/>
      <c r="S251" s="400"/>
      <c r="T251" s="401"/>
      <c r="U251" s="199"/>
      <c r="V251" s="220"/>
      <c r="W251" s="400"/>
      <c r="X251" s="401"/>
      <c r="Y251" s="199"/>
      <c r="Z251" s="220"/>
      <c r="AA251" s="400"/>
      <c r="AB251" s="401"/>
      <c r="AC251" s="199"/>
      <c r="AD251" s="220"/>
      <c r="AE251" s="400"/>
      <c r="AF251" s="401"/>
      <c r="AG251" s="199"/>
      <c r="AH251" s="220"/>
      <c r="AI251" s="400"/>
      <c r="AJ251" s="401"/>
      <c r="AK251" s="397"/>
      <c r="AL251" s="397"/>
      <c r="AM251" s="397"/>
    </row>
    <row r="252">
      <c r="A252" s="316"/>
      <c r="B252" s="317"/>
      <c r="C252" s="318"/>
      <c r="D252" s="397"/>
      <c r="E252" s="316"/>
      <c r="F252" s="317"/>
      <c r="G252" s="318"/>
      <c r="H252" s="397"/>
      <c r="I252" s="316"/>
      <c r="J252" s="317"/>
      <c r="K252" s="318"/>
      <c r="L252" s="397"/>
      <c r="M252" s="316"/>
      <c r="N252" s="317"/>
      <c r="O252" s="318"/>
      <c r="P252" s="397"/>
      <c r="Q252" s="199"/>
      <c r="R252" s="220"/>
      <c r="S252" s="400"/>
      <c r="T252" s="401"/>
      <c r="U252" s="199"/>
      <c r="V252" s="220"/>
      <c r="W252" s="400"/>
      <c r="X252" s="401"/>
      <c r="Y252" s="199"/>
      <c r="Z252" s="220"/>
      <c r="AA252" s="400"/>
      <c r="AB252" s="401"/>
      <c r="AC252" s="199"/>
      <c r="AD252" s="220"/>
      <c r="AE252" s="400"/>
      <c r="AF252" s="401"/>
      <c r="AG252" s="199"/>
      <c r="AH252" s="220"/>
      <c r="AI252" s="400"/>
      <c r="AJ252" s="401"/>
      <c r="AK252" s="397"/>
      <c r="AL252" s="397"/>
      <c r="AM252" s="397"/>
    </row>
    <row r="253">
      <c r="A253" s="316"/>
      <c r="B253" s="317"/>
      <c r="C253" s="318"/>
      <c r="D253" s="397"/>
      <c r="E253" s="316"/>
      <c r="F253" s="317"/>
      <c r="G253" s="318"/>
      <c r="H253" s="397"/>
      <c r="I253" s="316"/>
      <c r="J253" s="317"/>
      <c r="K253" s="318"/>
      <c r="L253" s="397"/>
      <c r="M253" s="316"/>
      <c r="N253" s="317"/>
      <c r="O253" s="318"/>
      <c r="P253" s="397"/>
      <c r="Q253" s="199"/>
      <c r="R253" s="220"/>
      <c r="S253" s="400"/>
      <c r="T253" s="401"/>
      <c r="U253" s="199"/>
      <c r="V253" s="220"/>
      <c r="W253" s="400"/>
      <c r="X253" s="401"/>
      <c r="Y253" s="199"/>
      <c r="Z253" s="220"/>
      <c r="AA253" s="400"/>
      <c r="AB253" s="401"/>
      <c r="AC253" s="199"/>
      <c r="AD253" s="220"/>
      <c r="AE253" s="400"/>
      <c r="AF253" s="401"/>
      <c r="AG253" s="199"/>
      <c r="AH253" s="220"/>
      <c r="AI253" s="400"/>
      <c r="AJ253" s="401"/>
      <c r="AK253" s="397"/>
      <c r="AL253" s="397"/>
      <c r="AM253" s="397"/>
    </row>
    <row r="254">
      <c r="A254" s="316"/>
      <c r="B254" s="317"/>
      <c r="C254" s="318"/>
      <c r="D254" s="397"/>
      <c r="E254" s="316"/>
      <c r="F254" s="317"/>
      <c r="G254" s="318"/>
      <c r="H254" s="397"/>
      <c r="I254" s="316"/>
      <c r="J254" s="317"/>
      <c r="K254" s="318"/>
      <c r="L254" s="397"/>
      <c r="M254" s="316"/>
      <c r="N254" s="317"/>
      <c r="O254" s="318"/>
      <c r="P254" s="397"/>
      <c r="Q254" s="199"/>
      <c r="R254" s="220"/>
      <c r="S254" s="400"/>
      <c r="T254" s="401"/>
      <c r="U254" s="199"/>
      <c r="V254" s="220"/>
      <c r="W254" s="400"/>
      <c r="X254" s="401"/>
      <c r="Y254" s="199"/>
      <c r="Z254" s="220"/>
      <c r="AA254" s="400"/>
      <c r="AB254" s="401"/>
      <c r="AC254" s="199"/>
      <c r="AD254" s="220"/>
      <c r="AE254" s="400"/>
      <c r="AF254" s="401"/>
      <c r="AG254" s="199"/>
      <c r="AH254" s="220"/>
      <c r="AI254" s="400"/>
      <c r="AJ254" s="401"/>
      <c r="AK254" s="397"/>
      <c r="AL254" s="397"/>
      <c r="AM254" s="397"/>
    </row>
    <row r="255">
      <c r="A255" s="316"/>
      <c r="B255" s="317"/>
      <c r="C255" s="318"/>
      <c r="D255" s="397"/>
      <c r="E255" s="316"/>
      <c r="F255" s="317"/>
      <c r="G255" s="318"/>
      <c r="H255" s="397"/>
      <c r="I255" s="316"/>
      <c r="J255" s="317"/>
      <c r="K255" s="318"/>
      <c r="L255" s="397"/>
      <c r="M255" s="316"/>
      <c r="N255" s="317"/>
      <c r="O255" s="318"/>
      <c r="P255" s="397"/>
      <c r="Q255" s="199"/>
      <c r="R255" s="220"/>
      <c r="S255" s="400"/>
      <c r="T255" s="401"/>
      <c r="U255" s="199"/>
      <c r="V255" s="220"/>
      <c r="W255" s="400"/>
      <c r="X255" s="401"/>
      <c r="Y255" s="199"/>
      <c r="Z255" s="220"/>
      <c r="AA255" s="400"/>
      <c r="AB255" s="401"/>
      <c r="AC255" s="199"/>
      <c r="AD255" s="220"/>
      <c r="AE255" s="400"/>
      <c r="AF255" s="401"/>
      <c r="AG255" s="199"/>
      <c r="AH255" s="220"/>
      <c r="AI255" s="400"/>
      <c r="AJ255" s="401"/>
      <c r="AK255" s="397"/>
      <c r="AL255" s="397"/>
      <c r="AM255" s="397"/>
    </row>
    <row r="256">
      <c r="A256" s="316"/>
      <c r="B256" s="317"/>
      <c r="C256" s="318"/>
      <c r="D256" s="397"/>
      <c r="E256" s="316"/>
      <c r="F256" s="317"/>
      <c r="G256" s="318"/>
      <c r="H256" s="397"/>
      <c r="I256" s="316"/>
      <c r="J256" s="317"/>
      <c r="K256" s="318"/>
      <c r="L256" s="397"/>
      <c r="M256" s="316"/>
      <c r="N256" s="317"/>
      <c r="O256" s="318"/>
      <c r="P256" s="397"/>
      <c r="Q256" s="199"/>
      <c r="R256" s="220"/>
      <c r="S256" s="400"/>
      <c r="T256" s="401"/>
      <c r="U256" s="199"/>
      <c r="V256" s="220"/>
      <c r="W256" s="400"/>
      <c r="X256" s="401"/>
      <c r="Y256" s="199"/>
      <c r="Z256" s="220"/>
      <c r="AA256" s="400"/>
      <c r="AB256" s="401"/>
      <c r="AC256" s="199"/>
      <c r="AD256" s="220"/>
      <c r="AE256" s="400"/>
      <c r="AF256" s="401"/>
      <c r="AG256" s="199"/>
      <c r="AH256" s="220"/>
      <c r="AI256" s="400"/>
      <c r="AJ256" s="401"/>
      <c r="AK256" s="397"/>
      <c r="AL256" s="397"/>
      <c r="AM256" s="397"/>
    </row>
    <row r="257">
      <c r="A257" s="316"/>
      <c r="B257" s="317"/>
      <c r="C257" s="318"/>
      <c r="D257" s="397"/>
      <c r="E257" s="316"/>
      <c r="F257" s="317"/>
      <c r="G257" s="318"/>
      <c r="H257" s="397"/>
      <c r="I257" s="316"/>
      <c r="J257" s="317"/>
      <c r="K257" s="318"/>
      <c r="L257" s="397"/>
      <c r="M257" s="316"/>
      <c r="N257" s="317"/>
      <c r="O257" s="318"/>
      <c r="P257" s="397"/>
      <c r="Q257" s="199"/>
      <c r="R257" s="220"/>
      <c r="S257" s="400"/>
      <c r="T257" s="401"/>
      <c r="U257" s="199"/>
      <c r="V257" s="220"/>
      <c r="W257" s="400"/>
      <c r="X257" s="401"/>
      <c r="Y257" s="199"/>
      <c r="Z257" s="220"/>
      <c r="AA257" s="400"/>
      <c r="AB257" s="401"/>
      <c r="AC257" s="199"/>
      <c r="AD257" s="220"/>
      <c r="AE257" s="400"/>
      <c r="AF257" s="401"/>
      <c r="AG257" s="199"/>
      <c r="AH257" s="220"/>
      <c r="AI257" s="400"/>
      <c r="AJ257" s="401"/>
      <c r="AK257" s="397"/>
      <c r="AL257" s="397"/>
      <c r="AM257" s="397"/>
    </row>
    <row r="258">
      <c r="A258" s="316"/>
      <c r="B258" s="317"/>
      <c r="C258" s="318"/>
      <c r="D258" s="397"/>
      <c r="E258" s="316"/>
      <c r="F258" s="317"/>
      <c r="G258" s="318"/>
      <c r="H258" s="397"/>
      <c r="I258" s="316"/>
      <c r="J258" s="317"/>
      <c r="K258" s="318"/>
      <c r="L258" s="397"/>
      <c r="M258" s="316"/>
      <c r="N258" s="317"/>
      <c r="O258" s="318"/>
      <c r="P258" s="397"/>
      <c r="Q258" s="199"/>
      <c r="R258" s="220"/>
      <c r="S258" s="400"/>
      <c r="T258" s="401"/>
      <c r="U258" s="199"/>
      <c r="V258" s="220"/>
      <c r="W258" s="400"/>
      <c r="X258" s="401"/>
      <c r="Y258" s="199"/>
      <c r="Z258" s="220"/>
      <c r="AA258" s="400"/>
      <c r="AB258" s="401"/>
      <c r="AC258" s="199"/>
      <c r="AD258" s="220"/>
      <c r="AE258" s="400"/>
      <c r="AF258" s="401"/>
      <c r="AG258" s="199"/>
      <c r="AH258" s="220"/>
      <c r="AI258" s="400"/>
      <c r="AJ258" s="401"/>
      <c r="AK258" s="397"/>
      <c r="AL258" s="397"/>
      <c r="AM258" s="397"/>
    </row>
    <row r="259">
      <c r="A259" s="316"/>
      <c r="B259" s="317"/>
      <c r="C259" s="318"/>
      <c r="D259" s="397"/>
      <c r="E259" s="316"/>
      <c r="F259" s="317"/>
      <c r="G259" s="318"/>
      <c r="H259" s="397"/>
      <c r="I259" s="316"/>
      <c r="J259" s="317"/>
      <c r="K259" s="318"/>
      <c r="L259" s="397"/>
      <c r="M259" s="316"/>
      <c r="N259" s="317"/>
      <c r="O259" s="318"/>
      <c r="P259" s="397"/>
      <c r="Q259" s="199"/>
      <c r="R259" s="220"/>
      <c r="S259" s="400"/>
      <c r="T259" s="401"/>
      <c r="U259" s="199"/>
      <c r="V259" s="220"/>
      <c r="W259" s="400"/>
      <c r="X259" s="401"/>
      <c r="Y259" s="199"/>
      <c r="Z259" s="220"/>
      <c r="AA259" s="400"/>
      <c r="AB259" s="401"/>
      <c r="AC259" s="199"/>
      <c r="AD259" s="220"/>
      <c r="AE259" s="400"/>
      <c r="AF259" s="401"/>
      <c r="AG259" s="199"/>
      <c r="AH259" s="220"/>
      <c r="AI259" s="400"/>
      <c r="AJ259" s="401"/>
      <c r="AK259" s="397"/>
      <c r="AL259" s="397"/>
      <c r="AM259" s="397"/>
    </row>
    <row r="260">
      <c r="A260" s="316"/>
      <c r="B260" s="317"/>
      <c r="C260" s="318"/>
      <c r="D260" s="397"/>
      <c r="E260" s="316"/>
      <c r="F260" s="317"/>
      <c r="G260" s="318"/>
      <c r="H260" s="397"/>
      <c r="I260" s="316"/>
      <c r="J260" s="317"/>
      <c r="K260" s="318"/>
      <c r="L260" s="397"/>
      <c r="M260" s="316"/>
      <c r="N260" s="317"/>
      <c r="O260" s="318"/>
      <c r="P260" s="397"/>
      <c r="Q260" s="199"/>
      <c r="R260" s="220"/>
      <c r="S260" s="400"/>
      <c r="T260" s="401"/>
      <c r="U260" s="199"/>
      <c r="V260" s="220"/>
      <c r="W260" s="400"/>
      <c r="X260" s="401"/>
      <c r="Y260" s="199"/>
      <c r="Z260" s="220"/>
      <c r="AA260" s="400"/>
      <c r="AB260" s="401"/>
      <c r="AC260" s="199"/>
      <c r="AD260" s="220"/>
      <c r="AE260" s="400"/>
      <c r="AF260" s="401"/>
      <c r="AG260" s="199"/>
      <c r="AH260" s="220"/>
      <c r="AI260" s="400"/>
      <c r="AJ260" s="401"/>
      <c r="AK260" s="397"/>
      <c r="AL260" s="397"/>
      <c r="AM260" s="397"/>
    </row>
    <row r="261">
      <c r="A261" s="316"/>
      <c r="B261" s="317"/>
      <c r="C261" s="318"/>
      <c r="D261" s="397"/>
      <c r="E261" s="316"/>
      <c r="F261" s="317"/>
      <c r="G261" s="318"/>
      <c r="H261" s="397"/>
      <c r="I261" s="316"/>
      <c r="J261" s="317"/>
      <c r="K261" s="318"/>
      <c r="L261" s="397"/>
      <c r="M261" s="316"/>
      <c r="N261" s="317"/>
      <c r="O261" s="318"/>
      <c r="P261" s="397"/>
      <c r="Q261" s="199"/>
      <c r="R261" s="220"/>
      <c r="S261" s="400"/>
      <c r="T261" s="401"/>
      <c r="U261" s="199"/>
      <c r="V261" s="220"/>
      <c r="W261" s="400"/>
      <c r="X261" s="401"/>
      <c r="Y261" s="199"/>
      <c r="Z261" s="220"/>
      <c r="AA261" s="400"/>
      <c r="AB261" s="401"/>
      <c r="AC261" s="199"/>
      <c r="AD261" s="220"/>
      <c r="AE261" s="400"/>
      <c r="AF261" s="401"/>
      <c r="AG261" s="199"/>
      <c r="AH261" s="220"/>
      <c r="AI261" s="400"/>
      <c r="AJ261" s="401"/>
      <c r="AK261" s="397"/>
      <c r="AL261" s="397"/>
      <c r="AM261" s="397"/>
    </row>
    <row r="262">
      <c r="A262" s="316"/>
      <c r="B262" s="317"/>
      <c r="C262" s="318"/>
      <c r="D262" s="397"/>
      <c r="E262" s="316"/>
      <c r="F262" s="317"/>
      <c r="G262" s="318"/>
      <c r="H262" s="397"/>
      <c r="I262" s="316"/>
      <c r="J262" s="317"/>
      <c r="K262" s="318"/>
      <c r="L262" s="397"/>
      <c r="M262" s="316"/>
      <c r="N262" s="317"/>
      <c r="O262" s="318"/>
      <c r="P262" s="397"/>
      <c r="Q262" s="199"/>
      <c r="R262" s="220"/>
      <c r="S262" s="400"/>
      <c r="T262" s="401"/>
      <c r="U262" s="199"/>
      <c r="V262" s="220"/>
      <c r="W262" s="400"/>
      <c r="X262" s="401"/>
      <c r="Y262" s="199"/>
      <c r="Z262" s="220"/>
      <c r="AA262" s="400"/>
      <c r="AB262" s="401"/>
      <c r="AC262" s="199"/>
      <c r="AD262" s="220"/>
      <c r="AE262" s="400"/>
      <c r="AF262" s="401"/>
      <c r="AG262" s="199"/>
      <c r="AH262" s="220"/>
      <c r="AI262" s="400"/>
      <c r="AJ262" s="401"/>
      <c r="AK262" s="397"/>
      <c r="AL262" s="397"/>
      <c r="AM262" s="397"/>
    </row>
    <row r="263">
      <c r="A263" s="316"/>
      <c r="B263" s="317"/>
      <c r="C263" s="318"/>
      <c r="D263" s="397"/>
      <c r="E263" s="316"/>
      <c r="F263" s="317"/>
      <c r="G263" s="318"/>
      <c r="H263" s="397"/>
      <c r="I263" s="316"/>
      <c r="J263" s="317"/>
      <c r="K263" s="318"/>
      <c r="L263" s="397"/>
      <c r="M263" s="316"/>
      <c r="N263" s="317"/>
      <c r="O263" s="318"/>
      <c r="P263" s="397"/>
      <c r="Q263" s="199"/>
      <c r="R263" s="220"/>
      <c r="S263" s="400"/>
      <c r="T263" s="401"/>
      <c r="U263" s="199"/>
      <c r="V263" s="220"/>
      <c r="W263" s="400"/>
      <c r="X263" s="401"/>
      <c r="Y263" s="199"/>
      <c r="Z263" s="220"/>
      <c r="AA263" s="400"/>
      <c r="AB263" s="401"/>
      <c r="AC263" s="199"/>
      <c r="AD263" s="220"/>
      <c r="AE263" s="400"/>
      <c r="AF263" s="401"/>
      <c r="AG263" s="199"/>
      <c r="AH263" s="220"/>
      <c r="AI263" s="400"/>
      <c r="AJ263" s="401"/>
      <c r="AK263" s="397"/>
      <c r="AL263" s="397"/>
      <c r="AM263" s="397"/>
    </row>
    <row r="264">
      <c r="A264" s="316"/>
      <c r="B264" s="317"/>
      <c r="C264" s="318"/>
      <c r="D264" s="397"/>
      <c r="E264" s="316"/>
      <c r="F264" s="317"/>
      <c r="G264" s="318"/>
      <c r="H264" s="397"/>
      <c r="I264" s="316"/>
      <c r="J264" s="317"/>
      <c r="K264" s="318"/>
      <c r="L264" s="397"/>
      <c r="M264" s="316"/>
      <c r="N264" s="317"/>
      <c r="O264" s="318"/>
      <c r="P264" s="397"/>
      <c r="Q264" s="199"/>
      <c r="R264" s="220"/>
      <c r="S264" s="400"/>
      <c r="T264" s="401"/>
      <c r="U264" s="199"/>
      <c r="V264" s="220"/>
      <c r="W264" s="400"/>
      <c r="X264" s="401"/>
      <c r="Y264" s="199"/>
      <c r="Z264" s="220"/>
      <c r="AA264" s="400"/>
      <c r="AB264" s="401"/>
      <c r="AC264" s="199"/>
      <c r="AD264" s="220"/>
      <c r="AE264" s="400"/>
      <c r="AF264" s="401"/>
      <c r="AG264" s="199"/>
      <c r="AH264" s="220"/>
      <c r="AI264" s="400"/>
      <c r="AJ264" s="401"/>
      <c r="AK264" s="397"/>
      <c r="AL264" s="397"/>
      <c r="AM264" s="397"/>
    </row>
    <row r="265">
      <c r="A265" s="316"/>
      <c r="B265" s="317"/>
      <c r="C265" s="318"/>
      <c r="D265" s="397"/>
      <c r="E265" s="316"/>
      <c r="F265" s="317"/>
      <c r="G265" s="318"/>
      <c r="H265" s="397"/>
      <c r="I265" s="316"/>
      <c r="J265" s="317"/>
      <c r="K265" s="318"/>
      <c r="L265" s="397"/>
      <c r="M265" s="316"/>
      <c r="N265" s="317"/>
      <c r="O265" s="318"/>
      <c r="P265" s="397"/>
      <c r="Q265" s="199"/>
      <c r="R265" s="220"/>
      <c r="S265" s="400"/>
      <c r="T265" s="401"/>
      <c r="U265" s="199"/>
      <c r="V265" s="220"/>
      <c r="W265" s="400"/>
      <c r="X265" s="401"/>
      <c r="Y265" s="199"/>
      <c r="Z265" s="220"/>
      <c r="AA265" s="400"/>
      <c r="AB265" s="401"/>
      <c r="AC265" s="199"/>
      <c r="AD265" s="220"/>
      <c r="AE265" s="400"/>
      <c r="AF265" s="401"/>
      <c r="AG265" s="199"/>
      <c r="AH265" s="220"/>
      <c r="AI265" s="400"/>
      <c r="AJ265" s="401"/>
      <c r="AK265" s="397"/>
      <c r="AL265" s="397"/>
      <c r="AM265" s="397"/>
    </row>
    <row r="266">
      <c r="A266" s="316"/>
      <c r="B266" s="317"/>
      <c r="C266" s="318"/>
      <c r="D266" s="397"/>
      <c r="E266" s="316"/>
      <c r="F266" s="317"/>
      <c r="G266" s="318"/>
      <c r="H266" s="397"/>
      <c r="I266" s="316"/>
      <c r="J266" s="317"/>
      <c r="K266" s="318"/>
      <c r="L266" s="397"/>
      <c r="M266" s="316"/>
      <c r="N266" s="317"/>
      <c r="O266" s="318"/>
      <c r="P266" s="397"/>
      <c r="Q266" s="199"/>
      <c r="R266" s="220"/>
      <c r="S266" s="400"/>
      <c r="T266" s="401"/>
      <c r="U266" s="199"/>
      <c r="V266" s="220"/>
      <c r="W266" s="400"/>
      <c r="X266" s="401"/>
      <c r="Y266" s="199"/>
      <c r="Z266" s="220"/>
      <c r="AA266" s="400"/>
      <c r="AB266" s="401"/>
      <c r="AC266" s="199"/>
      <c r="AD266" s="220"/>
      <c r="AE266" s="400"/>
      <c r="AF266" s="401"/>
      <c r="AG266" s="199"/>
      <c r="AH266" s="220"/>
      <c r="AI266" s="400"/>
      <c r="AJ266" s="401"/>
      <c r="AK266" s="397"/>
      <c r="AL266" s="397"/>
      <c r="AM266" s="397"/>
    </row>
    <row r="267">
      <c r="A267" s="316"/>
      <c r="B267" s="317"/>
      <c r="C267" s="318"/>
      <c r="D267" s="397"/>
      <c r="E267" s="316"/>
      <c r="F267" s="317"/>
      <c r="G267" s="318"/>
      <c r="H267" s="397"/>
      <c r="I267" s="316"/>
      <c r="J267" s="317"/>
      <c r="K267" s="318"/>
      <c r="L267" s="397"/>
      <c r="M267" s="316"/>
      <c r="N267" s="317"/>
      <c r="O267" s="318"/>
      <c r="P267" s="397"/>
      <c r="Q267" s="199"/>
      <c r="R267" s="220"/>
      <c r="S267" s="400"/>
      <c r="T267" s="401"/>
      <c r="U267" s="199"/>
      <c r="V267" s="220"/>
      <c r="W267" s="400"/>
      <c r="X267" s="401"/>
      <c r="Y267" s="199"/>
      <c r="Z267" s="220"/>
      <c r="AA267" s="400"/>
      <c r="AB267" s="401"/>
      <c r="AC267" s="199"/>
      <c r="AD267" s="220"/>
      <c r="AE267" s="400"/>
      <c r="AF267" s="401"/>
      <c r="AG267" s="199"/>
      <c r="AH267" s="220"/>
      <c r="AI267" s="400"/>
      <c r="AJ267" s="401"/>
      <c r="AK267" s="397"/>
      <c r="AL267" s="397"/>
      <c r="AM267" s="397"/>
    </row>
    <row r="268">
      <c r="A268" s="316"/>
      <c r="B268" s="317"/>
      <c r="C268" s="318"/>
      <c r="D268" s="397"/>
      <c r="E268" s="316"/>
      <c r="F268" s="317"/>
      <c r="G268" s="318"/>
      <c r="H268" s="397"/>
      <c r="I268" s="316"/>
      <c r="J268" s="317"/>
      <c r="K268" s="318"/>
      <c r="L268" s="397"/>
      <c r="M268" s="316"/>
      <c r="N268" s="317"/>
      <c r="O268" s="318"/>
      <c r="P268" s="397"/>
      <c r="Q268" s="199"/>
      <c r="R268" s="220"/>
      <c r="S268" s="400"/>
      <c r="T268" s="401"/>
      <c r="U268" s="199"/>
      <c r="V268" s="220"/>
      <c r="W268" s="400"/>
      <c r="X268" s="401"/>
      <c r="Y268" s="199"/>
      <c r="Z268" s="220"/>
      <c r="AA268" s="400"/>
      <c r="AB268" s="401"/>
      <c r="AC268" s="199"/>
      <c r="AD268" s="220"/>
      <c r="AE268" s="400"/>
      <c r="AF268" s="401"/>
      <c r="AG268" s="199"/>
      <c r="AH268" s="220"/>
      <c r="AI268" s="400"/>
      <c r="AJ268" s="401"/>
      <c r="AK268" s="397"/>
      <c r="AL268" s="397"/>
      <c r="AM268" s="397"/>
    </row>
    <row r="269">
      <c r="A269" s="316"/>
      <c r="B269" s="317"/>
      <c r="C269" s="318"/>
      <c r="D269" s="397"/>
      <c r="E269" s="316"/>
      <c r="F269" s="317"/>
      <c r="G269" s="318"/>
      <c r="H269" s="397"/>
      <c r="I269" s="316"/>
      <c r="J269" s="317"/>
      <c r="K269" s="318"/>
      <c r="L269" s="397"/>
      <c r="M269" s="316"/>
      <c r="N269" s="317"/>
      <c r="O269" s="318"/>
      <c r="P269" s="397"/>
      <c r="Q269" s="199"/>
      <c r="R269" s="220"/>
      <c r="S269" s="400"/>
      <c r="T269" s="401"/>
      <c r="U269" s="199"/>
      <c r="V269" s="220"/>
      <c r="W269" s="400"/>
      <c r="X269" s="401"/>
      <c r="Y269" s="199"/>
      <c r="Z269" s="220"/>
      <c r="AA269" s="400"/>
      <c r="AB269" s="401"/>
      <c r="AC269" s="199"/>
      <c r="AD269" s="220"/>
      <c r="AE269" s="400"/>
      <c r="AF269" s="401"/>
      <c r="AG269" s="199"/>
      <c r="AH269" s="220"/>
      <c r="AI269" s="400"/>
      <c r="AJ269" s="401"/>
      <c r="AK269" s="397"/>
      <c r="AL269" s="397"/>
      <c r="AM269" s="397"/>
    </row>
    <row r="270">
      <c r="A270" s="316"/>
      <c r="B270" s="317"/>
      <c r="C270" s="318"/>
      <c r="D270" s="397"/>
      <c r="E270" s="316"/>
      <c r="F270" s="317"/>
      <c r="G270" s="318"/>
      <c r="H270" s="397"/>
      <c r="I270" s="316"/>
      <c r="J270" s="317"/>
      <c r="K270" s="318"/>
      <c r="L270" s="397"/>
      <c r="M270" s="316"/>
      <c r="N270" s="317"/>
      <c r="O270" s="318"/>
      <c r="P270" s="397"/>
      <c r="Q270" s="199"/>
      <c r="R270" s="220"/>
      <c r="S270" s="400"/>
      <c r="T270" s="401"/>
      <c r="U270" s="199"/>
      <c r="V270" s="220"/>
      <c r="W270" s="400"/>
      <c r="X270" s="401"/>
      <c r="Y270" s="199"/>
      <c r="Z270" s="220"/>
      <c r="AA270" s="400"/>
      <c r="AB270" s="401"/>
      <c r="AC270" s="199"/>
      <c r="AD270" s="220"/>
      <c r="AE270" s="400"/>
      <c r="AF270" s="401"/>
      <c r="AG270" s="199"/>
      <c r="AH270" s="220"/>
      <c r="AI270" s="400"/>
      <c r="AJ270" s="401"/>
      <c r="AK270" s="397"/>
      <c r="AL270" s="397"/>
      <c r="AM270" s="397"/>
    </row>
    <row r="271">
      <c r="A271" s="316"/>
      <c r="B271" s="317"/>
      <c r="C271" s="318"/>
      <c r="D271" s="397"/>
      <c r="E271" s="316"/>
      <c r="F271" s="317"/>
      <c r="G271" s="318"/>
      <c r="H271" s="397"/>
      <c r="I271" s="316"/>
      <c r="J271" s="317"/>
      <c r="K271" s="318"/>
      <c r="L271" s="397"/>
      <c r="M271" s="316"/>
      <c r="N271" s="317"/>
      <c r="O271" s="318"/>
      <c r="P271" s="397"/>
      <c r="Q271" s="199"/>
      <c r="R271" s="220"/>
      <c r="S271" s="400"/>
      <c r="T271" s="401"/>
      <c r="U271" s="199"/>
      <c r="V271" s="220"/>
      <c r="W271" s="400"/>
      <c r="X271" s="401"/>
      <c r="Y271" s="199"/>
      <c r="Z271" s="220"/>
      <c r="AA271" s="400"/>
      <c r="AB271" s="401"/>
      <c r="AC271" s="199"/>
      <c r="AD271" s="220"/>
      <c r="AE271" s="400"/>
      <c r="AF271" s="401"/>
      <c r="AG271" s="199"/>
      <c r="AH271" s="220"/>
      <c r="AI271" s="400"/>
      <c r="AJ271" s="401"/>
      <c r="AK271" s="397"/>
      <c r="AL271" s="397"/>
      <c r="AM271" s="397"/>
    </row>
    <row r="272">
      <c r="A272" s="316"/>
      <c r="B272" s="317"/>
      <c r="C272" s="318"/>
      <c r="D272" s="397"/>
      <c r="E272" s="316"/>
      <c r="F272" s="317"/>
      <c r="G272" s="318"/>
      <c r="H272" s="397"/>
      <c r="I272" s="316"/>
      <c r="J272" s="317"/>
      <c r="K272" s="318"/>
      <c r="L272" s="397"/>
      <c r="M272" s="316"/>
      <c r="N272" s="317"/>
      <c r="O272" s="318"/>
      <c r="P272" s="397"/>
      <c r="Q272" s="199"/>
      <c r="R272" s="220"/>
      <c r="S272" s="400"/>
      <c r="T272" s="401"/>
      <c r="U272" s="199"/>
      <c r="V272" s="220"/>
      <c r="W272" s="400"/>
      <c r="X272" s="401"/>
      <c r="Y272" s="199"/>
      <c r="Z272" s="220"/>
      <c r="AA272" s="400"/>
      <c r="AB272" s="401"/>
      <c r="AC272" s="199"/>
      <c r="AD272" s="220"/>
      <c r="AE272" s="400"/>
      <c r="AF272" s="401"/>
      <c r="AG272" s="199"/>
      <c r="AH272" s="220"/>
      <c r="AI272" s="400"/>
      <c r="AJ272" s="401"/>
      <c r="AK272" s="397"/>
      <c r="AL272" s="397"/>
      <c r="AM272" s="397"/>
    </row>
    <row r="273">
      <c r="A273" s="316"/>
      <c r="B273" s="317"/>
      <c r="C273" s="318"/>
      <c r="D273" s="397"/>
      <c r="E273" s="316"/>
      <c r="F273" s="317"/>
      <c r="G273" s="318"/>
      <c r="H273" s="397"/>
      <c r="I273" s="316"/>
      <c r="J273" s="317"/>
      <c r="K273" s="318"/>
      <c r="L273" s="397"/>
      <c r="M273" s="316"/>
      <c r="N273" s="317"/>
      <c r="O273" s="318"/>
      <c r="P273" s="397"/>
      <c r="Q273" s="199"/>
      <c r="R273" s="220"/>
      <c r="S273" s="400"/>
      <c r="T273" s="401"/>
      <c r="U273" s="199"/>
      <c r="V273" s="220"/>
      <c r="W273" s="400"/>
      <c r="X273" s="401"/>
      <c r="Y273" s="199"/>
      <c r="Z273" s="220"/>
      <c r="AA273" s="400"/>
      <c r="AB273" s="401"/>
      <c r="AC273" s="199"/>
      <c r="AD273" s="220"/>
      <c r="AE273" s="400"/>
      <c r="AF273" s="401"/>
      <c r="AG273" s="199"/>
      <c r="AH273" s="220"/>
      <c r="AI273" s="400"/>
      <c r="AJ273" s="401"/>
      <c r="AK273" s="397"/>
      <c r="AL273" s="397"/>
      <c r="AM273" s="397"/>
    </row>
    <row r="274">
      <c r="A274" s="316"/>
      <c r="B274" s="317"/>
      <c r="C274" s="318"/>
      <c r="D274" s="397"/>
      <c r="E274" s="316"/>
      <c r="F274" s="317"/>
      <c r="G274" s="318"/>
      <c r="H274" s="397"/>
      <c r="I274" s="316"/>
      <c r="J274" s="317"/>
      <c r="K274" s="318"/>
      <c r="L274" s="397"/>
      <c r="M274" s="316"/>
      <c r="N274" s="317"/>
      <c r="O274" s="318"/>
      <c r="P274" s="397"/>
      <c r="Q274" s="199"/>
      <c r="R274" s="220"/>
      <c r="S274" s="400"/>
      <c r="T274" s="401"/>
      <c r="U274" s="199"/>
      <c r="V274" s="220"/>
      <c r="W274" s="400"/>
      <c r="X274" s="401"/>
      <c r="Y274" s="199"/>
      <c r="Z274" s="220"/>
      <c r="AA274" s="400"/>
      <c r="AB274" s="401"/>
      <c r="AC274" s="199"/>
      <c r="AD274" s="220"/>
      <c r="AE274" s="400"/>
      <c r="AF274" s="401"/>
      <c r="AG274" s="199"/>
      <c r="AH274" s="220"/>
      <c r="AI274" s="400"/>
      <c r="AJ274" s="401"/>
      <c r="AK274" s="397"/>
      <c r="AL274" s="397"/>
      <c r="AM274" s="397"/>
    </row>
    <row r="275">
      <c r="A275" s="316"/>
      <c r="B275" s="317"/>
      <c r="C275" s="318"/>
      <c r="D275" s="397"/>
      <c r="E275" s="316"/>
      <c r="F275" s="317"/>
      <c r="G275" s="318"/>
      <c r="H275" s="397"/>
      <c r="I275" s="316"/>
      <c r="J275" s="317"/>
      <c r="K275" s="318"/>
      <c r="L275" s="397"/>
      <c r="M275" s="316"/>
      <c r="N275" s="317"/>
      <c r="O275" s="318"/>
      <c r="P275" s="397"/>
      <c r="Q275" s="199"/>
      <c r="R275" s="220"/>
      <c r="S275" s="400"/>
      <c r="T275" s="401"/>
      <c r="U275" s="199"/>
      <c r="V275" s="220"/>
      <c r="W275" s="400"/>
      <c r="X275" s="401"/>
      <c r="Y275" s="199"/>
      <c r="Z275" s="220"/>
      <c r="AA275" s="400"/>
      <c r="AB275" s="401"/>
      <c r="AC275" s="199"/>
      <c r="AD275" s="220"/>
      <c r="AE275" s="400"/>
      <c r="AF275" s="401"/>
      <c r="AG275" s="199"/>
      <c r="AH275" s="220"/>
      <c r="AI275" s="400"/>
      <c r="AJ275" s="401"/>
      <c r="AK275" s="397"/>
      <c r="AL275" s="397"/>
      <c r="AM275" s="397"/>
    </row>
    <row r="276">
      <c r="A276" s="316"/>
      <c r="B276" s="317"/>
      <c r="C276" s="318"/>
      <c r="D276" s="397"/>
      <c r="E276" s="316"/>
      <c r="F276" s="317"/>
      <c r="G276" s="318"/>
      <c r="H276" s="397"/>
      <c r="I276" s="316"/>
      <c r="J276" s="317"/>
      <c r="K276" s="318"/>
      <c r="L276" s="397"/>
      <c r="M276" s="316"/>
      <c r="N276" s="317"/>
      <c r="O276" s="318"/>
      <c r="P276" s="397"/>
      <c r="Q276" s="199"/>
      <c r="R276" s="220"/>
      <c r="S276" s="400"/>
      <c r="T276" s="401"/>
      <c r="U276" s="199"/>
      <c r="V276" s="220"/>
      <c r="W276" s="400"/>
      <c r="X276" s="401"/>
      <c r="Y276" s="199"/>
      <c r="Z276" s="220"/>
      <c r="AA276" s="400"/>
      <c r="AB276" s="401"/>
      <c r="AC276" s="199"/>
      <c r="AD276" s="220"/>
      <c r="AE276" s="400"/>
      <c r="AF276" s="401"/>
      <c r="AG276" s="199"/>
      <c r="AH276" s="220"/>
      <c r="AI276" s="400"/>
      <c r="AJ276" s="401"/>
      <c r="AK276" s="397"/>
      <c r="AL276" s="397"/>
      <c r="AM276" s="397"/>
    </row>
    <row r="277">
      <c r="A277" s="316"/>
      <c r="B277" s="317"/>
      <c r="C277" s="318"/>
      <c r="D277" s="397"/>
      <c r="E277" s="316"/>
      <c r="F277" s="317"/>
      <c r="G277" s="318"/>
      <c r="H277" s="397"/>
      <c r="I277" s="316"/>
      <c r="J277" s="317"/>
      <c r="K277" s="318"/>
      <c r="L277" s="397"/>
      <c r="M277" s="316"/>
      <c r="N277" s="317"/>
      <c r="O277" s="318"/>
      <c r="P277" s="397"/>
      <c r="Q277" s="199"/>
      <c r="R277" s="220"/>
      <c r="S277" s="400"/>
      <c r="T277" s="401"/>
      <c r="U277" s="199"/>
      <c r="V277" s="220"/>
      <c r="W277" s="400"/>
      <c r="X277" s="401"/>
      <c r="Y277" s="199"/>
      <c r="Z277" s="220"/>
      <c r="AA277" s="400"/>
      <c r="AB277" s="401"/>
      <c r="AC277" s="199"/>
      <c r="AD277" s="220"/>
      <c r="AE277" s="400"/>
      <c r="AF277" s="401"/>
      <c r="AG277" s="199"/>
      <c r="AH277" s="220"/>
      <c r="AI277" s="400"/>
      <c r="AJ277" s="401"/>
      <c r="AK277" s="397"/>
      <c r="AL277" s="397"/>
      <c r="AM277" s="397"/>
    </row>
    <row r="278">
      <c r="A278" s="316"/>
      <c r="B278" s="317"/>
      <c r="C278" s="318"/>
      <c r="D278" s="397"/>
      <c r="E278" s="316"/>
      <c r="F278" s="317"/>
      <c r="G278" s="318"/>
      <c r="H278" s="397"/>
      <c r="I278" s="316"/>
      <c r="J278" s="317"/>
      <c r="K278" s="318"/>
      <c r="L278" s="397"/>
      <c r="M278" s="316"/>
      <c r="N278" s="317"/>
      <c r="O278" s="318"/>
      <c r="P278" s="397"/>
      <c r="Q278" s="199"/>
      <c r="R278" s="220"/>
      <c r="S278" s="400"/>
      <c r="T278" s="401"/>
      <c r="U278" s="199"/>
      <c r="V278" s="220"/>
      <c r="W278" s="400"/>
      <c r="X278" s="401"/>
      <c r="Y278" s="199"/>
      <c r="Z278" s="220"/>
      <c r="AA278" s="400"/>
      <c r="AB278" s="401"/>
      <c r="AC278" s="199"/>
      <c r="AD278" s="220"/>
      <c r="AE278" s="400"/>
      <c r="AF278" s="401"/>
      <c r="AG278" s="199"/>
      <c r="AH278" s="220"/>
      <c r="AI278" s="400"/>
      <c r="AJ278" s="401"/>
      <c r="AK278" s="397"/>
      <c r="AL278" s="397"/>
      <c r="AM278" s="397"/>
    </row>
    <row r="279">
      <c r="A279" s="316"/>
      <c r="B279" s="317"/>
      <c r="C279" s="318"/>
      <c r="D279" s="397"/>
      <c r="E279" s="316"/>
      <c r="F279" s="317"/>
      <c r="G279" s="318"/>
      <c r="H279" s="397"/>
      <c r="I279" s="316"/>
      <c r="J279" s="317"/>
      <c r="K279" s="318"/>
      <c r="L279" s="397"/>
      <c r="M279" s="316"/>
      <c r="N279" s="317"/>
      <c r="O279" s="318"/>
      <c r="P279" s="397"/>
      <c r="Q279" s="199"/>
      <c r="R279" s="220"/>
      <c r="S279" s="400"/>
      <c r="T279" s="401"/>
      <c r="U279" s="199"/>
      <c r="V279" s="220"/>
      <c r="W279" s="400"/>
      <c r="X279" s="401"/>
      <c r="Y279" s="199"/>
      <c r="Z279" s="220"/>
      <c r="AA279" s="400"/>
      <c r="AB279" s="401"/>
      <c r="AC279" s="199"/>
      <c r="AD279" s="220"/>
      <c r="AE279" s="400"/>
      <c r="AF279" s="401"/>
      <c r="AG279" s="199"/>
      <c r="AH279" s="220"/>
      <c r="AI279" s="400"/>
      <c r="AJ279" s="401"/>
      <c r="AK279" s="397"/>
      <c r="AL279" s="397"/>
      <c r="AM279" s="397"/>
    </row>
    <row r="280">
      <c r="A280" s="316"/>
      <c r="B280" s="317"/>
      <c r="C280" s="318"/>
      <c r="D280" s="397"/>
      <c r="E280" s="316"/>
      <c r="F280" s="317"/>
      <c r="G280" s="318"/>
      <c r="H280" s="397"/>
      <c r="I280" s="316"/>
      <c r="J280" s="317"/>
      <c r="K280" s="318"/>
      <c r="L280" s="397"/>
      <c r="M280" s="316"/>
      <c r="N280" s="317"/>
      <c r="O280" s="318"/>
      <c r="P280" s="397"/>
      <c r="Q280" s="199"/>
      <c r="R280" s="220"/>
      <c r="S280" s="400"/>
      <c r="T280" s="401"/>
      <c r="U280" s="199"/>
      <c r="V280" s="220"/>
      <c r="W280" s="400"/>
      <c r="X280" s="401"/>
      <c r="Y280" s="199"/>
      <c r="Z280" s="220"/>
      <c r="AA280" s="400"/>
      <c r="AB280" s="401"/>
      <c r="AC280" s="199"/>
      <c r="AD280" s="220"/>
      <c r="AE280" s="400"/>
      <c r="AF280" s="401"/>
      <c r="AG280" s="199"/>
      <c r="AH280" s="220"/>
      <c r="AI280" s="400"/>
      <c r="AJ280" s="401"/>
      <c r="AK280" s="397"/>
      <c r="AL280" s="397"/>
      <c r="AM280" s="397"/>
    </row>
    <row r="281">
      <c r="A281" s="316"/>
      <c r="B281" s="317"/>
      <c r="C281" s="318"/>
      <c r="D281" s="397"/>
      <c r="E281" s="316"/>
      <c r="F281" s="317"/>
      <c r="G281" s="318"/>
      <c r="H281" s="397"/>
      <c r="I281" s="316"/>
      <c r="J281" s="317"/>
      <c r="K281" s="318"/>
      <c r="L281" s="397"/>
      <c r="M281" s="316"/>
      <c r="N281" s="317"/>
      <c r="O281" s="318"/>
      <c r="P281" s="397"/>
      <c r="Q281" s="199"/>
      <c r="R281" s="220"/>
      <c r="S281" s="400"/>
      <c r="T281" s="401"/>
      <c r="U281" s="199"/>
      <c r="V281" s="220"/>
      <c r="W281" s="400"/>
      <c r="X281" s="401"/>
      <c r="Y281" s="199"/>
      <c r="Z281" s="220"/>
      <c r="AA281" s="400"/>
      <c r="AB281" s="401"/>
      <c r="AC281" s="199"/>
      <c r="AD281" s="220"/>
      <c r="AE281" s="400"/>
      <c r="AF281" s="401"/>
      <c r="AG281" s="199"/>
      <c r="AH281" s="220"/>
      <c r="AI281" s="400"/>
      <c r="AJ281" s="401"/>
      <c r="AK281" s="397"/>
      <c r="AL281" s="397"/>
      <c r="AM281" s="397"/>
    </row>
    <row r="282">
      <c r="A282" s="316"/>
      <c r="B282" s="317"/>
      <c r="C282" s="318"/>
      <c r="D282" s="397"/>
      <c r="E282" s="316"/>
      <c r="F282" s="317"/>
      <c r="G282" s="318"/>
      <c r="H282" s="397"/>
      <c r="I282" s="316"/>
      <c r="J282" s="317"/>
      <c r="K282" s="318"/>
      <c r="L282" s="397"/>
      <c r="M282" s="316"/>
      <c r="N282" s="317"/>
      <c r="O282" s="318"/>
      <c r="P282" s="397"/>
      <c r="Q282" s="199"/>
      <c r="R282" s="220"/>
      <c r="S282" s="400"/>
      <c r="T282" s="401"/>
      <c r="U282" s="199"/>
      <c r="V282" s="220"/>
      <c r="W282" s="400"/>
      <c r="X282" s="401"/>
      <c r="Y282" s="199"/>
      <c r="Z282" s="220"/>
      <c r="AA282" s="400"/>
      <c r="AB282" s="401"/>
      <c r="AC282" s="199"/>
      <c r="AD282" s="220"/>
      <c r="AE282" s="400"/>
      <c r="AF282" s="401"/>
      <c r="AG282" s="199"/>
      <c r="AH282" s="220"/>
      <c r="AI282" s="400"/>
      <c r="AJ282" s="401"/>
      <c r="AK282" s="397"/>
      <c r="AL282" s="397"/>
      <c r="AM282" s="397"/>
    </row>
    <row r="283">
      <c r="A283" s="316"/>
      <c r="B283" s="317"/>
      <c r="C283" s="318"/>
      <c r="D283" s="397"/>
      <c r="E283" s="316"/>
      <c r="F283" s="317"/>
      <c r="G283" s="318"/>
      <c r="H283" s="397"/>
      <c r="I283" s="316"/>
      <c r="J283" s="317"/>
      <c r="K283" s="318"/>
      <c r="L283" s="397"/>
      <c r="M283" s="316"/>
      <c r="N283" s="317"/>
      <c r="O283" s="318"/>
      <c r="P283" s="397"/>
      <c r="Q283" s="199"/>
      <c r="R283" s="220"/>
      <c r="S283" s="400"/>
      <c r="T283" s="401"/>
      <c r="U283" s="199"/>
      <c r="V283" s="220"/>
      <c r="W283" s="400"/>
      <c r="X283" s="401"/>
      <c r="Y283" s="199"/>
      <c r="Z283" s="220"/>
      <c r="AA283" s="400"/>
      <c r="AB283" s="401"/>
      <c r="AC283" s="199"/>
      <c r="AD283" s="220"/>
      <c r="AE283" s="400"/>
      <c r="AF283" s="401"/>
      <c r="AG283" s="201"/>
      <c r="AH283" s="220"/>
      <c r="AI283" s="400"/>
      <c r="AJ283" s="401"/>
      <c r="AK283" s="397"/>
      <c r="AL283" s="397"/>
      <c r="AM283" s="397"/>
    </row>
    <row r="284">
      <c r="A284" s="316"/>
      <c r="B284" s="317"/>
      <c r="C284" s="318"/>
      <c r="D284" s="397"/>
      <c r="E284" s="316"/>
      <c r="F284" s="317"/>
      <c r="G284" s="318"/>
      <c r="H284" s="397"/>
      <c r="I284" s="316"/>
      <c r="J284" s="317"/>
      <c r="K284" s="318"/>
      <c r="L284" s="397"/>
      <c r="M284" s="316"/>
      <c r="N284" s="317"/>
      <c r="O284" s="318"/>
      <c r="P284" s="397"/>
      <c r="Q284" s="199"/>
      <c r="R284" s="220"/>
      <c r="S284" s="400"/>
      <c r="T284" s="401"/>
      <c r="U284" s="199"/>
      <c r="V284" s="220"/>
      <c r="W284" s="400"/>
      <c r="X284" s="401"/>
      <c r="Y284" s="199"/>
      <c r="Z284" s="220"/>
      <c r="AA284" s="400"/>
      <c r="AB284" s="401"/>
      <c r="AC284" s="199"/>
      <c r="AD284" s="220"/>
      <c r="AE284" s="400"/>
      <c r="AF284" s="401"/>
      <c r="AG284" s="201"/>
      <c r="AH284" s="220"/>
      <c r="AI284" s="400"/>
      <c r="AJ284" s="401"/>
      <c r="AK284" s="397"/>
      <c r="AL284" s="397"/>
      <c r="AM284" s="397"/>
    </row>
    <row r="285">
      <c r="A285" s="316"/>
      <c r="B285" s="317"/>
      <c r="C285" s="318"/>
      <c r="D285" s="397"/>
      <c r="E285" s="316"/>
      <c r="F285" s="317"/>
      <c r="G285" s="318"/>
      <c r="H285" s="397"/>
      <c r="I285" s="316"/>
      <c r="J285" s="317"/>
      <c r="K285" s="318"/>
      <c r="L285" s="397"/>
      <c r="M285" s="316"/>
      <c r="N285" s="317"/>
      <c r="O285" s="318"/>
      <c r="P285" s="397"/>
      <c r="Q285" s="199"/>
      <c r="R285" s="220"/>
      <c r="S285" s="400"/>
      <c r="T285" s="401"/>
      <c r="U285" s="199"/>
      <c r="V285" s="220"/>
      <c r="W285" s="400"/>
      <c r="X285" s="401"/>
      <c r="Y285" s="199"/>
      <c r="Z285" s="220"/>
      <c r="AA285" s="400"/>
      <c r="AB285" s="401"/>
      <c r="AC285" s="199"/>
      <c r="AD285" s="220"/>
      <c r="AE285" s="400"/>
      <c r="AF285" s="401"/>
      <c r="AG285" s="201"/>
      <c r="AH285" s="220"/>
      <c r="AI285" s="400"/>
      <c r="AJ285" s="401"/>
      <c r="AK285" s="397"/>
      <c r="AL285" s="397"/>
      <c r="AM285" s="397"/>
    </row>
    <row r="286">
      <c r="A286" s="316"/>
      <c r="B286" s="317"/>
      <c r="C286" s="318"/>
      <c r="D286" s="397"/>
      <c r="E286" s="316"/>
      <c r="F286" s="317"/>
      <c r="G286" s="318"/>
      <c r="H286" s="397"/>
      <c r="I286" s="316"/>
      <c r="J286" s="317"/>
      <c r="K286" s="318"/>
      <c r="L286" s="397"/>
      <c r="M286" s="316"/>
      <c r="N286" s="317"/>
      <c r="O286" s="318"/>
      <c r="P286" s="397"/>
      <c r="Q286" s="199"/>
      <c r="R286" s="220"/>
      <c r="S286" s="400"/>
      <c r="T286" s="401"/>
      <c r="U286" s="199"/>
      <c r="V286" s="220"/>
      <c r="W286" s="400"/>
      <c r="X286" s="401"/>
      <c r="Y286" s="199"/>
      <c r="Z286" s="220"/>
      <c r="AA286" s="400"/>
      <c r="AB286" s="401"/>
      <c r="AC286" s="199"/>
      <c r="AD286" s="220"/>
      <c r="AE286" s="400"/>
      <c r="AF286" s="401"/>
      <c r="AG286" s="201"/>
      <c r="AH286" s="220"/>
      <c r="AI286" s="400"/>
      <c r="AJ286" s="401"/>
      <c r="AK286" s="397"/>
      <c r="AL286" s="397"/>
      <c r="AM286" s="397"/>
    </row>
    <row r="287">
      <c r="A287" s="316"/>
      <c r="B287" s="317"/>
      <c r="C287" s="318"/>
      <c r="D287" s="397"/>
      <c r="E287" s="316"/>
      <c r="F287" s="317"/>
      <c r="G287" s="318"/>
      <c r="H287" s="397"/>
      <c r="I287" s="316"/>
      <c r="J287" s="317"/>
      <c r="K287" s="318"/>
      <c r="L287" s="397"/>
      <c r="M287" s="316"/>
      <c r="N287" s="317"/>
      <c r="O287" s="318"/>
      <c r="P287" s="397"/>
      <c r="Q287" s="199"/>
      <c r="R287" s="220"/>
      <c r="S287" s="400"/>
      <c r="T287" s="401"/>
      <c r="U287" s="199"/>
      <c r="V287" s="220"/>
      <c r="W287" s="400"/>
      <c r="X287" s="401"/>
      <c r="Y287" s="199"/>
      <c r="Z287" s="220"/>
      <c r="AA287" s="400"/>
      <c r="AB287" s="401"/>
      <c r="AC287" s="199"/>
      <c r="AD287" s="220"/>
      <c r="AE287" s="400"/>
      <c r="AF287" s="401"/>
      <c r="AG287" s="201"/>
      <c r="AH287" s="220"/>
      <c r="AI287" s="400"/>
      <c r="AJ287" s="401"/>
      <c r="AK287" s="397"/>
      <c r="AL287" s="397"/>
      <c r="AM287" s="397"/>
    </row>
    <row r="288">
      <c r="A288" s="316"/>
      <c r="B288" s="317"/>
      <c r="C288" s="318"/>
      <c r="D288" s="397"/>
      <c r="E288" s="316"/>
      <c r="F288" s="317"/>
      <c r="G288" s="318"/>
      <c r="H288" s="397"/>
      <c r="I288" s="316"/>
      <c r="J288" s="317"/>
      <c r="K288" s="318"/>
      <c r="L288" s="397"/>
      <c r="M288" s="316"/>
      <c r="N288" s="317"/>
      <c r="O288" s="318"/>
      <c r="P288" s="397"/>
      <c r="Q288" s="199"/>
      <c r="R288" s="220"/>
      <c r="S288" s="400"/>
      <c r="T288" s="401"/>
      <c r="U288" s="199"/>
      <c r="V288" s="220"/>
      <c r="W288" s="400"/>
      <c r="X288" s="401"/>
      <c r="Y288" s="199"/>
      <c r="Z288" s="220"/>
      <c r="AA288" s="400"/>
      <c r="AB288" s="401"/>
      <c r="AC288" s="199"/>
      <c r="AD288" s="220"/>
      <c r="AE288" s="400"/>
      <c r="AF288" s="401"/>
      <c r="AG288" s="201"/>
      <c r="AH288" s="220"/>
      <c r="AI288" s="400"/>
      <c r="AJ288" s="401"/>
      <c r="AK288" s="397"/>
      <c r="AL288" s="397"/>
      <c r="AM288" s="397"/>
    </row>
    <row r="289">
      <c r="A289" s="316"/>
      <c r="B289" s="317"/>
      <c r="C289" s="318"/>
      <c r="D289" s="397"/>
      <c r="E289" s="316"/>
      <c r="F289" s="317"/>
      <c r="G289" s="318"/>
      <c r="H289" s="397"/>
      <c r="I289" s="316"/>
      <c r="J289" s="317"/>
      <c r="K289" s="318"/>
      <c r="L289" s="397"/>
      <c r="M289" s="316"/>
      <c r="N289" s="317"/>
      <c r="O289" s="318"/>
      <c r="P289" s="397"/>
      <c r="Q289" s="199"/>
      <c r="R289" s="220"/>
      <c r="S289" s="400"/>
      <c r="T289" s="401"/>
      <c r="U289" s="199"/>
      <c r="V289" s="220"/>
      <c r="W289" s="400"/>
      <c r="X289" s="401"/>
      <c r="Y289" s="199"/>
      <c r="Z289" s="220"/>
      <c r="AA289" s="400"/>
      <c r="AB289" s="401"/>
      <c r="AC289" s="199"/>
      <c r="AD289" s="220"/>
      <c r="AE289" s="400"/>
      <c r="AF289" s="401"/>
      <c r="AG289" s="201"/>
      <c r="AH289" s="220"/>
      <c r="AI289" s="400"/>
      <c r="AJ289" s="401"/>
      <c r="AK289" s="397"/>
      <c r="AL289" s="397"/>
      <c r="AM289" s="397"/>
    </row>
    <row r="290">
      <c r="A290" s="316"/>
      <c r="B290" s="317"/>
      <c r="C290" s="318"/>
      <c r="D290" s="397"/>
      <c r="E290" s="316"/>
      <c r="F290" s="317"/>
      <c r="G290" s="318"/>
      <c r="H290" s="397"/>
      <c r="I290" s="316"/>
      <c r="J290" s="317"/>
      <c r="K290" s="318"/>
      <c r="L290" s="397"/>
      <c r="M290" s="316"/>
      <c r="N290" s="317"/>
      <c r="O290" s="318"/>
      <c r="P290" s="397"/>
      <c r="Q290" s="199"/>
      <c r="R290" s="220"/>
      <c r="S290" s="400"/>
      <c r="T290" s="401"/>
      <c r="U290" s="199"/>
      <c r="V290" s="220"/>
      <c r="W290" s="400"/>
      <c r="X290" s="401"/>
      <c r="Y290" s="199"/>
      <c r="Z290" s="220"/>
      <c r="AA290" s="400"/>
      <c r="AB290" s="401"/>
      <c r="AC290" s="199"/>
      <c r="AD290" s="220"/>
      <c r="AE290" s="400"/>
      <c r="AF290" s="401"/>
      <c r="AG290" s="201"/>
      <c r="AH290" s="220"/>
      <c r="AI290" s="400"/>
      <c r="AJ290" s="401"/>
      <c r="AK290" s="397"/>
      <c r="AL290" s="397"/>
      <c r="AM290" s="397"/>
    </row>
    <row r="291">
      <c r="A291" s="316"/>
      <c r="B291" s="317"/>
      <c r="C291" s="318"/>
      <c r="D291" s="397"/>
      <c r="E291" s="316"/>
      <c r="F291" s="317"/>
      <c r="G291" s="318"/>
      <c r="H291" s="397"/>
      <c r="I291" s="316"/>
      <c r="J291" s="317"/>
      <c r="K291" s="318"/>
      <c r="L291" s="397"/>
      <c r="M291" s="316"/>
      <c r="N291" s="317"/>
      <c r="O291" s="318"/>
      <c r="P291" s="397"/>
      <c r="Q291" s="199"/>
      <c r="R291" s="220"/>
      <c r="S291" s="400"/>
      <c r="T291" s="401"/>
      <c r="U291" s="199"/>
      <c r="V291" s="220"/>
      <c r="W291" s="400"/>
      <c r="X291" s="401"/>
      <c r="Y291" s="199"/>
      <c r="Z291" s="220"/>
      <c r="AA291" s="400"/>
      <c r="AB291" s="401"/>
      <c r="AC291" s="199"/>
      <c r="AD291" s="220"/>
      <c r="AE291" s="400"/>
      <c r="AF291" s="401"/>
      <c r="AG291" s="201"/>
      <c r="AH291" s="220"/>
      <c r="AI291" s="400"/>
      <c r="AJ291" s="401"/>
      <c r="AK291" s="397"/>
      <c r="AL291" s="397"/>
      <c r="AM291" s="397"/>
    </row>
    <row r="292">
      <c r="A292" s="316"/>
      <c r="B292" s="317"/>
      <c r="C292" s="318"/>
      <c r="D292" s="397"/>
      <c r="E292" s="316"/>
      <c r="F292" s="317"/>
      <c r="G292" s="318"/>
      <c r="H292" s="397"/>
      <c r="I292" s="316"/>
      <c r="J292" s="317"/>
      <c r="K292" s="318"/>
      <c r="L292" s="397"/>
      <c r="M292" s="316"/>
      <c r="N292" s="317"/>
      <c r="O292" s="318"/>
      <c r="P292" s="397"/>
      <c r="Q292" s="199"/>
      <c r="R292" s="220"/>
      <c r="S292" s="400"/>
      <c r="T292" s="401"/>
      <c r="U292" s="199"/>
      <c r="V292" s="220"/>
      <c r="W292" s="400"/>
      <c r="X292" s="401"/>
      <c r="Y292" s="199"/>
      <c r="Z292" s="220"/>
      <c r="AA292" s="400"/>
      <c r="AB292" s="401"/>
      <c r="AC292" s="199"/>
      <c r="AD292" s="220"/>
      <c r="AE292" s="400"/>
      <c r="AF292" s="401"/>
      <c r="AG292" s="201"/>
      <c r="AH292" s="220"/>
      <c r="AI292" s="400"/>
      <c r="AJ292" s="401"/>
      <c r="AK292" s="397"/>
      <c r="AL292" s="397"/>
      <c r="AM292" s="397"/>
    </row>
    <row r="293">
      <c r="A293" s="316"/>
      <c r="B293" s="317"/>
      <c r="C293" s="318"/>
      <c r="D293" s="397"/>
      <c r="E293" s="316"/>
      <c r="F293" s="317"/>
      <c r="G293" s="318"/>
      <c r="H293" s="397"/>
      <c r="I293" s="316"/>
      <c r="J293" s="317"/>
      <c r="K293" s="318"/>
      <c r="L293" s="397"/>
      <c r="M293" s="316"/>
      <c r="N293" s="317"/>
      <c r="O293" s="318"/>
      <c r="P293" s="397"/>
      <c r="Q293" s="199"/>
      <c r="R293" s="220"/>
      <c r="S293" s="400"/>
      <c r="T293" s="401"/>
      <c r="U293" s="199"/>
      <c r="V293" s="220"/>
      <c r="W293" s="400"/>
      <c r="X293" s="401"/>
      <c r="Y293" s="199"/>
      <c r="Z293" s="220"/>
      <c r="AA293" s="400"/>
      <c r="AB293" s="401"/>
      <c r="AC293" s="199"/>
      <c r="AD293" s="220"/>
      <c r="AE293" s="400"/>
      <c r="AF293" s="401"/>
      <c r="AG293" s="201"/>
      <c r="AH293" s="220"/>
      <c r="AI293" s="400"/>
      <c r="AJ293" s="401"/>
      <c r="AK293" s="397"/>
      <c r="AL293" s="397"/>
      <c r="AM293" s="397"/>
    </row>
    <row r="294">
      <c r="A294" s="316"/>
      <c r="B294" s="317"/>
      <c r="C294" s="318"/>
      <c r="D294" s="397"/>
      <c r="E294" s="316"/>
      <c r="F294" s="317"/>
      <c r="G294" s="318"/>
      <c r="H294" s="397"/>
      <c r="I294" s="316"/>
      <c r="J294" s="317"/>
      <c r="K294" s="318"/>
      <c r="L294" s="397"/>
      <c r="M294" s="316"/>
      <c r="N294" s="317"/>
      <c r="O294" s="318"/>
      <c r="P294" s="397"/>
      <c r="Q294" s="199"/>
      <c r="R294" s="220"/>
      <c r="S294" s="400"/>
      <c r="T294" s="401"/>
      <c r="U294" s="199"/>
      <c r="V294" s="220"/>
      <c r="W294" s="400"/>
      <c r="X294" s="401"/>
      <c r="Y294" s="199"/>
      <c r="Z294" s="220"/>
      <c r="AA294" s="400"/>
      <c r="AB294" s="401"/>
      <c r="AC294" s="199"/>
      <c r="AD294" s="220"/>
      <c r="AE294" s="400"/>
      <c r="AF294" s="401"/>
      <c r="AG294" s="201"/>
      <c r="AH294" s="201"/>
      <c r="AI294" s="201"/>
      <c r="AJ294" s="201"/>
      <c r="AK294" s="397"/>
      <c r="AL294" s="397"/>
      <c r="AM294" s="397"/>
    </row>
    <row r="295">
      <c r="A295" s="316"/>
      <c r="B295" s="317"/>
      <c r="C295" s="318"/>
      <c r="D295" s="397"/>
      <c r="E295" s="316"/>
      <c r="F295" s="317"/>
      <c r="G295" s="318"/>
      <c r="H295" s="397"/>
      <c r="I295" s="316"/>
      <c r="J295" s="317"/>
      <c r="K295" s="318"/>
      <c r="L295" s="397"/>
      <c r="M295" s="316"/>
      <c r="N295" s="317"/>
      <c r="O295" s="318"/>
      <c r="P295" s="397"/>
      <c r="Q295" s="199"/>
      <c r="R295" s="220"/>
      <c r="S295" s="400"/>
      <c r="T295" s="401"/>
      <c r="U295" s="199"/>
      <c r="V295" s="220"/>
      <c r="W295" s="400"/>
      <c r="X295" s="401"/>
      <c r="Y295" s="199"/>
      <c r="Z295" s="220"/>
      <c r="AA295" s="400"/>
      <c r="AB295" s="401"/>
      <c r="AC295" s="199"/>
      <c r="AD295" s="220"/>
      <c r="AE295" s="400"/>
      <c r="AF295" s="401"/>
      <c r="AG295" s="201"/>
      <c r="AH295" s="201"/>
      <c r="AI295" s="201"/>
      <c r="AJ295" s="201"/>
      <c r="AK295" s="397"/>
      <c r="AL295" s="397"/>
      <c r="AM295" s="397"/>
    </row>
    <row r="296">
      <c r="A296" s="316"/>
      <c r="B296" s="317"/>
      <c r="C296" s="318"/>
      <c r="D296" s="397"/>
      <c r="E296" s="316"/>
      <c r="F296" s="317"/>
      <c r="G296" s="318"/>
      <c r="H296" s="397"/>
      <c r="I296" s="316"/>
      <c r="J296" s="317"/>
      <c r="K296" s="318"/>
      <c r="L296" s="397"/>
      <c r="M296" s="316"/>
      <c r="N296" s="317"/>
      <c r="O296" s="318"/>
      <c r="P296" s="397"/>
      <c r="Q296" s="199"/>
      <c r="R296" s="220"/>
      <c r="S296" s="400"/>
      <c r="T296" s="401"/>
      <c r="U296" s="199"/>
      <c r="V296" s="220"/>
      <c r="W296" s="400"/>
      <c r="X296" s="401"/>
      <c r="Y296" s="199"/>
      <c r="Z296" s="220"/>
      <c r="AA296" s="400"/>
      <c r="AB296" s="401"/>
      <c r="AC296" s="199"/>
      <c r="AD296" s="220"/>
      <c r="AE296" s="400"/>
      <c r="AF296" s="401"/>
      <c r="AG296" s="201"/>
      <c r="AH296" s="201"/>
      <c r="AI296" s="201"/>
      <c r="AJ296" s="201"/>
      <c r="AK296" s="397"/>
      <c r="AL296" s="397"/>
      <c r="AM296" s="397"/>
    </row>
    <row r="297">
      <c r="A297" s="316"/>
      <c r="B297" s="317"/>
      <c r="C297" s="318"/>
      <c r="D297" s="397"/>
      <c r="E297" s="316"/>
      <c r="F297" s="317"/>
      <c r="G297" s="318"/>
      <c r="H297" s="397"/>
      <c r="I297" s="316"/>
      <c r="J297" s="317"/>
      <c r="K297" s="318"/>
      <c r="L297" s="397"/>
      <c r="M297" s="316"/>
      <c r="N297" s="317"/>
      <c r="O297" s="318"/>
      <c r="P297" s="397"/>
      <c r="Q297" s="199"/>
      <c r="R297" s="220"/>
      <c r="S297" s="400"/>
      <c r="T297" s="401"/>
      <c r="U297" s="199"/>
      <c r="V297" s="220"/>
      <c r="W297" s="400"/>
      <c r="X297" s="401"/>
      <c r="Y297" s="199"/>
      <c r="Z297" s="220"/>
      <c r="AA297" s="400"/>
      <c r="AB297" s="401"/>
      <c r="AC297" s="199"/>
      <c r="AD297" s="220"/>
      <c r="AE297" s="400"/>
      <c r="AF297" s="401"/>
      <c r="AG297" s="201"/>
      <c r="AH297" s="201"/>
      <c r="AI297" s="201"/>
      <c r="AJ297" s="201"/>
      <c r="AK297" s="397"/>
      <c r="AL297" s="397"/>
      <c r="AM297" s="397"/>
    </row>
    <row r="298">
      <c r="A298" s="316"/>
      <c r="B298" s="317"/>
      <c r="C298" s="318"/>
      <c r="D298" s="397"/>
      <c r="E298" s="316"/>
      <c r="F298" s="317"/>
      <c r="G298" s="318"/>
      <c r="H298" s="397"/>
      <c r="I298" s="316"/>
      <c r="J298" s="317"/>
      <c r="K298" s="318"/>
      <c r="L298" s="397"/>
      <c r="M298" s="316"/>
      <c r="N298" s="317"/>
      <c r="O298" s="318"/>
      <c r="P298" s="397"/>
      <c r="Q298" s="199"/>
      <c r="R298" s="220"/>
      <c r="S298" s="400"/>
      <c r="T298" s="401"/>
      <c r="U298" s="199"/>
      <c r="V298" s="220"/>
      <c r="W298" s="400"/>
      <c r="X298" s="401"/>
      <c r="Y298" s="199"/>
      <c r="Z298" s="220"/>
      <c r="AA298" s="400"/>
      <c r="AB298" s="401"/>
      <c r="AC298" s="199"/>
      <c r="AD298" s="220"/>
      <c r="AE298" s="400"/>
      <c r="AF298" s="401"/>
      <c r="AG298" s="201"/>
      <c r="AH298" s="201"/>
      <c r="AI298" s="201"/>
      <c r="AJ298" s="201"/>
      <c r="AK298" s="397"/>
      <c r="AL298" s="397"/>
      <c r="AM298" s="397"/>
    </row>
    <row r="299">
      <c r="A299" s="316"/>
      <c r="B299" s="317"/>
      <c r="C299" s="318"/>
      <c r="D299" s="397"/>
      <c r="E299" s="316"/>
      <c r="F299" s="317"/>
      <c r="G299" s="318"/>
      <c r="H299" s="397"/>
      <c r="I299" s="316"/>
      <c r="J299" s="317"/>
      <c r="K299" s="318"/>
      <c r="L299" s="397"/>
      <c r="M299" s="316"/>
      <c r="N299" s="317"/>
      <c r="O299" s="318"/>
      <c r="P299" s="397"/>
      <c r="Q299" s="199"/>
      <c r="R299" s="220"/>
      <c r="S299" s="400"/>
      <c r="T299" s="401"/>
      <c r="U299" s="199"/>
      <c r="V299" s="220"/>
      <c r="W299" s="400"/>
      <c r="X299" s="401"/>
      <c r="Y299" s="199"/>
      <c r="Z299" s="220"/>
      <c r="AA299" s="400"/>
      <c r="AB299" s="401"/>
      <c r="AC299" s="199"/>
      <c r="AD299" s="220"/>
      <c r="AE299" s="400"/>
      <c r="AF299" s="401"/>
      <c r="AG299" s="201"/>
      <c r="AH299" s="201"/>
      <c r="AI299" s="201"/>
      <c r="AJ299" s="201"/>
      <c r="AK299" s="397"/>
      <c r="AL299" s="397"/>
      <c r="AM299" s="397"/>
    </row>
    <row r="300">
      <c r="A300" s="316"/>
      <c r="B300" s="317"/>
      <c r="C300" s="318"/>
      <c r="D300" s="397"/>
      <c r="E300" s="316"/>
      <c r="F300" s="317"/>
      <c r="G300" s="318"/>
      <c r="H300" s="397"/>
      <c r="I300" s="316"/>
      <c r="J300" s="317"/>
      <c r="K300" s="318"/>
      <c r="L300" s="397"/>
      <c r="M300" s="316"/>
      <c r="N300" s="317"/>
      <c r="O300" s="318"/>
      <c r="P300" s="397"/>
      <c r="Q300" s="199"/>
      <c r="R300" s="220"/>
      <c r="S300" s="400"/>
      <c r="T300" s="401"/>
      <c r="U300" s="199"/>
      <c r="V300" s="220"/>
      <c r="W300" s="400"/>
      <c r="X300" s="401"/>
      <c r="Y300" s="199"/>
      <c r="Z300" s="220"/>
      <c r="AA300" s="400"/>
      <c r="AB300" s="401"/>
      <c r="AC300" s="199"/>
      <c r="AD300" s="220"/>
      <c r="AE300" s="400"/>
      <c r="AF300" s="401"/>
      <c r="AG300" s="201"/>
      <c r="AH300" s="201"/>
      <c r="AI300" s="201"/>
      <c r="AJ300" s="201"/>
      <c r="AK300" s="397"/>
      <c r="AL300" s="397"/>
      <c r="AM300" s="397"/>
    </row>
    <row r="301">
      <c r="A301" s="316"/>
      <c r="B301" s="317"/>
      <c r="C301" s="318"/>
      <c r="D301" s="397"/>
      <c r="E301" s="316"/>
      <c r="F301" s="317"/>
      <c r="G301" s="318"/>
      <c r="H301" s="397"/>
      <c r="I301" s="316"/>
      <c r="J301" s="317"/>
      <c r="K301" s="318"/>
      <c r="L301" s="397"/>
      <c r="M301" s="316"/>
      <c r="N301" s="317"/>
      <c r="O301" s="318"/>
      <c r="P301" s="397"/>
      <c r="Q301" s="199"/>
      <c r="R301" s="220"/>
      <c r="S301" s="400"/>
      <c r="T301" s="401"/>
      <c r="U301" s="199"/>
      <c r="V301" s="220"/>
      <c r="W301" s="400"/>
      <c r="X301" s="401"/>
      <c r="Y301" s="199"/>
      <c r="Z301" s="220"/>
      <c r="AA301" s="400"/>
      <c r="AB301" s="401"/>
      <c r="AC301" s="199"/>
      <c r="AD301" s="220"/>
      <c r="AE301" s="400"/>
      <c r="AF301" s="401"/>
      <c r="AG301" s="201"/>
      <c r="AH301" s="201"/>
      <c r="AI301" s="201"/>
      <c r="AJ301" s="201"/>
      <c r="AK301" s="397"/>
      <c r="AL301" s="397"/>
      <c r="AM301" s="397"/>
    </row>
    <row r="302">
      <c r="A302" s="316"/>
      <c r="B302" s="317"/>
      <c r="C302" s="318"/>
      <c r="D302" s="397"/>
      <c r="E302" s="316"/>
      <c r="F302" s="317"/>
      <c r="G302" s="318"/>
      <c r="H302" s="397"/>
      <c r="I302" s="316"/>
      <c r="J302" s="317"/>
      <c r="K302" s="318"/>
      <c r="L302" s="397"/>
      <c r="M302" s="316"/>
      <c r="N302" s="317"/>
      <c r="O302" s="318"/>
      <c r="P302" s="397"/>
      <c r="Q302" s="199"/>
      <c r="R302" s="220"/>
      <c r="S302" s="400"/>
      <c r="T302" s="401"/>
      <c r="U302" s="199"/>
      <c r="V302" s="220"/>
      <c r="W302" s="400"/>
      <c r="X302" s="401"/>
      <c r="Y302" s="199"/>
      <c r="Z302" s="220"/>
      <c r="AA302" s="400"/>
      <c r="AB302" s="401"/>
      <c r="AC302" s="199"/>
      <c r="AD302" s="220"/>
      <c r="AE302" s="400"/>
      <c r="AF302" s="401"/>
      <c r="AG302" s="201"/>
      <c r="AH302" s="201"/>
      <c r="AI302" s="201"/>
      <c r="AJ302" s="201"/>
      <c r="AK302" s="397"/>
      <c r="AL302" s="397"/>
      <c r="AM302" s="397"/>
    </row>
    <row r="303">
      <c r="A303" s="316"/>
      <c r="B303" s="317"/>
      <c r="C303" s="318"/>
      <c r="D303" s="397"/>
      <c r="E303" s="316"/>
      <c r="F303" s="317"/>
      <c r="G303" s="318"/>
      <c r="H303" s="397"/>
      <c r="I303" s="316"/>
      <c r="J303" s="317"/>
      <c r="K303" s="318"/>
      <c r="L303" s="397"/>
      <c r="M303" s="316"/>
      <c r="N303" s="317"/>
      <c r="O303" s="318"/>
      <c r="P303" s="397"/>
      <c r="Q303" s="199"/>
      <c r="R303" s="220"/>
      <c r="S303" s="400"/>
      <c r="T303" s="401"/>
      <c r="U303" s="199"/>
      <c r="V303" s="220"/>
      <c r="W303" s="400"/>
      <c r="X303" s="401"/>
      <c r="Y303" s="199"/>
      <c r="Z303" s="220"/>
      <c r="AA303" s="400"/>
      <c r="AB303" s="401"/>
      <c r="AC303" s="199"/>
      <c r="AD303" s="220"/>
      <c r="AE303" s="400"/>
      <c r="AF303" s="401"/>
      <c r="AG303" s="201"/>
      <c r="AH303" s="201"/>
      <c r="AI303" s="201"/>
      <c r="AJ303" s="201"/>
      <c r="AK303" s="397"/>
      <c r="AL303" s="397"/>
      <c r="AM303" s="397"/>
    </row>
    <row r="304">
      <c r="A304" s="316"/>
      <c r="B304" s="317"/>
      <c r="C304" s="318"/>
      <c r="D304" s="397"/>
      <c r="E304" s="316"/>
      <c r="F304" s="317"/>
      <c r="G304" s="318"/>
      <c r="H304" s="397"/>
      <c r="I304" s="316"/>
      <c r="J304" s="317"/>
      <c r="K304" s="318"/>
      <c r="L304" s="397"/>
      <c r="M304" s="316"/>
      <c r="N304" s="317"/>
      <c r="O304" s="318"/>
      <c r="P304" s="397"/>
      <c r="Q304" s="199"/>
      <c r="R304" s="220"/>
      <c r="S304" s="400"/>
      <c r="T304" s="401"/>
      <c r="U304" s="199"/>
      <c r="V304" s="220"/>
      <c r="W304" s="400"/>
      <c r="X304" s="401"/>
      <c r="Y304" s="199"/>
      <c r="Z304" s="220"/>
      <c r="AA304" s="400"/>
      <c r="AB304" s="401"/>
      <c r="AC304" s="199"/>
      <c r="AD304" s="220"/>
      <c r="AE304" s="400"/>
      <c r="AF304" s="401"/>
      <c r="AG304" s="201"/>
      <c r="AH304" s="201"/>
      <c r="AI304" s="201"/>
      <c r="AJ304" s="201"/>
      <c r="AK304" s="397"/>
      <c r="AL304" s="397"/>
      <c r="AM304" s="397"/>
    </row>
    <row r="305">
      <c r="A305" s="316"/>
      <c r="B305" s="317"/>
      <c r="C305" s="318"/>
      <c r="D305" s="397"/>
      <c r="E305" s="316"/>
      <c r="F305" s="317"/>
      <c r="G305" s="318"/>
      <c r="H305" s="397"/>
      <c r="I305" s="316"/>
      <c r="J305" s="317"/>
      <c r="K305" s="318"/>
      <c r="L305" s="397"/>
      <c r="M305" s="316"/>
      <c r="N305" s="317"/>
      <c r="O305" s="318"/>
      <c r="P305" s="397"/>
      <c r="Q305" s="199"/>
      <c r="R305" s="220"/>
      <c r="S305" s="400"/>
      <c r="T305" s="401"/>
      <c r="U305" s="199"/>
      <c r="V305" s="220"/>
      <c r="W305" s="400"/>
      <c r="X305" s="401"/>
      <c r="Y305" s="199"/>
      <c r="Z305" s="220"/>
      <c r="AA305" s="400"/>
      <c r="AB305" s="401"/>
      <c r="AC305" s="199"/>
      <c r="AD305" s="220"/>
      <c r="AE305" s="400"/>
      <c r="AF305" s="401"/>
      <c r="AG305" s="201"/>
      <c r="AH305" s="201"/>
      <c r="AI305" s="201"/>
      <c r="AJ305" s="201"/>
      <c r="AK305" s="397"/>
      <c r="AL305" s="397"/>
      <c r="AM305" s="397"/>
    </row>
    <row r="306">
      <c r="A306" s="316"/>
      <c r="B306" s="317"/>
      <c r="C306" s="318"/>
      <c r="D306" s="397"/>
      <c r="E306" s="316"/>
      <c r="F306" s="317"/>
      <c r="G306" s="318"/>
      <c r="H306" s="397"/>
      <c r="I306" s="316"/>
      <c r="J306" s="317"/>
      <c r="K306" s="318"/>
      <c r="L306" s="397"/>
      <c r="M306" s="316"/>
      <c r="N306" s="317"/>
      <c r="O306" s="318"/>
      <c r="P306" s="397"/>
      <c r="Q306" s="199"/>
      <c r="R306" s="220"/>
      <c r="S306" s="400"/>
      <c r="T306" s="401"/>
      <c r="U306" s="199"/>
      <c r="V306" s="220"/>
      <c r="W306" s="400"/>
      <c r="X306" s="401"/>
      <c r="Y306" s="199"/>
      <c r="Z306" s="220"/>
      <c r="AA306" s="400"/>
      <c r="AB306" s="401"/>
      <c r="AC306" s="199"/>
      <c r="AD306" s="220"/>
      <c r="AE306" s="400"/>
      <c r="AF306" s="401"/>
      <c r="AG306" s="201"/>
      <c r="AH306" s="201"/>
      <c r="AI306" s="201"/>
      <c r="AJ306" s="201"/>
      <c r="AK306" s="397"/>
      <c r="AL306" s="397"/>
      <c r="AM306" s="397"/>
    </row>
    <row r="307">
      <c r="A307" s="316"/>
      <c r="B307" s="317"/>
      <c r="C307" s="318"/>
      <c r="D307" s="397"/>
      <c r="E307" s="316"/>
      <c r="F307" s="317"/>
      <c r="G307" s="318"/>
      <c r="H307" s="397"/>
      <c r="I307" s="316"/>
      <c r="J307" s="317"/>
      <c r="K307" s="318"/>
      <c r="L307" s="397"/>
      <c r="M307" s="316"/>
      <c r="N307" s="317"/>
      <c r="O307" s="318"/>
      <c r="P307" s="397"/>
      <c r="Q307" s="199"/>
      <c r="R307" s="220"/>
      <c r="S307" s="400"/>
      <c r="T307" s="401"/>
      <c r="U307" s="199"/>
      <c r="V307" s="220"/>
      <c r="W307" s="400"/>
      <c r="X307" s="401"/>
      <c r="Y307" s="199"/>
      <c r="Z307" s="220"/>
      <c r="AA307" s="400"/>
      <c r="AB307" s="401"/>
      <c r="AC307" s="199"/>
      <c r="AD307" s="220"/>
      <c r="AE307" s="400"/>
      <c r="AF307" s="401"/>
      <c r="AG307" s="201"/>
      <c r="AH307" s="201"/>
      <c r="AI307" s="201"/>
      <c r="AJ307" s="201"/>
      <c r="AK307" s="397"/>
      <c r="AL307" s="397"/>
      <c r="AM307" s="397"/>
    </row>
    <row r="308">
      <c r="A308" s="316"/>
      <c r="B308" s="317"/>
      <c r="C308" s="318"/>
      <c r="D308" s="397"/>
      <c r="E308" s="316"/>
      <c r="F308" s="317"/>
      <c r="G308" s="318"/>
      <c r="H308" s="397"/>
      <c r="I308" s="316"/>
      <c r="J308" s="317"/>
      <c r="K308" s="318"/>
      <c r="L308" s="397"/>
      <c r="M308" s="316"/>
      <c r="N308" s="317"/>
      <c r="O308" s="318"/>
      <c r="P308" s="397"/>
      <c r="Q308" s="199"/>
      <c r="R308" s="220"/>
      <c r="S308" s="400"/>
      <c r="T308" s="401"/>
      <c r="U308" s="199"/>
      <c r="V308" s="220"/>
      <c r="W308" s="400"/>
      <c r="X308" s="401"/>
      <c r="Y308" s="199"/>
      <c r="Z308" s="220"/>
      <c r="AA308" s="400"/>
      <c r="AB308" s="401"/>
      <c r="AC308" s="199"/>
      <c r="AD308" s="220"/>
      <c r="AE308" s="400"/>
      <c r="AF308" s="401"/>
      <c r="AG308" s="201"/>
      <c r="AH308" s="201"/>
      <c r="AI308" s="201"/>
      <c r="AJ308" s="201"/>
      <c r="AK308" s="397"/>
      <c r="AL308" s="397"/>
      <c r="AM308" s="397"/>
    </row>
    <row r="309">
      <c r="A309" s="316"/>
      <c r="B309" s="317"/>
      <c r="C309" s="318"/>
      <c r="D309" s="397"/>
      <c r="E309" s="316"/>
      <c r="F309" s="317"/>
      <c r="G309" s="318"/>
      <c r="H309" s="397"/>
      <c r="I309" s="316"/>
      <c r="J309" s="317"/>
      <c r="K309" s="318"/>
      <c r="L309" s="397"/>
      <c r="M309" s="316"/>
      <c r="N309" s="317"/>
      <c r="O309" s="318"/>
      <c r="P309" s="397"/>
      <c r="Q309" s="199"/>
      <c r="R309" s="220"/>
      <c r="S309" s="400"/>
      <c r="T309" s="401"/>
      <c r="U309" s="199"/>
      <c r="V309" s="220"/>
      <c r="W309" s="400"/>
      <c r="X309" s="401"/>
      <c r="Y309" s="199"/>
      <c r="Z309" s="220"/>
      <c r="AA309" s="400"/>
      <c r="AB309" s="401"/>
      <c r="AC309" s="199"/>
      <c r="AD309" s="220"/>
      <c r="AE309" s="400"/>
      <c r="AF309" s="401"/>
      <c r="AG309" s="201"/>
      <c r="AH309" s="201"/>
      <c r="AI309" s="201"/>
      <c r="AJ309" s="201"/>
      <c r="AK309" s="397"/>
      <c r="AL309" s="397"/>
      <c r="AM309" s="397"/>
    </row>
    <row r="310">
      <c r="A310" s="316"/>
      <c r="B310" s="317"/>
      <c r="C310" s="318"/>
      <c r="D310" s="397"/>
      <c r="E310" s="316"/>
      <c r="F310" s="317"/>
      <c r="G310" s="318"/>
      <c r="H310" s="397"/>
      <c r="I310" s="316"/>
      <c r="J310" s="317"/>
      <c r="K310" s="318"/>
      <c r="L310" s="397"/>
      <c r="M310" s="316"/>
      <c r="N310" s="317"/>
      <c r="O310" s="318"/>
      <c r="P310" s="397"/>
      <c r="Q310" s="199"/>
      <c r="R310" s="220"/>
      <c r="S310" s="400"/>
      <c r="T310" s="401"/>
      <c r="U310" s="199"/>
      <c r="V310" s="220"/>
      <c r="W310" s="400"/>
      <c r="X310" s="401"/>
      <c r="Y310" s="199"/>
      <c r="Z310" s="220"/>
      <c r="AA310" s="400"/>
      <c r="AB310" s="401"/>
      <c r="AC310" s="199"/>
      <c r="AD310" s="220"/>
      <c r="AE310" s="400"/>
      <c r="AF310" s="401"/>
      <c r="AG310" s="201"/>
      <c r="AH310" s="201"/>
      <c r="AI310" s="201"/>
      <c r="AJ310" s="201"/>
      <c r="AK310" s="397"/>
      <c r="AL310" s="397"/>
      <c r="AM310" s="397"/>
    </row>
    <row r="311">
      <c r="A311" s="316"/>
      <c r="B311" s="317"/>
      <c r="C311" s="318"/>
      <c r="D311" s="397"/>
      <c r="E311" s="316"/>
      <c r="F311" s="317"/>
      <c r="G311" s="318"/>
      <c r="H311" s="397"/>
      <c r="I311" s="316"/>
      <c r="J311" s="317"/>
      <c r="K311" s="318"/>
      <c r="L311" s="397"/>
      <c r="M311" s="316"/>
      <c r="N311" s="317"/>
      <c r="O311" s="318"/>
      <c r="P311" s="397"/>
      <c r="Q311" s="199"/>
      <c r="R311" s="220"/>
      <c r="S311" s="400"/>
      <c r="T311" s="401"/>
      <c r="U311" s="199"/>
      <c r="V311" s="220"/>
      <c r="W311" s="400"/>
      <c r="X311" s="401"/>
      <c r="Y311" s="199"/>
      <c r="Z311" s="220"/>
      <c r="AA311" s="400"/>
      <c r="AB311" s="401"/>
      <c r="AC311" s="199"/>
      <c r="AD311" s="220"/>
      <c r="AE311" s="400"/>
      <c r="AF311" s="401"/>
      <c r="AG311" s="201"/>
      <c r="AH311" s="201"/>
      <c r="AI311" s="201"/>
      <c r="AJ311" s="201"/>
      <c r="AK311" s="397"/>
      <c r="AL311" s="397"/>
      <c r="AM311" s="397"/>
    </row>
    <row r="312">
      <c r="A312" s="316"/>
      <c r="B312" s="317"/>
      <c r="C312" s="318"/>
      <c r="D312" s="397"/>
      <c r="E312" s="316"/>
      <c r="F312" s="317"/>
      <c r="G312" s="318"/>
      <c r="H312" s="397"/>
      <c r="I312" s="316"/>
      <c r="J312" s="317"/>
      <c r="K312" s="318"/>
      <c r="L312" s="397"/>
      <c r="M312" s="316"/>
      <c r="N312" s="317"/>
      <c r="O312" s="318"/>
      <c r="P312" s="397"/>
      <c r="Q312" s="199"/>
      <c r="R312" s="220"/>
      <c r="S312" s="400"/>
      <c r="T312" s="401"/>
      <c r="U312" s="199"/>
      <c r="V312" s="220"/>
      <c r="W312" s="400"/>
      <c r="X312" s="401"/>
      <c r="Y312" s="199"/>
      <c r="Z312" s="220"/>
      <c r="AA312" s="400"/>
      <c r="AB312" s="401"/>
      <c r="AC312" s="199"/>
      <c r="AD312" s="220"/>
      <c r="AE312" s="400"/>
      <c r="AF312" s="401"/>
      <c r="AG312" s="201"/>
      <c r="AH312" s="201"/>
      <c r="AI312" s="201"/>
      <c r="AJ312" s="201"/>
      <c r="AK312" s="397"/>
      <c r="AL312" s="397"/>
      <c r="AM312" s="397"/>
    </row>
    <row r="313">
      <c r="A313" s="316"/>
      <c r="B313" s="317"/>
      <c r="C313" s="318"/>
      <c r="D313" s="397"/>
      <c r="E313" s="316"/>
      <c r="F313" s="317"/>
      <c r="G313" s="318"/>
      <c r="H313" s="397"/>
      <c r="I313" s="316"/>
      <c r="J313" s="317"/>
      <c r="K313" s="318"/>
      <c r="L313" s="397"/>
      <c r="M313" s="316"/>
      <c r="N313" s="317"/>
      <c r="O313" s="318"/>
      <c r="P313" s="397"/>
      <c r="Q313" s="199"/>
      <c r="R313" s="220"/>
      <c r="S313" s="400"/>
      <c r="T313" s="401"/>
      <c r="U313" s="199"/>
      <c r="V313" s="220"/>
      <c r="W313" s="400"/>
      <c r="X313" s="401"/>
      <c r="Y313" s="199"/>
      <c r="Z313" s="220"/>
      <c r="AA313" s="400"/>
      <c r="AB313" s="401"/>
      <c r="AC313" s="199"/>
      <c r="AD313" s="220"/>
      <c r="AE313" s="400"/>
      <c r="AF313" s="401"/>
      <c r="AG313" s="201"/>
      <c r="AH313" s="201"/>
      <c r="AI313" s="201"/>
      <c r="AJ313" s="201"/>
      <c r="AK313" s="397"/>
      <c r="AL313" s="397"/>
      <c r="AM313" s="397"/>
    </row>
    <row r="314">
      <c r="A314" s="316"/>
      <c r="B314" s="317"/>
      <c r="C314" s="318"/>
      <c r="D314" s="397"/>
      <c r="E314" s="316"/>
      <c r="F314" s="317"/>
      <c r="G314" s="318"/>
      <c r="H314" s="397"/>
      <c r="I314" s="316"/>
      <c r="J314" s="317"/>
      <c r="K314" s="318"/>
      <c r="L314" s="397"/>
      <c r="M314" s="316"/>
      <c r="N314" s="317"/>
      <c r="O314" s="318"/>
      <c r="P314" s="397"/>
      <c r="Q314" s="199"/>
      <c r="R314" s="220"/>
      <c r="S314" s="400"/>
      <c r="T314" s="401"/>
      <c r="U314" s="199"/>
      <c r="V314" s="220"/>
      <c r="W314" s="400"/>
      <c r="X314" s="401"/>
      <c r="Y314" s="199"/>
      <c r="Z314" s="220"/>
      <c r="AA314" s="400"/>
      <c r="AB314" s="401"/>
      <c r="AC314" s="199"/>
      <c r="AD314" s="220"/>
      <c r="AE314" s="400"/>
      <c r="AF314" s="401"/>
      <c r="AG314" s="201"/>
      <c r="AH314" s="201"/>
      <c r="AI314" s="201"/>
      <c r="AJ314" s="201"/>
      <c r="AK314" s="397"/>
      <c r="AL314" s="397"/>
      <c r="AM314" s="397"/>
    </row>
    <row r="315">
      <c r="A315" s="316"/>
      <c r="B315" s="317"/>
      <c r="C315" s="318"/>
      <c r="D315" s="397"/>
      <c r="E315" s="316"/>
      <c r="F315" s="317"/>
      <c r="G315" s="318"/>
      <c r="H315" s="397"/>
      <c r="I315" s="316"/>
      <c r="J315" s="317"/>
      <c r="K315" s="318"/>
      <c r="L315" s="397"/>
      <c r="M315" s="316"/>
      <c r="N315" s="317"/>
      <c r="O315" s="318"/>
      <c r="P315" s="397"/>
      <c r="Q315" s="199"/>
      <c r="R315" s="220"/>
      <c r="S315" s="400"/>
      <c r="T315" s="401"/>
      <c r="U315" s="199"/>
      <c r="V315" s="220"/>
      <c r="W315" s="400"/>
      <c r="X315" s="401"/>
      <c r="Y315" s="199"/>
      <c r="Z315" s="220"/>
      <c r="AA315" s="400"/>
      <c r="AB315" s="401"/>
      <c r="AC315" s="199"/>
      <c r="AD315" s="220"/>
      <c r="AE315" s="400"/>
      <c r="AF315" s="401"/>
      <c r="AG315" s="201"/>
      <c r="AH315" s="201"/>
      <c r="AI315" s="201"/>
      <c r="AJ315" s="201"/>
      <c r="AK315" s="397"/>
      <c r="AL315" s="397"/>
      <c r="AM315" s="397"/>
    </row>
    <row r="316">
      <c r="A316" s="316"/>
      <c r="B316" s="317"/>
      <c r="C316" s="318"/>
      <c r="D316" s="397"/>
      <c r="E316" s="316"/>
      <c r="F316" s="317"/>
      <c r="G316" s="318"/>
      <c r="H316" s="397"/>
      <c r="I316" s="316"/>
      <c r="J316" s="317"/>
      <c r="K316" s="318"/>
      <c r="L316" s="397"/>
      <c r="M316" s="316"/>
      <c r="N316" s="317"/>
      <c r="O316" s="318"/>
      <c r="P316" s="397"/>
      <c r="Q316" s="199"/>
      <c r="R316" s="220"/>
      <c r="S316" s="400"/>
      <c r="T316" s="401"/>
      <c r="U316" s="199"/>
      <c r="V316" s="220"/>
      <c r="W316" s="400"/>
      <c r="X316" s="401"/>
      <c r="Y316" s="199"/>
      <c r="Z316" s="220"/>
      <c r="AA316" s="400"/>
      <c r="AB316" s="401"/>
      <c r="AC316" s="199"/>
      <c r="AD316" s="220"/>
      <c r="AE316" s="400"/>
      <c r="AF316" s="401"/>
      <c r="AG316" s="201"/>
      <c r="AH316" s="201"/>
      <c r="AI316" s="201"/>
      <c r="AJ316" s="201"/>
      <c r="AK316" s="397"/>
      <c r="AL316" s="397"/>
      <c r="AM316" s="397"/>
    </row>
    <row r="317">
      <c r="A317" s="316"/>
      <c r="B317" s="317"/>
      <c r="C317" s="318"/>
      <c r="D317" s="397"/>
      <c r="E317" s="316"/>
      <c r="F317" s="317"/>
      <c r="G317" s="318"/>
      <c r="H317" s="397"/>
      <c r="I317" s="316"/>
      <c r="J317" s="317"/>
      <c r="K317" s="318"/>
      <c r="L317" s="397"/>
      <c r="M317" s="316"/>
      <c r="N317" s="317"/>
      <c r="O317" s="318"/>
      <c r="P317" s="397"/>
      <c r="Q317" s="199"/>
      <c r="R317" s="220"/>
      <c r="S317" s="400"/>
      <c r="T317" s="401"/>
      <c r="U317" s="199"/>
      <c r="V317" s="220"/>
      <c r="W317" s="400"/>
      <c r="X317" s="401"/>
      <c r="Y317" s="199"/>
      <c r="Z317" s="220"/>
      <c r="AA317" s="400"/>
      <c r="AB317" s="401"/>
      <c r="AC317" s="199"/>
      <c r="AD317" s="220"/>
      <c r="AE317" s="400"/>
      <c r="AF317" s="401"/>
      <c r="AG317" s="201"/>
      <c r="AH317" s="201"/>
      <c r="AI317" s="201"/>
      <c r="AJ317" s="201"/>
      <c r="AK317" s="397"/>
      <c r="AL317" s="397"/>
      <c r="AM317" s="397"/>
    </row>
    <row r="318">
      <c r="A318" s="316"/>
      <c r="B318" s="317"/>
      <c r="C318" s="318"/>
      <c r="D318" s="397"/>
      <c r="E318" s="316"/>
      <c r="F318" s="317"/>
      <c r="G318" s="318"/>
      <c r="H318" s="397"/>
      <c r="I318" s="316"/>
      <c r="J318" s="317"/>
      <c r="K318" s="318"/>
      <c r="L318" s="397"/>
      <c r="M318" s="316"/>
      <c r="N318" s="317"/>
      <c r="O318" s="318"/>
      <c r="P318" s="397"/>
      <c r="Q318" s="199"/>
      <c r="R318" s="220"/>
      <c r="S318" s="400"/>
      <c r="T318" s="401"/>
      <c r="U318" s="199"/>
      <c r="V318" s="220"/>
      <c r="W318" s="400"/>
      <c r="X318" s="401"/>
      <c r="Y318" s="199"/>
      <c r="Z318" s="220"/>
      <c r="AA318" s="400"/>
      <c r="AB318" s="401"/>
      <c r="AC318" s="199"/>
      <c r="AD318" s="220"/>
      <c r="AE318" s="400"/>
      <c r="AF318" s="401"/>
      <c r="AG318" s="201"/>
      <c r="AH318" s="201"/>
      <c r="AI318" s="201"/>
      <c r="AJ318" s="201"/>
      <c r="AK318" s="397"/>
      <c r="AL318" s="397"/>
      <c r="AM318" s="397"/>
    </row>
    <row r="319">
      <c r="A319" s="316"/>
      <c r="B319" s="317"/>
      <c r="C319" s="318"/>
      <c r="D319" s="397"/>
      <c r="E319" s="316"/>
      <c r="F319" s="317"/>
      <c r="G319" s="318"/>
      <c r="H319" s="397"/>
      <c r="I319" s="316"/>
      <c r="J319" s="317"/>
      <c r="K319" s="318"/>
      <c r="L319" s="397"/>
      <c r="M319" s="316"/>
      <c r="N319" s="317"/>
      <c r="O319" s="318"/>
      <c r="P319" s="397"/>
      <c r="Q319" s="199"/>
      <c r="R319" s="220"/>
      <c r="S319" s="400"/>
      <c r="T319" s="401"/>
      <c r="U319" s="199"/>
      <c r="V319" s="220"/>
      <c r="W319" s="400"/>
      <c r="X319" s="401"/>
      <c r="Y319" s="199"/>
      <c r="Z319" s="220"/>
      <c r="AA319" s="400"/>
      <c r="AB319" s="401"/>
      <c r="AC319" s="199"/>
      <c r="AD319" s="220"/>
      <c r="AE319" s="400"/>
      <c r="AF319" s="401"/>
      <c r="AG319" s="201"/>
      <c r="AH319" s="201"/>
      <c r="AI319" s="201"/>
      <c r="AJ319" s="201"/>
      <c r="AK319" s="397"/>
      <c r="AL319" s="397"/>
      <c r="AM319" s="397"/>
    </row>
    <row r="320">
      <c r="A320" s="316"/>
      <c r="B320" s="317"/>
      <c r="C320" s="318"/>
      <c r="D320" s="397"/>
      <c r="E320" s="316"/>
      <c r="F320" s="317"/>
      <c r="G320" s="318"/>
      <c r="H320" s="397"/>
      <c r="I320" s="316"/>
      <c r="J320" s="317"/>
      <c r="K320" s="318"/>
      <c r="L320" s="397"/>
      <c r="M320" s="316"/>
      <c r="N320" s="317"/>
      <c r="O320" s="318"/>
      <c r="P320" s="397"/>
      <c r="Q320" s="199"/>
      <c r="R320" s="220"/>
      <c r="S320" s="400"/>
      <c r="T320" s="401"/>
      <c r="U320" s="199"/>
      <c r="V320" s="220"/>
      <c r="W320" s="400"/>
      <c r="X320" s="401"/>
      <c r="Y320" s="199"/>
      <c r="Z320" s="220"/>
      <c r="AA320" s="400"/>
      <c r="AB320" s="401"/>
      <c r="AC320" s="199"/>
      <c r="AD320" s="220"/>
      <c r="AE320" s="400"/>
      <c r="AF320" s="401"/>
      <c r="AG320" s="201"/>
      <c r="AH320" s="201"/>
      <c r="AI320" s="201"/>
      <c r="AJ320" s="201"/>
      <c r="AK320" s="397"/>
      <c r="AL320" s="397"/>
      <c r="AM320" s="397"/>
    </row>
    <row r="321">
      <c r="A321" s="316"/>
      <c r="B321" s="317"/>
      <c r="C321" s="318"/>
      <c r="D321" s="397"/>
      <c r="E321" s="316"/>
      <c r="F321" s="317"/>
      <c r="G321" s="318"/>
      <c r="H321" s="397"/>
      <c r="I321" s="316"/>
      <c r="J321" s="317"/>
      <c r="K321" s="318"/>
      <c r="L321" s="397"/>
      <c r="M321" s="316"/>
      <c r="N321" s="317"/>
      <c r="O321" s="318"/>
      <c r="P321" s="397"/>
      <c r="Q321" s="199"/>
      <c r="R321" s="220"/>
      <c r="S321" s="400"/>
      <c r="T321" s="401"/>
      <c r="U321" s="199"/>
      <c r="V321" s="220"/>
      <c r="W321" s="400"/>
      <c r="X321" s="401"/>
      <c r="Y321" s="199"/>
      <c r="Z321" s="220"/>
      <c r="AA321" s="400"/>
      <c r="AB321" s="401"/>
      <c r="AC321" s="199"/>
      <c r="AD321" s="220"/>
      <c r="AE321" s="400"/>
      <c r="AF321" s="401"/>
      <c r="AG321" s="201"/>
      <c r="AH321" s="201"/>
      <c r="AI321" s="201"/>
      <c r="AJ321" s="201"/>
      <c r="AK321" s="397"/>
      <c r="AL321" s="397"/>
      <c r="AM321" s="397"/>
    </row>
    <row r="322">
      <c r="A322" s="316"/>
      <c r="B322" s="317"/>
      <c r="C322" s="318"/>
      <c r="D322" s="397"/>
      <c r="E322" s="316"/>
      <c r="F322" s="317"/>
      <c r="G322" s="318"/>
      <c r="H322" s="397"/>
      <c r="I322" s="316"/>
      <c r="J322" s="317"/>
      <c r="K322" s="318"/>
      <c r="L322" s="397"/>
      <c r="M322" s="316"/>
      <c r="N322" s="317"/>
      <c r="O322" s="318"/>
      <c r="P322" s="397"/>
      <c r="Q322" s="199"/>
      <c r="R322" s="220"/>
      <c r="S322" s="400"/>
      <c r="T322" s="401"/>
      <c r="U322" s="199"/>
      <c r="V322" s="220"/>
      <c r="W322" s="400"/>
      <c r="X322" s="401"/>
      <c r="Y322" s="199"/>
      <c r="Z322" s="220"/>
      <c r="AA322" s="400"/>
      <c r="AB322" s="401"/>
      <c r="AC322" s="199"/>
      <c r="AD322" s="220"/>
      <c r="AE322" s="400"/>
      <c r="AF322" s="401"/>
      <c r="AG322" s="201"/>
      <c r="AH322" s="201"/>
      <c r="AI322" s="201"/>
      <c r="AJ322" s="201"/>
      <c r="AK322" s="397"/>
      <c r="AL322" s="397"/>
      <c r="AM322" s="397"/>
    </row>
    <row r="323">
      <c r="A323" s="316"/>
      <c r="B323" s="317"/>
      <c r="C323" s="318"/>
      <c r="D323" s="397"/>
      <c r="E323" s="316"/>
      <c r="F323" s="317"/>
      <c r="G323" s="318"/>
      <c r="H323" s="397"/>
      <c r="I323" s="316"/>
      <c r="J323" s="317"/>
      <c r="K323" s="318"/>
      <c r="L323" s="397"/>
      <c r="M323" s="316"/>
      <c r="N323" s="317"/>
      <c r="O323" s="318"/>
      <c r="P323" s="397"/>
      <c r="Q323" s="199"/>
      <c r="R323" s="220"/>
      <c r="S323" s="400"/>
      <c r="T323" s="401"/>
      <c r="U323" s="199"/>
      <c r="V323" s="220"/>
      <c r="W323" s="400"/>
      <c r="X323" s="401"/>
      <c r="Y323" s="199"/>
      <c r="Z323" s="220"/>
      <c r="AA323" s="400"/>
      <c r="AB323" s="401"/>
      <c r="AC323" s="199"/>
      <c r="AD323" s="220"/>
      <c r="AE323" s="400"/>
      <c r="AF323" s="401"/>
      <c r="AG323" s="201"/>
      <c r="AH323" s="201"/>
      <c r="AI323" s="201"/>
      <c r="AJ323" s="201"/>
      <c r="AK323" s="397"/>
      <c r="AL323" s="397"/>
      <c r="AM323" s="397"/>
    </row>
    <row r="324">
      <c r="A324" s="316"/>
      <c r="B324" s="317"/>
      <c r="C324" s="318"/>
      <c r="D324" s="397"/>
      <c r="E324" s="316"/>
      <c r="F324" s="317"/>
      <c r="G324" s="318"/>
      <c r="H324" s="397"/>
      <c r="I324" s="316"/>
      <c r="J324" s="317"/>
      <c r="K324" s="318"/>
      <c r="L324" s="397"/>
      <c r="M324" s="316"/>
      <c r="N324" s="317"/>
      <c r="O324" s="318"/>
      <c r="P324" s="397"/>
      <c r="Q324" s="199"/>
      <c r="R324" s="220"/>
      <c r="S324" s="400"/>
      <c r="T324" s="401"/>
      <c r="U324" s="199"/>
      <c r="V324" s="220"/>
      <c r="W324" s="400"/>
      <c r="X324" s="401"/>
      <c r="Y324" s="199"/>
      <c r="Z324" s="220"/>
      <c r="AA324" s="400"/>
      <c r="AB324" s="401"/>
      <c r="AC324" s="199"/>
      <c r="AD324" s="220"/>
      <c r="AE324" s="400"/>
      <c r="AF324" s="401"/>
      <c r="AG324" s="201"/>
      <c r="AH324" s="201"/>
      <c r="AI324" s="201"/>
      <c r="AJ324" s="201"/>
      <c r="AK324" s="397"/>
      <c r="AL324" s="397"/>
      <c r="AM324" s="397"/>
    </row>
    <row r="325">
      <c r="A325" s="316"/>
      <c r="B325" s="317"/>
      <c r="C325" s="318"/>
      <c r="D325" s="397"/>
      <c r="E325" s="316"/>
      <c r="F325" s="317"/>
      <c r="G325" s="318"/>
      <c r="H325" s="397"/>
      <c r="I325" s="316"/>
      <c r="J325" s="317"/>
      <c r="K325" s="318"/>
      <c r="L325" s="397"/>
      <c r="M325" s="316"/>
      <c r="N325" s="317"/>
      <c r="O325" s="318"/>
      <c r="P325" s="397"/>
      <c r="Q325" s="199"/>
      <c r="R325" s="220"/>
      <c r="S325" s="400"/>
      <c r="T325" s="401"/>
      <c r="U325" s="199"/>
      <c r="V325" s="220"/>
      <c r="W325" s="400"/>
      <c r="X325" s="401"/>
      <c r="Y325" s="199"/>
      <c r="Z325" s="220"/>
      <c r="AA325" s="400"/>
      <c r="AB325" s="401"/>
      <c r="AC325" s="199"/>
      <c r="AD325" s="220"/>
      <c r="AE325" s="400"/>
      <c r="AF325" s="401"/>
      <c r="AG325" s="201"/>
      <c r="AH325" s="201"/>
      <c r="AI325" s="201"/>
      <c r="AJ325" s="201"/>
      <c r="AK325" s="397"/>
      <c r="AL325" s="397"/>
      <c r="AM325" s="397"/>
    </row>
    <row r="326">
      <c r="A326" s="316"/>
      <c r="B326" s="317"/>
      <c r="C326" s="318"/>
      <c r="D326" s="397"/>
      <c r="E326" s="316"/>
      <c r="F326" s="317"/>
      <c r="G326" s="318"/>
      <c r="H326" s="397"/>
      <c r="I326" s="316"/>
      <c r="J326" s="317"/>
      <c r="K326" s="318"/>
      <c r="L326" s="397"/>
      <c r="M326" s="316"/>
      <c r="N326" s="317"/>
      <c r="O326" s="318"/>
      <c r="P326" s="397"/>
      <c r="Q326" s="199"/>
      <c r="R326" s="220"/>
      <c r="S326" s="400"/>
      <c r="T326" s="401"/>
      <c r="U326" s="199"/>
      <c r="V326" s="220"/>
      <c r="W326" s="400"/>
      <c r="X326" s="401"/>
      <c r="Y326" s="199"/>
      <c r="Z326" s="220"/>
      <c r="AA326" s="400"/>
      <c r="AB326" s="401"/>
      <c r="AC326" s="199"/>
      <c r="AD326" s="220"/>
      <c r="AE326" s="400"/>
      <c r="AF326" s="401"/>
      <c r="AG326" s="201"/>
      <c r="AH326" s="201"/>
      <c r="AI326" s="201"/>
      <c r="AJ326" s="201"/>
      <c r="AK326" s="397"/>
      <c r="AL326" s="397"/>
      <c r="AM326" s="397"/>
    </row>
    <row r="327">
      <c r="A327" s="316"/>
      <c r="B327" s="317"/>
      <c r="C327" s="318"/>
      <c r="D327" s="397"/>
      <c r="E327" s="316"/>
      <c r="F327" s="317"/>
      <c r="G327" s="318"/>
      <c r="H327" s="397"/>
      <c r="I327" s="316"/>
      <c r="J327" s="317"/>
      <c r="K327" s="318"/>
      <c r="L327" s="397"/>
      <c r="M327" s="316"/>
      <c r="N327" s="317"/>
      <c r="O327" s="318"/>
      <c r="P327" s="397"/>
      <c r="Q327" s="199"/>
      <c r="R327" s="220"/>
      <c r="S327" s="400"/>
      <c r="T327" s="401"/>
      <c r="U327" s="199"/>
      <c r="V327" s="220"/>
      <c r="W327" s="400"/>
      <c r="X327" s="401"/>
      <c r="Y327" s="199"/>
      <c r="Z327" s="220"/>
      <c r="AA327" s="400"/>
      <c r="AB327" s="401"/>
      <c r="AC327" s="199"/>
      <c r="AD327" s="220"/>
      <c r="AE327" s="400"/>
      <c r="AF327" s="401"/>
      <c r="AG327" s="201"/>
      <c r="AH327" s="201"/>
      <c r="AI327" s="201"/>
      <c r="AJ327" s="201"/>
      <c r="AK327" s="397"/>
      <c r="AL327" s="397"/>
      <c r="AM327" s="397"/>
    </row>
    <row r="328">
      <c r="A328" s="316"/>
      <c r="B328" s="317"/>
      <c r="C328" s="318"/>
      <c r="D328" s="397"/>
      <c r="E328" s="316"/>
      <c r="F328" s="317"/>
      <c r="G328" s="318"/>
      <c r="H328" s="397"/>
      <c r="I328" s="316"/>
      <c r="J328" s="317"/>
      <c r="K328" s="318"/>
      <c r="L328" s="397"/>
      <c r="M328" s="316"/>
      <c r="N328" s="317"/>
      <c r="O328" s="318"/>
      <c r="P328" s="397"/>
      <c r="Q328" s="199"/>
      <c r="R328" s="220"/>
      <c r="S328" s="400"/>
      <c r="T328" s="401"/>
      <c r="U328" s="199"/>
      <c r="V328" s="220"/>
      <c r="W328" s="400"/>
      <c r="X328" s="401"/>
      <c r="Y328" s="199"/>
      <c r="Z328" s="220"/>
      <c r="AA328" s="400"/>
      <c r="AB328" s="401"/>
      <c r="AC328" s="199"/>
      <c r="AD328" s="220"/>
      <c r="AE328" s="400"/>
      <c r="AF328" s="401"/>
      <c r="AG328" s="201"/>
      <c r="AH328" s="201"/>
      <c r="AI328" s="201"/>
      <c r="AJ328" s="201"/>
      <c r="AK328" s="397"/>
      <c r="AL328" s="397"/>
      <c r="AM328" s="397"/>
    </row>
    <row r="329">
      <c r="A329" s="316"/>
      <c r="B329" s="317"/>
      <c r="C329" s="318"/>
      <c r="D329" s="397"/>
      <c r="E329" s="316"/>
      <c r="F329" s="317"/>
      <c r="G329" s="318"/>
      <c r="H329" s="397"/>
      <c r="I329" s="316"/>
      <c r="J329" s="317"/>
      <c r="K329" s="318"/>
      <c r="L329" s="397"/>
      <c r="M329" s="316"/>
      <c r="N329" s="317"/>
      <c r="O329" s="318"/>
      <c r="P329" s="397"/>
      <c r="Q329" s="199"/>
      <c r="R329" s="220"/>
      <c r="S329" s="400"/>
      <c r="T329" s="401"/>
      <c r="U329" s="199"/>
      <c r="V329" s="220"/>
      <c r="W329" s="400"/>
      <c r="X329" s="401"/>
      <c r="Y329" s="199"/>
      <c r="Z329" s="220"/>
      <c r="AA329" s="400"/>
      <c r="AB329" s="401"/>
      <c r="AC329" s="199"/>
      <c r="AD329" s="220"/>
      <c r="AE329" s="400"/>
      <c r="AF329" s="401"/>
      <c r="AG329" s="201"/>
      <c r="AH329" s="201"/>
      <c r="AI329" s="201"/>
      <c r="AJ329" s="201"/>
      <c r="AK329" s="397"/>
      <c r="AL329" s="397"/>
      <c r="AM329" s="397"/>
    </row>
    <row r="330">
      <c r="A330" s="316"/>
      <c r="B330" s="317"/>
      <c r="C330" s="318"/>
      <c r="D330" s="397"/>
      <c r="E330" s="316"/>
      <c r="F330" s="317"/>
      <c r="G330" s="318"/>
      <c r="H330" s="397"/>
      <c r="I330" s="316"/>
      <c r="J330" s="317"/>
      <c r="K330" s="318"/>
      <c r="L330" s="397"/>
      <c r="M330" s="316"/>
      <c r="N330" s="317"/>
      <c r="O330" s="318"/>
      <c r="P330" s="397"/>
      <c r="Q330" s="199"/>
      <c r="R330" s="220"/>
      <c r="S330" s="400"/>
      <c r="T330" s="401"/>
      <c r="U330" s="199"/>
      <c r="V330" s="220"/>
      <c r="W330" s="400"/>
      <c r="X330" s="401"/>
      <c r="Y330" s="199"/>
      <c r="Z330" s="220"/>
      <c r="AA330" s="400"/>
      <c r="AB330" s="401"/>
      <c r="AC330" s="199"/>
      <c r="AD330" s="220"/>
      <c r="AE330" s="400"/>
      <c r="AF330" s="401"/>
      <c r="AG330" s="201"/>
      <c r="AH330" s="201"/>
      <c r="AI330" s="201"/>
      <c r="AJ330" s="201"/>
      <c r="AK330" s="397"/>
      <c r="AL330" s="397"/>
      <c r="AM330" s="397"/>
    </row>
    <row r="331">
      <c r="A331" s="316"/>
      <c r="B331" s="317"/>
      <c r="C331" s="318"/>
      <c r="D331" s="397"/>
      <c r="E331" s="316"/>
      <c r="F331" s="317"/>
      <c r="G331" s="318"/>
      <c r="H331" s="397"/>
      <c r="I331" s="316"/>
      <c r="J331" s="317"/>
      <c r="K331" s="318"/>
      <c r="L331" s="397"/>
      <c r="M331" s="316"/>
      <c r="N331" s="317"/>
      <c r="O331" s="318"/>
      <c r="P331" s="397"/>
      <c r="Q331" s="199"/>
      <c r="R331" s="220"/>
      <c r="S331" s="400"/>
      <c r="T331" s="401"/>
      <c r="U331" s="199"/>
      <c r="V331" s="220"/>
      <c r="W331" s="400"/>
      <c r="X331" s="401"/>
      <c r="Y331" s="199"/>
      <c r="Z331" s="220"/>
      <c r="AA331" s="400"/>
      <c r="AB331" s="401"/>
      <c r="AC331" s="199"/>
      <c r="AD331" s="220"/>
      <c r="AE331" s="400"/>
      <c r="AF331" s="401"/>
      <c r="AG331" s="201"/>
      <c r="AH331" s="201"/>
      <c r="AI331" s="201"/>
      <c r="AJ331" s="201"/>
      <c r="AK331" s="397"/>
      <c r="AL331" s="397"/>
      <c r="AM331" s="397"/>
    </row>
    <row r="332">
      <c r="A332" s="316"/>
      <c r="B332" s="317"/>
      <c r="C332" s="318"/>
      <c r="D332" s="397"/>
      <c r="E332" s="316"/>
      <c r="F332" s="317"/>
      <c r="G332" s="318"/>
      <c r="H332" s="397"/>
      <c r="I332" s="316"/>
      <c r="J332" s="317"/>
      <c r="K332" s="318"/>
      <c r="L332" s="397"/>
      <c r="M332" s="316"/>
      <c r="N332" s="317"/>
      <c r="O332" s="318"/>
      <c r="P332" s="397"/>
      <c r="Q332" s="199"/>
      <c r="R332" s="220"/>
      <c r="S332" s="400"/>
      <c r="T332" s="401"/>
      <c r="U332" s="199"/>
      <c r="V332" s="220"/>
      <c r="W332" s="400"/>
      <c r="X332" s="401"/>
      <c r="Y332" s="199"/>
      <c r="Z332" s="220"/>
      <c r="AA332" s="400"/>
      <c r="AB332" s="401"/>
      <c r="AC332" s="199"/>
      <c r="AD332" s="220"/>
      <c r="AE332" s="400"/>
      <c r="AF332" s="401"/>
      <c r="AG332" s="201"/>
      <c r="AH332" s="201"/>
      <c r="AI332" s="201"/>
      <c r="AJ332" s="201"/>
      <c r="AK332" s="397"/>
      <c r="AL332" s="397"/>
      <c r="AM332" s="397"/>
    </row>
    <row r="333">
      <c r="A333" s="316"/>
      <c r="B333" s="317"/>
      <c r="C333" s="318"/>
      <c r="D333" s="397"/>
      <c r="E333" s="316"/>
      <c r="F333" s="317"/>
      <c r="G333" s="318"/>
      <c r="H333" s="397"/>
      <c r="I333" s="316"/>
      <c r="J333" s="317"/>
      <c r="K333" s="318"/>
      <c r="L333" s="397"/>
      <c r="M333" s="316"/>
      <c r="N333" s="317"/>
      <c r="O333" s="318"/>
      <c r="P333" s="397"/>
      <c r="Q333" s="199"/>
      <c r="R333" s="220"/>
      <c r="S333" s="400"/>
      <c r="T333" s="401"/>
      <c r="U333" s="199"/>
      <c r="V333" s="220"/>
      <c r="W333" s="400"/>
      <c r="X333" s="401"/>
      <c r="Y333" s="199"/>
      <c r="Z333" s="220"/>
      <c r="AA333" s="400"/>
      <c r="AB333" s="401"/>
      <c r="AC333" s="199"/>
      <c r="AD333" s="220"/>
      <c r="AE333" s="400"/>
      <c r="AF333" s="401"/>
      <c r="AG333" s="201"/>
      <c r="AH333" s="201"/>
      <c r="AI333" s="201"/>
      <c r="AJ333" s="201"/>
      <c r="AK333" s="397"/>
      <c r="AL333" s="397"/>
      <c r="AM333" s="397"/>
    </row>
    <row r="334">
      <c r="A334" s="316"/>
      <c r="B334" s="317"/>
      <c r="C334" s="318"/>
      <c r="D334" s="397"/>
      <c r="E334" s="316"/>
      <c r="F334" s="317"/>
      <c r="G334" s="318"/>
      <c r="H334" s="397"/>
      <c r="I334" s="316"/>
      <c r="J334" s="317"/>
      <c r="K334" s="318"/>
      <c r="L334" s="397"/>
      <c r="M334" s="316"/>
      <c r="N334" s="317"/>
      <c r="O334" s="318"/>
      <c r="P334" s="397"/>
      <c r="Q334" s="199"/>
      <c r="R334" s="220"/>
      <c r="S334" s="400"/>
      <c r="T334" s="401"/>
      <c r="U334" s="199"/>
      <c r="V334" s="220"/>
      <c r="W334" s="400"/>
      <c r="X334" s="401"/>
      <c r="Y334" s="199"/>
      <c r="Z334" s="220"/>
      <c r="AA334" s="400"/>
      <c r="AB334" s="401"/>
      <c r="AC334" s="199"/>
      <c r="AD334" s="220"/>
      <c r="AE334" s="400"/>
      <c r="AF334" s="401"/>
      <c r="AG334" s="201"/>
      <c r="AH334" s="201"/>
      <c r="AI334" s="201"/>
      <c r="AJ334" s="201"/>
      <c r="AK334" s="397"/>
      <c r="AL334" s="397"/>
      <c r="AM334" s="397"/>
    </row>
    <row r="335">
      <c r="A335" s="316"/>
      <c r="B335" s="317"/>
      <c r="C335" s="318"/>
      <c r="D335" s="397"/>
      <c r="E335" s="316"/>
      <c r="F335" s="317"/>
      <c r="G335" s="318"/>
      <c r="H335" s="397"/>
      <c r="I335" s="316"/>
      <c r="J335" s="317"/>
      <c r="K335" s="318"/>
      <c r="L335" s="397"/>
      <c r="M335" s="316"/>
      <c r="N335" s="317"/>
      <c r="O335" s="318"/>
      <c r="P335" s="397"/>
      <c r="Q335" s="199"/>
      <c r="R335" s="220"/>
      <c r="S335" s="400"/>
      <c r="T335" s="401"/>
      <c r="U335" s="199"/>
      <c r="V335" s="220"/>
      <c r="W335" s="400"/>
      <c r="X335" s="401"/>
      <c r="Y335" s="199"/>
      <c r="Z335" s="220"/>
      <c r="AA335" s="400"/>
      <c r="AB335" s="401"/>
      <c r="AC335" s="199"/>
      <c r="AD335" s="220"/>
      <c r="AE335" s="400"/>
      <c r="AF335" s="401"/>
      <c r="AG335" s="201"/>
      <c r="AH335" s="201"/>
      <c r="AI335" s="201"/>
      <c r="AJ335" s="201"/>
      <c r="AK335" s="397"/>
      <c r="AL335" s="397"/>
      <c r="AM335" s="397"/>
    </row>
    <row r="336">
      <c r="A336" s="316"/>
      <c r="B336" s="317"/>
      <c r="C336" s="318"/>
      <c r="D336" s="397"/>
      <c r="E336" s="316"/>
      <c r="F336" s="317"/>
      <c r="G336" s="318"/>
      <c r="H336" s="397"/>
      <c r="I336" s="316"/>
      <c r="J336" s="317"/>
      <c r="K336" s="318"/>
      <c r="L336" s="397"/>
      <c r="M336" s="316"/>
      <c r="N336" s="317"/>
      <c r="O336" s="318"/>
      <c r="P336" s="397"/>
      <c r="Q336" s="199"/>
      <c r="R336" s="220"/>
      <c r="S336" s="400"/>
      <c r="T336" s="401"/>
      <c r="U336" s="199"/>
      <c r="V336" s="220"/>
      <c r="W336" s="400"/>
      <c r="X336" s="401"/>
      <c r="Y336" s="199"/>
      <c r="Z336" s="220"/>
      <c r="AA336" s="400"/>
      <c r="AB336" s="401"/>
      <c r="AC336" s="199"/>
      <c r="AD336" s="220"/>
      <c r="AE336" s="400"/>
      <c r="AF336" s="401"/>
      <c r="AG336" s="201"/>
      <c r="AH336" s="201"/>
      <c r="AI336" s="201"/>
      <c r="AJ336" s="201"/>
      <c r="AK336" s="397"/>
      <c r="AL336" s="397"/>
      <c r="AM336" s="397"/>
    </row>
    <row r="337">
      <c r="A337" s="316"/>
      <c r="B337" s="317"/>
      <c r="C337" s="318"/>
      <c r="D337" s="397"/>
      <c r="E337" s="316"/>
      <c r="F337" s="317"/>
      <c r="G337" s="318"/>
      <c r="H337" s="397"/>
      <c r="I337" s="316"/>
      <c r="J337" s="317"/>
      <c r="K337" s="318"/>
      <c r="L337" s="397"/>
      <c r="M337" s="316"/>
      <c r="N337" s="317"/>
      <c r="O337" s="318"/>
      <c r="P337" s="397"/>
      <c r="Q337" s="199"/>
      <c r="R337" s="220"/>
      <c r="S337" s="400"/>
      <c r="T337" s="401"/>
      <c r="U337" s="199"/>
      <c r="V337" s="220"/>
      <c r="W337" s="400"/>
      <c r="X337" s="401"/>
      <c r="Y337" s="199"/>
      <c r="Z337" s="220"/>
      <c r="AA337" s="400"/>
      <c r="AB337" s="401"/>
      <c r="AC337" s="199"/>
      <c r="AD337" s="220"/>
      <c r="AE337" s="400"/>
      <c r="AF337" s="401"/>
      <c r="AG337" s="201"/>
      <c r="AH337" s="201"/>
      <c r="AI337" s="201"/>
      <c r="AJ337" s="201"/>
      <c r="AK337" s="397"/>
      <c r="AL337" s="397"/>
      <c r="AM337" s="397"/>
    </row>
    <row r="338">
      <c r="A338" s="316"/>
      <c r="B338" s="317"/>
      <c r="C338" s="318"/>
      <c r="D338" s="397"/>
      <c r="E338" s="316"/>
      <c r="F338" s="317"/>
      <c r="G338" s="318"/>
      <c r="H338" s="397"/>
      <c r="I338" s="316"/>
      <c r="J338" s="317"/>
      <c r="K338" s="318"/>
      <c r="L338" s="397"/>
      <c r="M338" s="316"/>
      <c r="N338" s="317"/>
      <c r="O338" s="318"/>
      <c r="P338" s="397"/>
      <c r="Q338" s="199"/>
      <c r="R338" s="220"/>
      <c r="S338" s="400"/>
      <c r="T338" s="401"/>
      <c r="U338" s="199"/>
      <c r="V338" s="220"/>
      <c r="W338" s="400"/>
      <c r="X338" s="401"/>
      <c r="Y338" s="199"/>
      <c r="Z338" s="220"/>
      <c r="AA338" s="400"/>
      <c r="AB338" s="401"/>
      <c r="AC338" s="199"/>
      <c r="AD338" s="220"/>
      <c r="AE338" s="400"/>
      <c r="AF338" s="401"/>
      <c r="AG338" s="201"/>
      <c r="AH338" s="201"/>
      <c r="AI338" s="201"/>
      <c r="AJ338" s="201"/>
      <c r="AK338" s="397"/>
      <c r="AL338" s="397"/>
      <c r="AM338" s="397"/>
    </row>
    <row r="339">
      <c r="A339" s="316"/>
      <c r="B339" s="317"/>
      <c r="C339" s="318"/>
      <c r="D339" s="397"/>
      <c r="E339" s="316"/>
      <c r="F339" s="317"/>
      <c r="G339" s="318"/>
      <c r="H339" s="397"/>
      <c r="I339" s="316"/>
      <c r="J339" s="317"/>
      <c r="K339" s="318"/>
      <c r="L339" s="397"/>
      <c r="M339" s="316"/>
      <c r="N339" s="317"/>
      <c r="O339" s="318"/>
      <c r="P339" s="397"/>
      <c r="Q339" s="199"/>
      <c r="R339" s="220"/>
      <c r="S339" s="400"/>
      <c r="T339" s="401"/>
      <c r="U339" s="199"/>
      <c r="V339" s="220"/>
      <c r="W339" s="400"/>
      <c r="X339" s="401"/>
      <c r="Y339" s="199"/>
      <c r="Z339" s="220"/>
      <c r="AA339" s="400"/>
      <c r="AB339" s="401"/>
      <c r="AC339" s="199"/>
      <c r="AD339" s="220"/>
      <c r="AE339" s="400"/>
      <c r="AF339" s="401"/>
      <c r="AG339" s="201"/>
      <c r="AH339" s="201"/>
      <c r="AI339" s="201"/>
      <c r="AJ339" s="201"/>
      <c r="AK339" s="397"/>
      <c r="AL339" s="397"/>
      <c r="AM339" s="397"/>
    </row>
    <row r="340">
      <c r="A340" s="316"/>
      <c r="B340" s="317"/>
      <c r="C340" s="318"/>
      <c r="D340" s="397"/>
      <c r="E340" s="316"/>
      <c r="F340" s="317"/>
      <c r="G340" s="318"/>
      <c r="H340" s="397"/>
      <c r="I340" s="316"/>
      <c r="J340" s="317"/>
      <c r="K340" s="318"/>
      <c r="L340" s="397"/>
      <c r="M340" s="316"/>
      <c r="N340" s="317"/>
      <c r="O340" s="318"/>
      <c r="P340" s="397"/>
      <c r="Q340" s="199"/>
      <c r="R340" s="220"/>
      <c r="S340" s="400"/>
      <c r="T340" s="401"/>
      <c r="U340" s="199"/>
      <c r="V340" s="220"/>
      <c r="W340" s="400"/>
      <c r="X340" s="401"/>
      <c r="Y340" s="199"/>
      <c r="Z340" s="220"/>
      <c r="AA340" s="400"/>
      <c r="AB340" s="401"/>
      <c r="AC340" s="199"/>
      <c r="AD340" s="220"/>
      <c r="AE340" s="400"/>
      <c r="AF340" s="401"/>
      <c r="AG340" s="201"/>
      <c r="AH340" s="201"/>
      <c r="AI340" s="201"/>
      <c r="AJ340" s="201"/>
      <c r="AK340" s="397"/>
      <c r="AL340" s="397"/>
      <c r="AM340" s="397"/>
    </row>
    <row r="341">
      <c r="A341" s="316"/>
      <c r="B341" s="317"/>
      <c r="C341" s="318"/>
      <c r="D341" s="397"/>
      <c r="E341" s="316"/>
      <c r="F341" s="317"/>
      <c r="G341" s="318"/>
      <c r="H341" s="397"/>
      <c r="I341" s="316"/>
      <c r="J341" s="317"/>
      <c r="K341" s="318"/>
      <c r="L341" s="397"/>
      <c r="M341" s="316"/>
      <c r="N341" s="317"/>
      <c r="O341" s="318"/>
      <c r="P341" s="397"/>
      <c r="Q341" s="199"/>
      <c r="R341" s="220"/>
      <c r="S341" s="400"/>
      <c r="T341" s="401"/>
      <c r="U341" s="199"/>
      <c r="V341" s="220"/>
      <c r="W341" s="400"/>
      <c r="X341" s="401"/>
      <c r="Y341" s="199"/>
      <c r="Z341" s="220"/>
      <c r="AA341" s="400"/>
      <c r="AB341" s="401"/>
      <c r="AC341" s="199"/>
      <c r="AD341" s="220"/>
      <c r="AE341" s="400"/>
      <c r="AF341" s="401"/>
      <c r="AG341" s="201"/>
      <c r="AH341" s="201"/>
      <c r="AI341" s="201"/>
      <c r="AJ341" s="201"/>
      <c r="AK341" s="397"/>
      <c r="AL341" s="397"/>
      <c r="AM341" s="397"/>
    </row>
    <row r="342">
      <c r="A342" s="316"/>
      <c r="B342" s="317"/>
      <c r="C342" s="318"/>
      <c r="D342" s="397"/>
      <c r="E342" s="316"/>
      <c r="F342" s="317"/>
      <c r="G342" s="318"/>
      <c r="H342" s="397"/>
      <c r="I342" s="316"/>
      <c r="J342" s="317"/>
      <c r="K342" s="318"/>
      <c r="L342" s="397"/>
      <c r="M342" s="316"/>
      <c r="N342" s="317"/>
      <c r="O342" s="318"/>
      <c r="P342" s="397"/>
      <c r="Q342" s="199"/>
      <c r="R342" s="220"/>
      <c r="S342" s="400"/>
      <c r="T342" s="401"/>
      <c r="U342" s="199"/>
      <c r="V342" s="220"/>
      <c r="W342" s="400"/>
      <c r="X342" s="401"/>
      <c r="Y342" s="199"/>
      <c r="Z342" s="220"/>
      <c r="AA342" s="400"/>
      <c r="AB342" s="401"/>
      <c r="AC342" s="199"/>
      <c r="AD342" s="220"/>
      <c r="AE342" s="400"/>
      <c r="AF342" s="401"/>
      <c r="AG342" s="201"/>
      <c r="AH342" s="201"/>
      <c r="AI342" s="201"/>
      <c r="AJ342" s="201"/>
      <c r="AK342" s="397"/>
      <c r="AL342" s="397"/>
      <c r="AM342" s="397"/>
    </row>
    <row r="343">
      <c r="A343" s="316"/>
      <c r="B343" s="317"/>
      <c r="C343" s="318"/>
      <c r="D343" s="397"/>
      <c r="E343" s="316"/>
      <c r="F343" s="317"/>
      <c r="G343" s="318"/>
      <c r="H343" s="397"/>
      <c r="I343" s="316"/>
      <c r="J343" s="317"/>
      <c r="K343" s="318"/>
      <c r="L343" s="397"/>
      <c r="M343" s="316"/>
      <c r="N343" s="317"/>
      <c r="O343" s="318"/>
      <c r="P343" s="397"/>
      <c r="Q343" s="199"/>
      <c r="R343" s="220"/>
      <c r="S343" s="400"/>
      <c r="T343" s="401"/>
      <c r="U343" s="199"/>
      <c r="V343" s="220"/>
      <c r="W343" s="400"/>
      <c r="X343" s="401"/>
      <c r="Y343" s="199"/>
      <c r="Z343" s="220"/>
      <c r="AA343" s="400"/>
      <c r="AB343" s="401"/>
      <c r="AC343" s="199"/>
      <c r="AD343" s="220"/>
      <c r="AE343" s="400"/>
      <c r="AF343" s="401"/>
      <c r="AG343" s="201"/>
      <c r="AH343" s="201"/>
      <c r="AI343" s="201"/>
      <c r="AJ343" s="201"/>
      <c r="AK343" s="397"/>
      <c r="AL343" s="397"/>
      <c r="AM343" s="397"/>
    </row>
    <row r="344">
      <c r="A344" s="316"/>
      <c r="B344" s="317"/>
      <c r="C344" s="318"/>
      <c r="D344" s="397"/>
      <c r="E344" s="316"/>
      <c r="F344" s="317"/>
      <c r="G344" s="318"/>
      <c r="H344" s="397"/>
      <c r="I344" s="316"/>
      <c r="J344" s="317"/>
      <c r="K344" s="318"/>
      <c r="L344" s="397"/>
      <c r="M344" s="316"/>
      <c r="N344" s="317"/>
      <c r="O344" s="318"/>
      <c r="P344" s="397"/>
      <c r="Q344" s="199"/>
      <c r="R344" s="220"/>
      <c r="S344" s="400"/>
      <c r="T344" s="401"/>
      <c r="U344" s="199"/>
      <c r="V344" s="220"/>
      <c r="W344" s="400"/>
      <c r="X344" s="401"/>
      <c r="Y344" s="199"/>
      <c r="Z344" s="220"/>
      <c r="AA344" s="400"/>
      <c r="AB344" s="401"/>
      <c r="AC344" s="199"/>
      <c r="AD344" s="220"/>
      <c r="AE344" s="400"/>
      <c r="AF344" s="401"/>
      <c r="AG344" s="201"/>
      <c r="AH344" s="201"/>
      <c r="AI344" s="201"/>
      <c r="AJ344" s="201"/>
      <c r="AK344" s="397"/>
      <c r="AL344" s="397"/>
      <c r="AM344" s="397"/>
    </row>
    <row r="345">
      <c r="A345" s="316"/>
      <c r="B345" s="317"/>
      <c r="C345" s="318"/>
      <c r="D345" s="397"/>
      <c r="E345" s="316"/>
      <c r="F345" s="317"/>
      <c r="G345" s="318"/>
      <c r="H345" s="397"/>
      <c r="I345" s="316"/>
      <c r="J345" s="317"/>
      <c r="K345" s="318"/>
      <c r="L345" s="397"/>
      <c r="M345" s="316"/>
      <c r="N345" s="317"/>
      <c r="O345" s="318"/>
      <c r="P345" s="397"/>
      <c r="Q345" s="199"/>
      <c r="R345" s="220"/>
      <c r="S345" s="400"/>
      <c r="T345" s="401"/>
      <c r="U345" s="199"/>
      <c r="V345" s="220"/>
      <c r="W345" s="400"/>
      <c r="X345" s="401"/>
      <c r="Y345" s="199"/>
      <c r="Z345" s="220"/>
      <c r="AA345" s="400"/>
      <c r="AB345" s="401"/>
      <c r="AC345" s="199"/>
      <c r="AD345" s="220"/>
      <c r="AE345" s="400"/>
      <c r="AF345" s="401"/>
      <c r="AG345" s="201"/>
      <c r="AH345" s="201"/>
      <c r="AI345" s="201"/>
      <c r="AJ345" s="201"/>
      <c r="AK345" s="397"/>
      <c r="AL345" s="397"/>
      <c r="AM345" s="397"/>
    </row>
    <row r="346">
      <c r="A346" s="316"/>
      <c r="B346" s="317"/>
      <c r="C346" s="318"/>
      <c r="D346" s="397"/>
      <c r="E346" s="316"/>
      <c r="F346" s="317"/>
      <c r="G346" s="318"/>
      <c r="H346" s="397"/>
      <c r="I346" s="316"/>
      <c r="J346" s="317"/>
      <c r="K346" s="318"/>
      <c r="L346" s="397"/>
      <c r="M346" s="316"/>
      <c r="N346" s="317"/>
      <c r="O346" s="318"/>
      <c r="P346" s="397"/>
      <c r="Q346" s="199"/>
      <c r="R346" s="220"/>
      <c r="S346" s="400"/>
      <c r="T346" s="401"/>
      <c r="U346" s="199"/>
      <c r="V346" s="220"/>
      <c r="W346" s="400"/>
      <c r="X346" s="401"/>
      <c r="Y346" s="199"/>
      <c r="Z346" s="220"/>
      <c r="AA346" s="400"/>
      <c r="AB346" s="401"/>
      <c r="AC346" s="199"/>
      <c r="AD346" s="220"/>
      <c r="AE346" s="400"/>
      <c r="AF346" s="401"/>
      <c r="AG346" s="201"/>
      <c r="AH346" s="201"/>
      <c r="AI346" s="201"/>
      <c r="AJ346" s="201"/>
      <c r="AK346" s="397"/>
      <c r="AL346" s="397"/>
      <c r="AM346" s="397"/>
    </row>
    <row r="347">
      <c r="A347" s="316"/>
      <c r="B347" s="317"/>
      <c r="C347" s="318"/>
      <c r="D347" s="397"/>
      <c r="E347" s="316"/>
      <c r="F347" s="317"/>
      <c r="G347" s="318"/>
      <c r="H347" s="397"/>
      <c r="I347" s="316"/>
      <c r="J347" s="317"/>
      <c r="K347" s="318"/>
      <c r="L347" s="397"/>
      <c r="M347" s="316"/>
      <c r="N347" s="317"/>
      <c r="O347" s="318"/>
      <c r="P347" s="397"/>
      <c r="Q347" s="199"/>
      <c r="R347" s="220"/>
      <c r="S347" s="400"/>
      <c r="T347" s="401"/>
      <c r="U347" s="199"/>
      <c r="V347" s="220"/>
      <c r="W347" s="400"/>
      <c r="X347" s="401"/>
      <c r="Y347" s="199"/>
      <c r="Z347" s="220"/>
      <c r="AA347" s="400"/>
      <c r="AB347" s="401"/>
      <c r="AC347" s="199"/>
      <c r="AD347" s="220"/>
      <c r="AE347" s="400"/>
      <c r="AF347" s="401"/>
      <c r="AG347" s="201"/>
      <c r="AH347" s="201"/>
      <c r="AI347" s="201"/>
      <c r="AJ347" s="201"/>
      <c r="AK347" s="397"/>
      <c r="AL347" s="397"/>
      <c r="AM347" s="397"/>
    </row>
    <row r="348">
      <c r="A348" s="316"/>
      <c r="B348" s="317"/>
      <c r="C348" s="318"/>
      <c r="D348" s="397"/>
      <c r="E348" s="316"/>
      <c r="F348" s="317"/>
      <c r="G348" s="318"/>
      <c r="H348" s="397"/>
      <c r="I348" s="316"/>
      <c r="J348" s="317"/>
      <c r="K348" s="318"/>
      <c r="L348" s="397"/>
      <c r="M348" s="316"/>
      <c r="N348" s="317"/>
      <c r="O348" s="318"/>
      <c r="P348" s="397"/>
      <c r="Q348" s="199"/>
      <c r="R348" s="220"/>
      <c r="S348" s="400"/>
      <c r="T348" s="401"/>
      <c r="U348" s="199"/>
      <c r="V348" s="220"/>
      <c r="W348" s="400"/>
      <c r="X348" s="401"/>
      <c r="Y348" s="199"/>
      <c r="Z348" s="220"/>
      <c r="AA348" s="400"/>
      <c r="AB348" s="401"/>
      <c r="AC348" s="199"/>
      <c r="AD348" s="220"/>
      <c r="AE348" s="400"/>
      <c r="AF348" s="401"/>
      <c r="AG348" s="201"/>
      <c r="AH348" s="201"/>
      <c r="AI348" s="201"/>
      <c r="AJ348" s="201"/>
      <c r="AK348" s="397"/>
      <c r="AL348" s="397"/>
      <c r="AM348" s="397"/>
    </row>
    <row r="349">
      <c r="A349" s="316"/>
      <c r="B349" s="317"/>
      <c r="C349" s="318"/>
      <c r="D349" s="397"/>
      <c r="E349" s="316"/>
      <c r="F349" s="317"/>
      <c r="G349" s="318"/>
      <c r="H349" s="397"/>
      <c r="I349" s="316"/>
      <c r="J349" s="317"/>
      <c r="K349" s="318"/>
      <c r="L349" s="397"/>
      <c r="M349" s="316"/>
      <c r="N349" s="317"/>
      <c r="O349" s="318"/>
      <c r="P349" s="397"/>
      <c r="Q349" s="199"/>
      <c r="R349" s="220"/>
      <c r="S349" s="400"/>
      <c r="T349" s="401"/>
      <c r="U349" s="199"/>
      <c r="V349" s="220"/>
      <c r="W349" s="400"/>
      <c r="X349" s="401"/>
      <c r="Y349" s="199"/>
      <c r="Z349" s="220"/>
      <c r="AA349" s="400"/>
      <c r="AB349" s="401"/>
      <c r="AC349" s="199"/>
      <c r="AD349" s="220"/>
      <c r="AE349" s="400"/>
      <c r="AF349" s="401"/>
      <c r="AG349" s="201"/>
      <c r="AH349" s="201"/>
      <c r="AI349" s="201"/>
      <c r="AJ349" s="201"/>
      <c r="AK349" s="397"/>
      <c r="AL349" s="397"/>
      <c r="AM349" s="397"/>
    </row>
    <row r="350">
      <c r="A350" s="316"/>
      <c r="B350" s="317"/>
      <c r="C350" s="318"/>
      <c r="D350" s="397"/>
      <c r="E350" s="316"/>
      <c r="F350" s="317"/>
      <c r="G350" s="318"/>
      <c r="H350" s="397"/>
      <c r="I350" s="316"/>
      <c r="J350" s="317"/>
      <c r="K350" s="318"/>
      <c r="L350" s="397"/>
      <c r="M350" s="316"/>
      <c r="N350" s="317"/>
      <c r="O350" s="318"/>
      <c r="P350" s="397"/>
      <c r="Q350" s="199"/>
      <c r="R350" s="220"/>
      <c r="S350" s="400"/>
      <c r="T350" s="401"/>
      <c r="U350" s="199"/>
      <c r="V350" s="220"/>
      <c r="W350" s="400"/>
      <c r="X350" s="401"/>
      <c r="Y350" s="199"/>
      <c r="Z350" s="220"/>
      <c r="AA350" s="400"/>
      <c r="AB350" s="401"/>
      <c r="AC350" s="199"/>
      <c r="AD350" s="220"/>
      <c r="AE350" s="400"/>
      <c r="AF350" s="401"/>
      <c r="AG350" s="201"/>
      <c r="AH350" s="201"/>
      <c r="AI350" s="201"/>
      <c r="AJ350" s="201"/>
      <c r="AK350" s="397"/>
      <c r="AL350" s="397"/>
      <c r="AM350" s="397"/>
    </row>
    <row r="351">
      <c r="A351" s="316"/>
      <c r="B351" s="317"/>
      <c r="C351" s="318"/>
      <c r="D351" s="397"/>
      <c r="E351" s="316"/>
      <c r="F351" s="317"/>
      <c r="G351" s="318"/>
      <c r="H351" s="397"/>
      <c r="I351" s="316"/>
      <c r="J351" s="317"/>
      <c r="K351" s="318"/>
      <c r="L351" s="397"/>
      <c r="M351" s="316"/>
      <c r="N351" s="317"/>
      <c r="O351" s="318"/>
      <c r="P351" s="397"/>
      <c r="Q351" s="199"/>
      <c r="R351" s="220"/>
      <c r="S351" s="400"/>
      <c r="T351" s="401"/>
      <c r="U351" s="199"/>
      <c r="V351" s="220"/>
      <c r="W351" s="400"/>
      <c r="X351" s="401"/>
      <c r="Y351" s="199"/>
      <c r="Z351" s="220"/>
      <c r="AA351" s="400"/>
      <c r="AB351" s="401"/>
      <c r="AC351" s="199"/>
      <c r="AD351" s="220"/>
      <c r="AE351" s="400"/>
      <c r="AF351" s="401"/>
      <c r="AG351" s="201"/>
      <c r="AH351" s="201"/>
      <c r="AI351" s="201"/>
      <c r="AJ351" s="201"/>
      <c r="AK351" s="397"/>
      <c r="AL351" s="397"/>
      <c r="AM351" s="397"/>
    </row>
    <row r="352">
      <c r="A352" s="316"/>
      <c r="B352" s="317"/>
      <c r="C352" s="318"/>
      <c r="D352" s="397"/>
      <c r="E352" s="316"/>
      <c r="F352" s="317"/>
      <c r="G352" s="318"/>
      <c r="H352" s="397"/>
      <c r="I352" s="316"/>
      <c r="J352" s="317"/>
      <c r="K352" s="318"/>
      <c r="L352" s="397"/>
      <c r="M352" s="316"/>
      <c r="N352" s="317"/>
      <c r="O352" s="318"/>
      <c r="P352" s="397"/>
      <c r="Q352" s="199"/>
      <c r="R352" s="220"/>
      <c r="S352" s="400"/>
      <c r="T352" s="401"/>
      <c r="U352" s="199"/>
      <c r="V352" s="220"/>
      <c r="W352" s="400"/>
      <c r="X352" s="401"/>
      <c r="Y352" s="199"/>
      <c r="Z352" s="220"/>
      <c r="AA352" s="400"/>
      <c r="AB352" s="401"/>
      <c r="AC352" s="199"/>
      <c r="AD352" s="220"/>
      <c r="AE352" s="400"/>
      <c r="AF352" s="401"/>
      <c r="AG352" s="201"/>
      <c r="AH352" s="201"/>
      <c r="AI352" s="201"/>
      <c r="AJ352" s="201"/>
      <c r="AK352" s="397"/>
      <c r="AL352" s="397"/>
      <c r="AM352" s="397"/>
    </row>
    <row r="353">
      <c r="A353" s="316"/>
      <c r="B353" s="317"/>
      <c r="C353" s="318"/>
      <c r="D353" s="397"/>
      <c r="E353" s="316"/>
      <c r="F353" s="317"/>
      <c r="G353" s="318"/>
      <c r="H353" s="397"/>
      <c r="I353" s="316"/>
      <c r="J353" s="317"/>
      <c r="K353" s="318"/>
      <c r="L353" s="397"/>
      <c r="M353" s="316"/>
      <c r="N353" s="317"/>
      <c r="O353" s="318"/>
      <c r="P353" s="397"/>
      <c r="Q353" s="199"/>
      <c r="R353" s="220"/>
      <c r="S353" s="400"/>
      <c r="T353" s="401"/>
      <c r="U353" s="199"/>
      <c r="V353" s="220"/>
      <c r="W353" s="400"/>
      <c r="X353" s="401"/>
      <c r="Y353" s="199"/>
      <c r="Z353" s="220"/>
      <c r="AA353" s="400"/>
      <c r="AB353" s="401"/>
      <c r="AC353" s="199"/>
      <c r="AD353" s="220"/>
      <c r="AE353" s="400"/>
      <c r="AF353" s="401"/>
      <c r="AG353" s="201"/>
      <c r="AH353" s="201"/>
      <c r="AI353" s="201"/>
      <c r="AJ353" s="201"/>
      <c r="AK353" s="397"/>
      <c r="AL353" s="397"/>
      <c r="AM353" s="397"/>
    </row>
    <row r="354">
      <c r="A354" s="316"/>
      <c r="B354" s="317"/>
      <c r="C354" s="318"/>
      <c r="D354" s="397"/>
      <c r="E354" s="316"/>
      <c r="F354" s="317"/>
      <c r="G354" s="318"/>
      <c r="H354" s="397"/>
      <c r="I354" s="316"/>
      <c r="J354" s="317"/>
      <c r="K354" s="318"/>
      <c r="L354" s="397"/>
      <c r="M354" s="316"/>
      <c r="N354" s="317"/>
      <c r="O354" s="318"/>
      <c r="P354" s="397"/>
      <c r="Q354" s="199"/>
      <c r="R354" s="220"/>
      <c r="S354" s="400"/>
      <c r="T354" s="401"/>
      <c r="U354" s="199"/>
      <c r="V354" s="220"/>
      <c r="W354" s="400"/>
      <c r="X354" s="401"/>
      <c r="Y354" s="199"/>
      <c r="Z354" s="220"/>
      <c r="AA354" s="400"/>
      <c r="AB354" s="401"/>
      <c r="AC354" s="199"/>
      <c r="AD354" s="220"/>
      <c r="AE354" s="400"/>
      <c r="AF354" s="401"/>
      <c r="AG354" s="201"/>
      <c r="AH354" s="201"/>
      <c r="AI354" s="201"/>
      <c r="AJ354" s="201"/>
      <c r="AK354" s="397"/>
      <c r="AL354" s="397"/>
      <c r="AM354" s="397"/>
    </row>
    <row r="355">
      <c r="A355" s="316"/>
      <c r="B355" s="317"/>
      <c r="C355" s="318"/>
      <c r="D355" s="397"/>
      <c r="E355" s="316"/>
      <c r="F355" s="317"/>
      <c r="G355" s="318"/>
      <c r="H355" s="397"/>
      <c r="I355" s="316"/>
      <c r="J355" s="317"/>
      <c r="K355" s="318"/>
      <c r="L355" s="397"/>
      <c r="M355" s="316"/>
      <c r="N355" s="317"/>
      <c r="O355" s="318"/>
      <c r="P355" s="397"/>
      <c r="Q355" s="199"/>
      <c r="R355" s="220"/>
      <c r="S355" s="400"/>
      <c r="T355" s="401"/>
      <c r="U355" s="199"/>
      <c r="V355" s="220"/>
      <c r="W355" s="400"/>
      <c r="X355" s="401"/>
      <c r="Y355" s="199"/>
      <c r="Z355" s="220"/>
      <c r="AA355" s="400"/>
      <c r="AB355" s="401"/>
      <c r="AC355" s="199"/>
      <c r="AD355" s="220"/>
      <c r="AE355" s="400"/>
      <c r="AF355" s="401"/>
      <c r="AG355" s="201"/>
      <c r="AH355" s="201"/>
      <c r="AI355" s="201"/>
      <c r="AJ355" s="201"/>
      <c r="AK355" s="397"/>
      <c r="AL355" s="397"/>
      <c r="AM355" s="397"/>
    </row>
    <row r="356">
      <c r="A356" s="316"/>
      <c r="B356" s="317"/>
      <c r="C356" s="318"/>
      <c r="D356" s="397"/>
      <c r="E356" s="316"/>
      <c r="F356" s="317"/>
      <c r="G356" s="318"/>
      <c r="H356" s="397"/>
      <c r="I356" s="316"/>
      <c r="J356" s="317"/>
      <c r="K356" s="318"/>
      <c r="L356" s="397"/>
      <c r="M356" s="316"/>
      <c r="N356" s="317"/>
      <c r="O356" s="318"/>
      <c r="P356" s="397"/>
      <c r="Q356" s="199"/>
      <c r="R356" s="220"/>
      <c r="S356" s="400"/>
      <c r="T356" s="401"/>
      <c r="U356" s="199"/>
      <c r="V356" s="220"/>
      <c r="W356" s="400"/>
      <c r="X356" s="401"/>
      <c r="Y356" s="199"/>
      <c r="Z356" s="220"/>
      <c r="AA356" s="400"/>
      <c r="AB356" s="401"/>
      <c r="AC356" s="199"/>
      <c r="AD356" s="220"/>
      <c r="AE356" s="400"/>
      <c r="AF356" s="401"/>
      <c r="AG356" s="201"/>
      <c r="AH356" s="201"/>
      <c r="AI356" s="201"/>
      <c r="AJ356" s="201"/>
      <c r="AK356" s="397"/>
      <c r="AL356" s="397"/>
      <c r="AM356" s="397"/>
    </row>
    <row r="357">
      <c r="A357" s="316"/>
      <c r="B357" s="317"/>
      <c r="C357" s="318"/>
      <c r="D357" s="397"/>
      <c r="E357" s="316"/>
      <c r="F357" s="317"/>
      <c r="G357" s="318"/>
      <c r="H357" s="397"/>
      <c r="I357" s="316"/>
      <c r="J357" s="317"/>
      <c r="K357" s="318"/>
      <c r="L357" s="397"/>
      <c r="M357" s="316"/>
      <c r="N357" s="317"/>
      <c r="O357" s="318"/>
      <c r="P357" s="397"/>
      <c r="Q357" s="199"/>
      <c r="R357" s="220"/>
      <c r="S357" s="400"/>
      <c r="T357" s="401"/>
      <c r="U357" s="199"/>
      <c r="V357" s="220"/>
      <c r="W357" s="400"/>
      <c r="X357" s="401"/>
      <c r="Y357" s="199"/>
      <c r="Z357" s="220"/>
      <c r="AA357" s="400"/>
      <c r="AB357" s="401"/>
      <c r="AC357" s="199"/>
      <c r="AD357" s="220"/>
      <c r="AE357" s="400"/>
      <c r="AF357" s="401"/>
      <c r="AG357" s="201"/>
      <c r="AH357" s="201"/>
      <c r="AI357" s="201"/>
      <c r="AJ357" s="201"/>
      <c r="AK357" s="397"/>
      <c r="AL357" s="397"/>
      <c r="AM357" s="397"/>
    </row>
    <row r="358">
      <c r="A358" s="316"/>
      <c r="B358" s="317"/>
      <c r="C358" s="318"/>
      <c r="D358" s="397"/>
      <c r="E358" s="316"/>
      <c r="F358" s="317"/>
      <c r="G358" s="318"/>
      <c r="H358" s="397"/>
      <c r="I358" s="316"/>
      <c r="J358" s="317"/>
      <c r="K358" s="318"/>
      <c r="L358" s="397"/>
      <c r="M358" s="316"/>
      <c r="N358" s="317"/>
      <c r="O358" s="318"/>
      <c r="P358" s="397"/>
      <c r="Q358" s="199"/>
      <c r="R358" s="220"/>
      <c r="S358" s="400"/>
      <c r="T358" s="401"/>
      <c r="U358" s="199"/>
      <c r="V358" s="220"/>
      <c r="W358" s="400"/>
      <c r="X358" s="401"/>
      <c r="Y358" s="199"/>
      <c r="Z358" s="220"/>
      <c r="AA358" s="400"/>
      <c r="AB358" s="401"/>
      <c r="AC358" s="199"/>
      <c r="AD358" s="220"/>
      <c r="AE358" s="400"/>
      <c r="AF358" s="401"/>
      <c r="AG358" s="201"/>
      <c r="AH358" s="201"/>
      <c r="AI358" s="201"/>
      <c r="AJ358" s="201"/>
      <c r="AK358" s="397"/>
      <c r="AL358" s="397"/>
      <c r="AM358" s="397"/>
    </row>
    <row r="359">
      <c r="A359" s="316"/>
      <c r="B359" s="317"/>
      <c r="C359" s="318"/>
      <c r="D359" s="397"/>
      <c r="E359" s="316"/>
      <c r="F359" s="317"/>
      <c r="G359" s="318"/>
      <c r="H359" s="397"/>
      <c r="I359" s="316"/>
      <c r="J359" s="317"/>
      <c r="K359" s="318"/>
      <c r="L359" s="397"/>
      <c r="M359" s="316"/>
      <c r="N359" s="317"/>
      <c r="O359" s="318"/>
      <c r="P359" s="397"/>
      <c r="Q359" s="199"/>
      <c r="R359" s="220"/>
      <c r="S359" s="400"/>
      <c r="T359" s="401"/>
      <c r="U359" s="199"/>
      <c r="V359" s="220"/>
      <c r="W359" s="400"/>
      <c r="X359" s="401"/>
      <c r="Y359" s="199"/>
      <c r="Z359" s="220"/>
      <c r="AA359" s="400"/>
      <c r="AB359" s="401"/>
      <c r="AC359" s="199"/>
      <c r="AD359" s="220"/>
      <c r="AE359" s="400"/>
      <c r="AF359" s="401"/>
      <c r="AG359" s="201"/>
      <c r="AH359" s="201"/>
      <c r="AI359" s="201"/>
      <c r="AJ359" s="201"/>
      <c r="AK359" s="397"/>
      <c r="AL359" s="397"/>
      <c r="AM359" s="397"/>
    </row>
    <row r="360">
      <c r="A360" s="316"/>
      <c r="B360" s="317"/>
      <c r="C360" s="318"/>
      <c r="D360" s="397"/>
      <c r="E360" s="316"/>
      <c r="F360" s="317"/>
      <c r="G360" s="318"/>
      <c r="H360" s="397"/>
      <c r="I360" s="316"/>
      <c r="J360" s="317"/>
      <c r="K360" s="318"/>
      <c r="L360" s="397"/>
      <c r="M360" s="316"/>
      <c r="N360" s="317"/>
      <c r="O360" s="318"/>
      <c r="P360" s="397"/>
      <c r="Q360" s="199"/>
      <c r="R360" s="220"/>
      <c r="S360" s="400"/>
      <c r="T360" s="401"/>
      <c r="U360" s="199"/>
      <c r="V360" s="220"/>
      <c r="W360" s="400"/>
      <c r="X360" s="401"/>
      <c r="Y360" s="199"/>
      <c r="Z360" s="220"/>
      <c r="AA360" s="400"/>
      <c r="AB360" s="401"/>
      <c r="AC360" s="199"/>
      <c r="AD360" s="220"/>
      <c r="AE360" s="400"/>
      <c r="AF360" s="401"/>
      <c r="AG360" s="201"/>
      <c r="AH360" s="201"/>
      <c r="AI360" s="201"/>
      <c r="AJ360" s="201"/>
      <c r="AK360" s="397"/>
      <c r="AL360" s="397"/>
      <c r="AM360" s="397"/>
    </row>
    <row r="361">
      <c r="A361" s="316"/>
      <c r="B361" s="317"/>
      <c r="C361" s="318"/>
      <c r="D361" s="397"/>
      <c r="E361" s="316"/>
      <c r="F361" s="317"/>
      <c r="G361" s="318"/>
      <c r="H361" s="397"/>
      <c r="I361" s="316"/>
      <c r="J361" s="317"/>
      <c r="K361" s="318"/>
      <c r="L361" s="397"/>
      <c r="M361" s="316"/>
      <c r="N361" s="317"/>
      <c r="O361" s="318"/>
      <c r="P361" s="397"/>
      <c r="Q361" s="199"/>
      <c r="R361" s="220"/>
      <c r="S361" s="400"/>
      <c r="T361" s="401"/>
      <c r="U361" s="199"/>
      <c r="V361" s="220"/>
      <c r="W361" s="400"/>
      <c r="X361" s="401"/>
      <c r="Y361" s="199"/>
      <c r="Z361" s="220"/>
      <c r="AA361" s="400"/>
      <c r="AB361" s="401"/>
      <c r="AC361" s="199"/>
      <c r="AD361" s="220"/>
      <c r="AE361" s="400"/>
      <c r="AF361" s="401"/>
      <c r="AG361" s="201"/>
      <c r="AH361" s="201"/>
      <c r="AI361" s="201"/>
      <c r="AJ361" s="201"/>
      <c r="AK361" s="397"/>
      <c r="AL361" s="397"/>
      <c r="AM361" s="397"/>
    </row>
    <row r="362">
      <c r="A362" s="316"/>
      <c r="B362" s="317"/>
      <c r="C362" s="318"/>
      <c r="D362" s="397"/>
      <c r="E362" s="316"/>
      <c r="F362" s="317"/>
      <c r="G362" s="318"/>
      <c r="H362" s="397"/>
      <c r="I362" s="316"/>
      <c r="J362" s="317"/>
      <c r="K362" s="318"/>
      <c r="L362" s="397"/>
      <c r="M362" s="316"/>
      <c r="N362" s="317"/>
      <c r="O362" s="318"/>
      <c r="P362" s="397"/>
      <c r="Q362" s="199"/>
      <c r="R362" s="220"/>
      <c r="S362" s="400"/>
      <c r="T362" s="401"/>
      <c r="U362" s="199"/>
      <c r="V362" s="220"/>
      <c r="W362" s="400"/>
      <c r="X362" s="401"/>
      <c r="Y362" s="199"/>
      <c r="Z362" s="220"/>
      <c r="AA362" s="400"/>
      <c r="AB362" s="401"/>
      <c r="AC362" s="199"/>
      <c r="AD362" s="220"/>
      <c r="AE362" s="400"/>
      <c r="AF362" s="401"/>
      <c r="AG362" s="201"/>
      <c r="AH362" s="201"/>
      <c r="AI362" s="201"/>
      <c r="AJ362" s="201"/>
      <c r="AK362" s="397"/>
      <c r="AL362" s="397"/>
      <c r="AM362" s="397"/>
    </row>
    <row r="363">
      <c r="A363" s="316"/>
      <c r="B363" s="317"/>
      <c r="C363" s="318"/>
      <c r="D363" s="397"/>
      <c r="E363" s="316"/>
      <c r="F363" s="317"/>
      <c r="G363" s="318"/>
      <c r="H363" s="397"/>
      <c r="I363" s="316"/>
      <c r="J363" s="317"/>
      <c r="K363" s="318"/>
      <c r="L363" s="397"/>
      <c r="M363" s="316"/>
      <c r="N363" s="317"/>
      <c r="O363" s="318"/>
      <c r="P363" s="397"/>
      <c r="Q363" s="199"/>
      <c r="R363" s="220"/>
      <c r="S363" s="400"/>
      <c r="T363" s="401"/>
      <c r="U363" s="199"/>
      <c r="V363" s="220"/>
      <c r="W363" s="400"/>
      <c r="X363" s="401"/>
      <c r="Y363" s="199"/>
      <c r="Z363" s="220"/>
      <c r="AA363" s="400"/>
      <c r="AB363" s="401"/>
      <c r="AC363" s="199"/>
      <c r="AD363" s="220"/>
      <c r="AE363" s="400"/>
      <c r="AF363" s="401"/>
      <c r="AG363" s="201"/>
      <c r="AH363" s="201"/>
      <c r="AI363" s="201"/>
      <c r="AJ363" s="201"/>
      <c r="AK363" s="397"/>
      <c r="AL363" s="397"/>
      <c r="AM363" s="397"/>
    </row>
    <row r="364">
      <c r="A364" s="316"/>
      <c r="B364" s="317"/>
      <c r="C364" s="318"/>
      <c r="D364" s="397"/>
      <c r="E364" s="316"/>
      <c r="F364" s="317"/>
      <c r="G364" s="318"/>
      <c r="H364" s="397"/>
      <c r="I364" s="316"/>
      <c r="J364" s="317"/>
      <c r="K364" s="318"/>
      <c r="L364" s="397"/>
      <c r="M364" s="316"/>
      <c r="N364" s="317"/>
      <c r="O364" s="318"/>
      <c r="P364" s="397"/>
      <c r="Q364" s="199"/>
      <c r="R364" s="220"/>
      <c r="S364" s="400"/>
      <c r="T364" s="401"/>
      <c r="U364" s="199"/>
      <c r="V364" s="220"/>
      <c r="W364" s="400"/>
      <c r="X364" s="401"/>
      <c r="Y364" s="199"/>
      <c r="Z364" s="220"/>
      <c r="AA364" s="400"/>
      <c r="AB364" s="401"/>
      <c r="AC364" s="199"/>
      <c r="AD364" s="220"/>
      <c r="AE364" s="400"/>
      <c r="AF364" s="401"/>
      <c r="AG364" s="201"/>
      <c r="AH364" s="201"/>
      <c r="AI364" s="201"/>
      <c r="AJ364" s="201"/>
      <c r="AK364" s="397"/>
      <c r="AL364" s="397"/>
      <c r="AM364" s="397"/>
    </row>
    <row r="365">
      <c r="A365" s="316"/>
      <c r="B365" s="317"/>
      <c r="C365" s="318"/>
      <c r="D365" s="397"/>
      <c r="E365" s="316"/>
      <c r="F365" s="317"/>
      <c r="G365" s="318"/>
      <c r="H365" s="397"/>
      <c r="I365" s="316"/>
      <c r="J365" s="317"/>
      <c r="K365" s="318"/>
      <c r="L365" s="397"/>
      <c r="M365" s="316"/>
      <c r="N365" s="317"/>
      <c r="O365" s="318"/>
      <c r="P365" s="397"/>
      <c r="Q365" s="199"/>
      <c r="R365" s="220"/>
      <c r="S365" s="400"/>
      <c r="T365" s="401"/>
      <c r="U365" s="199"/>
      <c r="V365" s="220"/>
      <c r="W365" s="400"/>
      <c r="X365" s="401"/>
      <c r="Y365" s="199"/>
      <c r="Z365" s="220"/>
      <c r="AA365" s="400"/>
      <c r="AB365" s="401"/>
      <c r="AC365" s="199"/>
      <c r="AD365" s="220"/>
      <c r="AE365" s="400"/>
      <c r="AF365" s="401"/>
      <c r="AG365" s="201"/>
      <c r="AH365" s="201"/>
      <c r="AI365" s="201"/>
      <c r="AJ365" s="201"/>
      <c r="AK365" s="397"/>
      <c r="AL365" s="397"/>
      <c r="AM365" s="397"/>
    </row>
    <row r="366">
      <c r="A366" s="316"/>
      <c r="B366" s="317"/>
      <c r="C366" s="318"/>
      <c r="D366" s="397"/>
      <c r="E366" s="316"/>
      <c r="F366" s="317"/>
      <c r="G366" s="318"/>
      <c r="H366" s="397"/>
      <c r="I366" s="316"/>
      <c r="J366" s="317"/>
      <c r="K366" s="318"/>
      <c r="L366" s="397"/>
      <c r="M366" s="316"/>
      <c r="N366" s="317"/>
      <c r="O366" s="318"/>
      <c r="P366" s="397"/>
      <c r="Q366" s="199"/>
      <c r="R366" s="220"/>
      <c r="S366" s="400"/>
      <c r="T366" s="401"/>
      <c r="U366" s="199"/>
      <c r="V366" s="220"/>
      <c r="W366" s="400"/>
      <c r="X366" s="401"/>
      <c r="Y366" s="199"/>
      <c r="Z366" s="220"/>
      <c r="AA366" s="400"/>
      <c r="AB366" s="401"/>
      <c r="AC366" s="199"/>
      <c r="AD366" s="220"/>
      <c r="AE366" s="400"/>
      <c r="AF366" s="401"/>
      <c r="AG366" s="201"/>
      <c r="AH366" s="201"/>
      <c r="AI366" s="201"/>
      <c r="AJ366" s="201"/>
      <c r="AK366" s="397"/>
      <c r="AL366" s="397"/>
      <c r="AM366" s="397"/>
    </row>
    <row r="367">
      <c r="A367" s="316"/>
      <c r="B367" s="317"/>
      <c r="C367" s="318"/>
      <c r="D367" s="397"/>
      <c r="E367" s="316"/>
      <c r="F367" s="317"/>
      <c r="G367" s="318"/>
      <c r="H367" s="397"/>
      <c r="I367" s="316"/>
      <c r="J367" s="317"/>
      <c r="K367" s="318"/>
      <c r="L367" s="397"/>
      <c r="M367" s="316"/>
      <c r="N367" s="317"/>
      <c r="O367" s="318"/>
      <c r="P367" s="397"/>
      <c r="Q367" s="199"/>
      <c r="R367" s="220"/>
      <c r="S367" s="400"/>
      <c r="T367" s="401"/>
      <c r="U367" s="199"/>
      <c r="V367" s="220"/>
      <c r="W367" s="400"/>
      <c r="X367" s="401"/>
      <c r="Y367" s="199"/>
      <c r="Z367" s="220"/>
      <c r="AA367" s="400"/>
      <c r="AB367" s="401"/>
      <c r="AC367" s="199"/>
      <c r="AD367" s="220"/>
      <c r="AE367" s="400"/>
      <c r="AF367" s="401"/>
      <c r="AG367" s="201"/>
      <c r="AH367" s="201"/>
      <c r="AI367" s="201"/>
      <c r="AJ367" s="201"/>
      <c r="AK367" s="397"/>
      <c r="AL367" s="397"/>
      <c r="AM367" s="397"/>
    </row>
    <row r="368">
      <c r="A368" s="316"/>
      <c r="B368" s="317"/>
      <c r="C368" s="318"/>
      <c r="D368" s="397"/>
      <c r="E368" s="316"/>
      <c r="F368" s="317"/>
      <c r="G368" s="318"/>
      <c r="H368" s="397"/>
      <c r="I368" s="316"/>
      <c r="J368" s="317"/>
      <c r="K368" s="318"/>
      <c r="L368" s="397"/>
      <c r="M368" s="316"/>
      <c r="N368" s="317"/>
      <c r="O368" s="318"/>
      <c r="P368" s="397"/>
      <c r="Q368" s="199"/>
      <c r="R368" s="220"/>
      <c r="S368" s="400"/>
      <c r="T368" s="401"/>
      <c r="U368" s="199"/>
      <c r="V368" s="220"/>
      <c r="W368" s="400"/>
      <c r="X368" s="401"/>
      <c r="Y368" s="199"/>
      <c r="Z368" s="220"/>
      <c r="AA368" s="400"/>
      <c r="AB368" s="401"/>
      <c r="AC368" s="199"/>
      <c r="AD368" s="220"/>
      <c r="AE368" s="400"/>
      <c r="AF368" s="401"/>
      <c r="AG368" s="201"/>
      <c r="AH368" s="201"/>
      <c r="AI368" s="201"/>
      <c r="AJ368" s="201"/>
      <c r="AK368" s="397"/>
      <c r="AL368" s="397"/>
      <c r="AM368" s="397"/>
    </row>
    <row r="369">
      <c r="A369" s="316"/>
      <c r="B369" s="317"/>
      <c r="C369" s="318"/>
      <c r="D369" s="397"/>
      <c r="E369" s="316"/>
      <c r="F369" s="317"/>
      <c r="G369" s="318"/>
      <c r="H369" s="397"/>
      <c r="I369" s="316"/>
      <c r="J369" s="317"/>
      <c r="K369" s="318"/>
      <c r="L369" s="397"/>
      <c r="M369" s="316"/>
      <c r="N369" s="317"/>
      <c r="O369" s="318"/>
      <c r="P369" s="397"/>
      <c r="Q369" s="199"/>
      <c r="R369" s="220"/>
      <c r="S369" s="400"/>
      <c r="T369" s="401"/>
      <c r="U369" s="199"/>
      <c r="V369" s="220"/>
      <c r="W369" s="400"/>
      <c r="X369" s="401"/>
      <c r="Y369" s="199"/>
      <c r="Z369" s="220"/>
      <c r="AA369" s="400"/>
      <c r="AB369" s="401"/>
      <c r="AC369" s="199"/>
      <c r="AD369" s="220"/>
      <c r="AE369" s="400"/>
      <c r="AF369" s="401"/>
      <c r="AG369" s="201"/>
      <c r="AH369" s="201"/>
      <c r="AI369" s="201"/>
      <c r="AJ369" s="201"/>
      <c r="AK369" s="397"/>
      <c r="AL369" s="397"/>
      <c r="AM369" s="397"/>
    </row>
    <row r="370">
      <c r="A370" s="316"/>
      <c r="B370" s="317"/>
      <c r="C370" s="318"/>
      <c r="D370" s="397"/>
      <c r="E370" s="316"/>
      <c r="F370" s="317"/>
      <c r="G370" s="318"/>
      <c r="H370" s="397"/>
      <c r="I370" s="316"/>
      <c r="J370" s="317"/>
      <c r="K370" s="318"/>
      <c r="L370" s="397"/>
      <c r="M370" s="316"/>
      <c r="N370" s="317"/>
      <c r="O370" s="318"/>
      <c r="P370" s="397"/>
      <c r="Q370" s="199"/>
      <c r="R370" s="220"/>
      <c r="S370" s="400"/>
      <c r="T370" s="401"/>
      <c r="U370" s="199"/>
      <c r="V370" s="220"/>
      <c r="W370" s="400"/>
      <c r="X370" s="401"/>
      <c r="Y370" s="199"/>
      <c r="Z370" s="220"/>
      <c r="AA370" s="400"/>
      <c r="AB370" s="401"/>
      <c r="AC370" s="199"/>
      <c r="AD370" s="220"/>
      <c r="AE370" s="400"/>
      <c r="AF370" s="401"/>
      <c r="AG370" s="201"/>
      <c r="AH370" s="201"/>
      <c r="AI370" s="201"/>
      <c r="AJ370" s="201"/>
      <c r="AK370" s="397"/>
      <c r="AL370" s="397"/>
      <c r="AM370" s="397"/>
    </row>
    <row r="371">
      <c r="A371" s="316"/>
      <c r="B371" s="317"/>
      <c r="C371" s="318"/>
      <c r="D371" s="397"/>
      <c r="E371" s="316"/>
      <c r="F371" s="317"/>
      <c r="G371" s="318"/>
      <c r="H371" s="397"/>
      <c r="I371" s="316"/>
      <c r="J371" s="317"/>
      <c r="K371" s="318"/>
      <c r="L371" s="397"/>
      <c r="M371" s="316"/>
      <c r="N371" s="317"/>
      <c r="O371" s="318"/>
      <c r="P371" s="397"/>
      <c r="Q371" s="199"/>
      <c r="R371" s="220"/>
      <c r="S371" s="400"/>
      <c r="T371" s="401"/>
      <c r="U371" s="199"/>
      <c r="V371" s="220"/>
      <c r="W371" s="400"/>
      <c r="X371" s="401"/>
      <c r="Y371" s="199"/>
      <c r="Z371" s="220"/>
      <c r="AA371" s="400"/>
      <c r="AB371" s="401"/>
      <c r="AC371" s="199"/>
      <c r="AD371" s="220"/>
      <c r="AE371" s="400"/>
      <c r="AF371" s="401"/>
      <c r="AG371" s="201"/>
      <c r="AH371" s="201"/>
      <c r="AI371" s="201"/>
      <c r="AJ371" s="201"/>
      <c r="AK371" s="397"/>
      <c r="AL371" s="397"/>
      <c r="AM371" s="397"/>
    </row>
    <row r="372">
      <c r="A372" s="316"/>
      <c r="B372" s="317"/>
      <c r="C372" s="318"/>
      <c r="D372" s="397"/>
      <c r="E372" s="316"/>
      <c r="F372" s="317"/>
      <c r="G372" s="318"/>
      <c r="H372" s="397"/>
      <c r="I372" s="316"/>
      <c r="J372" s="317"/>
      <c r="K372" s="318"/>
      <c r="L372" s="397"/>
      <c r="M372" s="316"/>
      <c r="N372" s="317"/>
      <c r="O372" s="318"/>
      <c r="P372" s="397"/>
      <c r="Q372" s="199"/>
      <c r="R372" s="220"/>
      <c r="S372" s="400"/>
      <c r="T372" s="401"/>
      <c r="U372" s="199"/>
      <c r="V372" s="220"/>
      <c r="W372" s="400"/>
      <c r="X372" s="401"/>
      <c r="Y372" s="199"/>
      <c r="Z372" s="220"/>
      <c r="AA372" s="400"/>
      <c r="AB372" s="401"/>
      <c r="AC372" s="199"/>
      <c r="AD372" s="220"/>
      <c r="AE372" s="400"/>
      <c r="AF372" s="401"/>
      <c r="AG372" s="201"/>
      <c r="AH372" s="201"/>
      <c r="AI372" s="201"/>
      <c r="AJ372" s="201"/>
      <c r="AK372" s="397"/>
      <c r="AL372" s="397"/>
      <c r="AM372" s="397"/>
    </row>
    <row r="373">
      <c r="A373" s="316"/>
      <c r="B373" s="317"/>
      <c r="C373" s="318"/>
      <c r="D373" s="397"/>
      <c r="E373" s="316"/>
      <c r="F373" s="317"/>
      <c r="G373" s="318"/>
      <c r="H373" s="397"/>
      <c r="I373" s="316"/>
      <c r="J373" s="317"/>
      <c r="K373" s="318"/>
      <c r="L373" s="397"/>
      <c r="M373" s="316"/>
      <c r="N373" s="317"/>
      <c r="O373" s="318"/>
      <c r="P373" s="397"/>
      <c r="Q373" s="199"/>
      <c r="R373" s="220"/>
      <c r="S373" s="400"/>
      <c r="T373" s="401"/>
      <c r="U373" s="199"/>
      <c r="V373" s="220"/>
      <c r="W373" s="400"/>
      <c r="X373" s="401"/>
      <c r="Y373" s="199"/>
      <c r="Z373" s="220"/>
      <c r="AA373" s="400"/>
      <c r="AB373" s="401"/>
      <c r="AC373" s="199"/>
      <c r="AD373" s="220"/>
      <c r="AE373" s="400"/>
      <c r="AF373" s="401"/>
      <c r="AG373" s="201"/>
      <c r="AH373" s="201"/>
      <c r="AI373" s="201"/>
      <c r="AJ373" s="201"/>
      <c r="AK373" s="397"/>
      <c r="AL373" s="397"/>
      <c r="AM373" s="397"/>
    </row>
    <row r="374">
      <c r="A374" s="316"/>
      <c r="B374" s="317"/>
      <c r="C374" s="318"/>
      <c r="D374" s="397"/>
      <c r="E374" s="316"/>
      <c r="F374" s="317"/>
      <c r="G374" s="318"/>
      <c r="H374" s="397"/>
      <c r="I374" s="316"/>
      <c r="J374" s="317"/>
      <c r="K374" s="318"/>
      <c r="L374" s="397"/>
      <c r="M374" s="316"/>
      <c r="N374" s="317"/>
      <c r="O374" s="318"/>
      <c r="P374" s="397"/>
      <c r="Q374" s="199"/>
      <c r="R374" s="220"/>
      <c r="S374" s="400"/>
      <c r="T374" s="401"/>
      <c r="U374" s="199"/>
      <c r="V374" s="220"/>
      <c r="W374" s="400"/>
      <c r="X374" s="401"/>
      <c r="Y374" s="199"/>
      <c r="Z374" s="220"/>
      <c r="AA374" s="400"/>
      <c r="AB374" s="401"/>
      <c r="AC374" s="199"/>
      <c r="AD374" s="220"/>
      <c r="AE374" s="400"/>
      <c r="AF374" s="401"/>
      <c r="AG374" s="201"/>
      <c r="AH374" s="201"/>
      <c r="AI374" s="201"/>
      <c r="AJ374" s="201"/>
      <c r="AK374" s="397"/>
      <c r="AL374" s="397"/>
      <c r="AM374" s="397"/>
    </row>
    <row r="375">
      <c r="A375" s="316"/>
      <c r="B375" s="317"/>
      <c r="C375" s="318"/>
      <c r="D375" s="397"/>
      <c r="E375" s="316"/>
      <c r="F375" s="317"/>
      <c r="G375" s="318"/>
      <c r="H375" s="397"/>
      <c r="I375" s="316"/>
      <c r="J375" s="317"/>
      <c r="K375" s="318"/>
      <c r="L375" s="397"/>
      <c r="M375" s="316"/>
      <c r="N375" s="317"/>
      <c r="O375" s="318"/>
      <c r="P375" s="397"/>
      <c r="Q375" s="199"/>
      <c r="R375" s="220"/>
      <c r="S375" s="400"/>
      <c r="T375" s="401"/>
      <c r="U375" s="199"/>
      <c r="V375" s="220"/>
      <c r="W375" s="400"/>
      <c r="X375" s="401"/>
      <c r="Y375" s="199"/>
      <c r="Z375" s="220"/>
      <c r="AA375" s="400"/>
      <c r="AB375" s="401"/>
      <c r="AC375" s="199"/>
      <c r="AD375" s="220"/>
      <c r="AE375" s="400"/>
      <c r="AF375" s="401"/>
      <c r="AG375" s="201"/>
      <c r="AH375" s="201"/>
      <c r="AI375" s="201"/>
      <c r="AJ375" s="201"/>
      <c r="AK375" s="397"/>
      <c r="AL375" s="397"/>
      <c r="AM375" s="397"/>
    </row>
    <row r="376">
      <c r="A376" s="316"/>
      <c r="B376" s="317"/>
      <c r="C376" s="318"/>
      <c r="D376" s="397"/>
      <c r="E376" s="316"/>
      <c r="F376" s="317"/>
      <c r="G376" s="318"/>
      <c r="H376" s="397"/>
      <c r="I376" s="316"/>
      <c r="J376" s="317"/>
      <c r="K376" s="318"/>
      <c r="L376" s="397"/>
      <c r="M376" s="316"/>
      <c r="N376" s="317"/>
      <c r="O376" s="318"/>
      <c r="P376" s="397"/>
      <c r="Q376" s="199"/>
      <c r="R376" s="220"/>
      <c r="S376" s="400"/>
      <c r="T376" s="401"/>
      <c r="U376" s="199"/>
      <c r="V376" s="220"/>
      <c r="W376" s="400"/>
      <c r="X376" s="401"/>
      <c r="Y376" s="199"/>
      <c r="Z376" s="220"/>
      <c r="AA376" s="400"/>
      <c r="AB376" s="401"/>
      <c r="AC376" s="199"/>
      <c r="AD376" s="220"/>
      <c r="AE376" s="400"/>
      <c r="AF376" s="401"/>
      <c r="AG376" s="201"/>
      <c r="AH376" s="201"/>
      <c r="AI376" s="201"/>
      <c r="AJ376" s="201"/>
      <c r="AK376" s="397"/>
      <c r="AL376" s="397"/>
      <c r="AM376" s="397"/>
    </row>
    <row r="377">
      <c r="A377" s="316"/>
      <c r="B377" s="317"/>
      <c r="C377" s="318"/>
      <c r="D377" s="397"/>
      <c r="E377" s="316"/>
      <c r="F377" s="317"/>
      <c r="G377" s="318"/>
      <c r="H377" s="397"/>
      <c r="I377" s="316"/>
      <c r="J377" s="317"/>
      <c r="K377" s="318"/>
      <c r="L377" s="397"/>
      <c r="M377" s="316"/>
      <c r="N377" s="317"/>
      <c r="O377" s="318"/>
      <c r="P377" s="397"/>
      <c r="Q377" s="199"/>
      <c r="R377" s="220"/>
      <c r="S377" s="400"/>
      <c r="T377" s="401"/>
      <c r="U377" s="199"/>
      <c r="V377" s="220"/>
      <c r="W377" s="400"/>
      <c r="X377" s="401"/>
      <c r="Y377" s="199"/>
      <c r="Z377" s="220"/>
      <c r="AA377" s="400"/>
      <c r="AB377" s="401"/>
      <c r="AC377" s="199"/>
      <c r="AD377" s="220"/>
      <c r="AE377" s="400"/>
      <c r="AF377" s="401"/>
      <c r="AG377" s="201"/>
      <c r="AH377" s="201"/>
      <c r="AI377" s="201"/>
      <c r="AJ377" s="201"/>
      <c r="AK377" s="397"/>
      <c r="AL377" s="397"/>
      <c r="AM377" s="397"/>
    </row>
    <row r="378">
      <c r="A378" s="316"/>
      <c r="B378" s="317"/>
      <c r="C378" s="318"/>
      <c r="D378" s="397"/>
      <c r="E378" s="316"/>
      <c r="F378" s="317"/>
      <c r="G378" s="318"/>
      <c r="H378" s="397"/>
      <c r="I378" s="316"/>
      <c r="J378" s="317"/>
      <c r="K378" s="318"/>
      <c r="L378" s="397"/>
      <c r="M378" s="316"/>
      <c r="N378" s="317"/>
      <c r="O378" s="318"/>
      <c r="P378" s="397"/>
      <c r="Q378" s="199"/>
      <c r="R378" s="220"/>
      <c r="S378" s="400"/>
      <c r="T378" s="401"/>
      <c r="U378" s="199"/>
      <c r="V378" s="220"/>
      <c r="W378" s="400"/>
      <c r="X378" s="401"/>
      <c r="Y378" s="199"/>
      <c r="Z378" s="220"/>
      <c r="AA378" s="400"/>
      <c r="AB378" s="401"/>
      <c r="AC378" s="199"/>
      <c r="AD378" s="220"/>
      <c r="AE378" s="400"/>
      <c r="AF378" s="401"/>
      <c r="AG378" s="201"/>
      <c r="AH378" s="201"/>
      <c r="AI378" s="201"/>
      <c r="AJ378" s="201"/>
      <c r="AK378" s="397"/>
      <c r="AL378" s="397"/>
      <c r="AM378" s="397"/>
    </row>
    <row r="379">
      <c r="A379" s="316"/>
      <c r="B379" s="317"/>
      <c r="C379" s="318"/>
      <c r="D379" s="397"/>
      <c r="E379" s="316"/>
      <c r="F379" s="317"/>
      <c r="G379" s="318"/>
      <c r="H379" s="397"/>
      <c r="I379" s="316"/>
      <c r="J379" s="317"/>
      <c r="K379" s="318"/>
      <c r="L379" s="397"/>
      <c r="M379" s="316"/>
      <c r="N379" s="317"/>
      <c r="O379" s="318"/>
      <c r="P379" s="397"/>
      <c r="Q379" s="199"/>
      <c r="R379" s="220"/>
      <c r="S379" s="400"/>
      <c r="T379" s="401"/>
      <c r="U379" s="199"/>
      <c r="V379" s="220"/>
      <c r="W379" s="400"/>
      <c r="X379" s="401"/>
      <c r="Y379" s="199"/>
      <c r="Z379" s="220"/>
      <c r="AA379" s="400"/>
      <c r="AB379" s="401"/>
      <c r="AC379" s="199"/>
      <c r="AD379" s="220"/>
      <c r="AE379" s="400"/>
      <c r="AF379" s="401"/>
      <c r="AG379" s="201"/>
      <c r="AH379" s="201"/>
      <c r="AI379" s="201"/>
      <c r="AJ379" s="201"/>
      <c r="AK379" s="397"/>
      <c r="AL379" s="397"/>
      <c r="AM379" s="397"/>
    </row>
    <row r="380">
      <c r="A380" s="316"/>
      <c r="B380" s="317"/>
      <c r="C380" s="318"/>
      <c r="D380" s="397"/>
      <c r="E380" s="316"/>
      <c r="F380" s="317"/>
      <c r="G380" s="318"/>
      <c r="H380" s="397"/>
      <c r="I380" s="316"/>
      <c r="J380" s="317"/>
      <c r="K380" s="318"/>
      <c r="L380" s="397"/>
      <c r="M380" s="316"/>
      <c r="N380" s="317"/>
      <c r="O380" s="318"/>
      <c r="P380" s="397"/>
      <c r="Q380" s="199"/>
      <c r="R380" s="220"/>
      <c r="S380" s="400"/>
      <c r="T380" s="401"/>
      <c r="U380" s="199"/>
      <c r="V380" s="220"/>
      <c r="W380" s="400"/>
      <c r="X380" s="401"/>
      <c r="Y380" s="199"/>
      <c r="Z380" s="220"/>
      <c r="AA380" s="400"/>
      <c r="AB380" s="401"/>
      <c r="AC380" s="199"/>
      <c r="AD380" s="220"/>
      <c r="AE380" s="400"/>
      <c r="AF380" s="401"/>
      <c r="AG380" s="201"/>
      <c r="AH380" s="201"/>
      <c r="AI380" s="201"/>
      <c r="AJ380" s="201"/>
      <c r="AK380" s="397"/>
      <c r="AL380" s="397"/>
      <c r="AM380" s="397"/>
    </row>
    <row r="381">
      <c r="A381" s="316"/>
      <c r="B381" s="317"/>
      <c r="C381" s="318"/>
      <c r="D381" s="397"/>
      <c r="E381" s="316"/>
      <c r="F381" s="317"/>
      <c r="G381" s="318"/>
      <c r="H381" s="397"/>
      <c r="I381" s="316"/>
      <c r="J381" s="317"/>
      <c r="K381" s="318"/>
      <c r="L381" s="397"/>
      <c r="M381" s="316"/>
      <c r="N381" s="317"/>
      <c r="O381" s="318"/>
      <c r="P381" s="397"/>
      <c r="Q381" s="199"/>
      <c r="R381" s="220"/>
      <c r="S381" s="400"/>
      <c r="T381" s="401"/>
      <c r="U381" s="199"/>
      <c r="V381" s="220"/>
      <c r="W381" s="400"/>
      <c r="X381" s="401"/>
      <c r="Y381" s="199"/>
      <c r="Z381" s="220"/>
      <c r="AA381" s="400"/>
      <c r="AB381" s="401"/>
      <c r="AC381" s="199"/>
      <c r="AD381" s="220"/>
      <c r="AE381" s="400"/>
      <c r="AF381" s="401"/>
      <c r="AG381" s="201"/>
      <c r="AH381" s="201"/>
      <c r="AI381" s="201"/>
      <c r="AJ381" s="201"/>
      <c r="AK381" s="397"/>
      <c r="AL381" s="397"/>
      <c r="AM381" s="397"/>
    </row>
    <row r="382">
      <c r="A382" s="316"/>
      <c r="B382" s="317"/>
      <c r="C382" s="318"/>
      <c r="D382" s="397"/>
      <c r="E382" s="316"/>
      <c r="F382" s="317"/>
      <c r="G382" s="318"/>
      <c r="H382" s="397"/>
      <c r="I382" s="316"/>
      <c r="J382" s="317"/>
      <c r="K382" s="318"/>
      <c r="L382" s="397"/>
      <c r="M382" s="316"/>
      <c r="N382" s="317"/>
      <c r="O382" s="318"/>
      <c r="P382" s="397"/>
      <c r="Q382" s="199"/>
      <c r="R382" s="220"/>
      <c r="S382" s="400"/>
      <c r="T382" s="401"/>
      <c r="U382" s="199"/>
      <c r="V382" s="220"/>
      <c r="W382" s="400"/>
      <c r="X382" s="401"/>
      <c r="Y382" s="199"/>
      <c r="Z382" s="220"/>
      <c r="AA382" s="400"/>
      <c r="AB382" s="401"/>
      <c r="AC382" s="199"/>
      <c r="AD382" s="220"/>
      <c r="AE382" s="400"/>
      <c r="AF382" s="401"/>
      <c r="AG382" s="201"/>
      <c r="AH382" s="201"/>
      <c r="AI382" s="201"/>
      <c r="AJ382" s="201"/>
      <c r="AK382" s="397"/>
      <c r="AL382" s="397"/>
      <c r="AM382" s="397"/>
    </row>
    <row r="383">
      <c r="A383" s="316"/>
      <c r="B383" s="317"/>
      <c r="C383" s="318"/>
      <c r="D383" s="397"/>
      <c r="E383" s="316"/>
      <c r="F383" s="317"/>
      <c r="G383" s="318"/>
      <c r="H383" s="397"/>
      <c r="I383" s="316"/>
      <c r="J383" s="317"/>
      <c r="K383" s="318"/>
      <c r="L383" s="397"/>
      <c r="M383" s="316"/>
      <c r="N383" s="317"/>
      <c r="O383" s="318"/>
      <c r="P383" s="397"/>
      <c r="Q383" s="199"/>
      <c r="R383" s="220"/>
      <c r="S383" s="400"/>
      <c r="T383" s="401"/>
      <c r="U383" s="199"/>
      <c r="V383" s="220"/>
      <c r="W383" s="400"/>
      <c r="X383" s="401"/>
      <c r="Y383" s="199"/>
      <c r="Z383" s="220"/>
      <c r="AA383" s="400"/>
      <c r="AB383" s="401"/>
      <c r="AC383" s="199"/>
      <c r="AD383" s="220"/>
      <c r="AE383" s="400"/>
      <c r="AF383" s="401"/>
      <c r="AG383" s="201"/>
      <c r="AH383" s="201"/>
      <c r="AI383" s="201"/>
      <c r="AJ383" s="201"/>
      <c r="AK383" s="397"/>
      <c r="AL383" s="397"/>
      <c r="AM383" s="397"/>
    </row>
    <row r="384">
      <c r="A384" s="316"/>
      <c r="B384" s="317"/>
      <c r="C384" s="318"/>
      <c r="D384" s="397"/>
      <c r="E384" s="316"/>
      <c r="F384" s="317"/>
      <c r="G384" s="318"/>
      <c r="H384" s="397"/>
      <c r="I384" s="316"/>
      <c r="J384" s="317"/>
      <c r="K384" s="318"/>
      <c r="L384" s="397"/>
      <c r="M384" s="316"/>
      <c r="N384" s="317"/>
      <c r="O384" s="318"/>
      <c r="P384" s="397"/>
      <c r="Q384" s="199"/>
      <c r="R384" s="220"/>
      <c r="S384" s="400"/>
      <c r="T384" s="401"/>
      <c r="U384" s="199"/>
      <c r="V384" s="220"/>
      <c r="W384" s="400"/>
      <c r="X384" s="401"/>
      <c r="Y384" s="199"/>
      <c r="Z384" s="220"/>
      <c r="AA384" s="400"/>
      <c r="AB384" s="401"/>
      <c r="AC384" s="199"/>
      <c r="AD384" s="220"/>
      <c r="AE384" s="400"/>
      <c r="AF384" s="401"/>
      <c r="AG384" s="201"/>
      <c r="AH384" s="201"/>
      <c r="AI384" s="201"/>
      <c r="AJ384" s="201"/>
      <c r="AK384" s="397"/>
      <c r="AL384" s="397"/>
      <c r="AM384" s="397"/>
    </row>
    <row r="385">
      <c r="A385" s="316"/>
      <c r="B385" s="317"/>
      <c r="C385" s="318"/>
      <c r="D385" s="397"/>
      <c r="E385" s="316"/>
      <c r="F385" s="317"/>
      <c r="G385" s="318"/>
      <c r="H385" s="397"/>
      <c r="I385" s="316"/>
      <c r="J385" s="317"/>
      <c r="K385" s="318"/>
      <c r="L385" s="397"/>
      <c r="M385" s="316"/>
      <c r="N385" s="317"/>
      <c r="O385" s="318"/>
      <c r="P385" s="397"/>
      <c r="Q385" s="199"/>
      <c r="R385" s="220"/>
      <c r="S385" s="400"/>
      <c r="T385" s="401"/>
      <c r="U385" s="199"/>
      <c r="V385" s="220"/>
      <c r="W385" s="400"/>
      <c r="X385" s="401"/>
      <c r="Y385" s="199"/>
      <c r="Z385" s="220"/>
      <c r="AA385" s="400"/>
      <c r="AB385" s="401"/>
      <c r="AC385" s="199"/>
      <c r="AD385" s="220"/>
      <c r="AE385" s="400"/>
      <c r="AF385" s="401"/>
      <c r="AG385" s="201"/>
      <c r="AH385" s="201"/>
      <c r="AI385" s="201"/>
      <c r="AJ385" s="201"/>
      <c r="AK385" s="397"/>
      <c r="AL385" s="397"/>
      <c r="AM385" s="397"/>
    </row>
    <row r="386">
      <c r="A386" s="316"/>
      <c r="B386" s="317"/>
      <c r="C386" s="318"/>
      <c r="D386" s="397"/>
      <c r="E386" s="316"/>
      <c r="F386" s="317"/>
      <c r="G386" s="318"/>
      <c r="H386" s="397"/>
      <c r="I386" s="316"/>
      <c r="J386" s="317"/>
      <c r="K386" s="318"/>
      <c r="L386" s="397"/>
      <c r="M386" s="316"/>
      <c r="N386" s="317"/>
      <c r="O386" s="318"/>
      <c r="P386" s="397"/>
      <c r="Q386" s="199"/>
      <c r="R386" s="220"/>
      <c r="S386" s="400"/>
      <c r="T386" s="401"/>
      <c r="U386" s="199"/>
      <c r="V386" s="220"/>
      <c r="W386" s="400"/>
      <c r="X386" s="401"/>
      <c r="Y386" s="199"/>
      <c r="Z386" s="220"/>
      <c r="AA386" s="400"/>
      <c r="AB386" s="401"/>
      <c r="AC386" s="199"/>
      <c r="AD386" s="220"/>
      <c r="AE386" s="400"/>
      <c r="AF386" s="401"/>
      <c r="AG386" s="201"/>
      <c r="AH386" s="201"/>
      <c r="AI386" s="201"/>
      <c r="AJ386" s="201"/>
      <c r="AK386" s="397"/>
      <c r="AL386" s="397"/>
      <c r="AM386" s="397"/>
    </row>
    <row r="387">
      <c r="A387" s="316"/>
      <c r="B387" s="317"/>
      <c r="C387" s="318"/>
      <c r="D387" s="397"/>
      <c r="E387" s="316"/>
      <c r="F387" s="317"/>
      <c r="G387" s="318"/>
      <c r="H387" s="397"/>
      <c r="I387" s="316"/>
      <c r="J387" s="317"/>
      <c r="K387" s="318"/>
      <c r="L387" s="397"/>
      <c r="M387" s="316"/>
      <c r="N387" s="317"/>
      <c r="O387" s="318"/>
      <c r="P387" s="397"/>
      <c r="Q387" s="199"/>
      <c r="R387" s="220"/>
      <c r="S387" s="400"/>
      <c r="T387" s="401"/>
      <c r="U387" s="199"/>
      <c r="V387" s="220"/>
      <c r="W387" s="400"/>
      <c r="X387" s="401"/>
      <c r="Y387" s="199"/>
      <c r="Z387" s="220"/>
      <c r="AA387" s="400"/>
      <c r="AB387" s="401"/>
      <c r="AC387" s="199"/>
      <c r="AD387" s="220"/>
      <c r="AE387" s="400"/>
      <c r="AF387" s="401"/>
      <c r="AG387" s="201"/>
      <c r="AH387" s="201"/>
      <c r="AI387" s="201"/>
      <c r="AJ387" s="201"/>
      <c r="AK387" s="397"/>
      <c r="AL387" s="397"/>
      <c r="AM387" s="397"/>
    </row>
    <row r="388">
      <c r="A388" s="316"/>
      <c r="B388" s="317"/>
      <c r="C388" s="318"/>
      <c r="D388" s="397"/>
      <c r="E388" s="316"/>
      <c r="F388" s="317"/>
      <c r="G388" s="318"/>
      <c r="H388" s="397"/>
      <c r="I388" s="316"/>
      <c r="J388" s="317"/>
      <c r="K388" s="318"/>
      <c r="L388" s="397"/>
      <c r="M388" s="316"/>
      <c r="N388" s="317"/>
      <c r="O388" s="318"/>
      <c r="P388" s="397"/>
      <c r="Q388" s="199"/>
      <c r="R388" s="220"/>
      <c r="S388" s="400"/>
      <c r="T388" s="401"/>
      <c r="U388" s="199"/>
      <c r="V388" s="220"/>
      <c r="W388" s="400"/>
      <c r="X388" s="401"/>
      <c r="Y388" s="199"/>
      <c r="Z388" s="220"/>
      <c r="AA388" s="400"/>
      <c r="AB388" s="401"/>
      <c r="AC388" s="199"/>
      <c r="AD388" s="220"/>
      <c r="AE388" s="400"/>
      <c r="AF388" s="401"/>
      <c r="AG388" s="201"/>
      <c r="AH388" s="201"/>
      <c r="AI388" s="201"/>
      <c r="AJ388" s="201"/>
      <c r="AK388" s="397"/>
      <c r="AL388" s="397"/>
      <c r="AM388" s="397"/>
    </row>
    <row r="389">
      <c r="A389" s="316"/>
      <c r="B389" s="317"/>
      <c r="C389" s="318"/>
      <c r="D389" s="397"/>
      <c r="E389" s="316"/>
      <c r="F389" s="317"/>
      <c r="G389" s="318"/>
      <c r="H389" s="397"/>
      <c r="I389" s="316"/>
      <c r="J389" s="317"/>
      <c r="K389" s="318"/>
      <c r="L389" s="397"/>
      <c r="M389" s="316"/>
      <c r="N389" s="317"/>
      <c r="O389" s="318"/>
      <c r="P389" s="397"/>
      <c r="Q389" s="199"/>
      <c r="R389" s="220"/>
      <c r="S389" s="400"/>
      <c r="T389" s="401"/>
      <c r="U389" s="199"/>
      <c r="V389" s="220"/>
      <c r="W389" s="400"/>
      <c r="X389" s="401"/>
      <c r="Y389" s="199"/>
      <c r="Z389" s="220"/>
      <c r="AA389" s="400"/>
      <c r="AB389" s="401"/>
      <c r="AC389" s="199"/>
      <c r="AD389" s="220"/>
      <c r="AE389" s="400"/>
      <c r="AF389" s="401"/>
      <c r="AG389" s="201"/>
      <c r="AH389" s="201"/>
      <c r="AI389" s="201"/>
      <c r="AJ389" s="201"/>
      <c r="AK389" s="397"/>
      <c r="AL389" s="397"/>
      <c r="AM389" s="397"/>
    </row>
    <row r="390">
      <c r="A390" s="316"/>
      <c r="B390" s="317"/>
      <c r="C390" s="318"/>
      <c r="D390" s="397"/>
      <c r="E390" s="316"/>
      <c r="F390" s="317"/>
      <c r="G390" s="318"/>
      <c r="H390" s="397"/>
      <c r="I390" s="316"/>
      <c r="J390" s="317"/>
      <c r="K390" s="318"/>
      <c r="L390" s="397"/>
      <c r="M390" s="316"/>
      <c r="N390" s="317"/>
      <c r="O390" s="318"/>
      <c r="P390" s="397"/>
      <c r="Q390" s="199"/>
      <c r="R390" s="220"/>
      <c r="S390" s="400"/>
      <c r="T390" s="401"/>
      <c r="U390" s="199"/>
      <c r="V390" s="220"/>
      <c r="W390" s="400"/>
      <c r="X390" s="401"/>
      <c r="Y390" s="199"/>
      <c r="Z390" s="220"/>
      <c r="AA390" s="400"/>
      <c r="AB390" s="401"/>
      <c r="AC390" s="199"/>
      <c r="AD390" s="220"/>
      <c r="AE390" s="400"/>
      <c r="AF390" s="401"/>
      <c r="AG390" s="201"/>
      <c r="AH390" s="201"/>
      <c r="AI390" s="201"/>
      <c r="AJ390" s="201"/>
      <c r="AK390" s="397"/>
      <c r="AL390" s="397"/>
      <c r="AM390" s="397"/>
    </row>
    <row r="391">
      <c r="A391" s="316"/>
      <c r="B391" s="317"/>
      <c r="C391" s="318"/>
      <c r="D391" s="397"/>
      <c r="E391" s="316"/>
      <c r="F391" s="317"/>
      <c r="G391" s="318"/>
      <c r="H391" s="397"/>
      <c r="I391" s="316"/>
      <c r="J391" s="317"/>
      <c r="K391" s="318"/>
      <c r="L391" s="397"/>
      <c r="M391" s="316"/>
      <c r="N391" s="317"/>
      <c r="O391" s="318"/>
      <c r="P391" s="397"/>
      <c r="Q391" s="199"/>
      <c r="R391" s="220"/>
      <c r="S391" s="400"/>
      <c r="T391" s="401"/>
      <c r="U391" s="199"/>
      <c r="V391" s="220"/>
      <c r="W391" s="400"/>
      <c r="X391" s="401"/>
      <c r="Y391" s="199"/>
      <c r="Z391" s="220"/>
      <c r="AA391" s="400"/>
      <c r="AB391" s="401"/>
      <c r="AC391" s="199"/>
      <c r="AD391" s="220"/>
      <c r="AE391" s="400"/>
      <c r="AF391" s="401"/>
      <c r="AG391" s="201"/>
      <c r="AH391" s="201"/>
      <c r="AI391" s="201"/>
      <c r="AJ391" s="201"/>
      <c r="AK391" s="397"/>
      <c r="AL391" s="397"/>
      <c r="AM391" s="397"/>
    </row>
    <row r="392">
      <c r="A392" s="316"/>
      <c r="B392" s="317"/>
      <c r="C392" s="318"/>
      <c r="D392" s="397"/>
      <c r="E392" s="316"/>
      <c r="F392" s="317"/>
      <c r="G392" s="318"/>
      <c r="H392" s="397"/>
      <c r="I392" s="316"/>
      <c r="J392" s="317"/>
      <c r="K392" s="318"/>
      <c r="L392" s="397"/>
      <c r="M392" s="316"/>
      <c r="N392" s="317"/>
      <c r="O392" s="318"/>
      <c r="P392" s="397"/>
      <c r="Q392" s="199"/>
      <c r="R392" s="220"/>
      <c r="S392" s="400"/>
      <c r="T392" s="401"/>
      <c r="U392" s="199"/>
      <c r="V392" s="220"/>
      <c r="W392" s="400"/>
      <c r="X392" s="401"/>
      <c r="Y392" s="199"/>
      <c r="Z392" s="220"/>
      <c r="AA392" s="400"/>
      <c r="AB392" s="401"/>
      <c r="AC392" s="199"/>
      <c r="AD392" s="220"/>
      <c r="AE392" s="400"/>
      <c r="AF392" s="401"/>
      <c r="AG392" s="201"/>
      <c r="AH392" s="201"/>
      <c r="AI392" s="201"/>
      <c r="AJ392" s="201"/>
      <c r="AK392" s="397"/>
      <c r="AL392" s="397"/>
      <c r="AM392" s="397"/>
    </row>
    <row r="393">
      <c r="A393" s="316"/>
      <c r="B393" s="317"/>
      <c r="C393" s="318"/>
      <c r="D393" s="397"/>
      <c r="E393" s="316"/>
      <c r="F393" s="317"/>
      <c r="G393" s="318"/>
      <c r="H393" s="397"/>
      <c r="I393" s="316"/>
      <c r="J393" s="317"/>
      <c r="K393" s="318"/>
      <c r="L393" s="397"/>
      <c r="M393" s="316"/>
      <c r="N393" s="317"/>
      <c r="O393" s="318"/>
      <c r="P393" s="397"/>
      <c r="Q393" s="199"/>
      <c r="R393" s="220"/>
      <c r="S393" s="400"/>
      <c r="T393" s="401"/>
      <c r="U393" s="199"/>
      <c r="V393" s="220"/>
      <c r="W393" s="400"/>
      <c r="X393" s="401"/>
      <c r="Y393" s="199"/>
      <c r="Z393" s="220"/>
      <c r="AA393" s="400"/>
      <c r="AB393" s="401"/>
      <c r="AC393" s="199"/>
      <c r="AD393" s="220"/>
      <c r="AE393" s="400"/>
      <c r="AF393" s="401"/>
      <c r="AG393" s="201"/>
      <c r="AH393" s="201"/>
      <c r="AI393" s="201"/>
      <c r="AJ393" s="201"/>
      <c r="AK393" s="397"/>
      <c r="AL393" s="397"/>
      <c r="AM393" s="397"/>
    </row>
    <row r="394">
      <c r="A394" s="316"/>
      <c r="B394" s="317"/>
      <c r="C394" s="318"/>
      <c r="D394" s="397"/>
      <c r="E394" s="316"/>
      <c r="F394" s="317"/>
      <c r="G394" s="318"/>
      <c r="H394" s="397"/>
      <c r="I394" s="316"/>
      <c r="J394" s="317"/>
      <c r="K394" s="318"/>
      <c r="L394" s="397"/>
      <c r="M394" s="316"/>
      <c r="N394" s="317"/>
      <c r="O394" s="318"/>
      <c r="P394" s="397"/>
      <c r="Q394" s="199"/>
      <c r="R394" s="220"/>
      <c r="S394" s="400"/>
      <c r="T394" s="401"/>
      <c r="U394" s="199"/>
      <c r="V394" s="220"/>
      <c r="W394" s="400"/>
      <c r="X394" s="401"/>
      <c r="Y394" s="199"/>
      <c r="Z394" s="220"/>
      <c r="AA394" s="400"/>
      <c r="AB394" s="401"/>
      <c r="AC394" s="199"/>
      <c r="AD394" s="220"/>
      <c r="AE394" s="400"/>
      <c r="AF394" s="401"/>
      <c r="AG394" s="201"/>
      <c r="AH394" s="201"/>
      <c r="AI394" s="201"/>
      <c r="AJ394" s="201"/>
      <c r="AK394" s="397"/>
      <c r="AL394" s="397"/>
      <c r="AM394" s="397"/>
    </row>
    <row r="395">
      <c r="A395" s="316"/>
      <c r="B395" s="317"/>
      <c r="C395" s="318"/>
      <c r="D395" s="397"/>
      <c r="E395" s="316"/>
      <c r="F395" s="317"/>
      <c r="G395" s="318"/>
      <c r="H395" s="397"/>
      <c r="I395" s="316"/>
      <c r="J395" s="317"/>
      <c r="K395" s="318"/>
      <c r="L395" s="397"/>
      <c r="M395" s="316"/>
      <c r="N395" s="317"/>
      <c r="O395" s="318"/>
      <c r="P395" s="397"/>
      <c r="Q395" s="199"/>
      <c r="R395" s="220"/>
      <c r="S395" s="400"/>
      <c r="T395" s="401"/>
      <c r="U395" s="199"/>
      <c r="V395" s="220"/>
      <c r="W395" s="400"/>
      <c r="X395" s="401"/>
      <c r="Y395" s="199"/>
      <c r="Z395" s="220"/>
      <c r="AA395" s="400"/>
      <c r="AB395" s="401"/>
      <c r="AC395" s="199"/>
      <c r="AD395" s="220"/>
      <c r="AE395" s="400"/>
      <c r="AF395" s="401"/>
      <c r="AG395" s="201"/>
      <c r="AH395" s="201"/>
      <c r="AI395" s="201"/>
      <c r="AJ395" s="201"/>
      <c r="AK395" s="397"/>
      <c r="AL395" s="397"/>
      <c r="AM395" s="397"/>
    </row>
    <row r="396">
      <c r="A396" s="316"/>
      <c r="B396" s="317"/>
      <c r="C396" s="318"/>
      <c r="D396" s="397"/>
      <c r="E396" s="316"/>
      <c r="F396" s="317"/>
      <c r="G396" s="318"/>
      <c r="H396" s="397"/>
      <c r="I396" s="316"/>
      <c r="J396" s="317"/>
      <c r="K396" s="318"/>
      <c r="L396" s="397"/>
      <c r="M396" s="316"/>
      <c r="N396" s="317"/>
      <c r="O396" s="318"/>
      <c r="P396" s="397"/>
      <c r="Q396" s="199"/>
      <c r="R396" s="220"/>
      <c r="S396" s="400"/>
      <c r="T396" s="401"/>
      <c r="U396" s="199"/>
      <c r="V396" s="220"/>
      <c r="W396" s="400"/>
      <c r="X396" s="401"/>
      <c r="Y396" s="199"/>
      <c r="Z396" s="220"/>
      <c r="AA396" s="400"/>
      <c r="AB396" s="401"/>
      <c r="AC396" s="199"/>
      <c r="AD396" s="220"/>
      <c r="AE396" s="400"/>
      <c r="AF396" s="401"/>
      <c r="AG396" s="201"/>
      <c r="AH396" s="201"/>
      <c r="AI396" s="201"/>
      <c r="AJ396" s="201"/>
      <c r="AK396" s="397"/>
      <c r="AL396" s="397"/>
      <c r="AM396" s="397"/>
    </row>
    <row r="397">
      <c r="A397" s="316"/>
      <c r="B397" s="317"/>
      <c r="C397" s="318"/>
      <c r="D397" s="397"/>
      <c r="E397" s="316"/>
      <c r="F397" s="317"/>
      <c r="G397" s="318"/>
      <c r="H397" s="397"/>
      <c r="I397" s="316"/>
      <c r="J397" s="317"/>
      <c r="K397" s="318"/>
      <c r="L397" s="397"/>
      <c r="M397" s="316"/>
      <c r="N397" s="317"/>
      <c r="O397" s="318"/>
      <c r="P397" s="397"/>
      <c r="Q397" s="199"/>
      <c r="R397" s="220"/>
      <c r="S397" s="400"/>
      <c r="T397" s="401"/>
      <c r="U397" s="199"/>
      <c r="V397" s="220"/>
      <c r="W397" s="400"/>
      <c r="X397" s="401"/>
      <c r="Y397" s="199"/>
      <c r="Z397" s="220"/>
      <c r="AA397" s="400"/>
      <c r="AB397" s="401"/>
      <c r="AC397" s="199"/>
      <c r="AD397" s="220"/>
      <c r="AE397" s="400"/>
      <c r="AF397" s="401"/>
      <c r="AG397" s="201"/>
      <c r="AH397" s="201"/>
      <c r="AI397" s="201"/>
      <c r="AJ397" s="201"/>
      <c r="AK397" s="397"/>
      <c r="AL397" s="397"/>
      <c r="AM397" s="397"/>
    </row>
    <row r="398">
      <c r="A398" s="316"/>
      <c r="B398" s="317"/>
      <c r="C398" s="318"/>
      <c r="D398" s="397"/>
      <c r="E398" s="316"/>
      <c r="F398" s="317"/>
      <c r="G398" s="318"/>
      <c r="H398" s="397"/>
      <c r="I398" s="316"/>
      <c r="J398" s="317"/>
      <c r="K398" s="318"/>
      <c r="L398" s="397"/>
      <c r="M398" s="316"/>
      <c r="N398" s="317"/>
      <c r="O398" s="318"/>
      <c r="P398" s="397"/>
      <c r="Q398" s="199"/>
      <c r="R398" s="220"/>
      <c r="S398" s="400"/>
      <c r="T398" s="401"/>
      <c r="U398" s="199"/>
      <c r="V398" s="220"/>
      <c r="W398" s="400"/>
      <c r="X398" s="401"/>
      <c r="Y398" s="199"/>
      <c r="Z398" s="220"/>
      <c r="AA398" s="400"/>
      <c r="AB398" s="401"/>
      <c r="AC398" s="199"/>
      <c r="AD398" s="220"/>
      <c r="AE398" s="400"/>
      <c r="AF398" s="401"/>
      <c r="AG398" s="201"/>
      <c r="AH398" s="201"/>
      <c r="AI398" s="201"/>
      <c r="AJ398" s="201"/>
      <c r="AK398" s="397"/>
      <c r="AL398" s="397"/>
      <c r="AM398" s="397"/>
    </row>
    <row r="399">
      <c r="A399" s="316"/>
      <c r="B399" s="317"/>
      <c r="C399" s="318"/>
      <c r="D399" s="397"/>
      <c r="E399" s="316"/>
      <c r="F399" s="317"/>
      <c r="G399" s="318"/>
      <c r="H399" s="397"/>
      <c r="I399" s="316"/>
      <c r="J399" s="317"/>
      <c r="K399" s="318"/>
      <c r="L399" s="397"/>
      <c r="M399" s="316"/>
      <c r="N399" s="317"/>
      <c r="O399" s="318"/>
      <c r="P399" s="397"/>
      <c r="Q399" s="199"/>
      <c r="R399" s="220"/>
      <c r="S399" s="400"/>
      <c r="T399" s="401"/>
      <c r="U399" s="199"/>
      <c r="V399" s="220"/>
      <c r="W399" s="400"/>
      <c r="X399" s="401"/>
      <c r="Y399" s="199"/>
      <c r="Z399" s="220"/>
      <c r="AA399" s="400"/>
      <c r="AB399" s="401"/>
      <c r="AC399" s="199"/>
      <c r="AD399" s="220"/>
      <c r="AE399" s="400"/>
      <c r="AF399" s="401"/>
      <c r="AG399" s="201"/>
      <c r="AH399" s="201"/>
      <c r="AI399" s="201"/>
      <c r="AJ399" s="201"/>
      <c r="AK399" s="397"/>
      <c r="AL399" s="397"/>
      <c r="AM399" s="397"/>
    </row>
    <row r="400">
      <c r="A400" s="316"/>
      <c r="B400" s="317"/>
      <c r="C400" s="318"/>
      <c r="D400" s="397"/>
      <c r="E400" s="316"/>
      <c r="F400" s="317"/>
      <c r="G400" s="318"/>
      <c r="H400" s="397"/>
      <c r="I400" s="316"/>
      <c r="J400" s="317"/>
      <c r="K400" s="318"/>
      <c r="L400" s="397"/>
      <c r="M400" s="316"/>
      <c r="N400" s="317"/>
      <c r="O400" s="318"/>
      <c r="P400" s="397"/>
      <c r="Q400" s="199"/>
      <c r="R400" s="220"/>
      <c r="S400" s="400"/>
      <c r="T400" s="401"/>
      <c r="U400" s="199"/>
      <c r="V400" s="220"/>
      <c r="W400" s="400"/>
      <c r="X400" s="401"/>
      <c r="Y400" s="199"/>
      <c r="Z400" s="220"/>
      <c r="AA400" s="400"/>
      <c r="AB400" s="401"/>
      <c r="AC400" s="199"/>
      <c r="AD400" s="220"/>
      <c r="AE400" s="400"/>
      <c r="AF400" s="401"/>
      <c r="AG400" s="201"/>
      <c r="AH400" s="201"/>
      <c r="AI400" s="201"/>
      <c r="AJ400" s="201"/>
      <c r="AK400" s="397"/>
      <c r="AL400" s="397"/>
      <c r="AM400" s="397"/>
    </row>
    <row r="401">
      <c r="A401" s="316"/>
      <c r="B401" s="317"/>
      <c r="C401" s="318"/>
      <c r="D401" s="397"/>
      <c r="E401" s="316"/>
      <c r="F401" s="317"/>
      <c r="G401" s="318"/>
      <c r="H401" s="397"/>
      <c r="I401" s="316"/>
      <c r="J401" s="317"/>
      <c r="K401" s="318"/>
      <c r="L401" s="397"/>
      <c r="M401" s="316"/>
      <c r="N401" s="317"/>
      <c r="O401" s="318"/>
      <c r="P401" s="397"/>
      <c r="Q401" s="199"/>
      <c r="R401" s="220"/>
      <c r="S401" s="400"/>
      <c r="T401" s="401"/>
      <c r="U401" s="199"/>
      <c r="V401" s="220"/>
      <c r="W401" s="400"/>
      <c r="X401" s="401"/>
      <c r="Y401" s="199"/>
      <c r="Z401" s="220"/>
      <c r="AA401" s="400"/>
      <c r="AB401" s="401"/>
      <c r="AC401" s="199"/>
      <c r="AD401" s="220"/>
      <c r="AE401" s="400"/>
      <c r="AF401" s="401"/>
      <c r="AG401" s="201"/>
      <c r="AH401" s="201"/>
      <c r="AI401" s="201"/>
      <c r="AJ401" s="201"/>
      <c r="AK401" s="397"/>
      <c r="AL401" s="397"/>
      <c r="AM401" s="397"/>
    </row>
    <row r="402">
      <c r="A402" s="316"/>
      <c r="B402" s="317"/>
      <c r="C402" s="318"/>
      <c r="D402" s="397"/>
      <c r="E402" s="316"/>
      <c r="F402" s="317"/>
      <c r="G402" s="318"/>
      <c r="H402" s="397"/>
      <c r="I402" s="316"/>
      <c r="J402" s="317"/>
      <c r="K402" s="318"/>
      <c r="L402" s="397"/>
      <c r="M402" s="316"/>
      <c r="N402" s="317"/>
      <c r="O402" s="318"/>
      <c r="P402" s="397"/>
      <c r="Q402" s="199"/>
      <c r="R402" s="220"/>
      <c r="S402" s="400"/>
      <c r="T402" s="401"/>
      <c r="U402" s="199"/>
      <c r="V402" s="220"/>
      <c r="W402" s="400"/>
      <c r="X402" s="401"/>
      <c r="Y402" s="199"/>
      <c r="Z402" s="220"/>
      <c r="AA402" s="400"/>
      <c r="AB402" s="401"/>
      <c r="AC402" s="199"/>
      <c r="AD402" s="220"/>
      <c r="AE402" s="400"/>
      <c r="AF402" s="401"/>
      <c r="AG402" s="201"/>
      <c r="AH402" s="201"/>
      <c r="AI402" s="201"/>
      <c r="AJ402" s="201"/>
      <c r="AK402" s="397"/>
      <c r="AL402" s="397"/>
      <c r="AM402" s="397"/>
    </row>
    <row r="403">
      <c r="A403" s="316"/>
      <c r="B403" s="317"/>
      <c r="C403" s="318"/>
      <c r="D403" s="397"/>
      <c r="E403" s="316"/>
      <c r="F403" s="317"/>
      <c r="G403" s="318"/>
      <c r="H403" s="397"/>
      <c r="I403" s="316"/>
      <c r="J403" s="317"/>
      <c r="K403" s="318"/>
      <c r="L403" s="397"/>
      <c r="M403" s="316"/>
      <c r="N403" s="317"/>
      <c r="O403" s="318"/>
      <c r="P403" s="397"/>
      <c r="Q403" s="199"/>
      <c r="R403" s="220"/>
      <c r="S403" s="400"/>
      <c r="T403" s="401"/>
      <c r="U403" s="199"/>
      <c r="V403" s="220"/>
      <c r="W403" s="400"/>
      <c r="X403" s="401"/>
      <c r="Y403" s="199"/>
      <c r="Z403" s="220"/>
      <c r="AA403" s="400"/>
      <c r="AB403" s="401"/>
      <c r="AC403" s="199"/>
      <c r="AD403" s="220"/>
      <c r="AE403" s="400"/>
      <c r="AF403" s="401"/>
      <c r="AG403" s="201"/>
      <c r="AH403" s="201"/>
      <c r="AI403" s="201"/>
      <c r="AJ403" s="201"/>
      <c r="AK403" s="397"/>
      <c r="AL403" s="397"/>
      <c r="AM403" s="397"/>
    </row>
    <row r="404">
      <c r="A404" s="316"/>
      <c r="B404" s="317"/>
      <c r="C404" s="318"/>
      <c r="D404" s="397"/>
      <c r="E404" s="316"/>
      <c r="F404" s="317"/>
      <c r="G404" s="318"/>
      <c r="H404" s="397"/>
      <c r="I404" s="316"/>
      <c r="J404" s="317"/>
      <c r="K404" s="318"/>
      <c r="L404" s="397"/>
      <c r="M404" s="316"/>
      <c r="N404" s="317"/>
      <c r="O404" s="318"/>
      <c r="P404" s="397"/>
      <c r="Q404" s="199"/>
      <c r="R404" s="220"/>
      <c r="S404" s="400"/>
      <c r="T404" s="401"/>
      <c r="U404" s="199"/>
      <c r="V404" s="220"/>
      <c r="W404" s="400"/>
      <c r="X404" s="401"/>
      <c r="Y404" s="199"/>
      <c r="Z404" s="220"/>
      <c r="AA404" s="400"/>
      <c r="AB404" s="401"/>
      <c r="AC404" s="199"/>
      <c r="AD404" s="220"/>
      <c r="AE404" s="400"/>
      <c r="AF404" s="401"/>
      <c r="AG404" s="201"/>
      <c r="AH404" s="201"/>
      <c r="AI404" s="201"/>
      <c r="AJ404" s="201"/>
      <c r="AK404" s="397"/>
      <c r="AL404" s="397"/>
      <c r="AM404" s="397"/>
    </row>
    <row r="405">
      <c r="A405" s="316"/>
      <c r="B405" s="317"/>
      <c r="C405" s="318"/>
      <c r="D405" s="397"/>
      <c r="E405" s="316"/>
      <c r="F405" s="317"/>
      <c r="G405" s="318"/>
      <c r="H405" s="397"/>
      <c r="I405" s="316"/>
      <c r="J405" s="317"/>
      <c r="K405" s="318"/>
      <c r="L405" s="397"/>
      <c r="M405" s="316"/>
      <c r="N405" s="317"/>
      <c r="O405" s="318"/>
      <c r="P405" s="397"/>
      <c r="Q405" s="199"/>
      <c r="R405" s="220"/>
      <c r="S405" s="400"/>
      <c r="T405" s="401"/>
      <c r="U405" s="199"/>
      <c r="V405" s="220"/>
      <c r="W405" s="400"/>
      <c r="X405" s="401"/>
      <c r="Y405" s="199"/>
      <c r="Z405" s="220"/>
      <c r="AA405" s="400"/>
      <c r="AB405" s="401"/>
      <c r="AC405" s="199"/>
      <c r="AD405" s="220"/>
      <c r="AE405" s="400"/>
      <c r="AF405" s="401"/>
      <c r="AG405" s="201"/>
      <c r="AH405" s="201"/>
      <c r="AI405" s="201"/>
      <c r="AJ405" s="201"/>
      <c r="AK405" s="397"/>
      <c r="AL405" s="397"/>
      <c r="AM405" s="397"/>
    </row>
    <row r="406">
      <c r="A406" s="316"/>
      <c r="B406" s="317"/>
      <c r="C406" s="318"/>
      <c r="D406" s="397"/>
      <c r="E406" s="316"/>
      <c r="F406" s="317"/>
      <c r="G406" s="318"/>
      <c r="H406" s="397"/>
      <c r="I406" s="316"/>
      <c r="J406" s="317"/>
      <c r="K406" s="318"/>
      <c r="L406" s="397"/>
      <c r="M406" s="316"/>
      <c r="N406" s="317"/>
      <c r="O406" s="318"/>
      <c r="P406" s="397"/>
      <c r="Q406" s="199"/>
      <c r="R406" s="220"/>
      <c r="S406" s="400"/>
      <c r="T406" s="401"/>
      <c r="U406" s="199"/>
      <c r="V406" s="220"/>
      <c r="W406" s="400"/>
      <c r="X406" s="401"/>
      <c r="Y406" s="199"/>
      <c r="Z406" s="220"/>
      <c r="AA406" s="400"/>
      <c r="AB406" s="401"/>
      <c r="AC406" s="199"/>
      <c r="AD406" s="220"/>
      <c r="AE406" s="400"/>
      <c r="AF406" s="401"/>
      <c r="AG406" s="201"/>
      <c r="AH406" s="201"/>
      <c r="AI406" s="201"/>
      <c r="AJ406" s="201"/>
      <c r="AK406" s="397"/>
      <c r="AL406" s="397"/>
      <c r="AM406" s="397"/>
    </row>
    <row r="407">
      <c r="A407" s="316"/>
      <c r="B407" s="317"/>
      <c r="C407" s="318"/>
      <c r="D407" s="397"/>
      <c r="E407" s="316"/>
      <c r="F407" s="317"/>
      <c r="G407" s="318"/>
      <c r="H407" s="397"/>
      <c r="I407" s="316"/>
      <c r="J407" s="317"/>
      <c r="K407" s="318"/>
      <c r="L407" s="397"/>
      <c r="M407" s="316"/>
      <c r="N407" s="317"/>
      <c r="O407" s="318"/>
      <c r="P407" s="397"/>
      <c r="Q407" s="199"/>
      <c r="R407" s="220"/>
      <c r="S407" s="400"/>
      <c r="T407" s="401"/>
      <c r="U407" s="199"/>
      <c r="V407" s="220"/>
      <c r="W407" s="400"/>
      <c r="X407" s="401"/>
      <c r="Y407" s="199"/>
      <c r="Z407" s="220"/>
      <c r="AA407" s="400"/>
      <c r="AB407" s="401"/>
      <c r="AC407" s="199"/>
      <c r="AD407" s="220"/>
      <c r="AE407" s="400"/>
      <c r="AF407" s="401"/>
      <c r="AG407" s="201"/>
      <c r="AH407" s="201"/>
      <c r="AI407" s="201"/>
      <c r="AJ407" s="201"/>
      <c r="AK407" s="397"/>
      <c r="AL407" s="397"/>
      <c r="AM407" s="397"/>
    </row>
    <row r="408">
      <c r="A408" s="316"/>
      <c r="B408" s="317"/>
      <c r="C408" s="318"/>
      <c r="D408" s="397"/>
      <c r="E408" s="316"/>
      <c r="F408" s="317"/>
      <c r="G408" s="318"/>
      <c r="H408" s="397"/>
      <c r="I408" s="316"/>
      <c r="J408" s="317"/>
      <c r="K408" s="318"/>
      <c r="L408" s="397"/>
      <c r="M408" s="316"/>
      <c r="N408" s="317"/>
      <c r="O408" s="318"/>
      <c r="P408" s="397"/>
      <c r="Q408" s="199"/>
      <c r="R408" s="220"/>
      <c r="S408" s="400"/>
      <c r="T408" s="401"/>
      <c r="U408" s="199"/>
      <c r="V408" s="220"/>
      <c r="W408" s="400"/>
      <c r="X408" s="401"/>
      <c r="Y408" s="199"/>
      <c r="Z408" s="220"/>
      <c r="AA408" s="400"/>
      <c r="AB408" s="401"/>
      <c r="AC408" s="199"/>
      <c r="AD408" s="220"/>
      <c r="AE408" s="400"/>
      <c r="AF408" s="401"/>
      <c r="AG408" s="201"/>
      <c r="AH408" s="201"/>
      <c r="AI408" s="201"/>
      <c r="AJ408" s="201"/>
      <c r="AK408" s="397"/>
      <c r="AL408" s="397"/>
      <c r="AM408" s="397"/>
    </row>
    <row r="409">
      <c r="A409" s="316"/>
      <c r="B409" s="317"/>
      <c r="C409" s="318"/>
      <c r="D409" s="397"/>
      <c r="E409" s="316"/>
      <c r="F409" s="317"/>
      <c r="G409" s="318"/>
      <c r="H409" s="397"/>
      <c r="I409" s="316"/>
      <c r="J409" s="317"/>
      <c r="K409" s="318"/>
      <c r="L409" s="397"/>
      <c r="M409" s="316"/>
      <c r="N409" s="317"/>
      <c r="O409" s="318"/>
      <c r="P409" s="397"/>
      <c r="Q409" s="199"/>
      <c r="R409" s="220"/>
      <c r="S409" s="400"/>
      <c r="T409" s="401"/>
      <c r="U409" s="199"/>
      <c r="V409" s="220"/>
      <c r="W409" s="400"/>
      <c r="X409" s="401"/>
      <c r="Y409" s="199"/>
      <c r="Z409" s="220"/>
      <c r="AA409" s="400"/>
      <c r="AB409" s="401"/>
      <c r="AC409" s="199"/>
      <c r="AD409" s="220"/>
      <c r="AE409" s="400"/>
      <c r="AF409" s="401"/>
      <c r="AG409" s="201"/>
      <c r="AH409" s="201"/>
      <c r="AI409" s="201"/>
      <c r="AJ409" s="201"/>
      <c r="AK409" s="397"/>
      <c r="AL409" s="397"/>
      <c r="AM409" s="397"/>
    </row>
    <row r="410">
      <c r="A410" s="316"/>
      <c r="B410" s="317"/>
      <c r="C410" s="318"/>
      <c r="D410" s="397"/>
      <c r="E410" s="316"/>
      <c r="F410" s="317"/>
      <c r="G410" s="318"/>
      <c r="H410" s="397"/>
      <c r="I410" s="316"/>
      <c r="J410" s="317"/>
      <c r="K410" s="318"/>
      <c r="L410" s="397"/>
      <c r="M410" s="316"/>
      <c r="N410" s="317"/>
      <c r="O410" s="318"/>
      <c r="P410" s="397"/>
      <c r="Q410" s="199"/>
      <c r="R410" s="220"/>
      <c r="S410" s="400"/>
      <c r="T410" s="401"/>
      <c r="U410" s="199"/>
      <c r="V410" s="220"/>
      <c r="W410" s="400"/>
      <c r="X410" s="401"/>
      <c r="Y410" s="199"/>
      <c r="Z410" s="220"/>
      <c r="AA410" s="400"/>
      <c r="AB410" s="401"/>
      <c r="AC410" s="199"/>
      <c r="AD410" s="220"/>
      <c r="AE410" s="400"/>
      <c r="AF410" s="401"/>
      <c r="AG410" s="201"/>
      <c r="AH410" s="201"/>
      <c r="AI410" s="201"/>
      <c r="AJ410" s="201"/>
      <c r="AK410" s="397"/>
      <c r="AL410" s="397"/>
      <c r="AM410" s="397"/>
    </row>
    <row r="411">
      <c r="A411" s="316"/>
      <c r="B411" s="317"/>
      <c r="C411" s="318"/>
      <c r="D411" s="397"/>
      <c r="E411" s="316"/>
      <c r="F411" s="317"/>
      <c r="G411" s="318"/>
      <c r="H411" s="397"/>
      <c r="I411" s="316"/>
      <c r="J411" s="317"/>
      <c r="K411" s="318"/>
      <c r="L411" s="397"/>
      <c r="M411" s="316"/>
      <c r="N411" s="317"/>
      <c r="O411" s="318"/>
      <c r="P411" s="397"/>
      <c r="Q411" s="199"/>
      <c r="R411" s="220"/>
      <c r="S411" s="400"/>
      <c r="T411" s="401"/>
      <c r="U411" s="199"/>
      <c r="V411" s="220"/>
      <c r="W411" s="400"/>
      <c r="X411" s="401"/>
      <c r="Y411" s="199"/>
      <c r="Z411" s="220"/>
      <c r="AA411" s="400"/>
      <c r="AB411" s="401"/>
      <c r="AC411" s="199"/>
      <c r="AD411" s="220"/>
      <c r="AE411" s="400"/>
      <c r="AF411" s="401"/>
      <c r="AG411" s="201"/>
      <c r="AH411" s="201"/>
      <c r="AI411" s="201"/>
      <c r="AJ411" s="201"/>
      <c r="AK411" s="397"/>
      <c r="AL411" s="397"/>
      <c r="AM411" s="397"/>
    </row>
    <row r="412">
      <c r="A412" s="316"/>
      <c r="B412" s="317"/>
      <c r="C412" s="318"/>
      <c r="D412" s="397"/>
      <c r="E412" s="316"/>
      <c r="F412" s="317"/>
      <c r="G412" s="318"/>
      <c r="H412" s="397"/>
      <c r="I412" s="316"/>
      <c r="J412" s="317"/>
      <c r="K412" s="318"/>
      <c r="L412" s="397"/>
      <c r="M412" s="316"/>
      <c r="N412" s="317"/>
      <c r="O412" s="318"/>
      <c r="P412" s="397"/>
      <c r="Q412" s="199"/>
      <c r="R412" s="220"/>
      <c r="S412" s="400"/>
      <c r="T412" s="401"/>
      <c r="U412" s="199"/>
      <c r="V412" s="220"/>
      <c r="W412" s="400"/>
      <c r="X412" s="401"/>
      <c r="Y412" s="199"/>
      <c r="Z412" s="220"/>
      <c r="AA412" s="400"/>
      <c r="AB412" s="401"/>
      <c r="AC412" s="199"/>
      <c r="AD412" s="220"/>
      <c r="AE412" s="400"/>
      <c r="AF412" s="401"/>
      <c r="AG412" s="201"/>
      <c r="AH412" s="201"/>
      <c r="AI412" s="201"/>
      <c r="AJ412" s="201"/>
      <c r="AK412" s="397"/>
      <c r="AL412" s="397"/>
      <c r="AM412" s="397"/>
    </row>
    <row r="413">
      <c r="A413" s="316"/>
      <c r="B413" s="317"/>
      <c r="C413" s="318"/>
      <c r="D413" s="397"/>
      <c r="E413" s="316"/>
      <c r="F413" s="317"/>
      <c r="G413" s="318"/>
      <c r="H413" s="397"/>
      <c r="I413" s="316"/>
      <c r="J413" s="317"/>
      <c r="K413" s="318"/>
      <c r="L413" s="397"/>
      <c r="M413" s="316"/>
      <c r="N413" s="317"/>
      <c r="O413" s="318"/>
      <c r="P413" s="397"/>
      <c r="Q413" s="199"/>
      <c r="R413" s="220"/>
      <c r="S413" s="400"/>
      <c r="T413" s="401"/>
      <c r="U413" s="199"/>
      <c r="V413" s="220"/>
      <c r="W413" s="400"/>
      <c r="X413" s="401"/>
      <c r="Y413" s="199"/>
      <c r="Z413" s="220"/>
      <c r="AA413" s="400"/>
      <c r="AB413" s="401"/>
      <c r="AC413" s="199"/>
      <c r="AD413" s="220"/>
      <c r="AE413" s="400"/>
      <c r="AF413" s="401"/>
      <c r="AG413" s="201"/>
      <c r="AH413" s="201"/>
      <c r="AI413" s="201"/>
      <c r="AJ413" s="201"/>
      <c r="AK413" s="397"/>
      <c r="AL413" s="397"/>
      <c r="AM413" s="397"/>
    </row>
    <row r="414">
      <c r="A414" s="316"/>
      <c r="B414" s="317"/>
      <c r="C414" s="318"/>
      <c r="D414" s="397"/>
      <c r="E414" s="316"/>
      <c r="F414" s="317"/>
      <c r="G414" s="318"/>
      <c r="H414" s="397"/>
      <c r="I414" s="316"/>
      <c r="J414" s="317"/>
      <c r="K414" s="318"/>
      <c r="L414" s="397"/>
      <c r="M414" s="316"/>
      <c r="N414" s="317"/>
      <c r="O414" s="318"/>
      <c r="P414" s="397"/>
      <c r="Q414" s="199"/>
      <c r="R414" s="220"/>
      <c r="S414" s="400"/>
      <c r="T414" s="401"/>
      <c r="U414" s="199"/>
      <c r="V414" s="220"/>
      <c r="W414" s="400"/>
      <c r="X414" s="401"/>
      <c r="Y414" s="199"/>
      <c r="Z414" s="220"/>
      <c r="AA414" s="400"/>
      <c r="AB414" s="401"/>
      <c r="AC414" s="199"/>
      <c r="AD414" s="220"/>
      <c r="AE414" s="400"/>
      <c r="AF414" s="401"/>
      <c r="AG414" s="201"/>
      <c r="AH414" s="201"/>
      <c r="AI414" s="201"/>
      <c r="AJ414" s="201"/>
      <c r="AK414" s="397"/>
      <c r="AL414" s="397"/>
      <c r="AM414" s="397"/>
    </row>
    <row r="415">
      <c r="A415" s="316"/>
      <c r="B415" s="317"/>
      <c r="C415" s="318"/>
      <c r="D415" s="397"/>
      <c r="E415" s="316"/>
      <c r="F415" s="317"/>
      <c r="G415" s="318"/>
      <c r="H415" s="397"/>
      <c r="I415" s="316"/>
      <c r="J415" s="317"/>
      <c r="K415" s="318"/>
      <c r="L415" s="397"/>
      <c r="M415" s="316"/>
      <c r="N415" s="317"/>
      <c r="O415" s="318"/>
      <c r="P415" s="397"/>
      <c r="Q415" s="199"/>
      <c r="R415" s="220"/>
      <c r="S415" s="400"/>
      <c r="T415" s="401"/>
      <c r="U415" s="199"/>
      <c r="V415" s="220"/>
      <c r="W415" s="400"/>
      <c r="X415" s="401"/>
      <c r="Y415" s="199"/>
      <c r="Z415" s="220"/>
      <c r="AA415" s="400"/>
      <c r="AB415" s="401"/>
      <c r="AC415" s="199"/>
      <c r="AD415" s="220"/>
      <c r="AE415" s="400"/>
      <c r="AF415" s="401"/>
      <c r="AG415" s="201"/>
      <c r="AH415" s="201"/>
      <c r="AI415" s="201"/>
      <c r="AJ415" s="201"/>
      <c r="AK415" s="397"/>
      <c r="AL415" s="397"/>
      <c r="AM415" s="397"/>
    </row>
    <row r="416">
      <c r="A416" s="316"/>
      <c r="B416" s="317"/>
      <c r="C416" s="318"/>
      <c r="D416" s="397"/>
      <c r="E416" s="316"/>
      <c r="F416" s="317"/>
      <c r="G416" s="318"/>
      <c r="H416" s="397"/>
      <c r="I416" s="316"/>
      <c r="J416" s="317"/>
      <c r="K416" s="318"/>
      <c r="L416" s="397"/>
      <c r="M416" s="316"/>
      <c r="N416" s="317"/>
      <c r="O416" s="318"/>
      <c r="P416" s="397"/>
      <c r="Q416" s="199"/>
      <c r="R416" s="220"/>
      <c r="S416" s="400"/>
      <c r="T416" s="401"/>
      <c r="U416" s="199"/>
      <c r="V416" s="220"/>
      <c r="W416" s="400"/>
      <c r="X416" s="401"/>
      <c r="Y416" s="199"/>
      <c r="Z416" s="220"/>
      <c r="AA416" s="400"/>
      <c r="AB416" s="401"/>
      <c r="AC416" s="199"/>
      <c r="AD416" s="220"/>
      <c r="AE416" s="400"/>
      <c r="AF416" s="401"/>
      <c r="AG416" s="201"/>
      <c r="AH416" s="201"/>
      <c r="AI416" s="201"/>
      <c r="AJ416" s="201"/>
      <c r="AK416" s="397"/>
      <c r="AL416" s="397"/>
      <c r="AM416" s="397"/>
    </row>
    <row r="417">
      <c r="A417" s="316"/>
      <c r="B417" s="317"/>
      <c r="C417" s="318"/>
      <c r="D417" s="397"/>
      <c r="E417" s="316"/>
      <c r="F417" s="317"/>
      <c r="G417" s="318"/>
      <c r="H417" s="397"/>
      <c r="I417" s="316"/>
      <c r="J417" s="317"/>
      <c r="K417" s="318"/>
      <c r="L417" s="397"/>
      <c r="M417" s="316"/>
      <c r="N417" s="317"/>
      <c r="O417" s="318"/>
      <c r="P417" s="397"/>
      <c r="Q417" s="199"/>
      <c r="R417" s="220"/>
      <c r="S417" s="400"/>
      <c r="T417" s="401"/>
      <c r="U417" s="199"/>
      <c r="V417" s="220"/>
      <c r="W417" s="400"/>
      <c r="X417" s="401"/>
      <c r="Y417" s="199"/>
      <c r="Z417" s="220"/>
      <c r="AA417" s="400"/>
      <c r="AB417" s="401"/>
      <c r="AC417" s="199"/>
      <c r="AD417" s="220"/>
      <c r="AE417" s="400"/>
      <c r="AF417" s="401"/>
      <c r="AG417" s="201"/>
      <c r="AH417" s="201"/>
      <c r="AI417" s="201"/>
      <c r="AJ417" s="201"/>
      <c r="AK417" s="397"/>
      <c r="AL417" s="397"/>
      <c r="AM417" s="397"/>
    </row>
    <row r="418">
      <c r="A418" s="316"/>
      <c r="B418" s="317"/>
      <c r="C418" s="318"/>
      <c r="D418" s="397"/>
      <c r="E418" s="316"/>
      <c r="F418" s="317"/>
      <c r="G418" s="318"/>
      <c r="H418" s="397"/>
      <c r="I418" s="316"/>
      <c r="J418" s="317"/>
      <c r="K418" s="318"/>
      <c r="L418" s="397"/>
      <c r="M418" s="316"/>
      <c r="N418" s="317"/>
      <c r="O418" s="318"/>
      <c r="P418" s="397"/>
      <c r="Q418" s="199"/>
      <c r="R418" s="220"/>
      <c r="S418" s="400"/>
      <c r="T418" s="401"/>
      <c r="U418" s="199"/>
      <c r="V418" s="220"/>
      <c r="W418" s="400"/>
      <c r="X418" s="401"/>
      <c r="Y418" s="199"/>
      <c r="Z418" s="220"/>
      <c r="AA418" s="400"/>
      <c r="AB418" s="401"/>
      <c r="AC418" s="199"/>
      <c r="AD418" s="220"/>
      <c r="AE418" s="400"/>
      <c r="AF418" s="401"/>
      <c r="AG418" s="201"/>
      <c r="AH418" s="201"/>
      <c r="AI418" s="201"/>
      <c r="AJ418" s="201"/>
      <c r="AK418" s="397"/>
      <c r="AL418" s="397"/>
      <c r="AM418" s="397"/>
    </row>
    <row r="419">
      <c r="A419" s="316"/>
      <c r="B419" s="317"/>
      <c r="C419" s="318"/>
      <c r="D419" s="397"/>
      <c r="E419" s="316"/>
      <c r="F419" s="317"/>
      <c r="G419" s="318"/>
      <c r="H419" s="397"/>
      <c r="I419" s="316"/>
      <c r="J419" s="317"/>
      <c r="K419" s="318"/>
      <c r="L419" s="397"/>
      <c r="M419" s="316"/>
      <c r="N419" s="317"/>
      <c r="O419" s="318"/>
      <c r="P419" s="397"/>
      <c r="Q419" s="199"/>
      <c r="R419" s="220"/>
      <c r="S419" s="400"/>
      <c r="T419" s="401"/>
      <c r="U419" s="199"/>
      <c r="V419" s="220"/>
      <c r="W419" s="400"/>
      <c r="X419" s="401"/>
      <c r="Y419" s="199"/>
      <c r="Z419" s="220"/>
      <c r="AA419" s="400"/>
      <c r="AB419" s="401"/>
      <c r="AC419" s="199"/>
      <c r="AD419" s="220"/>
      <c r="AE419" s="400"/>
      <c r="AF419" s="401"/>
      <c r="AG419" s="201"/>
      <c r="AH419" s="201"/>
      <c r="AI419" s="201"/>
      <c r="AJ419" s="201"/>
      <c r="AK419" s="397"/>
      <c r="AL419" s="397"/>
      <c r="AM419" s="397"/>
    </row>
    <row r="420">
      <c r="A420" s="316"/>
      <c r="B420" s="317"/>
      <c r="C420" s="318"/>
      <c r="D420" s="397"/>
      <c r="E420" s="316"/>
      <c r="F420" s="317"/>
      <c r="G420" s="318"/>
      <c r="H420" s="397"/>
      <c r="I420" s="316"/>
      <c r="J420" s="317"/>
      <c r="K420" s="318"/>
      <c r="L420" s="397"/>
      <c r="M420" s="316"/>
      <c r="N420" s="317"/>
      <c r="O420" s="318"/>
      <c r="P420" s="397"/>
      <c r="Q420" s="199"/>
      <c r="R420" s="220"/>
      <c r="S420" s="400"/>
      <c r="T420" s="401"/>
      <c r="U420" s="199"/>
      <c r="V420" s="220"/>
      <c r="W420" s="400"/>
      <c r="X420" s="401"/>
      <c r="Y420" s="199"/>
      <c r="Z420" s="220"/>
      <c r="AA420" s="400"/>
      <c r="AB420" s="401"/>
      <c r="AC420" s="199"/>
      <c r="AD420" s="220"/>
      <c r="AE420" s="400"/>
      <c r="AF420" s="401"/>
      <c r="AG420" s="201"/>
      <c r="AH420" s="201"/>
      <c r="AI420" s="201"/>
      <c r="AJ420" s="201"/>
      <c r="AK420" s="397"/>
      <c r="AL420" s="397"/>
      <c r="AM420" s="397"/>
    </row>
    <row r="421">
      <c r="A421" s="316"/>
      <c r="B421" s="317"/>
      <c r="C421" s="318"/>
      <c r="D421" s="397"/>
      <c r="E421" s="316"/>
      <c r="F421" s="317"/>
      <c r="G421" s="318"/>
      <c r="H421" s="397"/>
      <c r="I421" s="316"/>
      <c r="J421" s="317"/>
      <c r="K421" s="318"/>
      <c r="L421" s="397"/>
      <c r="M421" s="316"/>
      <c r="N421" s="317"/>
      <c r="O421" s="318"/>
      <c r="P421" s="397"/>
      <c r="Q421" s="199"/>
      <c r="R421" s="220"/>
      <c r="S421" s="400"/>
      <c r="T421" s="401"/>
      <c r="U421" s="199"/>
      <c r="V421" s="220"/>
      <c r="W421" s="400"/>
      <c r="X421" s="401"/>
      <c r="Y421" s="199"/>
      <c r="Z421" s="220"/>
      <c r="AA421" s="400"/>
      <c r="AB421" s="401"/>
      <c r="AC421" s="199"/>
      <c r="AD421" s="220"/>
      <c r="AE421" s="400"/>
      <c r="AF421" s="401"/>
      <c r="AG421" s="201"/>
      <c r="AH421" s="201"/>
      <c r="AI421" s="201"/>
      <c r="AJ421" s="201"/>
      <c r="AK421" s="397"/>
      <c r="AL421" s="397"/>
      <c r="AM421" s="397"/>
    </row>
    <row r="422">
      <c r="A422" s="316"/>
      <c r="B422" s="317"/>
      <c r="C422" s="318"/>
      <c r="D422" s="397"/>
      <c r="E422" s="316"/>
      <c r="F422" s="317"/>
      <c r="G422" s="318"/>
      <c r="H422" s="397"/>
      <c r="I422" s="316"/>
      <c r="J422" s="317"/>
      <c r="K422" s="318"/>
      <c r="L422" s="397"/>
      <c r="M422" s="316"/>
      <c r="N422" s="317"/>
      <c r="O422" s="318"/>
      <c r="P422" s="397"/>
      <c r="Q422" s="199"/>
      <c r="R422" s="220"/>
      <c r="S422" s="400"/>
      <c r="T422" s="401"/>
      <c r="U422" s="199"/>
      <c r="V422" s="220"/>
      <c r="W422" s="400"/>
      <c r="X422" s="401"/>
      <c r="Y422" s="199"/>
      <c r="Z422" s="220"/>
      <c r="AA422" s="400"/>
      <c r="AB422" s="401"/>
      <c r="AC422" s="199"/>
      <c r="AD422" s="220"/>
      <c r="AE422" s="400"/>
      <c r="AF422" s="401"/>
      <c r="AG422" s="201"/>
      <c r="AH422" s="201"/>
      <c r="AI422" s="201"/>
      <c r="AJ422" s="201"/>
      <c r="AK422" s="397"/>
      <c r="AL422" s="397"/>
      <c r="AM422" s="397"/>
    </row>
    <row r="423">
      <c r="A423" s="316"/>
      <c r="B423" s="317"/>
      <c r="C423" s="318"/>
      <c r="D423" s="397"/>
      <c r="E423" s="316"/>
      <c r="F423" s="317"/>
      <c r="G423" s="318"/>
      <c r="H423" s="397"/>
      <c r="I423" s="316"/>
      <c r="J423" s="317"/>
      <c r="K423" s="318"/>
      <c r="L423" s="397"/>
      <c r="M423" s="316"/>
      <c r="N423" s="317"/>
      <c r="O423" s="318"/>
      <c r="P423" s="397"/>
      <c r="Q423" s="199"/>
      <c r="R423" s="220"/>
      <c r="S423" s="400"/>
      <c r="T423" s="401"/>
      <c r="U423" s="199"/>
      <c r="V423" s="220"/>
      <c r="W423" s="400"/>
      <c r="X423" s="401"/>
      <c r="Y423" s="199"/>
      <c r="Z423" s="220"/>
      <c r="AA423" s="400"/>
      <c r="AB423" s="401"/>
      <c r="AC423" s="199"/>
      <c r="AD423" s="220"/>
      <c r="AE423" s="400"/>
      <c r="AF423" s="401"/>
      <c r="AG423" s="201"/>
      <c r="AH423" s="201"/>
      <c r="AI423" s="201"/>
      <c r="AJ423" s="201"/>
      <c r="AK423" s="397"/>
      <c r="AL423" s="397"/>
      <c r="AM423" s="397"/>
    </row>
    <row r="424">
      <c r="A424" s="316"/>
      <c r="B424" s="317"/>
      <c r="C424" s="318"/>
      <c r="D424" s="397"/>
      <c r="E424" s="316"/>
      <c r="F424" s="317"/>
      <c r="G424" s="318"/>
      <c r="H424" s="397"/>
      <c r="I424" s="316"/>
      <c r="J424" s="317"/>
      <c r="K424" s="318"/>
      <c r="L424" s="397"/>
      <c r="M424" s="316"/>
      <c r="N424" s="317"/>
      <c r="O424" s="318"/>
      <c r="P424" s="397"/>
      <c r="Q424" s="199"/>
      <c r="R424" s="220"/>
      <c r="S424" s="400"/>
      <c r="T424" s="401"/>
      <c r="U424" s="199"/>
      <c r="V424" s="220"/>
      <c r="W424" s="400"/>
      <c r="X424" s="401"/>
      <c r="Y424" s="199"/>
      <c r="Z424" s="220"/>
      <c r="AA424" s="400"/>
      <c r="AB424" s="401"/>
      <c r="AC424" s="199"/>
      <c r="AD424" s="220"/>
      <c r="AE424" s="400"/>
      <c r="AF424" s="401"/>
      <c r="AG424" s="201"/>
      <c r="AH424" s="201"/>
      <c r="AI424" s="201"/>
      <c r="AJ424" s="201"/>
      <c r="AK424" s="397"/>
      <c r="AL424" s="397"/>
      <c r="AM424" s="397"/>
    </row>
    <row r="425">
      <c r="A425" s="316"/>
      <c r="B425" s="317"/>
      <c r="C425" s="318"/>
      <c r="D425" s="397"/>
      <c r="E425" s="316"/>
      <c r="F425" s="317"/>
      <c r="G425" s="318"/>
      <c r="H425" s="397"/>
      <c r="I425" s="316"/>
      <c r="J425" s="317"/>
      <c r="K425" s="318"/>
      <c r="L425" s="397"/>
      <c r="M425" s="316"/>
      <c r="N425" s="317"/>
      <c r="O425" s="318"/>
      <c r="P425" s="397"/>
      <c r="Q425" s="199"/>
      <c r="R425" s="220"/>
      <c r="S425" s="400"/>
      <c r="T425" s="401"/>
      <c r="U425" s="199"/>
      <c r="V425" s="220"/>
      <c r="W425" s="400"/>
      <c r="X425" s="401"/>
      <c r="Y425" s="199"/>
      <c r="Z425" s="220"/>
      <c r="AA425" s="400"/>
      <c r="AB425" s="401"/>
      <c r="AC425" s="199"/>
      <c r="AD425" s="220"/>
      <c r="AE425" s="400"/>
      <c r="AF425" s="401"/>
      <c r="AG425" s="201"/>
      <c r="AH425" s="201"/>
      <c r="AI425" s="201"/>
      <c r="AJ425" s="201"/>
      <c r="AK425" s="397"/>
      <c r="AL425" s="397"/>
      <c r="AM425" s="397"/>
    </row>
    <row r="426">
      <c r="A426" s="316"/>
      <c r="B426" s="317"/>
      <c r="C426" s="318"/>
      <c r="D426" s="397"/>
      <c r="E426" s="316"/>
      <c r="F426" s="317"/>
      <c r="G426" s="318"/>
      <c r="H426" s="397"/>
      <c r="I426" s="316"/>
      <c r="J426" s="317"/>
      <c r="K426" s="318"/>
      <c r="L426" s="397"/>
      <c r="M426" s="316"/>
      <c r="N426" s="317"/>
      <c r="O426" s="318"/>
      <c r="P426" s="397"/>
      <c r="Q426" s="199"/>
      <c r="R426" s="220"/>
      <c r="S426" s="400"/>
      <c r="T426" s="401"/>
      <c r="U426" s="199"/>
      <c r="V426" s="220"/>
      <c r="W426" s="400"/>
      <c r="X426" s="401"/>
      <c r="Y426" s="199"/>
      <c r="Z426" s="220"/>
      <c r="AA426" s="400"/>
      <c r="AB426" s="401"/>
      <c r="AC426" s="199"/>
      <c r="AD426" s="220"/>
      <c r="AE426" s="400"/>
      <c r="AF426" s="401"/>
      <c r="AG426" s="201"/>
      <c r="AH426" s="201"/>
      <c r="AI426" s="201"/>
      <c r="AJ426" s="201"/>
      <c r="AK426" s="397"/>
      <c r="AL426" s="397"/>
      <c r="AM426" s="397"/>
    </row>
    <row r="427">
      <c r="A427" s="316"/>
      <c r="B427" s="317"/>
      <c r="C427" s="318"/>
      <c r="D427" s="397"/>
      <c r="E427" s="316"/>
      <c r="F427" s="317"/>
      <c r="G427" s="318"/>
      <c r="H427" s="397"/>
      <c r="I427" s="316"/>
      <c r="J427" s="317"/>
      <c r="K427" s="318"/>
      <c r="L427" s="397"/>
      <c r="M427" s="316"/>
      <c r="N427" s="317"/>
      <c r="O427" s="318"/>
      <c r="P427" s="397"/>
      <c r="Q427" s="199"/>
      <c r="R427" s="220"/>
      <c r="S427" s="400"/>
      <c r="T427" s="401"/>
      <c r="U427" s="199"/>
      <c r="V427" s="220"/>
      <c r="W427" s="400"/>
      <c r="X427" s="401"/>
      <c r="Y427" s="199"/>
      <c r="Z427" s="220"/>
      <c r="AA427" s="400"/>
      <c r="AB427" s="401"/>
      <c r="AC427" s="199"/>
      <c r="AD427" s="220"/>
      <c r="AE427" s="400"/>
      <c r="AF427" s="401"/>
      <c r="AG427" s="201"/>
      <c r="AH427" s="201"/>
      <c r="AI427" s="201"/>
      <c r="AJ427" s="201"/>
      <c r="AK427" s="397"/>
      <c r="AL427" s="397"/>
      <c r="AM427" s="397"/>
    </row>
    <row r="428">
      <c r="A428" s="316"/>
      <c r="B428" s="317"/>
      <c r="C428" s="318"/>
      <c r="D428" s="397"/>
      <c r="E428" s="316"/>
      <c r="F428" s="317"/>
      <c r="G428" s="318"/>
      <c r="H428" s="397"/>
      <c r="I428" s="316"/>
      <c r="J428" s="317"/>
      <c r="K428" s="318"/>
      <c r="L428" s="397"/>
      <c r="M428" s="316"/>
      <c r="N428" s="317"/>
      <c r="O428" s="318"/>
      <c r="P428" s="397"/>
      <c r="Q428" s="199"/>
      <c r="R428" s="220"/>
      <c r="S428" s="400"/>
      <c r="T428" s="401"/>
      <c r="U428" s="199"/>
      <c r="V428" s="220"/>
      <c r="W428" s="400"/>
      <c r="X428" s="401"/>
      <c r="Y428" s="199"/>
      <c r="Z428" s="220"/>
      <c r="AA428" s="400"/>
      <c r="AB428" s="401"/>
      <c r="AC428" s="199"/>
      <c r="AD428" s="220"/>
      <c r="AE428" s="400"/>
      <c r="AF428" s="401"/>
      <c r="AG428" s="201"/>
      <c r="AH428" s="201"/>
      <c r="AI428" s="201"/>
      <c r="AJ428" s="201"/>
      <c r="AK428" s="397"/>
      <c r="AL428" s="397"/>
      <c r="AM428" s="397"/>
    </row>
    <row r="429">
      <c r="A429" s="316"/>
      <c r="B429" s="317"/>
      <c r="C429" s="318"/>
      <c r="D429" s="397"/>
      <c r="E429" s="316"/>
      <c r="F429" s="317"/>
      <c r="G429" s="318"/>
      <c r="H429" s="397"/>
      <c r="I429" s="316"/>
      <c r="J429" s="317"/>
      <c r="K429" s="318"/>
      <c r="L429" s="397"/>
      <c r="M429" s="316"/>
      <c r="N429" s="317"/>
      <c r="O429" s="318"/>
      <c r="P429" s="397"/>
      <c r="Q429" s="199"/>
      <c r="R429" s="220"/>
      <c r="S429" s="400"/>
      <c r="T429" s="401"/>
      <c r="U429" s="199"/>
      <c r="V429" s="220"/>
      <c r="W429" s="400"/>
      <c r="X429" s="401"/>
      <c r="Y429" s="199"/>
      <c r="Z429" s="220"/>
      <c r="AA429" s="400"/>
      <c r="AB429" s="401"/>
      <c r="AC429" s="199"/>
      <c r="AD429" s="220"/>
      <c r="AE429" s="400"/>
      <c r="AF429" s="401"/>
      <c r="AG429" s="201"/>
      <c r="AH429" s="201"/>
      <c r="AI429" s="201"/>
      <c r="AJ429" s="201"/>
      <c r="AK429" s="397"/>
      <c r="AL429" s="397"/>
      <c r="AM429" s="397"/>
    </row>
    <row r="430">
      <c r="A430" s="316"/>
      <c r="B430" s="317"/>
      <c r="C430" s="318"/>
      <c r="D430" s="397"/>
      <c r="E430" s="316"/>
      <c r="F430" s="317"/>
      <c r="G430" s="318"/>
      <c r="H430" s="397"/>
      <c r="I430" s="316"/>
      <c r="J430" s="317"/>
      <c r="K430" s="318"/>
      <c r="L430" s="397"/>
      <c r="M430" s="316"/>
      <c r="N430" s="317"/>
      <c r="O430" s="318"/>
      <c r="P430" s="397"/>
      <c r="Q430" s="199"/>
      <c r="R430" s="220"/>
      <c r="S430" s="400"/>
      <c r="T430" s="401"/>
      <c r="U430" s="199"/>
      <c r="V430" s="220"/>
      <c r="W430" s="400"/>
      <c r="X430" s="401"/>
      <c r="Y430" s="199"/>
      <c r="Z430" s="220"/>
      <c r="AA430" s="400"/>
      <c r="AB430" s="401"/>
      <c r="AC430" s="199"/>
      <c r="AD430" s="220"/>
      <c r="AE430" s="400"/>
      <c r="AF430" s="401"/>
      <c r="AG430" s="201"/>
      <c r="AH430" s="201"/>
      <c r="AI430" s="201"/>
      <c r="AJ430" s="201"/>
      <c r="AK430" s="397"/>
      <c r="AL430" s="397"/>
      <c r="AM430" s="397"/>
    </row>
    <row r="431">
      <c r="A431" s="316"/>
      <c r="B431" s="317"/>
      <c r="C431" s="318"/>
      <c r="D431" s="397"/>
      <c r="E431" s="316"/>
      <c r="F431" s="317"/>
      <c r="G431" s="318"/>
      <c r="H431" s="397"/>
      <c r="I431" s="316"/>
      <c r="J431" s="317"/>
      <c r="K431" s="318"/>
      <c r="L431" s="397"/>
      <c r="M431" s="316"/>
      <c r="N431" s="317"/>
      <c r="O431" s="318"/>
      <c r="P431" s="397"/>
      <c r="Q431" s="199"/>
      <c r="R431" s="220"/>
      <c r="S431" s="400"/>
      <c r="T431" s="401"/>
      <c r="U431" s="199"/>
      <c r="V431" s="220"/>
      <c r="W431" s="400"/>
      <c r="X431" s="401"/>
      <c r="Y431" s="199"/>
      <c r="Z431" s="220"/>
      <c r="AA431" s="400"/>
      <c r="AB431" s="401"/>
      <c r="AC431" s="199"/>
      <c r="AD431" s="220"/>
      <c r="AE431" s="400"/>
      <c r="AF431" s="401"/>
      <c r="AG431" s="201"/>
      <c r="AH431" s="201"/>
      <c r="AI431" s="201"/>
      <c r="AJ431" s="201"/>
      <c r="AK431" s="397"/>
      <c r="AL431" s="397"/>
      <c r="AM431" s="397"/>
    </row>
    <row r="432">
      <c r="A432" s="316"/>
      <c r="B432" s="317"/>
      <c r="C432" s="318"/>
      <c r="D432" s="397"/>
      <c r="E432" s="316"/>
      <c r="F432" s="317"/>
      <c r="G432" s="318"/>
      <c r="H432" s="397"/>
      <c r="I432" s="316"/>
      <c r="J432" s="317"/>
      <c r="K432" s="318"/>
      <c r="L432" s="397"/>
      <c r="M432" s="316"/>
      <c r="N432" s="317"/>
      <c r="O432" s="318"/>
      <c r="P432" s="397"/>
      <c r="Q432" s="199"/>
      <c r="R432" s="220"/>
      <c r="S432" s="400"/>
      <c r="T432" s="401"/>
      <c r="U432" s="199"/>
      <c r="V432" s="220"/>
      <c r="W432" s="400"/>
      <c r="X432" s="401"/>
      <c r="Y432" s="199"/>
      <c r="Z432" s="220"/>
      <c r="AA432" s="400"/>
      <c r="AB432" s="401"/>
      <c r="AC432" s="199"/>
      <c r="AD432" s="220"/>
      <c r="AE432" s="400"/>
      <c r="AF432" s="401"/>
      <c r="AG432" s="201"/>
      <c r="AH432" s="201"/>
      <c r="AI432" s="201"/>
      <c r="AJ432" s="201"/>
      <c r="AK432" s="397"/>
      <c r="AL432" s="397"/>
      <c r="AM432" s="397"/>
    </row>
    <row r="433">
      <c r="A433" s="316"/>
      <c r="B433" s="317"/>
      <c r="C433" s="318"/>
      <c r="D433" s="397"/>
      <c r="E433" s="316"/>
      <c r="F433" s="317"/>
      <c r="G433" s="318"/>
      <c r="H433" s="397"/>
      <c r="I433" s="316"/>
      <c r="J433" s="317"/>
      <c r="K433" s="318"/>
      <c r="L433" s="397"/>
      <c r="M433" s="316"/>
      <c r="N433" s="317"/>
      <c r="O433" s="318"/>
      <c r="P433" s="397"/>
      <c r="Q433" s="199"/>
      <c r="R433" s="220"/>
      <c r="S433" s="400"/>
      <c r="T433" s="401"/>
      <c r="U433" s="199"/>
      <c r="V433" s="220"/>
      <c r="W433" s="400"/>
      <c r="X433" s="401"/>
      <c r="Y433" s="199"/>
      <c r="Z433" s="220"/>
      <c r="AA433" s="400"/>
      <c r="AB433" s="401"/>
      <c r="AC433" s="199"/>
      <c r="AD433" s="220"/>
      <c r="AE433" s="400"/>
      <c r="AF433" s="401"/>
      <c r="AG433" s="201"/>
      <c r="AH433" s="201"/>
      <c r="AI433" s="201"/>
      <c r="AJ433" s="201"/>
      <c r="AK433" s="397"/>
      <c r="AL433" s="397"/>
      <c r="AM433" s="397"/>
    </row>
    <row r="434">
      <c r="A434" s="316"/>
      <c r="B434" s="317"/>
      <c r="C434" s="318"/>
      <c r="D434" s="397"/>
      <c r="E434" s="316"/>
      <c r="F434" s="317"/>
      <c r="G434" s="318"/>
      <c r="H434" s="397"/>
      <c r="I434" s="316"/>
      <c r="J434" s="317"/>
      <c r="K434" s="318"/>
      <c r="L434" s="397"/>
      <c r="M434" s="316"/>
      <c r="N434" s="317"/>
      <c r="O434" s="318"/>
      <c r="P434" s="397"/>
      <c r="Q434" s="199"/>
      <c r="R434" s="220"/>
      <c r="S434" s="400"/>
      <c r="T434" s="401"/>
      <c r="U434" s="199"/>
      <c r="V434" s="220"/>
      <c r="W434" s="400"/>
      <c r="X434" s="401"/>
      <c r="Y434" s="199"/>
      <c r="Z434" s="220"/>
      <c r="AA434" s="400"/>
      <c r="AB434" s="401"/>
      <c r="AC434" s="199"/>
      <c r="AD434" s="220"/>
      <c r="AE434" s="400"/>
      <c r="AF434" s="401"/>
      <c r="AG434" s="201"/>
      <c r="AH434" s="201"/>
      <c r="AI434" s="201"/>
      <c r="AJ434" s="201"/>
      <c r="AK434" s="397"/>
      <c r="AL434" s="397"/>
      <c r="AM434" s="397"/>
    </row>
    <row r="435">
      <c r="A435" s="316"/>
      <c r="B435" s="317"/>
      <c r="C435" s="318"/>
      <c r="D435" s="397"/>
      <c r="E435" s="316"/>
      <c r="F435" s="317"/>
      <c r="G435" s="318"/>
      <c r="H435" s="397"/>
      <c r="I435" s="316"/>
      <c r="J435" s="317"/>
      <c r="K435" s="318"/>
      <c r="L435" s="397"/>
      <c r="M435" s="316"/>
      <c r="N435" s="317"/>
      <c r="O435" s="318"/>
      <c r="P435" s="397"/>
      <c r="Q435" s="199"/>
      <c r="R435" s="220"/>
      <c r="S435" s="400"/>
      <c r="T435" s="401"/>
      <c r="U435" s="199"/>
      <c r="V435" s="220"/>
      <c r="W435" s="400"/>
      <c r="X435" s="401"/>
      <c r="Y435" s="199"/>
      <c r="Z435" s="220"/>
      <c r="AA435" s="400"/>
      <c r="AB435" s="401"/>
      <c r="AC435" s="199"/>
      <c r="AD435" s="220"/>
      <c r="AE435" s="400"/>
      <c r="AF435" s="401"/>
      <c r="AG435" s="201"/>
      <c r="AH435" s="201"/>
      <c r="AI435" s="201"/>
      <c r="AJ435" s="201"/>
      <c r="AK435" s="397"/>
      <c r="AL435" s="397"/>
      <c r="AM435" s="397"/>
    </row>
    <row r="436">
      <c r="A436" s="316"/>
      <c r="B436" s="317"/>
      <c r="C436" s="318"/>
      <c r="D436" s="397"/>
      <c r="E436" s="316"/>
      <c r="F436" s="317"/>
      <c r="G436" s="318"/>
      <c r="H436" s="397"/>
      <c r="I436" s="316"/>
      <c r="J436" s="317"/>
      <c r="K436" s="318"/>
      <c r="L436" s="397"/>
      <c r="M436" s="316"/>
      <c r="N436" s="317"/>
      <c r="O436" s="318"/>
      <c r="P436" s="397"/>
      <c r="Q436" s="199"/>
      <c r="R436" s="220"/>
      <c r="S436" s="400"/>
      <c r="T436" s="401"/>
      <c r="U436" s="199"/>
      <c r="V436" s="220"/>
      <c r="W436" s="400"/>
      <c r="X436" s="401"/>
      <c r="Y436" s="199"/>
      <c r="Z436" s="220"/>
      <c r="AA436" s="400"/>
      <c r="AB436" s="401"/>
      <c r="AC436" s="199"/>
      <c r="AD436" s="220"/>
      <c r="AE436" s="400"/>
      <c r="AF436" s="401"/>
      <c r="AG436" s="201"/>
      <c r="AH436" s="201"/>
      <c r="AI436" s="201"/>
      <c r="AJ436" s="201"/>
      <c r="AK436" s="397"/>
      <c r="AL436" s="397"/>
      <c r="AM436" s="397"/>
    </row>
    <row r="437">
      <c r="A437" s="316"/>
      <c r="B437" s="317"/>
      <c r="C437" s="318"/>
      <c r="D437" s="397"/>
      <c r="E437" s="316"/>
      <c r="F437" s="317"/>
      <c r="G437" s="318"/>
      <c r="H437" s="397"/>
      <c r="I437" s="316"/>
      <c r="J437" s="317"/>
      <c r="K437" s="318"/>
      <c r="L437" s="397"/>
      <c r="M437" s="316"/>
      <c r="N437" s="317"/>
      <c r="O437" s="318"/>
      <c r="P437" s="397"/>
      <c r="Q437" s="199"/>
      <c r="R437" s="220"/>
      <c r="S437" s="400"/>
      <c r="T437" s="401"/>
      <c r="U437" s="199"/>
      <c r="V437" s="220"/>
      <c r="W437" s="400"/>
      <c r="X437" s="401"/>
      <c r="Y437" s="199"/>
      <c r="Z437" s="220"/>
      <c r="AA437" s="400"/>
      <c r="AB437" s="401"/>
      <c r="AC437" s="199"/>
      <c r="AD437" s="220"/>
      <c r="AE437" s="400"/>
      <c r="AF437" s="401"/>
      <c r="AG437" s="201"/>
      <c r="AH437" s="201"/>
      <c r="AI437" s="201"/>
      <c r="AJ437" s="201"/>
      <c r="AK437" s="397"/>
      <c r="AL437" s="397"/>
      <c r="AM437" s="397"/>
    </row>
    <row r="438">
      <c r="A438" s="316"/>
      <c r="B438" s="317"/>
      <c r="C438" s="318"/>
      <c r="D438" s="397"/>
      <c r="E438" s="316"/>
      <c r="F438" s="317"/>
      <c r="G438" s="318"/>
      <c r="H438" s="397"/>
      <c r="I438" s="316"/>
      <c r="J438" s="317"/>
      <c r="K438" s="318"/>
      <c r="L438" s="397"/>
      <c r="M438" s="316"/>
      <c r="N438" s="317"/>
      <c r="O438" s="318"/>
      <c r="P438" s="397"/>
      <c r="Q438" s="199"/>
      <c r="R438" s="220"/>
      <c r="S438" s="400"/>
      <c r="T438" s="401"/>
      <c r="U438" s="199"/>
      <c r="V438" s="220"/>
      <c r="W438" s="400"/>
      <c r="X438" s="401"/>
      <c r="Y438" s="199"/>
      <c r="Z438" s="220"/>
      <c r="AA438" s="400"/>
      <c r="AB438" s="401"/>
      <c r="AC438" s="199"/>
      <c r="AD438" s="220"/>
      <c r="AE438" s="400"/>
      <c r="AF438" s="401"/>
      <c r="AG438" s="201"/>
      <c r="AH438" s="201"/>
      <c r="AI438" s="201"/>
      <c r="AJ438" s="201"/>
      <c r="AK438" s="397"/>
      <c r="AL438" s="397"/>
      <c r="AM438" s="397"/>
    </row>
    <row r="439">
      <c r="A439" s="316"/>
      <c r="B439" s="317"/>
      <c r="C439" s="318"/>
      <c r="D439" s="397"/>
      <c r="E439" s="316"/>
      <c r="F439" s="317"/>
      <c r="G439" s="318"/>
      <c r="H439" s="397"/>
      <c r="I439" s="316"/>
      <c r="J439" s="317"/>
      <c r="K439" s="318"/>
      <c r="L439" s="397"/>
      <c r="M439" s="316"/>
      <c r="N439" s="317"/>
      <c r="O439" s="318"/>
      <c r="P439" s="397"/>
      <c r="Q439" s="199"/>
      <c r="R439" s="220"/>
      <c r="S439" s="400"/>
      <c r="T439" s="401"/>
      <c r="U439" s="199"/>
      <c r="V439" s="220"/>
      <c r="W439" s="400"/>
      <c r="X439" s="401"/>
      <c r="Y439" s="199"/>
      <c r="Z439" s="220"/>
      <c r="AA439" s="400"/>
      <c r="AB439" s="401"/>
      <c r="AC439" s="199"/>
      <c r="AD439" s="220"/>
      <c r="AE439" s="400"/>
      <c r="AF439" s="401"/>
      <c r="AG439" s="201"/>
      <c r="AH439" s="201"/>
      <c r="AI439" s="201"/>
      <c r="AJ439" s="201"/>
      <c r="AK439" s="397"/>
      <c r="AL439" s="397"/>
      <c r="AM439" s="397"/>
    </row>
    <row r="440">
      <c r="A440" s="316"/>
      <c r="B440" s="317"/>
      <c r="C440" s="318"/>
      <c r="D440" s="397"/>
      <c r="E440" s="316"/>
      <c r="F440" s="317"/>
      <c r="G440" s="318"/>
      <c r="H440" s="397"/>
      <c r="I440" s="316"/>
      <c r="J440" s="317"/>
      <c r="K440" s="318"/>
      <c r="L440" s="397"/>
      <c r="M440" s="316"/>
      <c r="N440" s="317"/>
      <c r="O440" s="318"/>
      <c r="P440" s="397"/>
      <c r="Q440" s="199"/>
      <c r="R440" s="220"/>
      <c r="S440" s="400"/>
      <c r="T440" s="401"/>
      <c r="U440" s="199"/>
      <c r="V440" s="220"/>
      <c r="W440" s="400"/>
      <c r="X440" s="401"/>
      <c r="Y440" s="199"/>
      <c r="Z440" s="220"/>
      <c r="AA440" s="400"/>
      <c r="AB440" s="401"/>
      <c r="AC440" s="199"/>
      <c r="AD440" s="220"/>
      <c r="AE440" s="400"/>
      <c r="AF440" s="401"/>
      <c r="AG440" s="201"/>
      <c r="AH440" s="201"/>
      <c r="AI440" s="201"/>
      <c r="AJ440" s="201"/>
      <c r="AK440" s="397"/>
      <c r="AL440" s="397"/>
      <c r="AM440" s="397"/>
    </row>
    <row r="441">
      <c r="A441" s="316"/>
      <c r="B441" s="317"/>
      <c r="C441" s="318"/>
      <c r="D441" s="397"/>
      <c r="E441" s="316"/>
      <c r="F441" s="317"/>
      <c r="G441" s="318"/>
      <c r="H441" s="397"/>
      <c r="I441" s="316"/>
      <c r="J441" s="317"/>
      <c r="K441" s="318"/>
      <c r="L441" s="397"/>
      <c r="M441" s="316"/>
      <c r="N441" s="317"/>
      <c r="O441" s="318"/>
      <c r="P441" s="397"/>
      <c r="Q441" s="199"/>
      <c r="R441" s="220"/>
      <c r="S441" s="400"/>
      <c r="T441" s="401"/>
      <c r="U441" s="199"/>
      <c r="V441" s="220"/>
      <c r="W441" s="400"/>
      <c r="X441" s="401"/>
      <c r="Y441" s="199"/>
      <c r="Z441" s="220"/>
      <c r="AA441" s="400"/>
      <c r="AB441" s="401"/>
      <c r="AC441" s="199"/>
      <c r="AD441" s="220"/>
      <c r="AE441" s="400"/>
      <c r="AF441" s="401"/>
      <c r="AG441" s="201"/>
      <c r="AH441" s="201"/>
      <c r="AI441" s="201"/>
      <c r="AJ441" s="201"/>
      <c r="AK441" s="397"/>
      <c r="AL441" s="397"/>
      <c r="AM441" s="397"/>
    </row>
    <row r="442">
      <c r="A442" s="316"/>
      <c r="B442" s="317"/>
      <c r="C442" s="318"/>
      <c r="D442" s="397"/>
      <c r="E442" s="316"/>
      <c r="F442" s="317"/>
      <c r="G442" s="318"/>
      <c r="H442" s="397"/>
      <c r="I442" s="316"/>
      <c r="J442" s="317"/>
      <c r="K442" s="318"/>
      <c r="L442" s="397"/>
      <c r="M442" s="316"/>
      <c r="N442" s="317"/>
      <c r="O442" s="318"/>
      <c r="P442" s="397"/>
      <c r="Q442" s="199"/>
      <c r="R442" s="220"/>
      <c r="S442" s="400"/>
      <c r="T442" s="401"/>
      <c r="U442" s="199"/>
      <c r="V442" s="220"/>
      <c r="W442" s="400"/>
      <c r="X442" s="401"/>
      <c r="Y442" s="199"/>
      <c r="Z442" s="220"/>
      <c r="AA442" s="400"/>
      <c r="AB442" s="401"/>
      <c r="AC442" s="199"/>
      <c r="AD442" s="220"/>
      <c r="AE442" s="400"/>
      <c r="AF442" s="401"/>
      <c r="AG442" s="201"/>
      <c r="AH442" s="201"/>
      <c r="AI442" s="201"/>
      <c r="AJ442" s="201"/>
      <c r="AK442" s="397"/>
      <c r="AL442" s="397"/>
      <c r="AM442" s="397"/>
    </row>
    <row r="443">
      <c r="A443" s="316"/>
      <c r="B443" s="317"/>
      <c r="C443" s="318"/>
      <c r="D443" s="397"/>
      <c r="E443" s="316"/>
      <c r="F443" s="317"/>
      <c r="G443" s="318"/>
      <c r="H443" s="397"/>
      <c r="I443" s="316"/>
      <c r="J443" s="317"/>
      <c r="K443" s="318"/>
      <c r="L443" s="397"/>
      <c r="M443" s="316"/>
      <c r="N443" s="317"/>
      <c r="O443" s="318"/>
      <c r="P443" s="397"/>
      <c r="Q443" s="199"/>
      <c r="R443" s="220"/>
      <c r="S443" s="400"/>
      <c r="T443" s="401"/>
      <c r="U443" s="199"/>
      <c r="V443" s="220"/>
      <c r="W443" s="400"/>
      <c r="X443" s="401"/>
      <c r="Y443" s="199"/>
      <c r="Z443" s="220"/>
      <c r="AA443" s="400"/>
      <c r="AB443" s="401"/>
      <c r="AC443" s="199"/>
      <c r="AD443" s="220"/>
      <c r="AE443" s="400"/>
      <c r="AF443" s="401"/>
      <c r="AG443" s="201"/>
      <c r="AH443" s="201"/>
      <c r="AI443" s="201"/>
      <c r="AJ443" s="201"/>
      <c r="AK443" s="397"/>
      <c r="AL443" s="397"/>
      <c r="AM443" s="397"/>
    </row>
    <row r="444">
      <c r="A444" s="316"/>
      <c r="B444" s="317"/>
      <c r="C444" s="318"/>
      <c r="D444" s="397"/>
      <c r="E444" s="316"/>
      <c r="F444" s="317"/>
      <c r="G444" s="318"/>
      <c r="H444" s="397"/>
      <c r="I444" s="316"/>
      <c r="J444" s="317"/>
      <c r="K444" s="318"/>
      <c r="L444" s="397"/>
      <c r="M444" s="316"/>
      <c r="N444" s="317"/>
      <c r="O444" s="318"/>
      <c r="P444" s="397"/>
      <c r="Q444" s="199"/>
      <c r="R444" s="220"/>
      <c r="S444" s="400"/>
      <c r="T444" s="401"/>
      <c r="U444" s="199"/>
      <c r="V444" s="220"/>
      <c r="W444" s="400"/>
      <c r="X444" s="401"/>
      <c r="Y444" s="199"/>
      <c r="Z444" s="220"/>
      <c r="AA444" s="400"/>
      <c r="AB444" s="401"/>
      <c r="AC444" s="199"/>
      <c r="AD444" s="220"/>
      <c r="AE444" s="400"/>
      <c r="AF444" s="401"/>
      <c r="AG444" s="201"/>
      <c r="AH444" s="201"/>
      <c r="AI444" s="201"/>
      <c r="AJ444" s="201"/>
      <c r="AK444" s="397"/>
      <c r="AL444" s="397"/>
      <c r="AM444" s="397"/>
    </row>
    <row r="445">
      <c r="A445" s="316"/>
      <c r="B445" s="317"/>
      <c r="C445" s="318"/>
      <c r="D445" s="397"/>
      <c r="E445" s="316"/>
      <c r="F445" s="317"/>
      <c r="G445" s="318"/>
      <c r="H445" s="397"/>
      <c r="I445" s="316"/>
      <c r="J445" s="317"/>
      <c r="K445" s="318"/>
      <c r="L445" s="397"/>
      <c r="M445" s="316"/>
      <c r="N445" s="317"/>
      <c r="O445" s="318"/>
      <c r="P445" s="397"/>
      <c r="Q445" s="199"/>
      <c r="R445" s="220"/>
      <c r="S445" s="400"/>
      <c r="T445" s="401"/>
      <c r="U445" s="199"/>
      <c r="V445" s="220"/>
      <c r="W445" s="400"/>
      <c r="X445" s="401"/>
      <c r="Y445" s="199"/>
      <c r="Z445" s="220"/>
      <c r="AA445" s="400"/>
      <c r="AB445" s="401"/>
      <c r="AC445" s="199"/>
      <c r="AD445" s="220"/>
      <c r="AE445" s="400"/>
      <c r="AF445" s="401"/>
      <c r="AG445" s="201"/>
      <c r="AH445" s="201"/>
      <c r="AI445" s="201"/>
      <c r="AJ445" s="201"/>
      <c r="AK445" s="397"/>
      <c r="AL445" s="397"/>
      <c r="AM445" s="397"/>
    </row>
    <row r="446">
      <c r="A446" s="316"/>
      <c r="B446" s="317"/>
      <c r="C446" s="318"/>
      <c r="D446" s="397"/>
      <c r="E446" s="316"/>
      <c r="F446" s="317"/>
      <c r="G446" s="318"/>
      <c r="H446" s="397"/>
      <c r="I446" s="316"/>
      <c r="J446" s="317"/>
      <c r="K446" s="318"/>
      <c r="L446" s="397"/>
      <c r="M446" s="316"/>
      <c r="N446" s="317"/>
      <c r="O446" s="318"/>
      <c r="P446" s="397"/>
      <c r="Q446" s="199"/>
      <c r="R446" s="220"/>
      <c r="S446" s="400"/>
      <c r="T446" s="401"/>
      <c r="U446" s="199"/>
      <c r="V446" s="220"/>
      <c r="W446" s="400"/>
      <c r="X446" s="401"/>
      <c r="Y446" s="199"/>
      <c r="Z446" s="220"/>
      <c r="AA446" s="400"/>
      <c r="AB446" s="401"/>
      <c r="AC446" s="199"/>
      <c r="AD446" s="220"/>
      <c r="AE446" s="400"/>
      <c r="AF446" s="401"/>
      <c r="AG446" s="201"/>
      <c r="AH446" s="201"/>
      <c r="AI446" s="201"/>
      <c r="AJ446" s="201"/>
      <c r="AK446" s="397"/>
      <c r="AL446" s="397"/>
      <c r="AM446" s="397"/>
    </row>
    <row r="447">
      <c r="A447" s="316"/>
      <c r="B447" s="317"/>
      <c r="C447" s="318"/>
      <c r="D447" s="397"/>
      <c r="E447" s="316"/>
      <c r="F447" s="317"/>
      <c r="G447" s="318"/>
      <c r="H447" s="397"/>
      <c r="I447" s="316"/>
      <c r="J447" s="317"/>
      <c r="K447" s="318"/>
      <c r="L447" s="397"/>
      <c r="M447" s="316"/>
      <c r="N447" s="317"/>
      <c r="O447" s="318"/>
      <c r="P447" s="397"/>
      <c r="Q447" s="199"/>
      <c r="R447" s="220"/>
      <c r="S447" s="400"/>
      <c r="T447" s="401"/>
      <c r="U447" s="199"/>
      <c r="V447" s="220"/>
      <c r="W447" s="400"/>
      <c r="X447" s="401"/>
      <c r="Y447" s="199"/>
      <c r="Z447" s="220"/>
      <c r="AA447" s="400"/>
      <c r="AB447" s="401"/>
      <c r="AC447" s="199"/>
      <c r="AD447" s="220"/>
      <c r="AE447" s="400"/>
      <c r="AF447" s="401"/>
      <c r="AG447" s="201"/>
      <c r="AH447" s="201"/>
      <c r="AI447" s="201"/>
      <c r="AJ447" s="201"/>
      <c r="AK447" s="397"/>
      <c r="AL447" s="397"/>
      <c r="AM447" s="397"/>
    </row>
    <row r="448">
      <c r="A448" s="316"/>
      <c r="B448" s="317"/>
      <c r="C448" s="318"/>
      <c r="D448" s="397"/>
      <c r="E448" s="316"/>
      <c r="F448" s="317"/>
      <c r="G448" s="318"/>
      <c r="H448" s="397"/>
      <c r="I448" s="316"/>
      <c r="J448" s="317"/>
      <c r="K448" s="318"/>
      <c r="L448" s="397"/>
      <c r="M448" s="316"/>
      <c r="N448" s="317"/>
      <c r="O448" s="318"/>
      <c r="P448" s="397"/>
      <c r="Q448" s="199"/>
      <c r="R448" s="220"/>
      <c r="S448" s="400"/>
      <c r="T448" s="401"/>
      <c r="U448" s="199"/>
      <c r="V448" s="220"/>
      <c r="W448" s="400"/>
      <c r="X448" s="401"/>
      <c r="Y448" s="199"/>
      <c r="Z448" s="220"/>
      <c r="AA448" s="400"/>
      <c r="AB448" s="401"/>
      <c r="AC448" s="199"/>
      <c r="AD448" s="220"/>
      <c r="AE448" s="400"/>
      <c r="AF448" s="401"/>
      <c r="AG448" s="201"/>
      <c r="AH448" s="201"/>
      <c r="AI448" s="201"/>
      <c r="AJ448" s="201"/>
      <c r="AK448" s="397"/>
      <c r="AL448" s="397"/>
      <c r="AM448" s="397"/>
    </row>
    <row r="449">
      <c r="A449" s="316"/>
      <c r="B449" s="317"/>
      <c r="C449" s="318"/>
      <c r="D449" s="397"/>
      <c r="E449" s="316"/>
      <c r="F449" s="317"/>
      <c r="G449" s="318"/>
      <c r="H449" s="397"/>
      <c r="I449" s="316"/>
      <c r="J449" s="317"/>
      <c r="K449" s="318"/>
      <c r="L449" s="397"/>
      <c r="M449" s="316"/>
      <c r="N449" s="317"/>
      <c r="O449" s="318"/>
      <c r="P449" s="397"/>
      <c r="Q449" s="199"/>
      <c r="R449" s="220"/>
      <c r="S449" s="400"/>
      <c r="T449" s="401"/>
      <c r="U449" s="199"/>
      <c r="V449" s="220"/>
      <c r="W449" s="400"/>
      <c r="X449" s="401"/>
      <c r="Y449" s="199"/>
      <c r="Z449" s="220"/>
      <c r="AA449" s="400"/>
      <c r="AB449" s="401"/>
      <c r="AC449" s="199"/>
      <c r="AD449" s="220"/>
      <c r="AE449" s="400"/>
      <c r="AF449" s="401"/>
      <c r="AG449" s="201"/>
      <c r="AH449" s="201"/>
      <c r="AI449" s="201"/>
      <c r="AJ449" s="201"/>
      <c r="AK449" s="397"/>
      <c r="AL449" s="397"/>
      <c r="AM449" s="397"/>
    </row>
    <row r="450">
      <c r="A450" s="316"/>
      <c r="B450" s="317"/>
      <c r="C450" s="318"/>
      <c r="D450" s="397"/>
      <c r="E450" s="316"/>
      <c r="F450" s="317"/>
      <c r="G450" s="318"/>
      <c r="H450" s="397"/>
      <c r="I450" s="316"/>
      <c r="J450" s="317"/>
      <c r="K450" s="318"/>
      <c r="L450" s="397"/>
      <c r="M450" s="316"/>
      <c r="N450" s="317"/>
      <c r="O450" s="318"/>
      <c r="P450" s="397"/>
      <c r="Q450" s="199"/>
      <c r="R450" s="220"/>
      <c r="S450" s="400"/>
      <c r="T450" s="401"/>
      <c r="U450" s="199"/>
      <c r="V450" s="220"/>
      <c r="W450" s="400"/>
      <c r="X450" s="401"/>
      <c r="Y450" s="199"/>
      <c r="Z450" s="220"/>
      <c r="AA450" s="400"/>
      <c r="AB450" s="401"/>
      <c r="AC450" s="199"/>
      <c r="AD450" s="220"/>
      <c r="AE450" s="400"/>
      <c r="AF450" s="401"/>
      <c r="AG450" s="201"/>
      <c r="AH450" s="201"/>
      <c r="AI450" s="201"/>
      <c r="AJ450" s="201"/>
      <c r="AK450" s="397"/>
      <c r="AL450" s="397"/>
      <c r="AM450" s="397"/>
    </row>
    <row r="451">
      <c r="A451" s="316"/>
      <c r="B451" s="317"/>
      <c r="C451" s="318"/>
      <c r="D451" s="397"/>
      <c r="E451" s="316"/>
      <c r="F451" s="317"/>
      <c r="G451" s="318"/>
      <c r="H451" s="397"/>
      <c r="I451" s="316"/>
      <c r="J451" s="317"/>
      <c r="K451" s="318"/>
      <c r="L451" s="397"/>
      <c r="M451" s="316"/>
      <c r="N451" s="317"/>
      <c r="O451" s="318"/>
      <c r="P451" s="397"/>
      <c r="Q451" s="199"/>
      <c r="R451" s="220"/>
      <c r="S451" s="400"/>
      <c r="T451" s="401"/>
      <c r="U451" s="199"/>
      <c r="V451" s="220"/>
      <c r="W451" s="400"/>
      <c r="X451" s="401"/>
      <c r="Y451" s="199"/>
      <c r="Z451" s="220"/>
      <c r="AA451" s="400"/>
      <c r="AB451" s="401"/>
      <c r="AC451" s="199"/>
      <c r="AD451" s="220"/>
      <c r="AE451" s="400"/>
      <c r="AF451" s="401"/>
      <c r="AG451" s="201"/>
      <c r="AH451" s="201"/>
      <c r="AI451" s="201"/>
      <c r="AJ451" s="201"/>
      <c r="AK451" s="397"/>
      <c r="AL451" s="397"/>
      <c r="AM451" s="397"/>
    </row>
    <row r="452">
      <c r="A452" s="316"/>
      <c r="B452" s="317"/>
      <c r="C452" s="318"/>
      <c r="D452" s="397"/>
      <c r="E452" s="316"/>
      <c r="F452" s="317"/>
      <c r="G452" s="318"/>
      <c r="H452" s="397"/>
      <c r="I452" s="316"/>
      <c r="J452" s="317"/>
      <c r="K452" s="318"/>
      <c r="L452" s="397"/>
      <c r="M452" s="316"/>
      <c r="N452" s="317"/>
      <c r="O452" s="318"/>
      <c r="P452" s="397"/>
      <c r="Q452" s="199"/>
      <c r="R452" s="220"/>
      <c r="S452" s="400"/>
      <c r="T452" s="401"/>
      <c r="U452" s="199"/>
      <c r="V452" s="220"/>
      <c r="W452" s="400"/>
      <c r="X452" s="401"/>
      <c r="Y452" s="199"/>
      <c r="Z452" s="220"/>
      <c r="AA452" s="400"/>
      <c r="AB452" s="401"/>
      <c r="AC452" s="199"/>
      <c r="AD452" s="220"/>
      <c r="AE452" s="400"/>
      <c r="AF452" s="401"/>
      <c r="AG452" s="201"/>
      <c r="AH452" s="201"/>
      <c r="AI452" s="201"/>
      <c r="AJ452" s="201"/>
      <c r="AK452" s="397"/>
      <c r="AL452" s="397"/>
      <c r="AM452" s="397"/>
    </row>
    <row r="453">
      <c r="A453" s="316"/>
      <c r="B453" s="317"/>
      <c r="C453" s="318"/>
      <c r="D453" s="397"/>
      <c r="E453" s="316"/>
      <c r="F453" s="317"/>
      <c r="G453" s="318"/>
      <c r="H453" s="397"/>
      <c r="I453" s="316"/>
      <c r="J453" s="317"/>
      <c r="K453" s="318"/>
      <c r="L453" s="397"/>
      <c r="M453" s="316"/>
      <c r="N453" s="317"/>
      <c r="O453" s="318"/>
      <c r="P453" s="397"/>
      <c r="Q453" s="199"/>
      <c r="R453" s="220"/>
      <c r="S453" s="400"/>
      <c r="T453" s="401"/>
      <c r="U453" s="199"/>
      <c r="V453" s="220"/>
      <c r="W453" s="400"/>
      <c r="X453" s="401"/>
      <c r="Y453" s="199"/>
      <c r="Z453" s="220"/>
      <c r="AA453" s="400"/>
      <c r="AB453" s="401"/>
      <c r="AC453" s="199"/>
      <c r="AD453" s="220"/>
      <c r="AE453" s="400"/>
      <c r="AF453" s="401"/>
      <c r="AG453" s="201"/>
      <c r="AH453" s="201"/>
      <c r="AI453" s="201"/>
      <c r="AJ453" s="201"/>
      <c r="AK453" s="397"/>
      <c r="AL453" s="397"/>
      <c r="AM453" s="397"/>
    </row>
    <row r="454">
      <c r="A454" s="316"/>
      <c r="B454" s="317"/>
      <c r="C454" s="318"/>
      <c r="D454" s="397"/>
      <c r="E454" s="316"/>
      <c r="F454" s="317"/>
      <c r="G454" s="318"/>
      <c r="H454" s="397"/>
      <c r="I454" s="316"/>
      <c r="J454" s="317"/>
      <c r="K454" s="318"/>
      <c r="L454" s="397"/>
      <c r="M454" s="316"/>
      <c r="N454" s="317"/>
      <c r="O454" s="318"/>
      <c r="P454" s="397"/>
      <c r="Q454" s="199"/>
      <c r="R454" s="220"/>
      <c r="S454" s="400"/>
      <c r="T454" s="401"/>
      <c r="U454" s="199"/>
      <c r="V454" s="220"/>
      <c r="W454" s="400"/>
      <c r="X454" s="401"/>
      <c r="Y454" s="199"/>
      <c r="Z454" s="220"/>
      <c r="AA454" s="400"/>
      <c r="AB454" s="401"/>
      <c r="AC454" s="199"/>
      <c r="AD454" s="220"/>
      <c r="AE454" s="400"/>
      <c r="AF454" s="401"/>
      <c r="AG454" s="201"/>
      <c r="AH454" s="201"/>
      <c r="AI454" s="201"/>
      <c r="AJ454" s="201"/>
      <c r="AK454" s="397"/>
      <c r="AL454" s="397"/>
      <c r="AM454" s="397"/>
    </row>
    <row r="455">
      <c r="A455" s="316"/>
      <c r="B455" s="317"/>
      <c r="C455" s="318"/>
      <c r="D455" s="397"/>
      <c r="E455" s="316"/>
      <c r="F455" s="317"/>
      <c r="G455" s="318"/>
      <c r="H455" s="397"/>
      <c r="I455" s="316"/>
      <c r="J455" s="317"/>
      <c r="K455" s="318"/>
      <c r="L455" s="397"/>
      <c r="M455" s="316"/>
      <c r="N455" s="317"/>
      <c r="O455" s="318"/>
      <c r="P455" s="397"/>
      <c r="Q455" s="199"/>
      <c r="R455" s="220"/>
      <c r="S455" s="400"/>
      <c r="T455" s="401"/>
      <c r="U455" s="199"/>
      <c r="V455" s="220"/>
      <c r="W455" s="400"/>
      <c r="X455" s="401"/>
      <c r="Y455" s="199"/>
      <c r="Z455" s="220"/>
      <c r="AA455" s="400"/>
      <c r="AB455" s="401"/>
      <c r="AC455" s="199"/>
      <c r="AD455" s="220"/>
      <c r="AE455" s="400"/>
      <c r="AF455" s="401"/>
      <c r="AG455" s="201"/>
      <c r="AH455" s="201"/>
      <c r="AI455" s="201"/>
      <c r="AJ455" s="201"/>
      <c r="AK455" s="397"/>
      <c r="AL455" s="397"/>
      <c r="AM455" s="397"/>
    </row>
    <row r="456">
      <c r="A456" s="316"/>
      <c r="B456" s="317"/>
      <c r="C456" s="318"/>
      <c r="D456" s="397"/>
      <c r="E456" s="316"/>
      <c r="F456" s="317"/>
      <c r="G456" s="318"/>
      <c r="H456" s="397"/>
      <c r="I456" s="316"/>
      <c r="J456" s="317"/>
      <c r="K456" s="318"/>
      <c r="L456" s="397"/>
      <c r="M456" s="316"/>
      <c r="N456" s="317"/>
      <c r="O456" s="318"/>
      <c r="P456" s="397"/>
      <c r="Q456" s="199"/>
      <c r="R456" s="220"/>
      <c r="S456" s="400"/>
      <c r="T456" s="401"/>
      <c r="U456" s="199"/>
      <c r="V456" s="220"/>
      <c r="W456" s="400"/>
      <c r="X456" s="401"/>
      <c r="Y456" s="199"/>
      <c r="Z456" s="220"/>
      <c r="AA456" s="400"/>
      <c r="AB456" s="401"/>
      <c r="AC456" s="199"/>
      <c r="AD456" s="220"/>
      <c r="AE456" s="400"/>
      <c r="AF456" s="401"/>
      <c r="AG456" s="201"/>
      <c r="AH456" s="201"/>
      <c r="AI456" s="201"/>
      <c r="AJ456" s="201"/>
      <c r="AK456" s="397"/>
      <c r="AL456" s="397"/>
      <c r="AM456" s="397"/>
    </row>
    <row r="457">
      <c r="A457" s="316"/>
      <c r="B457" s="317"/>
      <c r="C457" s="318"/>
      <c r="D457" s="397"/>
      <c r="E457" s="316"/>
      <c r="F457" s="317"/>
      <c r="G457" s="318"/>
      <c r="H457" s="397"/>
      <c r="I457" s="316"/>
      <c r="J457" s="317"/>
      <c r="K457" s="318"/>
      <c r="L457" s="397"/>
      <c r="M457" s="316"/>
      <c r="N457" s="317"/>
      <c r="O457" s="318"/>
      <c r="P457" s="397"/>
      <c r="Q457" s="199"/>
      <c r="R457" s="220"/>
      <c r="S457" s="400"/>
      <c r="T457" s="401"/>
      <c r="U457" s="199"/>
      <c r="V457" s="220"/>
      <c r="W457" s="400"/>
      <c r="X457" s="401"/>
      <c r="Y457" s="199"/>
      <c r="Z457" s="220"/>
      <c r="AA457" s="400"/>
      <c r="AB457" s="401"/>
      <c r="AC457" s="199"/>
      <c r="AD457" s="220"/>
      <c r="AE457" s="400"/>
      <c r="AF457" s="401"/>
      <c r="AG457" s="201"/>
      <c r="AH457" s="201"/>
      <c r="AI457" s="201"/>
      <c r="AJ457" s="201"/>
      <c r="AK457" s="397"/>
      <c r="AL457" s="397"/>
      <c r="AM457" s="397"/>
    </row>
    <row r="458">
      <c r="A458" s="316"/>
      <c r="B458" s="317"/>
      <c r="C458" s="318"/>
      <c r="D458" s="397"/>
      <c r="E458" s="316"/>
      <c r="F458" s="317"/>
      <c r="G458" s="318"/>
      <c r="H458" s="397"/>
      <c r="I458" s="316"/>
      <c r="J458" s="317"/>
      <c r="K458" s="318"/>
      <c r="L458" s="397"/>
      <c r="M458" s="316"/>
      <c r="N458" s="317"/>
      <c r="O458" s="318"/>
      <c r="P458" s="397"/>
      <c r="Q458" s="199"/>
      <c r="R458" s="220"/>
      <c r="S458" s="400"/>
      <c r="T458" s="401"/>
      <c r="U458" s="199"/>
      <c r="V458" s="220"/>
      <c r="W458" s="400"/>
      <c r="X458" s="401"/>
      <c r="Y458" s="199"/>
      <c r="Z458" s="220"/>
      <c r="AA458" s="400"/>
      <c r="AB458" s="401"/>
      <c r="AC458" s="199"/>
      <c r="AD458" s="220"/>
      <c r="AE458" s="400"/>
      <c r="AF458" s="401"/>
      <c r="AG458" s="201"/>
      <c r="AH458" s="201"/>
      <c r="AI458" s="201"/>
      <c r="AJ458" s="201"/>
      <c r="AK458" s="397"/>
      <c r="AL458" s="397"/>
      <c r="AM458" s="397"/>
    </row>
    <row r="459">
      <c r="A459" s="316"/>
      <c r="B459" s="317"/>
      <c r="C459" s="318"/>
      <c r="D459" s="397"/>
      <c r="E459" s="316"/>
      <c r="F459" s="317"/>
      <c r="G459" s="318"/>
      <c r="H459" s="397"/>
      <c r="I459" s="316"/>
      <c r="J459" s="317"/>
      <c r="K459" s="318"/>
      <c r="L459" s="397"/>
      <c r="M459" s="316"/>
      <c r="N459" s="317"/>
      <c r="O459" s="318"/>
      <c r="P459" s="397"/>
      <c r="Q459" s="199"/>
      <c r="R459" s="220"/>
      <c r="S459" s="400"/>
      <c r="T459" s="401"/>
      <c r="U459" s="199"/>
      <c r="V459" s="220"/>
      <c r="W459" s="400"/>
      <c r="X459" s="401"/>
      <c r="Y459" s="199"/>
      <c r="Z459" s="220"/>
      <c r="AA459" s="400"/>
      <c r="AB459" s="401"/>
      <c r="AC459" s="199"/>
      <c r="AD459" s="220"/>
      <c r="AE459" s="400"/>
      <c r="AF459" s="401"/>
      <c r="AG459" s="201"/>
      <c r="AH459" s="201"/>
      <c r="AI459" s="201"/>
      <c r="AJ459" s="201"/>
      <c r="AK459" s="397"/>
      <c r="AL459" s="397"/>
      <c r="AM459" s="397"/>
    </row>
    <row r="460">
      <c r="A460" s="316"/>
      <c r="B460" s="317"/>
      <c r="C460" s="318"/>
      <c r="D460" s="397"/>
      <c r="E460" s="316"/>
      <c r="F460" s="317"/>
      <c r="G460" s="318"/>
      <c r="H460" s="397"/>
      <c r="I460" s="316"/>
      <c r="J460" s="317"/>
      <c r="K460" s="318"/>
      <c r="L460" s="397"/>
      <c r="M460" s="316"/>
      <c r="N460" s="317"/>
      <c r="O460" s="318"/>
      <c r="P460" s="397"/>
      <c r="Q460" s="199"/>
      <c r="R460" s="220"/>
      <c r="S460" s="400"/>
      <c r="T460" s="401"/>
      <c r="U460" s="199"/>
      <c r="V460" s="220"/>
      <c r="W460" s="400"/>
      <c r="X460" s="401"/>
      <c r="Y460" s="199"/>
      <c r="Z460" s="220"/>
      <c r="AA460" s="400"/>
      <c r="AB460" s="401"/>
      <c r="AC460" s="199"/>
      <c r="AD460" s="220"/>
      <c r="AE460" s="400"/>
      <c r="AF460" s="401"/>
      <c r="AG460" s="201"/>
      <c r="AH460" s="201"/>
      <c r="AI460" s="201"/>
      <c r="AJ460" s="201"/>
      <c r="AK460" s="397"/>
      <c r="AL460" s="397"/>
      <c r="AM460" s="397"/>
    </row>
    <row r="461">
      <c r="A461" s="316"/>
      <c r="B461" s="317"/>
      <c r="C461" s="318"/>
      <c r="D461" s="397"/>
      <c r="E461" s="316"/>
      <c r="F461" s="317"/>
      <c r="G461" s="318"/>
      <c r="H461" s="397"/>
      <c r="I461" s="316"/>
      <c r="J461" s="317"/>
      <c r="K461" s="318"/>
      <c r="L461" s="397"/>
      <c r="M461" s="316"/>
      <c r="N461" s="317"/>
      <c r="O461" s="318"/>
      <c r="P461" s="397"/>
      <c r="Q461" s="199"/>
      <c r="R461" s="220"/>
      <c r="S461" s="400"/>
      <c r="T461" s="401"/>
      <c r="U461" s="199"/>
      <c r="V461" s="220"/>
      <c r="W461" s="400"/>
      <c r="X461" s="401"/>
      <c r="Y461" s="199"/>
      <c r="Z461" s="220"/>
      <c r="AA461" s="400"/>
      <c r="AB461" s="401"/>
      <c r="AC461" s="199"/>
      <c r="AD461" s="220"/>
      <c r="AE461" s="400"/>
      <c r="AF461" s="401"/>
      <c r="AG461" s="201"/>
      <c r="AH461" s="201"/>
      <c r="AI461" s="201"/>
      <c r="AJ461" s="201"/>
      <c r="AK461" s="397"/>
      <c r="AL461" s="397"/>
      <c r="AM461" s="397"/>
    </row>
    <row r="462">
      <c r="A462" s="316"/>
      <c r="B462" s="317"/>
      <c r="C462" s="318"/>
      <c r="D462" s="397"/>
      <c r="E462" s="316"/>
      <c r="F462" s="317"/>
      <c r="G462" s="318"/>
      <c r="H462" s="397"/>
      <c r="I462" s="316"/>
      <c r="J462" s="317"/>
      <c r="K462" s="318"/>
      <c r="L462" s="397"/>
      <c r="M462" s="316"/>
      <c r="N462" s="317"/>
      <c r="O462" s="318"/>
      <c r="P462" s="397"/>
      <c r="Q462" s="199"/>
      <c r="R462" s="220"/>
      <c r="S462" s="400"/>
      <c r="T462" s="401"/>
      <c r="U462" s="199"/>
      <c r="V462" s="220"/>
      <c r="W462" s="400"/>
      <c r="X462" s="401"/>
      <c r="Y462" s="199"/>
      <c r="Z462" s="220"/>
      <c r="AA462" s="400"/>
      <c r="AB462" s="401"/>
      <c r="AC462" s="199"/>
      <c r="AD462" s="220"/>
      <c r="AE462" s="400"/>
      <c r="AF462" s="401"/>
      <c r="AG462" s="201"/>
      <c r="AH462" s="201"/>
      <c r="AI462" s="201"/>
      <c r="AJ462" s="201"/>
      <c r="AK462" s="397"/>
      <c r="AL462" s="397"/>
      <c r="AM462" s="397"/>
    </row>
    <row r="463">
      <c r="A463" s="316"/>
      <c r="B463" s="317"/>
      <c r="C463" s="318"/>
      <c r="D463" s="397"/>
      <c r="E463" s="316"/>
      <c r="F463" s="317"/>
      <c r="G463" s="318"/>
      <c r="H463" s="397"/>
      <c r="I463" s="316"/>
      <c r="J463" s="317"/>
      <c r="K463" s="318"/>
      <c r="L463" s="397"/>
      <c r="M463" s="316"/>
      <c r="N463" s="317"/>
      <c r="O463" s="318"/>
      <c r="P463" s="397"/>
      <c r="Q463" s="199"/>
      <c r="R463" s="220"/>
      <c r="S463" s="400"/>
      <c r="T463" s="401"/>
      <c r="U463" s="199"/>
      <c r="V463" s="220"/>
      <c r="W463" s="400"/>
      <c r="X463" s="401"/>
      <c r="Y463" s="199"/>
      <c r="Z463" s="220"/>
      <c r="AA463" s="400"/>
      <c r="AB463" s="401"/>
      <c r="AC463" s="199"/>
      <c r="AD463" s="220"/>
      <c r="AE463" s="400"/>
      <c r="AF463" s="401"/>
      <c r="AG463" s="201"/>
      <c r="AH463" s="201"/>
      <c r="AI463" s="201"/>
      <c r="AJ463" s="201"/>
      <c r="AK463" s="397"/>
      <c r="AL463" s="397"/>
      <c r="AM463" s="397"/>
    </row>
    <row r="464">
      <c r="A464" s="316"/>
      <c r="B464" s="317"/>
      <c r="C464" s="318"/>
      <c r="D464" s="397"/>
      <c r="E464" s="316"/>
      <c r="F464" s="317"/>
      <c r="G464" s="318"/>
      <c r="H464" s="397"/>
      <c r="I464" s="316"/>
      <c r="J464" s="317"/>
      <c r="K464" s="318"/>
      <c r="L464" s="397"/>
      <c r="M464" s="316"/>
      <c r="N464" s="317"/>
      <c r="O464" s="318"/>
      <c r="P464" s="397"/>
      <c r="Q464" s="199"/>
      <c r="R464" s="220"/>
      <c r="S464" s="400"/>
      <c r="T464" s="401"/>
      <c r="U464" s="199"/>
      <c r="V464" s="220"/>
      <c r="W464" s="400"/>
      <c r="X464" s="401"/>
      <c r="Y464" s="199"/>
      <c r="Z464" s="220"/>
      <c r="AA464" s="400"/>
      <c r="AB464" s="401"/>
      <c r="AC464" s="199"/>
      <c r="AD464" s="220"/>
      <c r="AE464" s="400"/>
      <c r="AF464" s="401"/>
      <c r="AG464" s="201"/>
      <c r="AH464" s="201"/>
      <c r="AI464" s="201"/>
      <c r="AJ464" s="201"/>
      <c r="AK464" s="397"/>
      <c r="AL464" s="397"/>
      <c r="AM464" s="397"/>
    </row>
    <row r="465">
      <c r="A465" s="316"/>
      <c r="B465" s="317"/>
      <c r="C465" s="318"/>
      <c r="D465" s="397"/>
      <c r="E465" s="316"/>
      <c r="F465" s="317"/>
      <c r="G465" s="318"/>
      <c r="H465" s="397"/>
      <c r="I465" s="316"/>
      <c r="J465" s="317"/>
      <c r="K465" s="318"/>
      <c r="L465" s="397"/>
      <c r="M465" s="316"/>
      <c r="N465" s="317"/>
      <c r="O465" s="318"/>
      <c r="P465" s="397"/>
      <c r="Q465" s="199"/>
      <c r="R465" s="220"/>
      <c r="S465" s="400"/>
      <c r="T465" s="401"/>
      <c r="U465" s="199"/>
      <c r="V465" s="220"/>
      <c r="W465" s="400"/>
      <c r="X465" s="401"/>
      <c r="Y465" s="199"/>
      <c r="Z465" s="220"/>
      <c r="AA465" s="400"/>
      <c r="AB465" s="401"/>
      <c r="AC465" s="199"/>
      <c r="AD465" s="220"/>
      <c r="AE465" s="400"/>
      <c r="AF465" s="401"/>
      <c r="AG465" s="201"/>
      <c r="AH465" s="201"/>
      <c r="AI465" s="201"/>
      <c r="AJ465" s="201"/>
      <c r="AK465" s="397"/>
      <c r="AL465" s="397"/>
      <c r="AM465" s="397"/>
    </row>
    <row r="466">
      <c r="A466" s="316"/>
      <c r="B466" s="317"/>
      <c r="C466" s="318"/>
      <c r="D466" s="397"/>
      <c r="E466" s="316"/>
      <c r="F466" s="317"/>
      <c r="G466" s="318"/>
      <c r="H466" s="397"/>
      <c r="I466" s="316"/>
      <c r="J466" s="317"/>
      <c r="K466" s="318"/>
      <c r="L466" s="397"/>
      <c r="M466" s="316"/>
      <c r="N466" s="317"/>
      <c r="O466" s="318"/>
      <c r="P466" s="397"/>
      <c r="Q466" s="199"/>
      <c r="R466" s="220"/>
      <c r="S466" s="400"/>
      <c r="T466" s="401"/>
      <c r="U466" s="199"/>
      <c r="V466" s="220"/>
      <c r="W466" s="400"/>
      <c r="X466" s="401"/>
      <c r="Y466" s="199"/>
      <c r="Z466" s="220"/>
      <c r="AA466" s="400"/>
      <c r="AB466" s="401"/>
      <c r="AC466" s="199"/>
      <c r="AD466" s="220"/>
      <c r="AE466" s="400"/>
      <c r="AF466" s="401"/>
      <c r="AG466" s="201"/>
      <c r="AH466" s="201"/>
      <c r="AI466" s="201"/>
      <c r="AJ466" s="201"/>
      <c r="AK466" s="397"/>
      <c r="AL466" s="397"/>
      <c r="AM466" s="397"/>
    </row>
    <row r="467">
      <c r="A467" s="316"/>
      <c r="B467" s="317"/>
      <c r="C467" s="318"/>
      <c r="D467" s="397"/>
      <c r="E467" s="316"/>
      <c r="F467" s="317"/>
      <c r="G467" s="318"/>
      <c r="H467" s="397"/>
      <c r="I467" s="316"/>
      <c r="J467" s="317"/>
      <c r="K467" s="318"/>
      <c r="L467" s="397"/>
      <c r="M467" s="316"/>
      <c r="N467" s="317"/>
      <c r="O467" s="318"/>
      <c r="P467" s="397"/>
      <c r="Q467" s="199"/>
      <c r="R467" s="220"/>
      <c r="S467" s="400"/>
      <c r="T467" s="401"/>
      <c r="U467" s="199"/>
      <c r="V467" s="220"/>
      <c r="W467" s="400"/>
      <c r="X467" s="401"/>
      <c r="Y467" s="199"/>
      <c r="Z467" s="220"/>
      <c r="AA467" s="400"/>
      <c r="AB467" s="401"/>
      <c r="AC467" s="199"/>
      <c r="AD467" s="220"/>
      <c r="AE467" s="400"/>
      <c r="AF467" s="401"/>
      <c r="AG467" s="201"/>
      <c r="AH467" s="201"/>
      <c r="AI467" s="201"/>
      <c r="AJ467" s="201"/>
      <c r="AK467" s="397"/>
      <c r="AL467" s="397"/>
      <c r="AM467" s="397"/>
    </row>
    <row r="468">
      <c r="A468" s="316"/>
      <c r="B468" s="317"/>
      <c r="C468" s="318"/>
      <c r="D468" s="397"/>
      <c r="E468" s="316"/>
      <c r="F468" s="317"/>
      <c r="G468" s="318"/>
      <c r="H468" s="397"/>
      <c r="I468" s="316"/>
      <c r="J468" s="317"/>
      <c r="K468" s="318"/>
      <c r="L468" s="397"/>
      <c r="M468" s="316"/>
      <c r="N468" s="317"/>
      <c r="O468" s="318"/>
      <c r="P468" s="397"/>
      <c r="Q468" s="199"/>
      <c r="R468" s="220"/>
      <c r="S468" s="400"/>
      <c r="T468" s="401"/>
      <c r="U468" s="199"/>
      <c r="V468" s="220"/>
      <c r="W468" s="400"/>
      <c r="X468" s="401"/>
      <c r="Y468" s="199"/>
      <c r="Z468" s="220"/>
      <c r="AA468" s="400"/>
      <c r="AB468" s="401"/>
      <c r="AC468" s="199"/>
      <c r="AD468" s="220"/>
      <c r="AE468" s="400"/>
      <c r="AF468" s="401"/>
      <c r="AG468" s="201"/>
      <c r="AH468" s="201"/>
      <c r="AI468" s="201"/>
      <c r="AJ468" s="201"/>
      <c r="AK468" s="397"/>
      <c r="AL468" s="397"/>
      <c r="AM468" s="397"/>
    </row>
    <row r="469">
      <c r="A469" s="316"/>
      <c r="B469" s="317"/>
      <c r="C469" s="318"/>
      <c r="D469" s="397"/>
      <c r="E469" s="316"/>
      <c r="F469" s="317"/>
      <c r="G469" s="318"/>
      <c r="H469" s="397"/>
      <c r="I469" s="316"/>
      <c r="J469" s="317"/>
      <c r="K469" s="318"/>
      <c r="L469" s="397"/>
      <c r="M469" s="316"/>
      <c r="N469" s="317"/>
      <c r="O469" s="318"/>
      <c r="P469" s="397"/>
      <c r="Q469" s="199"/>
      <c r="R469" s="220"/>
      <c r="S469" s="400"/>
      <c r="T469" s="401"/>
      <c r="U469" s="199"/>
      <c r="V469" s="220"/>
      <c r="W469" s="400"/>
      <c r="X469" s="401"/>
      <c r="Y469" s="199"/>
      <c r="Z469" s="220"/>
      <c r="AA469" s="400"/>
      <c r="AB469" s="401"/>
      <c r="AC469" s="199"/>
      <c r="AD469" s="220"/>
      <c r="AE469" s="400"/>
      <c r="AF469" s="401"/>
      <c r="AG469" s="201"/>
      <c r="AH469" s="201"/>
      <c r="AI469" s="201"/>
      <c r="AJ469" s="201"/>
      <c r="AK469" s="397"/>
      <c r="AL469" s="397"/>
      <c r="AM469" s="397"/>
    </row>
    <row r="470">
      <c r="A470" s="316"/>
      <c r="B470" s="317"/>
      <c r="C470" s="318"/>
      <c r="D470" s="397"/>
      <c r="E470" s="316"/>
      <c r="F470" s="317"/>
      <c r="G470" s="318"/>
      <c r="H470" s="397"/>
      <c r="I470" s="316"/>
      <c r="J470" s="317"/>
      <c r="K470" s="318"/>
      <c r="L470" s="397"/>
      <c r="M470" s="316"/>
      <c r="N470" s="317"/>
      <c r="O470" s="318"/>
      <c r="P470" s="397"/>
      <c r="Q470" s="199"/>
      <c r="R470" s="220"/>
      <c r="S470" s="400"/>
      <c r="T470" s="401"/>
      <c r="U470" s="199"/>
      <c r="V470" s="220"/>
      <c r="W470" s="400"/>
      <c r="X470" s="401"/>
      <c r="Y470" s="199"/>
      <c r="Z470" s="220"/>
      <c r="AA470" s="400"/>
      <c r="AB470" s="401"/>
      <c r="AC470" s="199"/>
      <c r="AD470" s="220"/>
      <c r="AE470" s="400"/>
      <c r="AF470" s="401"/>
      <c r="AG470" s="201"/>
      <c r="AH470" s="201"/>
      <c r="AI470" s="201"/>
      <c r="AJ470" s="201"/>
      <c r="AK470" s="397"/>
      <c r="AL470" s="397"/>
      <c r="AM470" s="397"/>
    </row>
    <row r="471">
      <c r="A471" s="316"/>
      <c r="B471" s="317"/>
      <c r="C471" s="318"/>
      <c r="D471" s="397"/>
      <c r="E471" s="316"/>
      <c r="F471" s="317"/>
      <c r="G471" s="318"/>
      <c r="H471" s="397"/>
      <c r="I471" s="316"/>
      <c r="J471" s="317"/>
      <c r="K471" s="318"/>
      <c r="L471" s="397"/>
      <c r="M471" s="316"/>
      <c r="N471" s="317"/>
      <c r="O471" s="318"/>
      <c r="P471" s="397"/>
      <c r="Q471" s="199"/>
      <c r="R471" s="220"/>
      <c r="S471" s="400"/>
      <c r="T471" s="401"/>
      <c r="U471" s="199"/>
      <c r="V471" s="220"/>
      <c r="W471" s="400"/>
      <c r="X471" s="401"/>
      <c r="Y471" s="199"/>
      <c r="Z471" s="220"/>
      <c r="AA471" s="400"/>
      <c r="AB471" s="401"/>
      <c r="AC471" s="199"/>
      <c r="AD471" s="220"/>
      <c r="AE471" s="400"/>
      <c r="AF471" s="401"/>
      <c r="AG471" s="201"/>
      <c r="AH471" s="201"/>
      <c r="AI471" s="201"/>
      <c r="AJ471" s="201"/>
      <c r="AK471" s="397"/>
      <c r="AL471" s="397"/>
      <c r="AM471" s="397"/>
    </row>
    <row r="472">
      <c r="A472" s="316"/>
      <c r="B472" s="317"/>
      <c r="C472" s="318"/>
      <c r="D472" s="397"/>
      <c r="E472" s="316"/>
      <c r="F472" s="317"/>
      <c r="G472" s="318"/>
      <c r="H472" s="397"/>
      <c r="I472" s="316"/>
      <c r="J472" s="317"/>
      <c r="K472" s="318"/>
      <c r="L472" s="397"/>
      <c r="M472" s="316"/>
      <c r="N472" s="317"/>
      <c r="O472" s="318"/>
      <c r="P472" s="397"/>
      <c r="Q472" s="199"/>
      <c r="R472" s="220"/>
      <c r="S472" s="400"/>
      <c r="T472" s="401"/>
      <c r="U472" s="199"/>
      <c r="V472" s="220"/>
      <c r="W472" s="400"/>
      <c r="X472" s="401"/>
      <c r="Y472" s="199"/>
      <c r="Z472" s="220"/>
      <c r="AA472" s="400"/>
      <c r="AB472" s="401"/>
      <c r="AC472" s="199"/>
      <c r="AD472" s="220"/>
      <c r="AE472" s="400"/>
      <c r="AF472" s="401"/>
      <c r="AG472" s="201"/>
      <c r="AH472" s="201"/>
      <c r="AI472" s="201"/>
      <c r="AJ472" s="201"/>
      <c r="AK472" s="397"/>
      <c r="AL472" s="397"/>
      <c r="AM472" s="397"/>
    </row>
    <row r="473">
      <c r="A473" s="316"/>
      <c r="B473" s="317"/>
      <c r="C473" s="318"/>
      <c r="D473" s="397"/>
      <c r="E473" s="316"/>
      <c r="F473" s="317"/>
      <c r="G473" s="318"/>
      <c r="H473" s="397"/>
      <c r="I473" s="316"/>
      <c r="J473" s="317"/>
      <c r="K473" s="318"/>
      <c r="L473" s="397"/>
      <c r="M473" s="316"/>
      <c r="N473" s="317"/>
      <c r="O473" s="318"/>
      <c r="P473" s="397"/>
      <c r="Q473" s="199"/>
      <c r="R473" s="220"/>
      <c r="S473" s="400"/>
      <c r="T473" s="401"/>
      <c r="U473" s="199"/>
      <c r="V473" s="220"/>
      <c r="W473" s="400"/>
      <c r="X473" s="401"/>
      <c r="Y473" s="199"/>
      <c r="Z473" s="220"/>
      <c r="AA473" s="400"/>
      <c r="AB473" s="401"/>
      <c r="AC473" s="199"/>
      <c r="AD473" s="220"/>
      <c r="AE473" s="400"/>
      <c r="AF473" s="401"/>
      <c r="AG473" s="201"/>
      <c r="AH473" s="201"/>
      <c r="AI473" s="201"/>
      <c r="AJ473" s="201"/>
      <c r="AK473" s="397"/>
      <c r="AL473" s="397"/>
      <c r="AM473" s="397"/>
    </row>
    <row r="474">
      <c r="A474" s="316"/>
      <c r="B474" s="317"/>
      <c r="C474" s="318"/>
      <c r="D474" s="397"/>
      <c r="E474" s="316"/>
      <c r="F474" s="317"/>
      <c r="G474" s="318"/>
      <c r="H474" s="397"/>
      <c r="I474" s="316"/>
      <c r="J474" s="317"/>
      <c r="K474" s="318"/>
      <c r="L474" s="397"/>
      <c r="M474" s="316"/>
      <c r="N474" s="317"/>
      <c r="O474" s="318"/>
      <c r="P474" s="397"/>
      <c r="Q474" s="199"/>
      <c r="R474" s="220"/>
      <c r="S474" s="400"/>
      <c r="T474" s="401"/>
      <c r="U474" s="199"/>
      <c r="V474" s="220"/>
      <c r="W474" s="400"/>
      <c r="X474" s="401"/>
      <c r="Y474" s="199"/>
      <c r="Z474" s="220"/>
      <c r="AA474" s="400"/>
      <c r="AB474" s="401"/>
      <c r="AC474" s="199"/>
      <c r="AD474" s="220"/>
      <c r="AE474" s="400"/>
      <c r="AF474" s="401"/>
      <c r="AG474" s="201"/>
      <c r="AH474" s="201"/>
      <c r="AI474" s="201"/>
      <c r="AJ474" s="201"/>
      <c r="AK474" s="397"/>
      <c r="AL474" s="397"/>
      <c r="AM474" s="397"/>
    </row>
    <row r="475">
      <c r="A475" s="316"/>
      <c r="B475" s="317"/>
      <c r="C475" s="318"/>
      <c r="D475" s="397"/>
      <c r="E475" s="316"/>
      <c r="F475" s="317"/>
      <c r="G475" s="318"/>
      <c r="H475" s="397"/>
      <c r="I475" s="316"/>
      <c r="J475" s="317"/>
      <c r="K475" s="318"/>
      <c r="L475" s="397"/>
      <c r="M475" s="316"/>
      <c r="N475" s="317"/>
      <c r="O475" s="318"/>
      <c r="P475" s="397"/>
      <c r="Q475" s="199"/>
      <c r="R475" s="220"/>
      <c r="S475" s="400"/>
      <c r="T475" s="401"/>
      <c r="U475" s="199"/>
      <c r="V475" s="220"/>
      <c r="W475" s="400"/>
      <c r="X475" s="401"/>
      <c r="Y475" s="199"/>
      <c r="Z475" s="220"/>
      <c r="AA475" s="400"/>
      <c r="AB475" s="401"/>
      <c r="AC475" s="199"/>
      <c r="AD475" s="220"/>
      <c r="AE475" s="400"/>
      <c r="AF475" s="401"/>
      <c r="AG475" s="201"/>
      <c r="AH475" s="201"/>
      <c r="AI475" s="201"/>
      <c r="AJ475" s="201"/>
      <c r="AK475" s="397"/>
      <c r="AL475" s="397"/>
      <c r="AM475" s="397"/>
    </row>
    <row r="476">
      <c r="A476" s="316"/>
      <c r="B476" s="317"/>
      <c r="C476" s="318"/>
      <c r="D476" s="397"/>
      <c r="E476" s="316"/>
      <c r="F476" s="317"/>
      <c r="G476" s="318"/>
      <c r="H476" s="397"/>
      <c r="I476" s="316"/>
      <c r="J476" s="317"/>
      <c r="K476" s="318"/>
      <c r="L476" s="397"/>
      <c r="M476" s="316"/>
      <c r="N476" s="317"/>
      <c r="O476" s="318"/>
      <c r="P476" s="397"/>
      <c r="Q476" s="199"/>
      <c r="R476" s="220"/>
      <c r="S476" s="400"/>
      <c r="T476" s="401"/>
      <c r="U476" s="199"/>
      <c r="V476" s="220"/>
      <c r="W476" s="400"/>
      <c r="X476" s="401"/>
      <c r="Y476" s="199"/>
      <c r="Z476" s="220"/>
      <c r="AA476" s="400"/>
      <c r="AB476" s="401"/>
      <c r="AC476" s="199"/>
      <c r="AD476" s="220"/>
      <c r="AE476" s="400"/>
      <c r="AF476" s="401"/>
      <c r="AG476" s="201"/>
      <c r="AH476" s="201"/>
      <c r="AI476" s="201"/>
      <c r="AJ476" s="201"/>
      <c r="AK476" s="397"/>
      <c r="AL476" s="397"/>
      <c r="AM476" s="397"/>
    </row>
    <row r="477">
      <c r="A477" s="316"/>
      <c r="B477" s="317"/>
      <c r="C477" s="318"/>
      <c r="D477" s="397"/>
      <c r="E477" s="316"/>
      <c r="F477" s="317"/>
      <c r="G477" s="318"/>
      <c r="H477" s="397"/>
      <c r="I477" s="316"/>
      <c r="J477" s="317"/>
      <c r="K477" s="318"/>
      <c r="L477" s="397"/>
      <c r="M477" s="316"/>
      <c r="N477" s="317"/>
      <c r="O477" s="318"/>
      <c r="P477" s="397"/>
      <c r="Q477" s="199"/>
      <c r="R477" s="220"/>
      <c r="S477" s="400"/>
      <c r="T477" s="401"/>
      <c r="U477" s="199"/>
      <c r="V477" s="220"/>
      <c r="W477" s="400"/>
      <c r="X477" s="401"/>
      <c r="Y477" s="199"/>
      <c r="Z477" s="220"/>
      <c r="AA477" s="400"/>
      <c r="AB477" s="401"/>
      <c r="AC477" s="199"/>
      <c r="AD477" s="220"/>
      <c r="AE477" s="400"/>
      <c r="AF477" s="401"/>
      <c r="AG477" s="201"/>
      <c r="AH477" s="201"/>
      <c r="AI477" s="201"/>
      <c r="AJ477" s="201"/>
      <c r="AK477" s="397"/>
      <c r="AL477" s="397"/>
      <c r="AM477" s="397"/>
    </row>
    <row r="478">
      <c r="A478" s="316"/>
      <c r="B478" s="317"/>
      <c r="C478" s="318"/>
      <c r="D478" s="397"/>
      <c r="E478" s="316"/>
      <c r="F478" s="317"/>
      <c r="G478" s="318"/>
      <c r="H478" s="397"/>
      <c r="I478" s="316"/>
      <c r="J478" s="317"/>
      <c r="K478" s="318"/>
      <c r="L478" s="397"/>
      <c r="M478" s="316"/>
      <c r="N478" s="317"/>
      <c r="O478" s="318"/>
      <c r="P478" s="397"/>
      <c r="Q478" s="199"/>
      <c r="R478" s="220"/>
      <c r="S478" s="400"/>
      <c r="T478" s="401"/>
      <c r="U478" s="199"/>
      <c r="V478" s="220"/>
      <c r="W478" s="400"/>
      <c r="X478" s="401"/>
      <c r="Y478" s="199"/>
      <c r="Z478" s="220"/>
      <c r="AA478" s="400"/>
      <c r="AB478" s="401"/>
      <c r="AC478" s="199"/>
      <c r="AD478" s="220"/>
      <c r="AE478" s="400"/>
      <c r="AF478" s="401"/>
      <c r="AG478" s="201"/>
      <c r="AH478" s="201"/>
      <c r="AI478" s="201"/>
      <c r="AJ478" s="201"/>
      <c r="AK478" s="397"/>
      <c r="AL478" s="397"/>
      <c r="AM478" s="397"/>
    </row>
    <row r="479">
      <c r="A479" s="316"/>
      <c r="B479" s="317"/>
      <c r="C479" s="318"/>
      <c r="D479" s="397"/>
      <c r="E479" s="316"/>
      <c r="F479" s="317"/>
      <c r="G479" s="318"/>
      <c r="H479" s="397"/>
      <c r="I479" s="316"/>
      <c r="J479" s="317"/>
      <c r="K479" s="318"/>
      <c r="L479" s="397"/>
      <c r="M479" s="316"/>
      <c r="N479" s="317"/>
      <c r="O479" s="318"/>
      <c r="P479" s="397"/>
      <c r="Q479" s="199"/>
      <c r="R479" s="220"/>
      <c r="S479" s="400"/>
      <c r="T479" s="401"/>
      <c r="U479" s="199"/>
      <c r="V479" s="220"/>
      <c r="W479" s="400"/>
      <c r="X479" s="401"/>
      <c r="Y479" s="199"/>
      <c r="Z479" s="220"/>
      <c r="AA479" s="400"/>
      <c r="AB479" s="401"/>
      <c r="AC479" s="199"/>
      <c r="AD479" s="220"/>
      <c r="AE479" s="400"/>
      <c r="AF479" s="401"/>
      <c r="AG479" s="201"/>
      <c r="AH479" s="201"/>
      <c r="AI479" s="201"/>
      <c r="AJ479" s="201"/>
      <c r="AK479" s="397"/>
      <c r="AL479" s="397"/>
      <c r="AM479" s="397"/>
    </row>
    <row r="480">
      <c r="A480" s="316"/>
      <c r="B480" s="317"/>
      <c r="C480" s="318"/>
      <c r="D480" s="397"/>
      <c r="E480" s="316"/>
      <c r="F480" s="317"/>
      <c r="G480" s="318"/>
      <c r="H480" s="397"/>
      <c r="I480" s="316"/>
      <c r="J480" s="317"/>
      <c r="K480" s="318"/>
      <c r="L480" s="397"/>
      <c r="M480" s="316"/>
      <c r="N480" s="317"/>
      <c r="O480" s="318"/>
      <c r="P480" s="397"/>
      <c r="Q480" s="199"/>
      <c r="R480" s="220"/>
      <c r="S480" s="400"/>
      <c r="T480" s="401"/>
      <c r="U480" s="199"/>
      <c r="V480" s="220"/>
      <c r="W480" s="400"/>
      <c r="X480" s="401"/>
      <c r="Y480" s="199"/>
      <c r="Z480" s="220"/>
      <c r="AA480" s="400"/>
      <c r="AB480" s="401"/>
      <c r="AC480" s="199"/>
      <c r="AD480" s="220"/>
      <c r="AE480" s="400"/>
      <c r="AF480" s="401"/>
      <c r="AG480" s="201"/>
      <c r="AH480" s="201"/>
      <c r="AI480" s="201"/>
      <c r="AJ480" s="201"/>
      <c r="AK480" s="397"/>
      <c r="AL480" s="397"/>
      <c r="AM480" s="397"/>
    </row>
    <row r="481">
      <c r="A481" s="316"/>
      <c r="B481" s="317"/>
      <c r="C481" s="318"/>
      <c r="D481" s="397"/>
      <c r="E481" s="316"/>
      <c r="F481" s="317"/>
      <c r="G481" s="318"/>
      <c r="H481" s="397"/>
      <c r="I481" s="316"/>
      <c r="J481" s="317"/>
      <c r="K481" s="318"/>
      <c r="L481" s="397"/>
      <c r="M481" s="316"/>
      <c r="N481" s="317"/>
      <c r="O481" s="318"/>
      <c r="P481" s="397"/>
      <c r="Q481" s="199"/>
      <c r="R481" s="220"/>
      <c r="S481" s="400"/>
      <c r="T481" s="401"/>
      <c r="U481" s="199"/>
      <c r="V481" s="220"/>
      <c r="W481" s="400"/>
      <c r="X481" s="401"/>
      <c r="Y481" s="199"/>
      <c r="Z481" s="220"/>
      <c r="AA481" s="400"/>
      <c r="AB481" s="401"/>
      <c r="AC481" s="199"/>
      <c r="AD481" s="220"/>
      <c r="AE481" s="400"/>
      <c r="AF481" s="401"/>
      <c r="AG481" s="201"/>
      <c r="AH481" s="201"/>
      <c r="AI481" s="201"/>
      <c r="AJ481" s="201"/>
      <c r="AK481" s="397"/>
      <c r="AL481" s="397"/>
      <c r="AM481" s="397"/>
    </row>
    <row r="482">
      <c r="A482" s="316"/>
      <c r="B482" s="317"/>
      <c r="C482" s="318"/>
      <c r="D482" s="397"/>
      <c r="E482" s="316"/>
      <c r="F482" s="317"/>
      <c r="G482" s="318"/>
      <c r="H482" s="397"/>
      <c r="I482" s="316"/>
      <c r="J482" s="317"/>
      <c r="K482" s="318"/>
      <c r="L482" s="397"/>
      <c r="M482" s="316"/>
      <c r="N482" s="317"/>
      <c r="O482" s="318"/>
      <c r="P482" s="397"/>
      <c r="Q482" s="199"/>
      <c r="R482" s="220"/>
      <c r="S482" s="400"/>
      <c r="T482" s="401"/>
      <c r="U482" s="199"/>
      <c r="V482" s="220"/>
      <c r="W482" s="400"/>
      <c r="X482" s="401"/>
      <c r="Y482" s="199"/>
      <c r="Z482" s="220"/>
      <c r="AA482" s="400"/>
      <c r="AB482" s="401"/>
      <c r="AC482" s="199"/>
      <c r="AD482" s="220"/>
      <c r="AE482" s="400"/>
      <c r="AF482" s="401"/>
      <c r="AG482" s="201"/>
      <c r="AH482" s="201"/>
      <c r="AI482" s="201"/>
      <c r="AJ482" s="201"/>
      <c r="AK482" s="397"/>
      <c r="AL482" s="397"/>
      <c r="AM482" s="397"/>
    </row>
    <row r="483">
      <c r="A483" s="316"/>
      <c r="B483" s="317"/>
      <c r="C483" s="318"/>
      <c r="D483" s="397"/>
      <c r="E483" s="316"/>
      <c r="F483" s="317"/>
      <c r="G483" s="318"/>
      <c r="H483" s="397"/>
      <c r="I483" s="316"/>
      <c r="J483" s="317"/>
      <c r="K483" s="318"/>
      <c r="L483" s="397"/>
      <c r="M483" s="316"/>
      <c r="N483" s="317"/>
      <c r="O483" s="318"/>
      <c r="P483" s="397"/>
      <c r="Q483" s="199"/>
      <c r="R483" s="220"/>
      <c r="S483" s="400"/>
      <c r="T483" s="401"/>
      <c r="U483" s="199"/>
      <c r="V483" s="220"/>
      <c r="W483" s="400"/>
      <c r="X483" s="401"/>
      <c r="Y483" s="199"/>
      <c r="Z483" s="220"/>
      <c r="AA483" s="400"/>
      <c r="AB483" s="401"/>
      <c r="AC483" s="199"/>
      <c r="AD483" s="220"/>
      <c r="AE483" s="400"/>
      <c r="AF483" s="401"/>
      <c r="AG483" s="201"/>
      <c r="AH483" s="201"/>
      <c r="AI483" s="201"/>
      <c r="AJ483" s="201"/>
      <c r="AK483" s="397"/>
      <c r="AL483" s="397"/>
      <c r="AM483" s="397"/>
    </row>
    <row r="484">
      <c r="A484" s="316"/>
      <c r="B484" s="317"/>
      <c r="C484" s="318"/>
      <c r="D484" s="397"/>
      <c r="E484" s="316"/>
      <c r="F484" s="317"/>
      <c r="G484" s="318"/>
      <c r="H484" s="397"/>
      <c r="I484" s="316"/>
      <c r="J484" s="317"/>
      <c r="K484" s="318"/>
      <c r="L484" s="397"/>
      <c r="M484" s="316"/>
      <c r="N484" s="317"/>
      <c r="O484" s="318"/>
      <c r="P484" s="397"/>
      <c r="Q484" s="199"/>
      <c r="R484" s="220"/>
      <c r="S484" s="400"/>
      <c r="T484" s="401"/>
      <c r="U484" s="199"/>
      <c r="V484" s="220"/>
      <c r="W484" s="400"/>
      <c r="X484" s="401"/>
      <c r="Y484" s="199"/>
      <c r="Z484" s="220"/>
      <c r="AA484" s="400"/>
      <c r="AB484" s="401"/>
      <c r="AC484" s="199"/>
      <c r="AD484" s="220"/>
      <c r="AE484" s="400"/>
      <c r="AF484" s="401"/>
      <c r="AG484" s="201"/>
      <c r="AH484" s="201"/>
      <c r="AI484" s="201"/>
      <c r="AJ484" s="201"/>
      <c r="AK484" s="397"/>
      <c r="AL484" s="397"/>
      <c r="AM484" s="397"/>
    </row>
    <row r="485">
      <c r="A485" s="316"/>
      <c r="B485" s="317"/>
      <c r="C485" s="318"/>
      <c r="D485" s="397"/>
      <c r="E485" s="316"/>
      <c r="F485" s="317"/>
      <c r="G485" s="318"/>
      <c r="H485" s="397"/>
      <c r="I485" s="316"/>
      <c r="J485" s="317"/>
      <c r="K485" s="318"/>
      <c r="L485" s="397"/>
      <c r="M485" s="316"/>
      <c r="N485" s="317"/>
      <c r="O485" s="318"/>
      <c r="P485" s="397"/>
      <c r="Q485" s="199"/>
      <c r="R485" s="220"/>
      <c r="S485" s="400"/>
      <c r="T485" s="401"/>
      <c r="U485" s="199"/>
      <c r="V485" s="220"/>
      <c r="W485" s="400"/>
      <c r="X485" s="401"/>
      <c r="Y485" s="199"/>
      <c r="Z485" s="220"/>
      <c r="AA485" s="400"/>
      <c r="AB485" s="401"/>
      <c r="AC485" s="199"/>
      <c r="AD485" s="220"/>
      <c r="AE485" s="400"/>
      <c r="AF485" s="401"/>
      <c r="AG485" s="201"/>
      <c r="AH485" s="201"/>
      <c r="AI485" s="201"/>
      <c r="AJ485" s="201"/>
      <c r="AK485" s="397"/>
      <c r="AL485" s="397"/>
      <c r="AM485" s="397"/>
    </row>
    <row r="486">
      <c r="A486" s="316"/>
      <c r="B486" s="317"/>
      <c r="C486" s="318"/>
      <c r="D486" s="397"/>
      <c r="E486" s="316"/>
      <c r="F486" s="317"/>
      <c r="G486" s="318"/>
      <c r="H486" s="397"/>
      <c r="I486" s="316"/>
      <c r="J486" s="317"/>
      <c r="K486" s="318"/>
      <c r="L486" s="397"/>
      <c r="M486" s="316"/>
      <c r="N486" s="317"/>
      <c r="O486" s="318"/>
      <c r="P486" s="397"/>
      <c r="Q486" s="199"/>
      <c r="R486" s="220"/>
      <c r="S486" s="400"/>
      <c r="T486" s="401"/>
      <c r="U486" s="199"/>
      <c r="V486" s="220"/>
      <c r="W486" s="400"/>
      <c r="X486" s="401"/>
      <c r="Y486" s="199"/>
      <c r="Z486" s="220"/>
      <c r="AA486" s="400"/>
      <c r="AB486" s="401"/>
      <c r="AC486" s="199"/>
      <c r="AD486" s="220"/>
      <c r="AE486" s="400"/>
      <c r="AF486" s="401"/>
      <c r="AG486" s="201"/>
      <c r="AH486" s="201"/>
      <c r="AI486" s="201"/>
      <c r="AJ486" s="201"/>
      <c r="AK486" s="397"/>
      <c r="AL486" s="397"/>
      <c r="AM486" s="397"/>
    </row>
    <row r="487">
      <c r="A487" s="316"/>
      <c r="B487" s="317"/>
      <c r="C487" s="318"/>
      <c r="D487" s="397"/>
      <c r="E487" s="316"/>
      <c r="F487" s="317"/>
      <c r="G487" s="318"/>
      <c r="H487" s="397"/>
      <c r="I487" s="316"/>
      <c r="J487" s="317"/>
      <c r="K487" s="318"/>
      <c r="L487" s="397"/>
      <c r="M487" s="316"/>
      <c r="N487" s="317"/>
      <c r="O487" s="318"/>
      <c r="P487" s="397"/>
      <c r="Q487" s="199"/>
      <c r="R487" s="220"/>
      <c r="S487" s="400"/>
      <c r="T487" s="401"/>
      <c r="U487" s="199"/>
      <c r="V487" s="220"/>
      <c r="W487" s="400"/>
      <c r="X487" s="401"/>
      <c r="Y487" s="199"/>
      <c r="Z487" s="220"/>
      <c r="AA487" s="400"/>
      <c r="AB487" s="401"/>
      <c r="AC487" s="199"/>
      <c r="AD487" s="220"/>
      <c r="AE487" s="400"/>
      <c r="AF487" s="401"/>
      <c r="AG487" s="201"/>
      <c r="AH487" s="201"/>
      <c r="AI487" s="201"/>
      <c r="AJ487" s="201"/>
      <c r="AK487" s="397"/>
      <c r="AL487" s="397"/>
      <c r="AM487" s="397"/>
    </row>
    <row r="488">
      <c r="A488" s="316"/>
      <c r="B488" s="317"/>
      <c r="C488" s="318"/>
      <c r="D488" s="397"/>
      <c r="E488" s="316"/>
      <c r="F488" s="317"/>
      <c r="G488" s="318"/>
      <c r="H488" s="397"/>
      <c r="I488" s="316"/>
      <c r="J488" s="317"/>
      <c r="K488" s="318"/>
      <c r="L488" s="397"/>
      <c r="M488" s="316"/>
      <c r="N488" s="317"/>
      <c r="O488" s="318"/>
      <c r="P488" s="397"/>
      <c r="Q488" s="199"/>
      <c r="R488" s="220"/>
      <c r="S488" s="400"/>
      <c r="T488" s="401"/>
      <c r="U488" s="199"/>
      <c r="V488" s="220"/>
      <c r="W488" s="400"/>
      <c r="X488" s="401"/>
      <c r="Y488" s="199"/>
      <c r="Z488" s="220"/>
      <c r="AA488" s="400"/>
      <c r="AB488" s="401"/>
      <c r="AC488" s="199"/>
      <c r="AD488" s="220"/>
      <c r="AE488" s="400"/>
      <c r="AF488" s="401"/>
      <c r="AG488" s="201"/>
      <c r="AH488" s="201"/>
      <c r="AI488" s="201"/>
      <c r="AJ488" s="201"/>
      <c r="AK488" s="397"/>
      <c r="AL488" s="397"/>
      <c r="AM488" s="397"/>
    </row>
    <row r="489">
      <c r="A489" s="316"/>
      <c r="B489" s="317"/>
      <c r="C489" s="318"/>
      <c r="D489" s="397"/>
      <c r="E489" s="316"/>
      <c r="F489" s="317"/>
      <c r="G489" s="318"/>
      <c r="H489" s="397"/>
      <c r="I489" s="316"/>
      <c r="J489" s="317"/>
      <c r="K489" s="318"/>
      <c r="L489" s="397"/>
      <c r="M489" s="316"/>
      <c r="N489" s="317"/>
      <c r="O489" s="318"/>
      <c r="P489" s="397"/>
      <c r="Q489" s="199"/>
      <c r="R489" s="220"/>
      <c r="S489" s="400"/>
      <c r="T489" s="401"/>
      <c r="U489" s="199"/>
      <c r="V489" s="220"/>
      <c r="W489" s="400"/>
      <c r="X489" s="401"/>
      <c r="Y489" s="199"/>
      <c r="Z489" s="220"/>
      <c r="AA489" s="400"/>
      <c r="AB489" s="401"/>
      <c r="AC489" s="199"/>
      <c r="AD489" s="220"/>
      <c r="AE489" s="400"/>
      <c r="AF489" s="401"/>
      <c r="AG489" s="201"/>
      <c r="AH489" s="201"/>
      <c r="AI489" s="201"/>
      <c r="AJ489" s="201"/>
      <c r="AK489" s="397"/>
      <c r="AL489" s="397"/>
      <c r="AM489" s="397"/>
    </row>
    <row r="490">
      <c r="A490" s="316"/>
      <c r="B490" s="317"/>
      <c r="C490" s="318"/>
      <c r="D490" s="397"/>
      <c r="E490" s="316"/>
      <c r="F490" s="317"/>
      <c r="G490" s="318"/>
      <c r="H490" s="397"/>
      <c r="I490" s="316"/>
      <c r="J490" s="317"/>
      <c r="K490" s="318"/>
      <c r="L490" s="397"/>
      <c r="M490" s="316"/>
      <c r="N490" s="317"/>
      <c r="O490" s="318"/>
      <c r="P490" s="397"/>
      <c r="Q490" s="199"/>
      <c r="R490" s="220"/>
      <c r="S490" s="400"/>
      <c r="T490" s="401"/>
      <c r="U490" s="199"/>
      <c r="V490" s="220"/>
      <c r="W490" s="400"/>
      <c r="X490" s="401"/>
      <c r="Y490" s="199"/>
      <c r="Z490" s="220"/>
      <c r="AA490" s="400"/>
      <c r="AB490" s="401"/>
      <c r="AC490" s="199"/>
      <c r="AD490" s="220"/>
      <c r="AE490" s="400"/>
      <c r="AF490" s="401"/>
      <c r="AG490" s="201"/>
      <c r="AH490" s="201"/>
      <c r="AI490" s="201"/>
      <c r="AJ490" s="201"/>
      <c r="AK490" s="397"/>
      <c r="AL490" s="397"/>
      <c r="AM490" s="397"/>
    </row>
    <row r="491">
      <c r="A491" s="316"/>
      <c r="B491" s="317"/>
      <c r="C491" s="318"/>
      <c r="D491" s="397"/>
      <c r="E491" s="316"/>
      <c r="F491" s="317"/>
      <c r="G491" s="318"/>
      <c r="H491" s="397"/>
      <c r="I491" s="316"/>
      <c r="J491" s="317"/>
      <c r="K491" s="318"/>
      <c r="L491" s="397"/>
      <c r="M491" s="316"/>
      <c r="N491" s="317"/>
      <c r="O491" s="318"/>
      <c r="P491" s="397"/>
      <c r="Q491" s="199"/>
      <c r="R491" s="220"/>
      <c r="S491" s="400"/>
      <c r="T491" s="401"/>
      <c r="U491" s="199"/>
      <c r="V491" s="220"/>
      <c r="W491" s="400"/>
      <c r="X491" s="401"/>
      <c r="Y491" s="199"/>
      <c r="Z491" s="220"/>
      <c r="AA491" s="400"/>
      <c r="AB491" s="401"/>
      <c r="AC491" s="199"/>
      <c r="AD491" s="220"/>
      <c r="AE491" s="400"/>
      <c r="AF491" s="401"/>
      <c r="AG491" s="201"/>
      <c r="AH491" s="201"/>
      <c r="AI491" s="201"/>
      <c r="AJ491" s="201"/>
      <c r="AK491" s="397"/>
      <c r="AL491" s="397"/>
      <c r="AM491" s="397"/>
    </row>
    <row r="492">
      <c r="A492" s="316"/>
      <c r="B492" s="317"/>
      <c r="C492" s="318"/>
      <c r="D492" s="397"/>
      <c r="E492" s="316"/>
      <c r="F492" s="317"/>
      <c r="G492" s="318"/>
      <c r="H492" s="397"/>
      <c r="I492" s="316"/>
      <c r="J492" s="317"/>
      <c r="K492" s="318"/>
      <c r="L492" s="397"/>
      <c r="M492" s="316"/>
      <c r="N492" s="317"/>
      <c r="O492" s="318"/>
      <c r="P492" s="397"/>
      <c r="Q492" s="199"/>
      <c r="R492" s="220"/>
      <c r="S492" s="400"/>
      <c r="T492" s="401"/>
      <c r="U492" s="199"/>
      <c r="V492" s="220"/>
      <c r="W492" s="400"/>
      <c r="X492" s="401"/>
      <c r="Y492" s="199"/>
      <c r="Z492" s="220"/>
      <c r="AA492" s="400"/>
      <c r="AB492" s="401"/>
      <c r="AC492" s="199"/>
      <c r="AD492" s="220"/>
      <c r="AE492" s="400"/>
      <c r="AF492" s="401"/>
      <c r="AG492" s="201"/>
      <c r="AH492" s="201"/>
      <c r="AI492" s="201"/>
      <c r="AJ492" s="201"/>
      <c r="AK492" s="397"/>
      <c r="AL492" s="397"/>
      <c r="AM492" s="397"/>
    </row>
    <row r="493">
      <c r="A493" s="316"/>
      <c r="B493" s="317"/>
      <c r="C493" s="318"/>
      <c r="D493" s="397"/>
      <c r="E493" s="316"/>
      <c r="F493" s="317"/>
      <c r="G493" s="318"/>
      <c r="H493" s="397"/>
      <c r="I493" s="316"/>
      <c r="J493" s="317"/>
      <c r="K493" s="318"/>
      <c r="L493" s="397"/>
      <c r="M493" s="316"/>
      <c r="N493" s="317"/>
      <c r="O493" s="318"/>
      <c r="P493" s="397"/>
      <c r="Q493" s="199"/>
      <c r="R493" s="220"/>
      <c r="S493" s="400"/>
      <c r="T493" s="401"/>
      <c r="U493" s="199"/>
      <c r="V493" s="220"/>
      <c r="W493" s="400"/>
      <c r="X493" s="401"/>
      <c r="Y493" s="199"/>
      <c r="Z493" s="220"/>
      <c r="AA493" s="400"/>
      <c r="AB493" s="401"/>
      <c r="AC493" s="199"/>
      <c r="AD493" s="220"/>
      <c r="AE493" s="400"/>
      <c r="AF493" s="401"/>
      <c r="AG493" s="201"/>
      <c r="AH493" s="201"/>
      <c r="AI493" s="201"/>
      <c r="AJ493" s="201"/>
      <c r="AK493" s="397"/>
      <c r="AL493" s="397"/>
      <c r="AM493" s="397"/>
    </row>
    <row r="494">
      <c r="A494" s="316"/>
      <c r="B494" s="317"/>
      <c r="C494" s="318"/>
      <c r="D494" s="397"/>
      <c r="E494" s="316"/>
      <c r="F494" s="317"/>
      <c r="G494" s="318"/>
      <c r="H494" s="397"/>
      <c r="I494" s="316"/>
      <c r="J494" s="317"/>
      <c r="K494" s="318"/>
      <c r="L494" s="397"/>
      <c r="M494" s="316"/>
      <c r="N494" s="317"/>
      <c r="O494" s="318"/>
      <c r="P494" s="397"/>
      <c r="Q494" s="199"/>
      <c r="R494" s="220"/>
      <c r="S494" s="400"/>
      <c r="T494" s="401"/>
      <c r="U494" s="199"/>
      <c r="V494" s="220"/>
      <c r="W494" s="400"/>
      <c r="X494" s="401"/>
      <c r="Y494" s="199"/>
      <c r="Z494" s="220"/>
      <c r="AA494" s="400"/>
      <c r="AB494" s="401"/>
      <c r="AC494" s="199"/>
      <c r="AD494" s="220"/>
      <c r="AE494" s="400"/>
      <c r="AF494" s="401"/>
      <c r="AG494" s="201"/>
      <c r="AH494" s="201"/>
      <c r="AI494" s="201"/>
      <c r="AJ494" s="201"/>
      <c r="AK494" s="397"/>
      <c r="AL494" s="397"/>
      <c r="AM494" s="397"/>
    </row>
    <row r="495">
      <c r="A495" s="316"/>
      <c r="B495" s="317"/>
      <c r="C495" s="318"/>
      <c r="D495" s="397"/>
      <c r="E495" s="316"/>
      <c r="F495" s="317"/>
      <c r="G495" s="318"/>
      <c r="H495" s="397"/>
      <c r="I495" s="316"/>
      <c r="J495" s="317"/>
      <c r="K495" s="318"/>
      <c r="L495" s="397"/>
      <c r="M495" s="316"/>
      <c r="N495" s="317"/>
      <c r="O495" s="318"/>
      <c r="P495" s="397"/>
      <c r="Q495" s="199"/>
      <c r="R495" s="220"/>
      <c r="S495" s="400"/>
      <c r="T495" s="401"/>
      <c r="U495" s="199"/>
      <c r="V495" s="220"/>
      <c r="W495" s="400"/>
      <c r="X495" s="401"/>
      <c r="Y495" s="199"/>
      <c r="Z495" s="220"/>
      <c r="AA495" s="400"/>
      <c r="AB495" s="401"/>
      <c r="AC495" s="199"/>
      <c r="AD495" s="220"/>
      <c r="AE495" s="400"/>
      <c r="AF495" s="401"/>
      <c r="AG495" s="201"/>
      <c r="AH495" s="201"/>
      <c r="AI495" s="201"/>
      <c r="AJ495" s="201"/>
      <c r="AK495" s="397"/>
      <c r="AL495" s="397"/>
      <c r="AM495" s="397"/>
    </row>
    <row r="496">
      <c r="A496" s="316"/>
      <c r="B496" s="317"/>
      <c r="C496" s="318"/>
      <c r="D496" s="397"/>
      <c r="E496" s="316"/>
      <c r="F496" s="317"/>
      <c r="G496" s="318"/>
      <c r="H496" s="397"/>
      <c r="I496" s="316"/>
      <c r="J496" s="317"/>
      <c r="K496" s="318"/>
      <c r="L496" s="397"/>
      <c r="M496" s="316"/>
      <c r="N496" s="317"/>
      <c r="O496" s="318"/>
      <c r="P496" s="397"/>
      <c r="Q496" s="199"/>
      <c r="R496" s="220"/>
      <c r="S496" s="400"/>
      <c r="T496" s="401"/>
      <c r="U496" s="199"/>
      <c r="V496" s="220"/>
      <c r="W496" s="400"/>
      <c r="X496" s="401"/>
      <c r="Y496" s="199"/>
      <c r="Z496" s="220"/>
      <c r="AA496" s="400"/>
      <c r="AB496" s="401"/>
      <c r="AC496" s="199"/>
      <c r="AD496" s="220"/>
      <c r="AE496" s="400"/>
      <c r="AF496" s="401"/>
      <c r="AG496" s="201"/>
      <c r="AH496" s="201"/>
      <c r="AI496" s="201"/>
      <c r="AJ496" s="201"/>
      <c r="AK496" s="397"/>
      <c r="AL496" s="397"/>
      <c r="AM496" s="397"/>
    </row>
    <row r="497">
      <c r="A497" s="316"/>
      <c r="B497" s="317"/>
      <c r="C497" s="318"/>
      <c r="D497" s="397"/>
      <c r="E497" s="316"/>
      <c r="F497" s="317"/>
      <c r="G497" s="318"/>
      <c r="H497" s="397"/>
      <c r="I497" s="316"/>
      <c r="J497" s="317"/>
      <c r="K497" s="318"/>
      <c r="L497" s="397"/>
      <c r="M497" s="316"/>
      <c r="N497" s="317"/>
      <c r="O497" s="318"/>
      <c r="P497" s="397"/>
      <c r="Q497" s="199"/>
      <c r="R497" s="220"/>
      <c r="S497" s="400"/>
      <c r="T497" s="401"/>
      <c r="U497" s="199"/>
      <c r="V497" s="220"/>
      <c r="W497" s="400"/>
      <c r="X497" s="401"/>
      <c r="Y497" s="199"/>
      <c r="Z497" s="220"/>
      <c r="AA497" s="400"/>
      <c r="AB497" s="401"/>
      <c r="AC497" s="199"/>
      <c r="AD497" s="220"/>
      <c r="AE497" s="400"/>
      <c r="AF497" s="401"/>
      <c r="AG497" s="201"/>
      <c r="AH497" s="201"/>
      <c r="AI497" s="201"/>
      <c r="AJ497" s="201"/>
      <c r="AK497" s="397"/>
      <c r="AL497" s="397"/>
      <c r="AM497" s="397"/>
    </row>
    <row r="498">
      <c r="A498" s="316"/>
      <c r="B498" s="317"/>
      <c r="C498" s="318"/>
      <c r="D498" s="397"/>
      <c r="E498" s="316"/>
      <c r="F498" s="317"/>
      <c r="G498" s="318"/>
      <c r="H498" s="397"/>
      <c r="I498" s="316"/>
      <c r="J498" s="317"/>
      <c r="K498" s="318"/>
      <c r="L498" s="397"/>
      <c r="M498" s="316"/>
      <c r="N498" s="317"/>
      <c r="O498" s="318"/>
      <c r="P498" s="397"/>
      <c r="Q498" s="199"/>
      <c r="R498" s="220"/>
      <c r="S498" s="400"/>
      <c r="T498" s="401"/>
      <c r="U498" s="199"/>
      <c r="V498" s="220"/>
      <c r="W498" s="400"/>
      <c r="X498" s="401"/>
      <c r="Y498" s="199"/>
      <c r="Z498" s="220"/>
      <c r="AA498" s="400"/>
      <c r="AB498" s="401"/>
      <c r="AC498" s="199"/>
      <c r="AD498" s="220"/>
      <c r="AE498" s="400"/>
      <c r="AF498" s="401"/>
      <c r="AG498" s="201"/>
      <c r="AH498" s="201"/>
      <c r="AI498" s="201"/>
      <c r="AJ498" s="201"/>
      <c r="AK498" s="397"/>
      <c r="AL498" s="397"/>
      <c r="AM498" s="397"/>
    </row>
    <row r="499">
      <c r="A499" s="316"/>
      <c r="B499" s="317"/>
      <c r="C499" s="318"/>
      <c r="D499" s="397"/>
      <c r="E499" s="316"/>
      <c r="F499" s="317"/>
      <c r="G499" s="318"/>
      <c r="H499" s="397"/>
      <c r="I499" s="316"/>
      <c r="J499" s="317"/>
      <c r="K499" s="318"/>
      <c r="L499" s="397"/>
      <c r="M499" s="316"/>
      <c r="N499" s="317"/>
      <c r="O499" s="318"/>
      <c r="P499" s="397"/>
      <c r="Q499" s="199"/>
      <c r="R499" s="220"/>
      <c r="S499" s="400"/>
      <c r="T499" s="401"/>
      <c r="U499" s="199"/>
      <c r="V499" s="220"/>
      <c r="W499" s="400"/>
      <c r="X499" s="401"/>
      <c r="Y499" s="199"/>
      <c r="Z499" s="220"/>
      <c r="AA499" s="400"/>
      <c r="AB499" s="401"/>
      <c r="AC499" s="199"/>
      <c r="AD499" s="220"/>
      <c r="AE499" s="400"/>
      <c r="AF499" s="401"/>
      <c r="AG499" s="201"/>
      <c r="AH499" s="201"/>
      <c r="AI499" s="201"/>
      <c r="AJ499" s="201"/>
      <c r="AK499" s="397"/>
      <c r="AL499" s="397"/>
      <c r="AM499" s="397"/>
    </row>
    <row r="500">
      <c r="A500" s="316"/>
      <c r="B500" s="317"/>
      <c r="C500" s="318"/>
      <c r="D500" s="397"/>
      <c r="E500" s="316"/>
      <c r="F500" s="317"/>
      <c r="G500" s="318"/>
      <c r="H500" s="397"/>
      <c r="I500" s="316"/>
      <c r="J500" s="317"/>
      <c r="K500" s="318"/>
      <c r="L500" s="397"/>
      <c r="M500" s="316"/>
      <c r="N500" s="317"/>
      <c r="O500" s="318"/>
      <c r="P500" s="397"/>
      <c r="Q500" s="199"/>
      <c r="R500" s="220"/>
      <c r="S500" s="400"/>
      <c r="T500" s="401"/>
      <c r="U500" s="199"/>
      <c r="V500" s="220"/>
      <c r="W500" s="400"/>
      <c r="X500" s="401"/>
      <c r="Y500" s="199"/>
      <c r="Z500" s="220"/>
      <c r="AA500" s="400"/>
      <c r="AB500" s="401"/>
      <c r="AC500" s="199"/>
      <c r="AD500" s="220"/>
      <c r="AE500" s="400"/>
      <c r="AF500" s="401"/>
      <c r="AG500" s="201"/>
      <c r="AH500" s="201"/>
      <c r="AI500" s="201"/>
      <c r="AJ500" s="201"/>
      <c r="AK500" s="397"/>
      <c r="AL500" s="397"/>
      <c r="AM500" s="397"/>
    </row>
    <row r="501">
      <c r="A501" s="316"/>
      <c r="B501" s="317"/>
      <c r="C501" s="318"/>
      <c r="D501" s="397"/>
      <c r="E501" s="316"/>
      <c r="F501" s="317"/>
      <c r="G501" s="318"/>
      <c r="H501" s="397"/>
      <c r="I501" s="316"/>
      <c r="J501" s="317"/>
      <c r="K501" s="318"/>
      <c r="L501" s="397"/>
      <c r="M501" s="316"/>
      <c r="N501" s="317"/>
      <c r="O501" s="318"/>
      <c r="P501" s="397"/>
      <c r="Q501" s="199"/>
      <c r="R501" s="220"/>
      <c r="S501" s="400"/>
      <c r="T501" s="401"/>
      <c r="U501" s="199"/>
      <c r="V501" s="220"/>
      <c r="W501" s="400"/>
      <c r="X501" s="401"/>
      <c r="Y501" s="199"/>
      <c r="Z501" s="220"/>
      <c r="AA501" s="400"/>
      <c r="AB501" s="401"/>
      <c r="AC501" s="199"/>
      <c r="AD501" s="220"/>
      <c r="AE501" s="400"/>
      <c r="AF501" s="401"/>
      <c r="AG501" s="201"/>
      <c r="AH501" s="201"/>
      <c r="AI501" s="201"/>
      <c r="AJ501" s="201"/>
      <c r="AK501" s="397"/>
      <c r="AL501" s="397"/>
      <c r="AM501" s="397"/>
    </row>
    <row r="502">
      <c r="A502" s="316"/>
      <c r="B502" s="317"/>
      <c r="C502" s="318"/>
      <c r="D502" s="397"/>
      <c r="E502" s="316"/>
      <c r="F502" s="317"/>
      <c r="G502" s="318"/>
      <c r="H502" s="397"/>
      <c r="I502" s="316"/>
      <c r="J502" s="317"/>
      <c r="K502" s="318"/>
      <c r="L502" s="397"/>
      <c r="M502" s="316"/>
      <c r="N502" s="317"/>
      <c r="O502" s="318"/>
      <c r="P502" s="397"/>
      <c r="Q502" s="199"/>
      <c r="R502" s="220"/>
      <c r="S502" s="400"/>
      <c r="T502" s="401"/>
      <c r="U502" s="199"/>
      <c r="V502" s="220"/>
      <c r="W502" s="400"/>
      <c r="X502" s="401"/>
      <c r="Y502" s="199"/>
      <c r="Z502" s="220"/>
      <c r="AA502" s="400"/>
      <c r="AB502" s="401"/>
      <c r="AC502" s="199"/>
      <c r="AD502" s="220"/>
      <c r="AE502" s="400"/>
      <c r="AF502" s="401"/>
      <c r="AG502" s="201"/>
      <c r="AH502" s="201"/>
      <c r="AI502" s="201"/>
      <c r="AJ502" s="201"/>
      <c r="AK502" s="397"/>
      <c r="AL502" s="397"/>
      <c r="AM502" s="397"/>
    </row>
    <row r="503">
      <c r="A503" s="316"/>
      <c r="B503" s="317"/>
      <c r="C503" s="318"/>
      <c r="D503" s="397"/>
      <c r="E503" s="316"/>
      <c r="F503" s="317"/>
      <c r="G503" s="318"/>
      <c r="H503" s="397"/>
      <c r="I503" s="316"/>
      <c r="J503" s="317"/>
      <c r="K503" s="318"/>
      <c r="L503" s="397"/>
      <c r="M503" s="316"/>
      <c r="N503" s="317"/>
      <c r="O503" s="318"/>
      <c r="P503" s="397"/>
      <c r="Q503" s="199"/>
      <c r="R503" s="220"/>
      <c r="S503" s="400"/>
      <c r="T503" s="401"/>
      <c r="U503" s="199"/>
      <c r="V503" s="220"/>
      <c r="W503" s="400"/>
      <c r="X503" s="401"/>
      <c r="Y503" s="199"/>
      <c r="Z503" s="220"/>
      <c r="AA503" s="400"/>
      <c r="AB503" s="401"/>
      <c r="AC503" s="199"/>
      <c r="AD503" s="220"/>
      <c r="AE503" s="400"/>
      <c r="AF503" s="401"/>
      <c r="AG503" s="201"/>
      <c r="AH503" s="201"/>
      <c r="AI503" s="201"/>
      <c r="AJ503" s="201"/>
      <c r="AK503" s="397"/>
      <c r="AL503" s="397"/>
      <c r="AM503" s="397"/>
    </row>
    <row r="504">
      <c r="A504" s="316"/>
      <c r="B504" s="317"/>
      <c r="C504" s="318"/>
      <c r="D504" s="397"/>
      <c r="E504" s="316"/>
      <c r="F504" s="317"/>
      <c r="G504" s="318"/>
      <c r="H504" s="397"/>
      <c r="I504" s="316"/>
      <c r="J504" s="317"/>
      <c r="K504" s="318"/>
      <c r="L504" s="397"/>
      <c r="M504" s="316"/>
      <c r="N504" s="317"/>
      <c r="O504" s="318"/>
      <c r="P504" s="397"/>
      <c r="Q504" s="199"/>
      <c r="R504" s="220"/>
      <c r="S504" s="400"/>
      <c r="T504" s="401"/>
      <c r="U504" s="199"/>
      <c r="V504" s="220"/>
      <c r="W504" s="400"/>
      <c r="X504" s="401"/>
      <c r="Y504" s="199"/>
      <c r="Z504" s="220"/>
      <c r="AA504" s="400"/>
      <c r="AB504" s="401"/>
      <c r="AC504" s="199"/>
      <c r="AD504" s="220"/>
      <c r="AE504" s="400"/>
      <c r="AF504" s="401"/>
      <c r="AG504" s="201"/>
      <c r="AH504" s="201"/>
      <c r="AI504" s="201"/>
      <c r="AJ504" s="201"/>
      <c r="AK504" s="397"/>
      <c r="AL504" s="397"/>
      <c r="AM504" s="397"/>
    </row>
    <row r="505">
      <c r="A505" s="316"/>
      <c r="B505" s="317"/>
      <c r="C505" s="318"/>
      <c r="D505" s="397"/>
      <c r="E505" s="316"/>
      <c r="F505" s="317"/>
      <c r="G505" s="318"/>
      <c r="H505" s="397"/>
      <c r="I505" s="316"/>
      <c r="J505" s="317"/>
      <c r="K505" s="318"/>
      <c r="L505" s="397"/>
      <c r="M505" s="316"/>
      <c r="N505" s="317"/>
      <c r="O505" s="318"/>
      <c r="P505" s="397"/>
      <c r="Q505" s="199"/>
      <c r="R505" s="220"/>
      <c r="S505" s="400"/>
      <c r="T505" s="401"/>
      <c r="U505" s="199"/>
      <c r="V505" s="220"/>
      <c r="W505" s="400"/>
      <c r="X505" s="401"/>
      <c r="Y505" s="199"/>
      <c r="Z505" s="220"/>
      <c r="AA505" s="400"/>
      <c r="AB505" s="401"/>
      <c r="AC505" s="199"/>
      <c r="AD505" s="220"/>
      <c r="AE505" s="400"/>
      <c r="AF505" s="401"/>
      <c r="AG505" s="201"/>
      <c r="AH505" s="201"/>
      <c r="AI505" s="201"/>
      <c r="AJ505" s="201"/>
      <c r="AK505" s="397"/>
      <c r="AL505" s="397"/>
      <c r="AM505" s="397"/>
    </row>
    <row r="506">
      <c r="A506" s="316"/>
      <c r="B506" s="317"/>
      <c r="C506" s="318"/>
      <c r="D506" s="397"/>
      <c r="E506" s="316"/>
      <c r="F506" s="317"/>
      <c r="G506" s="318"/>
      <c r="H506" s="397"/>
      <c r="I506" s="316"/>
      <c r="J506" s="317"/>
      <c r="K506" s="318"/>
      <c r="L506" s="397"/>
      <c r="M506" s="316"/>
      <c r="N506" s="317"/>
      <c r="O506" s="318"/>
      <c r="P506" s="397"/>
      <c r="Q506" s="199"/>
      <c r="R506" s="220"/>
      <c r="S506" s="400"/>
      <c r="T506" s="401"/>
      <c r="U506" s="199"/>
      <c r="V506" s="220"/>
      <c r="W506" s="400"/>
      <c r="X506" s="401"/>
      <c r="Y506" s="199"/>
      <c r="Z506" s="220"/>
      <c r="AA506" s="400"/>
      <c r="AB506" s="401"/>
      <c r="AC506" s="199"/>
      <c r="AD506" s="220"/>
      <c r="AE506" s="400"/>
      <c r="AF506" s="401"/>
      <c r="AG506" s="201"/>
      <c r="AH506" s="201"/>
      <c r="AI506" s="201"/>
      <c r="AJ506" s="201"/>
      <c r="AK506" s="397"/>
      <c r="AL506" s="397"/>
      <c r="AM506" s="397"/>
    </row>
    <row r="507">
      <c r="A507" s="316"/>
      <c r="B507" s="317"/>
      <c r="C507" s="318"/>
      <c r="D507" s="397"/>
      <c r="E507" s="316"/>
      <c r="F507" s="317"/>
      <c r="G507" s="318"/>
      <c r="H507" s="397"/>
      <c r="I507" s="316"/>
      <c r="J507" s="317"/>
      <c r="K507" s="318"/>
      <c r="L507" s="397"/>
      <c r="M507" s="316"/>
      <c r="N507" s="317"/>
      <c r="O507" s="318"/>
      <c r="P507" s="397"/>
      <c r="Q507" s="199"/>
      <c r="R507" s="220"/>
      <c r="S507" s="400"/>
      <c r="T507" s="401"/>
      <c r="U507" s="199"/>
      <c r="V507" s="220"/>
      <c r="W507" s="400"/>
      <c r="X507" s="401"/>
      <c r="Y507" s="199"/>
      <c r="Z507" s="220"/>
      <c r="AA507" s="400"/>
      <c r="AB507" s="401"/>
      <c r="AC507" s="199"/>
      <c r="AD507" s="220"/>
      <c r="AE507" s="400"/>
      <c r="AF507" s="401"/>
      <c r="AG507" s="201"/>
      <c r="AH507" s="201"/>
      <c r="AI507" s="201"/>
      <c r="AJ507" s="201"/>
      <c r="AK507" s="397"/>
      <c r="AL507" s="397"/>
      <c r="AM507" s="397"/>
    </row>
    <row r="508">
      <c r="A508" s="316"/>
      <c r="B508" s="317"/>
      <c r="C508" s="318"/>
      <c r="D508" s="397"/>
      <c r="E508" s="316"/>
      <c r="F508" s="317"/>
      <c r="G508" s="318"/>
      <c r="H508" s="397"/>
      <c r="I508" s="316"/>
      <c r="J508" s="317"/>
      <c r="K508" s="318"/>
      <c r="L508" s="397"/>
      <c r="M508" s="316"/>
      <c r="N508" s="317"/>
      <c r="O508" s="318"/>
      <c r="P508" s="397"/>
      <c r="Q508" s="199"/>
      <c r="R508" s="220"/>
      <c r="S508" s="400"/>
      <c r="T508" s="401"/>
      <c r="U508" s="199"/>
      <c r="V508" s="220"/>
      <c r="W508" s="400"/>
      <c r="X508" s="401"/>
      <c r="Y508" s="199"/>
      <c r="Z508" s="220"/>
      <c r="AA508" s="400"/>
      <c r="AB508" s="401"/>
      <c r="AC508" s="199"/>
      <c r="AD508" s="220"/>
      <c r="AE508" s="400"/>
      <c r="AF508" s="401"/>
      <c r="AG508" s="201"/>
      <c r="AH508" s="201"/>
      <c r="AI508" s="201"/>
      <c r="AJ508" s="201"/>
      <c r="AK508" s="397"/>
      <c r="AL508" s="397"/>
      <c r="AM508" s="397"/>
    </row>
    <row r="509">
      <c r="A509" s="316"/>
      <c r="B509" s="317"/>
      <c r="C509" s="318"/>
      <c r="D509" s="397"/>
      <c r="E509" s="316"/>
      <c r="F509" s="317"/>
      <c r="G509" s="318"/>
      <c r="H509" s="397"/>
      <c r="I509" s="316"/>
      <c r="J509" s="317"/>
      <c r="K509" s="318"/>
      <c r="L509" s="397"/>
      <c r="M509" s="316"/>
      <c r="N509" s="317"/>
      <c r="O509" s="318"/>
      <c r="P509" s="397"/>
      <c r="Q509" s="199"/>
      <c r="R509" s="220"/>
      <c r="S509" s="400"/>
      <c r="T509" s="401"/>
      <c r="U509" s="199"/>
      <c r="V509" s="220"/>
      <c r="W509" s="400"/>
      <c r="X509" s="401"/>
      <c r="Y509" s="199"/>
      <c r="Z509" s="220"/>
      <c r="AA509" s="400"/>
      <c r="AB509" s="401"/>
      <c r="AC509" s="199"/>
      <c r="AD509" s="220"/>
      <c r="AE509" s="400"/>
      <c r="AF509" s="401"/>
      <c r="AG509" s="201"/>
      <c r="AH509" s="201"/>
      <c r="AI509" s="201"/>
      <c r="AJ509" s="201"/>
      <c r="AK509" s="397"/>
      <c r="AL509" s="397"/>
      <c r="AM509" s="397"/>
    </row>
    <row r="510">
      <c r="A510" s="316"/>
      <c r="B510" s="317"/>
      <c r="C510" s="318"/>
      <c r="D510" s="397"/>
      <c r="E510" s="316"/>
      <c r="F510" s="317"/>
      <c r="G510" s="318"/>
      <c r="H510" s="397"/>
      <c r="I510" s="316"/>
      <c r="J510" s="317"/>
      <c r="K510" s="318"/>
      <c r="L510" s="397"/>
      <c r="M510" s="316"/>
      <c r="N510" s="317"/>
      <c r="O510" s="318"/>
      <c r="P510" s="397"/>
      <c r="Q510" s="199"/>
      <c r="R510" s="220"/>
      <c r="S510" s="400"/>
      <c r="T510" s="401"/>
      <c r="U510" s="199"/>
      <c r="V510" s="220"/>
      <c r="W510" s="400"/>
      <c r="X510" s="401"/>
      <c r="Y510" s="199"/>
      <c r="Z510" s="220"/>
      <c r="AA510" s="400"/>
      <c r="AB510" s="401"/>
      <c r="AC510" s="199"/>
      <c r="AD510" s="220"/>
      <c r="AE510" s="400"/>
      <c r="AF510" s="401"/>
      <c r="AG510" s="201"/>
      <c r="AH510" s="201"/>
      <c r="AI510" s="201"/>
      <c r="AJ510" s="201"/>
      <c r="AK510" s="397"/>
      <c r="AL510" s="397"/>
      <c r="AM510" s="397"/>
    </row>
    <row r="511">
      <c r="A511" s="316"/>
      <c r="B511" s="317"/>
      <c r="C511" s="318"/>
      <c r="D511" s="397"/>
      <c r="E511" s="316"/>
      <c r="F511" s="317"/>
      <c r="G511" s="318"/>
      <c r="H511" s="397"/>
      <c r="I511" s="316"/>
      <c r="J511" s="317"/>
      <c r="K511" s="318"/>
      <c r="L511" s="397"/>
      <c r="M511" s="316"/>
      <c r="N511" s="317"/>
      <c r="O511" s="318"/>
      <c r="P511" s="397"/>
      <c r="Q511" s="199"/>
      <c r="R511" s="220"/>
      <c r="S511" s="400"/>
      <c r="T511" s="401"/>
      <c r="U511" s="199"/>
      <c r="V511" s="220"/>
      <c r="W511" s="400"/>
      <c r="X511" s="401"/>
      <c r="Y511" s="199"/>
      <c r="Z511" s="220"/>
      <c r="AA511" s="400"/>
      <c r="AB511" s="401"/>
      <c r="AC511" s="199"/>
      <c r="AD511" s="220"/>
      <c r="AE511" s="400"/>
      <c r="AF511" s="401"/>
      <c r="AG511" s="201"/>
      <c r="AH511" s="201"/>
      <c r="AI511" s="201"/>
      <c r="AJ511" s="201"/>
      <c r="AK511" s="397"/>
      <c r="AL511" s="397"/>
      <c r="AM511" s="397"/>
    </row>
    <row r="512">
      <c r="A512" s="316"/>
      <c r="B512" s="317"/>
      <c r="C512" s="318"/>
      <c r="D512" s="397"/>
      <c r="E512" s="316"/>
      <c r="F512" s="317"/>
      <c r="G512" s="318"/>
      <c r="H512" s="397"/>
      <c r="I512" s="316"/>
      <c r="J512" s="317"/>
      <c r="K512" s="318"/>
      <c r="L512" s="397"/>
      <c r="M512" s="316"/>
      <c r="N512" s="317"/>
      <c r="O512" s="318"/>
      <c r="P512" s="397"/>
      <c r="Q512" s="199"/>
      <c r="R512" s="220"/>
      <c r="S512" s="400"/>
      <c r="T512" s="401"/>
      <c r="U512" s="199"/>
      <c r="V512" s="220"/>
      <c r="W512" s="400"/>
      <c r="X512" s="401"/>
      <c r="Y512" s="199"/>
      <c r="Z512" s="220"/>
      <c r="AA512" s="400"/>
      <c r="AB512" s="401"/>
      <c r="AC512" s="199"/>
      <c r="AD512" s="220"/>
      <c r="AE512" s="400"/>
      <c r="AF512" s="401"/>
      <c r="AG512" s="201"/>
      <c r="AH512" s="201"/>
      <c r="AI512" s="201"/>
      <c r="AJ512" s="201"/>
      <c r="AK512" s="397"/>
      <c r="AL512" s="397"/>
      <c r="AM512" s="397"/>
    </row>
    <row r="513">
      <c r="A513" s="316"/>
      <c r="B513" s="317"/>
      <c r="C513" s="318"/>
      <c r="D513" s="397"/>
      <c r="E513" s="316"/>
      <c r="F513" s="317"/>
      <c r="G513" s="318"/>
      <c r="H513" s="397"/>
      <c r="I513" s="316"/>
      <c r="J513" s="317"/>
      <c r="K513" s="318"/>
      <c r="L513" s="397"/>
      <c r="M513" s="316"/>
      <c r="N513" s="317"/>
      <c r="O513" s="318"/>
      <c r="P513" s="397"/>
      <c r="Q513" s="199"/>
      <c r="R513" s="220"/>
      <c r="S513" s="400"/>
      <c r="T513" s="401"/>
      <c r="U513" s="199"/>
      <c r="V513" s="220"/>
      <c r="W513" s="400"/>
      <c r="X513" s="401"/>
      <c r="Y513" s="199"/>
      <c r="Z513" s="220"/>
      <c r="AA513" s="400"/>
      <c r="AB513" s="401"/>
      <c r="AC513" s="199"/>
      <c r="AD513" s="220"/>
      <c r="AE513" s="400"/>
      <c r="AF513" s="401"/>
      <c r="AG513" s="201"/>
      <c r="AH513" s="201"/>
      <c r="AI513" s="201"/>
      <c r="AJ513" s="201"/>
      <c r="AK513" s="397"/>
      <c r="AL513" s="397"/>
      <c r="AM513" s="397"/>
    </row>
    <row r="514">
      <c r="A514" s="316"/>
      <c r="B514" s="317"/>
      <c r="C514" s="318"/>
      <c r="D514" s="397"/>
      <c r="E514" s="316"/>
      <c r="F514" s="317"/>
      <c r="G514" s="318"/>
      <c r="H514" s="397"/>
      <c r="I514" s="316"/>
      <c r="J514" s="317"/>
      <c r="K514" s="318"/>
      <c r="L514" s="397"/>
      <c r="M514" s="316"/>
      <c r="N514" s="317"/>
      <c r="O514" s="318"/>
      <c r="P514" s="397"/>
      <c r="Q514" s="199"/>
      <c r="R514" s="220"/>
      <c r="S514" s="400"/>
      <c r="T514" s="401"/>
      <c r="U514" s="199"/>
      <c r="V514" s="220"/>
      <c r="W514" s="400"/>
      <c r="X514" s="401"/>
      <c r="Y514" s="199"/>
      <c r="Z514" s="220"/>
      <c r="AA514" s="400"/>
      <c r="AB514" s="401"/>
      <c r="AC514" s="199"/>
      <c r="AD514" s="220"/>
      <c r="AE514" s="400"/>
      <c r="AF514" s="401"/>
      <c r="AG514" s="201"/>
      <c r="AH514" s="201"/>
      <c r="AI514" s="201"/>
      <c r="AJ514" s="201"/>
      <c r="AK514" s="397"/>
      <c r="AL514" s="397"/>
      <c r="AM514" s="397"/>
    </row>
    <row r="515">
      <c r="A515" s="316"/>
      <c r="B515" s="317"/>
      <c r="C515" s="318"/>
      <c r="D515" s="397"/>
      <c r="E515" s="316"/>
      <c r="F515" s="317"/>
      <c r="G515" s="318"/>
      <c r="H515" s="397"/>
      <c r="I515" s="316"/>
      <c r="J515" s="317"/>
      <c r="K515" s="318"/>
      <c r="L515" s="397"/>
      <c r="M515" s="316"/>
      <c r="N515" s="317"/>
      <c r="O515" s="318"/>
      <c r="P515" s="397"/>
      <c r="Q515" s="199"/>
      <c r="R515" s="220"/>
      <c r="S515" s="400"/>
      <c r="T515" s="401"/>
      <c r="U515" s="199"/>
      <c r="V515" s="220"/>
      <c r="W515" s="400"/>
      <c r="X515" s="401"/>
      <c r="Y515" s="199"/>
      <c r="Z515" s="220"/>
      <c r="AA515" s="400"/>
      <c r="AB515" s="401"/>
      <c r="AC515" s="199"/>
      <c r="AD515" s="220"/>
      <c r="AE515" s="400"/>
      <c r="AF515" s="401"/>
      <c r="AG515" s="201"/>
      <c r="AH515" s="201"/>
      <c r="AI515" s="201"/>
      <c r="AJ515" s="201"/>
      <c r="AK515" s="397"/>
      <c r="AL515" s="397"/>
      <c r="AM515" s="397"/>
    </row>
    <row r="516">
      <c r="A516" s="316"/>
      <c r="B516" s="317"/>
      <c r="C516" s="318"/>
      <c r="D516" s="397"/>
      <c r="E516" s="316"/>
      <c r="F516" s="317"/>
      <c r="G516" s="318"/>
      <c r="H516" s="397"/>
      <c r="I516" s="316"/>
      <c r="J516" s="317"/>
      <c r="K516" s="318"/>
      <c r="L516" s="397"/>
      <c r="M516" s="316"/>
      <c r="N516" s="317"/>
      <c r="O516" s="318"/>
      <c r="P516" s="397"/>
      <c r="Q516" s="199"/>
      <c r="R516" s="220"/>
      <c r="S516" s="400"/>
      <c r="T516" s="401"/>
      <c r="U516" s="199"/>
      <c r="V516" s="220"/>
      <c r="W516" s="400"/>
      <c r="X516" s="401"/>
      <c r="Y516" s="199"/>
      <c r="Z516" s="220"/>
      <c r="AA516" s="400"/>
      <c r="AB516" s="401"/>
      <c r="AC516" s="199"/>
      <c r="AD516" s="220"/>
      <c r="AE516" s="400"/>
      <c r="AF516" s="401"/>
      <c r="AG516" s="201"/>
      <c r="AH516" s="201"/>
      <c r="AI516" s="201"/>
      <c r="AJ516" s="201"/>
      <c r="AK516" s="397"/>
      <c r="AL516" s="397"/>
      <c r="AM516" s="397"/>
    </row>
    <row r="517">
      <c r="A517" s="316"/>
      <c r="B517" s="317"/>
      <c r="C517" s="318"/>
      <c r="D517" s="397"/>
      <c r="E517" s="316"/>
      <c r="F517" s="317"/>
      <c r="G517" s="318"/>
      <c r="H517" s="397"/>
      <c r="I517" s="316"/>
      <c r="J517" s="317"/>
      <c r="K517" s="318"/>
      <c r="L517" s="397"/>
      <c r="M517" s="316"/>
      <c r="N517" s="317"/>
      <c r="O517" s="318"/>
      <c r="P517" s="397"/>
      <c r="Q517" s="199"/>
      <c r="R517" s="220"/>
      <c r="S517" s="400"/>
      <c r="T517" s="401"/>
      <c r="U517" s="199"/>
      <c r="V517" s="220"/>
      <c r="W517" s="400"/>
      <c r="X517" s="401"/>
      <c r="Y517" s="199"/>
      <c r="Z517" s="220"/>
      <c r="AA517" s="400"/>
      <c r="AB517" s="401"/>
      <c r="AC517" s="199"/>
      <c r="AD517" s="220"/>
      <c r="AE517" s="400"/>
      <c r="AF517" s="401"/>
      <c r="AG517" s="201"/>
      <c r="AH517" s="201"/>
      <c r="AI517" s="201"/>
      <c r="AJ517" s="201"/>
      <c r="AK517" s="397"/>
      <c r="AL517" s="397"/>
      <c r="AM517" s="397"/>
    </row>
    <row r="518">
      <c r="A518" s="316"/>
      <c r="B518" s="317"/>
      <c r="C518" s="318"/>
      <c r="D518" s="397"/>
      <c r="E518" s="316"/>
      <c r="F518" s="317"/>
      <c r="G518" s="318"/>
      <c r="H518" s="397"/>
      <c r="I518" s="316"/>
      <c r="J518" s="317"/>
      <c r="K518" s="318"/>
      <c r="L518" s="397"/>
      <c r="M518" s="316"/>
      <c r="N518" s="317"/>
      <c r="O518" s="318"/>
      <c r="P518" s="397"/>
      <c r="Q518" s="199"/>
      <c r="R518" s="220"/>
      <c r="S518" s="400"/>
      <c r="T518" s="401"/>
      <c r="U518" s="199"/>
      <c r="V518" s="220"/>
      <c r="W518" s="400"/>
      <c r="X518" s="401"/>
      <c r="Y518" s="199"/>
      <c r="Z518" s="220"/>
      <c r="AA518" s="400"/>
      <c r="AB518" s="401"/>
      <c r="AC518" s="199"/>
      <c r="AD518" s="220"/>
      <c r="AE518" s="400"/>
      <c r="AF518" s="401"/>
      <c r="AG518" s="201"/>
      <c r="AH518" s="201"/>
      <c r="AI518" s="201"/>
      <c r="AJ518" s="201"/>
      <c r="AK518" s="397"/>
      <c r="AL518" s="397"/>
      <c r="AM518" s="397"/>
    </row>
    <row r="519">
      <c r="A519" s="316"/>
      <c r="B519" s="317"/>
      <c r="C519" s="318"/>
      <c r="D519" s="397"/>
      <c r="E519" s="316"/>
      <c r="F519" s="317"/>
      <c r="G519" s="318"/>
      <c r="H519" s="397"/>
      <c r="I519" s="316"/>
      <c r="J519" s="317"/>
      <c r="K519" s="318"/>
      <c r="L519" s="397"/>
      <c r="M519" s="316"/>
      <c r="N519" s="317"/>
      <c r="O519" s="318"/>
      <c r="P519" s="397"/>
      <c r="Q519" s="199"/>
      <c r="R519" s="220"/>
      <c r="S519" s="400"/>
      <c r="T519" s="401"/>
      <c r="U519" s="199"/>
      <c r="V519" s="220"/>
      <c r="W519" s="400"/>
      <c r="X519" s="401"/>
      <c r="Y519" s="199"/>
      <c r="Z519" s="220"/>
      <c r="AA519" s="400"/>
      <c r="AB519" s="401"/>
      <c r="AC519" s="199"/>
      <c r="AD519" s="220"/>
      <c r="AE519" s="400"/>
      <c r="AF519" s="401"/>
      <c r="AG519" s="201"/>
      <c r="AH519" s="201"/>
      <c r="AI519" s="201"/>
      <c r="AJ519" s="201"/>
      <c r="AK519" s="397"/>
      <c r="AL519" s="397"/>
      <c r="AM519" s="397"/>
    </row>
    <row r="520">
      <c r="A520" s="316"/>
      <c r="B520" s="317"/>
      <c r="C520" s="318"/>
      <c r="D520" s="397"/>
      <c r="E520" s="316"/>
      <c r="F520" s="317"/>
      <c r="G520" s="318"/>
      <c r="H520" s="397"/>
      <c r="I520" s="316"/>
      <c r="J520" s="317"/>
      <c r="K520" s="318"/>
      <c r="L520" s="397"/>
      <c r="M520" s="316"/>
      <c r="N520" s="317"/>
      <c r="O520" s="318"/>
      <c r="P520" s="397"/>
      <c r="Q520" s="199"/>
      <c r="R520" s="220"/>
      <c r="S520" s="400"/>
      <c r="T520" s="401"/>
      <c r="U520" s="199"/>
      <c r="V520" s="220"/>
      <c r="W520" s="400"/>
      <c r="X520" s="401"/>
      <c r="Y520" s="199"/>
      <c r="Z520" s="220"/>
      <c r="AA520" s="400"/>
      <c r="AB520" s="401"/>
      <c r="AC520" s="199"/>
      <c r="AD520" s="220"/>
      <c r="AE520" s="400"/>
      <c r="AF520" s="401"/>
      <c r="AG520" s="201"/>
      <c r="AH520" s="201"/>
      <c r="AI520" s="201"/>
      <c r="AJ520" s="201"/>
      <c r="AK520" s="397"/>
      <c r="AL520" s="397"/>
      <c r="AM520" s="397"/>
    </row>
    <row r="521">
      <c r="A521" s="316"/>
      <c r="B521" s="317"/>
      <c r="C521" s="318"/>
      <c r="D521" s="397"/>
      <c r="E521" s="316"/>
      <c r="F521" s="317"/>
      <c r="G521" s="318"/>
      <c r="H521" s="397"/>
      <c r="I521" s="316"/>
      <c r="J521" s="317"/>
      <c r="K521" s="318"/>
      <c r="L521" s="397"/>
      <c r="M521" s="316"/>
      <c r="N521" s="317"/>
      <c r="O521" s="318"/>
      <c r="P521" s="397"/>
      <c r="Q521" s="199"/>
      <c r="R521" s="220"/>
      <c r="S521" s="400"/>
      <c r="T521" s="401"/>
      <c r="U521" s="199"/>
      <c r="V521" s="220"/>
      <c r="W521" s="400"/>
      <c r="X521" s="401"/>
      <c r="Y521" s="199"/>
      <c r="Z521" s="220"/>
      <c r="AA521" s="400"/>
      <c r="AB521" s="401"/>
      <c r="AC521" s="199"/>
      <c r="AD521" s="220"/>
      <c r="AE521" s="400"/>
      <c r="AF521" s="401"/>
      <c r="AG521" s="201"/>
      <c r="AH521" s="201"/>
      <c r="AI521" s="201"/>
      <c r="AJ521" s="201"/>
      <c r="AK521" s="397"/>
      <c r="AL521" s="397"/>
      <c r="AM521" s="397"/>
    </row>
    <row r="522">
      <c r="A522" s="316"/>
      <c r="B522" s="317"/>
      <c r="C522" s="318"/>
      <c r="D522" s="397"/>
      <c r="E522" s="316"/>
      <c r="F522" s="317"/>
      <c r="G522" s="318"/>
      <c r="H522" s="397"/>
      <c r="I522" s="316"/>
      <c r="J522" s="317"/>
      <c r="K522" s="318"/>
      <c r="L522" s="397"/>
      <c r="M522" s="316"/>
      <c r="N522" s="317"/>
      <c r="O522" s="318"/>
      <c r="P522" s="397"/>
      <c r="Q522" s="199"/>
      <c r="R522" s="220"/>
      <c r="S522" s="400"/>
      <c r="T522" s="401"/>
      <c r="U522" s="199"/>
      <c r="V522" s="220"/>
      <c r="W522" s="400"/>
      <c r="X522" s="401"/>
      <c r="Y522" s="199"/>
      <c r="Z522" s="220"/>
      <c r="AA522" s="400"/>
      <c r="AB522" s="401"/>
      <c r="AC522" s="199"/>
      <c r="AD522" s="220"/>
      <c r="AE522" s="400"/>
      <c r="AF522" s="401"/>
      <c r="AG522" s="201"/>
      <c r="AH522" s="201"/>
      <c r="AI522" s="201"/>
      <c r="AJ522" s="201"/>
      <c r="AK522" s="397"/>
      <c r="AL522" s="397"/>
      <c r="AM522" s="397"/>
    </row>
    <row r="523">
      <c r="A523" s="316"/>
      <c r="B523" s="317"/>
      <c r="C523" s="318"/>
      <c r="D523" s="397"/>
      <c r="E523" s="316"/>
      <c r="F523" s="317"/>
      <c r="G523" s="318"/>
      <c r="H523" s="397"/>
      <c r="I523" s="316"/>
      <c r="J523" s="317"/>
      <c r="K523" s="318"/>
      <c r="L523" s="397"/>
      <c r="M523" s="316"/>
      <c r="N523" s="317"/>
      <c r="O523" s="318"/>
      <c r="P523" s="397"/>
      <c r="Q523" s="199"/>
      <c r="R523" s="220"/>
      <c r="S523" s="400"/>
      <c r="T523" s="401"/>
      <c r="U523" s="199"/>
      <c r="V523" s="220"/>
      <c r="W523" s="400"/>
      <c r="X523" s="401"/>
      <c r="Y523" s="199"/>
      <c r="Z523" s="220"/>
      <c r="AA523" s="400"/>
      <c r="AB523" s="401"/>
      <c r="AC523" s="199"/>
      <c r="AD523" s="220"/>
      <c r="AE523" s="400"/>
      <c r="AF523" s="401"/>
      <c r="AG523" s="201"/>
      <c r="AH523" s="201"/>
      <c r="AI523" s="201"/>
      <c r="AJ523" s="201"/>
      <c r="AK523" s="397"/>
      <c r="AL523" s="397"/>
      <c r="AM523" s="397"/>
    </row>
    <row r="524">
      <c r="A524" s="316"/>
      <c r="B524" s="317"/>
      <c r="C524" s="318"/>
      <c r="D524" s="397"/>
      <c r="E524" s="316"/>
      <c r="F524" s="317"/>
      <c r="G524" s="318"/>
      <c r="H524" s="397"/>
      <c r="I524" s="316"/>
      <c r="J524" s="317"/>
      <c r="K524" s="318"/>
      <c r="L524" s="397"/>
      <c r="M524" s="316"/>
      <c r="N524" s="317"/>
      <c r="O524" s="318"/>
      <c r="P524" s="397"/>
      <c r="Q524" s="199"/>
      <c r="R524" s="220"/>
      <c r="S524" s="400"/>
      <c r="T524" s="401"/>
      <c r="U524" s="199"/>
      <c r="V524" s="220"/>
      <c r="W524" s="400"/>
      <c r="X524" s="401"/>
      <c r="Y524" s="199"/>
      <c r="Z524" s="220"/>
      <c r="AA524" s="400"/>
      <c r="AB524" s="401"/>
      <c r="AC524" s="199"/>
      <c r="AD524" s="220"/>
      <c r="AE524" s="400"/>
      <c r="AF524" s="401"/>
      <c r="AG524" s="201"/>
      <c r="AH524" s="201"/>
      <c r="AI524" s="201"/>
      <c r="AJ524" s="201"/>
      <c r="AK524" s="397"/>
      <c r="AL524" s="397"/>
      <c r="AM524" s="397"/>
    </row>
    <row r="525">
      <c r="A525" s="316"/>
      <c r="B525" s="317"/>
      <c r="C525" s="318"/>
      <c r="D525" s="397"/>
      <c r="E525" s="316"/>
      <c r="F525" s="317"/>
      <c r="G525" s="318"/>
      <c r="H525" s="397"/>
      <c r="I525" s="316"/>
      <c r="J525" s="317"/>
      <c r="K525" s="318"/>
      <c r="L525" s="397"/>
      <c r="M525" s="316"/>
      <c r="N525" s="317"/>
      <c r="O525" s="318"/>
      <c r="P525" s="397"/>
      <c r="Q525" s="199"/>
      <c r="R525" s="220"/>
      <c r="S525" s="400"/>
      <c r="T525" s="401"/>
      <c r="U525" s="199"/>
      <c r="V525" s="220"/>
      <c r="W525" s="400"/>
      <c r="X525" s="401"/>
      <c r="Y525" s="199"/>
      <c r="Z525" s="220"/>
      <c r="AA525" s="400"/>
      <c r="AB525" s="401"/>
      <c r="AC525" s="199"/>
      <c r="AD525" s="220"/>
      <c r="AE525" s="400"/>
      <c r="AF525" s="401"/>
      <c r="AG525" s="201"/>
      <c r="AH525" s="201"/>
      <c r="AI525" s="201"/>
      <c r="AJ525" s="201"/>
      <c r="AK525" s="397"/>
      <c r="AL525" s="397"/>
      <c r="AM525" s="397"/>
    </row>
    <row r="526">
      <c r="A526" s="316"/>
      <c r="B526" s="317"/>
      <c r="C526" s="318"/>
      <c r="D526" s="397"/>
      <c r="E526" s="316"/>
      <c r="F526" s="317"/>
      <c r="G526" s="318"/>
      <c r="H526" s="397"/>
      <c r="I526" s="316"/>
      <c r="J526" s="317"/>
      <c r="K526" s="318"/>
      <c r="L526" s="397"/>
      <c r="M526" s="316"/>
      <c r="N526" s="317"/>
      <c r="O526" s="318"/>
      <c r="P526" s="397"/>
      <c r="Q526" s="199"/>
      <c r="R526" s="220"/>
      <c r="S526" s="400"/>
      <c r="T526" s="401"/>
      <c r="U526" s="199"/>
      <c r="V526" s="220"/>
      <c r="W526" s="400"/>
      <c r="X526" s="401"/>
      <c r="Y526" s="199"/>
      <c r="Z526" s="220"/>
      <c r="AA526" s="400"/>
      <c r="AB526" s="401"/>
      <c r="AC526" s="199"/>
      <c r="AD526" s="220"/>
      <c r="AE526" s="400"/>
      <c r="AF526" s="401"/>
      <c r="AG526" s="201"/>
      <c r="AH526" s="201"/>
      <c r="AI526" s="201"/>
      <c r="AJ526" s="201"/>
      <c r="AK526" s="397"/>
      <c r="AL526" s="397"/>
      <c r="AM526" s="397"/>
    </row>
    <row r="527">
      <c r="A527" s="316"/>
      <c r="B527" s="317"/>
      <c r="C527" s="318"/>
      <c r="D527" s="397"/>
      <c r="E527" s="316"/>
      <c r="F527" s="317"/>
      <c r="G527" s="318"/>
      <c r="H527" s="397"/>
      <c r="I527" s="316"/>
      <c r="J527" s="317"/>
      <c r="K527" s="318"/>
      <c r="L527" s="397"/>
      <c r="M527" s="316"/>
      <c r="N527" s="317"/>
      <c r="O527" s="318"/>
      <c r="P527" s="397"/>
      <c r="Q527" s="199"/>
      <c r="R527" s="220"/>
      <c r="S527" s="400"/>
      <c r="T527" s="401"/>
      <c r="U527" s="199"/>
      <c r="V527" s="220"/>
      <c r="W527" s="400"/>
      <c r="X527" s="401"/>
      <c r="Y527" s="199"/>
      <c r="Z527" s="220"/>
      <c r="AA527" s="400"/>
      <c r="AB527" s="401"/>
      <c r="AC527" s="199"/>
      <c r="AD527" s="220"/>
      <c r="AE527" s="400"/>
      <c r="AF527" s="401"/>
      <c r="AG527" s="201"/>
      <c r="AH527" s="201"/>
      <c r="AI527" s="201"/>
      <c r="AJ527" s="201"/>
      <c r="AK527" s="397"/>
      <c r="AL527" s="397"/>
      <c r="AM527" s="397"/>
    </row>
    <row r="528">
      <c r="A528" s="316"/>
      <c r="B528" s="317"/>
      <c r="C528" s="318"/>
      <c r="D528" s="397"/>
      <c r="E528" s="316"/>
      <c r="F528" s="317"/>
      <c r="G528" s="318"/>
      <c r="H528" s="397"/>
      <c r="I528" s="316"/>
      <c r="J528" s="317"/>
      <c r="K528" s="318"/>
      <c r="L528" s="397"/>
      <c r="M528" s="316"/>
      <c r="N528" s="317"/>
      <c r="O528" s="318"/>
      <c r="P528" s="397"/>
      <c r="Q528" s="199"/>
      <c r="R528" s="220"/>
      <c r="S528" s="400"/>
      <c r="T528" s="401"/>
      <c r="U528" s="199"/>
      <c r="V528" s="220"/>
      <c r="W528" s="400"/>
      <c r="X528" s="401"/>
      <c r="Y528" s="199"/>
      <c r="Z528" s="220"/>
      <c r="AA528" s="400"/>
      <c r="AB528" s="401"/>
      <c r="AC528" s="199"/>
      <c r="AD528" s="220"/>
      <c r="AE528" s="400"/>
      <c r="AF528" s="401"/>
      <c r="AG528" s="201"/>
      <c r="AH528" s="201"/>
      <c r="AI528" s="201"/>
      <c r="AJ528" s="201"/>
      <c r="AK528" s="397"/>
      <c r="AL528" s="397"/>
      <c r="AM528" s="397"/>
    </row>
    <row r="529">
      <c r="A529" s="316"/>
      <c r="B529" s="317"/>
      <c r="C529" s="318"/>
      <c r="D529" s="397"/>
      <c r="E529" s="316"/>
      <c r="F529" s="317"/>
      <c r="G529" s="318"/>
      <c r="H529" s="397"/>
      <c r="I529" s="316"/>
      <c r="J529" s="317"/>
      <c r="K529" s="318"/>
      <c r="L529" s="397"/>
      <c r="M529" s="316"/>
      <c r="N529" s="317"/>
      <c r="O529" s="318"/>
      <c r="P529" s="397"/>
      <c r="Q529" s="199"/>
      <c r="R529" s="220"/>
      <c r="S529" s="400"/>
      <c r="T529" s="401"/>
      <c r="U529" s="199"/>
      <c r="V529" s="220"/>
      <c r="W529" s="400"/>
      <c r="X529" s="401"/>
      <c r="Y529" s="199"/>
      <c r="Z529" s="220"/>
      <c r="AA529" s="400"/>
      <c r="AB529" s="401"/>
      <c r="AC529" s="199"/>
      <c r="AD529" s="220"/>
      <c r="AE529" s="400"/>
      <c r="AF529" s="401"/>
      <c r="AG529" s="201"/>
      <c r="AH529" s="201"/>
      <c r="AI529" s="201"/>
      <c r="AJ529" s="201"/>
      <c r="AK529" s="397"/>
      <c r="AL529" s="397"/>
      <c r="AM529" s="397"/>
    </row>
    <row r="530">
      <c r="A530" s="316"/>
      <c r="B530" s="317"/>
      <c r="C530" s="318"/>
      <c r="D530" s="397"/>
      <c r="E530" s="316"/>
      <c r="F530" s="317"/>
      <c r="G530" s="318"/>
      <c r="H530" s="397"/>
      <c r="I530" s="316"/>
      <c r="J530" s="317"/>
      <c r="K530" s="318"/>
      <c r="L530" s="397"/>
      <c r="M530" s="316"/>
      <c r="N530" s="317"/>
      <c r="O530" s="318"/>
      <c r="P530" s="397"/>
      <c r="Q530" s="199"/>
      <c r="R530" s="220"/>
      <c r="S530" s="400"/>
      <c r="T530" s="401"/>
      <c r="U530" s="199"/>
      <c r="V530" s="220"/>
      <c r="W530" s="400"/>
      <c r="X530" s="401"/>
      <c r="Y530" s="199"/>
      <c r="Z530" s="220"/>
      <c r="AA530" s="400"/>
      <c r="AB530" s="401"/>
      <c r="AC530" s="199"/>
      <c r="AD530" s="220"/>
      <c r="AE530" s="400"/>
      <c r="AF530" s="401"/>
      <c r="AG530" s="201"/>
      <c r="AH530" s="201"/>
      <c r="AI530" s="201"/>
      <c r="AJ530" s="201"/>
      <c r="AK530" s="397"/>
      <c r="AL530" s="397"/>
      <c r="AM530" s="397"/>
    </row>
    <row r="531">
      <c r="A531" s="316"/>
      <c r="B531" s="317"/>
      <c r="C531" s="318"/>
      <c r="D531" s="397"/>
      <c r="E531" s="316"/>
      <c r="F531" s="317"/>
      <c r="G531" s="318"/>
      <c r="H531" s="397"/>
      <c r="I531" s="316"/>
      <c r="J531" s="317"/>
      <c r="K531" s="318"/>
      <c r="L531" s="397"/>
      <c r="M531" s="316"/>
      <c r="N531" s="317"/>
      <c r="O531" s="318"/>
      <c r="P531" s="397"/>
      <c r="Q531" s="199"/>
      <c r="R531" s="220"/>
      <c r="S531" s="400"/>
      <c r="T531" s="401"/>
      <c r="U531" s="199"/>
      <c r="V531" s="220"/>
      <c r="W531" s="400"/>
      <c r="X531" s="401"/>
      <c r="Y531" s="199"/>
      <c r="Z531" s="220"/>
      <c r="AA531" s="400"/>
      <c r="AB531" s="401"/>
      <c r="AC531" s="199"/>
      <c r="AD531" s="220"/>
      <c r="AE531" s="400"/>
      <c r="AF531" s="401"/>
      <c r="AG531" s="201"/>
      <c r="AH531" s="201"/>
      <c r="AI531" s="201"/>
      <c r="AJ531" s="201"/>
      <c r="AK531" s="397"/>
      <c r="AL531" s="397"/>
      <c r="AM531" s="397"/>
    </row>
    <row r="532">
      <c r="A532" s="316"/>
      <c r="B532" s="317"/>
      <c r="C532" s="318"/>
      <c r="D532" s="397"/>
      <c r="E532" s="316"/>
      <c r="F532" s="317"/>
      <c r="G532" s="318"/>
      <c r="H532" s="397"/>
      <c r="I532" s="316"/>
      <c r="J532" s="317"/>
      <c r="K532" s="318"/>
      <c r="L532" s="397"/>
      <c r="M532" s="316"/>
      <c r="N532" s="317"/>
      <c r="O532" s="318"/>
      <c r="P532" s="397"/>
      <c r="Q532" s="199"/>
      <c r="R532" s="220"/>
      <c r="S532" s="400"/>
      <c r="T532" s="401"/>
      <c r="U532" s="199"/>
      <c r="V532" s="220"/>
      <c r="W532" s="400"/>
      <c r="X532" s="401"/>
      <c r="Y532" s="199"/>
      <c r="Z532" s="220"/>
      <c r="AA532" s="400"/>
      <c r="AB532" s="401"/>
      <c r="AC532" s="199"/>
      <c r="AD532" s="220"/>
      <c r="AE532" s="400"/>
      <c r="AF532" s="401"/>
      <c r="AG532" s="201"/>
      <c r="AH532" s="201"/>
      <c r="AI532" s="201"/>
      <c r="AJ532" s="201"/>
      <c r="AK532" s="397"/>
      <c r="AL532" s="397"/>
      <c r="AM532" s="397"/>
    </row>
    <row r="533">
      <c r="A533" s="316"/>
      <c r="B533" s="317"/>
      <c r="C533" s="318"/>
      <c r="D533" s="397"/>
      <c r="E533" s="316"/>
      <c r="F533" s="317"/>
      <c r="G533" s="318"/>
      <c r="H533" s="397"/>
      <c r="I533" s="316"/>
      <c r="J533" s="317"/>
      <c r="K533" s="318"/>
      <c r="L533" s="397"/>
      <c r="M533" s="316"/>
      <c r="N533" s="317"/>
      <c r="O533" s="318"/>
      <c r="P533" s="397"/>
      <c r="Q533" s="199"/>
      <c r="R533" s="220"/>
      <c r="S533" s="400"/>
      <c r="T533" s="401"/>
      <c r="U533" s="199"/>
      <c r="V533" s="220"/>
      <c r="W533" s="400"/>
      <c r="X533" s="401"/>
      <c r="Y533" s="199"/>
      <c r="Z533" s="220"/>
      <c r="AA533" s="400"/>
      <c r="AB533" s="401"/>
      <c r="AC533" s="199"/>
      <c r="AD533" s="220"/>
      <c r="AE533" s="400"/>
      <c r="AF533" s="401"/>
      <c r="AG533" s="201"/>
      <c r="AH533" s="201"/>
      <c r="AI533" s="201"/>
      <c r="AJ533" s="201"/>
      <c r="AK533" s="397"/>
      <c r="AL533" s="397"/>
      <c r="AM533" s="397"/>
    </row>
    <row r="534">
      <c r="A534" s="316"/>
      <c r="B534" s="317"/>
      <c r="C534" s="318"/>
      <c r="D534" s="397"/>
      <c r="E534" s="316"/>
      <c r="F534" s="317"/>
      <c r="G534" s="318"/>
      <c r="H534" s="397"/>
      <c r="I534" s="316"/>
      <c r="J534" s="317"/>
      <c r="K534" s="318"/>
      <c r="L534" s="397"/>
      <c r="M534" s="316"/>
      <c r="N534" s="317"/>
      <c r="O534" s="318"/>
      <c r="P534" s="397"/>
      <c r="Q534" s="199"/>
      <c r="R534" s="220"/>
      <c r="S534" s="400"/>
      <c r="T534" s="401"/>
      <c r="U534" s="199"/>
      <c r="V534" s="220"/>
      <c r="W534" s="400"/>
      <c r="X534" s="401"/>
      <c r="Y534" s="199"/>
      <c r="Z534" s="220"/>
      <c r="AA534" s="400"/>
      <c r="AB534" s="401"/>
      <c r="AC534" s="199"/>
      <c r="AD534" s="220"/>
      <c r="AE534" s="400"/>
      <c r="AF534" s="401"/>
      <c r="AG534" s="201"/>
      <c r="AH534" s="201"/>
      <c r="AI534" s="201"/>
      <c r="AJ534" s="201"/>
      <c r="AK534" s="397"/>
      <c r="AL534" s="397"/>
      <c r="AM534" s="397"/>
    </row>
    <row r="535">
      <c r="A535" s="316"/>
      <c r="B535" s="317"/>
      <c r="C535" s="318"/>
      <c r="D535" s="397"/>
      <c r="E535" s="316"/>
      <c r="F535" s="317"/>
      <c r="G535" s="318"/>
      <c r="H535" s="397"/>
      <c r="I535" s="316"/>
      <c r="J535" s="317"/>
      <c r="K535" s="318"/>
      <c r="L535" s="397"/>
      <c r="M535" s="316"/>
      <c r="N535" s="317"/>
      <c r="O535" s="318"/>
      <c r="P535" s="397"/>
      <c r="Q535" s="199"/>
      <c r="R535" s="220"/>
      <c r="S535" s="400"/>
      <c r="T535" s="401"/>
      <c r="U535" s="199"/>
      <c r="V535" s="220"/>
      <c r="W535" s="400"/>
      <c r="X535" s="401"/>
      <c r="Y535" s="199"/>
      <c r="Z535" s="220"/>
      <c r="AA535" s="400"/>
      <c r="AB535" s="401"/>
      <c r="AC535" s="199"/>
      <c r="AD535" s="220"/>
      <c r="AE535" s="400"/>
      <c r="AF535" s="401"/>
      <c r="AG535" s="201"/>
      <c r="AH535" s="201"/>
      <c r="AI535" s="201"/>
      <c r="AJ535" s="201"/>
      <c r="AK535" s="397"/>
      <c r="AL535" s="397"/>
      <c r="AM535" s="397"/>
    </row>
    <row r="536">
      <c r="A536" s="316"/>
      <c r="B536" s="317"/>
      <c r="C536" s="318"/>
      <c r="D536" s="397"/>
      <c r="E536" s="316"/>
      <c r="F536" s="317"/>
      <c r="G536" s="318"/>
      <c r="H536" s="397"/>
      <c r="I536" s="316"/>
      <c r="J536" s="317"/>
      <c r="K536" s="318"/>
      <c r="L536" s="397"/>
      <c r="M536" s="316"/>
      <c r="N536" s="317"/>
      <c r="O536" s="318"/>
      <c r="P536" s="397"/>
      <c r="Q536" s="199"/>
      <c r="R536" s="220"/>
      <c r="S536" s="400"/>
      <c r="T536" s="401"/>
      <c r="U536" s="199"/>
      <c r="V536" s="220"/>
      <c r="W536" s="400"/>
      <c r="X536" s="401"/>
      <c r="Y536" s="199"/>
      <c r="Z536" s="220"/>
      <c r="AA536" s="400"/>
      <c r="AB536" s="401"/>
      <c r="AC536" s="199"/>
      <c r="AD536" s="220"/>
      <c r="AE536" s="400"/>
      <c r="AF536" s="401"/>
      <c r="AG536" s="201"/>
      <c r="AH536" s="201"/>
      <c r="AI536" s="201"/>
      <c r="AJ536" s="201"/>
      <c r="AK536" s="397"/>
      <c r="AL536" s="397"/>
      <c r="AM536" s="397"/>
    </row>
    <row r="537">
      <c r="A537" s="316"/>
      <c r="B537" s="317"/>
      <c r="C537" s="318"/>
      <c r="D537" s="397"/>
      <c r="E537" s="316"/>
      <c r="F537" s="317"/>
      <c r="G537" s="318"/>
      <c r="H537" s="397"/>
      <c r="I537" s="316"/>
      <c r="J537" s="317"/>
      <c r="K537" s="318"/>
      <c r="L537" s="397"/>
      <c r="M537" s="316"/>
      <c r="N537" s="317"/>
      <c r="O537" s="318"/>
      <c r="P537" s="397"/>
      <c r="Q537" s="199"/>
      <c r="R537" s="220"/>
      <c r="S537" s="400"/>
      <c r="T537" s="401"/>
      <c r="U537" s="199"/>
      <c r="V537" s="220"/>
      <c r="W537" s="400"/>
      <c r="X537" s="401"/>
      <c r="Y537" s="199"/>
      <c r="Z537" s="220"/>
      <c r="AA537" s="400"/>
      <c r="AB537" s="401"/>
      <c r="AC537" s="199"/>
      <c r="AD537" s="220"/>
      <c r="AE537" s="400"/>
      <c r="AF537" s="401"/>
      <c r="AG537" s="201"/>
      <c r="AH537" s="201"/>
      <c r="AI537" s="201"/>
      <c r="AJ537" s="201"/>
      <c r="AK537" s="397"/>
      <c r="AL537" s="397"/>
      <c r="AM537" s="397"/>
    </row>
    <row r="538">
      <c r="A538" s="316"/>
      <c r="B538" s="317"/>
      <c r="C538" s="318"/>
      <c r="D538" s="397"/>
      <c r="E538" s="316"/>
      <c r="F538" s="317"/>
      <c r="G538" s="318"/>
      <c r="H538" s="397"/>
      <c r="I538" s="316"/>
      <c r="J538" s="317"/>
      <c r="K538" s="318"/>
      <c r="L538" s="397"/>
      <c r="M538" s="316"/>
      <c r="N538" s="317"/>
      <c r="O538" s="318"/>
      <c r="P538" s="397"/>
      <c r="Q538" s="199"/>
      <c r="R538" s="220"/>
      <c r="S538" s="400"/>
      <c r="T538" s="401"/>
      <c r="U538" s="199"/>
      <c r="V538" s="220"/>
      <c r="W538" s="400"/>
      <c r="X538" s="401"/>
      <c r="Y538" s="199"/>
      <c r="Z538" s="220"/>
      <c r="AA538" s="400"/>
      <c r="AB538" s="401"/>
      <c r="AC538" s="199"/>
      <c r="AD538" s="220"/>
      <c r="AE538" s="400"/>
      <c r="AF538" s="401"/>
      <c r="AG538" s="201"/>
      <c r="AH538" s="201"/>
      <c r="AI538" s="201"/>
      <c r="AJ538" s="201"/>
      <c r="AK538" s="397"/>
      <c r="AL538" s="397"/>
      <c r="AM538" s="397"/>
    </row>
    <row r="539">
      <c r="A539" s="316"/>
      <c r="B539" s="317"/>
      <c r="C539" s="318"/>
      <c r="D539" s="397"/>
      <c r="E539" s="316"/>
      <c r="F539" s="317"/>
      <c r="G539" s="318"/>
      <c r="H539" s="397"/>
      <c r="I539" s="316"/>
      <c r="J539" s="317"/>
      <c r="K539" s="318"/>
      <c r="L539" s="397"/>
      <c r="M539" s="316"/>
      <c r="N539" s="317"/>
      <c r="O539" s="318"/>
      <c r="P539" s="397"/>
      <c r="Q539" s="199"/>
      <c r="R539" s="220"/>
      <c r="S539" s="400"/>
      <c r="T539" s="401"/>
      <c r="U539" s="199"/>
      <c r="V539" s="220"/>
      <c r="W539" s="400"/>
      <c r="X539" s="401"/>
      <c r="Y539" s="199"/>
      <c r="Z539" s="220"/>
      <c r="AA539" s="400"/>
      <c r="AB539" s="401"/>
      <c r="AC539" s="199"/>
      <c r="AD539" s="220"/>
      <c r="AE539" s="400"/>
      <c r="AF539" s="401"/>
      <c r="AG539" s="201"/>
      <c r="AH539" s="201"/>
      <c r="AI539" s="201"/>
      <c r="AJ539" s="201"/>
      <c r="AK539" s="397"/>
      <c r="AL539" s="397"/>
      <c r="AM539" s="397"/>
    </row>
    <row r="540">
      <c r="A540" s="316"/>
      <c r="B540" s="317"/>
      <c r="C540" s="318"/>
      <c r="D540" s="397"/>
      <c r="E540" s="316"/>
      <c r="F540" s="317"/>
      <c r="G540" s="318"/>
      <c r="H540" s="397"/>
      <c r="I540" s="316"/>
      <c r="J540" s="317"/>
      <c r="K540" s="318"/>
      <c r="L540" s="397"/>
      <c r="M540" s="316"/>
      <c r="N540" s="317"/>
      <c r="O540" s="318"/>
      <c r="P540" s="397"/>
      <c r="Q540" s="199"/>
      <c r="R540" s="220"/>
      <c r="S540" s="400"/>
      <c r="T540" s="401"/>
      <c r="U540" s="199"/>
      <c r="V540" s="220"/>
      <c r="W540" s="400"/>
      <c r="X540" s="401"/>
      <c r="Y540" s="199"/>
      <c r="Z540" s="220"/>
      <c r="AA540" s="400"/>
      <c r="AB540" s="401"/>
      <c r="AC540" s="199"/>
      <c r="AD540" s="220"/>
      <c r="AE540" s="400"/>
      <c r="AF540" s="401"/>
      <c r="AG540" s="201"/>
      <c r="AH540" s="201"/>
      <c r="AI540" s="201"/>
      <c r="AJ540" s="201"/>
      <c r="AK540" s="397"/>
      <c r="AL540" s="397"/>
      <c r="AM540" s="397"/>
    </row>
    <row r="541">
      <c r="A541" s="316"/>
      <c r="B541" s="317"/>
      <c r="C541" s="318"/>
      <c r="D541" s="397"/>
      <c r="E541" s="316"/>
      <c r="F541" s="317"/>
      <c r="G541" s="318"/>
      <c r="H541" s="397"/>
      <c r="I541" s="316"/>
      <c r="J541" s="317"/>
      <c r="K541" s="318"/>
      <c r="L541" s="397"/>
      <c r="M541" s="316"/>
      <c r="N541" s="317"/>
      <c r="O541" s="318"/>
      <c r="P541" s="397"/>
      <c r="Q541" s="199"/>
      <c r="R541" s="220"/>
      <c r="S541" s="400"/>
      <c r="T541" s="401"/>
      <c r="U541" s="199"/>
      <c r="V541" s="220"/>
      <c r="W541" s="400"/>
      <c r="X541" s="401"/>
      <c r="Y541" s="199"/>
      <c r="Z541" s="220"/>
      <c r="AA541" s="400"/>
      <c r="AB541" s="401"/>
      <c r="AC541" s="199"/>
      <c r="AD541" s="220"/>
      <c r="AE541" s="400"/>
      <c r="AF541" s="401"/>
      <c r="AG541" s="201"/>
      <c r="AH541" s="201"/>
      <c r="AI541" s="201"/>
      <c r="AJ541" s="201"/>
      <c r="AK541" s="397"/>
      <c r="AL541" s="397"/>
      <c r="AM541" s="397"/>
    </row>
    <row r="542">
      <c r="A542" s="316"/>
      <c r="B542" s="317"/>
      <c r="C542" s="318"/>
      <c r="D542" s="397"/>
      <c r="E542" s="316"/>
      <c r="F542" s="317"/>
      <c r="G542" s="318"/>
      <c r="H542" s="397"/>
      <c r="I542" s="316"/>
      <c r="J542" s="317"/>
      <c r="K542" s="318"/>
      <c r="L542" s="397"/>
      <c r="M542" s="316"/>
      <c r="N542" s="317"/>
      <c r="O542" s="318"/>
      <c r="P542" s="397"/>
      <c r="Q542" s="199"/>
      <c r="R542" s="220"/>
      <c r="S542" s="400"/>
      <c r="T542" s="401"/>
      <c r="U542" s="199"/>
      <c r="V542" s="220"/>
      <c r="W542" s="400"/>
      <c r="X542" s="401"/>
      <c r="Y542" s="199"/>
      <c r="Z542" s="220"/>
      <c r="AA542" s="400"/>
      <c r="AB542" s="401"/>
      <c r="AC542" s="199"/>
      <c r="AD542" s="220"/>
      <c r="AE542" s="400"/>
      <c r="AF542" s="401"/>
      <c r="AG542" s="201"/>
      <c r="AH542" s="201"/>
      <c r="AI542" s="201"/>
      <c r="AJ542" s="201"/>
      <c r="AK542" s="397"/>
      <c r="AL542" s="397"/>
      <c r="AM542" s="397"/>
    </row>
    <row r="543">
      <c r="A543" s="316"/>
      <c r="B543" s="317"/>
      <c r="C543" s="318"/>
      <c r="D543" s="397"/>
      <c r="E543" s="316"/>
      <c r="F543" s="317"/>
      <c r="G543" s="318"/>
      <c r="H543" s="397"/>
      <c r="I543" s="316"/>
      <c r="J543" s="317"/>
      <c r="K543" s="318"/>
      <c r="L543" s="397"/>
      <c r="M543" s="316"/>
      <c r="N543" s="317"/>
      <c r="O543" s="318"/>
      <c r="P543" s="397"/>
      <c r="Q543" s="199"/>
      <c r="R543" s="220"/>
      <c r="S543" s="400"/>
      <c r="T543" s="401"/>
      <c r="U543" s="199"/>
      <c r="V543" s="220"/>
      <c r="W543" s="400"/>
      <c r="X543" s="401"/>
      <c r="Y543" s="199"/>
      <c r="Z543" s="220"/>
      <c r="AA543" s="400"/>
      <c r="AB543" s="401"/>
      <c r="AC543" s="199"/>
      <c r="AD543" s="220"/>
      <c r="AE543" s="400"/>
      <c r="AF543" s="401"/>
      <c r="AG543" s="201"/>
      <c r="AH543" s="201"/>
      <c r="AI543" s="201"/>
      <c r="AJ543" s="201"/>
      <c r="AK543" s="397"/>
      <c r="AL543" s="397"/>
      <c r="AM543" s="397"/>
    </row>
    <row r="544">
      <c r="A544" s="316"/>
      <c r="B544" s="317"/>
      <c r="C544" s="318"/>
      <c r="D544" s="397"/>
      <c r="E544" s="316"/>
      <c r="F544" s="317"/>
      <c r="G544" s="318"/>
      <c r="H544" s="397"/>
      <c r="I544" s="316"/>
      <c r="J544" s="317"/>
      <c r="K544" s="318"/>
      <c r="L544" s="397"/>
      <c r="M544" s="316"/>
      <c r="N544" s="317"/>
      <c r="O544" s="318"/>
      <c r="P544" s="397"/>
      <c r="Q544" s="199"/>
      <c r="R544" s="220"/>
      <c r="S544" s="400"/>
      <c r="T544" s="401"/>
      <c r="U544" s="199"/>
      <c r="V544" s="220"/>
      <c r="W544" s="400"/>
      <c r="X544" s="401"/>
      <c r="Y544" s="199"/>
      <c r="Z544" s="220"/>
      <c r="AA544" s="400"/>
      <c r="AB544" s="401"/>
      <c r="AC544" s="199"/>
      <c r="AD544" s="220"/>
      <c r="AE544" s="400"/>
      <c r="AF544" s="401"/>
      <c r="AG544" s="201"/>
      <c r="AH544" s="201"/>
      <c r="AI544" s="201"/>
      <c r="AJ544" s="201"/>
      <c r="AK544" s="397"/>
      <c r="AL544" s="397"/>
      <c r="AM544" s="397"/>
    </row>
    <row r="545">
      <c r="A545" s="316"/>
      <c r="B545" s="317"/>
      <c r="C545" s="318"/>
      <c r="D545" s="397"/>
      <c r="E545" s="316"/>
      <c r="F545" s="317"/>
      <c r="G545" s="318"/>
      <c r="H545" s="397"/>
      <c r="I545" s="316"/>
      <c r="J545" s="317"/>
      <c r="K545" s="318"/>
      <c r="L545" s="397"/>
      <c r="M545" s="316"/>
      <c r="N545" s="317"/>
      <c r="O545" s="318"/>
      <c r="P545" s="397"/>
      <c r="Q545" s="199"/>
      <c r="R545" s="220"/>
      <c r="S545" s="400"/>
      <c r="T545" s="401"/>
      <c r="U545" s="199"/>
      <c r="V545" s="220"/>
      <c r="W545" s="400"/>
      <c r="X545" s="401"/>
      <c r="Y545" s="199"/>
      <c r="Z545" s="220"/>
      <c r="AA545" s="400"/>
      <c r="AB545" s="401"/>
      <c r="AC545" s="199"/>
      <c r="AD545" s="220"/>
      <c r="AE545" s="400"/>
      <c r="AF545" s="401"/>
      <c r="AG545" s="201"/>
      <c r="AH545" s="201"/>
      <c r="AI545" s="201"/>
      <c r="AJ545" s="201"/>
      <c r="AK545" s="397"/>
      <c r="AL545" s="397"/>
      <c r="AM545" s="397"/>
    </row>
    <row r="546">
      <c r="A546" s="316"/>
      <c r="B546" s="317"/>
      <c r="C546" s="318"/>
      <c r="D546" s="397"/>
      <c r="E546" s="316"/>
      <c r="F546" s="317"/>
      <c r="G546" s="318"/>
      <c r="H546" s="397"/>
      <c r="I546" s="316"/>
      <c r="J546" s="317"/>
      <c r="K546" s="318"/>
      <c r="L546" s="397"/>
      <c r="M546" s="316"/>
      <c r="N546" s="317"/>
      <c r="O546" s="318"/>
      <c r="P546" s="397"/>
      <c r="Q546" s="199"/>
      <c r="R546" s="220"/>
      <c r="S546" s="400"/>
      <c r="T546" s="401"/>
      <c r="U546" s="199"/>
      <c r="V546" s="220"/>
      <c r="W546" s="400"/>
      <c r="X546" s="401"/>
      <c r="Y546" s="199"/>
      <c r="Z546" s="220"/>
      <c r="AA546" s="400"/>
      <c r="AB546" s="401"/>
      <c r="AC546" s="199"/>
      <c r="AD546" s="220"/>
      <c r="AE546" s="400"/>
      <c r="AF546" s="401"/>
      <c r="AG546" s="201"/>
      <c r="AH546" s="201"/>
      <c r="AI546" s="201"/>
      <c r="AJ546" s="201"/>
      <c r="AK546" s="397"/>
      <c r="AL546" s="397"/>
      <c r="AM546" s="397"/>
    </row>
    <row r="547">
      <c r="A547" s="316"/>
      <c r="B547" s="317"/>
      <c r="C547" s="318"/>
      <c r="D547" s="397"/>
      <c r="E547" s="316"/>
      <c r="F547" s="317"/>
      <c r="G547" s="318"/>
      <c r="H547" s="397"/>
      <c r="I547" s="316"/>
      <c r="J547" s="317"/>
      <c r="K547" s="318"/>
      <c r="L547" s="397"/>
      <c r="M547" s="316"/>
      <c r="N547" s="317"/>
      <c r="O547" s="318"/>
      <c r="P547" s="397"/>
      <c r="Q547" s="199"/>
      <c r="R547" s="220"/>
      <c r="S547" s="400"/>
      <c r="T547" s="401"/>
      <c r="U547" s="199"/>
      <c r="V547" s="220"/>
      <c r="W547" s="400"/>
      <c r="X547" s="401"/>
      <c r="Y547" s="199"/>
      <c r="Z547" s="220"/>
      <c r="AA547" s="400"/>
      <c r="AB547" s="401"/>
      <c r="AC547" s="199"/>
      <c r="AD547" s="220"/>
      <c r="AE547" s="400"/>
      <c r="AF547" s="401"/>
      <c r="AG547" s="201"/>
      <c r="AH547" s="201"/>
      <c r="AI547" s="201"/>
      <c r="AJ547" s="201"/>
      <c r="AK547" s="397"/>
      <c r="AL547" s="397"/>
      <c r="AM547" s="397"/>
    </row>
    <row r="548">
      <c r="A548" s="316"/>
      <c r="B548" s="317"/>
      <c r="C548" s="318"/>
      <c r="D548" s="397"/>
      <c r="E548" s="316"/>
      <c r="F548" s="317"/>
      <c r="G548" s="318"/>
      <c r="H548" s="397"/>
      <c r="I548" s="316"/>
      <c r="J548" s="317"/>
      <c r="K548" s="318"/>
      <c r="L548" s="397"/>
      <c r="M548" s="316"/>
      <c r="N548" s="317"/>
      <c r="O548" s="318"/>
      <c r="P548" s="397"/>
      <c r="Q548" s="199"/>
      <c r="R548" s="220"/>
      <c r="S548" s="400"/>
      <c r="T548" s="401"/>
      <c r="U548" s="199"/>
      <c r="V548" s="220"/>
      <c r="W548" s="400"/>
      <c r="X548" s="401"/>
      <c r="Y548" s="199"/>
      <c r="Z548" s="220"/>
      <c r="AA548" s="400"/>
      <c r="AB548" s="401"/>
      <c r="AC548" s="199"/>
      <c r="AD548" s="220"/>
      <c r="AE548" s="400"/>
      <c r="AF548" s="401"/>
      <c r="AG548" s="201"/>
      <c r="AH548" s="201"/>
      <c r="AI548" s="201"/>
      <c r="AJ548" s="201"/>
      <c r="AK548" s="397"/>
      <c r="AL548" s="397"/>
      <c r="AM548" s="397"/>
    </row>
    <row r="549">
      <c r="A549" s="316"/>
      <c r="B549" s="317"/>
      <c r="C549" s="318"/>
      <c r="D549" s="397"/>
      <c r="E549" s="316"/>
      <c r="F549" s="317"/>
      <c r="G549" s="318"/>
      <c r="H549" s="397"/>
      <c r="I549" s="316"/>
      <c r="J549" s="317"/>
      <c r="K549" s="318"/>
      <c r="L549" s="397"/>
      <c r="M549" s="316"/>
      <c r="N549" s="317"/>
      <c r="O549" s="318"/>
      <c r="P549" s="397"/>
      <c r="Q549" s="199"/>
      <c r="R549" s="220"/>
      <c r="S549" s="400"/>
      <c r="T549" s="401"/>
      <c r="U549" s="199"/>
      <c r="V549" s="220"/>
      <c r="W549" s="400"/>
      <c r="X549" s="401"/>
      <c r="Y549" s="199"/>
      <c r="Z549" s="220"/>
      <c r="AA549" s="400"/>
      <c r="AB549" s="401"/>
      <c r="AC549" s="199"/>
      <c r="AD549" s="220"/>
      <c r="AE549" s="400"/>
      <c r="AF549" s="401"/>
      <c r="AG549" s="201"/>
      <c r="AH549" s="201"/>
      <c r="AI549" s="201"/>
      <c r="AJ549" s="201"/>
      <c r="AK549" s="397"/>
      <c r="AL549" s="397"/>
      <c r="AM549" s="397"/>
    </row>
    <row r="550">
      <c r="A550" s="316"/>
      <c r="B550" s="317"/>
      <c r="C550" s="318"/>
      <c r="D550" s="397"/>
      <c r="E550" s="316"/>
      <c r="F550" s="317"/>
      <c r="G550" s="318"/>
      <c r="H550" s="397"/>
      <c r="I550" s="316"/>
      <c r="J550" s="317"/>
      <c r="K550" s="318"/>
      <c r="L550" s="397"/>
      <c r="M550" s="316"/>
      <c r="N550" s="317"/>
      <c r="O550" s="318"/>
      <c r="P550" s="397"/>
      <c r="Q550" s="199"/>
      <c r="R550" s="220"/>
      <c r="S550" s="400"/>
      <c r="T550" s="401"/>
      <c r="U550" s="199"/>
      <c r="V550" s="220"/>
      <c r="W550" s="400"/>
      <c r="X550" s="401"/>
      <c r="Y550" s="199"/>
      <c r="Z550" s="220"/>
      <c r="AA550" s="400"/>
      <c r="AB550" s="401"/>
      <c r="AC550" s="199"/>
      <c r="AD550" s="220"/>
      <c r="AE550" s="400"/>
      <c r="AF550" s="401"/>
      <c r="AG550" s="201"/>
      <c r="AH550" s="201"/>
      <c r="AI550" s="201"/>
      <c r="AJ550" s="201"/>
      <c r="AK550" s="397"/>
      <c r="AL550" s="397"/>
      <c r="AM550" s="397"/>
    </row>
    <row r="551">
      <c r="A551" s="316"/>
      <c r="B551" s="317"/>
      <c r="C551" s="318"/>
      <c r="D551" s="397"/>
      <c r="E551" s="316"/>
      <c r="F551" s="317"/>
      <c r="G551" s="318"/>
      <c r="H551" s="397"/>
      <c r="I551" s="316"/>
      <c r="J551" s="317"/>
      <c r="K551" s="318"/>
      <c r="L551" s="397"/>
      <c r="M551" s="316"/>
      <c r="N551" s="317"/>
      <c r="O551" s="318"/>
      <c r="P551" s="397"/>
      <c r="Q551" s="199"/>
      <c r="R551" s="220"/>
      <c r="S551" s="400"/>
      <c r="T551" s="401"/>
      <c r="U551" s="199"/>
      <c r="V551" s="220"/>
      <c r="W551" s="400"/>
      <c r="X551" s="401"/>
      <c r="Y551" s="199"/>
      <c r="Z551" s="220"/>
      <c r="AA551" s="400"/>
      <c r="AB551" s="401"/>
      <c r="AC551" s="199"/>
      <c r="AD551" s="220"/>
      <c r="AE551" s="400"/>
      <c r="AF551" s="401"/>
      <c r="AG551" s="201"/>
      <c r="AH551" s="201"/>
      <c r="AI551" s="201"/>
      <c r="AJ551" s="201"/>
      <c r="AK551" s="397"/>
      <c r="AL551" s="397"/>
      <c r="AM551" s="397"/>
    </row>
    <row r="552">
      <c r="A552" s="316"/>
      <c r="B552" s="317"/>
      <c r="C552" s="318"/>
      <c r="D552" s="397"/>
      <c r="E552" s="316"/>
      <c r="F552" s="317"/>
      <c r="G552" s="318"/>
      <c r="H552" s="397"/>
      <c r="I552" s="316"/>
      <c r="J552" s="317"/>
      <c r="K552" s="318"/>
      <c r="L552" s="397"/>
      <c r="M552" s="316"/>
      <c r="N552" s="317"/>
      <c r="O552" s="318"/>
      <c r="P552" s="397"/>
      <c r="Q552" s="199"/>
      <c r="R552" s="220"/>
      <c r="S552" s="400"/>
      <c r="T552" s="401"/>
      <c r="U552" s="199"/>
      <c r="V552" s="220"/>
      <c r="W552" s="400"/>
      <c r="X552" s="401"/>
      <c r="Y552" s="199"/>
      <c r="Z552" s="220"/>
      <c r="AA552" s="400"/>
      <c r="AB552" s="401"/>
      <c r="AC552" s="199"/>
      <c r="AD552" s="220"/>
      <c r="AE552" s="400"/>
      <c r="AF552" s="401"/>
      <c r="AG552" s="201"/>
      <c r="AH552" s="201"/>
      <c r="AI552" s="201"/>
      <c r="AJ552" s="201"/>
      <c r="AK552" s="397"/>
      <c r="AL552" s="397"/>
      <c r="AM552" s="397"/>
    </row>
    <row r="553">
      <c r="A553" s="316"/>
      <c r="B553" s="317"/>
      <c r="C553" s="318"/>
      <c r="D553" s="397"/>
      <c r="E553" s="316"/>
      <c r="F553" s="317"/>
      <c r="G553" s="318"/>
      <c r="H553" s="397"/>
      <c r="I553" s="316"/>
      <c r="J553" s="317"/>
      <c r="K553" s="318"/>
      <c r="L553" s="397"/>
      <c r="M553" s="316"/>
      <c r="N553" s="317"/>
      <c r="O553" s="318"/>
      <c r="P553" s="397"/>
      <c r="Q553" s="199"/>
      <c r="R553" s="220"/>
      <c r="S553" s="400"/>
      <c r="T553" s="401"/>
      <c r="U553" s="199"/>
      <c r="V553" s="220"/>
      <c r="W553" s="400"/>
      <c r="X553" s="401"/>
      <c r="Y553" s="199"/>
      <c r="Z553" s="220"/>
      <c r="AA553" s="400"/>
      <c r="AB553" s="401"/>
      <c r="AC553" s="199"/>
      <c r="AD553" s="220"/>
      <c r="AE553" s="400"/>
      <c r="AF553" s="401"/>
      <c r="AG553" s="201"/>
      <c r="AH553" s="201"/>
      <c r="AI553" s="201"/>
      <c r="AJ553" s="201"/>
      <c r="AK553" s="397"/>
      <c r="AL553" s="397"/>
      <c r="AM553" s="397"/>
    </row>
    <row r="554">
      <c r="A554" s="316"/>
      <c r="B554" s="317"/>
      <c r="C554" s="318"/>
      <c r="D554" s="397"/>
      <c r="E554" s="316"/>
      <c r="F554" s="317"/>
      <c r="G554" s="318"/>
      <c r="H554" s="397"/>
      <c r="I554" s="316"/>
      <c r="J554" s="317"/>
      <c r="K554" s="318"/>
      <c r="L554" s="397"/>
      <c r="M554" s="316"/>
      <c r="N554" s="317"/>
      <c r="O554" s="318"/>
      <c r="P554" s="397"/>
      <c r="Q554" s="199"/>
      <c r="R554" s="220"/>
      <c r="S554" s="400"/>
      <c r="T554" s="401"/>
      <c r="U554" s="199"/>
      <c r="V554" s="220"/>
      <c r="W554" s="400"/>
      <c r="X554" s="401"/>
      <c r="Y554" s="199"/>
      <c r="Z554" s="220"/>
      <c r="AA554" s="400"/>
      <c r="AB554" s="401"/>
      <c r="AC554" s="199"/>
      <c r="AD554" s="220"/>
      <c r="AE554" s="400"/>
      <c r="AF554" s="401"/>
      <c r="AG554" s="201"/>
      <c r="AH554" s="201"/>
      <c r="AI554" s="201"/>
      <c r="AJ554" s="201"/>
      <c r="AK554" s="397"/>
      <c r="AL554" s="397"/>
      <c r="AM554" s="397"/>
    </row>
    <row r="555">
      <c r="A555" s="316"/>
      <c r="B555" s="317"/>
      <c r="C555" s="318"/>
      <c r="D555" s="397"/>
      <c r="E555" s="316"/>
      <c r="F555" s="317"/>
      <c r="G555" s="318"/>
      <c r="H555" s="397"/>
      <c r="I555" s="316"/>
      <c r="J555" s="317"/>
      <c r="K555" s="318"/>
      <c r="L555" s="397"/>
      <c r="M555" s="316"/>
      <c r="N555" s="317"/>
      <c r="O555" s="318"/>
      <c r="P555" s="397"/>
      <c r="Q555" s="199"/>
      <c r="R555" s="220"/>
      <c r="S555" s="400"/>
      <c r="T555" s="401"/>
      <c r="U555" s="199"/>
      <c r="V555" s="220"/>
      <c r="W555" s="400"/>
      <c r="X555" s="401"/>
      <c r="Y555" s="199"/>
      <c r="Z555" s="220"/>
      <c r="AA555" s="400"/>
      <c r="AB555" s="401"/>
      <c r="AC555" s="199"/>
      <c r="AD555" s="220"/>
      <c r="AE555" s="400"/>
      <c r="AF555" s="401"/>
      <c r="AG555" s="201"/>
      <c r="AH555" s="201"/>
      <c r="AI555" s="201"/>
      <c r="AJ555" s="201"/>
      <c r="AK555" s="397"/>
      <c r="AL555" s="397"/>
      <c r="AM555" s="397"/>
    </row>
    <row r="556">
      <c r="A556" s="316"/>
      <c r="B556" s="317"/>
      <c r="C556" s="318"/>
      <c r="D556" s="397"/>
      <c r="E556" s="316"/>
      <c r="F556" s="317"/>
      <c r="G556" s="318"/>
      <c r="H556" s="397"/>
      <c r="I556" s="316"/>
      <c r="J556" s="317"/>
      <c r="K556" s="318"/>
      <c r="L556" s="397"/>
      <c r="M556" s="316"/>
      <c r="N556" s="317"/>
      <c r="O556" s="318"/>
      <c r="P556" s="397"/>
      <c r="Q556" s="199"/>
      <c r="R556" s="220"/>
      <c r="S556" s="400"/>
      <c r="T556" s="401"/>
      <c r="U556" s="199"/>
      <c r="V556" s="220"/>
      <c r="W556" s="400"/>
      <c r="X556" s="401"/>
      <c r="Y556" s="199"/>
      <c r="Z556" s="220"/>
      <c r="AA556" s="400"/>
      <c r="AB556" s="401"/>
      <c r="AC556" s="199"/>
      <c r="AD556" s="220"/>
      <c r="AE556" s="400"/>
      <c r="AF556" s="401"/>
      <c r="AG556" s="201"/>
      <c r="AH556" s="201"/>
      <c r="AI556" s="201"/>
      <c r="AJ556" s="201"/>
      <c r="AK556" s="397"/>
      <c r="AL556" s="397"/>
      <c r="AM556" s="397"/>
    </row>
    <row r="557">
      <c r="A557" s="316"/>
      <c r="B557" s="317"/>
      <c r="C557" s="318"/>
      <c r="D557" s="397"/>
      <c r="E557" s="316"/>
      <c r="F557" s="317"/>
      <c r="G557" s="318"/>
      <c r="H557" s="397"/>
      <c r="I557" s="316"/>
      <c r="J557" s="317"/>
      <c r="K557" s="318"/>
      <c r="L557" s="397"/>
      <c r="M557" s="316"/>
      <c r="N557" s="317"/>
      <c r="O557" s="318"/>
      <c r="P557" s="397"/>
      <c r="Q557" s="199"/>
      <c r="R557" s="220"/>
      <c r="S557" s="400"/>
      <c r="T557" s="401"/>
      <c r="U557" s="199"/>
      <c r="V557" s="220"/>
      <c r="W557" s="400"/>
      <c r="X557" s="401"/>
      <c r="Y557" s="199"/>
      <c r="Z557" s="220"/>
      <c r="AA557" s="400"/>
      <c r="AB557" s="401"/>
      <c r="AC557" s="199"/>
      <c r="AD557" s="220"/>
      <c r="AE557" s="400"/>
      <c r="AF557" s="401"/>
      <c r="AG557" s="201"/>
      <c r="AH557" s="201"/>
      <c r="AI557" s="201"/>
      <c r="AJ557" s="201"/>
      <c r="AK557" s="397"/>
      <c r="AL557" s="397"/>
      <c r="AM557" s="397"/>
    </row>
    <row r="558">
      <c r="A558" s="316"/>
      <c r="B558" s="317"/>
      <c r="C558" s="318"/>
      <c r="D558" s="397"/>
      <c r="E558" s="316"/>
      <c r="F558" s="317"/>
      <c r="G558" s="318"/>
      <c r="H558" s="397"/>
      <c r="I558" s="316"/>
      <c r="J558" s="317"/>
      <c r="K558" s="318"/>
      <c r="L558" s="397"/>
      <c r="M558" s="316"/>
      <c r="N558" s="317"/>
      <c r="O558" s="318"/>
      <c r="P558" s="397"/>
      <c r="Q558" s="199"/>
      <c r="R558" s="220"/>
      <c r="S558" s="400"/>
      <c r="T558" s="401"/>
      <c r="U558" s="199"/>
      <c r="V558" s="220"/>
      <c r="W558" s="400"/>
      <c r="X558" s="401"/>
      <c r="Y558" s="199"/>
      <c r="Z558" s="220"/>
      <c r="AA558" s="400"/>
      <c r="AB558" s="401"/>
      <c r="AC558" s="199"/>
      <c r="AD558" s="220"/>
      <c r="AE558" s="400"/>
      <c r="AF558" s="401"/>
      <c r="AG558" s="201"/>
      <c r="AH558" s="201"/>
      <c r="AI558" s="201"/>
      <c r="AJ558" s="201"/>
      <c r="AK558" s="397"/>
      <c r="AL558" s="397"/>
      <c r="AM558" s="397"/>
    </row>
    <row r="559">
      <c r="A559" s="316"/>
      <c r="B559" s="317"/>
      <c r="C559" s="318"/>
      <c r="D559" s="397"/>
      <c r="E559" s="316"/>
      <c r="F559" s="317"/>
      <c r="G559" s="318"/>
      <c r="H559" s="397"/>
      <c r="I559" s="316"/>
      <c r="J559" s="317"/>
      <c r="K559" s="318"/>
      <c r="L559" s="397"/>
      <c r="M559" s="316"/>
      <c r="N559" s="317"/>
      <c r="O559" s="318"/>
      <c r="P559" s="397"/>
      <c r="Q559" s="199"/>
      <c r="R559" s="220"/>
      <c r="S559" s="400"/>
      <c r="T559" s="401"/>
      <c r="U559" s="199"/>
      <c r="V559" s="220"/>
      <c r="W559" s="400"/>
      <c r="X559" s="401"/>
      <c r="Y559" s="199"/>
      <c r="Z559" s="220"/>
      <c r="AA559" s="400"/>
      <c r="AB559" s="401"/>
      <c r="AC559" s="199"/>
      <c r="AD559" s="220"/>
      <c r="AE559" s="400"/>
      <c r="AF559" s="401"/>
      <c r="AG559" s="201"/>
      <c r="AH559" s="201"/>
      <c r="AI559" s="201"/>
      <c r="AJ559" s="201"/>
      <c r="AK559" s="397"/>
      <c r="AL559" s="397"/>
      <c r="AM559" s="397"/>
    </row>
    <row r="560">
      <c r="A560" s="316"/>
      <c r="B560" s="317"/>
      <c r="C560" s="318"/>
      <c r="D560" s="397"/>
      <c r="E560" s="316"/>
      <c r="F560" s="317"/>
      <c r="G560" s="318"/>
      <c r="H560" s="397"/>
      <c r="I560" s="316"/>
      <c r="J560" s="317"/>
      <c r="K560" s="318"/>
      <c r="L560" s="397"/>
      <c r="M560" s="316"/>
      <c r="N560" s="317"/>
      <c r="O560" s="318"/>
      <c r="P560" s="397"/>
      <c r="Q560" s="199"/>
      <c r="R560" s="220"/>
      <c r="S560" s="400"/>
      <c r="T560" s="401"/>
      <c r="U560" s="199"/>
      <c r="V560" s="220"/>
      <c r="W560" s="400"/>
      <c r="X560" s="401"/>
      <c r="Y560" s="199"/>
      <c r="Z560" s="220"/>
      <c r="AA560" s="400"/>
      <c r="AB560" s="401"/>
      <c r="AC560" s="199"/>
      <c r="AD560" s="220"/>
      <c r="AE560" s="400"/>
      <c r="AF560" s="401"/>
      <c r="AG560" s="201"/>
      <c r="AH560" s="201"/>
      <c r="AI560" s="201"/>
      <c r="AJ560" s="201"/>
      <c r="AK560" s="397"/>
      <c r="AL560" s="397"/>
      <c r="AM560" s="397"/>
    </row>
    <row r="561">
      <c r="A561" s="316"/>
      <c r="B561" s="317"/>
      <c r="C561" s="318"/>
      <c r="D561" s="397"/>
      <c r="E561" s="316"/>
      <c r="F561" s="317"/>
      <c r="G561" s="318"/>
      <c r="H561" s="397"/>
      <c r="I561" s="316"/>
      <c r="J561" s="317"/>
      <c r="K561" s="318"/>
      <c r="L561" s="397"/>
      <c r="M561" s="316"/>
      <c r="N561" s="317"/>
      <c r="O561" s="318"/>
      <c r="P561" s="397"/>
      <c r="Q561" s="199"/>
      <c r="R561" s="220"/>
      <c r="S561" s="400"/>
      <c r="T561" s="401"/>
      <c r="U561" s="199"/>
      <c r="V561" s="220"/>
      <c r="W561" s="400"/>
      <c r="X561" s="401"/>
      <c r="Y561" s="199"/>
      <c r="Z561" s="220"/>
      <c r="AA561" s="400"/>
      <c r="AB561" s="401"/>
      <c r="AC561" s="199"/>
      <c r="AD561" s="220"/>
      <c r="AE561" s="400"/>
      <c r="AF561" s="401"/>
      <c r="AG561" s="201"/>
      <c r="AH561" s="201"/>
      <c r="AI561" s="201"/>
      <c r="AJ561" s="201"/>
      <c r="AK561" s="397"/>
      <c r="AL561" s="397"/>
      <c r="AM561" s="397"/>
    </row>
    <row r="562">
      <c r="A562" s="316"/>
      <c r="B562" s="317"/>
      <c r="C562" s="318"/>
      <c r="D562" s="397"/>
      <c r="E562" s="316"/>
      <c r="F562" s="317"/>
      <c r="G562" s="318"/>
      <c r="H562" s="397"/>
      <c r="I562" s="316"/>
      <c r="J562" s="317"/>
      <c r="K562" s="318"/>
      <c r="L562" s="397"/>
      <c r="M562" s="316"/>
      <c r="N562" s="317"/>
      <c r="O562" s="318"/>
      <c r="P562" s="397"/>
      <c r="Q562" s="199"/>
      <c r="R562" s="220"/>
      <c r="S562" s="400"/>
      <c r="T562" s="401"/>
      <c r="U562" s="199"/>
      <c r="V562" s="220"/>
      <c r="W562" s="400"/>
      <c r="X562" s="401"/>
      <c r="Y562" s="199"/>
      <c r="Z562" s="220"/>
      <c r="AA562" s="400"/>
      <c r="AB562" s="401"/>
      <c r="AC562" s="199"/>
      <c r="AD562" s="220"/>
      <c r="AE562" s="400"/>
      <c r="AF562" s="401"/>
      <c r="AG562" s="201"/>
      <c r="AH562" s="201"/>
      <c r="AI562" s="201"/>
      <c r="AJ562" s="201"/>
      <c r="AK562" s="397"/>
      <c r="AL562" s="397"/>
      <c r="AM562" s="397"/>
    </row>
    <row r="563">
      <c r="A563" s="316"/>
      <c r="B563" s="317"/>
      <c r="C563" s="318"/>
      <c r="D563" s="397"/>
      <c r="E563" s="316"/>
      <c r="F563" s="317"/>
      <c r="G563" s="318"/>
      <c r="H563" s="397"/>
      <c r="I563" s="316"/>
      <c r="J563" s="317"/>
      <c r="K563" s="318"/>
      <c r="L563" s="397"/>
      <c r="M563" s="316"/>
      <c r="N563" s="317"/>
      <c r="O563" s="318"/>
      <c r="P563" s="397"/>
      <c r="Q563" s="199"/>
      <c r="R563" s="220"/>
      <c r="S563" s="400"/>
      <c r="T563" s="401"/>
      <c r="U563" s="199"/>
      <c r="V563" s="220"/>
      <c r="W563" s="400"/>
      <c r="X563" s="401"/>
      <c r="Y563" s="199"/>
      <c r="Z563" s="220"/>
      <c r="AA563" s="400"/>
      <c r="AB563" s="401"/>
      <c r="AC563" s="199"/>
      <c r="AD563" s="220"/>
      <c r="AE563" s="400"/>
      <c r="AF563" s="401"/>
      <c r="AG563" s="201"/>
      <c r="AH563" s="201"/>
      <c r="AI563" s="201"/>
      <c r="AJ563" s="201"/>
      <c r="AK563" s="397"/>
      <c r="AL563" s="397"/>
      <c r="AM563" s="397"/>
    </row>
    <row r="564">
      <c r="A564" s="316"/>
      <c r="B564" s="317"/>
      <c r="C564" s="318"/>
      <c r="D564" s="397"/>
      <c r="E564" s="316"/>
      <c r="F564" s="317"/>
      <c r="G564" s="318"/>
      <c r="H564" s="397"/>
      <c r="I564" s="316"/>
      <c r="J564" s="317"/>
      <c r="K564" s="318"/>
      <c r="L564" s="397"/>
      <c r="M564" s="316"/>
      <c r="N564" s="317"/>
      <c r="O564" s="318"/>
      <c r="P564" s="397"/>
      <c r="Q564" s="199"/>
      <c r="R564" s="220"/>
      <c r="S564" s="400"/>
      <c r="T564" s="401"/>
      <c r="U564" s="199"/>
      <c r="V564" s="220"/>
      <c r="W564" s="400"/>
      <c r="X564" s="401"/>
      <c r="Y564" s="199"/>
      <c r="Z564" s="220"/>
      <c r="AA564" s="400"/>
      <c r="AB564" s="401"/>
      <c r="AC564" s="199"/>
      <c r="AD564" s="220"/>
      <c r="AE564" s="400"/>
      <c r="AF564" s="401"/>
      <c r="AG564" s="201"/>
      <c r="AH564" s="201"/>
      <c r="AI564" s="201"/>
      <c r="AJ564" s="201"/>
      <c r="AK564" s="397"/>
      <c r="AL564" s="397"/>
      <c r="AM564" s="397"/>
    </row>
    <row r="565">
      <c r="A565" s="316"/>
      <c r="B565" s="317"/>
      <c r="C565" s="318"/>
      <c r="D565" s="397"/>
      <c r="E565" s="316"/>
      <c r="F565" s="317"/>
      <c r="G565" s="318"/>
      <c r="H565" s="397"/>
      <c r="I565" s="316"/>
      <c r="J565" s="317"/>
      <c r="K565" s="318"/>
      <c r="L565" s="397"/>
      <c r="M565" s="316"/>
      <c r="N565" s="317"/>
      <c r="O565" s="318"/>
      <c r="P565" s="397"/>
      <c r="Q565" s="199"/>
      <c r="R565" s="220"/>
      <c r="S565" s="400"/>
      <c r="T565" s="401"/>
      <c r="U565" s="199"/>
      <c r="V565" s="220"/>
      <c r="W565" s="400"/>
      <c r="X565" s="401"/>
      <c r="Y565" s="199"/>
      <c r="Z565" s="220"/>
      <c r="AA565" s="400"/>
      <c r="AB565" s="401"/>
      <c r="AC565" s="199"/>
      <c r="AD565" s="220"/>
      <c r="AE565" s="400"/>
      <c r="AF565" s="401"/>
      <c r="AG565" s="201"/>
      <c r="AH565" s="201"/>
      <c r="AI565" s="201"/>
      <c r="AJ565" s="201"/>
      <c r="AK565" s="397"/>
      <c r="AL565" s="397"/>
      <c r="AM565" s="397"/>
    </row>
    <row r="566">
      <c r="A566" s="316"/>
      <c r="B566" s="317"/>
      <c r="C566" s="318"/>
      <c r="D566" s="397"/>
      <c r="E566" s="316"/>
      <c r="F566" s="317"/>
      <c r="G566" s="318"/>
      <c r="H566" s="397"/>
      <c r="I566" s="316"/>
      <c r="J566" s="317"/>
      <c r="K566" s="318"/>
      <c r="L566" s="397"/>
      <c r="M566" s="316"/>
      <c r="N566" s="317"/>
      <c r="O566" s="318"/>
      <c r="P566" s="397"/>
      <c r="Q566" s="199"/>
      <c r="R566" s="220"/>
      <c r="S566" s="400"/>
      <c r="T566" s="401"/>
      <c r="U566" s="199"/>
      <c r="V566" s="220"/>
      <c r="W566" s="400"/>
      <c r="X566" s="401"/>
      <c r="Y566" s="199"/>
      <c r="Z566" s="220"/>
      <c r="AA566" s="400"/>
      <c r="AB566" s="401"/>
      <c r="AC566" s="199"/>
      <c r="AD566" s="220"/>
      <c r="AE566" s="400"/>
      <c r="AF566" s="401"/>
      <c r="AG566" s="201"/>
      <c r="AH566" s="201"/>
      <c r="AI566" s="201"/>
      <c r="AJ566" s="201"/>
      <c r="AK566" s="397"/>
      <c r="AL566" s="397"/>
      <c r="AM566" s="397"/>
    </row>
    <row r="567">
      <c r="A567" s="316"/>
      <c r="B567" s="317"/>
      <c r="C567" s="318"/>
      <c r="D567" s="397"/>
      <c r="E567" s="316"/>
      <c r="F567" s="317"/>
      <c r="G567" s="318"/>
      <c r="H567" s="397"/>
      <c r="I567" s="316"/>
      <c r="J567" s="317"/>
      <c r="K567" s="318"/>
      <c r="L567" s="397"/>
      <c r="M567" s="316"/>
      <c r="N567" s="317"/>
      <c r="O567" s="318"/>
      <c r="P567" s="397"/>
      <c r="Q567" s="199"/>
      <c r="R567" s="220"/>
      <c r="S567" s="400"/>
      <c r="T567" s="401"/>
      <c r="U567" s="199"/>
      <c r="V567" s="220"/>
      <c r="W567" s="400"/>
      <c r="X567" s="401"/>
      <c r="Y567" s="199"/>
      <c r="Z567" s="220"/>
      <c r="AA567" s="400"/>
      <c r="AB567" s="401"/>
      <c r="AC567" s="199"/>
      <c r="AD567" s="220"/>
      <c r="AE567" s="400"/>
      <c r="AF567" s="401"/>
      <c r="AG567" s="201"/>
      <c r="AH567" s="201"/>
      <c r="AI567" s="201"/>
      <c r="AJ567" s="201"/>
      <c r="AK567" s="397"/>
      <c r="AL567" s="397"/>
      <c r="AM567" s="397"/>
    </row>
    <row r="568">
      <c r="A568" s="316"/>
      <c r="B568" s="317"/>
      <c r="C568" s="318"/>
      <c r="D568" s="397"/>
      <c r="E568" s="316"/>
      <c r="F568" s="317"/>
      <c r="G568" s="318"/>
      <c r="H568" s="397"/>
      <c r="I568" s="316"/>
      <c r="J568" s="317"/>
      <c r="K568" s="318"/>
      <c r="L568" s="397"/>
      <c r="M568" s="316"/>
      <c r="N568" s="317"/>
      <c r="O568" s="318"/>
      <c r="P568" s="397"/>
      <c r="Q568" s="199"/>
      <c r="R568" s="220"/>
      <c r="S568" s="400"/>
      <c r="T568" s="401"/>
      <c r="U568" s="199"/>
      <c r="V568" s="220"/>
      <c r="W568" s="400"/>
      <c r="X568" s="401"/>
      <c r="Y568" s="199"/>
      <c r="Z568" s="220"/>
      <c r="AA568" s="400"/>
      <c r="AB568" s="401"/>
      <c r="AC568" s="199"/>
      <c r="AD568" s="220"/>
      <c r="AE568" s="400"/>
      <c r="AF568" s="401"/>
      <c r="AG568" s="201"/>
      <c r="AH568" s="201"/>
      <c r="AI568" s="201"/>
      <c r="AJ568" s="201"/>
      <c r="AK568" s="397"/>
      <c r="AL568" s="397"/>
      <c r="AM568" s="397"/>
    </row>
    <row r="569">
      <c r="A569" s="316"/>
      <c r="B569" s="317"/>
      <c r="C569" s="318"/>
      <c r="D569" s="397"/>
      <c r="E569" s="316"/>
      <c r="F569" s="317"/>
      <c r="G569" s="318"/>
      <c r="H569" s="397"/>
      <c r="I569" s="316"/>
      <c r="J569" s="317"/>
      <c r="K569" s="318"/>
      <c r="L569" s="397"/>
      <c r="M569" s="316"/>
      <c r="N569" s="317"/>
      <c r="O569" s="318"/>
      <c r="P569" s="397"/>
      <c r="Q569" s="199"/>
      <c r="R569" s="220"/>
      <c r="S569" s="400"/>
      <c r="T569" s="401"/>
      <c r="U569" s="199"/>
      <c r="V569" s="220"/>
      <c r="W569" s="400"/>
      <c r="X569" s="401"/>
      <c r="Y569" s="199"/>
      <c r="Z569" s="220"/>
      <c r="AA569" s="400"/>
      <c r="AB569" s="401"/>
      <c r="AC569" s="199"/>
      <c r="AD569" s="220"/>
      <c r="AE569" s="400"/>
      <c r="AF569" s="401"/>
      <c r="AG569" s="201"/>
      <c r="AH569" s="201"/>
      <c r="AI569" s="201"/>
      <c r="AJ569" s="201"/>
      <c r="AK569" s="397"/>
      <c r="AL569" s="397"/>
      <c r="AM569" s="397"/>
    </row>
    <row r="570">
      <c r="A570" s="316"/>
      <c r="B570" s="317"/>
      <c r="C570" s="318"/>
      <c r="D570" s="397"/>
      <c r="E570" s="316"/>
      <c r="F570" s="317"/>
      <c r="G570" s="318"/>
      <c r="H570" s="397"/>
      <c r="I570" s="316"/>
      <c r="J570" s="317"/>
      <c r="K570" s="318"/>
      <c r="L570" s="397"/>
      <c r="M570" s="316"/>
      <c r="N570" s="317"/>
      <c r="O570" s="318"/>
      <c r="P570" s="397"/>
      <c r="Q570" s="199"/>
      <c r="R570" s="220"/>
      <c r="S570" s="400"/>
      <c r="T570" s="401"/>
      <c r="U570" s="199"/>
      <c r="V570" s="220"/>
      <c r="W570" s="400"/>
      <c r="X570" s="401"/>
      <c r="Y570" s="199"/>
      <c r="Z570" s="220"/>
      <c r="AA570" s="400"/>
      <c r="AB570" s="401"/>
      <c r="AC570" s="199"/>
      <c r="AD570" s="220"/>
      <c r="AE570" s="400"/>
      <c r="AF570" s="401"/>
      <c r="AG570" s="201"/>
      <c r="AH570" s="201"/>
      <c r="AI570" s="201"/>
      <c r="AJ570" s="201"/>
      <c r="AK570" s="397"/>
      <c r="AL570" s="397"/>
      <c r="AM570" s="397"/>
    </row>
    <row r="571">
      <c r="A571" s="316"/>
      <c r="B571" s="317"/>
      <c r="C571" s="318"/>
      <c r="D571" s="397"/>
      <c r="E571" s="316"/>
      <c r="F571" s="317"/>
      <c r="G571" s="318"/>
      <c r="H571" s="397"/>
      <c r="I571" s="316"/>
      <c r="J571" s="317"/>
      <c r="K571" s="318"/>
      <c r="L571" s="397"/>
      <c r="M571" s="316"/>
      <c r="N571" s="317"/>
      <c r="O571" s="318"/>
      <c r="P571" s="397"/>
      <c r="Q571" s="199"/>
      <c r="R571" s="220"/>
      <c r="S571" s="400"/>
      <c r="T571" s="401"/>
      <c r="U571" s="199"/>
      <c r="V571" s="220"/>
      <c r="W571" s="400"/>
      <c r="X571" s="401"/>
      <c r="Y571" s="199"/>
      <c r="Z571" s="220"/>
      <c r="AA571" s="400"/>
      <c r="AB571" s="401"/>
      <c r="AC571" s="199"/>
      <c r="AD571" s="220"/>
      <c r="AE571" s="400"/>
      <c r="AF571" s="401"/>
      <c r="AG571" s="201"/>
      <c r="AH571" s="201"/>
      <c r="AI571" s="201"/>
      <c r="AJ571" s="201"/>
      <c r="AK571" s="397"/>
      <c r="AL571" s="397"/>
      <c r="AM571" s="397"/>
    </row>
    <row r="572">
      <c r="A572" s="316"/>
      <c r="B572" s="317"/>
      <c r="C572" s="318"/>
      <c r="D572" s="397"/>
      <c r="E572" s="316"/>
      <c r="F572" s="317"/>
      <c r="G572" s="318"/>
      <c r="H572" s="397"/>
      <c r="I572" s="316"/>
      <c r="J572" s="317"/>
      <c r="K572" s="318"/>
      <c r="L572" s="397"/>
      <c r="M572" s="316"/>
      <c r="N572" s="317"/>
      <c r="O572" s="318"/>
      <c r="P572" s="397"/>
      <c r="Q572" s="199"/>
      <c r="R572" s="220"/>
      <c r="S572" s="400"/>
      <c r="T572" s="401"/>
      <c r="U572" s="199"/>
      <c r="V572" s="220"/>
      <c r="W572" s="400"/>
      <c r="X572" s="401"/>
      <c r="Y572" s="199"/>
      <c r="Z572" s="220"/>
      <c r="AA572" s="400"/>
      <c r="AB572" s="401"/>
      <c r="AC572" s="199"/>
      <c r="AD572" s="220"/>
      <c r="AE572" s="400"/>
      <c r="AF572" s="401"/>
      <c r="AG572" s="201"/>
      <c r="AH572" s="201"/>
      <c r="AI572" s="201"/>
      <c r="AJ572" s="201"/>
      <c r="AK572" s="397"/>
      <c r="AL572" s="397"/>
      <c r="AM572" s="397"/>
    </row>
    <row r="573">
      <c r="A573" s="316"/>
      <c r="B573" s="317"/>
      <c r="C573" s="318"/>
      <c r="D573" s="397"/>
      <c r="E573" s="316"/>
      <c r="F573" s="317"/>
      <c r="G573" s="318"/>
      <c r="H573" s="397"/>
      <c r="I573" s="316"/>
      <c r="J573" s="317"/>
      <c r="K573" s="318"/>
      <c r="L573" s="397"/>
      <c r="M573" s="316"/>
      <c r="N573" s="317"/>
      <c r="O573" s="318"/>
      <c r="P573" s="397"/>
      <c r="Q573" s="199"/>
      <c r="R573" s="220"/>
      <c r="S573" s="400"/>
      <c r="T573" s="401"/>
      <c r="U573" s="199"/>
      <c r="V573" s="220"/>
      <c r="W573" s="400"/>
      <c r="X573" s="401"/>
      <c r="Y573" s="199"/>
      <c r="Z573" s="220"/>
      <c r="AA573" s="400"/>
      <c r="AB573" s="401"/>
      <c r="AC573" s="199"/>
      <c r="AD573" s="220"/>
      <c r="AE573" s="400"/>
      <c r="AF573" s="401"/>
      <c r="AG573" s="201"/>
      <c r="AH573" s="201"/>
      <c r="AI573" s="201"/>
      <c r="AJ573" s="201"/>
      <c r="AK573" s="397"/>
      <c r="AL573" s="397"/>
      <c r="AM573" s="397"/>
    </row>
    <row r="574">
      <c r="A574" s="316"/>
      <c r="B574" s="317"/>
      <c r="C574" s="318"/>
      <c r="D574" s="397"/>
      <c r="E574" s="316"/>
      <c r="F574" s="317"/>
      <c r="G574" s="318"/>
      <c r="H574" s="397"/>
      <c r="I574" s="316"/>
      <c r="J574" s="317"/>
      <c r="K574" s="318"/>
      <c r="L574" s="397"/>
      <c r="M574" s="316"/>
      <c r="N574" s="317"/>
      <c r="O574" s="318"/>
      <c r="P574" s="397"/>
      <c r="Q574" s="199"/>
      <c r="R574" s="220"/>
      <c r="S574" s="400"/>
      <c r="T574" s="401"/>
      <c r="U574" s="199"/>
      <c r="V574" s="220"/>
      <c r="W574" s="400"/>
      <c r="X574" s="401"/>
      <c r="Y574" s="199"/>
      <c r="Z574" s="220"/>
      <c r="AA574" s="400"/>
      <c r="AB574" s="401"/>
      <c r="AC574" s="199"/>
      <c r="AD574" s="220"/>
      <c r="AE574" s="400"/>
      <c r="AF574" s="401"/>
      <c r="AG574" s="201"/>
      <c r="AH574" s="201"/>
      <c r="AI574" s="201"/>
      <c r="AJ574" s="201"/>
      <c r="AK574" s="397"/>
      <c r="AL574" s="397"/>
      <c r="AM574" s="397"/>
    </row>
    <row r="575">
      <c r="A575" s="316"/>
      <c r="B575" s="317"/>
      <c r="C575" s="318"/>
      <c r="D575" s="397"/>
      <c r="E575" s="316"/>
      <c r="F575" s="317"/>
      <c r="G575" s="318"/>
      <c r="H575" s="397"/>
      <c r="I575" s="316"/>
      <c r="J575" s="317"/>
      <c r="K575" s="318"/>
      <c r="L575" s="397"/>
      <c r="M575" s="316"/>
      <c r="N575" s="317"/>
      <c r="O575" s="318"/>
      <c r="P575" s="397"/>
      <c r="Q575" s="199"/>
      <c r="R575" s="220"/>
      <c r="S575" s="400"/>
      <c r="T575" s="401"/>
      <c r="U575" s="199"/>
      <c r="V575" s="220"/>
      <c r="W575" s="400"/>
      <c r="X575" s="401"/>
      <c r="Y575" s="199"/>
      <c r="Z575" s="220"/>
      <c r="AA575" s="400"/>
      <c r="AB575" s="401"/>
      <c r="AC575" s="199"/>
      <c r="AD575" s="220"/>
      <c r="AE575" s="400"/>
      <c r="AF575" s="401"/>
      <c r="AG575" s="201"/>
      <c r="AH575" s="201"/>
      <c r="AI575" s="201"/>
      <c r="AJ575" s="201"/>
      <c r="AK575" s="397"/>
      <c r="AL575" s="397"/>
      <c r="AM575" s="397"/>
    </row>
    <row r="576">
      <c r="A576" s="316"/>
      <c r="B576" s="317"/>
      <c r="C576" s="318"/>
      <c r="D576" s="397"/>
      <c r="E576" s="316"/>
      <c r="F576" s="317"/>
      <c r="G576" s="318"/>
      <c r="H576" s="397"/>
      <c r="I576" s="316"/>
      <c r="J576" s="317"/>
      <c r="K576" s="318"/>
      <c r="L576" s="397"/>
      <c r="M576" s="316"/>
      <c r="N576" s="317"/>
      <c r="O576" s="318"/>
      <c r="P576" s="397"/>
      <c r="Q576" s="199"/>
      <c r="R576" s="220"/>
      <c r="S576" s="400"/>
      <c r="T576" s="401"/>
      <c r="U576" s="199"/>
      <c r="V576" s="220"/>
      <c r="W576" s="400"/>
      <c r="X576" s="401"/>
      <c r="Y576" s="199"/>
      <c r="Z576" s="220"/>
      <c r="AA576" s="400"/>
      <c r="AB576" s="401"/>
      <c r="AC576" s="199"/>
      <c r="AD576" s="220"/>
      <c r="AE576" s="400"/>
      <c r="AF576" s="401"/>
      <c r="AG576" s="201"/>
      <c r="AH576" s="201"/>
      <c r="AI576" s="201"/>
      <c r="AJ576" s="201"/>
      <c r="AK576" s="397"/>
      <c r="AL576" s="397"/>
      <c r="AM576" s="397"/>
    </row>
    <row r="577">
      <c r="A577" s="316"/>
      <c r="B577" s="317"/>
      <c r="C577" s="318"/>
      <c r="D577" s="397"/>
      <c r="E577" s="316"/>
      <c r="F577" s="317"/>
      <c r="G577" s="318"/>
      <c r="H577" s="397"/>
      <c r="I577" s="316"/>
      <c r="J577" s="317"/>
      <c r="K577" s="318"/>
      <c r="L577" s="397"/>
      <c r="M577" s="316"/>
      <c r="N577" s="317"/>
      <c r="O577" s="318"/>
      <c r="P577" s="397"/>
      <c r="Q577" s="199"/>
      <c r="R577" s="220"/>
      <c r="S577" s="400"/>
      <c r="T577" s="401"/>
      <c r="U577" s="199"/>
      <c r="V577" s="220"/>
      <c r="W577" s="400"/>
      <c r="X577" s="401"/>
      <c r="Y577" s="199"/>
      <c r="Z577" s="220"/>
      <c r="AA577" s="400"/>
      <c r="AB577" s="401"/>
      <c r="AC577" s="199"/>
      <c r="AD577" s="220"/>
      <c r="AE577" s="400"/>
      <c r="AF577" s="401"/>
      <c r="AG577" s="201"/>
      <c r="AH577" s="201"/>
      <c r="AI577" s="201"/>
      <c r="AJ577" s="201"/>
      <c r="AK577" s="397"/>
      <c r="AL577" s="397"/>
      <c r="AM577" s="397"/>
    </row>
    <row r="578">
      <c r="A578" s="316"/>
      <c r="B578" s="317"/>
      <c r="C578" s="318"/>
      <c r="D578" s="397"/>
      <c r="E578" s="316"/>
      <c r="F578" s="317"/>
      <c r="G578" s="318"/>
      <c r="H578" s="397"/>
      <c r="I578" s="316"/>
      <c r="J578" s="317"/>
      <c r="K578" s="318"/>
      <c r="L578" s="397"/>
      <c r="M578" s="316"/>
      <c r="N578" s="317"/>
      <c r="O578" s="318"/>
      <c r="P578" s="397"/>
      <c r="Q578" s="199"/>
      <c r="R578" s="220"/>
      <c r="S578" s="400"/>
      <c r="T578" s="401"/>
      <c r="U578" s="199"/>
      <c r="V578" s="220"/>
      <c r="W578" s="400"/>
      <c r="X578" s="401"/>
      <c r="Y578" s="199"/>
      <c r="Z578" s="220"/>
      <c r="AA578" s="400"/>
      <c r="AB578" s="401"/>
      <c r="AC578" s="199"/>
      <c r="AD578" s="220"/>
      <c r="AE578" s="400"/>
      <c r="AF578" s="401"/>
      <c r="AG578" s="201"/>
      <c r="AH578" s="201"/>
      <c r="AI578" s="201"/>
      <c r="AJ578" s="201"/>
      <c r="AK578" s="397"/>
      <c r="AL578" s="397"/>
      <c r="AM578" s="397"/>
    </row>
    <row r="579">
      <c r="A579" s="316"/>
      <c r="B579" s="317"/>
      <c r="C579" s="318"/>
      <c r="D579" s="397"/>
      <c r="E579" s="316"/>
      <c r="F579" s="317"/>
      <c r="G579" s="318"/>
      <c r="H579" s="397"/>
      <c r="I579" s="316"/>
      <c r="J579" s="317"/>
      <c r="K579" s="318"/>
      <c r="L579" s="397"/>
      <c r="M579" s="316"/>
      <c r="N579" s="317"/>
      <c r="O579" s="318"/>
      <c r="P579" s="397"/>
      <c r="Q579" s="199"/>
      <c r="R579" s="220"/>
      <c r="S579" s="400"/>
      <c r="T579" s="401"/>
      <c r="U579" s="199"/>
      <c r="V579" s="220"/>
      <c r="W579" s="400"/>
      <c r="X579" s="401"/>
      <c r="Y579" s="199"/>
      <c r="Z579" s="220"/>
      <c r="AA579" s="400"/>
      <c r="AB579" s="401"/>
      <c r="AC579" s="199"/>
      <c r="AD579" s="220"/>
      <c r="AE579" s="400"/>
      <c r="AF579" s="401"/>
      <c r="AG579" s="201"/>
      <c r="AH579" s="201"/>
      <c r="AI579" s="201"/>
      <c r="AJ579" s="201"/>
      <c r="AK579" s="397"/>
      <c r="AL579" s="397"/>
      <c r="AM579" s="397"/>
    </row>
    <row r="580">
      <c r="A580" s="316"/>
      <c r="B580" s="317"/>
      <c r="C580" s="318"/>
      <c r="D580" s="397"/>
      <c r="E580" s="316"/>
      <c r="F580" s="317"/>
      <c r="G580" s="318"/>
      <c r="H580" s="397"/>
      <c r="I580" s="316"/>
      <c r="J580" s="317"/>
      <c r="K580" s="318"/>
      <c r="L580" s="397"/>
      <c r="M580" s="316"/>
      <c r="N580" s="317"/>
      <c r="O580" s="318"/>
      <c r="P580" s="397"/>
      <c r="Q580" s="199"/>
      <c r="R580" s="220"/>
      <c r="S580" s="400"/>
      <c r="T580" s="401"/>
      <c r="U580" s="199"/>
      <c r="V580" s="220"/>
      <c r="W580" s="400"/>
      <c r="X580" s="401"/>
      <c r="Y580" s="199"/>
      <c r="Z580" s="220"/>
      <c r="AA580" s="400"/>
      <c r="AB580" s="401"/>
      <c r="AC580" s="199"/>
      <c r="AD580" s="220"/>
      <c r="AE580" s="400"/>
      <c r="AF580" s="401"/>
      <c r="AG580" s="201"/>
      <c r="AH580" s="201"/>
      <c r="AI580" s="201"/>
      <c r="AJ580" s="201"/>
      <c r="AK580" s="397"/>
      <c r="AL580" s="397"/>
      <c r="AM580" s="397"/>
    </row>
    <row r="581">
      <c r="A581" s="316"/>
      <c r="B581" s="317"/>
      <c r="C581" s="318"/>
      <c r="D581" s="397"/>
      <c r="E581" s="316"/>
      <c r="F581" s="317"/>
      <c r="G581" s="318"/>
      <c r="H581" s="397"/>
      <c r="I581" s="316"/>
      <c r="J581" s="317"/>
      <c r="K581" s="318"/>
      <c r="L581" s="397"/>
      <c r="M581" s="316"/>
      <c r="N581" s="317"/>
      <c r="O581" s="318"/>
      <c r="P581" s="397"/>
      <c r="Q581" s="199"/>
      <c r="R581" s="220"/>
      <c r="S581" s="400"/>
      <c r="T581" s="401"/>
      <c r="U581" s="199"/>
      <c r="V581" s="220"/>
      <c r="W581" s="400"/>
      <c r="X581" s="401"/>
      <c r="Y581" s="199"/>
      <c r="Z581" s="220"/>
      <c r="AA581" s="400"/>
      <c r="AB581" s="401"/>
      <c r="AC581" s="199"/>
      <c r="AD581" s="220"/>
      <c r="AE581" s="400"/>
      <c r="AF581" s="401"/>
      <c r="AG581" s="201"/>
      <c r="AH581" s="201"/>
      <c r="AI581" s="201"/>
      <c r="AJ581" s="201"/>
      <c r="AK581" s="397"/>
      <c r="AL581" s="397"/>
      <c r="AM581" s="397"/>
    </row>
    <row r="582">
      <c r="A582" s="316"/>
      <c r="B582" s="317"/>
      <c r="C582" s="318"/>
      <c r="D582" s="397"/>
      <c r="E582" s="316"/>
      <c r="F582" s="317"/>
      <c r="G582" s="318"/>
      <c r="H582" s="397"/>
      <c r="I582" s="316"/>
      <c r="J582" s="317"/>
      <c r="K582" s="318"/>
      <c r="L582" s="397"/>
      <c r="M582" s="316"/>
      <c r="N582" s="317"/>
      <c r="O582" s="318"/>
      <c r="P582" s="397"/>
      <c r="Q582" s="199"/>
      <c r="R582" s="220"/>
      <c r="S582" s="400"/>
      <c r="T582" s="401"/>
      <c r="U582" s="199"/>
      <c r="V582" s="220"/>
      <c r="W582" s="400"/>
      <c r="X582" s="401"/>
      <c r="Y582" s="199"/>
      <c r="Z582" s="220"/>
      <c r="AA582" s="400"/>
      <c r="AB582" s="401"/>
      <c r="AC582" s="199"/>
      <c r="AD582" s="220"/>
      <c r="AE582" s="400"/>
      <c r="AF582" s="401"/>
      <c r="AG582" s="201"/>
      <c r="AH582" s="201"/>
      <c r="AI582" s="201"/>
      <c r="AJ582" s="201"/>
      <c r="AK582" s="397"/>
      <c r="AL582" s="397"/>
      <c r="AM582" s="397"/>
    </row>
    <row r="583">
      <c r="A583" s="316"/>
      <c r="B583" s="317"/>
      <c r="C583" s="318"/>
      <c r="D583" s="397"/>
      <c r="E583" s="316"/>
      <c r="F583" s="317"/>
      <c r="G583" s="318"/>
      <c r="H583" s="397"/>
      <c r="I583" s="316"/>
      <c r="J583" s="317"/>
      <c r="K583" s="318"/>
      <c r="L583" s="397"/>
      <c r="M583" s="316"/>
      <c r="N583" s="317"/>
      <c r="O583" s="318"/>
      <c r="P583" s="397"/>
      <c r="Q583" s="199"/>
      <c r="R583" s="220"/>
      <c r="S583" s="400"/>
      <c r="T583" s="401"/>
      <c r="U583" s="199"/>
      <c r="V583" s="220"/>
      <c r="W583" s="400"/>
      <c r="X583" s="401"/>
      <c r="Y583" s="199"/>
      <c r="Z583" s="220"/>
      <c r="AA583" s="400"/>
      <c r="AB583" s="401"/>
      <c r="AC583" s="199"/>
      <c r="AD583" s="220"/>
      <c r="AE583" s="400"/>
      <c r="AF583" s="401"/>
      <c r="AG583" s="201"/>
      <c r="AH583" s="201"/>
      <c r="AI583" s="201"/>
      <c r="AJ583" s="201"/>
      <c r="AK583" s="397"/>
      <c r="AL583" s="397"/>
      <c r="AM583" s="397"/>
    </row>
    <row r="584">
      <c r="A584" s="316"/>
      <c r="B584" s="317"/>
      <c r="C584" s="318"/>
      <c r="D584" s="397"/>
      <c r="E584" s="316"/>
      <c r="F584" s="317"/>
      <c r="G584" s="318"/>
      <c r="H584" s="397"/>
      <c r="I584" s="316"/>
      <c r="J584" s="317"/>
      <c r="K584" s="318"/>
      <c r="L584" s="397"/>
      <c r="M584" s="316"/>
      <c r="N584" s="317"/>
      <c r="O584" s="318"/>
      <c r="P584" s="397"/>
      <c r="Q584" s="199"/>
      <c r="R584" s="220"/>
      <c r="S584" s="400"/>
      <c r="T584" s="401"/>
      <c r="U584" s="199"/>
      <c r="V584" s="220"/>
      <c r="W584" s="400"/>
      <c r="X584" s="401"/>
      <c r="Y584" s="199"/>
      <c r="Z584" s="220"/>
      <c r="AA584" s="400"/>
      <c r="AB584" s="401"/>
      <c r="AC584" s="199"/>
      <c r="AD584" s="220"/>
      <c r="AE584" s="400"/>
      <c r="AF584" s="401"/>
      <c r="AG584" s="201"/>
      <c r="AH584" s="201"/>
      <c r="AI584" s="201"/>
      <c r="AJ584" s="201"/>
      <c r="AK584" s="397"/>
      <c r="AL584" s="397"/>
      <c r="AM584" s="397"/>
    </row>
    <row r="585">
      <c r="A585" s="316"/>
      <c r="B585" s="317"/>
      <c r="C585" s="318"/>
      <c r="D585" s="397"/>
      <c r="E585" s="316"/>
      <c r="F585" s="317"/>
      <c r="G585" s="318"/>
      <c r="H585" s="397"/>
      <c r="I585" s="316"/>
      <c r="J585" s="317"/>
      <c r="K585" s="318"/>
      <c r="L585" s="397"/>
      <c r="M585" s="316"/>
      <c r="N585" s="317"/>
      <c r="O585" s="318"/>
      <c r="P585" s="397"/>
      <c r="Q585" s="199"/>
      <c r="R585" s="220"/>
      <c r="S585" s="400"/>
      <c r="T585" s="401"/>
      <c r="U585" s="199"/>
      <c r="V585" s="220"/>
      <c r="W585" s="400"/>
      <c r="X585" s="401"/>
      <c r="Y585" s="199"/>
      <c r="Z585" s="220"/>
      <c r="AA585" s="400"/>
      <c r="AB585" s="401"/>
      <c r="AC585" s="199"/>
      <c r="AD585" s="220"/>
      <c r="AE585" s="400"/>
      <c r="AF585" s="401"/>
      <c r="AG585" s="201"/>
      <c r="AH585" s="201"/>
      <c r="AI585" s="201"/>
      <c r="AJ585" s="201"/>
      <c r="AK585" s="397"/>
      <c r="AL585" s="397"/>
      <c r="AM585" s="397"/>
    </row>
    <row r="586">
      <c r="A586" s="316"/>
      <c r="B586" s="317"/>
      <c r="C586" s="318"/>
      <c r="D586" s="397"/>
      <c r="E586" s="316"/>
      <c r="F586" s="317"/>
      <c r="G586" s="318"/>
      <c r="H586" s="397"/>
      <c r="I586" s="316"/>
      <c r="J586" s="317"/>
      <c r="K586" s="318"/>
      <c r="L586" s="397"/>
      <c r="M586" s="316"/>
      <c r="N586" s="317"/>
      <c r="O586" s="318"/>
      <c r="P586" s="397"/>
      <c r="Q586" s="199"/>
      <c r="R586" s="220"/>
      <c r="S586" s="400"/>
      <c r="T586" s="401"/>
      <c r="U586" s="199"/>
      <c r="V586" s="220"/>
      <c r="W586" s="400"/>
      <c r="X586" s="401"/>
      <c r="Y586" s="199"/>
      <c r="Z586" s="220"/>
      <c r="AA586" s="400"/>
      <c r="AB586" s="401"/>
      <c r="AC586" s="199"/>
      <c r="AD586" s="220"/>
      <c r="AE586" s="400"/>
      <c r="AF586" s="401"/>
      <c r="AG586" s="201"/>
      <c r="AH586" s="201"/>
      <c r="AI586" s="201"/>
      <c r="AJ586" s="201"/>
      <c r="AK586" s="397"/>
      <c r="AL586" s="397"/>
      <c r="AM586" s="397"/>
    </row>
    <row r="587">
      <c r="A587" s="316"/>
      <c r="B587" s="317"/>
      <c r="C587" s="318"/>
      <c r="D587" s="397"/>
      <c r="E587" s="316"/>
      <c r="F587" s="317"/>
      <c r="G587" s="318"/>
      <c r="H587" s="397"/>
      <c r="I587" s="316"/>
      <c r="J587" s="317"/>
      <c r="K587" s="318"/>
      <c r="L587" s="397"/>
      <c r="M587" s="316"/>
      <c r="N587" s="317"/>
      <c r="O587" s="318"/>
      <c r="P587" s="397"/>
      <c r="Q587" s="199"/>
      <c r="R587" s="220"/>
      <c r="S587" s="400"/>
      <c r="T587" s="401"/>
      <c r="U587" s="199"/>
      <c r="V587" s="220"/>
      <c r="W587" s="400"/>
      <c r="X587" s="401"/>
      <c r="Y587" s="199"/>
      <c r="Z587" s="220"/>
      <c r="AA587" s="400"/>
      <c r="AB587" s="401"/>
      <c r="AC587" s="199"/>
      <c r="AD587" s="220"/>
      <c r="AE587" s="400"/>
      <c r="AF587" s="401"/>
      <c r="AG587" s="201"/>
      <c r="AH587" s="201"/>
      <c r="AI587" s="201"/>
      <c r="AJ587" s="201"/>
      <c r="AK587" s="397"/>
      <c r="AL587" s="397"/>
      <c r="AM587" s="397"/>
    </row>
    <row r="588">
      <c r="A588" s="316"/>
      <c r="B588" s="317"/>
      <c r="C588" s="318"/>
      <c r="D588" s="397"/>
      <c r="E588" s="316"/>
      <c r="F588" s="317"/>
      <c r="G588" s="318"/>
      <c r="H588" s="397"/>
      <c r="I588" s="316"/>
      <c r="J588" s="317"/>
      <c r="K588" s="318"/>
      <c r="L588" s="397"/>
      <c r="M588" s="316"/>
      <c r="N588" s="317"/>
      <c r="O588" s="318"/>
      <c r="P588" s="397"/>
      <c r="Q588" s="199"/>
      <c r="R588" s="220"/>
      <c r="S588" s="400"/>
      <c r="T588" s="401"/>
      <c r="U588" s="199"/>
      <c r="V588" s="220"/>
      <c r="W588" s="400"/>
      <c r="X588" s="401"/>
      <c r="Y588" s="199"/>
      <c r="Z588" s="220"/>
      <c r="AA588" s="400"/>
      <c r="AB588" s="401"/>
      <c r="AC588" s="199"/>
      <c r="AD588" s="220"/>
      <c r="AE588" s="400"/>
      <c r="AF588" s="401"/>
      <c r="AG588" s="201"/>
      <c r="AH588" s="201"/>
      <c r="AI588" s="201"/>
      <c r="AJ588" s="201"/>
      <c r="AK588" s="397"/>
      <c r="AL588" s="397"/>
      <c r="AM588" s="397"/>
    </row>
    <row r="589">
      <c r="A589" s="316"/>
      <c r="B589" s="317"/>
      <c r="C589" s="318"/>
      <c r="D589" s="397"/>
      <c r="E589" s="316"/>
      <c r="F589" s="317"/>
      <c r="G589" s="318"/>
      <c r="H589" s="397"/>
      <c r="I589" s="316"/>
      <c r="J589" s="317"/>
      <c r="K589" s="318"/>
      <c r="L589" s="397"/>
      <c r="M589" s="316"/>
      <c r="N589" s="317"/>
      <c r="O589" s="318"/>
      <c r="P589" s="397"/>
      <c r="Q589" s="199"/>
      <c r="R589" s="220"/>
      <c r="S589" s="400"/>
      <c r="T589" s="401"/>
      <c r="U589" s="199"/>
      <c r="V589" s="220"/>
      <c r="W589" s="400"/>
      <c r="X589" s="401"/>
      <c r="Y589" s="199"/>
      <c r="Z589" s="220"/>
      <c r="AA589" s="400"/>
      <c r="AB589" s="401"/>
      <c r="AC589" s="199"/>
      <c r="AD589" s="220"/>
      <c r="AE589" s="400"/>
      <c r="AF589" s="401"/>
      <c r="AG589" s="201"/>
      <c r="AH589" s="201"/>
      <c r="AI589" s="201"/>
      <c r="AJ589" s="201"/>
      <c r="AK589" s="397"/>
      <c r="AL589" s="397"/>
      <c r="AM589" s="397"/>
    </row>
    <row r="590">
      <c r="A590" s="316"/>
      <c r="B590" s="317"/>
      <c r="C590" s="318"/>
      <c r="D590" s="397"/>
      <c r="E590" s="316"/>
      <c r="F590" s="317"/>
      <c r="G590" s="318"/>
      <c r="H590" s="397"/>
      <c r="I590" s="316"/>
      <c r="J590" s="317"/>
      <c r="K590" s="318"/>
      <c r="L590" s="397"/>
      <c r="M590" s="316"/>
      <c r="N590" s="317"/>
      <c r="O590" s="318"/>
      <c r="P590" s="397"/>
      <c r="Q590" s="199"/>
      <c r="R590" s="220"/>
      <c r="S590" s="400"/>
      <c r="T590" s="401"/>
      <c r="U590" s="199"/>
      <c r="V590" s="220"/>
      <c r="W590" s="400"/>
      <c r="X590" s="401"/>
      <c r="Y590" s="199"/>
      <c r="Z590" s="220"/>
      <c r="AA590" s="400"/>
      <c r="AB590" s="401"/>
      <c r="AC590" s="199"/>
      <c r="AD590" s="220"/>
      <c r="AE590" s="400"/>
      <c r="AF590" s="401"/>
      <c r="AG590" s="201"/>
      <c r="AH590" s="201"/>
      <c r="AI590" s="201"/>
      <c r="AJ590" s="201"/>
      <c r="AK590" s="397"/>
      <c r="AL590" s="397"/>
      <c r="AM590" s="397"/>
    </row>
    <row r="591">
      <c r="A591" s="316"/>
      <c r="B591" s="317"/>
      <c r="C591" s="318"/>
      <c r="D591" s="397"/>
      <c r="E591" s="316"/>
      <c r="F591" s="317"/>
      <c r="G591" s="318"/>
      <c r="H591" s="397"/>
      <c r="I591" s="316"/>
      <c r="J591" s="317"/>
      <c r="K591" s="318"/>
      <c r="L591" s="397"/>
      <c r="M591" s="316"/>
      <c r="N591" s="317"/>
      <c r="O591" s="318"/>
      <c r="P591" s="397"/>
      <c r="Q591" s="199"/>
      <c r="R591" s="220"/>
      <c r="S591" s="400"/>
      <c r="T591" s="401"/>
      <c r="U591" s="199"/>
      <c r="V591" s="220"/>
      <c r="W591" s="400"/>
      <c r="X591" s="401"/>
      <c r="Y591" s="199"/>
      <c r="Z591" s="220"/>
      <c r="AA591" s="400"/>
      <c r="AB591" s="401"/>
      <c r="AC591" s="199"/>
      <c r="AD591" s="220"/>
      <c r="AE591" s="400"/>
      <c r="AF591" s="401"/>
      <c r="AG591" s="201"/>
      <c r="AH591" s="201"/>
      <c r="AI591" s="201"/>
      <c r="AJ591" s="201"/>
      <c r="AK591" s="397"/>
      <c r="AL591" s="397"/>
      <c r="AM591" s="397"/>
    </row>
    <row r="592">
      <c r="A592" s="316"/>
      <c r="B592" s="317"/>
      <c r="C592" s="318"/>
      <c r="D592" s="397"/>
      <c r="E592" s="316"/>
      <c r="F592" s="317"/>
      <c r="G592" s="318"/>
      <c r="H592" s="397"/>
      <c r="I592" s="316"/>
      <c r="J592" s="317"/>
      <c r="K592" s="318"/>
      <c r="L592" s="397"/>
      <c r="M592" s="316"/>
      <c r="N592" s="317"/>
      <c r="O592" s="318"/>
      <c r="P592" s="397"/>
      <c r="Q592" s="199"/>
      <c r="R592" s="220"/>
      <c r="S592" s="400"/>
      <c r="T592" s="401"/>
      <c r="U592" s="199"/>
      <c r="V592" s="220"/>
      <c r="W592" s="400"/>
      <c r="X592" s="401"/>
      <c r="Y592" s="199"/>
      <c r="Z592" s="220"/>
      <c r="AA592" s="400"/>
      <c r="AB592" s="401"/>
      <c r="AC592" s="199"/>
      <c r="AD592" s="220"/>
      <c r="AE592" s="400"/>
      <c r="AF592" s="401"/>
      <c r="AG592" s="201"/>
      <c r="AH592" s="201"/>
      <c r="AI592" s="201"/>
      <c r="AJ592" s="201"/>
      <c r="AK592" s="397"/>
      <c r="AL592" s="397"/>
      <c r="AM592" s="397"/>
    </row>
    <row r="593">
      <c r="A593" s="316"/>
      <c r="B593" s="317"/>
      <c r="C593" s="318"/>
      <c r="D593" s="397"/>
      <c r="E593" s="316"/>
      <c r="F593" s="317"/>
      <c r="G593" s="318"/>
      <c r="H593" s="397"/>
      <c r="I593" s="316"/>
      <c r="J593" s="317"/>
      <c r="K593" s="318"/>
      <c r="L593" s="397"/>
      <c r="M593" s="316"/>
      <c r="N593" s="317"/>
      <c r="O593" s="318"/>
      <c r="P593" s="397"/>
      <c r="Q593" s="199"/>
      <c r="R593" s="220"/>
      <c r="S593" s="400"/>
      <c r="T593" s="401"/>
      <c r="U593" s="199"/>
      <c r="V593" s="220"/>
      <c r="W593" s="400"/>
      <c r="X593" s="401"/>
      <c r="Y593" s="199"/>
      <c r="Z593" s="220"/>
      <c r="AA593" s="400"/>
      <c r="AB593" s="401"/>
      <c r="AC593" s="199"/>
      <c r="AD593" s="220"/>
      <c r="AE593" s="400"/>
      <c r="AF593" s="401"/>
      <c r="AG593" s="201"/>
      <c r="AH593" s="201"/>
      <c r="AI593" s="201"/>
      <c r="AJ593" s="201"/>
      <c r="AK593" s="397"/>
      <c r="AL593" s="397"/>
      <c r="AM593" s="397"/>
    </row>
    <row r="594">
      <c r="A594" s="316"/>
      <c r="B594" s="317"/>
      <c r="C594" s="318"/>
      <c r="D594" s="397"/>
      <c r="E594" s="316"/>
      <c r="F594" s="317"/>
      <c r="G594" s="318"/>
      <c r="H594" s="397"/>
      <c r="I594" s="316"/>
      <c r="J594" s="317"/>
      <c r="K594" s="318"/>
      <c r="L594" s="397"/>
      <c r="M594" s="316"/>
      <c r="N594" s="317"/>
      <c r="O594" s="318"/>
      <c r="P594" s="397"/>
      <c r="Q594" s="199"/>
      <c r="R594" s="220"/>
      <c r="S594" s="400"/>
      <c r="T594" s="401"/>
      <c r="U594" s="199"/>
      <c r="V594" s="220"/>
      <c r="W594" s="400"/>
      <c r="X594" s="401"/>
      <c r="Y594" s="199"/>
      <c r="Z594" s="220"/>
      <c r="AA594" s="400"/>
      <c r="AB594" s="401"/>
      <c r="AC594" s="199"/>
      <c r="AD594" s="220"/>
      <c r="AE594" s="400"/>
      <c r="AF594" s="401"/>
      <c r="AG594" s="201"/>
      <c r="AH594" s="201"/>
      <c r="AI594" s="201"/>
      <c r="AJ594" s="201"/>
      <c r="AK594" s="397"/>
      <c r="AL594" s="397"/>
      <c r="AM594" s="397"/>
    </row>
    <row r="595">
      <c r="A595" s="316"/>
      <c r="B595" s="317"/>
      <c r="C595" s="318"/>
      <c r="D595" s="397"/>
      <c r="E595" s="316"/>
      <c r="F595" s="317"/>
      <c r="G595" s="318"/>
      <c r="H595" s="397"/>
      <c r="I595" s="316"/>
      <c r="J595" s="317"/>
      <c r="K595" s="318"/>
      <c r="L595" s="397"/>
      <c r="M595" s="316"/>
      <c r="N595" s="317"/>
      <c r="O595" s="318"/>
      <c r="P595" s="397"/>
      <c r="Q595" s="199"/>
      <c r="R595" s="220"/>
      <c r="S595" s="400"/>
      <c r="T595" s="401"/>
      <c r="U595" s="199"/>
      <c r="V595" s="220"/>
      <c r="W595" s="400"/>
      <c r="X595" s="401"/>
      <c r="Y595" s="199"/>
      <c r="Z595" s="220"/>
      <c r="AA595" s="400"/>
      <c r="AB595" s="401"/>
      <c r="AC595" s="199"/>
      <c r="AD595" s="220"/>
      <c r="AE595" s="400"/>
      <c r="AF595" s="401"/>
      <c r="AG595" s="201"/>
      <c r="AH595" s="201"/>
      <c r="AI595" s="201"/>
      <c r="AJ595" s="201"/>
      <c r="AK595" s="397"/>
      <c r="AL595" s="397"/>
      <c r="AM595" s="397"/>
    </row>
    <row r="596">
      <c r="A596" s="316"/>
      <c r="B596" s="317"/>
      <c r="C596" s="318"/>
      <c r="D596" s="397"/>
      <c r="E596" s="316"/>
      <c r="F596" s="317"/>
      <c r="G596" s="318"/>
      <c r="H596" s="397"/>
      <c r="I596" s="316"/>
      <c r="J596" s="317"/>
      <c r="K596" s="318"/>
      <c r="L596" s="397"/>
      <c r="M596" s="316"/>
      <c r="N596" s="317"/>
      <c r="O596" s="318"/>
      <c r="P596" s="397"/>
      <c r="Q596" s="199"/>
      <c r="R596" s="220"/>
      <c r="S596" s="400"/>
      <c r="T596" s="401"/>
      <c r="U596" s="199"/>
      <c r="V596" s="220"/>
      <c r="W596" s="400"/>
      <c r="X596" s="401"/>
      <c r="Y596" s="199"/>
      <c r="Z596" s="220"/>
      <c r="AA596" s="400"/>
      <c r="AB596" s="401"/>
      <c r="AC596" s="199"/>
      <c r="AD596" s="220"/>
      <c r="AE596" s="400"/>
      <c r="AF596" s="401"/>
      <c r="AG596" s="201"/>
      <c r="AH596" s="201"/>
      <c r="AI596" s="201"/>
      <c r="AJ596" s="201"/>
      <c r="AK596" s="397"/>
      <c r="AL596" s="397"/>
      <c r="AM596" s="397"/>
    </row>
    <row r="597">
      <c r="A597" s="316"/>
      <c r="B597" s="317"/>
      <c r="C597" s="318"/>
      <c r="D597" s="397"/>
      <c r="E597" s="316"/>
      <c r="F597" s="317"/>
      <c r="G597" s="318"/>
      <c r="H597" s="397"/>
      <c r="I597" s="316"/>
      <c r="J597" s="317"/>
      <c r="K597" s="318"/>
      <c r="L597" s="397"/>
      <c r="M597" s="316"/>
      <c r="N597" s="317"/>
      <c r="O597" s="318"/>
      <c r="P597" s="397"/>
      <c r="Q597" s="199"/>
      <c r="R597" s="220"/>
      <c r="S597" s="400"/>
      <c r="T597" s="401"/>
      <c r="U597" s="199"/>
      <c r="V597" s="220"/>
      <c r="W597" s="400"/>
      <c r="X597" s="401"/>
      <c r="Y597" s="199"/>
      <c r="Z597" s="220"/>
      <c r="AA597" s="400"/>
      <c r="AB597" s="401"/>
      <c r="AC597" s="199"/>
      <c r="AD597" s="220"/>
      <c r="AE597" s="400"/>
      <c r="AF597" s="401"/>
      <c r="AG597" s="201"/>
      <c r="AH597" s="201"/>
      <c r="AI597" s="201"/>
      <c r="AJ597" s="201"/>
      <c r="AK597" s="397"/>
      <c r="AL597" s="397"/>
      <c r="AM597" s="397"/>
    </row>
    <row r="598">
      <c r="A598" s="316"/>
      <c r="B598" s="317"/>
      <c r="C598" s="318"/>
      <c r="D598" s="397"/>
      <c r="E598" s="316"/>
      <c r="F598" s="317"/>
      <c r="G598" s="318"/>
      <c r="H598" s="397"/>
      <c r="I598" s="316"/>
      <c r="J598" s="317"/>
      <c r="K598" s="318"/>
      <c r="L598" s="397"/>
      <c r="M598" s="316"/>
      <c r="N598" s="317"/>
      <c r="O598" s="318"/>
      <c r="P598" s="397"/>
      <c r="Q598" s="199"/>
      <c r="R598" s="220"/>
      <c r="S598" s="400"/>
      <c r="T598" s="401"/>
      <c r="U598" s="199"/>
      <c r="V598" s="220"/>
      <c r="W598" s="400"/>
      <c r="X598" s="401"/>
      <c r="Y598" s="199"/>
      <c r="Z598" s="220"/>
      <c r="AA598" s="400"/>
      <c r="AB598" s="401"/>
      <c r="AC598" s="199"/>
      <c r="AD598" s="220"/>
      <c r="AE598" s="400"/>
      <c r="AF598" s="401"/>
      <c r="AG598" s="201"/>
      <c r="AH598" s="201"/>
      <c r="AI598" s="201"/>
      <c r="AJ598" s="201"/>
      <c r="AK598" s="397"/>
      <c r="AL598" s="397"/>
      <c r="AM598" s="397"/>
    </row>
    <row r="599">
      <c r="A599" s="316"/>
      <c r="B599" s="317"/>
      <c r="C599" s="318"/>
      <c r="D599" s="397"/>
      <c r="E599" s="316"/>
      <c r="F599" s="317"/>
      <c r="G599" s="318"/>
      <c r="H599" s="397"/>
      <c r="I599" s="316"/>
      <c r="J599" s="317"/>
      <c r="K599" s="318"/>
      <c r="L599" s="397"/>
      <c r="M599" s="316"/>
      <c r="N599" s="317"/>
      <c r="O599" s="318"/>
      <c r="P599" s="397"/>
      <c r="Q599" s="199"/>
      <c r="R599" s="220"/>
      <c r="S599" s="400"/>
      <c r="T599" s="401"/>
      <c r="U599" s="199"/>
      <c r="V599" s="220"/>
      <c r="W599" s="400"/>
      <c r="X599" s="401"/>
      <c r="Y599" s="199"/>
      <c r="Z599" s="220"/>
      <c r="AA599" s="400"/>
      <c r="AB599" s="401"/>
      <c r="AC599" s="199"/>
      <c r="AD599" s="220"/>
      <c r="AE599" s="400"/>
      <c r="AF599" s="401"/>
      <c r="AG599" s="201"/>
      <c r="AH599" s="201"/>
      <c r="AI599" s="201"/>
      <c r="AJ599" s="201"/>
      <c r="AK599" s="397"/>
      <c r="AL599" s="397"/>
      <c r="AM599" s="397"/>
    </row>
    <row r="600">
      <c r="A600" s="316"/>
      <c r="B600" s="317"/>
      <c r="C600" s="318"/>
      <c r="D600" s="397"/>
      <c r="E600" s="316"/>
      <c r="F600" s="317"/>
      <c r="G600" s="318"/>
      <c r="H600" s="397"/>
      <c r="I600" s="316"/>
      <c r="J600" s="317"/>
      <c r="K600" s="318"/>
      <c r="L600" s="397"/>
      <c r="M600" s="316"/>
      <c r="N600" s="317"/>
      <c r="O600" s="318"/>
      <c r="P600" s="397"/>
      <c r="Q600" s="199"/>
      <c r="R600" s="220"/>
      <c r="S600" s="400"/>
      <c r="T600" s="401"/>
      <c r="U600" s="199"/>
      <c r="V600" s="220"/>
      <c r="W600" s="400"/>
      <c r="X600" s="401"/>
      <c r="Y600" s="199"/>
      <c r="Z600" s="220"/>
      <c r="AA600" s="400"/>
      <c r="AB600" s="401"/>
      <c r="AC600" s="199"/>
      <c r="AD600" s="220"/>
      <c r="AE600" s="400"/>
      <c r="AF600" s="401"/>
      <c r="AG600" s="201"/>
      <c r="AH600" s="201"/>
      <c r="AI600" s="201"/>
      <c r="AJ600" s="201"/>
      <c r="AK600" s="397"/>
      <c r="AL600" s="397"/>
      <c r="AM600" s="397"/>
    </row>
    <row r="601">
      <c r="A601" s="316"/>
      <c r="B601" s="317"/>
      <c r="C601" s="318"/>
      <c r="D601" s="397"/>
      <c r="E601" s="316"/>
      <c r="F601" s="317"/>
      <c r="G601" s="318"/>
      <c r="H601" s="397"/>
      <c r="I601" s="316"/>
      <c r="J601" s="317"/>
      <c r="K601" s="318"/>
      <c r="L601" s="397"/>
      <c r="M601" s="316"/>
      <c r="N601" s="317"/>
      <c r="O601" s="318"/>
      <c r="P601" s="397"/>
      <c r="Q601" s="199"/>
      <c r="R601" s="220"/>
      <c r="S601" s="400"/>
      <c r="T601" s="401"/>
      <c r="U601" s="199"/>
      <c r="V601" s="220"/>
      <c r="W601" s="400"/>
      <c r="X601" s="401"/>
      <c r="Y601" s="199"/>
      <c r="Z601" s="220"/>
      <c r="AA601" s="400"/>
      <c r="AB601" s="401"/>
      <c r="AC601" s="199"/>
      <c r="AD601" s="220"/>
      <c r="AE601" s="400"/>
      <c r="AF601" s="401"/>
      <c r="AG601" s="201"/>
      <c r="AH601" s="201"/>
      <c r="AI601" s="201"/>
      <c r="AJ601" s="201"/>
      <c r="AK601" s="397"/>
      <c r="AL601" s="397"/>
      <c r="AM601" s="397"/>
    </row>
    <row r="602">
      <c r="A602" s="316"/>
      <c r="B602" s="317"/>
      <c r="C602" s="318"/>
      <c r="D602" s="397"/>
      <c r="E602" s="316"/>
      <c r="F602" s="317"/>
      <c r="G602" s="318"/>
      <c r="H602" s="397"/>
      <c r="I602" s="316"/>
      <c r="J602" s="317"/>
      <c r="K602" s="318"/>
      <c r="L602" s="397"/>
      <c r="M602" s="316"/>
      <c r="N602" s="317"/>
      <c r="O602" s="318"/>
      <c r="P602" s="397"/>
      <c r="Q602" s="199"/>
      <c r="R602" s="220"/>
      <c r="S602" s="400"/>
      <c r="T602" s="401"/>
      <c r="U602" s="199"/>
      <c r="V602" s="220"/>
      <c r="W602" s="400"/>
      <c r="X602" s="401"/>
      <c r="Y602" s="199"/>
      <c r="Z602" s="220"/>
      <c r="AA602" s="400"/>
      <c r="AB602" s="401"/>
      <c r="AC602" s="199"/>
      <c r="AD602" s="220"/>
      <c r="AE602" s="400"/>
      <c r="AF602" s="401"/>
      <c r="AG602" s="201"/>
      <c r="AH602" s="201"/>
      <c r="AI602" s="201"/>
      <c r="AJ602" s="201"/>
      <c r="AK602" s="397"/>
      <c r="AL602" s="397"/>
      <c r="AM602" s="397"/>
    </row>
    <row r="603">
      <c r="A603" s="316"/>
      <c r="B603" s="317"/>
      <c r="C603" s="318"/>
      <c r="D603" s="397"/>
      <c r="E603" s="316"/>
      <c r="F603" s="317"/>
      <c r="G603" s="318"/>
      <c r="H603" s="397"/>
      <c r="I603" s="316"/>
      <c r="J603" s="317"/>
      <c r="K603" s="318"/>
      <c r="L603" s="397"/>
      <c r="M603" s="316"/>
      <c r="N603" s="317"/>
      <c r="O603" s="318"/>
      <c r="P603" s="397"/>
      <c r="Q603" s="199"/>
      <c r="R603" s="220"/>
      <c r="S603" s="400"/>
      <c r="T603" s="401"/>
      <c r="U603" s="199"/>
      <c r="V603" s="220"/>
      <c r="W603" s="400"/>
      <c r="X603" s="401"/>
      <c r="Y603" s="199"/>
      <c r="Z603" s="220"/>
      <c r="AA603" s="400"/>
      <c r="AB603" s="401"/>
      <c r="AC603" s="199"/>
      <c r="AD603" s="220"/>
      <c r="AE603" s="400"/>
      <c r="AF603" s="401"/>
      <c r="AG603" s="201"/>
      <c r="AH603" s="201"/>
      <c r="AI603" s="201"/>
      <c r="AJ603" s="201"/>
      <c r="AK603" s="397"/>
      <c r="AL603" s="397"/>
      <c r="AM603" s="397"/>
    </row>
    <row r="604">
      <c r="A604" s="316"/>
      <c r="B604" s="317"/>
      <c r="C604" s="318"/>
      <c r="D604" s="397"/>
      <c r="E604" s="316"/>
      <c r="F604" s="317"/>
      <c r="G604" s="318"/>
      <c r="H604" s="397"/>
      <c r="I604" s="316"/>
      <c r="J604" s="317"/>
      <c r="K604" s="318"/>
      <c r="L604" s="397"/>
      <c r="M604" s="316"/>
      <c r="N604" s="317"/>
      <c r="O604" s="318"/>
      <c r="P604" s="397"/>
      <c r="Q604" s="199"/>
      <c r="R604" s="220"/>
      <c r="S604" s="400"/>
      <c r="T604" s="401"/>
      <c r="U604" s="199"/>
      <c r="V604" s="220"/>
      <c r="W604" s="400"/>
      <c r="X604" s="401"/>
      <c r="Y604" s="199"/>
      <c r="Z604" s="220"/>
      <c r="AA604" s="400"/>
      <c r="AB604" s="401"/>
      <c r="AC604" s="199"/>
      <c r="AD604" s="220"/>
      <c r="AE604" s="400"/>
      <c r="AF604" s="401"/>
      <c r="AG604" s="201"/>
      <c r="AH604" s="201"/>
      <c r="AI604" s="201"/>
      <c r="AJ604" s="201"/>
      <c r="AK604" s="397"/>
      <c r="AL604" s="397"/>
      <c r="AM604" s="397"/>
    </row>
    <row r="605">
      <c r="A605" s="316"/>
      <c r="B605" s="317"/>
      <c r="C605" s="318"/>
      <c r="D605" s="397"/>
      <c r="E605" s="316"/>
      <c r="F605" s="317"/>
      <c r="G605" s="318"/>
      <c r="H605" s="397"/>
      <c r="I605" s="316"/>
      <c r="J605" s="317"/>
      <c r="K605" s="318"/>
      <c r="L605" s="397"/>
      <c r="M605" s="316"/>
      <c r="N605" s="317"/>
      <c r="O605" s="318"/>
      <c r="P605" s="397"/>
      <c r="Q605" s="199"/>
      <c r="R605" s="220"/>
      <c r="S605" s="400"/>
      <c r="T605" s="401"/>
      <c r="U605" s="199"/>
      <c r="V605" s="220"/>
      <c r="W605" s="400"/>
      <c r="X605" s="401"/>
      <c r="Y605" s="199"/>
      <c r="Z605" s="220"/>
      <c r="AA605" s="400"/>
      <c r="AB605" s="401"/>
      <c r="AC605" s="199"/>
      <c r="AD605" s="220"/>
      <c r="AE605" s="400"/>
      <c r="AF605" s="401"/>
      <c r="AG605" s="201"/>
      <c r="AH605" s="201"/>
      <c r="AI605" s="201"/>
      <c r="AJ605" s="201"/>
      <c r="AK605" s="397"/>
      <c r="AL605" s="397"/>
      <c r="AM605" s="397"/>
    </row>
    <row r="606">
      <c r="A606" s="316"/>
      <c r="B606" s="317"/>
      <c r="C606" s="318"/>
      <c r="D606" s="397"/>
      <c r="E606" s="316"/>
      <c r="F606" s="317"/>
      <c r="G606" s="318"/>
      <c r="H606" s="397"/>
      <c r="I606" s="316"/>
      <c r="J606" s="317"/>
      <c r="K606" s="318"/>
      <c r="L606" s="397"/>
      <c r="M606" s="316"/>
      <c r="N606" s="317"/>
      <c r="O606" s="318"/>
      <c r="P606" s="397"/>
      <c r="Q606" s="199"/>
      <c r="R606" s="220"/>
      <c r="S606" s="400"/>
      <c r="T606" s="401"/>
      <c r="U606" s="199"/>
      <c r="V606" s="220"/>
      <c r="W606" s="400"/>
      <c r="X606" s="401"/>
      <c r="Y606" s="199"/>
      <c r="Z606" s="220"/>
      <c r="AA606" s="400"/>
      <c r="AB606" s="401"/>
      <c r="AC606" s="199"/>
      <c r="AD606" s="220"/>
      <c r="AE606" s="400"/>
      <c r="AF606" s="401"/>
      <c r="AG606" s="201"/>
      <c r="AH606" s="201"/>
      <c r="AI606" s="201"/>
      <c r="AJ606" s="201"/>
      <c r="AK606" s="397"/>
      <c r="AL606" s="397"/>
      <c r="AM606" s="397"/>
    </row>
    <row r="607">
      <c r="A607" s="316"/>
      <c r="B607" s="317"/>
      <c r="C607" s="318"/>
      <c r="D607" s="397"/>
      <c r="E607" s="316"/>
      <c r="F607" s="317"/>
      <c r="G607" s="318"/>
      <c r="H607" s="397"/>
      <c r="I607" s="316"/>
      <c r="J607" s="317"/>
      <c r="K607" s="318"/>
      <c r="L607" s="397"/>
      <c r="M607" s="316"/>
      <c r="N607" s="317"/>
      <c r="O607" s="318"/>
      <c r="P607" s="397"/>
      <c r="Q607" s="199"/>
      <c r="R607" s="220"/>
      <c r="S607" s="400"/>
      <c r="T607" s="401"/>
      <c r="U607" s="199"/>
      <c r="V607" s="220"/>
      <c r="W607" s="400"/>
      <c r="X607" s="401"/>
      <c r="Y607" s="199"/>
      <c r="Z607" s="220"/>
      <c r="AA607" s="400"/>
      <c r="AB607" s="401"/>
      <c r="AC607" s="199"/>
      <c r="AD607" s="220"/>
      <c r="AE607" s="400"/>
      <c r="AF607" s="401"/>
      <c r="AG607" s="201"/>
      <c r="AH607" s="201"/>
      <c r="AI607" s="201"/>
      <c r="AJ607" s="201"/>
      <c r="AK607" s="397"/>
      <c r="AL607" s="397"/>
      <c r="AM607" s="397"/>
    </row>
    <row r="608">
      <c r="A608" s="316"/>
      <c r="B608" s="317"/>
      <c r="C608" s="318"/>
      <c r="D608" s="397"/>
      <c r="E608" s="316"/>
      <c r="F608" s="317"/>
      <c r="G608" s="318"/>
      <c r="H608" s="397"/>
      <c r="I608" s="316"/>
      <c r="J608" s="317"/>
      <c r="K608" s="318"/>
      <c r="L608" s="397"/>
      <c r="M608" s="316"/>
      <c r="N608" s="317"/>
      <c r="O608" s="318"/>
      <c r="P608" s="397"/>
      <c r="Q608" s="199"/>
      <c r="R608" s="220"/>
      <c r="S608" s="400"/>
      <c r="T608" s="401"/>
      <c r="U608" s="199"/>
      <c r="V608" s="220"/>
      <c r="W608" s="400"/>
      <c r="X608" s="401"/>
      <c r="Y608" s="199"/>
      <c r="Z608" s="220"/>
      <c r="AA608" s="400"/>
      <c r="AB608" s="401"/>
      <c r="AC608" s="199"/>
      <c r="AD608" s="220"/>
      <c r="AE608" s="400"/>
      <c r="AF608" s="401"/>
      <c r="AG608" s="201"/>
      <c r="AH608" s="201"/>
      <c r="AI608" s="201"/>
      <c r="AJ608" s="201"/>
      <c r="AK608" s="397"/>
      <c r="AL608" s="397"/>
      <c r="AM608" s="397"/>
    </row>
    <row r="609">
      <c r="A609" s="316"/>
      <c r="B609" s="317"/>
      <c r="C609" s="318"/>
      <c r="D609" s="397"/>
      <c r="E609" s="316"/>
      <c r="F609" s="317"/>
      <c r="G609" s="318"/>
      <c r="H609" s="397"/>
      <c r="I609" s="316"/>
      <c r="J609" s="317"/>
      <c r="K609" s="318"/>
      <c r="L609" s="397"/>
      <c r="M609" s="316"/>
      <c r="N609" s="317"/>
      <c r="O609" s="318"/>
      <c r="P609" s="397"/>
      <c r="Q609" s="199"/>
      <c r="R609" s="220"/>
      <c r="S609" s="400"/>
      <c r="T609" s="401"/>
      <c r="U609" s="199"/>
      <c r="V609" s="220"/>
      <c r="W609" s="400"/>
      <c r="X609" s="401"/>
      <c r="Y609" s="199"/>
      <c r="Z609" s="220"/>
      <c r="AA609" s="400"/>
      <c r="AB609" s="401"/>
      <c r="AC609" s="199"/>
      <c r="AD609" s="220"/>
      <c r="AE609" s="400"/>
      <c r="AF609" s="401"/>
      <c r="AG609" s="201"/>
      <c r="AH609" s="201"/>
      <c r="AI609" s="201"/>
      <c r="AJ609" s="201"/>
      <c r="AK609" s="397"/>
      <c r="AL609" s="397"/>
      <c r="AM609" s="397"/>
    </row>
    <row r="610">
      <c r="A610" s="316"/>
      <c r="B610" s="317"/>
      <c r="C610" s="318"/>
      <c r="D610" s="397"/>
      <c r="E610" s="316"/>
      <c r="F610" s="317"/>
      <c r="G610" s="318"/>
      <c r="H610" s="397"/>
      <c r="I610" s="316"/>
      <c r="J610" s="317"/>
      <c r="K610" s="318"/>
      <c r="L610" s="397"/>
      <c r="M610" s="316"/>
      <c r="N610" s="317"/>
      <c r="O610" s="318"/>
      <c r="P610" s="397"/>
      <c r="Q610" s="199"/>
      <c r="R610" s="220"/>
      <c r="S610" s="400"/>
      <c r="T610" s="401"/>
      <c r="U610" s="199"/>
      <c r="V610" s="220"/>
      <c r="W610" s="400"/>
      <c r="X610" s="401"/>
      <c r="Y610" s="199"/>
      <c r="Z610" s="220"/>
      <c r="AA610" s="400"/>
      <c r="AB610" s="401"/>
      <c r="AC610" s="199"/>
      <c r="AD610" s="220"/>
      <c r="AE610" s="400"/>
      <c r="AF610" s="401"/>
      <c r="AG610" s="201"/>
      <c r="AH610" s="201"/>
      <c r="AI610" s="201"/>
      <c r="AJ610" s="201"/>
      <c r="AK610" s="397"/>
      <c r="AL610" s="397"/>
      <c r="AM610" s="397"/>
    </row>
    <row r="611">
      <c r="A611" s="316"/>
      <c r="B611" s="317"/>
      <c r="C611" s="318"/>
      <c r="D611" s="397"/>
      <c r="E611" s="316"/>
      <c r="F611" s="317"/>
      <c r="G611" s="318"/>
      <c r="H611" s="397"/>
      <c r="I611" s="316"/>
      <c r="J611" s="317"/>
      <c r="K611" s="318"/>
      <c r="L611" s="397"/>
      <c r="M611" s="316"/>
      <c r="N611" s="317"/>
      <c r="O611" s="318"/>
      <c r="P611" s="397"/>
      <c r="Q611" s="199"/>
      <c r="R611" s="220"/>
      <c r="S611" s="400"/>
      <c r="T611" s="401"/>
      <c r="U611" s="199"/>
      <c r="V611" s="220"/>
      <c r="W611" s="400"/>
      <c r="X611" s="401"/>
      <c r="Y611" s="199"/>
      <c r="Z611" s="220"/>
      <c r="AA611" s="400"/>
      <c r="AB611" s="401"/>
      <c r="AC611" s="199"/>
      <c r="AD611" s="220"/>
      <c r="AE611" s="400"/>
      <c r="AF611" s="401"/>
      <c r="AG611" s="201"/>
      <c r="AH611" s="201"/>
      <c r="AI611" s="201"/>
      <c r="AJ611" s="201"/>
      <c r="AK611" s="397"/>
      <c r="AL611" s="397"/>
      <c r="AM611" s="397"/>
    </row>
    <row r="612">
      <c r="A612" s="316"/>
      <c r="B612" s="317"/>
      <c r="C612" s="318"/>
      <c r="D612" s="397"/>
      <c r="E612" s="316"/>
      <c r="F612" s="317"/>
      <c r="G612" s="318"/>
      <c r="H612" s="397"/>
      <c r="I612" s="316"/>
      <c r="J612" s="317"/>
      <c r="K612" s="318"/>
      <c r="L612" s="397"/>
      <c r="M612" s="316"/>
      <c r="N612" s="317"/>
      <c r="O612" s="318"/>
      <c r="P612" s="397"/>
      <c r="Q612" s="199"/>
      <c r="R612" s="220"/>
      <c r="S612" s="400"/>
      <c r="T612" s="401"/>
      <c r="U612" s="199"/>
      <c r="V612" s="220"/>
      <c r="W612" s="400"/>
      <c r="X612" s="401"/>
      <c r="Y612" s="199"/>
      <c r="Z612" s="220"/>
      <c r="AA612" s="400"/>
      <c r="AB612" s="401"/>
      <c r="AC612" s="199"/>
      <c r="AD612" s="220"/>
      <c r="AE612" s="400"/>
      <c r="AF612" s="401"/>
      <c r="AG612" s="201"/>
      <c r="AH612" s="201"/>
      <c r="AI612" s="201"/>
      <c r="AJ612" s="201"/>
      <c r="AK612" s="397"/>
      <c r="AL612" s="397"/>
      <c r="AM612" s="397"/>
    </row>
    <row r="613">
      <c r="A613" s="316"/>
      <c r="B613" s="317"/>
      <c r="C613" s="318"/>
      <c r="D613" s="397"/>
      <c r="E613" s="316"/>
      <c r="F613" s="317"/>
      <c r="G613" s="318"/>
      <c r="H613" s="397"/>
      <c r="I613" s="316"/>
      <c r="J613" s="317"/>
      <c r="K613" s="318"/>
      <c r="L613" s="397"/>
      <c r="M613" s="316"/>
      <c r="N613" s="317"/>
      <c r="O613" s="318"/>
      <c r="P613" s="397"/>
      <c r="Q613" s="199"/>
      <c r="R613" s="220"/>
      <c r="S613" s="400"/>
      <c r="T613" s="401"/>
      <c r="U613" s="199"/>
      <c r="V613" s="220"/>
      <c r="W613" s="400"/>
      <c r="X613" s="401"/>
      <c r="Y613" s="199"/>
      <c r="Z613" s="220"/>
      <c r="AA613" s="400"/>
      <c r="AB613" s="401"/>
      <c r="AC613" s="199"/>
      <c r="AD613" s="220"/>
      <c r="AE613" s="400"/>
      <c r="AF613" s="401"/>
      <c r="AG613" s="201"/>
      <c r="AH613" s="201"/>
      <c r="AI613" s="201"/>
      <c r="AJ613" s="201"/>
      <c r="AK613" s="397"/>
      <c r="AL613" s="397"/>
      <c r="AM613" s="397"/>
    </row>
    <row r="614">
      <c r="A614" s="316"/>
      <c r="B614" s="317"/>
      <c r="C614" s="318"/>
      <c r="D614" s="397"/>
      <c r="E614" s="316"/>
      <c r="F614" s="317"/>
      <c r="G614" s="318"/>
      <c r="H614" s="397"/>
      <c r="I614" s="316"/>
      <c r="J614" s="317"/>
      <c r="K614" s="318"/>
      <c r="L614" s="397"/>
      <c r="M614" s="316"/>
      <c r="N614" s="317"/>
      <c r="O614" s="318"/>
      <c r="P614" s="397"/>
      <c r="Q614" s="199"/>
      <c r="R614" s="220"/>
      <c r="S614" s="400"/>
      <c r="T614" s="401"/>
      <c r="U614" s="199"/>
      <c r="V614" s="220"/>
      <c r="W614" s="400"/>
      <c r="X614" s="401"/>
      <c r="Y614" s="199"/>
      <c r="Z614" s="220"/>
      <c r="AA614" s="400"/>
      <c r="AB614" s="401"/>
      <c r="AC614" s="199"/>
      <c r="AD614" s="220"/>
      <c r="AE614" s="400"/>
      <c r="AF614" s="401"/>
      <c r="AG614" s="201"/>
      <c r="AH614" s="201"/>
      <c r="AI614" s="201"/>
      <c r="AJ614" s="201"/>
      <c r="AK614" s="397"/>
      <c r="AL614" s="397"/>
      <c r="AM614" s="397"/>
    </row>
    <row r="615">
      <c r="A615" s="316"/>
      <c r="B615" s="317"/>
      <c r="C615" s="318"/>
      <c r="D615" s="397"/>
      <c r="E615" s="316"/>
      <c r="F615" s="317"/>
      <c r="G615" s="318"/>
      <c r="H615" s="397"/>
      <c r="I615" s="316"/>
      <c r="J615" s="317"/>
      <c r="K615" s="318"/>
      <c r="L615" s="397"/>
      <c r="M615" s="316"/>
      <c r="N615" s="317"/>
      <c r="O615" s="318"/>
      <c r="P615" s="397"/>
      <c r="Q615" s="199"/>
      <c r="R615" s="220"/>
      <c r="S615" s="400"/>
      <c r="T615" s="401"/>
      <c r="U615" s="199"/>
      <c r="V615" s="220"/>
      <c r="W615" s="400"/>
      <c r="X615" s="401"/>
      <c r="Y615" s="199"/>
      <c r="Z615" s="220"/>
      <c r="AA615" s="400"/>
      <c r="AB615" s="401"/>
      <c r="AC615" s="199"/>
      <c r="AD615" s="220"/>
      <c r="AE615" s="400"/>
      <c r="AF615" s="401"/>
      <c r="AG615" s="201"/>
      <c r="AH615" s="201"/>
      <c r="AI615" s="201"/>
      <c r="AJ615" s="201"/>
      <c r="AK615" s="397"/>
      <c r="AL615" s="397"/>
      <c r="AM615" s="397"/>
    </row>
    <row r="616">
      <c r="A616" s="316"/>
      <c r="B616" s="317"/>
      <c r="C616" s="318"/>
      <c r="D616" s="397"/>
      <c r="E616" s="316"/>
      <c r="F616" s="317"/>
      <c r="G616" s="318"/>
      <c r="H616" s="397"/>
      <c r="I616" s="316"/>
      <c r="J616" s="317"/>
      <c r="K616" s="318"/>
      <c r="L616" s="397"/>
      <c r="M616" s="316"/>
      <c r="N616" s="317"/>
      <c r="O616" s="318"/>
      <c r="P616" s="397"/>
      <c r="Q616" s="199"/>
      <c r="R616" s="220"/>
      <c r="S616" s="400"/>
      <c r="T616" s="401"/>
      <c r="U616" s="199"/>
      <c r="V616" s="220"/>
      <c r="W616" s="400"/>
      <c r="X616" s="401"/>
      <c r="Y616" s="199"/>
      <c r="Z616" s="220"/>
      <c r="AA616" s="400"/>
      <c r="AB616" s="401"/>
      <c r="AC616" s="199"/>
      <c r="AD616" s="220"/>
      <c r="AE616" s="400"/>
      <c r="AF616" s="401"/>
      <c r="AG616" s="201"/>
      <c r="AH616" s="201"/>
      <c r="AI616" s="201"/>
      <c r="AJ616" s="201"/>
      <c r="AK616" s="397"/>
      <c r="AL616" s="397"/>
      <c r="AM616" s="397"/>
    </row>
    <row r="617">
      <c r="A617" s="316"/>
      <c r="B617" s="317"/>
      <c r="C617" s="318"/>
      <c r="D617" s="397"/>
      <c r="E617" s="316"/>
      <c r="F617" s="317"/>
      <c r="G617" s="318"/>
      <c r="H617" s="397"/>
      <c r="I617" s="316"/>
      <c r="J617" s="317"/>
      <c r="K617" s="318"/>
      <c r="L617" s="397"/>
      <c r="M617" s="316"/>
      <c r="N617" s="317"/>
      <c r="O617" s="318"/>
      <c r="P617" s="397"/>
      <c r="Q617" s="199"/>
      <c r="R617" s="220"/>
      <c r="S617" s="400"/>
      <c r="T617" s="401"/>
      <c r="U617" s="199"/>
      <c r="V617" s="220"/>
      <c r="W617" s="400"/>
      <c r="X617" s="401"/>
      <c r="Y617" s="199"/>
      <c r="Z617" s="220"/>
      <c r="AA617" s="400"/>
      <c r="AB617" s="401"/>
      <c r="AC617" s="199"/>
      <c r="AD617" s="220"/>
      <c r="AE617" s="400"/>
      <c r="AF617" s="401"/>
      <c r="AG617" s="201"/>
      <c r="AH617" s="201"/>
      <c r="AI617" s="201"/>
      <c r="AJ617" s="201"/>
      <c r="AK617" s="397"/>
      <c r="AL617" s="397"/>
      <c r="AM617" s="397"/>
    </row>
    <row r="618">
      <c r="A618" s="316"/>
      <c r="B618" s="317"/>
      <c r="C618" s="318"/>
      <c r="D618" s="397"/>
      <c r="E618" s="316"/>
      <c r="F618" s="317"/>
      <c r="G618" s="318"/>
      <c r="H618" s="397"/>
      <c r="I618" s="316"/>
      <c r="J618" s="317"/>
      <c r="K618" s="318"/>
      <c r="L618" s="397"/>
      <c r="M618" s="316"/>
      <c r="N618" s="317"/>
      <c r="O618" s="318"/>
      <c r="P618" s="397"/>
      <c r="Q618" s="199"/>
      <c r="R618" s="220"/>
      <c r="S618" s="400"/>
      <c r="T618" s="401"/>
      <c r="U618" s="199"/>
      <c r="V618" s="220"/>
      <c r="W618" s="400"/>
      <c r="X618" s="401"/>
      <c r="Y618" s="199"/>
      <c r="Z618" s="220"/>
      <c r="AA618" s="400"/>
      <c r="AB618" s="401"/>
      <c r="AC618" s="199"/>
      <c r="AD618" s="220"/>
      <c r="AE618" s="400"/>
      <c r="AF618" s="401"/>
      <c r="AG618" s="201"/>
      <c r="AH618" s="201"/>
      <c r="AI618" s="201"/>
      <c r="AJ618" s="201"/>
      <c r="AK618" s="397"/>
      <c r="AL618" s="397"/>
      <c r="AM618" s="397"/>
    </row>
    <row r="619">
      <c r="A619" s="316"/>
      <c r="B619" s="317"/>
      <c r="C619" s="318"/>
      <c r="D619" s="397"/>
      <c r="E619" s="316"/>
      <c r="F619" s="317"/>
      <c r="G619" s="318"/>
      <c r="H619" s="397"/>
      <c r="I619" s="316"/>
      <c r="J619" s="317"/>
      <c r="K619" s="318"/>
      <c r="L619" s="397"/>
      <c r="M619" s="316"/>
      <c r="N619" s="317"/>
      <c r="O619" s="318"/>
      <c r="P619" s="397"/>
      <c r="Q619" s="199"/>
      <c r="R619" s="220"/>
      <c r="S619" s="400"/>
      <c r="T619" s="401"/>
      <c r="U619" s="199"/>
      <c r="V619" s="220"/>
      <c r="W619" s="400"/>
      <c r="X619" s="401"/>
      <c r="Y619" s="199"/>
      <c r="Z619" s="220"/>
      <c r="AA619" s="400"/>
      <c r="AB619" s="401"/>
      <c r="AC619" s="199"/>
      <c r="AD619" s="220"/>
      <c r="AE619" s="400"/>
      <c r="AF619" s="401"/>
      <c r="AG619" s="201"/>
      <c r="AH619" s="201"/>
      <c r="AI619" s="201"/>
      <c r="AJ619" s="201"/>
      <c r="AK619" s="397"/>
      <c r="AL619" s="397"/>
      <c r="AM619" s="397"/>
    </row>
    <row r="620">
      <c r="A620" s="316"/>
      <c r="B620" s="317"/>
      <c r="C620" s="318"/>
      <c r="D620" s="397"/>
      <c r="E620" s="316"/>
      <c r="F620" s="317"/>
      <c r="G620" s="318"/>
      <c r="H620" s="397"/>
      <c r="I620" s="316"/>
      <c r="J620" s="317"/>
      <c r="K620" s="318"/>
      <c r="L620" s="397"/>
      <c r="M620" s="316"/>
      <c r="N620" s="317"/>
      <c r="O620" s="318"/>
      <c r="P620" s="397"/>
      <c r="Q620" s="199"/>
      <c r="R620" s="220"/>
      <c r="S620" s="400"/>
      <c r="T620" s="401"/>
      <c r="U620" s="199"/>
      <c r="V620" s="220"/>
      <c r="W620" s="400"/>
      <c r="X620" s="401"/>
      <c r="Y620" s="199"/>
      <c r="Z620" s="220"/>
      <c r="AA620" s="400"/>
      <c r="AB620" s="401"/>
      <c r="AC620" s="199"/>
      <c r="AD620" s="220"/>
      <c r="AE620" s="400"/>
      <c r="AF620" s="401"/>
      <c r="AG620" s="201"/>
      <c r="AH620" s="201"/>
      <c r="AI620" s="201"/>
      <c r="AJ620" s="201"/>
      <c r="AK620" s="397"/>
      <c r="AL620" s="397"/>
      <c r="AM620" s="397"/>
    </row>
    <row r="621">
      <c r="A621" s="316"/>
      <c r="B621" s="317"/>
      <c r="C621" s="318"/>
      <c r="D621" s="397"/>
      <c r="E621" s="316"/>
      <c r="F621" s="317"/>
      <c r="G621" s="318"/>
      <c r="H621" s="397"/>
      <c r="I621" s="316"/>
      <c r="J621" s="317"/>
      <c r="K621" s="318"/>
      <c r="L621" s="397"/>
      <c r="M621" s="316"/>
      <c r="N621" s="317"/>
      <c r="O621" s="318"/>
      <c r="P621" s="397"/>
      <c r="Q621" s="199"/>
      <c r="R621" s="220"/>
      <c r="S621" s="400"/>
      <c r="T621" s="401"/>
      <c r="U621" s="199"/>
      <c r="V621" s="220"/>
      <c r="W621" s="400"/>
      <c r="X621" s="401"/>
      <c r="Y621" s="199"/>
      <c r="Z621" s="220"/>
      <c r="AA621" s="400"/>
      <c r="AB621" s="401"/>
      <c r="AC621" s="199"/>
      <c r="AD621" s="220"/>
      <c r="AE621" s="400"/>
      <c r="AF621" s="401"/>
      <c r="AG621" s="201"/>
      <c r="AH621" s="201"/>
      <c r="AI621" s="201"/>
      <c r="AJ621" s="201"/>
      <c r="AK621" s="397"/>
      <c r="AL621" s="397"/>
      <c r="AM621" s="397"/>
    </row>
    <row r="622">
      <c r="A622" s="316"/>
      <c r="B622" s="317"/>
      <c r="C622" s="318"/>
      <c r="D622" s="397"/>
      <c r="E622" s="316"/>
      <c r="F622" s="317"/>
      <c r="G622" s="318"/>
      <c r="H622" s="397"/>
      <c r="I622" s="316"/>
      <c r="J622" s="317"/>
      <c r="K622" s="318"/>
      <c r="L622" s="397"/>
      <c r="M622" s="316"/>
      <c r="N622" s="317"/>
      <c r="O622" s="318"/>
      <c r="P622" s="397"/>
      <c r="Q622" s="199"/>
      <c r="R622" s="220"/>
      <c r="S622" s="400"/>
      <c r="T622" s="401"/>
      <c r="U622" s="199"/>
      <c r="V622" s="220"/>
      <c r="W622" s="400"/>
      <c r="X622" s="401"/>
      <c r="Y622" s="199"/>
      <c r="Z622" s="220"/>
      <c r="AA622" s="400"/>
      <c r="AB622" s="401"/>
      <c r="AC622" s="199"/>
      <c r="AD622" s="220"/>
      <c r="AE622" s="400"/>
      <c r="AF622" s="401"/>
      <c r="AG622" s="201"/>
      <c r="AH622" s="201"/>
      <c r="AI622" s="201"/>
      <c r="AJ622" s="201"/>
      <c r="AK622" s="397"/>
      <c r="AL622" s="397"/>
      <c r="AM622" s="397"/>
    </row>
    <row r="623">
      <c r="A623" s="316"/>
      <c r="B623" s="317"/>
      <c r="C623" s="318"/>
      <c r="D623" s="397"/>
      <c r="E623" s="316"/>
      <c r="F623" s="317"/>
      <c r="G623" s="318"/>
      <c r="H623" s="397"/>
      <c r="I623" s="316"/>
      <c r="J623" s="317"/>
      <c r="K623" s="318"/>
      <c r="L623" s="397"/>
      <c r="M623" s="316"/>
      <c r="N623" s="317"/>
      <c r="O623" s="318"/>
      <c r="P623" s="397"/>
      <c r="Q623" s="199"/>
      <c r="R623" s="220"/>
      <c r="S623" s="400"/>
      <c r="T623" s="401"/>
      <c r="U623" s="199"/>
      <c r="V623" s="220"/>
      <c r="W623" s="400"/>
      <c r="X623" s="401"/>
      <c r="Y623" s="199"/>
      <c r="Z623" s="220"/>
      <c r="AA623" s="400"/>
      <c r="AB623" s="401"/>
      <c r="AC623" s="199"/>
      <c r="AD623" s="220"/>
      <c r="AE623" s="400"/>
      <c r="AF623" s="401"/>
      <c r="AG623" s="201"/>
      <c r="AH623" s="201"/>
      <c r="AI623" s="201"/>
      <c r="AJ623" s="201"/>
      <c r="AK623" s="397"/>
      <c r="AL623" s="397"/>
      <c r="AM623" s="397"/>
    </row>
    <row r="624">
      <c r="A624" s="316"/>
      <c r="B624" s="317"/>
      <c r="C624" s="318"/>
      <c r="D624" s="397"/>
      <c r="E624" s="316"/>
      <c r="F624" s="317"/>
      <c r="G624" s="318"/>
      <c r="H624" s="397"/>
      <c r="I624" s="316"/>
      <c r="J624" s="317"/>
      <c r="K624" s="318"/>
      <c r="L624" s="397"/>
      <c r="M624" s="316"/>
      <c r="N624" s="317"/>
      <c r="O624" s="318"/>
      <c r="P624" s="397"/>
      <c r="Q624" s="199"/>
      <c r="R624" s="220"/>
      <c r="S624" s="400"/>
      <c r="T624" s="401"/>
      <c r="U624" s="199"/>
      <c r="V624" s="220"/>
      <c r="W624" s="400"/>
      <c r="X624" s="401"/>
      <c r="Y624" s="199"/>
      <c r="Z624" s="220"/>
      <c r="AA624" s="400"/>
      <c r="AB624" s="401"/>
      <c r="AC624" s="199"/>
      <c r="AD624" s="220"/>
      <c r="AE624" s="400"/>
      <c r="AF624" s="401"/>
      <c r="AG624" s="201"/>
      <c r="AH624" s="201"/>
      <c r="AI624" s="201"/>
      <c r="AJ624" s="201"/>
      <c r="AK624" s="397"/>
      <c r="AL624" s="397"/>
      <c r="AM624" s="397"/>
    </row>
    <row r="625">
      <c r="A625" s="316"/>
      <c r="B625" s="317"/>
      <c r="C625" s="318"/>
      <c r="D625" s="397"/>
      <c r="E625" s="316"/>
      <c r="F625" s="317"/>
      <c r="G625" s="318"/>
      <c r="H625" s="397"/>
      <c r="I625" s="316"/>
      <c r="J625" s="317"/>
      <c r="K625" s="318"/>
      <c r="L625" s="397"/>
      <c r="M625" s="316"/>
      <c r="N625" s="317"/>
      <c r="O625" s="318"/>
      <c r="P625" s="397"/>
      <c r="Q625" s="199"/>
      <c r="R625" s="220"/>
      <c r="S625" s="400"/>
      <c r="T625" s="401"/>
      <c r="U625" s="199"/>
      <c r="V625" s="220"/>
      <c r="W625" s="400"/>
      <c r="X625" s="401"/>
      <c r="Y625" s="199"/>
      <c r="Z625" s="220"/>
      <c r="AA625" s="400"/>
      <c r="AB625" s="401"/>
      <c r="AC625" s="199"/>
      <c r="AD625" s="220"/>
      <c r="AE625" s="400"/>
      <c r="AF625" s="401"/>
      <c r="AG625" s="201"/>
      <c r="AH625" s="201"/>
      <c r="AI625" s="201"/>
      <c r="AJ625" s="201"/>
      <c r="AK625" s="397"/>
      <c r="AL625" s="397"/>
      <c r="AM625" s="397"/>
    </row>
    <row r="626">
      <c r="A626" s="316"/>
      <c r="B626" s="317"/>
      <c r="C626" s="318"/>
      <c r="D626" s="397"/>
      <c r="E626" s="316"/>
      <c r="F626" s="317"/>
      <c r="G626" s="318"/>
      <c r="H626" s="397"/>
      <c r="I626" s="316"/>
      <c r="J626" s="317"/>
      <c r="K626" s="318"/>
      <c r="L626" s="397"/>
      <c r="M626" s="316"/>
      <c r="N626" s="317"/>
      <c r="O626" s="318"/>
      <c r="P626" s="397"/>
      <c r="Q626" s="199"/>
      <c r="R626" s="220"/>
      <c r="S626" s="400"/>
      <c r="T626" s="401"/>
      <c r="U626" s="199"/>
      <c r="V626" s="220"/>
      <c r="W626" s="400"/>
      <c r="X626" s="401"/>
      <c r="Y626" s="199"/>
      <c r="Z626" s="220"/>
      <c r="AA626" s="400"/>
      <c r="AB626" s="401"/>
      <c r="AC626" s="199"/>
      <c r="AD626" s="220"/>
      <c r="AE626" s="400"/>
      <c r="AF626" s="401"/>
      <c r="AG626" s="201"/>
      <c r="AH626" s="201"/>
      <c r="AI626" s="201"/>
      <c r="AJ626" s="201"/>
      <c r="AK626" s="397"/>
      <c r="AL626" s="397"/>
      <c r="AM626" s="397"/>
    </row>
    <row r="627">
      <c r="A627" s="316"/>
      <c r="B627" s="317"/>
      <c r="C627" s="318"/>
      <c r="D627" s="397"/>
      <c r="E627" s="316"/>
      <c r="F627" s="317"/>
      <c r="G627" s="318"/>
      <c r="H627" s="397"/>
      <c r="I627" s="316"/>
      <c r="J627" s="317"/>
      <c r="K627" s="318"/>
      <c r="L627" s="397"/>
      <c r="M627" s="316"/>
      <c r="N627" s="317"/>
      <c r="O627" s="318"/>
      <c r="P627" s="397"/>
      <c r="Q627" s="199"/>
      <c r="R627" s="220"/>
      <c r="S627" s="400"/>
      <c r="T627" s="401"/>
      <c r="U627" s="199"/>
      <c r="V627" s="220"/>
      <c r="W627" s="400"/>
      <c r="X627" s="401"/>
      <c r="Y627" s="199"/>
      <c r="Z627" s="220"/>
      <c r="AA627" s="400"/>
      <c r="AB627" s="401"/>
      <c r="AC627" s="199"/>
      <c r="AD627" s="220"/>
      <c r="AE627" s="400"/>
      <c r="AF627" s="401"/>
      <c r="AG627" s="201"/>
      <c r="AH627" s="201"/>
      <c r="AI627" s="201"/>
      <c r="AJ627" s="201"/>
      <c r="AK627" s="397"/>
      <c r="AL627" s="397"/>
      <c r="AM627" s="397"/>
    </row>
    <row r="628">
      <c r="A628" s="316"/>
      <c r="B628" s="317"/>
      <c r="C628" s="318"/>
      <c r="D628" s="397"/>
      <c r="E628" s="316"/>
      <c r="F628" s="317"/>
      <c r="G628" s="318"/>
      <c r="H628" s="397"/>
      <c r="I628" s="316"/>
      <c r="J628" s="317"/>
      <c r="K628" s="318"/>
      <c r="L628" s="397"/>
      <c r="M628" s="316"/>
      <c r="N628" s="317"/>
      <c r="O628" s="318"/>
      <c r="P628" s="397"/>
      <c r="Q628" s="199"/>
      <c r="R628" s="220"/>
      <c r="S628" s="400"/>
      <c r="T628" s="401"/>
      <c r="U628" s="199"/>
      <c r="V628" s="220"/>
      <c r="W628" s="400"/>
      <c r="X628" s="401"/>
      <c r="Y628" s="199"/>
      <c r="Z628" s="220"/>
      <c r="AA628" s="400"/>
      <c r="AB628" s="401"/>
      <c r="AC628" s="199"/>
      <c r="AD628" s="220"/>
      <c r="AE628" s="400"/>
      <c r="AF628" s="401"/>
      <c r="AG628" s="201"/>
      <c r="AH628" s="201"/>
      <c r="AI628" s="201"/>
      <c r="AJ628" s="201"/>
      <c r="AK628" s="397"/>
      <c r="AL628" s="397"/>
      <c r="AM628" s="397"/>
    </row>
    <row r="629">
      <c r="A629" s="316"/>
      <c r="B629" s="317"/>
      <c r="C629" s="318"/>
      <c r="D629" s="397"/>
      <c r="E629" s="316"/>
      <c r="F629" s="317"/>
      <c r="G629" s="318"/>
      <c r="H629" s="397"/>
      <c r="I629" s="316"/>
      <c r="J629" s="317"/>
      <c r="K629" s="318"/>
      <c r="L629" s="397"/>
      <c r="M629" s="316"/>
      <c r="N629" s="317"/>
      <c r="O629" s="318"/>
      <c r="P629" s="397"/>
      <c r="Q629" s="199"/>
      <c r="R629" s="220"/>
      <c r="S629" s="400"/>
      <c r="T629" s="401"/>
      <c r="U629" s="199"/>
      <c r="V629" s="220"/>
      <c r="W629" s="400"/>
      <c r="X629" s="401"/>
      <c r="Y629" s="199"/>
      <c r="Z629" s="220"/>
      <c r="AA629" s="400"/>
      <c r="AB629" s="401"/>
      <c r="AC629" s="199"/>
      <c r="AD629" s="220"/>
      <c r="AE629" s="400"/>
      <c r="AF629" s="401"/>
      <c r="AG629" s="201"/>
      <c r="AH629" s="201"/>
      <c r="AI629" s="201"/>
      <c r="AJ629" s="201"/>
      <c r="AK629" s="397"/>
      <c r="AL629" s="397"/>
      <c r="AM629" s="397"/>
    </row>
    <row r="630">
      <c r="A630" s="316"/>
      <c r="B630" s="317"/>
      <c r="C630" s="318"/>
      <c r="D630" s="397"/>
      <c r="E630" s="316"/>
      <c r="F630" s="317"/>
      <c r="G630" s="318"/>
      <c r="H630" s="397"/>
      <c r="I630" s="316"/>
      <c r="J630" s="317"/>
      <c r="K630" s="318"/>
      <c r="L630" s="397"/>
      <c r="M630" s="316"/>
      <c r="N630" s="317"/>
      <c r="O630" s="318"/>
      <c r="P630" s="397"/>
      <c r="Q630" s="199"/>
      <c r="R630" s="220"/>
      <c r="S630" s="400"/>
      <c r="T630" s="401"/>
      <c r="U630" s="199"/>
      <c r="V630" s="220"/>
      <c r="W630" s="400"/>
      <c r="X630" s="401"/>
      <c r="Y630" s="199"/>
      <c r="Z630" s="220"/>
      <c r="AA630" s="400"/>
      <c r="AB630" s="401"/>
      <c r="AC630" s="199"/>
      <c r="AD630" s="220"/>
      <c r="AE630" s="400"/>
      <c r="AF630" s="401"/>
      <c r="AG630" s="201"/>
      <c r="AH630" s="201"/>
      <c r="AI630" s="201"/>
      <c r="AJ630" s="201"/>
      <c r="AK630" s="397"/>
      <c r="AL630" s="397"/>
      <c r="AM630" s="397"/>
    </row>
    <row r="631">
      <c r="A631" s="316"/>
      <c r="B631" s="317"/>
      <c r="C631" s="318"/>
      <c r="D631" s="397"/>
      <c r="E631" s="316"/>
      <c r="F631" s="317"/>
      <c r="G631" s="318"/>
      <c r="H631" s="397"/>
      <c r="I631" s="316"/>
      <c r="J631" s="317"/>
      <c r="K631" s="318"/>
      <c r="L631" s="397"/>
      <c r="M631" s="316"/>
      <c r="N631" s="317"/>
      <c r="O631" s="318"/>
      <c r="P631" s="397"/>
      <c r="Q631" s="199"/>
      <c r="R631" s="220"/>
      <c r="S631" s="400"/>
      <c r="T631" s="401"/>
      <c r="U631" s="199"/>
      <c r="V631" s="220"/>
      <c r="W631" s="400"/>
      <c r="X631" s="401"/>
      <c r="Y631" s="199"/>
      <c r="Z631" s="220"/>
      <c r="AA631" s="400"/>
      <c r="AB631" s="401"/>
      <c r="AC631" s="199"/>
      <c r="AD631" s="220"/>
      <c r="AE631" s="400"/>
      <c r="AF631" s="401"/>
      <c r="AG631" s="201"/>
      <c r="AH631" s="201"/>
      <c r="AI631" s="201"/>
      <c r="AJ631" s="201"/>
      <c r="AK631" s="397"/>
      <c r="AL631" s="397"/>
      <c r="AM631" s="397"/>
    </row>
    <row r="632">
      <c r="A632" s="316"/>
      <c r="B632" s="317"/>
      <c r="C632" s="318"/>
      <c r="D632" s="397"/>
      <c r="E632" s="316"/>
      <c r="F632" s="317"/>
      <c r="G632" s="318"/>
      <c r="H632" s="397"/>
      <c r="I632" s="316"/>
      <c r="J632" s="317"/>
      <c r="K632" s="318"/>
      <c r="L632" s="397"/>
      <c r="M632" s="316"/>
      <c r="N632" s="317"/>
      <c r="O632" s="318"/>
      <c r="P632" s="397"/>
      <c r="Q632" s="199"/>
      <c r="R632" s="220"/>
      <c r="S632" s="400"/>
      <c r="T632" s="401"/>
      <c r="U632" s="199"/>
      <c r="V632" s="220"/>
      <c r="W632" s="400"/>
      <c r="X632" s="401"/>
      <c r="Y632" s="199"/>
      <c r="Z632" s="220"/>
      <c r="AA632" s="400"/>
      <c r="AB632" s="401"/>
      <c r="AC632" s="199"/>
      <c r="AD632" s="220"/>
      <c r="AE632" s="400"/>
      <c r="AF632" s="401"/>
      <c r="AG632" s="201"/>
      <c r="AH632" s="201"/>
      <c r="AI632" s="201"/>
      <c r="AJ632" s="201"/>
      <c r="AK632" s="397"/>
      <c r="AL632" s="397"/>
      <c r="AM632" s="397"/>
    </row>
    <row r="633">
      <c r="A633" s="316"/>
      <c r="B633" s="317"/>
      <c r="C633" s="318"/>
      <c r="D633" s="397"/>
      <c r="E633" s="316"/>
      <c r="F633" s="317"/>
      <c r="G633" s="318"/>
      <c r="H633" s="397"/>
      <c r="I633" s="316"/>
      <c r="J633" s="317"/>
      <c r="K633" s="318"/>
      <c r="L633" s="397"/>
      <c r="M633" s="316"/>
      <c r="N633" s="317"/>
      <c r="O633" s="318"/>
      <c r="P633" s="397"/>
      <c r="Q633" s="199"/>
      <c r="R633" s="220"/>
      <c r="S633" s="400"/>
      <c r="T633" s="401"/>
      <c r="U633" s="199"/>
      <c r="V633" s="220"/>
      <c r="W633" s="400"/>
      <c r="X633" s="401"/>
      <c r="Y633" s="199"/>
      <c r="Z633" s="220"/>
      <c r="AA633" s="400"/>
      <c r="AB633" s="401"/>
      <c r="AC633" s="199"/>
      <c r="AD633" s="220"/>
      <c r="AE633" s="400"/>
      <c r="AF633" s="401"/>
      <c r="AG633" s="201"/>
      <c r="AH633" s="201"/>
      <c r="AI633" s="201"/>
      <c r="AJ633" s="201"/>
      <c r="AK633" s="397"/>
      <c r="AL633" s="397"/>
      <c r="AM633" s="397"/>
    </row>
    <row r="634">
      <c r="A634" s="316"/>
      <c r="B634" s="317"/>
      <c r="C634" s="318"/>
      <c r="D634" s="397"/>
      <c r="E634" s="316"/>
      <c r="F634" s="317"/>
      <c r="G634" s="318"/>
      <c r="H634" s="397"/>
      <c r="I634" s="316"/>
      <c r="J634" s="317"/>
      <c r="K634" s="318"/>
      <c r="L634" s="397"/>
      <c r="M634" s="316"/>
      <c r="N634" s="317"/>
      <c r="O634" s="318"/>
      <c r="P634" s="397"/>
      <c r="Q634" s="199"/>
      <c r="R634" s="220"/>
      <c r="S634" s="400"/>
      <c r="T634" s="401"/>
      <c r="U634" s="199"/>
      <c r="V634" s="220"/>
      <c r="W634" s="400"/>
      <c r="X634" s="401"/>
      <c r="Y634" s="199"/>
      <c r="Z634" s="220"/>
      <c r="AA634" s="400"/>
      <c r="AB634" s="401"/>
      <c r="AC634" s="199"/>
      <c r="AD634" s="220"/>
      <c r="AE634" s="400"/>
      <c r="AF634" s="401"/>
      <c r="AG634" s="201"/>
      <c r="AH634" s="201"/>
      <c r="AI634" s="201"/>
      <c r="AJ634" s="201"/>
      <c r="AK634" s="397"/>
      <c r="AL634" s="397"/>
      <c r="AM634" s="397"/>
    </row>
    <row r="635">
      <c r="A635" s="316"/>
      <c r="B635" s="317"/>
      <c r="C635" s="318"/>
      <c r="D635" s="397"/>
      <c r="E635" s="316"/>
      <c r="F635" s="317"/>
      <c r="G635" s="318"/>
      <c r="H635" s="397"/>
      <c r="I635" s="316"/>
      <c r="J635" s="317"/>
      <c r="K635" s="318"/>
      <c r="L635" s="397"/>
      <c r="M635" s="316"/>
      <c r="N635" s="317"/>
      <c r="O635" s="318"/>
      <c r="P635" s="397"/>
      <c r="Q635" s="199"/>
      <c r="R635" s="220"/>
      <c r="S635" s="400"/>
      <c r="T635" s="401"/>
      <c r="U635" s="199"/>
      <c r="V635" s="220"/>
      <c r="W635" s="400"/>
      <c r="X635" s="401"/>
      <c r="Y635" s="199"/>
      <c r="Z635" s="220"/>
      <c r="AA635" s="400"/>
      <c r="AB635" s="401"/>
      <c r="AC635" s="199"/>
      <c r="AD635" s="220"/>
      <c r="AE635" s="400"/>
      <c r="AF635" s="401"/>
      <c r="AG635" s="201"/>
      <c r="AH635" s="201"/>
      <c r="AI635" s="201"/>
      <c r="AJ635" s="201"/>
      <c r="AK635" s="397"/>
      <c r="AL635" s="397"/>
      <c r="AM635" s="397"/>
    </row>
    <row r="636">
      <c r="A636" s="316"/>
      <c r="B636" s="317"/>
      <c r="C636" s="318"/>
      <c r="D636" s="397"/>
      <c r="E636" s="316"/>
      <c r="F636" s="317"/>
      <c r="G636" s="318"/>
      <c r="H636" s="397"/>
      <c r="I636" s="316"/>
      <c r="J636" s="317"/>
      <c r="K636" s="318"/>
      <c r="L636" s="397"/>
      <c r="M636" s="316"/>
      <c r="N636" s="317"/>
      <c r="O636" s="318"/>
      <c r="P636" s="397"/>
      <c r="Q636" s="199"/>
      <c r="R636" s="220"/>
      <c r="S636" s="400"/>
      <c r="T636" s="401"/>
      <c r="U636" s="199"/>
      <c r="V636" s="220"/>
      <c r="W636" s="400"/>
      <c r="X636" s="401"/>
      <c r="Y636" s="199"/>
      <c r="Z636" s="220"/>
      <c r="AA636" s="400"/>
      <c r="AB636" s="401"/>
      <c r="AC636" s="199"/>
      <c r="AD636" s="220"/>
      <c r="AE636" s="400"/>
      <c r="AF636" s="401"/>
      <c r="AG636" s="201"/>
      <c r="AH636" s="201"/>
      <c r="AI636" s="201"/>
      <c r="AJ636" s="201"/>
      <c r="AK636" s="397"/>
      <c r="AL636" s="397"/>
      <c r="AM636" s="397"/>
    </row>
    <row r="637">
      <c r="A637" s="316"/>
      <c r="B637" s="317"/>
      <c r="C637" s="318"/>
      <c r="D637" s="397"/>
      <c r="E637" s="316"/>
      <c r="F637" s="317"/>
      <c r="G637" s="318"/>
      <c r="H637" s="397"/>
      <c r="I637" s="316"/>
      <c r="J637" s="317"/>
      <c r="K637" s="318"/>
      <c r="L637" s="397"/>
      <c r="M637" s="316"/>
      <c r="N637" s="317"/>
      <c r="O637" s="318"/>
      <c r="P637" s="397"/>
      <c r="Q637" s="199"/>
      <c r="R637" s="220"/>
      <c r="S637" s="400"/>
      <c r="T637" s="401"/>
      <c r="U637" s="199"/>
      <c r="V637" s="220"/>
      <c r="W637" s="400"/>
      <c r="X637" s="401"/>
      <c r="Y637" s="199"/>
      <c r="Z637" s="220"/>
      <c r="AA637" s="400"/>
      <c r="AB637" s="401"/>
      <c r="AC637" s="199"/>
      <c r="AD637" s="220"/>
      <c r="AE637" s="400"/>
      <c r="AF637" s="401"/>
      <c r="AG637" s="201"/>
      <c r="AH637" s="201"/>
      <c r="AI637" s="201"/>
      <c r="AJ637" s="201"/>
      <c r="AK637" s="397"/>
      <c r="AL637" s="397"/>
      <c r="AM637" s="397"/>
    </row>
    <row r="638">
      <c r="A638" s="316"/>
      <c r="B638" s="317"/>
      <c r="C638" s="318"/>
      <c r="D638" s="397"/>
      <c r="E638" s="316"/>
      <c r="F638" s="317"/>
      <c r="G638" s="318"/>
      <c r="H638" s="397"/>
      <c r="I638" s="316"/>
      <c r="J638" s="317"/>
      <c r="K638" s="318"/>
      <c r="L638" s="397"/>
      <c r="M638" s="316"/>
      <c r="N638" s="317"/>
      <c r="O638" s="318"/>
      <c r="P638" s="397"/>
      <c r="Q638" s="199"/>
      <c r="R638" s="220"/>
      <c r="S638" s="400"/>
      <c r="T638" s="401"/>
      <c r="U638" s="199"/>
      <c r="V638" s="220"/>
      <c r="W638" s="400"/>
      <c r="X638" s="401"/>
      <c r="Y638" s="199"/>
      <c r="Z638" s="220"/>
      <c r="AA638" s="400"/>
      <c r="AB638" s="401"/>
      <c r="AC638" s="199"/>
      <c r="AD638" s="220"/>
      <c r="AE638" s="400"/>
      <c r="AF638" s="401"/>
      <c r="AG638" s="201"/>
      <c r="AH638" s="201"/>
      <c r="AI638" s="201"/>
      <c r="AJ638" s="201"/>
      <c r="AK638" s="397"/>
      <c r="AL638" s="397"/>
      <c r="AM638" s="397"/>
    </row>
    <row r="639">
      <c r="A639" s="316"/>
      <c r="B639" s="317"/>
      <c r="C639" s="318"/>
      <c r="D639" s="397"/>
      <c r="E639" s="316"/>
      <c r="F639" s="317"/>
      <c r="G639" s="318"/>
      <c r="H639" s="397"/>
      <c r="I639" s="316"/>
      <c r="J639" s="317"/>
      <c r="K639" s="318"/>
      <c r="L639" s="397"/>
      <c r="M639" s="316"/>
      <c r="N639" s="317"/>
      <c r="O639" s="318"/>
      <c r="P639" s="397"/>
      <c r="Q639" s="199"/>
      <c r="R639" s="220"/>
      <c r="S639" s="400"/>
      <c r="T639" s="401"/>
      <c r="U639" s="199"/>
      <c r="V639" s="220"/>
      <c r="W639" s="400"/>
      <c r="X639" s="401"/>
      <c r="Y639" s="199"/>
      <c r="Z639" s="220"/>
      <c r="AA639" s="400"/>
      <c r="AB639" s="401"/>
      <c r="AC639" s="199"/>
      <c r="AD639" s="220"/>
      <c r="AE639" s="400"/>
      <c r="AF639" s="401"/>
      <c r="AG639" s="201"/>
      <c r="AH639" s="201"/>
      <c r="AI639" s="201"/>
      <c r="AJ639" s="201"/>
      <c r="AK639" s="397"/>
      <c r="AL639" s="397"/>
      <c r="AM639" s="397"/>
    </row>
    <row r="640">
      <c r="A640" s="316"/>
      <c r="B640" s="317"/>
      <c r="C640" s="318"/>
      <c r="D640" s="397"/>
      <c r="E640" s="316"/>
      <c r="F640" s="317"/>
      <c r="G640" s="318"/>
      <c r="H640" s="397"/>
      <c r="I640" s="316"/>
      <c r="J640" s="317"/>
      <c r="K640" s="318"/>
      <c r="L640" s="397"/>
      <c r="M640" s="316"/>
      <c r="N640" s="317"/>
      <c r="O640" s="318"/>
      <c r="P640" s="397"/>
      <c r="Q640" s="199"/>
      <c r="R640" s="220"/>
      <c r="S640" s="400"/>
      <c r="T640" s="401"/>
      <c r="U640" s="199"/>
      <c r="V640" s="220"/>
      <c r="W640" s="400"/>
      <c r="X640" s="401"/>
      <c r="Y640" s="199"/>
      <c r="Z640" s="220"/>
      <c r="AA640" s="400"/>
      <c r="AB640" s="401"/>
      <c r="AC640" s="199"/>
      <c r="AD640" s="220"/>
      <c r="AE640" s="400"/>
      <c r="AF640" s="401"/>
      <c r="AG640" s="201"/>
      <c r="AH640" s="201"/>
      <c r="AI640" s="201"/>
      <c r="AJ640" s="201"/>
      <c r="AK640" s="397"/>
      <c r="AL640" s="397"/>
      <c r="AM640" s="397"/>
    </row>
    <row r="641">
      <c r="A641" s="316"/>
      <c r="B641" s="317"/>
      <c r="C641" s="318"/>
      <c r="D641" s="397"/>
      <c r="E641" s="316"/>
      <c r="F641" s="317"/>
      <c r="G641" s="318"/>
      <c r="H641" s="397"/>
      <c r="I641" s="316"/>
      <c r="J641" s="317"/>
      <c r="K641" s="318"/>
      <c r="L641" s="397"/>
      <c r="M641" s="316"/>
      <c r="N641" s="317"/>
      <c r="O641" s="318"/>
      <c r="P641" s="397"/>
      <c r="Q641" s="199"/>
      <c r="R641" s="220"/>
      <c r="S641" s="400"/>
      <c r="T641" s="401"/>
      <c r="U641" s="199"/>
      <c r="V641" s="220"/>
      <c r="W641" s="400"/>
      <c r="X641" s="401"/>
      <c r="Y641" s="199"/>
      <c r="Z641" s="220"/>
      <c r="AA641" s="400"/>
      <c r="AB641" s="401"/>
      <c r="AC641" s="199"/>
      <c r="AD641" s="220"/>
      <c r="AE641" s="400"/>
      <c r="AF641" s="401"/>
      <c r="AG641" s="201"/>
      <c r="AH641" s="201"/>
      <c r="AI641" s="201"/>
      <c r="AJ641" s="201"/>
      <c r="AK641" s="397"/>
      <c r="AL641" s="397"/>
      <c r="AM641" s="397"/>
    </row>
    <row r="642">
      <c r="A642" s="316"/>
      <c r="B642" s="317"/>
      <c r="C642" s="318"/>
      <c r="D642" s="397"/>
      <c r="E642" s="316"/>
      <c r="F642" s="317"/>
      <c r="G642" s="318"/>
      <c r="H642" s="397"/>
      <c r="I642" s="316"/>
      <c r="J642" s="317"/>
      <c r="K642" s="318"/>
      <c r="L642" s="397"/>
      <c r="M642" s="316"/>
      <c r="N642" s="317"/>
      <c r="O642" s="318"/>
      <c r="P642" s="397"/>
      <c r="Q642" s="199"/>
      <c r="R642" s="220"/>
      <c r="S642" s="400"/>
      <c r="T642" s="401"/>
      <c r="U642" s="199"/>
      <c r="V642" s="220"/>
      <c r="W642" s="400"/>
      <c r="X642" s="401"/>
      <c r="Y642" s="199"/>
      <c r="Z642" s="220"/>
      <c r="AA642" s="400"/>
      <c r="AB642" s="401"/>
      <c r="AC642" s="199"/>
      <c r="AD642" s="220"/>
      <c r="AE642" s="400"/>
      <c r="AF642" s="401"/>
      <c r="AG642" s="201"/>
      <c r="AH642" s="201"/>
      <c r="AI642" s="201"/>
      <c r="AJ642" s="201"/>
      <c r="AK642" s="397"/>
      <c r="AL642" s="397"/>
      <c r="AM642" s="397"/>
    </row>
    <row r="643">
      <c r="A643" s="316"/>
      <c r="B643" s="317"/>
      <c r="C643" s="318"/>
      <c r="D643" s="397"/>
      <c r="E643" s="316"/>
      <c r="F643" s="317"/>
      <c r="G643" s="318"/>
      <c r="H643" s="397"/>
      <c r="I643" s="316"/>
      <c r="J643" s="317"/>
      <c r="K643" s="318"/>
      <c r="L643" s="397"/>
      <c r="M643" s="316"/>
      <c r="N643" s="317"/>
      <c r="O643" s="318"/>
      <c r="P643" s="397"/>
      <c r="Q643" s="199"/>
      <c r="R643" s="220"/>
      <c r="S643" s="400"/>
      <c r="T643" s="401"/>
      <c r="U643" s="199"/>
      <c r="V643" s="220"/>
      <c r="W643" s="400"/>
      <c r="X643" s="401"/>
      <c r="Y643" s="199"/>
      <c r="Z643" s="220"/>
      <c r="AA643" s="400"/>
      <c r="AB643" s="401"/>
      <c r="AC643" s="199"/>
      <c r="AD643" s="220"/>
      <c r="AE643" s="400"/>
      <c r="AF643" s="401"/>
      <c r="AG643" s="201"/>
      <c r="AH643" s="201"/>
      <c r="AI643" s="201"/>
      <c r="AJ643" s="201"/>
      <c r="AK643" s="397"/>
      <c r="AL643" s="397"/>
      <c r="AM643" s="397"/>
    </row>
    <row r="644">
      <c r="A644" s="316"/>
      <c r="B644" s="317"/>
      <c r="C644" s="318"/>
      <c r="D644" s="397"/>
      <c r="E644" s="316"/>
      <c r="F644" s="317"/>
      <c r="G644" s="318"/>
      <c r="H644" s="397"/>
      <c r="I644" s="316"/>
      <c r="J644" s="317"/>
      <c r="K644" s="318"/>
      <c r="L644" s="397"/>
      <c r="M644" s="316"/>
      <c r="N644" s="317"/>
      <c r="O644" s="318"/>
      <c r="P644" s="397"/>
      <c r="Q644" s="199"/>
      <c r="R644" s="220"/>
      <c r="S644" s="400"/>
      <c r="T644" s="401"/>
      <c r="U644" s="199"/>
      <c r="V644" s="220"/>
      <c r="W644" s="400"/>
      <c r="X644" s="401"/>
      <c r="Y644" s="199"/>
      <c r="Z644" s="220"/>
      <c r="AA644" s="400"/>
      <c r="AB644" s="401"/>
      <c r="AC644" s="199"/>
      <c r="AD644" s="220"/>
      <c r="AE644" s="400"/>
      <c r="AF644" s="401"/>
      <c r="AG644" s="201"/>
      <c r="AH644" s="201"/>
      <c r="AI644" s="201"/>
      <c r="AJ644" s="201"/>
      <c r="AK644" s="397"/>
      <c r="AL644" s="397"/>
      <c r="AM644" s="397"/>
    </row>
    <row r="645">
      <c r="A645" s="316"/>
      <c r="B645" s="317"/>
      <c r="C645" s="318"/>
      <c r="D645" s="397"/>
      <c r="E645" s="316"/>
      <c r="F645" s="317"/>
      <c r="G645" s="318"/>
      <c r="H645" s="397"/>
      <c r="I645" s="316"/>
      <c r="J645" s="317"/>
      <c r="K645" s="318"/>
      <c r="L645" s="397"/>
      <c r="M645" s="316"/>
      <c r="N645" s="317"/>
      <c r="O645" s="318"/>
      <c r="P645" s="397"/>
      <c r="Q645" s="199"/>
      <c r="R645" s="220"/>
      <c r="S645" s="400"/>
      <c r="T645" s="401"/>
      <c r="U645" s="199"/>
      <c r="V645" s="220"/>
      <c r="W645" s="400"/>
      <c r="X645" s="401"/>
      <c r="Y645" s="199"/>
      <c r="Z645" s="220"/>
      <c r="AA645" s="400"/>
      <c r="AB645" s="401"/>
      <c r="AC645" s="199"/>
      <c r="AD645" s="220"/>
      <c r="AE645" s="400"/>
      <c r="AF645" s="401"/>
      <c r="AG645" s="201"/>
      <c r="AH645" s="201"/>
      <c r="AI645" s="201"/>
      <c r="AJ645" s="201"/>
      <c r="AK645" s="397"/>
      <c r="AL645" s="397"/>
      <c r="AM645" s="397"/>
    </row>
    <row r="646">
      <c r="A646" s="316"/>
      <c r="B646" s="317"/>
      <c r="C646" s="318"/>
      <c r="D646" s="397"/>
      <c r="E646" s="316"/>
      <c r="F646" s="317"/>
      <c r="G646" s="318"/>
      <c r="H646" s="397"/>
      <c r="I646" s="316"/>
      <c r="J646" s="317"/>
      <c r="K646" s="318"/>
      <c r="L646" s="397"/>
      <c r="M646" s="316"/>
      <c r="N646" s="317"/>
      <c r="O646" s="318"/>
      <c r="P646" s="397"/>
      <c r="Q646" s="199"/>
      <c r="R646" s="220"/>
      <c r="S646" s="400"/>
      <c r="T646" s="401"/>
      <c r="U646" s="199"/>
      <c r="V646" s="220"/>
      <c r="W646" s="400"/>
      <c r="X646" s="401"/>
      <c r="Y646" s="199"/>
      <c r="Z646" s="220"/>
      <c r="AA646" s="400"/>
      <c r="AB646" s="401"/>
      <c r="AC646" s="199"/>
      <c r="AD646" s="220"/>
      <c r="AE646" s="400"/>
      <c r="AF646" s="401"/>
      <c r="AG646" s="201"/>
      <c r="AH646" s="201"/>
      <c r="AI646" s="201"/>
      <c r="AJ646" s="201"/>
      <c r="AK646" s="397"/>
      <c r="AL646" s="397"/>
      <c r="AM646" s="397"/>
    </row>
    <row r="647">
      <c r="A647" s="316"/>
      <c r="B647" s="317"/>
      <c r="C647" s="318"/>
      <c r="D647" s="397"/>
      <c r="E647" s="316"/>
      <c r="F647" s="317"/>
      <c r="G647" s="318"/>
      <c r="H647" s="397"/>
      <c r="I647" s="316"/>
      <c r="J647" s="317"/>
      <c r="K647" s="318"/>
      <c r="L647" s="397"/>
      <c r="M647" s="316"/>
      <c r="N647" s="317"/>
      <c r="O647" s="318"/>
      <c r="P647" s="397"/>
      <c r="Q647" s="199"/>
      <c r="R647" s="220"/>
      <c r="S647" s="400"/>
      <c r="T647" s="401"/>
      <c r="U647" s="199"/>
      <c r="V647" s="220"/>
      <c r="W647" s="400"/>
      <c r="X647" s="401"/>
      <c r="Y647" s="199"/>
      <c r="Z647" s="220"/>
      <c r="AA647" s="400"/>
      <c r="AB647" s="401"/>
      <c r="AC647" s="199"/>
      <c r="AD647" s="220"/>
      <c r="AE647" s="400"/>
      <c r="AF647" s="401"/>
      <c r="AG647" s="201"/>
      <c r="AH647" s="201"/>
      <c r="AI647" s="201"/>
      <c r="AJ647" s="201"/>
      <c r="AK647" s="397"/>
      <c r="AL647" s="397"/>
      <c r="AM647" s="397"/>
    </row>
    <row r="648">
      <c r="A648" s="316"/>
      <c r="B648" s="317"/>
      <c r="C648" s="318"/>
      <c r="D648" s="397"/>
      <c r="E648" s="316"/>
      <c r="F648" s="317"/>
      <c r="G648" s="318"/>
      <c r="H648" s="397"/>
      <c r="I648" s="316"/>
      <c r="J648" s="317"/>
      <c r="K648" s="318"/>
      <c r="L648" s="397"/>
      <c r="M648" s="316"/>
      <c r="N648" s="317"/>
      <c r="O648" s="318"/>
      <c r="P648" s="397"/>
      <c r="Q648" s="199"/>
      <c r="R648" s="220"/>
      <c r="S648" s="400"/>
      <c r="T648" s="401"/>
      <c r="U648" s="199"/>
      <c r="V648" s="220"/>
      <c r="W648" s="400"/>
      <c r="X648" s="401"/>
      <c r="Y648" s="199"/>
      <c r="Z648" s="220"/>
      <c r="AA648" s="400"/>
      <c r="AB648" s="401"/>
      <c r="AC648" s="199"/>
      <c r="AD648" s="220"/>
      <c r="AE648" s="400"/>
      <c r="AF648" s="401"/>
      <c r="AG648" s="201"/>
      <c r="AH648" s="201"/>
      <c r="AI648" s="201"/>
      <c r="AJ648" s="201"/>
      <c r="AK648" s="397"/>
      <c r="AL648" s="397"/>
      <c r="AM648" s="397"/>
    </row>
    <row r="649">
      <c r="A649" s="316"/>
      <c r="B649" s="317"/>
      <c r="C649" s="318"/>
      <c r="D649" s="397"/>
      <c r="E649" s="316"/>
      <c r="F649" s="317"/>
      <c r="G649" s="318"/>
      <c r="H649" s="397"/>
      <c r="I649" s="316"/>
      <c r="J649" s="317"/>
      <c r="K649" s="318"/>
      <c r="L649" s="397"/>
      <c r="M649" s="316"/>
      <c r="N649" s="317"/>
      <c r="O649" s="318"/>
      <c r="P649" s="397"/>
      <c r="Q649" s="199"/>
      <c r="R649" s="220"/>
      <c r="S649" s="400"/>
      <c r="T649" s="401"/>
      <c r="U649" s="199"/>
      <c r="V649" s="220"/>
      <c r="W649" s="400"/>
      <c r="X649" s="401"/>
      <c r="Y649" s="199"/>
      <c r="Z649" s="220"/>
      <c r="AA649" s="400"/>
      <c r="AB649" s="401"/>
      <c r="AC649" s="199"/>
      <c r="AD649" s="220"/>
      <c r="AE649" s="400"/>
      <c r="AF649" s="401"/>
      <c r="AG649" s="201"/>
      <c r="AH649" s="201"/>
      <c r="AI649" s="201"/>
      <c r="AJ649" s="201"/>
      <c r="AK649" s="397"/>
      <c r="AL649" s="397"/>
      <c r="AM649" s="397"/>
    </row>
    <row r="650">
      <c r="A650" s="316"/>
      <c r="B650" s="317"/>
      <c r="C650" s="318"/>
      <c r="D650" s="397"/>
      <c r="E650" s="316"/>
      <c r="F650" s="317"/>
      <c r="G650" s="318"/>
      <c r="H650" s="397"/>
      <c r="I650" s="316"/>
      <c r="J650" s="317"/>
      <c r="K650" s="318"/>
      <c r="L650" s="397"/>
      <c r="M650" s="316"/>
      <c r="N650" s="317"/>
      <c r="O650" s="318"/>
      <c r="P650" s="397"/>
      <c r="Q650" s="199"/>
      <c r="R650" s="220"/>
      <c r="S650" s="400"/>
      <c r="T650" s="401"/>
      <c r="U650" s="199"/>
      <c r="V650" s="220"/>
      <c r="W650" s="400"/>
      <c r="X650" s="401"/>
      <c r="Y650" s="199"/>
      <c r="Z650" s="220"/>
      <c r="AA650" s="400"/>
      <c r="AB650" s="401"/>
      <c r="AC650" s="199"/>
      <c r="AD650" s="220"/>
      <c r="AE650" s="400"/>
      <c r="AF650" s="401"/>
      <c r="AG650" s="201"/>
      <c r="AH650" s="201"/>
      <c r="AI650" s="201"/>
      <c r="AJ650" s="201"/>
      <c r="AK650" s="397"/>
      <c r="AL650" s="397"/>
      <c r="AM650" s="397"/>
    </row>
    <row r="651">
      <c r="A651" s="316"/>
      <c r="B651" s="317"/>
      <c r="C651" s="318"/>
      <c r="D651" s="397"/>
      <c r="E651" s="316"/>
      <c r="F651" s="317"/>
      <c r="G651" s="318"/>
      <c r="H651" s="397"/>
      <c r="I651" s="316"/>
      <c r="J651" s="317"/>
      <c r="K651" s="318"/>
      <c r="L651" s="397"/>
      <c r="M651" s="316"/>
      <c r="N651" s="317"/>
      <c r="O651" s="318"/>
      <c r="P651" s="397"/>
      <c r="Q651" s="199"/>
      <c r="R651" s="220"/>
      <c r="S651" s="400"/>
      <c r="T651" s="401"/>
      <c r="U651" s="199"/>
      <c r="V651" s="220"/>
      <c r="W651" s="400"/>
      <c r="X651" s="401"/>
      <c r="Y651" s="199"/>
      <c r="Z651" s="220"/>
      <c r="AA651" s="400"/>
      <c r="AB651" s="401"/>
      <c r="AC651" s="199"/>
      <c r="AD651" s="220"/>
      <c r="AE651" s="400"/>
      <c r="AF651" s="401"/>
      <c r="AG651" s="201"/>
      <c r="AH651" s="201"/>
      <c r="AI651" s="201"/>
      <c r="AJ651" s="201"/>
      <c r="AK651" s="397"/>
      <c r="AL651" s="397"/>
      <c r="AM651" s="397"/>
    </row>
    <row r="652">
      <c r="A652" s="316"/>
      <c r="B652" s="317"/>
      <c r="C652" s="318"/>
      <c r="D652" s="397"/>
      <c r="E652" s="316"/>
      <c r="F652" s="317"/>
      <c r="G652" s="318"/>
      <c r="H652" s="397"/>
      <c r="I652" s="316"/>
      <c r="J652" s="317"/>
      <c r="K652" s="318"/>
      <c r="L652" s="397"/>
      <c r="M652" s="316"/>
      <c r="N652" s="317"/>
      <c r="O652" s="318"/>
      <c r="P652" s="397"/>
      <c r="Q652" s="199"/>
      <c r="R652" s="220"/>
      <c r="S652" s="400"/>
      <c r="T652" s="401"/>
      <c r="U652" s="199"/>
      <c r="V652" s="220"/>
      <c r="W652" s="400"/>
      <c r="X652" s="401"/>
      <c r="Y652" s="199"/>
      <c r="Z652" s="220"/>
      <c r="AA652" s="400"/>
      <c r="AB652" s="401"/>
      <c r="AC652" s="199"/>
      <c r="AD652" s="220"/>
      <c r="AE652" s="400"/>
      <c r="AF652" s="401"/>
      <c r="AG652" s="201"/>
      <c r="AH652" s="201"/>
      <c r="AI652" s="201"/>
      <c r="AJ652" s="201"/>
      <c r="AK652" s="397"/>
      <c r="AL652" s="397"/>
      <c r="AM652" s="397"/>
    </row>
    <row r="653">
      <c r="A653" s="316"/>
      <c r="B653" s="317"/>
      <c r="C653" s="318"/>
      <c r="D653" s="397"/>
      <c r="E653" s="316"/>
      <c r="F653" s="317"/>
      <c r="G653" s="318"/>
      <c r="H653" s="397"/>
      <c r="I653" s="316"/>
      <c r="J653" s="317"/>
      <c r="K653" s="318"/>
      <c r="L653" s="397"/>
      <c r="M653" s="316"/>
      <c r="N653" s="317"/>
      <c r="O653" s="318"/>
      <c r="P653" s="397"/>
      <c r="Q653" s="199"/>
      <c r="R653" s="220"/>
      <c r="S653" s="400"/>
      <c r="T653" s="401"/>
      <c r="U653" s="199"/>
      <c r="V653" s="220"/>
      <c r="W653" s="400"/>
      <c r="X653" s="401"/>
      <c r="Y653" s="199"/>
      <c r="Z653" s="220"/>
      <c r="AA653" s="400"/>
      <c r="AB653" s="401"/>
      <c r="AC653" s="199"/>
      <c r="AD653" s="220"/>
      <c r="AE653" s="400"/>
      <c r="AF653" s="401"/>
      <c r="AG653" s="201"/>
      <c r="AH653" s="201"/>
      <c r="AI653" s="201"/>
      <c r="AJ653" s="201"/>
      <c r="AK653" s="397"/>
      <c r="AL653" s="397"/>
      <c r="AM653" s="397"/>
    </row>
    <row r="654">
      <c r="A654" s="316"/>
      <c r="B654" s="317"/>
      <c r="C654" s="318"/>
      <c r="D654" s="397"/>
      <c r="E654" s="316"/>
      <c r="F654" s="317"/>
      <c r="G654" s="318"/>
      <c r="H654" s="397"/>
      <c r="I654" s="316"/>
      <c r="J654" s="317"/>
      <c r="K654" s="318"/>
      <c r="L654" s="397"/>
      <c r="M654" s="316"/>
      <c r="N654" s="317"/>
      <c r="O654" s="318"/>
      <c r="P654" s="397"/>
      <c r="Q654" s="199"/>
      <c r="R654" s="220"/>
      <c r="S654" s="400"/>
      <c r="T654" s="401"/>
      <c r="U654" s="199"/>
      <c r="V654" s="220"/>
      <c r="W654" s="400"/>
      <c r="X654" s="401"/>
      <c r="Y654" s="199"/>
      <c r="Z654" s="220"/>
      <c r="AA654" s="400"/>
      <c r="AB654" s="401"/>
      <c r="AC654" s="199"/>
      <c r="AD654" s="220"/>
      <c r="AE654" s="400"/>
      <c r="AF654" s="401"/>
      <c r="AG654" s="201"/>
      <c r="AH654" s="201"/>
      <c r="AI654" s="201"/>
      <c r="AJ654" s="201"/>
      <c r="AK654" s="397"/>
      <c r="AL654" s="397"/>
      <c r="AM654" s="397"/>
    </row>
    <row r="655">
      <c r="A655" s="316"/>
      <c r="B655" s="317"/>
      <c r="C655" s="318"/>
      <c r="D655" s="397"/>
      <c r="E655" s="316"/>
      <c r="F655" s="317"/>
      <c r="G655" s="318"/>
      <c r="H655" s="397"/>
      <c r="I655" s="316"/>
      <c r="J655" s="317"/>
      <c r="K655" s="318"/>
      <c r="L655" s="397"/>
      <c r="M655" s="316"/>
      <c r="N655" s="317"/>
      <c r="O655" s="318"/>
      <c r="P655" s="397"/>
      <c r="Q655" s="199"/>
      <c r="R655" s="220"/>
      <c r="S655" s="400"/>
      <c r="T655" s="401"/>
      <c r="U655" s="199"/>
      <c r="V655" s="220"/>
      <c r="W655" s="400"/>
      <c r="X655" s="401"/>
      <c r="Y655" s="199"/>
      <c r="Z655" s="220"/>
      <c r="AA655" s="400"/>
      <c r="AB655" s="401"/>
      <c r="AC655" s="199"/>
      <c r="AD655" s="220"/>
      <c r="AE655" s="400"/>
      <c r="AF655" s="401"/>
      <c r="AG655" s="201"/>
      <c r="AH655" s="201"/>
      <c r="AI655" s="201"/>
      <c r="AJ655" s="201"/>
      <c r="AK655" s="397"/>
      <c r="AL655" s="397"/>
      <c r="AM655" s="397"/>
    </row>
    <row r="656">
      <c r="A656" s="316"/>
      <c r="B656" s="317"/>
      <c r="C656" s="318"/>
      <c r="D656" s="397"/>
      <c r="E656" s="316"/>
      <c r="F656" s="317"/>
      <c r="G656" s="318"/>
      <c r="H656" s="397"/>
      <c r="I656" s="316"/>
      <c r="J656" s="317"/>
      <c r="K656" s="318"/>
      <c r="L656" s="397"/>
      <c r="M656" s="316"/>
      <c r="N656" s="317"/>
      <c r="O656" s="318"/>
      <c r="P656" s="397"/>
      <c r="Q656" s="199"/>
      <c r="R656" s="220"/>
      <c r="S656" s="400"/>
      <c r="T656" s="401"/>
      <c r="U656" s="199"/>
      <c r="V656" s="220"/>
      <c r="W656" s="400"/>
      <c r="X656" s="401"/>
      <c r="Y656" s="199"/>
      <c r="Z656" s="220"/>
      <c r="AA656" s="400"/>
      <c r="AB656" s="401"/>
      <c r="AC656" s="199"/>
      <c r="AD656" s="220"/>
      <c r="AE656" s="400"/>
      <c r="AF656" s="401"/>
      <c r="AG656" s="201"/>
      <c r="AH656" s="201"/>
      <c r="AI656" s="201"/>
      <c r="AJ656" s="201"/>
      <c r="AK656" s="397"/>
      <c r="AL656" s="397"/>
      <c r="AM656" s="397"/>
    </row>
    <row r="657">
      <c r="A657" s="316"/>
      <c r="B657" s="317"/>
      <c r="C657" s="318"/>
      <c r="D657" s="397"/>
      <c r="E657" s="316"/>
      <c r="F657" s="317"/>
      <c r="G657" s="318"/>
      <c r="H657" s="397"/>
      <c r="I657" s="316"/>
      <c r="J657" s="317"/>
      <c r="K657" s="318"/>
      <c r="L657" s="397"/>
      <c r="M657" s="316"/>
      <c r="N657" s="317"/>
      <c r="O657" s="318"/>
      <c r="P657" s="397"/>
      <c r="Q657" s="199"/>
      <c r="R657" s="220"/>
      <c r="S657" s="400"/>
      <c r="T657" s="401"/>
      <c r="U657" s="199"/>
      <c r="V657" s="220"/>
      <c r="W657" s="400"/>
      <c r="X657" s="401"/>
      <c r="Y657" s="199"/>
      <c r="Z657" s="220"/>
      <c r="AA657" s="400"/>
      <c r="AB657" s="401"/>
      <c r="AC657" s="199"/>
      <c r="AD657" s="220"/>
      <c r="AE657" s="400"/>
      <c r="AF657" s="401"/>
      <c r="AG657" s="201"/>
      <c r="AH657" s="201"/>
      <c r="AI657" s="201"/>
      <c r="AJ657" s="201"/>
      <c r="AK657" s="397"/>
      <c r="AL657" s="397"/>
      <c r="AM657" s="397"/>
    </row>
    <row r="658">
      <c r="A658" s="316"/>
      <c r="B658" s="317"/>
      <c r="C658" s="318"/>
      <c r="D658" s="397"/>
      <c r="E658" s="316"/>
      <c r="F658" s="317"/>
      <c r="G658" s="318"/>
      <c r="H658" s="397"/>
      <c r="I658" s="316"/>
      <c r="J658" s="317"/>
      <c r="K658" s="318"/>
      <c r="L658" s="397"/>
      <c r="M658" s="316"/>
      <c r="N658" s="317"/>
      <c r="O658" s="318"/>
      <c r="P658" s="397"/>
      <c r="Q658" s="199"/>
      <c r="R658" s="220"/>
      <c r="S658" s="400"/>
      <c r="T658" s="401"/>
      <c r="U658" s="199"/>
      <c r="V658" s="220"/>
      <c r="W658" s="400"/>
      <c r="X658" s="401"/>
      <c r="Y658" s="199"/>
      <c r="Z658" s="220"/>
      <c r="AA658" s="400"/>
      <c r="AB658" s="401"/>
      <c r="AC658" s="199"/>
      <c r="AD658" s="220"/>
      <c r="AE658" s="400"/>
      <c r="AF658" s="401"/>
      <c r="AG658" s="201"/>
      <c r="AH658" s="201"/>
      <c r="AI658" s="201"/>
      <c r="AJ658" s="201"/>
      <c r="AK658" s="397"/>
      <c r="AL658" s="397"/>
      <c r="AM658" s="397"/>
    </row>
    <row r="659">
      <c r="A659" s="316"/>
      <c r="B659" s="317"/>
      <c r="C659" s="318"/>
      <c r="D659" s="397"/>
      <c r="E659" s="316"/>
      <c r="F659" s="317"/>
      <c r="G659" s="318"/>
      <c r="H659" s="397"/>
      <c r="I659" s="316"/>
      <c r="J659" s="317"/>
      <c r="K659" s="318"/>
      <c r="L659" s="397"/>
      <c r="M659" s="316"/>
      <c r="N659" s="317"/>
      <c r="O659" s="318"/>
      <c r="P659" s="397"/>
      <c r="Q659" s="199"/>
      <c r="R659" s="220"/>
      <c r="S659" s="400"/>
      <c r="T659" s="401"/>
      <c r="U659" s="199"/>
      <c r="V659" s="220"/>
      <c r="W659" s="400"/>
      <c r="X659" s="401"/>
      <c r="Y659" s="199"/>
      <c r="Z659" s="220"/>
      <c r="AA659" s="400"/>
      <c r="AB659" s="401"/>
      <c r="AC659" s="199"/>
      <c r="AD659" s="220"/>
      <c r="AE659" s="400"/>
      <c r="AF659" s="401"/>
      <c r="AG659" s="201"/>
      <c r="AH659" s="201"/>
      <c r="AI659" s="201"/>
      <c r="AJ659" s="201"/>
      <c r="AK659" s="397"/>
      <c r="AL659" s="397"/>
      <c r="AM659" s="397"/>
    </row>
    <row r="660">
      <c r="A660" s="316"/>
      <c r="B660" s="317"/>
      <c r="C660" s="318"/>
      <c r="D660" s="397"/>
      <c r="E660" s="316"/>
      <c r="F660" s="317"/>
      <c r="G660" s="318"/>
      <c r="H660" s="397"/>
      <c r="I660" s="316"/>
      <c r="J660" s="317"/>
      <c r="K660" s="318"/>
      <c r="L660" s="397"/>
      <c r="M660" s="316"/>
      <c r="N660" s="317"/>
      <c r="O660" s="318"/>
      <c r="P660" s="397"/>
      <c r="Q660" s="199"/>
      <c r="R660" s="220"/>
      <c r="S660" s="400"/>
      <c r="T660" s="401"/>
      <c r="U660" s="199"/>
      <c r="V660" s="220"/>
      <c r="W660" s="400"/>
      <c r="X660" s="401"/>
      <c r="Y660" s="199"/>
      <c r="Z660" s="220"/>
      <c r="AA660" s="400"/>
      <c r="AB660" s="401"/>
      <c r="AC660" s="199"/>
      <c r="AD660" s="220"/>
      <c r="AE660" s="400"/>
      <c r="AF660" s="401"/>
      <c r="AG660" s="201"/>
      <c r="AH660" s="201"/>
      <c r="AI660" s="201"/>
      <c r="AJ660" s="201"/>
      <c r="AK660" s="397"/>
      <c r="AL660" s="397"/>
      <c r="AM660" s="397"/>
    </row>
    <row r="661">
      <c r="A661" s="316"/>
      <c r="B661" s="317"/>
      <c r="C661" s="318"/>
      <c r="D661" s="397"/>
      <c r="E661" s="316"/>
      <c r="F661" s="317"/>
      <c r="G661" s="318"/>
      <c r="H661" s="397"/>
      <c r="I661" s="316"/>
      <c r="J661" s="317"/>
      <c r="K661" s="318"/>
      <c r="L661" s="397"/>
      <c r="M661" s="316"/>
      <c r="N661" s="317"/>
      <c r="O661" s="318"/>
      <c r="P661" s="397"/>
      <c r="Q661" s="199"/>
      <c r="R661" s="220"/>
      <c r="S661" s="400"/>
      <c r="T661" s="401"/>
      <c r="U661" s="199"/>
      <c r="V661" s="220"/>
      <c r="W661" s="400"/>
      <c r="X661" s="401"/>
      <c r="Y661" s="199"/>
      <c r="Z661" s="220"/>
      <c r="AA661" s="400"/>
      <c r="AB661" s="401"/>
      <c r="AC661" s="199"/>
      <c r="AD661" s="220"/>
      <c r="AE661" s="400"/>
      <c r="AF661" s="401"/>
      <c r="AG661" s="201"/>
      <c r="AH661" s="201"/>
      <c r="AI661" s="201"/>
      <c r="AJ661" s="201"/>
      <c r="AK661" s="397"/>
      <c r="AL661" s="397"/>
      <c r="AM661" s="397"/>
    </row>
    <row r="662">
      <c r="A662" s="316"/>
      <c r="B662" s="317"/>
      <c r="C662" s="318"/>
      <c r="D662" s="397"/>
      <c r="E662" s="316"/>
      <c r="F662" s="317"/>
      <c r="G662" s="318"/>
      <c r="H662" s="397"/>
      <c r="I662" s="316"/>
      <c r="J662" s="317"/>
      <c r="K662" s="318"/>
      <c r="L662" s="397"/>
      <c r="M662" s="316"/>
      <c r="N662" s="317"/>
      <c r="O662" s="318"/>
      <c r="P662" s="397"/>
      <c r="Q662" s="199"/>
      <c r="R662" s="220"/>
      <c r="S662" s="400"/>
      <c r="T662" s="401"/>
      <c r="U662" s="199"/>
      <c r="V662" s="220"/>
      <c r="W662" s="400"/>
      <c r="X662" s="401"/>
      <c r="Y662" s="199"/>
      <c r="Z662" s="220"/>
      <c r="AA662" s="400"/>
      <c r="AB662" s="401"/>
      <c r="AC662" s="199"/>
      <c r="AD662" s="220"/>
      <c r="AE662" s="400"/>
      <c r="AF662" s="401"/>
      <c r="AG662" s="201"/>
      <c r="AH662" s="201"/>
      <c r="AI662" s="201"/>
      <c r="AJ662" s="201"/>
      <c r="AK662" s="397"/>
      <c r="AL662" s="397"/>
      <c r="AM662" s="397"/>
    </row>
    <row r="663">
      <c r="A663" s="316"/>
      <c r="B663" s="317"/>
      <c r="C663" s="318"/>
      <c r="D663" s="397"/>
      <c r="E663" s="316"/>
      <c r="F663" s="317"/>
      <c r="G663" s="318"/>
      <c r="H663" s="397"/>
      <c r="I663" s="316"/>
      <c r="J663" s="317"/>
      <c r="K663" s="318"/>
      <c r="L663" s="397"/>
      <c r="M663" s="316"/>
      <c r="N663" s="317"/>
      <c r="O663" s="318"/>
      <c r="P663" s="397"/>
      <c r="Q663" s="199"/>
      <c r="R663" s="220"/>
      <c r="S663" s="400"/>
      <c r="T663" s="401"/>
      <c r="U663" s="199"/>
      <c r="V663" s="220"/>
      <c r="W663" s="400"/>
      <c r="X663" s="401"/>
      <c r="Y663" s="199"/>
      <c r="Z663" s="220"/>
      <c r="AA663" s="400"/>
      <c r="AB663" s="401"/>
      <c r="AC663" s="199"/>
      <c r="AD663" s="220"/>
      <c r="AE663" s="400"/>
      <c r="AF663" s="401"/>
      <c r="AG663" s="201"/>
      <c r="AH663" s="201"/>
      <c r="AI663" s="201"/>
      <c r="AJ663" s="201"/>
      <c r="AK663" s="397"/>
      <c r="AL663" s="397"/>
      <c r="AM663" s="397"/>
    </row>
    <row r="664">
      <c r="A664" s="316"/>
      <c r="B664" s="317"/>
      <c r="C664" s="318"/>
      <c r="D664" s="397"/>
      <c r="E664" s="316"/>
      <c r="F664" s="317"/>
      <c r="G664" s="318"/>
      <c r="H664" s="397"/>
      <c r="I664" s="316"/>
      <c r="J664" s="317"/>
      <c r="K664" s="318"/>
      <c r="L664" s="397"/>
      <c r="M664" s="316"/>
      <c r="N664" s="317"/>
      <c r="O664" s="318"/>
      <c r="P664" s="397"/>
      <c r="Q664" s="199"/>
      <c r="R664" s="220"/>
      <c r="S664" s="400"/>
      <c r="T664" s="401"/>
      <c r="U664" s="199"/>
      <c r="V664" s="220"/>
      <c r="W664" s="400"/>
      <c r="X664" s="401"/>
      <c r="Y664" s="199"/>
      <c r="Z664" s="220"/>
      <c r="AA664" s="400"/>
      <c r="AB664" s="401"/>
      <c r="AC664" s="199"/>
      <c r="AD664" s="220"/>
      <c r="AE664" s="400"/>
      <c r="AF664" s="401"/>
      <c r="AG664" s="201"/>
      <c r="AH664" s="201"/>
      <c r="AI664" s="201"/>
      <c r="AJ664" s="201"/>
      <c r="AK664" s="397"/>
      <c r="AL664" s="397"/>
      <c r="AM664" s="397"/>
    </row>
    <row r="665">
      <c r="A665" s="316"/>
      <c r="B665" s="317"/>
      <c r="C665" s="318"/>
      <c r="D665" s="397"/>
      <c r="E665" s="316"/>
      <c r="F665" s="317"/>
      <c r="G665" s="318"/>
      <c r="H665" s="397"/>
      <c r="I665" s="316"/>
      <c r="J665" s="317"/>
      <c r="K665" s="318"/>
      <c r="L665" s="397"/>
      <c r="M665" s="316"/>
      <c r="N665" s="317"/>
      <c r="O665" s="318"/>
      <c r="P665" s="397"/>
      <c r="Q665" s="199"/>
      <c r="R665" s="220"/>
      <c r="S665" s="400"/>
      <c r="T665" s="401"/>
      <c r="U665" s="199"/>
      <c r="V665" s="220"/>
      <c r="W665" s="400"/>
      <c r="X665" s="401"/>
      <c r="Y665" s="199"/>
      <c r="Z665" s="220"/>
      <c r="AA665" s="400"/>
      <c r="AB665" s="401"/>
      <c r="AC665" s="199"/>
      <c r="AD665" s="220"/>
      <c r="AE665" s="400"/>
      <c r="AF665" s="401"/>
      <c r="AG665" s="201"/>
      <c r="AH665" s="201"/>
      <c r="AI665" s="201"/>
      <c r="AJ665" s="201"/>
      <c r="AK665" s="397"/>
      <c r="AL665" s="397"/>
      <c r="AM665" s="397"/>
    </row>
    <row r="666">
      <c r="A666" s="316"/>
      <c r="B666" s="317"/>
      <c r="C666" s="318"/>
      <c r="D666" s="397"/>
      <c r="E666" s="316"/>
      <c r="F666" s="317"/>
      <c r="G666" s="318"/>
      <c r="H666" s="397"/>
      <c r="I666" s="316"/>
      <c r="J666" s="317"/>
      <c r="K666" s="318"/>
      <c r="L666" s="397"/>
      <c r="M666" s="316"/>
      <c r="N666" s="317"/>
      <c r="O666" s="318"/>
      <c r="P666" s="397"/>
      <c r="Q666" s="199"/>
      <c r="R666" s="220"/>
      <c r="S666" s="400"/>
      <c r="T666" s="401"/>
      <c r="U666" s="199"/>
      <c r="V666" s="220"/>
      <c r="W666" s="400"/>
      <c r="X666" s="401"/>
      <c r="Y666" s="199"/>
      <c r="Z666" s="220"/>
      <c r="AA666" s="400"/>
      <c r="AB666" s="401"/>
      <c r="AC666" s="199"/>
      <c r="AD666" s="220"/>
      <c r="AE666" s="400"/>
      <c r="AF666" s="401"/>
      <c r="AG666" s="201"/>
      <c r="AH666" s="201"/>
      <c r="AI666" s="201"/>
      <c r="AJ666" s="201"/>
      <c r="AK666" s="397"/>
      <c r="AL666" s="397"/>
      <c r="AM666" s="397"/>
    </row>
    <row r="667">
      <c r="A667" s="316"/>
      <c r="B667" s="317"/>
      <c r="C667" s="318"/>
      <c r="D667" s="397"/>
      <c r="E667" s="316"/>
      <c r="F667" s="317"/>
      <c r="G667" s="318"/>
      <c r="H667" s="397"/>
      <c r="I667" s="316"/>
      <c r="J667" s="317"/>
      <c r="K667" s="318"/>
      <c r="L667" s="397"/>
      <c r="M667" s="316"/>
      <c r="N667" s="317"/>
      <c r="O667" s="318"/>
      <c r="P667" s="397"/>
      <c r="Q667" s="199"/>
      <c r="R667" s="220"/>
      <c r="S667" s="400"/>
      <c r="T667" s="401"/>
      <c r="U667" s="199"/>
      <c r="V667" s="220"/>
      <c r="W667" s="400"/>
      <c r="X667" s="401"/>
      <c r="Y667" s="199"/>
      <c r="Z667" s="220"/>
      <c r="AA667" s="400"/>
      <c r="AB667" s="401"/>
      <c r="AC667" s="199"/>
      <c r="AD667" s="220"/>
      <c r="AE667" s="400"/>
      <c r="AF667" s="401"/>
      <c r="AG667" s="201"/>
      <c r="AH667" s="201"/>
      <c r="AI667" s="201"/>
      <c r="AJ667" s="201"/>
      <c r="AK667" s="397"/>
      <c r="AL667" s="397"/>
      <c r="AM667" s="397"/>
    </row>
    <row r="668">
      <c r="A668" s="316"/>
      <c r="B668" s="317"/>
      <c r="C668" s="318"/>
      <c r="D668" s="397"/>
      <c r="E668" s="316"/>
      <c r="F668" s="317"/>
      <c r="G668" s="318"/>
      <c r="H668" s="397"/>
      <c r="I668" s="316"/>
      <c r="J668" s="317"/>
      <c r="K668" s="318"/>
      <c r="L668" s="397"/>
      <c r="M668" s="316"/>
      <c r="N668" s="317"/>
      <c r="O668" s="318"/>
      <c r="P668" s="397"/>
      <c r="Q668" s="199"/>
      <c r="R668" s="220"/>
      <c r="S668" s="400"/>
      <c r="T668" s="401"/>
      <c r="U668" s="199"/>
      <c r="V668" s="220"/>
      <c r="W668" s="400"/>
      <c r="X668" s="401"/>
      <c r="Y668" s="199"/>
      <c r="Z668" s="220"/>
      <c r="AA668" s="400"/>
      <c r="AB668" s="401"/>
      <c r="AC668" s="199"/>
      <c r="AD668" s="220"/>
      <c r="AE668" s="400"/>
      <c r="AF668" s="401"/>
      <c r="AG668" s="201"/>
      <c r="AH668" s="201"/>
      <c r="AI668" s="201"/>
      <c r="AJ668" s="201"/>
      <c r="AK668" s="397"/>
      <c r="AL668" s="397"/>
      <c r="AM668" s="397"/>
    </row>
    <row r="669">
      <c r="A669" s="316"/>
      <c r="B669" s="317"/>
      <c r="C669" s="318"/>
      <c r="D669" s="397"/>
      <c r="E669" s="316"/>
      <c r="F669" s="317"/>
      <c r="G669" s="318"/>
      <c r="H669" s="397"/>
      <c r="I669" s="316"/>
      <c r="J669" s="317"/>
      <c r="K669" s="318"/>
      <c r="L669" s="397"/>
      <c r="M669" s="316"/>
      <c r="N669" s="317"/>
      <c r="O669" s="318"/>
      <c r="P669" s="397"/>
      <c r="Q669" s="199"/>
      <c r="R669" s="220"/>
      <c r="S669" s="400"/>
      <c r="T669" s="401"/>
      <c r="U669" s="199"/>
      <c r="V669" s="220"/>
      <c r="W669" s="400"/>
      <c r="X669" s="401"/>
      <c r="Y669" s="199"/>
      <c r="Z669" s="220"/>
      <c r="AA669" s="400"/>
      <c r="AB669" s="401"/>
      <c r="AC669" s="199"/>
      <c r="AD669" s="220"/>
      <c r="AE669" s="400"/>
      <c r="AF669" s="401"/>
      <c r="AG669" s="201"/>
      <c r="AH669" s="201"/>
      <c r="AI669" s="201"/>
      <c r="AJ669" s="201"/>
      <c r="AK669" s="397"/>
      <c r="AL669" s="397"/>
      <c r="AM669" s="397"/>
    </row>
    <row r="670">
      <c r="A670" s="316"/>
      <c r="B670" s="317"/>
      <c r="C670" s="318"/>
      <c r="D670" s="397"/>
      <c r="E670" s="316"/>
      <c r="F670" s="317"/>
      <c r="G670" s="318"/>
      <c r="H670" s="397"/>
      <c r="I670" s="316"/>
      <c r="J670" s="317"/>
      <c r="K670" s="318"/>
      <c r="L670" s="397"/>
      <c r="M670" s="316"/>
      <c r="N670" s="317"/>
      <c r="O670" s="318"/>
      <c r="P670" s="397"/>
      <c r="Q670" s="199"/>
      <c r="R670" s="220"/>
      <c r="S670" s="400"/>
      <c r="T670" s="401"/>
      <c r="U670" s="199"/>
      <c r="V670" s="220"/>
      <c r="W670" s="400"/>
      <c r="X670" s="401"/>
      <c r="Y670" s="199"/>
      <c r="Z670" s="220"/>
      <c r="AA670" s="400"/>
      <c r="AB670" s="401"/>
      <c r="AC670" s="199"/>
      <c r="AD670" s="220"/>
      <c r="AE670" s="400"/>
      <c r="AF670" s="401"/>
      <c r="AG670" s="201"/>
      <c r="AH670" s="201"/>
      <c r="AI670" s="201"/>
      <c r="AJ670" s="201"/>
      <c r="AK670" s="397"/>
      <c r="AL670" s="397"/>
      <c r="AM670" s="397"/>
    </row>
    <row r="671">
      <c r="A671" s="316"/>
      <c r="B671" s="317"/>
      <c r="C671" s="318"/>
      <c r="D671" s="397"/>
      <c r="E671" s="316"/>
      <c r="F671" s="317"/>
      <c r="G671" s="318"/>
      <c r="H671" s="397"/>
      <c r="I671" s="316"/>
      <c r="J671" s="317"/>
      <c r="K671" s="318"/>
      <c r="L671" s="397"/>
      <c r="M671" s="316"/>
      <c r="N671" s="317"/>
      <c r="O671" s="318"/>
      <c r="P671" s="397"/>
      <c r="Q671" s="199"/>
      <c r="R671" s="220"/>
      <c r="S671" s="400"/>
      <c r="T671" s="401"/>
      <c r="U671" s="199"/>
      <c r="V671" s="220"/>
      <c r="W671" s="400"/>
      <c r="X671" s="401"/>
      <c r="Y671" s="199"/>
      <c r="Z671" s="220"/>
      <c r="AA671" s="400"/>
      <c r="AB671" s="401"/>
      <c r="AC671" s="199"/>
      <c r="AD671" s="220"/>
      <c r="AE671" s="400"/>
      <c r="AF671" s="401"/>
      <c r="AG671" s="201"/>
      <c r="AH671" s="201"/>
      <c r="AI671" s="201"/>
      <c r="AJ671" s="201"/>
      <c r="AK671" s="397"/>
      <c r="AL671" s="397"/>
      <c r="AM671" s="397"/>
    </row>
    <row r="672">
      <c r="A672" s="316"/>
      <c r="B672" s="317"/>
      <c r="C672" s="318"/>
      <c r="D672" s="397"/>
      <c r="E672" s="316"/>
      <c r="F672" s="317"/>
      <c r="G672" s="318"/>
      <c r="H672" s="397"/>
      <c r="I672" s="316"/>
      <c r="J672" s="317"/>
      <c r="K672" s="318"/>
      <c r="L672" s="397"/>
      <c r="M672" s="316"/>
      <c r="N672" s="317"/>
      <c r="O672" s="318"/>
      <c r="P672" s="397"/>
      <c r="Q672" s="199"/>
      <c r="R672" s="220"/>
      <c r="S672" s="400"/>
      <c r="T672" s="401"/>
      <c r="U672" s="199"/>
      <c r="V672" s="220"/>
      <c r="W672" s="400"/>
      <c r="X672" s="401"/>
      <c r="Y672" s="199"/>
      <c r="Z672" s="220"/>
      <c r="AA672" s="400"/>
      <c r="AB672" s="401"/>
      <c r="AC672" s="199"/>
      <c r="AD672" s="220"/>
      <c r="AE672" s="400"/>
      <c r="AF672" s="401"/>
      <c r="AG672" s="201"/>
      <c r="AH672" s="201"/>
      <c r="AI672" s="201"/>
      <c r="AJ672" s="201"/>
      <c r="AK672" s="397"/>
      <c r="AL672" s="397"/>
      <c r="AM672" s="397"/>
    </row>
    <row r="673">
      <c r="A673" s="316"/>
      <c r="B673" s="317"/>
      <c r="C673" s="318"/>
      <c r="D673" s="397"/>
      <c r="E673" s="316"/>
      <c r="F673" s="317"/>
      <c r="G673" s="318"/>
      <c r="H673" s="397"/>
      <c r="I673" s="316"/>
      <c r="J673" s="317"/>
      <c r="K673" s="318"/>
      <c r="L673" s="397"/>
      <c r="M673" s="316"/>
      <c r="N673" s="317"/>
      <c r="O673" s="318"/>
      <c r="P673" s="397"/>
      <c r="Q673" s="199"/>
      <c r="R673" s="220"/>
      <c r="S673" s="400"/>
      <c r="T673" s="401"/>
      <c r="U673" s="199"/>
      <c r="V673" s="220"/>
      <c r="W673" s="400"/>
      <c r="X673" s="401"/>
      <c r="Y673" s="199"/>
      <c r="Z673" s="220"/>
      <c r="AA673" s="400"/>
      <c r="AB673" s="401"/>
      <c r="AC673" s="199"/>
      <c r="AD673" s="220"/>
      <c r="AE673" s="400"/>
      <c r="AF673" s="401"/>
      <c r="AG673" s="201"/>
      <c r="AH673" s="201"/>
      <c r="AI673" s="201"/>
      <c r="AJ673" s="201"/>
      <c r="AK673" s="397"/>
      <c r="AL673" s="397"/>
      <c r="AM673" s="397"/>
    </row>
    <row r="674">
      <c r="A674" s="316"/>
      <c r="B674" s="317"/>
      <c r="C674" s="318"/>
      <c r="D674" s="397"/>
      <c r="E674" s="316"/>
      <c r="F674" s="317"/>
      <c r="G674" s="318"/>
      <c r="H674" s="397"/>
      <c r="I674" s="316"/>
      <c r="J674" s="317"/>
      <c r="K674" s="318"/>
      <c r="L674" s="397"/>
      <c r="M674" s="316"/>
      <c r="N674" s="317"/>
      <c r="O674" s="318"/>
      <c r="P674" s="397"/>
      <c r="Q674" s="199"/>
      <c r="R674" s="220"/>
      <c r="S674" s="400"/>
      <c r="T674" s="401"/>
      <c r="U674" s="199"/>
      <c r="V674" s="220"/>
      <c r="W674" s="400"/>
      <c r="X674" s="401"/>
      <c r="Y674" s="199"/>
      <c r="Z674" s="220"/>
      <c r="AA674" s="400"/>
      <c r="AB674" s="401"/>
      <c r="AC674" s="199"/>
      <c r="AD674" s="220"/>
      <c r="AE674" s="400"/>
      <c r="AF674" s="401"/>
      <c r="AG674" s="201"/>
      <c r="AH674" s="201"/>
      <c r="AI674" s="201"/>
      <c r="AJ674" s="201"/>
      <c r="AK674" s="397"/>
      <c r="AL674" s="397"/>
      <c r="AM674" s="397"/>
    </row>
    <row r="675">
      <c r="A675" s="316"/>
      <c r="B675" s="317"/>
      <c r="C675" s="318"/>
      <c r="D675" s="397"/>
      <c r="E675" s="316"/>
      <c r="F675" s="317"/>
      <c r="G675" s="318"/>
      <c r="H675" s="397"/>
      <c r="I675" s="316"/>
      <c r="J675" s="317"/>
      <c r="K675" s="318"/>
      <c r="L675" s="397"/>
      <c r="M675" s="316"/>
      <c r="N675" s="317"/>
      <c r="O675" s="318"/>
      <c r="P675" s="397"/>
      <c r="Q675" s="199"/>
      <c r="R675" s="220"/>
      <c r="S675" s="400"/>
      <c r="T675" s="401"/>
      <c r="U675" s="199"/>
      <c r="V675" s="220"/>
      <c r="W675" s="400"/>
      <c r="X675" s="401"/>
      <c r="Y675" s="199"/>
      <c r="Z675" s="220"/>
      <c r="AA675" s="400"/>
      <c r="AB675" s="401"/>
      <c r="AC675" s="199"/>
      <c r="AD675" s="220"/>
      <c r="AE675" s="400"/>
      <c r="AF675" s="401"/>
      <c r="AG675" s="201"/>
      <c r="AH675" s="201"/>
      <c r="AI675" s="201"/>
      <c r="AJ675" s="201"/>
      <c r="AK675" s="397"/>
      <c r="AL675" s="397"/>
      <c r="AM675" s="397"/>
    </row>
    <row r="676">
      <c r="A676" s="316"/>
      <c r="B676" s="317"/>
      <c r="C676" s="318"/>
      <c r="D676" s="397"/>
      <c r="E676" s="316"/>
      <c r="F676" s="317"/>
      <c r="G676" s="318"/>
      <c r="H676" s="397"/>
      <c r="I676" s="316"/>
      <c r="J676" s="317"/>
      <c r="K676" s="318"/>
      <c r="L676" s="397"/>
      <c r="M676" s="316"/>
      <c r="N676" s="317"/>
      <c r="O676" s="318"/>
      <c r="P676" s="397"/>
      <c r="Q676" s="199"/>
      <c r="R676" s="220"/>
      <c r="S676" s="400"/>
      <c r="T676" s="401"/>
      <c r="U676" s="199"/>
      <c r="V676" s="220"/>
      <c r="W676" s="400"/>
      <c r="X676" s="401"/>
      <c r="Y676" s="199"/>
      <c r="Z676" s="220"/>
      <c r="AA676" s="400"/>
      <c r="AB676" s="401"/>
      <c r="AC676" s="199"/>
      <c r="AD676" s="220"/>
      <c r="AE676" s="400"/>
      <c r="AF676" s="401"/>
      <c r="AG676" s="201"/>
      <c r="AH676" s="201"/>
      <c r="AI676" s="201"/>
      <c r="AJ676" s="201"/>
      <c r="AK676" s="397"/>
      <c r="AL676" s="397"/>
      <c r="AM676" s="397"/>
    </row>
    <row r="677">
      <c r="A677" s="316"/>
      <c r="B677" s="317"/>
      <c r="C677" s="318"/>
      <c r="D677" s="397"/>
      <c r="E677" s="316"/>
      <c r="F677" s="317"/>
      <c r="G677" s="318"/>
      <c r="H677" s="397"/>
      <c r="I677" s="316"/>
      <c r="J677" s="317"/>
      <c r="K677" s="318"/>
      <c r="L677" s="397"/>
      <c r="M677" s="316"/>
      <c r="N677" s="317"/>
      <c r="O677" s="318"/>
      <c r="P677" s="397"/>
      <c r="Q677" s="199"/>
      <c r="R677" s="220"/>
      <c r="S677" s="400"/>
      <c r="T677" s="401"/>
      <c r="U677" s="199"/>
      <c r="V677" s="220"/>
      <c r="W677" s="400"/>
      <c r="X677" s="401"/>
      <c r="Y677" s="199"/>
      <c r="Z677" s="220"/>
      <c r="AA677" s="400"/>
      <c r="AB677" s="401"/>
      <c r="AC677" s="199"/>
      <c r="AD677" s="220"/>
      <c r="AE677" s="400"/>
      <c r="AF677" s="401"/>
      <c r="AG677" s="201"/>
      <c r="AH677" s="201"/>
      <c r="AI677" s="201"/>
      <c r="AJ677" s="201"/>
      <c r="AK677" s="397"/>
      <c r="AL677" s="397"/>
      <c r="AM677" s="397"/>
    </row>
    <row r="678">
      <c r="A678" s="316"/>
      <c r="B678" s="317"/>
      <c r="C678" s="318"/>
      <c r="D678" s="397"/>
      <c r="E678" s="316"/>
      <c r="F678" s="317"/>
      <c r="G678" s="318"/>
      <c r="H678" s="397"/>
      <c r="I678" s="316"/>
      <c r="J678" s="317"/>
      <c r="K678" s="318"/>
      <c r="L678" s="397"/>
      <c r="M678" s="316"/>
      <c r="N678" s="317"/>
      <c r="O678" s="318"/>
      <c r="P678" s="397"/>
      <c r="Q678" s="199"/>
      <c r="R678" s="220"/>
      <c r="S678" s="400"/>
      <c r="T678" s="401"/>
      <c r="U678" s="199"/>
      <c r="V678" s="220"/>
      <c r="W678" s="400"/>
      <c r="X678" s="401"/>
      <c r="Y678" s="199"/>
      <c r="Z678" s="220"/>
      <c r="AA678" s="400"/>
      <c r="AB678" s="401"/>
      <c r="AC678" s="199"/>
      <c r="AD678" s="220"/>
      <c r="AE678" s="400"/>
      <c r="AF678" s="401"/>
      <c r="AG678" s="201"/>
      <c r="AH678" s="201"/>
      <c r="AI678" s="201"/>
      <c r="AJ678" s="201"/>
      <c r="AK678" s="397"/>
      <c r="AL678" s="397"/>
      <c r="AM678" s="397"/>
    </row>
    <row r="679">
      <c r="A679" s="316"/>
      <c r="B679" s="317"/>
      <c r="C679" s="318"/>
      <c r="D679" s="397"/>
      <c r="E679" s="316"/>
      <c r="F679" s="317"/>
      <c r="G679" s="318"/>
      <c r="H679" s="397"/>
      <c r="I679" s="316"/>
      <c r="J679" s="317"/>
      <c r="K679" s="318"/>
      <c r="L679" s="397"/>
      <c r="M679" s="316"/>
      <c r="N679" s="317"/>
      <c r="O679" s="318"/>
      <c r="P679" s="397"/>
      <c r="Q679" s="199"/>
      <c r="R679" s="220"/>
      <c r="S679" s="400"/>
      <c r="T679" s="401"/>
      <c r="U679" s="199"/>
      <c r="V679" s="220"/>
      <c r="W679" s="400"/>
      <c r="X679" s="401"/>
      <c r="Y679" s="199"/>
      <c r="Z679" s="220"/>
      <c r="AA679" s="400"/>
      <c r="AB679" s="401"/>
      <c r="AC679" s="199"/>
      <c r="AD679" s="220"/>
      <c r="AE679" s="400"/>
      <c r="AF679" s="401"/>
      <c r="AG679" s="201"/>
      <c r="AH679" s="201"/>
      <c r="AI679" s="201"/>
      <c r="AJ679" s="201"/>
      <c r="AK679" s="397"/>
      <c r="AL679" s="397"/>
      <c r="AM679" s="397"/>
    </row>
    <row r="680">
      <c r="A680" s="316"/>
      <c r="B680" s="317"/>
      <c r="C680" s="318"/>
      <c r="D680" s="397"/>
      <c r="E680" s="316"/>
      <c r="F680" s="317"/>
      <c r="G680" s="318"/>
      <c r="H680" s="397"/>
      <c r="I680" s="316"/>
      <c r="J680" s="317"/>
      <c r="K680" s="318"/>
      <c r="L680" s="397"/>
      <c r="M680" s="316"/>
      <c r="N680" s="317"/>
      <c r="O680" s="318"/>
      <c r="P680" s="397"/>
      <c r="Q680" s="199"/>
      <c r="R680" s="220"/>
      <c r="S680" s="400"/>
      <c r="T680" s="401"/>
      <c r="U680" s="199"/>
      <c r="V680" s="220"/>
      <c r="W680" s="400"/>
      <c r="X680" s="401"/>
      <c r="Y680" s="199"/>
      <c r="Z680" s="220"/>
      <c r="AA680" s="400"/>
      <c r="AB680" s="401"/>
      <c r="AC680" s="199"/>
      <c r="AD680" s="220"/>
      <c r="AE680" s="400"/>
      <c r="AF680" s="401"/>
      <c r="AG680" s="201"/>
      <c r="AH680" s="201"/>
      <c r="AI680" s="201"/>
      <c r="AJ680" s="201"/>
      <c r="AK680" s="397"/>
      <c r="AL680" s="397"/>
      <c r="AM680" s="397"/>
    </row>
    <row r="681">
      <c r="A681" s="316"/>
      <c r="B681" s="317"/>
      <c r="C681" s="318"/>
      <c r="D681" s="397"/>
      <c r="E681" s="316"/>
      <c r="F681" s="317"/>
      <c r="G681" s="318"/>
      <c r="H681" s="397"/>
      <c r="I681" s="316"/>
      <c r="J681" s="317"/>
      <c r="K681" s="318"/>
      <c r="L681" s="397"/>
      <c r="M681" s="316"/>
      <c r="N681" s="317"/>
      <c r="O681" s="318"/>
      <c r="P681" s="397"/>
      <c r="Q681" s="199"/>
      <c r="R681" s="220"/>
      <c r="S681" s="400"/>
      <c r="T681" s="401"/>
      <c r="U681" s="199"/>
      <c r="V681" s="220"/>
      <c r="W681" s="400"/>
      <c r="X681" s="401"/>
      <c r="Y681" s="199"/>
      <c r="Z681" s="220"/>
      <c r="AA681" s="400"/>
      <c r="AB681" s="401"/>
      <c r="AC681" s="199"/>
      <c r="AD681" s="220"/>
      <c r="AE681" s="400"/>
      <c r="AF681" s="401"/>
      <c r="AG681" s="201"/>
      <c r="AH681" s="201"/>
      <c r="AI681" s="201"/>
      <c r="AJ681" s="201"/>
      <c r="AK681" s="397"/>
      <c r="AL681" s="397"/>
      <c r="AM681" s="397"/>
    </row>
    <row r="682">
      <c r="A682" s="316"/>
      <c r="B682" s="317"/>
      <c r="C682" s="318"/>
      <c r="D682" s="397"/>
      <c r="E682" s="316"/>
      <c r="F682" s="317"/>
      <c r="G682" s="318"/>
      <c r="H682" s="397"/>
      <c r="I682" s="316"/>
      <c r="J682" s="317"/>
      <c r="K682" s="318"/>
      <c r="L682" s="397"/>
      <c r="M682" s="316"/>
      <c r="N682" s="317"/>
      <c r="O682" s="318"/>
      <c r="P682" s="397"/>
      <c r="Q682" s="199"/>
      <c r="R682" s="220"/>
      <c r="S682" s="400"/>
      <c r="T682" s="401"/>
      <c r="U682" s="199"/>
      <c r="V682" s="220"/>
      <c r="W682" s="400"/>
      <c r="X682" s="401"/>
      <c r="Y682" s="199"/>
      <c r="Z682" s="220"/>
      <c r="AA682" s="400"/>
      <c r="AB682" s="401"/>
      <c r="AC682" s="199"/>
      <c r="AD682" s="220"/>
      <c r="AE682" s="400"/>
      <c r="AF682" s="401"/>
      <c r="AG682" s="201"/>
      <c r="AH682" s="201"/>
      <c r="AI682" s="201"/>
      <c r="AJ682" s="201"/>
      <c r="AK682" s="397"/>
      <c r="AL682" s="397"/>
      <c r="AM682" s="397"/>
    </row>
    <row r="683">
      <c r="A683" s="316"/>
      <c r="B683" s="317"/>
      <c r="C683" s="318"/>
      <c r="D683" s="397"/>
      <c r="E683" s="316"/>
      <c r="F683" s="317"/>
      <c r="G683" s="318"/>
      <c r="H683" s="397"/>
      <c r="I683" s="316"/>
      <c r="J683" s="317"/>
      <c r="K683" s="318"/>
      <c r="L683" s="397"/>
      <c r="M683" s="316"/>
      <c r="N683" s="317"/>
      <c r="O683" s="318"/>
      <c r="P683" s="397"/>
      <c r="Q683" s="199"/>
      <c r="R683" s="220"/>
      <c r="S683" s="400"/>
      <c r="T683" s="401"/>
      <c r="U683" s="199"/>
      <c r="V683" s="220"/>
      <c r="W683" s="400"/>
      <c r="X683" s="401"/>
      <c r="Y683" s="199"/>
      <c r="Z683" s="220"/>
      <c r="AA683" s="400"/>
      <c r="AB683" s="401"/>
      <c r="AC683" s="199"/>
      <c r="AD683" s="220"/>
      <c r="AE683" s="400"/>
      <c r="AF683" s="401"/>
      <c r="AG683" s="201"/>
      <c r="AH683" s="201"/>
      <c r="AI683" s="201"/>
      <c r="AJ683" s="201"/>
      <c r="AK683" s="397"/>
      <c r="AL683" s="397"/>
      <c r="AM683" s="397"/>
    </row>
    <row r="684">
      <c r="A684" s="316"/>
      <c r="B684" s="317"/>
      <c r="C684" s="318"/>
      <c r="D684" s="397"/>
      <c r="E684" s="316"/>
      <c r="F684" s="317"/>
      <c r="G684" s="318"/>
      <c r="H684" s="397"/>
      <c r="I684" s="316"/>
      <c r="J684" s="317"/>
      <c r="K684" s="318"/>
      <c r="L684" s="397"/>
      <c r="M684" s="316"/>
      <c r="N684" s="317"/>
      <c r="O684" s="318"/>
      <c r="P684" s="397"/>
      <c r="Q684" s="199"/>
      <c r="R684" s="220"/>
      <c r="S684" s="400"/>
      <c r="T684" s="401"/>
      <c r="U684" s="199"/>
      <c r="V684" s="220"/>
      <c r="W684" s="400"/>
      <c r="X684" s="401"/>
      <c r="Y684" s="199"/>
      <c r="Z684" s="220"/>
      <c r="AA684" s="400"/>
      <c r="AB684" s="401"/>
      <c r="AC684" s="199"/>
      <c r="AD684" s="220"/>
      <c r="AE684" s="400"/>
      <c r="AF684" s="401"/>
      <c r="AG684" s="201"/>
      <c r="AH684" s="201"/>
      <c r="AI684" s="201"/>
      <c r="AJ684" s="201"/>
      <c r="AK684" s="397"/>
      <c r="AL684" s="397"/>
      <c r="AM684" s="397"/>
    </row>
    <row r="685">
      <c r="A685" s="316"/>
      <c r="B685" s="317"/>
      <c r="C685" s="318"/>
      <c r="D685" s="397"/>
      <c r="E685" s="316"/>
      <c r="F685" s="317"/>
      <c r="G685" s="318"/>
      <c r="H685" s="397"/>
      <c r="I685" s="316"/>
      <c r="J685" s="317"/>
      <c r="K685" s="318"/>
      <c r="L685" s="397"/>
      <c r="M685" s="316"/>
      <c r="N685" s="317"/>
      <c r="O685" s="318"/>
      <c r="P685" s="397"/>
      <c r="Q685" s="199"/>
      <c r="R685" s="220"/>
      <c r="S685" s="400"/>
      <c r="T685" s="401"/>
      <c r="U685" s="199"/>
      <c r="V685" s="220"/>
      <c r="W685" s="400"/>
      <c r="X685" s="401"/>
      <c r="Y685" s="199"/>
      <c r="Z685" s="220"/>
      <c r="AA685" s="400"/>
      <c r="AB685" s="401"/>
      <c r="AC685" s="199"/>
      <c r="AD685" s="220"/>
      <c r="AE685" s="400"/>
      <c r="AF685" s="401"/>
      <c r="AG685" s="201"/>
      <c r="AH685" s="201"/>
      <c r="AI685" s="201"/>
      <c r="AJ685" s="201"/>
      <c r="AK685" s="397"/>
      <c r="AL685" s="397"/>
      <c r="AM685" s="397"/>
    </row>
    <row r="686">
      <c r="A686" s="316"/>
      <c r="B686" s="317"/>
      <c r="C686" s="318"/>
      <c r="D686" s="397"/>
      <c r="E686" s="316"/>
      <c r="F686" s="317"/>
      <c r="G686" s="318"/>
      <c r="H686" s="397"/>
      <c r="I686" s="316"/>
      <c r="J686" s="317"/>
      <c r="K686" s="318"/>
      <c r="L686" s="397"/>
      <c r="M686" s="316"/>
      <c r="N686" s="317"/>
      <c r="O686" s="318"/>
      <c r="P686" s="397"/>
      <c r="Q686" s="199"/>
      <c r="R686" s="220"/>
      <c r="S686" s="400"/>
      <c r="T686" s="401"/>
      <c r="U686" s="199"/>
      <c r="V686" s="220"/>
      <c r="W686" s="400"/>
      <c r="X686" s="401"/>
      <c r="Y686" s="199"/>
      <c r="Z686" s="220"/>
      <c r="AA686" s="400"/>
      <c r="AB686" s="401"/>
      <c r="AC686" s="199"/>
      <c r="AD686" s="220"/>
      <c r="AE686" s="400"/>
      <c r="AF686" s="401"/>
      <c r="AG686" s="201"/>
      <c r="AH686" s="201"/>
      <c r="AI686" s="201"/>
      <c r="AJ686" s="201"/>
      <c r="AK686" s="397"/>
      <c r="AL686" s="397"/>
      <c r="AM686" s="397"/>
    </row>
    <row r="687">
      <c r="A687" s="316"/>
      <c r="B687" s="317"/>
      <c r="C687" s="318"/>
      <c r="D687" s="397"/>
      <c r="E687" s="316"/>
      <c r="F687" s="317"/>
      <c r="G687" s="318"/>
      <c r="H687" s="397"/>
      <c r="I687" s="316"/>
      <c r="J687" s="317"/>
      <c r="K687" s="318"/>
      <c r="L687" s="397"/>
      <c r="M687" s="316"/>
      <c r="N687" s="317"/>
      <c r="O687" s="318"/>
      <c r="P687" s="397"/>
      <c r="Q687" s="199"/>
      <c r="R687" s="220"/>
      <c r="S687" s="400"/>
      <c r="T687" s="401"/>
      <c r="U687" s="199"/>
      <c r="V687" s="220"/>
      <c r="W687" s="400"/>
      <c r="X687" s="401"/>
      <c r="Y687" s="199"/>
      <c r="Z687" s="220"/>
      <c r="AA687" s="400"/>
      <c r="AB687" s="401"/>
      <c r="AC687" s="199"/>
      <c r="AD687" s="220"/>
      <c r="AE687" s="400"/>
      <c r="AF687" s="401"/>
      <c r="AG687" s="201"/>
      <c r="AH687" s="201"/>
      <c r="AI687" s="201"/>
      <c r="AJ687" s="201"/>
      <c r="AK687" s="397"/>
      <c r="AL687" s="397"/>
      <c r="AM687" s="397"/>
    </row>
    <row r="688">
      <c r="A688" s="316"/>
      <c r="B688" s="317"/>
      <c r="C688" s="318"/>
      <c r="D688" s="397"/>
      <c r="E688" s="316"/>
      <c r="F688" s="317"/>
      <c r="G688" s="318"/>
      <c r="H688" s="397"/>
      <c r="I688" s="316"/>
      <c r="J688" s="317"/>
      <c r="K688" s="318"/>
      <c r="L688" s="397"/>
      <c r="M688" s="316"/>
      <c r="N688" s="317"/>
      <c r="O688" s="318"/>
      <c r="P688" s="397"/>
      <c r="Q688" s="199"/>
      <c r="R688" s="220"/>
      <c r="S688" s="400"/>
      <c r="T688" s="401"/>
      <c r="U688" s="199"/>
      <c r="V688" s="220"/>
      <c r="W688" s="400"/>
      <c r="X688" s="401"/>
      <c r="Y688" s="199"/>
      <c r="Z688" s="220"/>
      <c r="AA688" s="400"/>
      <c r="AB688" s="401"/>
      <c r="AC688" s="199"/>
      <c r="AD688" s="220"/>
      <c r="AE688" s="400"/>
      <c r="AF688" s="401"/>
      <c r="AG688" s="201"/>
      <c r="AH688" s="201"/>
      <c r="AI688" s="201"/>
      <c r="AJ688" s="201"/>
      <c r="AK688" s="397"/>
      <c r="AL688" s="397"/>
      <c r="AM688" s="397"/>
    </row>
    <row r="689">
      <c r="A689" s="316"/>
      <c r="B689" s="317"/>
      <c r="C689" s="318"/>
      <c r="D689" s="397"/>
      <c r="E689" s="316"/>
      <c r="F689" s="317"/>
      <c r="G689" s="318"/>
      <c r="H689" s="397"/>
      <c r="I689" s="316"/>
      <c r="J689" s="317"/>
      <c r="K689" s="318"/>
      <c r="L689" s="397"/>
      <c r="M689" s="316"/>
      <c r="N689" s="317"/>
      <c r="O689" s="318"/>
      <c r="P689" s="397"/>
      <c r="Q689" s="199"/>
      <c r="R689" s="220"/>
      <c r="S689" s="400"/>
      <c r="T689" s="401"/>
      <c r="U689" s="199"/>
      <c r="V689" s="220"/>
      <c r="W689" s="400"/>
      <c r="X689" s="401"/>
      <c r="Y689" s="199"/>
      <c r="Z689" s="220"/>
      <c r="AA689" s="400"/>
      <c r="AB689" s="401"/>
      <c r="AC689" s="199"/>
      <c r="AD689" s="220"/>
      <c r="AE689" s="400"/>
      <c r="AF689" s="401"/>
      <c r="AG689" s="201"/>
      <c r="AH689" s="201"/>
      <c r="AI689" s="201"/>
      <c r="AJ689" s="201"/>
      <c r="AK689" s="397"/>
      <c r="AL689" s="397"/>
      <c r="AM689" s="397"/>
    </row>
    <row r="690">
      <c r="A690" s="316"/>
      <c r="B690" s="317"/>
      <c r="C690" s="318"/>
      <c r="D690" s="397"/>
      <c r="E690" s="316"/>
      <c r="F690" s="317"/>
      <c r="G690" s="318"/>
      <c r="H690" s="397"/>
      <c r="I690" s="316"/>
      <c r="J690" s="317"/>
      <c r="K690" s="318"/>
      <c r="L690" s="397"/>
      <c r="M690" s="316"/>
      <c r="N690" s="317"/>
      <c r="O690" s="318"/>
      <c r="P690" s="397"/>
      <c r="Q690" s="199"/>
      <c r="R690" s="220"/>
      <c r="S690" s="400"/>
      <c r="T690" s="401"/>
      <c r="U690" s="199"/>
      <c r="V690" s="220"/>
      <c r="W690" s="400"/>
      <c r="X690" s="401"/>
      <c r="Y690" s="199"/>
      <c r="Z690" s="220"/>
      <c r="AA690" s="400"/>
      <c r="AB690" s="401"/>
      <c r="AC690" s="199"/>
      <c r="AD690" s="220"/>
      <c r="AE690" s="400"/>
      <c r="AF690" s="401"/>
      <c r="AG690" s="201"/>
      <c r="AH690" s="201"/>
      <c r="AI690" s="201"/>
      <c r="AJ690" s="201"/>
      <c r="AK690" s="397"/>
      <c r="AL690" s="397"/>
      <c r="AM690" s="397"/>
    </row>
    <row r="691">
      <c r="A691" s="316"/>
      <c r="B691" s="317"/>
      <c r="C691" s="318"/>
      <c r="D691" s="397"/>
      <c r="E691" s="316"/>
      <c r="F691" s="317"/>
      <c r="G691" s="318"/>
      <c r="H691" s="397"/>
      <c r="I691" s="316"/>
      <c r="J691" s="317"/>
      <c r="K691" s="318"/>
      <c r="L691" s="397"/>
      <c r="M691" s="316"/>
      <c r="N691" s="317"/>
      <c r="O691" s="318"/>
      <c r="P691" s="397"/>
      <c r="Q691" s="199"/>
      <c r="R691" s="220"/>
      <c r="S691" s="400"/>
      <c r="T691" s="401"/>
      <c r="U691" s="199"/>
      <c r="V691" s="220"/>
      <c r="W691" s="400"/>
      <c r="X691" s="401"/>
      <c r="Y691" s="199"/>
      <c r="Z691" s="220"/>
      <c r="AA691" s="400"/>
      <c r="AB691" s="401"/>
      <c r="AC691" s="199"/>
      <c r="AD691" s="220"/>
      <c r="AE691" s="400"/>
      <c r="AF691" s="401"/>
      <c r="AG691" s="201"/>
      <c r="AH691" s="201"/>
      <c r="AI691" s="201"/>
      <c r="AJ691" s="201"/>
      <c r="AK691" s="397"/>
      <c r="AL691" s="397"/>
      <c r="AM691" s="397"/>
    </row>
    <row r="692">
      <c r="A692" s="316"/>
      <c r="B692" s="317"/>
      <c r="C692" s="318"/>
      <c r="D692" s="397"/>
      <c r="E692" s="316"/>
      <c r="F692" s="317"/>
      <c r="G692" s="318"/>
      <c r="H692" s="397"/>
      <c r="I692" s="316"/>
      <c r="J692" s="317"/>
      <c r="K692" s="318"/>
      <c r="L692" s="397"/>
      <c r="M692" s="316"/>
      <c r="N692" s="317"/>
      <c r="O692" s="318"/>
      <c r="P692" s="397"/>
      <c r="Q692" s="199"/>
      <c r="R692" s="220"/>
      <c r="S692" s="400"/>
      <c r="T692" s="401"/>
      <c r="U692" s="199"/>
      <c r="V692" s="220"/>
      <c r="W692" s="400"/>
      <c r="X692" s="401"/>
      <c r="Y692" s="199"/>
      <c r="Z692" s="220"/>
      <c r="AA692" s="400"/>
      <c r="AB692" s="401"/>
      <c r="AC692" s="199"/>
      <c r="AD692" s="220"/>
      <c r="AE692" s="400"/>
      <c r="AF692" s="401"/>
      <c r="AG692" s="201"/>
      <c r="AH692" s="201"/>
      <c r="AI692" s="201"/>
      <c r="AJ692" s="201"/>
      <c r="AK692" s="397"/>
      <c r="AL692" s="397"/>
      <c r="AM692" s="397"/>
    </row>
    <row r="693">
      <c r="A693" s="316"/>
      <c r="B693" s="317"/>
      <c r="C693" s="318"/>
      <c r="D693" s="397"/>
      <c r="E693" s="316"/>
      <c r="F693" s="317"/>
      <c r="G693" s="318"/>
      <c r="H693" s="397"/>
      <c r="I693" s="316"/>
      <c r="J693" s="317"/>
      <c r="K693" s="318"/>
      <c r="L693" s="397"/>
      <c r="M693" s="316"/>
      <c r="N693" s="317"/>
      <c r="O693" s="318"/>
      <c r="P693" s="397"/>
      <c r="Q693" s="199"/>
      <c r="R693" s="220"/>
      <c r="S693" s="400"/>
      <c r="T693" s="401"/>
      <c r="U693" s="199"/>
      <c r="V693" s="220"/>
      <c r="W693" s="400"/>
      <c r="X693" s="401"/>
      <c r="Y693" s="199"/>
      <c r="Z693" s="220"/>
      <c r="AA693" s="400"/>
      <c r="AB693" s="401"/>
      <c r="AC693" s="199"/>
      <c r="AD693" s="220"/>
      <c r="AE693" s="400"/>
      <c r="AF693" s="401"/>
      <c r="AG693" s="201"/>
      <c r="AH693" s="201"/>
      <c r="AI693" s="201"/>
      <c r="AJ693" s="201"/>
      <c r="AK693" s="397"/>
      <c r="AL693" s="397"/>
      <c r="AM693" s="397"/>
    </row>
    <row r="694">
      <c r="A694" s="316"/>
      <c r="B694" s="317"/>
      <c r="C694" s="318"/>
      <c r="D694" s="397"/>
      <c r="E694" s="316"/>
      <c r="F694" s="317"/>
      <c r="G694" s="318"/>
      <c r="H694" s="397"/>
      <c r="I694" s="316"/>
      <c r="J694" s="317"/>
      <c r="K694" s="318"/>
      <c r="L694" s="397"/>
      <c r="M694" s="316"/>
      <c r="N694" s="317"/>
      <c r="O694" s="318"/>
      <c r="P694" s="397"/>
      <c r="Q694" s="199"/>
      <c r="R694" s="220"/>
      <c r="S694" s="400"/>
      <c r="T694" s="401"/>
      <c r="U694" s="199"/>
      <c r="V694" s="220"/>
      <c r="W694" s="400"/>
      <c r="X694" s="401"/>
      <c r="Y694" s="199"/>
      <c r="Z694" s="220"/>
      <c r="AA694" s="400"/>
      <c r="AB694" s="401"/>
      <c r="AC694" s="199"/>
      <c r="AD694" s="220"/>
      <c r="AE694" s="400"/>
      <c r="AF694" s="401"/>
      <c r="AG694" s="201"/>
      <c r="AH694" s="201"/>
      <c r="AI694" s="201"/>
      <c r="AJ694" s="201"/>
      <c r="AK694" s="397"/>
      <c r="AL694" s="397"/>
      <c r="AM694" s="397"/>
    </row>
    <row r="695">
      <c r="A695" s="316"/>
      <c r="B695" s="317"/>
      <c r="C695" s="318"/>
      <c r="D695" s="397"/>
      <c r="E695" s="316"/>
      <c r="F695" s="317"/>
      <c r="G695" s="318"/>
      <c r="H695" s="397"/>
      <c r="I695" s="316"/>
      <c r="J695" s="317"/>
      <c r="K695" s="318"/>
      <c r="L695" s="397"/>
      <c r="M695" s="316"/>
      <c r="N695" s="317"/>
      <c r="O695" s="318"/>
      <c r="P695" s="397"/>
      <c r="Q695" s="199"/>
      <c r="R695" s="220"/>
      <c r="S695" s="400"/>
      <c r="T695" s="401"/>
      <c r="U695" s="199"/>
      <c r="V695" s="220"/>
      <c r="W695" s="400"/>
      <c r="X695" s="401"/>
      <c r="Y695" s="199"/>
      <c r="Z695" s="220"/>
      <c r="AA695" s="400"/>
      <c r="AB695" s="401"/>
      <c r="AC695" s="199"/>
      <c r="AD695" s="220"/>
      <c r="AE695" s="400"/>
      <c r="AF695" s="401"/>
      <c r="AG695" s="201"/>
      <c r="AH695" s="201"/>
      <c r="AI695" s="201"/>
      <c r="AJ695" s="201"/>
      <c r="AK695" s="397"/>
      <c r="AL695" s="397"/>
      <c r="AM695" s="397"/>
    </row>
    <row r="696">
      <c r="A696" s="316"/>
      <c r="B696" s="317"/>
      <c r="C696" s="318"/>
      <c r="D696" s="397"/>
      <c r="E696" s="316"/>
      <c r="F696" s="317"/>
      <c r="G696" s="318"/>
      <c r="H696" s="397"/>
      <c r="I696" s="316"/>
      <c r="J696" s="317"/>
      <c r="K696" s="318"/>
      <c r="L696" s="397"/>
      <c r="M696" s="316"/>
      <c r="N696" s="317"/>
      <c r="O696" s="318"/>
      <c r="P696" s="397"/>
      <c r="Q696" s="199"/>
      <c r="R696" s="220"/>
      <c r="S696" s="400"/>
      <c r="T696" s="401"/>
      <c r="U696" s="199"/>
      <c r="V696" s="220"/>
      <c r="W696" s="400"/>
      <c r="X696" s="401"/>
      <c r="Y696" s="199"/>
      <c r="Z696" s="220"/>
      <c r="AA696" s="400"/>
      <c r="AB696" s="401"/>
      <c r="AC696" s="199"/>
      <c r="AD696" s="220"/>
      <c r="AE696" s="400"/>
      <c r="AF696" s="401"/>
      <c r="AG696" s="201"/>
      <c r="AH696" s="201"/>
      <c r="AI696" s="201"/>
      <c r="AJ696" s="201"/>
      <c r="AK696" s="397"/>
      <c r="AL696" s="397"/>
      <c r="AM696" s="397"/>
    </row>
    <row r="697">
      <c r="A697" s="316"/>
      <c r="B697" s="317"/>
      <c r="C697" s="318"/>
      <c r="D697" s="397"/>
      <c r="E697" s="316"/>
      <c r="F697" s="317"/>
      <c r="G697" s="318"/>
      <c r="H697" s="397"/>
      <c r="I697" s="316"/>
      <c r="J697" s="317"/>
      <c r="K697" s="318"/>
      <c r="L697" s="397"/>
      <c r="M697" s="316"/>
      <c r="N697" s="317"/>
      <c r="O697" s="318"/>
      <c r="P697" s="397"/>
      <c r="Q697" s="199"/>
      <c r="R697" s="220"/>
      <c r="S697" s="400"/>
      <c r="T697" s="401"/>
      <c r="U697" s="199"/>
      <c r="V697" s="220"/>
      <c r="W697" s="400"/>
      <c r="X697" s="401"/>
      <c r="Y697" s="199"/>
      <c r="Z697" s="220"/>
      <c r="AA697" s="400"/>
      <c r="AB697" s="401"/>
      <c r="AC697" s="199"/>
      <c r="AD697" s="220"/>
      <c r="AE697" s="400"/>
      <c r="AF697" s="401"/>
      <c r="AG697" s="201"/>
      <c r="AH697" s="201"/>
      <c r="AI697" s="201"/>
      <c r="AJ697" s="201"/>
      <c r="AK697" s="397"/>
      <c r="AL697" s="397"/>
      <c r="AM697" s="397"/>
    </row>
    <row r="698">
      <c r="A698" s="316"/>
      <c r="B698" s="317"/>
      <c r="C698" s="318"/>
      <c r="D698" s="397"/>
      <c r="E698" s="316"/>
      <c r="F698" s="317"/>
      <c r="G698" s="318"/>
      <c r="H698" s="397"/>
      <c r="I698" s="316"/>
      <c r="J698" s="317"/>
      <c r="K698" s="318"/>
      <c r="L698" s="397"/>
      <c r="M698" s="316"/>
      <c r="N698" s="317"/>
      <c r="O698" s="318"/>
      <c r="P698" s="397"/>
      <c r="Q698" s="199"/>
      <c r="R698" s="220"/>
      <c r="S698" s="400"/>
      <c r="T698" s="401"/>
      <c r="U698" s="199"/>
      <c r="V698" s="220"/>
      <c r="W698" s="400"/>
      <c r="X698" s="401"/>
      <c r="Y698" s="199"/>
      <c r="Z698" s="220"/>
      <c r="AA698" s="400"/>
      <c r="AB698" s="401"/>
      <c r="AC698" s="199"/>
      <c r="AD698" s="220"/>
      <c r="AE698" s="400"/>
      <c r="AF698" s="401"/>
      <c r="AG698" s="201"/>
      <c r="AH698" s="201"/>
      <c r="AI698" s="201"/>
      <c r="AJ698" s="201"/>
      <c r="AK698" s="397"/>
      <c r="AL698" s="397"/>
      <c r="AM698" s="397"/>
    </row>
    <row r="699">
      <c r="A699" s="316"/>
      <c r="B699" s="317"/>
      <c r="C699" s="318"/>
      <c r="D699" s="397"/>
      <c r="E699" s="316"/>
      <c r="F699" s="317"/>
      <c r="G699" s="318"/>
      <c r="H699" s="397"/>
      <c r="I699" s="316"/>
      <c r="J699" s="317"/>
      <c r="K699" s="318"/>
      <c r="L699" s="397"/>
      <c r="M699" s="316"/>
      <c r="N699" s="317"/>
      <c r="O699" s="318"/>
      <c r="P699" s="397"/>
      <c r="Q699" s="199"/>
      <c r="R699" s="220"/>
      <c r="S699" s="400"/>
      <c r="T699" s="401"/>
      <c r="U699" s="199"/>
      <c r="V699" s="220"/>
      <c r="W699" s="400"/>
      <c r="X699" s="401"/>
      <c r="Y699" s="199"/>
      <c r="Z699" s="220"/>
      <c r="AA699" s="400"/>
      <c r="AB699" s="401"/>
      <c r="AC699" s="199"/>
      <c r="AD699" s="220"/>
      <c r="AE699" s="400"/>
      <c r="AF699" s="401"/>
      <c r="AG699" s="201"/>
      <c r="AH699" s="201"/>
      <c r="AI699" s="201"/>
      <c r="AJ699" s="201"/>
      <c r="AK699" s="397"/>
      <c r="AL699" s="397"/>
      <c r="AM699" s="397"/>
    </row>
    <row r="700">
      <c r="A700" s="316"/>
      <c r="B700" s="317"/>
      <c r="C700" s="318"/>
      <c r="D700" s="397"/>
      <c r="E700" s="316"/>
      <c r="F700" s="317"/>
      <c r="G700" s="318"/>
      <c r="H700" s="397"/>
      <c r="I700" s="316"/>
      <c r="J700" s="317"/>
      <c r="K700" s="318"/>
      <c r="L700" s="397"/>
      <c r="M700" s="316"/>
      <c r="N700" s="317"/>
      <c r="O700" s="318"/>
      <c r="P700" s="397"/>
      <c r="Q700" s="199"/>
      <c r="R700" s="220"/>
      <c r="S700" s="400"/>
      <c r="T700" s="401"/>
      <c r="U700" s="199"/>
      <c r="V700" s="220"/>
      <c r="W700" s="400"/>
      <c r="X700" s="401"/>
      <c r="Y700" s="199"/>
      <c r="Z700" s="220"/>
      <c r="AA700" s="400"/>
      <c r="AB700" s="401"/>
      <c r="AC700" s="199"/>
      <c r="AD700" s="220"/>
      <c r="AE700" s="400"/>
      <c r="AF700" s="401"/>
      <c r="AG700" s="201"/>
      <c r="AH700" s="201"/>
      <c r="AI700" s="201"/>
      <c r="AJ700" s="201"/>
      <c r="AK700" s="397"/>
      <c r="AL700" s="397"/>
      <c r="AM700" s="397"/>
    </row>
    <row r="701">
      <c r="A701" s="316"/>
      <c r="B701" s="317"/>
      <c r="C701" s="318"/>
      <c r="D701" s="397"/>
      <c r="E701" s="316"/>
      <c r="F701" s="317"/>
      <c r="G701" s="318"/>
      <c r="H701" s="397"/>
      <c r="I701" s="316"/>
      <c r="J701" s="317"/>
      <c r="K701" s="318"/>
      <c r="L701" s="397"/>
      <c r="M701" s="316"/>
      <c r="N701" s="317"/>
      <c r="O701" s="318"/>
      <c r="P701" s="397"/>
      <c r="Q701" s="199"/>
      <c r="R701" s="220"/>
      <c r="S701" s="400"/>
      <c r="T701" s="401"/>
      <c r="U701" s="199"/>
      <c r="V701" s="220"/>
      <c r="W701" s="400"/>
      <c r="X701" s="401"/>
      <c r="Y701" s="199"/>
      <c r="Z701" s="220"/>
      <c r="AA701" s="400"/>
      <c r="AB701" s="401"/>
      <c r="AC701" s="199"/>
      <c r="AD701" s="220"/>
      <c r="AE701" s="400"/>
      <c r="AF701" s="401"/>
      <c r="AG701" s="201"/>
      <c r="AH701" s="201"/>
      <c r="AI701" s="201"/>
      <c r="AJ701" s="201"/>
      <c r="AK701" s="397"/>
      <c r="AL701" s="397"/>
      <c r="AM701" s="397"/>
    </row>
    <row r="702">
      <c r="A702" s="316"/>
      <c r="B702" s="317"/>
      <c r="C702" s="318"/>
      <c r="D702" s="397"/>
      <c r="E702" s="316"/>
      <c r="F702" s="317"/>
      <c r="G702" s="318"/>
      <c r="H702" s="397"/>
      <c r="I702" s="316"/>
      <c r="J702" s="317"/>
      <c r="K702" s="318"/>
      <c r="L702" s="397"/>
      <c r="M702" s="316"/>
      <c r="N702" s="317"/>
      <c r="O702" s="318"/>
      <c r="P702" s="397"/>
      <c r="Q702" s="199"/>
      <c r="R702" s="220"/>
      <c r="S702" s="400"/>
      <c r="T702" s="401"/>
      <c r="U702" s="199"/>
      <c r="V702" s="220"/>
      <c r="W702" s="400"/>
      <c r="X702" s="401"/>
      <c r="Y702" s="199"/>
      <c r="Z702" s="220"/>
      <c r="AA702" s="400"/>
      <c r="AB702" s="401"/>
      <c r="AC702" s="199"/>
      <c r="AD702" s="220"/>
      <c r="AE702" s="400"/>
      <c r="AF702" s="401"/>
      <c r="AG702" s="201"/>
      <c r="AH702" s="201"/>
      <c r="AI702" s="201"/>
      <c r="AJ702" s="201"/>
      <c r="AK702" s="397"/>
      <c r="AL702" s="397"/>
      <c r="AM702" s="397"/>
    </row>
    <row r="703">
      <c r="A703" s="316"/>
      <c r="B703" s="317"/>
      <c r="C703" s="318"/>
      <c r="D703" s="397"/>
      <c r="E703" s="316"/>
      <c r="F703" s="317"/>
      <c r="G703" s="318"/>
      <c r="H703" s="397"/>
      <c r="I703" s="316"/>
      <c r="J703" s="317"/>
      <c r="K703" s="318"/>
      <c r="L703" s="397"/>
      <c r="M703" s="316"/>
      <c r="N703" s="317"/>
      <c r="O703" s="318"/>
      <c r="P703" s="397"/>
      <c r="Q703" s="199"/>
      <c r="R703" s="220"/>
      <c r="S703" s="400"/>
      <c r="T703" s="401"/>
      <c r="U703" s="199"/>
      <c r="V703" s="220"/>
      <c r="W703" s="400"/>
      <c r="X703" s="401"/>
      <c r="Y703" s="199"/>
      <c r="Z703" s="220"/>
      <c r="AA703" s="400"/>
      <c r="AB703" s="401"/>
      <c r="AC703" s="199"/>
      <c r="AD703" s="220"/>
      <c r="AE703" s="400"/>
      <c r="AF703" s="401"/>
      <c r="AG703" s="201"/>
      <c r="AH703" s="201"/>
      <c r="AI703" s="201"/>
      <c r="AJ703" s="201"/>
      <c r="AK703" s="397"/>
      <c r="AL703" s="397"/>
      <c r="AM703" s="397"/>
    </row>
    <row r="704">
      <c r="A704" s="316"/>
      <c r="B704" s="317"/>
      <c r="C704" s="318"/>
      <c r="D704" s="397"/>
      <c r="E704" s="316"/>
      <c r="F704" s="317"/>
      <c r="G704" s="318"/>
      <c r="H704" s="397"/>
      <c r="I704" s="316"/>
      <c r="J704" s="317"/>
      <c r="K704" s="318"/>
      <c r="L704" s="397"/>
      <c r="M704" s="316"/>
      <c r="N704" s="317"/>
      <c r="O704" s="318"/>
      <c r="P704" s="397"/>
      <c r="Q704" s="199"/>
      <c r="R704" s="220"/>
      <c r="S704" s="400"/>
      <c r="T704" s="401"/>
      <c r="U704" s="199"/>
      <c r="V704" s="220"/>
      <c r="W704" s="400"/>
      <c r="X704" s="401"/>
      <c r="Y704" s="199"/>
      <c r="Z704" s="220"/>
      <c r="AA704" s="400"/>
      <c r="AB704" s="401"/>
      <c r="AC704" s="199"/>
      <c r="AD704" s="220"/>
      <c r="AE704" s="400"/>
      <c r="AF704" s="401"/>
      <c r="AG704" s="201"/>
      <c r="AH704" s="201"/>
      <c r="AI704" s="201"/>
      <c r="AJ704" s="201"/>
      <c r="AK704" s="397"/>
      <c r="AL704" s="397"/>
      <c r="AM704" s="397"/>
    </row>
    <row r="705">
      <c r="A705" s="316"/>
      <c r="B705" s="317"/>
      <c r="C705" s="318"/>
      <c r="D705" s="397"/>
      <c r="E705" s="316"/>
      <c r="F705" s="317"/>
      <c r="G705" s="318"/>
      <c r="H705" s="397"/>
      <c r="I705" s="316"/>
      <c r="J705" s="317"/>
      <c r="K705" s="318"/>
      <c r="L705" s="397"/>
      <c r="M705" s="316"/>
      <c r="N705" s="317"/>
      <c r="O705" s="318"/>
      <c r="P705" s="397"/>
      <c r="Q705" s="199"/>
      <c r="R705" s="220"/>
      <c r="S705" s="400"/>
      <c r="T705" s="401"/>
      <c r="U705" s="199"/>
      <c r="V705" s="220"/>
      <c r="W705" s="400"/>
      <c r="X705" s="401"/>
      <c r="Y705" s="199"/>
      <c r="Z705" s="220"/>
      <c r="AA705" s="400"/>
      <c r="AB705" s="401"/>
      <c r="AC705" s="199"/>
      <c r="AD705" s="220"/>
      <c r="AE705" s="400"/>
      <c r="AF705" s="401"/>
      <c r="AG705" s="201"/>
      <c r="AH705" s="201"/>
      <c r="AI705" s="201"/>
      <c r="AJ705" s="201"/>
      <c r="AK705" s="397"/>
      <c r="AL705" s="397"/>
      <c r="AM705" s="397"/>
    </row>
    <row r="706">
      <c r="A706" s="316"/>
      <c r="B706" s="317"/>
      <c r="C706" s="318"/>
      <c r="D706" s="397"/>
      <c r="E706" s="316"/>
      <c r="F706" s="317"/>
      <c r="G706" s="318"/>
      <c r="H706" s="397"/>
      <c r="I706" s="316"/>
      <c r="J706" s="317"/>
      <c r="K706" s="318"/>
      <c r="L706" s="397"/>
      <c r="M706" s="316"/>
      <c r="N706" s="317"/>
      <c r="O706" s="318"/>
      <c r="P706" s="397"/>
      <c r="Q706" s="199"/>
      <c r="R706" s="220"/>
      <c r="S706" s="400"/>
      <c r="T706" s="401"/>
      <c r="U706" s="199"/>
      <c r="V706" s="220"/>
      <c r="W706" s="400"/>
      <c r="X706" s="401"/>
      <c r="Y706" s="199"/>
      <c r="Z706" s="220"/>
      <c r="AA706" s="400"/>
      <c r="AB706" s="401"/>
      <c r="AC706" s="199"/>
      <c r="AD706" s="220"/>
      <c r="AE706" s="400"/>
      <c r="AF706" s="401"/>
      <c r="AG706" s="201"/>
      <c r="AH706" s="201"/>
      <c r="AI706" s="201"/>
      <c r="AJ706" s="201"/>
      <c r="AK706" s="397"/>
      <c r="AL706" s="397"/>
      <c r="AM706" s="397"/>
    </row>
    <row r="707">
      <c r="A707" s="316"/>
      <c r="B707" s="317"/>
      <c r="C707" s="318"/>
      <c r="D707" s="397"/>
      <c r="E707" s="316"/>
      <c r="F707" s="317"/>
      <c r="G707" s="318"/>
      <c r="H707" s="397"/>
      <c r="I707" s="316"/>
      <c r="J707" s="317"/>
      <c r="K707" s="318"/>
      <c r="L707" s="397"/>
      <c r="M707" s="316"/>
      <c r="N707" s="317"/>
      <c r="O707" s="318"/>
      <c r="P707" s="397"/>
      <c r="Q707" s="199"/>
      <c r="R707" s="220"/>
      <c r="S707" s="400"/>
      <c r="T707" s="401"/>
      <c r="U707" s="199"/>
      <c r="V707" s="220"/>
      <c r="W707" s="400"/>
      <c r="X707" s="401"/>
      <c r="Y707" s="199"/>
      <c r="Z707" s="220"/>
      <c r="AA707" s="400"/>
      <c r="AB707" s="401"/>
      <c r="AC707" s="199"/>
      <c r="AD707" s="220"/>
      <c r="AE707" s="400"/>
      <c r="AF707" s="401"/>
      <c r="AG707" s="201"/>
      <c r="AH707" s="201"/>
      <c r="AI707" s="201"/>
      <c r="AJ707" s="201"/>
      <c r="AK707" s="397"/>
      <c r="AL707" s="397"/>
      <c r="AM707" s="397"/>
    </row>
    <row r="708">
      <c r="A708" s="316"/>
      <c r="B708" s="317"/>
      <c r="C708" s="318"/>
      <c r="D708" s="397"/>
      <c r="E708" s="316"/>
      <c r="F708" s="317"/>
      <c r="G708" s="318"/>
      <c r="H708" s="397"/>
      <c r="I708" s="316"/>
      <c r="J708" s="317"/>
      <c r="K708" s="318"/>
      <c r="L708" s="397"/>
      <c r="M708" s="316"/>
      <c r="N708" s="317"/>
      <c r="O708" s="318"/>
      <c r="P708" s="397"/>
      <c r="Q708" s="199"/>
      <c r="R708" s="220"/>
      <c r="S708" s="400"/>
      <c r="T708" s="401"/>
      <c r="U708" s="199"/>
      <c r="V708" s="220"/>
      <c r="W708" s="400"/>
      <c r="X708" s="401"/>
      <c r="Y708" s="199"/>
      <c r="Z708" s="220"/>
      <c r="AA708" s="400"/>
      <c r="AB708" s="401"/>
      <c r="AC708" s="199"/>
      <c r="AD708" s="220"/>
      <c r="AE708" s="400"/>
      <c r="AF708" s="401"/>
      <c r="AG708" s="201"/>
      <c r="AH708" s="201"/>
      <c r="AI708" s="201"/>
      <c r="AJ708" s="201"/>
      <c r="AK708" s="397"/>
      <c r="AL708" s="397"/>
      <c r="AM708" s="397"/>
    </row>
    <row r="709">
      <c r="A709" s="316"/>
      <c r="B709" s="317"/>
      <c r="C709" s="318"/>
      <c r="D709" s="397"/>
      <c r="E709" s="316"/>
      <c r="F709" s="317"/>
      <c r="G709" s="318"/>
      <c r="H709" s="397"/>
      <c r="I709" s="316"/>
      <c r="J709" s="317"/>
      <c r="K709" s="318"/>
      <c r="L709" s="397"/>
      <c r="M709" s="316"/>
      <c r="N709" s="317"/>
      <c r="O709" s="318"/>
      <c r="P709" s="397"/>
      <c r="Q709" s="199"/>
      <c r="R709" s="220"/>
      <c r="S709" s="400"/>
      <c r="T709" s="401"/>
      <c r="U709" s="199"/>
      <c r="V709" s="220"/>
      <c r="W709" s="400"/>
      <c r="X709" s="401"/>
      <c r="Y709" s="199"/>
      <c r="Z709" s="220"/>
      <c r="AA709" s="400"/>
      <c r="AB709" s="401"/>
      <c r="AC709" s="199"/>
      <c r="AD709" s="220"/>
      <c r="AE709" s="400"/>
      <c r="AF709" s="401"/>
      <c r="AG709" s="201"/>
      <c r="AH709" s="201"/>
      <c r="AI709" s="201"/>
      <c r="AJ709" s="201"/>
      <c r="AK709" s="397"/>
      <c r="AL709" s="397"/>
      <c r="AM709" s="397"/>
    </row>
    <row r="710">
      <c r="A710" s="316"/>
      <c r="B710" s="317"/>
      <c r="C710" s="318"/>
      <c r="D710" s="397"/>
      <c r="E710" s="316"/>
      <c r="F710" s="317"/>
      <c r="G710" s="318"/>
      <c r="H710" s="397"/>
      <c r="I710" s="316"/>
      <c r="J710" s="317"/>
      <c r="K710" s="318"/>
      <c r="L710" s="397"/>
      <c r="M710" s="316"/>
      <c r="N710" s="317"/>
      <c r="O710" s="318"/>
      <c r="P710" s="397"/>
      <c r="Q710" s="199"/>
      <c r="R710" s="220"/>
      <c r="S710" s="400"/>
      <c r="T710" s="401"/>
      <c r="U710" s="199"/>
      <c r="V710" s="220"/>
      <c r="W710" s="400"/>
      <c r="X710" s="401"/>
      <c r="Y710" s="199"/>
      <c r="Z710" s="220"/>
      <c r="AA710" s="400"/>
      <c r="AB710" s="401"/>
      <c r="AC710" s="199"/>
      <c r="AD710" s="220"/>
      <c r="AE710" s="400"/>
      <c r="AF710" s="401"/>
      <c r="AG710" s="201"/>
      <c r="AH710" s="201"/>
      <c r="AI710" s="201"/>
      <c r="AJ710" s="201"/>
      <c r="AK710" s="397"/>
      <c r="AL710" s="397"/>
      <c r="AM710" s="397"/>
    </row>
    <row r="711">
      <c r="A711" s="316"/>
      <c r="B711" s="317"/>
      <c r="C711" s="318"/>
      <c r="D711" s="397"/>
      <c r="E711" s="316"/>
      <c r="F711" s="317"/>
      <c r="G711" s="318"/>
      <c r="H711" s="397"/>
      <c r="I711" s="316"/>
      <c r="J711" s="317"/>
      <c r="K711" s="318"/>
      <c r="L711" s="397"/>
      <c r="M711" s="316"/>
      <c r="N711" s="317"/>
      <c r="O711" s="318"/>
      <c r="P711" s="397"/>
      <c r="Q711" s="199"/>
      <c r="R711" s="220"/>
      <c r="S711" s="400"/>
      <c r="T711" s="401"/>
      <c r="U711" s="199"/>
      <c r="V711" s="220"/>
      <c r="W711" s="400"/>
      <c r="X711" s="401"/>
      <c r="Y711" s="199"/>
      <c r="Z711" s="220"/>
      <c r="AA711" s="400"/>
      <c r="AB711" s="401"/>
      <c r="AC711" s="199"/>
      <c r="AD711" s="220"/>
      <c r="AE711" s="400"/>
      <c r="AF711" s="401"/>
      <c r="AG711" s="201"/>
      <c r="AH711" s="201"/>
      <c r="AI711" s="201"/>
      <c r="AJ711" s="201"/>
      <c r="AK711" s="397"/>
      <c r="AL711" s="397"/>
      <c r="AM711" s="397"/>
    </row>
    <row r="712">
      <c r="A712" s="316"/>
      <c r="B712" s="317"/>
      <c r="C712" s="318"/>
      <c r="D712" s="397"/>
      <c r="E712" s="316"/>
      <c r="F712" s="317"/>
      <c r="G712" s="318"/>
      <c r="H712" s="397"/>
      <c r="I712" s="316"/>
      <c r="J712" s="317"/>
      <c r="K712" s="318"/>
      <c r="L712" s="397"/>
      <c r="M712" s="316"/>
      <c r="N712" s="317"/>
      <c r="O712" s="318"/>
      <c r="P712" s="397"/>
      <c r="Q712" s="199"/>
      <c r="R712" s="220"/>
      <c r="S712" s="400"/>
      <c r="T712" s="401"/>
      <c r="U712" s="199"/>
      <c r="V712" s="220"/>
      <c r="W712" s="400"/>
      <c r="X712" s="401"/>
      <c r="Y712" s="199"/>
      <c r="Z712" s="220"/>
      <c r="AA712" s="400"/>
      <c r="AB712" s="401"/>
      <c r="AC712" s="199"/>
      <c r="AD712" s="220"/>
      <c r="AE712" s="400"/>
      <c r="AF712" s="401"/>
      <c r="AG712" s="201"/>
      <c r="AH712" s="201"/>
      <c r="AI712" s="201"/>
      <c r="AJ712" s="201"/>
      <c r="AK712" s="397"/>
      <c r="AL712" s="397"/>
      <c r="AM712" s="397"/>
    </row>
    <row r="713">
      <c r="A713" s="316"/>
      <c r="B713" s="317"/>
      <c r="C713" s="318"/>
      <c r="D713" s="397"/>
      <c r="E713" s="316"/>
      <c r="F713" s="317"/>
      <c r="G713" s="318"/>
      <c r="H713" s="397"/>
      <c r="I713" s="316"/>
      <c r="J713" s="317"/>
      <c r="K713" s="318"/>
      <c r="L713" s="397"/>
      <c r="M713" s="316"/>
      <c r="N713" s="317"/>
      <c r="O713" s="318"/>
      <c r="P713" s="397"/>
      <c r="Q713" s="199"/>
      <c r="R713" s="220"/>
      <c r="S713" s="400"/>
      <c r="T713" s="401"/>
      <c r="U713" s="199"/>
      <c r="V713" s="220"/>
      <c r="W713" s="400"/>
      <c r="X713" s="401"/>
      <c r="Y713" s="199"/>
      <c r="Z713" s="220"/>
      <c r="AA713" s="400"/>
      <c r="AB713" s="401"/>
      <c r="AC713" s="199"/>
      <c r="AD713" s="220"/>
      <c r="AE713" s="400"/>
      <c r="AF713" s="401"/>
      <c r="AG713" s="201"/>
      <c r="AH713" s="201"/>
      <c r="AI713" s="201"/>
      <c r="AJ713" s="201"/>
      <c r="AK713" s="397"/>
      <c r="AL713" s="397"/>
      <c r="AM713" s="397"/>
    </row>
    <row r="714">
      <c r="A714" s="316"/>
      <c r="B714" s="317"/>
      <c r="C714" s="318"/>
      <c r="D714" s="397"/>
      <c r="E714" s="316"/>
      <c r="F714" s="317"/>
      <c r="G714" s="318"/>
      <c r="H714" s="397"/>
      <c r="I714" s="316"/>
      <c r="J714" s="317"/>
      <c r="K714" s="318"/>
      <c r="L714" s="397"/>
      <c r="M714" s="316"/>
      <c r="N714" s="317"/>
      <c r="O714" s="318"/>
      <c r="P714" s="397"/>
      <c r="Q714" s="199"/>
      <c r="R714" s="220"/>
      <c r="S714" s="400"/>
      <c r="T714" s="401"/>
      <c r="U714" s="199"/>
      <c r="V714" s="220"/>
      <c r="W714" s="400"/>
      <c r="X714" s="401"/>
      <c r="Y714" s="199"/>
      <c r="Z714" s="220"/>
      <c r="AA714" s="400"/>
      <c r="AB714" s="401"/>
      <c r="AC714" s="199"/>
      <c r="AD714" s="220"/>
      <c r="AE714" s="400"/>
      <c r="AF714" s="401"/>
      <c r="AG714" s="201"/>
      <c r="AH714" s="201"/>
      <c r="AI714" s="201"/>
      <c r="AJ714" s="201"/>
      <c r="AK714" s="397"/>
      <c r="AL714" s="397"/>
      <c r="AM714" s="397"/>
    </row>
    <row r="715">
      <c r="A715" s="316"/>
      <c r="B715" s="317"/>
      <c r="C715" s="318"/>
      <c r="D715" s="397"/>
      <c r="E715" s="316"/>
      <c r="F715" s="317"/>
      <c r="G715" s="318"/>
      <c r="H715" s="397"/>
      <c r="I715" s="316"/>
      <c r="J715" s="317"/>
      <c r="K715" s="318"/>
      <c r="L715" s="397"/>
      <c r="M715" s="316"/>
      <c r="N715" s="317"/>
      <c r="O715" s="318"/>
      <c r="P715" s="397"/>
      <c r="Q715" s="199"/>
      <c r="R715" s="220"/>
      <c r="S715" s="400"/>
      <c r="T715" s="401"/>
      <c r="U715" s="199"/>
      <c r="V715" s="220"/>
      <c r="W715" s="400"/>
      <c r="X715" s="401"/>
      <c r="Y715" s="199"/>
      <c r="Z715" s="220"/>
      <c r="AA715" s="400"/>
      <c r="AB715" s="401"/>
      <c r="AC715" s="199"/>
      <c r="AD715" s="220"/>
      <c r="AE715" s="400"/>
      <c r="AF715" s="401"/>
      <c r="AG715" s="201"/>
      <c r="AH715" s="201"/>
      <c r="AI715" s="201"/>
      <c r="AJ715" s="201"/>
      <c r="AK715" s="397"/>
      <c r="AL715" s="397"/>
      <c r="AM715" s="397"/>
    </row>
    <row r="716">
      <c r="A716" s="316"/>
      <c r="B716" s="317"/>
      <c r="C716" s="318"/>
      <c r="D716" s="397"/>
      <c r="E716" s="316"/>
      <c r="F716" s="317"/>
      <c r="G716" s="318"/>
      <c r="H716" s="397"/>
      <c r="I716" s="316"/>
      <c r="J716" s="317"/>
      <c r="K716" s="318"/>
      <c r="L716" s="397"/>
      <c r="M716" s="316"/>
      <c r="N716" s="317"/>
      <c r="O716" s="318"/>
      <c r="P716" s="397"/>
      <c r="Q716" s="199"/>
      <c r="R716" s="220"/>
      <c r="S716" s="400"/>
      <c r="T716" s="401"/>
      <c r="U716" s="199"/>
      <c r="V716" s="220"/>
      <c r="W716" s="400"/>
      <c r="X716" s="401"/>
      <c r="Y716" s="199"/>
      <c r="Z716" s="220"/>
      <c r="AA716" s="400"/>
      <c r="AB716" s="401"/>
      <c r="AC716" s="199"/>
      <c r="AD716" s="220"/>
      <c r="AE716" s="400"/>
      <c r="AF716" s="401"/>
      <c r="AG716" s="201"/>
      <c r="AH716" s="201"/>
      <c r="AI716" s="201"/>
      <c r="AJ716" s="201"/>
      <c r="AK716" s="397"/>
      <c r="AL716" s="397"/>
      <c r="AM716" s="397"/>
    </row>
    <row r="717">
      <c r="A717" s="316"/>
      <c r="B717" s="317"/>
      <c r="C717" s="318"/>
      <c r="D717" s="397"/>
      <c r="E717" s="316"/>
      <c r="F717" s="317"/>
      <c r="G717" s="318"/>
      <c r="H717" s="397"/>
      <c r="I717" s="316"/>
      <c r="J717" s="317"/>
      <c r="K717" s="318"/>
      <c r="L717" s="397"/>
      <c r="M717" s="316"/>
      <c r="N717" s="317"/>
      <c r="O717" s="318"/>
      <c r="P717" s="397"/>
      <c r="Q717" s="199"/>
      <c r="R717" s="220"/>
      <c r="S717" s="400"/>
      <c r="T717" s="401"/>
      <c r="U717" s="199"/>
      <c r="V717" s="220"/>
      <c r="W717" s="400"/>
      <c r="X717" s="401"/>
      <c r="Y717" s="199"/>
      <c r="Z717" s="220"/>
      <c r="AA717" s="400"/>
      <c r="AB717" s="401"/>
      <c r="AC717" s="199"/>
      <c r="AD717" s="220"/>
      <c r="AE717" s="400"/>
      <c r="AF717" s="401"/>
      <c r="AG717" s="201"/>
      <c r="AH717" s="201"/>
      <c r="AI717" s="201"/>
      <c r="AJ717" s="201"/>
      <c r="AK717" s="397"/>
      <c r="AL717" s="397"/>
      <c r="AM717" s="397"/>
    </row>
    <row r="718">
      <c r="A718" s="316"/>
      <c r="B718" s="317"/>
      <c r="C718" s="318"/>
      <c r="D718" s="397"/>
      <c r="E718" s="316"/>
      <c r="F718" s="317"/>
      <c r="G718" s="318"/>
      <c r="H718" s="397"/>
      <c r="I718" s="316"/>
      <c r="J718" s="317"/>
      <c r="K718" s="318"/>
      <c r="L718" s="397"/>
      <c r="M718" s="316"/>
      <c r="N718" s="317"/>
      <c r="O718" s="318"/>
      <c r="P718" s="397"/>
      <c r="Q718" s="199"/>
      <c r="R718" s="220"/>
      <c r="S718" s="400"/>
      <c r="T718" s="401"/>
      <c r="U718" s="199"/>
      <c r="V718" s="220"/>
      <c r="W718" s="400"/>
      <c r="X718" s="401"/>
      <c r="Y718" s="199"/>
      <c r="Z718" s="220"/>
      <c r="AA718" s="400"/>
      <c r="AB718" s="401"/>
      <c r="AC718" s="199"/>
      <c r="AD718" s="220"/>
      <c r="AE718" s="400"/>
      <c r="AF718" s="401"/>
      <c r="AG718" s="201"/>
      <c r="AH718" s="201"/>
      <c r="AI718" s="201"/>
      <c r="AJ718" s="201"/>
      <c r="AK718" s="397"/>
      <c r="AL718" s="397"/>
      <c r="AM718" s="397"/>
    </row>
    <row r="719">
      <c r="A719" s="316"/>
      <c r="B719" s="317"/>
      <c r="C719" s="318"/>
      <c r="D719" s="397"/>
      <c r="E719" s="316"/>
      <c r="F719" s="317"/>
      <c r="G719" s="318"/>
      <c r="H719" s="397"/>
      <c r="I719" s="316"/>
      <c r="J719" s="317"/>
      <c r="K719" s="318"/>
      <c r="L719" s="397"/>
      <c r="M719" s="316"/>
      <c r="N719" s="317"/>
      <c r="O719" s="318"/>
      <c r="P719" s="397"/>
      <c r="Q719" s="199"/>
      <c r="R719" s="220"/>
      <c r="S719" s="400"/>
      <c r="T719" s="401"/>
      <c r="U719" s="199"/>
      <c r="V719" s="220"/>
      <c r="W719" s="400"/>
      <c r="X719" s="401"/>
      <c r="Y719" s="199"/>
      <c r="Z719" s="220"/>
      <c r="AA719" s="400"/>
      <c r="AB719" s="401"/>
      <c r="AC719" s="199"/>
      <c r="AD719" s="220"/>
      <c r="AE719" s="400"/>
      <c r="AF719" s="401"/>
      <c r="AG719" s="201"/>
      <c r="AH719" s="201"/>
      <c r="AI719" s="201"/>
      <c r="AJ719" s="201"/>
      <c r="AK719" s="397"/>
      <c r="AL719" s="397"/>
      <c r="AM719" s="397"/>
    </row>
    <row r="720">
      <c r="A720" s="316"/>
      <c r="B720" s="317"/>
      <c r="C720" s="318"/>
      <c r="D720" s="397"/>
      <c r="E720" s="316"/>
      <c r="F720" s="317"/>
      <c r="G720" s="318"/>
      <c r="H720" s="397"/>
      <c r="I720" s="316"/>
      <c r="J720" s="317"/>
      <c r="K720" s="318"/>
      <c r="L720" s="397"/>
      <c r="M720" s="316"/>
      <c r="N720" s="317"/>
      <c r="O720" s="318"/>
      <c r="P720" s="397"/>
      <c r="Q720" s="199"/>
      <c r="R720" s="220"/>
      <c r="S720" s="400"/>
      <c r="T720" s="401"/>
      <c r="U720" s="199"/>
      <c r="V720" s="220"/>
      <c r="W720" s="400"/>
      <c r="X720" s="401"/>
      <c r="Y720" s="199"/>
      <c r="Z720" s="220"/>
      <c r="AA720" s="400"/>
      <c r="AB720" s="401"/>
      <c r="AC720" s="199"/>
      <c r="AD720" s="220"/>
      <c r="AE720" s="400"/>
      <c r="AF720" s="401"/>
      <c r="AG720" s="201"/>
      <c r="AH720" s="201"/>
      <c r="AI720" s="201"/>
      <c r="AJ720" s="201"/>
      <c r="AK720" s="397"/>
      <c r="AL720" s="397"/>
      <c r="AM720" s="397"/>
    </row>
    <row r="721">
      <c r="A721" s="316"/>
      <c r="B721" s="317"/>
      <c r="C721" s="318"/>
      <c r="D721" s="397"/>
      <c r="E721" s="316"/>
      <c r="F721" s="317"/>
      <c r="G721" s="318"/>
      <c r="H721" s="397"/>
      <c r="I721" s="316"/>
      <c r="J721" s="317"/>
      <c r="K721" s="318"/>
      <c r="L721" s="397"/>
      <c r="M721" s="316"/>
      <c r="N721" s="317"/>
      <c r="O721" s="318"/>
      <c r="P721" s="397"/>
      <c r="Q721" s="199"/>
      <c r="R721" s="220"/>
      <c r="S721" s="400"/>
      <c r="T721" s="401"/>
      <c r="U721" s="199"/>
      <c r="V721" s="220"/>
      <c r="W721" s="400"/>
      <c r="X721" s="401"/>
      <c r="Y721" s="199"/>
      <c r="Z721" s="220"/>
      <c r="AA721" s="400"/>
      <c r="AB721" s="401"/>
      <c r="AC721" s="199"/>
      <c r="AD721" s="220"/>
      <c r="AE721" s="400"/>
      <c r="AF721" s="401"/>
      <c r="AG721" s="201"/>
      <c r="AH721" s="201"/>
      <c r="AI721" s="201"/>
      <c r="AJ721" s="201"/>
      <c r="AK721" s="397"/>
      <c r="AL721" s="397"/>
      <c r="AM721" s="397"/>
    </row>
    <row r="722">
      <c r="A722" s="316"/>
      <c r="B722" s="317"/>
      <c r="C722" s="318"/>
      <c r="D722" s="397"/>
      <c r="E722" s="316"/>
      <c r="F722" s="317"/>
      <c r="G722" s="318"/>
      <c r="H722" s="397"/>
      <c r="I722" s="316"/>
      <c r="J722" s="317"/>
      <c r="K722" s="318"/>
      <c r="L722" s="397"/>
      <c r="M722" s="316"/>
      <c r="N722" s="317"/>
      <c r="O722" s="318"/>
      <c r="P722" s="397"/>
      <c r="Q722" s="199"/>
      <c r="R722" s="220"/>
      <c r="S722" s="400"/>
      <c r="T722" s="401"/>
      <c r="U722" s="199"/>
      <c r="V722" s="220"/>
      <c r="W722" s="400"/>
      <c r="X722" s="401"/>
      <c r="Y722" s="199"/>
      <c r="Z722" s="220"/>
      <c r="AA722" s="400"/>
      <c r="AB722" s="401"/>
      <c r="AC722" s="199"/>
      <c r="AD722" s="220"/>
      <c r="AE722" s="400"/>
      <c r="AF722" s="401"/>
      <c r="AG722" s="201"/>
      <c r="AH722" s="201"/>
      <c r="AI722" s="201"/>
      <c r="AJ722" s="201"/>
      <c r="AK722" s="397"/>
      <c r="AL722" s="397"/>
      <c r="AM722" s="397"/>
    </row>
    <row r="723">
      <c r="A723" s="316"/>
      <c r="B723" s="317"/>
      <c r="C723" s="318"/>
      <c r="D723" s="397"/>
      <c r="E723" s="316"/>
      <c r="F723" s="317"/>
      <c r="G723" s="318"/>
      <c r="H723" s="397"/>
      <c r="I723" s="316"/>
      <c r="J723" s="317"/>
      <c r="K723" s="318"/>
      <c r="L723" s="397"/>
      <c r="M723" s="316"/>
      <c r="N723" s="317"/>
      <c r="O723" s="318"/>
      <c r="P723" s="397"/>
      <c r="Q723" s="199"/>
      <c r="R723" s="220"/>
      <c r="S723" s="400"/>
      <c r="T723" s="401"/>
      <c r="U723" s="199"/>
      <c r="V723" s="220"/>
      <c r="W723" s="400"/>
      <c r="X723" s="401"/>
      <c r="Y723" s="199"/>
      <c r="Z723" s="220"/>
      <c r="AA723" s="400"/>
      <c r="AB723" s="401"/>
      <c r="AC723" s="199"/>
      <c r="AD723" s="220"/>
      <c r="AE723" s="400"/>
      <c r="AF723" s="401"/>
      <c r="AG723" s="201"/>
      <c r="AH723" s="201"/>
      <c r="AI723" s="201"/>
      <c r="AJ723" s="201"/>
      <c r="AK723" s="397"/>
      <c r="AL723" s="397"/>
      <c r="AM723" s="397"/>
    </row>
    <row r="724">
      <c r="A724" s="316"/>
      <c r="B724" s="317"/>
      <c r="C724" s="318"/>
      <c r="D724" s="397"/>
      <c r="E724" s="316"/>
      <c r="F724" s="317"/>
      <c r="G724" s="318"/>
      <c r="H724" s="397"/>
      <c r="I724" s="316"/>
      <c r="J724" s="317"/>
      <c r="K724" s="318"/>
      <c r="L724" s="397"/>
      <c r="M724" s="316"/>
      <c r="N724" s="317"/>
      <c r="O724" s="318"/>
      <c r="P724" s="397"/>
      <c r="Q724" s="199"/>
      <c r="R724" s="220"/>
      <c r="S724" s="400"/>
      <c r="T724" s="401"/>
      <c r="U724" s="199"/>
      <c r="V724" s="220"/>
      <c r="W724" s="400"/>
      <c r="X724" s="401"/>
      <c r="Y724" s="199"/>
      <c r="Z724" s="220"/>
      <c r="AA724" s="400"/>
      <c r="AB724" s="401"/>
      <c r="AC724" s="199"/>
      <c r="AD724" s="220"/>
      <c r="AE724" s="400"/>
      <c r="AF724" s="401"/>
      <c r="AG724" s="201"/>
      <c r="AH724" s="201"/>
      <c r="AI724" s="201"/>
      <c r="AJ724" s="201"/>
      <c r="AK724" s="397"/>
      <c r="AL724" s="397"/>
      <c r="AM724" s="397"/>
    </row>
    <row r="725">
      <c r="A725" s="316"/>
      <c r="B725" s="317"/>
      <c r="C725" s="318"/>
      <c r="D725" s="397"/>
      <c r="E725" s="316"/>
      <c r="F725" s="317"/>
      <c r="G725" s="318"/>
      <c r="H725" s="397"/>
      <c r="I725" s="316"/>
      <c r="J725" s="317"/>
      <c r="K725" s="318"/>
      <c r="L725" s="397"/>
      <c r="M725" s="316"/>
      <c r="N725" s="317"/>
      <c r="O725" s="318"/>
      <c r="P725" s="397"/>
      <c r="Q725" s="199"/>
      <c r="R725" s="220"/>
      <c r="S725" s="400"/>
      <c r="T725" s="401"/>
      <c r="U725" s="199"/>
      <c r="V725" s="220"/>
      <c r="W725" s="400"/>
      <c r="X725" s="401"/>
      <c r="Y725" s="199"/>
      <c r="Z725" s="220"/>
      <c r="AA725" s="400"/>
      <c r="AB725" s="401"/>
      <c r="AC725" s="199"/>
      <c r="AD725" s="220"/>
      <c r="AE725" s="400"/>
      <c r="AF725" s="401"/>
      <c r="AG725" s="201"/>
      <c r="AH725" s="201"/>
      <c r="AI725" s="201"/>
      <c r="AJ725" s="201"/>
      <c r="AK725" s="397"/>
      <c r="AL725" s="397"/>
      <c r="AM725" s="397"/>
    </row>
    <row r="726">
      <c r="A726" s="316"/>
      <c r="B726" s="317"/>
      <c r="C726" s="318"/>
      <c r="D726" s="397"/>
      <c r="E726" s="316"/>
      <c r="F726" s="317"/>
      <c r="G726" s="318"/>
      <c r="H726" s="397"/>
      <c r="I726" s="316"/>
      <c r="J726" s="317"/>
      <c r="K726" s="318"/>
      <c r="L726" s="397"/>
      <c r="M726" s="316"/>
      <c r="N726" s="317"/>
      <c r="O726" s="318"/>
      <c r="P726" s="397"/>
      <c r="Q726" s="199"/>
      <c r="R726" s="220"/>
      <c r="S726" s="400"/>
      <c r="T726" s="401"/>
      <c r="U726" s="199"/>
      <c r="V726" s="220"/>
      <c r="W726" s="400"/>
      <c r="X726" s="401"/>
      <c r="Y726" s="199"/>
      <c r="Z726" s="220"/>
      <c r="AA726" s="400"/>
      <c r="AB726" s="401"/>
      <c r="AC726" s="199"/>
      <c r="AD726" s="220"/>
      <c r="AE726" s="400"/>
      <c r="AF726" s="401"/>
      <c r="AG726" s="201"/>
      <c r="AH726" s="201"/>
      <c r="AI726" s="201"/>
      <c r="AJ726" s="201"/>
      <c r="AK726" s="397"/>
      <c r="AL726" s="397"/>
      <c r="AM726" s="397"/>
    </row>
    <row r="727">
      <c r="A727" s="316"/>
      <c r="B727" s="317"/>
      <c r="C727" s="318"/>
      <c r="D727" s="397"/>
      <c r="E727" s="316"/>
      <c r="F727" s="317"/>
      <c r="G727" s="318"/>
      <c r="H727" s="397"/>
      <c r="I727" s="316"/>
      <c r="J727" s="317"/>
      <c r="K727" s="318"/>
      <c r="L727" s="397"/>
      <c r="M727" s="316"/>
      <c r="N727" s="317"/>
      <c r="O727" s="318"/>
      <c r="P727" s="397"/>
      <c r="Q727" s="199"/>
      <c r="R727" s="220"/>
      <c r="S727" s="400"/>
      <c r="T727" s="401"/>
      <c r="U727" s="199"/>
      <c r="V727" s="220"/>
      <c r="W727" s="400"/>
      <c r="X727" s="401"/>
      <c r="Y727" s="199"/>
      <c r="Z727" s="220"/>
      <c r="AA727" s="400"/>
      <c r="AB727" s="401"/>
      <c r="AC727" s="199"/>
      <c r="AD727" s="220"/>
      <c r="AE727" s="400"/>
      <c r="AF727" s="401"/>
      <c r="AG727" s="201"/>
      <c r="AH727" s="201"/>
      <c r="AI727" s="201"/>
      <c r="AJ727" s="201"/>
      <c r="AK727" s="397"/>
      <c r="AL727" s="397"/>
      <c r="AM727" s="397"/>
    </row>
    <row r="728">
      <c r="A728" s="316"/>
      <c r="B728" s="317"/>
      <c r="C728" s="318"/>
      <c r="D728" s="397"/>
      <c r="E728" s="316"/>
      <c r="F728" s="317"/>
      <c r="G728" s="318"/>
      <c r="H728" s="397"/>
      <c r="I728" s="316"/>
      <c r="J728" s="317"/>
      <c r="K728" s="318"/>
      <c r="L728" s="397"/>
      <c r="M728" s="316"/>
      <c r="N728" s="317"/>
      <c r="O728" s="318"/>
      <c r="P728" s="397"/>
      <c r="Q728" s="199"/>
      <c r="R728" s="220"/>
      <c r="S728" s="400"/>
      <c r="T728" s="401"/>
      <c r="U728" s="199"/>
      <c r="V728" s="220"/>
      <c r="W728" s="400"/>
      <c r="X728" s="401"/>
      <c r="Y728" s="199"/>
      <c r="Z728" s="220"/>
      <c r="AA728" s="400"/>
      <c r="AB728" s="401"/>
      <c r="AC728" s="199"/>
      <c r="AD728" s="220"/>
      <c r="AE728" s="400"/>
      <c r="AF728" s="401"/>
      <c r="AG728" s="201"/>
      <c r="AH728" s="201"/>
      <c r="AI728" s="201"/>
      <c r="AJ728" s="201"/>
      <c r="AK728" s="397"/>
      <c r="AL728" s="397"/>
      <c r="AM728" s="397"/>
    </row>
    <row r="729">
      <c r="A729" s="316"/>
      <c r="B729" s="317"/>
      <c r="C729" s="318"/>
      <c r="D729" s="397"/>
      <c r="E729" s="316"/>
      <c r="F729" s="317"/>
      <c r="G729" s="318"/>
      <c r="H729" s="397"/>
      <c r="I729" s="316"/>
      <c r="J729" s="317"/>
      <c r="K729" s="318"/>
      <c r="L729" s="397"/>
      <c r="M729" s="316"/>
      <c r="N729" s="317"/>
      <c r="O729" s="318"/>
      <c r="P729" s="397"/>
      <c r="Q729" s="199"/>
      <c r="R729" s="220"/>
      <c r="S729" s="400"/>
      <c r="T729" s="401"/>
      <c r="U729" s="199"/>
      <c r="V729" s="220"/>
      <c r="W729" s="400"/>
      <c r="X729" s="401"/>
      <c r="Y729" s="199"/>
      <c r="Z729" s="220"/>
      <c r="AA729" s="400"/>
      <c r="AB729" s="401"/>
      <c r="AC729" s="199"/>
      <c r="AD729" s="220"/>
      <c r="AE729" s="400"/>
      <c r="AF729" s="401"/>
      <c r="AG729" s="201"/>
      <c r="AH729" s="201"/>
      <c r="AI729" s="201"/>
      <c r="AJ729" s="201"/>
      <c r="AK729" s="397"/>
      <c r="AL729" s="397"/>
      <c r="AM729" s="397"/>
    </row>
    <row r="730">
      <c r="A730" s="316"/>
      <c r="B730" s="317"/>
      <c r="C730" s="318"/>
      <c r="D730" s="397"/>
      <c r="E730" s="316"/>
      <c r="F730" s="317"/>
      <c r="G730" s="318"/>
      <c r="H730" s="397"/>
      <c r="I730" s="316"/>
      <c r="J730" s="317"/>
      <c r="K730" s="318"/>
      <c r="L730" s="397"/>
      <c r="M730" s="316"/>
      <c r="N730" s="317"/>
      <c r="O730" s="318"/>
      <c r="P730" s="397"/>
      <c r="Q730" s="199"/>
      <c r="R730" s="220"/>
      <c r="S730" s="400"/>
      <c r="T730" s="401"/>
      <c r="U730" s="199"/>
      <c r="V730" s="220"/>
      <c r="W730" s="400"/>
      <c r="X730" s="401"/>
      <c r="Y730" s="199"/>
      <c r="Z730" s="220"/>
      <c r="AA730" s="400"/>
      <c r="AB730" s="401"/>
      <c r="AC730" s="199"/>
      <c r="AD730" s="220"/>
      <c r="AE730" s="400"/>
      <c r="AF730" s="401"/>
      <c r="AG730" s="201"/>
      <c r="AH730" s="201"/>
      <c r="AI730" s="201"/>
      <c r="AJ730" s="201"/>
      <c r="AK730" s="397"/>
      <c r="AL730" s="397"/>
      <c r="AM730" s="397"/>
    </row>
    <row r="731">
      <c r="A731" s="316"/>
      <c r="B731" s="317"/>
      <c r="C731" s="318"/>
      <c r="D731" s="397"/>
      <c r="E731" s="316"/>
      <c r="F731" s="317"/>
      <c r="G731" s="318"/>
      <c r="H731" s="397"/>
      <c r="I731" s="316"/>
      <c r="J731" s="317"/>
      <c r="K731" s="318"/>
      <c r="L731" s="397"/>
      <c r="M731" s="316"/>
      <c r="N731" s="317"/>
      <c r="O731" s="318"/>
      <c r="P731" s="397"/>
      <c r="Q731" s="199"/>
      <c r="R731" s="220"/>
      <c r="S731" s="400"/>
      <c r="T731" s="401"/>
      <c r="U731" s="199"/>
      <c r="V731" s="220"/>
      <c r="W731" s="400"/>
      <c r="X731" s="401"/>
      <c r="Y731" s="199"/>
      <c r="Z731" s="220"/>
      <c r="AA731" s="400"/>
      <c r="AB731" s="401"/>
      <c r="AC731" s="199"/>
      <c r="AD731" s="220"/>
      <c r="AE731" s="400"/>
      <c r="AF731" s="401"/>
      <c r="AG731" s="201"/>
      <c r="AH731" s="201"/>
      <c r="AI731" s="201"/>
      <c r="AJ731" s="201"/>
      <c r="AK731" s="397"/>
      <c r="AL731" s="397"/>
      <c r="AM731" s="397"/>
    </row>
    <row r="732">
      <c r="A732" s="316"/>
      <c r="B732" s="317"/>
      <c r="C732" s="318"/>
      <c r="D732" s="397"/>
      <c r="E732" s="316"/>
      <c r="F732" s="317"/>
      <c r="G732" s="318"/>
      <c r="H732" s="397"/>
      <c r="I732" s="316"/>
      <c r="J732" s="317"/>
      <c r="K732" s="318"/>
      <c r="L732" s="397"/>
      <c r="M732" s="316"/>
      <c r="N732" s="317"/>
      <c r="O732" s="318"/>
      <c r="P732" s="397"/>
      <c r="Q732" s="199"/>
      <c r="R732" s="220"/>
      <c r="S732" s="400"/>
      <c r="T732" s="401"/>
      <c r="U732" s="199"/>
      <c r="V732" s="220"/>
      <c r="W732" s="400"/>
      <c r="X732" s="401"/>
      <c r="Y732" s="199"/>
      <c r="Z732" s="220"/>
      <c r="AA732" s="400"/>
      <c r="AB732" s="401"/>
      <c r="AC732" s="199"/>
      <c r="AD732" s="220"/>
      <c r="AE732" s="400"/>
      <c r="AF732" s="401"/>
      <c r="AG732" s="201"/>
      <c r="AH732" s="201"/>
      <c r="AI732" s="201"/>
      <c r="AJ732" s="201"/>
      <c r="AK732" s="397"/>
      <c r="AL732" s="397"/>
      <c r="AM732" s="397"/>
    </row>
    <row r="733">
      <c r="A733" s="316"/>
      <c r="B733" s="317"/>
      <c r="C733" s="318"/>
      <c r="D733" s="397"/>
      <c r="E733" s="316"/>
      <c r="F733" s="317"/>
      <c r="G733" s="318"/>
      <c r="H733" s="397"/>
      <c r="I733" s="316"/>
      <c r="J733" s="317"/>
      <c r="K733" s="318"/>
      <c r="L733" s="397"/>
      <c r="M733" s="316"/>
      <c r="N733" s="317"/>
      <c r="O733" s="318"/>
      <c r="P733" s="397"/>
      <c r="Q733" s="199"/>
      <c r="R733" s="220"/>
      <c r="S733" s="400"/>
      <c r="T733" s="401"/>
      <c r="U733" s="199"/>
      <c r="V733" s="220"/>
      <c r="W733" s="400"/>
      <c r="X733" s="401"/>
      <c r="Y733" s="199"/>
      <c r="Z733" s="220"/>
      <c r="AA733" s="400"/>
      <c r="AB733" s="401"/>
      <c r="AC733" s="199"/>
      <c r="AD733" s="220"/>
      <c r="AE733" s="400"/>
      <c r="AF733" s="401"/>
      <c r="AG733" s="201"/>
      <c r="AH733" s="201"/>
      <c r="AI733" s="201"/>
      <c r="AJ733" s="201"/>
      <c r="AK733" s="397"/>
      <c r="AL733" s="397"/>
      <c r="AM733" s="397"/>
    </row>
    <row r="734">
      <c r="A734" s="316"/>
      <c r="B734" s="317"/>
      <c r="C734" s="318"/>
      <c r="D734" s="397"/>
      <c r="E734" s="316"/>
      <c r="F734" s="317"/>
      <c r="G734" s="318"/>
      <c r="H734" s="397"/>
      <c r="I734" s="316"/>
      <c r="J734" s="317"/>
      <c r="K734" s="318"/>
      <c r="L734" s="397"/>
      <c r="M734" s="316"/>
      <c r="N734" s="317"/>
      <c r="O734" s="318"/>
      <c r="P734" s="397"/>
      <c r="Q734" s="199"/>
      <c r="R734" s="220"/>
      <c r="S734" s="400"/>
      <c r="T734" s="401"/>
      <c r="U734" s="199"/>
      <c r="V734" s="220"/>
      <c r="W734" s="400"/>
      <c r="X734" s="401"/>
      <c r="Y734" s="199"/>
      <c r="Z734" s="220"/>
      <c r="AA734" s="400"/>
      <c r="AB734" s="401"/>
      <c r="AC734" s="199"/>
      <c r="AD734" s="220"/>
      <c r="AE734" s="400"/>
      <c r="AF734" s="401"/>
      <c r="AG734" s="201"/>
      <c r="AH734" s="201"/>
      <c r="AI734" s="201"/>
      <c r="AJ734" s="201"/>
      <c r="AK734" s="397"/>
      <c r="AL734" s="397"/>
      <c r="AM734" s="397"/>
    </row>
    <row r="735">
      <c r="A735" s="316"/>
      <c r="B735" s="317"/>
      <c r="C735" s="318"/>
      <c r="D735" s="397"/>
      <c r="E735" s="316"/>
      <c r="F735" s="317"/>
      <c r="G735" s="318"/>
      <c r="H735" s="397"/>
      <c r="I735" s="316"/>
      <c r="J735" s="317"/>
      <c r="K735" s="318"/>
      <c r="L735" s="397"/>
      <c r="M735" s="316"/>
      <c r="N735" s="317"/>
      <c r="O735" s="318"/>
      <c r="P735" s="397"/>
      <c r="Q735" s="199"/>
      <c r="R735" s="220"/>
      <c r="S735" s="400"/>
      <c r="T735" s="401"/>
      <c r="U735" s="199"/>
      <c r="V735" s="220"/>
      <c r="W735" s="400"/>
      <c r="X735" s="401"/>
      <c r="Y735" s="199"/>
      <c r="Z735" s="220"/>
      <c r="AA735" s="400"/>
      <c r="AB735" s="401"/>
      <c r="AC735" s="199"/>
      <c r="AD735" s="220"/>
      <c r="AE735" s="400"/>
      <c r="AF735" s="401"/>
      <c r="AG735" s="201"/>
      <c r="AH735" s="201"/>
      <c r="AI735" s="201"/>
      <c r="AJ735" s="201"/>
      <c r="AK735" s="397"/>
      <c r="AL735" s="397"/>
      <c r="AM735" s="397"/>
    </row>
    <row r="736">
      <c r="A736" s="316"/>
      <c r="B736" s="317"/>
      <c r="C736" s="318"/>
      <c r="D736" s="397"/>
      <c r="E736" s="316"/>
      <c r="F736" s="317"/>
      <c r="G736" s="318"/>
      <c r="H736" s="397"/>
      <c r="I736" s="316"/>
      <c r="J736" s="317"/>
      <c r="K736" s="318"/>
      <c r="L736" s="397"/>
      <c r="M736" s="316"/>
      <c r="N736" s="317"/>
      <c r="O736" s="318"/>
      <c r="P736" s="397"/>
      <c r="Q736" s="199"/>
      <c r="R736" s="220"/>
      <c r="S736" s="400"/>
      <c r="T736" s="401"/>
      <c r="U736" s="199"/>
      <c r="V736" s="220"/>
      <c r="W736" s="400"/>
      <c r="X736" s="401"/>
      <c r="Y736" s="199"/>
      <c r="Z736" s="220"/>
      <c r="AA736" s="400"/>
      <c r="AB736" s="401"/>
      <c r="AC736" s="199"/>
      <c r="AD736" s="220"/>
      <c r="AE736" s="400"/>
      <c r="AF736" s="401"/>
      <c r="AG736" s="201"/>
      <c r="AH736" s="201"/>
      <c r="AI736" s="201"/>
      <c r="AJ736" s="201"/>
      <c r="AK736" s="397"/>
      <c r="AL736" s="397"/>
      <c r="AM736" s="397"/>
    </row>
    <row r="737">
      <c r="A737" s="316"/>
      <c r="B737" s="317"/>
      <c r="C737" s="318"/>
      <c r="D737" s="397"/>
      <c r="E737" s="316"/>
      <c r="F737" s="317"/>
      <c r="G737" s="318"/>
      <c r="H737" s="397"/>
      <c r="I737" s="316"/>
      <c r="J737" s="317"/>
      <c r="K737" s="318"/>
      <c r="L737" s="397"/>
      <c r="M737" s="316"/>
      <c r="N737" s="317"/>
      <c r="O737" s="318"/>
      <c r="P737" s="397"/>
      <c r="Q737" s="199"/>
      <c r="R737" s="220"/>
      <c r="S737" s="400"/>
      <c r="T737" s="401"/>
      <c r="U737" s="199"/>
      <c r="V737" s="220"/>
      <c r="W737" s="400"/>
      <c r="X737" s="401"/>
      <c r="Y737" s="199"/>
      <c r="Z737" s="220"/>
      <c r="AA737" s="400"/>
      <c r="AB737" s="401"/>
      <c r="AC737" s="199"/>
      <c r="AD737" s="220"/>
      <c r="AE737" s="400"/>
      <c r="AF737" s="401"/>
      <c r="AG737" s="201"/>
      <c r="AH737" s="201"/>
      <c r="AI737" s="201"/>
      <c r="AJ737" s="201"/>
      <c r="AK737" s="397"/>
      <c r="AL737" s="397"/>
      <c r="AM737" s="397"/>
    </row>
    <row r="738">
      <c r="A738" s="316"/>
      <c r="B738" s="317"/>
      <c r="C738" s="318"/>
      <c r="D738" s="397"/>
      <c r="E738" s="316"/>
      <c r="F738" s="317"/>
      <c r="G738" s="318"/>
      <c r="H738" s="397"/>
      <c r="I738" s="316"/>
      <c r="J738" s="317"/>
      <c r="K738" s="318"/>
      <c r="L738" s="397"/>
      <c r="M738" s="316"/>
      <c r="N738" s="317"/>
      <c r="O738" s="318"/>
      <c r="P738" s="397"/>
      <c r="Q738" s="199"/>
      <c r="R738" s="220"/>
      <c r="S738" s="400"/>
      <c r="T738" s="401"/>
      <c r="U738" s="199"/>
      <c r="V738" s="220"/>
      <c r="W738" s="400"/>
      <c r="X738" s="401"/>
      <c r="Y738" s="199"/>
      <c r="Z738" s="220"/>
      <c r="AA738" s="400"/>
      <c r="AB738" s="401"/>
      <c r="AC738" s="199"/>
      <c r="AD738" s="220"/>
      <c r="AE738" s="400"/>
      <c r="AF738" s="401"/>
      <c r="AG738" s="201"/>
      <c r="AH738" s="201"/>
      <c r="AI738" s="201"/>
      <c r="AJ738" s="201"/>
      <c r="AK738" s="397"/>
      <c r="AL738" s="397"/>
      <c r="AM738" s="397"/>
    </row>
    <row r="739">
      <c r="A739" s="316"/>
      <c r="B739" s="317"/>
      <c r="C739" s="318"/>
      <c r="D739" s="397"/>
      <c r="E739" s="316"/>
      <c r="F739" s="317"/>
      <c r="G739" s="318"/>
      <c r="H739" s="397"/>
      <c r="I739" s="316"/>
      <c r="J739" s="317"/>
      <c r="K739" s="318"/>
      <c r="L739" s="397"/>
      <c r="M739" s="316"/>
      <c r="N739" s="317"/>
      <c r="O739" s="318"/>
      <c r="P739" s="397"/>
      <c r="Q739" s="199"/>
      <c r="R739" s="220"/>
      <c r="S739" s="400"/>
      <c r="T739" s="401"/>
      <c r="U739" s="199"/>
      <c r="V739" s="220"/>
      <c r="W739" s="400"/>
      <c r="X739" s="401"/>
      <c r="Y739" s="199"/>
      <c r="Z739" s="220"/>
      <c r="AA739" s="400"/>
      <c r="AB739" s="401"/>
      <c r="AC739" s="199"/>
      <c r="AD739" s="220"/>
      <c r="AE739" s="400"/>
      <c r="AF739" s="401"/>
      <c r="AG739" s="201"/>
      <c r="AH739" s="201"/>
      <c r="AI739" s="201"/>
      <c r="AJ739" s="201"/>
      <c r="AK739" s="397"/>
      <c r="AL739" s="397"/>
      <c r="AM739" s="397"/>
    </row>
    <row r="740">
      <c r="A740" s="316"/>
      <c r="B740" s="317"/>
      <c r="C740" s="318"/>
      <c r="D740" s="397"/>
      <c r="E740" s="316"/>
      <c r="F740" s="317"/>
      <c r="G740" s="318"/>
      <c r="H740" s="397"/>
      <c r="I740" s="316"/>
      <c r="J740" s="317"/>
      <c r="K740" s="318"/>
      <c r="L740" s="397"/>
      <c r="M740" s="316"/>
      <c r="N740" s="317"/>
      <c r="O740" s="318"/>
      <c r="P740" s="397"/>
      <c r="Q740" s="199"/>
      <c r="R740" s="220"/>
      <c r="S740" s="400"/>
      <c r="T740" s="401"/>
      <c r="U740" s="199"/>
      <c r="V740" s="220"/>
      <c r="W740" s="400"/>
      <c r="X740" s="401"/>
      <c r="Y740" s="199"/>
      <c r="Z740" s="220"/>
      <c r="AA740" s="400"/>
      <c r="AB740" s="401"/>
      <c r="AC740" s="199"/>
      <c r="AD740" s="220"/>
      <c r="AE740" s="400"/>
      <c r="AF740" s="401"/>
      <c r="AG740" s="201"/>
      <c r="AH740" s="201"/>
      <c r="AI740" s="201"/>
      <c r="AJ740" s="201"/>
      <c r="AK740" s="397"/>
      <c r="AL740" s="397"/>
      <c r="AM740" s="397"/>
    </row>
    <row r="741">
      <c r="A741" s="316"/>
      <c r="B741" s="317"/>
      <c r="C741" s="318"/>
      <c r="D741" s="397"/>
      <c r="E741" s="316"/>
      <c r="F741" s="317"/>
      <c r="G741" s="318"/>
      <c r="H741" s="397"/>
      <c r="I741" s="316"/>
      <c r="J741" s="317"/>
      <c r="K741" s="318"/>
      <c r="L741" s="397"/>
      <c r="M741" s="316"/>
      <c r="N741" s="317"/>
      <c r="O741" s="318"/>
      <c r="P741" s="397"/>
      <c r="Q741" s="199"/>
      <c r="R741" s="220"/>
      <c r="S741" s="400"/>
      <c r="T741" s="401"/>
      <c r="U741" s="199"/>
      <c r="V741" s="220"/>
      <c r="W741" s="400"/>
      <c r="X741" s="401"/>
      <c r="Y741" s="199"/>
      <c r="Z741" s="220"/>
      <c r="AA741" s="400"/>
      <c r="AB741" s="401"/>
      <c r="AC741" s="199"/>
      <c r="AD741" s="220"/>
      <c r="AE741" s="400"/>
      <c r="AF741" s="401"/>
      <c r="AG741" s="201"/>
      <c r="AH741" s="201"/>
      <c r="AI741" s="201"/>
      <c r="AJ741" s="201"/>
      <c r="AK741" s="397"/>
      <c r="AL741" s="397"/>
      <c r="AM741" s="397"/>
    </row>
    <row r="742">
      <c r="A742" s="316"/>
      <c r="B742" s="317"/>
      <c r="C742" s="318"/>
      <c r="D742" s="397"/>
      <c r="E742" s="316"/>
      <c r="F742" s="317"/>
      <c r="G742" s="318"/>
      <c r="H742" s="397"/>
      <c r="I742" s="316"/>
      <c r="J742" s="317"/>
      <c r="K742" s="318"/>
      <c r="L742" s="397"/>
      <c r="M742" s="316"/>
      <c r="N742" s="317"/>
      <c r="O742" s="318"/>
      <c r="P742" s="397"/>
      <c r="Q742" s="199"/>
      <c r="R742" s="220"/>
      <c r="S742" s="400"/>
      <c r="T742" s="401"/>
      <c r="U742" s="199"/>
      <c r="V742" s="220"/>
      <c r="W742" s="400"/>
      <c r="X742" s="401"/>
      <c r="Y742" s="199"/>
      <c r="Z742" s="220"/>
      <c r="AA742" s="400"/>
      <c r="AB742" s="401"/>
      <c r="AC742" s="199"/>
      <c r="AD742" s="220"/>
      <c r="AE742" s="400"/>
      <c r="AF742" s="401"/>
      <c r="AG742" s="201"/>
      <c r="AH742" s="201"/>
      <c r="AI742" s="201"/>
      <c r="AJ742" s="201"/>
      <c r="AK742" s="397"/>
      <c r="AL742" s="397"/>
      <c r="AM742" s="397"/>
    </row>
    <row r="743">
      <c r="A743" s="316"/>
      <c r="B743" s="317"/>
      <c r="C743" s="318"/>
      <c r="D743" s="397"/>
      <c r="E743" s="316"/>
      <c r="F743" s="317"/>
      <c r="G743" s="318"/>
      <c r="H743" s="397"/>
      <c r="I743" s="316"/>
      <c r="J743" s="317"/>
      <c r="K743" s="318"/>
      <c r="L743" s="397"/>
      <c r="M743" s="316"/>
      <c r="N743" s="317"/>
      <c r="O743" s="318"/>
      <c r="P743" s="397"/>
      <c r="Q743" s="199"/>
      <c r="R743" s="220"/>
      <c r="S743" s="400"/>
      <c r="T743" s="401"/>
      <c r="U743" s="199"/>
      <c r="V743" s="220"/>
      <c r="W743" s="400"/>
      <c r="X743" s="401"/>
      <c r="Y743" s="199"/>
      <c r="Z743" s="220"/>
      <c r="AA743" s="400"/>
      <c r="AB743" s="401"/>
      <c r="AC743" s="199"/>
      <c r="AD743" s="220"/>
      <c r="AE743" s="400"/>
      <c r="AF743" s="401"/>
      <c r="AG743" s="201"/>
      <c r="AH743" s="201"/>
      <c r="AI743" s="201"/>
      <c r="AJ743" s="201"/>
      <c r="AK743" s="397"/>
      <c r="AL743" s="397"/>
      <c r="AM743" s="397"/>
    </row>
    <row r="744">
      <c r="A744" s="316"/>
      <c r="B744" s="317"/>
      <c r="C744" s="318"/>
      <c r="D744" s="397"/>
      <c r="E744" s="316"/>
      <c r="F744" s="317"/>
      <c r="G744" s="318"/>
      <c r="H744" s="397"/>
      <c r="I744" s="316"/>
      <c r="J744" s="317"/>
      <c r="K744" s="318"/>
      <c r="L744" s="397"/>
      <c r="M744" s="316"/>
      <c r="N744" s="317"/>
      <c r="O744" s="318"/>
      <c r="P744" s="397"/>
      <c r="Q744" s="199"/>
      <c r="R744" s="220"/>
      <c r="S744" s="400"/>
      <c r="T744" s="401"/>
      <c r="U744" s="199"/>
      <c r="V744" s="220"/>
      <c r="W744" s="400"/>
      <c r="X744" s="401"/>
      <c r="Y744" s="199"/>
      <c r="Z744" s="220"/>
      <c r="AA744" s="400"/>
      <c r="AB744" s="401"/>
      <c r="AC744" s="199"/>
      <c r="AD744" s="220"/>
      <c r="AE744" s="400"/>
      <c r="AF744" s="401"/>
      <c r="AG744" s="201"/>
      <c r="AH744" s="201"/>
      <c r="AI744" s="201"/>
      <c r="AJ744" s="201"/>
      <c r="AK744" s="397"/>
      <c r="AL744" s="397"/>
      <c r="AM744" s="397"/>
    </row>
    <row r="745">
      <c r="A745" s="316"/>
      <c r="B745" s="317"/>
      <c r="C745" s="318"/>
      <c r="D745" s="397"/>
      <c r="E745" s="316"/>
      <c r="F745" s="317"/>
      <c r="G745" s="318"/>
      <c r="H745" s="397"/>
      <c r="I745" s="316"/>
      <c r="J745" s="317"/>
      <c r="K745" s="318"/>
      <c r="L745" s="397"/>
      <c r="M745" s="316"/>
      <c r="N745" s="317"/>
      <c r="O745" s="318"/>
      <c r="P745" s="397"/>
      <c r="Q745" s="199"/>
      <c r="R745" s="220"/>
      <c r="S745" s="400"/>
      <c r="T745" s="401"/>
      <c r="U745" s="199"/>
      <c r="V745" s="220"/>
      <c r="W745" s="400"/>
      <c r="X745" s="401"/>
      <c r="Y745" s="199"/>
      <c r="Z745" s="220"/>
      <c r="AA745" s="400"/>
      <c r="AB745" s="401"/>
      <c r="AC745" s="199"/>
      <c r="AD745" s="220"/>
      <c r="AE745" s="400"/>
      <c r="AF745" s="401"/>
      <c r="AG745" s="201"/>
      <c r="AH745" s="201"/>
      <c r="AI745" s="201"/>
      <c r="AJ745" s="201"/>
      <c r="AK745" s="397"/>
      <c r="AL745" s="397"/>
      <c r="AM745" s="397"/>
    </row>
    <row r="746">
      <c r="A746" s="316"/>
      <c r="B746" s="317"/>
      <c r="C746" s="318"/>
      <c r="D746" s="397"/>
      <c r="E746" s="316"/>
      <c r="F746" s="317"/>
      <c r="G746" s="318"/>
      <c r="H746" s="397"/>
      <c r="I746" s="316"/>
      <c r="J746" s="317"/>
      <c r="K746" s="318"/>
      <c r="L746" s="397"/>
      <c r="M746" s="316"/>
      <c r="N746" s="317"/>
      <c r="O746" s="318"/>
      <c r="P746" s="397"/>
      <c r="Q746" s="199"/>
      <c r="R746" s="220"/>
      <c r="S746" s="400"/>
      <c r="T746" s="401"/>
      <c r="U746" s="199"/>
      <c r="V746" s="220"/>
      <c r="W746" s="400"/>
      <c r="X746" s="401"/>
      <c r="Y746" s="199"/>
      <c r="Z746" s="220"/>
      <c r="AA746" s="400"/>
      <c r="AB746" s="401"/>
      <c r="AC746" s="199"/>
      <c r="AD746" s="220"/>
      <c r="AE746" s="400"/>
      <c r="AF746" s="401"/>
      <c r="AG746" s="201"/>
      <c r="AH746" s="201"/>
      <c r="AI746" s="201"/>
      <c r="AJ746" s="201"/>
      <c r="AK746" s="397"/>
      <c r="AL746" s="397"/>
      <c r="AM746" s="397"/>
    </row>
    <row r="747">
      <c r="A747" s="316"/>
      <c r="B747" s="317"/>
      <c r="C747" s="318"/>
      <c r="D747" s="397"/>
      <c r="E747" s="316"/>
      <c r="F747" s="317"/>
      <c r="G747" s="318"/>
      <c r="H747" s="397"/>
      <c r="I747" s="316"/>
      <c r="J747" s="317"/>
      <c r="K747" s="318"/>
      <c r="L747" s="397"/>
      <c r="M747" s="316"/>
      <c r="N747" s="317"/>
      <c r="O747" s="318"/>
      <c r="P747" s="397"/>
      <c r="Q747" s="199"/>
      <c r="R747" s="220"/>
      <c r="S747" s="400"/>
      <c r="T747" s="401"/>
      <c r="U747" s="199"/>
      <c r="V747" s="220"/>
      <c r="W747" s="400"/>
      <c r="X747" s="401"/>
      <c r="Y747" s="199"/>
      <c r="Z747" s="220"/>
      <c r="AA747" s="400"/>
      <c r="AB747" s="401"/>
      <c r="AC747" s="199"/>
      <c r="AD747" s="220"/>
      <c r="AE747" s="400"/>
      <c r="AF747" s="401"/>
      <c r="AG747" s="201"/>
      <c r="AH747" s="201"/>
      <c r="AI747" s="201"/>
      <c r="AJ747" s="201"/>
      <c r="AK747" s="397"/>
      <c r="AL747" s="397"/>
      <c r="AM747" s="397"/>
    </row>
    <row r="748">
      <c r="A748" s="316"/>
      <c r="B748" s="317"/>
      <c r="C748" s="318"/>
      <c r="D748" s="397"/>
      <c r="E748" s="316"/>
      <c r="F748" s="317"/>
      <c r="G748" s="318"/>
      <c r="H748" s="397"/>
      <c r="I748" s="316"/>
      <c r="J748" s="317"/>
      <c r="K748" s="318"/>
      <c r="L748" s="397"/>
      <c r="M748" s="316"/>
      <c r="N748" s="317"/>
      <c r="O748" s="318"/>
      <c r="P748" s="397"/>
      <c r="Q748" s="199"/>
      <c r="R748" s="220"/>
      <c r="S748" s="400"/>
      <c r="T748" s="401"/>
      <c r="U748" s="199"/>
      <c r="V748" s="220"/>
      <c r="W748" s="400"/>
      <c r="X748" s="401"/>
      <c r="Y748" s="199"/>
      <c r="Z748" s="220"/>
      <c r="AA748" s="400"/>
      <c r="AB748" s="401"/>
      <c r="AC748" s="199"/>
      <c r="AD748" s="220"/>
      <c r="AE748" s="400"/>
      <c r="AF748" s="401"/>
      <c r="AG748" s="201"/>
      <c r="AH748" s="201"/>
      <c r="AI748" s="201"/>
      <c r="AJ748" s="201"/>
      <c r="AK748" s="397"/>
      <c r="AL748" s="397"/>
      <c r="AM748" s="397"/>
    </row>
    <row r="749">
      <c r="A749" s="316"/>
      <c r="B749" s="317"/>
      <c r="C749" s="318"/>
      <c r="D749" s="397"/>
      <c r="E749" s="316"/>
      <c r="F749" s="317"/>
      <c r="G749" s="318"/>
      <c r="H749" s="397"/>
      <c r="I749" s="316"/>
      <c r="J749" s="317"/>
      <c r="K749" s="318"/>
      <c r="L749" s="397"/>
      <c r="M749" s="316"/>
      <c r="N749" s="317"/>
      <c r="O749" s="318"/>
      <c r="P749" s="397"/>
      <c r="Q749" s="199"/>
      <c r="R749" s="220"/>
      <c r="S749" s="400"/>
      <c r="T749" s="401"/>
      <c r="U749" s="199"/>
      <c r="V749" s="220"/>
      <c r="W749" s="400"/>
      <c r="X749" s="401"/>
      <c r="Y749" s="199"/>
      <c r="Z749" s="220"/>
      <c r="AA749" s="400"/>
      <c r="AB749" s="401"/>
      <c r="AC749" s="199"/>
      <c r="AD749" s="220"/>
      <c r="AE749" s="400"/>
      <c r="AF749" s="401"/>
      <c r="AG749" s="201"/>
      <c r="AH749" s="201"/>
      <c r="AI749" s="201"/>
      <c r="AJ749" s="201"/>
      <c r="AK749" s="397"/>
      <c r="AL749" s="397"/>
      <c r="AM749" s="397"/>
    </row>
    <row r="750">
      <c r="A750" s="316"/>
      <c r="B750" s="317"/>
      <c r="C750" s="318"/>
      <c r="D750" s="397"/>
      <c r="E750" s="316"/>
      <c r="F750" s="317"/>
      <c r="G750" s="318"/>
      <c r="H750" s="397"/>
      <c r="I750" s="316"/>
      <c r="J750" s="317"/>
      <c r="K750" s="318"/>
      <c r="L750" s="397"/>
      <c r="M750" s="316"/>
      <c r="N750" s="317"/>
      <c r="O750" s="318"/>
      <c r="P750" s="397"/>
      <c r="Q750" s="199"/>
      <c r="R750" s="220"/>
      <c r="S750" s="400"/>
      <c r="T750" s="401"/>
      <c r="U750" s="199"/>
      <c r="V750" s="220"/>
      <c r="W750" s="400"/>
      <c r="X750" s="401"/>
      <c r="Y750" s="199"/>
      <c r="Z750" s="220"/>
      <c r="AA750" s="400"/>
      <c r="AB750" s="401"/>
      <c r="AC750" s="199"/>
      <c r="AD750" s="220"/>
      <c r="AE750" s="400"/>
      <c r="AF750" s="401"/>
      <c r="AG750" s="201"/>
      <c r="AH750" s="201"/>
      <c r="AI750" s="201"/>
      <c r="AJ750" s="201"/>
      <c r="AK750" s="397"/>
      <c r="AL750" s="397"/>
      <c r="AM750" s="397"/>
    </row>
    <row r="751">
      <c r="A751" s="316"/>
      <c r="B751" s="317"/>
      <c r="C751" s="318"/>
      <c r="D751" s="397"/>
      <c r="E751" s="316"/>
      <c r="F751" s="317"/>
      <c r="G751" s="318"/>
      <c r="H751" s="397"/>
      <c r="I751" s="316"/>
      <c r="J751" s="317"/>
      <c r="K751" s="318"/>
      <c r="L751" s="397"/>
      <c r="M751" s="316"/>
      <c r="N751" s="317"/>
      <c r="O751" s="318"/>
      <c r="P751" s="397"/>
      <c r="Q751" s="199"/>
      <c r="R751" s="220"/>
      <c r="S751" s="400"/>
      <c r="T751" s="401"/>
      <c r="U751" s="199"/>
      <c r="V751" s="220"/>
      <c r="W751" s="400"/>
      <c r="X751" s="401"/>
      <c r="Y751" s="199"/>
      <c r="Z751" s="220"/>
      <c r="AA751" s="400"/>
      <c r="AB751" s="401"/>
      <c r="AC751" s="199"/>
      <c r="AD751" s="220"/>
      <c r="AE751" s="400"/>
      <c r="AF751" s="401"/>
      <c r="AG751" s="201"/>
      <c r="AH751" s="201"/>
      <c r="AI751" s="201"/>
      <c r="AJ751" s="201"/>
      <c r="AK751" s="397"/>
      <c r="AL751" s="397"/>
      <c r="AM751" s="397"/>
    </row>
    <row r="752">
      <c r="A752" s="316"/>
      <c r="B752" s="317"/>
      <c r="C752" s="318"/>
      <c r="D752" s="397"/>
      <c r="E752" s="316"/>
      <c r="F752" s="317"/>
      <c r="G752" s="318"/>
      <c r="H752" s="397"/>
      <c r="I752" s="316"/>
      <c r="J752" s="317"/>
      <c r="K752" s="318"/>
      <c r="L752" s="397"/>
      <c r="M752" s="316"/>
      <c r="N752" s="317"/>
      <c r="O752" s="318"/>
      <c r="P752" s="397"/>
      <c r="Q752" s="199"/>
      <c r="R752" s="220"/>
      <c r="S752" s="400"/>
      <c r="T752" s="401"/>
      <c r="U752" s="199"/>
      <c r="V752" s="220"/>
      <c r="W752" s="400"/>
      <c r="X752" s="401"/>
      <c r="Y752" s="199"/>
      <c r="Z752" s="220"/>
      <c r="AA752" s="400"/>
      <c r="AB752" s="401"/>
      <c r="AC752" s="199"/>
      <c r="AD752" s="220"/>
      <c r="AE752" s="400"/>
      <c r="AF752" s="401"/>
      <c r="AG752" s="201"/>
      <c r="AH752" s="201"/>
      <c r="AI752" s="201"/>
      <c r="AJ752" s="201"/>
      <c r="AK752" s="397"/>
      <c r="AL752" s="397"/>
      <c r="AM752" s="397"/>
    </row>
    <row r="753">
      <c r="A753" s="316"/>
      <c r="B753" s="317"/>
      <c r="C753" s="318"/>
      <c r="D753" s="397"/>
      <c r="E753" s="316"/>
      <c r="F753" s="317"/>
      <c r="G753" s="318"/>
      <c r="H753" s="397"/>
      <c r="I753" s="316"/>
      <c r="J753" s="317"/>
      <c r="K753" s="318"/>
      <c r="L753" s="397"/>
      <c r="M753" s="316"/>
      <c r="N753" s="317"/>
      <c r="O753" s="318"/>
      <c r="P753" s="397"/>
      <c r="Q753" s="199"/>
      <c r="R753" s="220"/>
      <c r="S753" s="400"/>
      <c r="T753" s="401"/>
      <c r="U753" s="199"/>
      <c r="V753" s="220"/>
      <c r="W753" s="400"/>
      <c r="X753" s="401"/>
      <c r="Y753" s="199"/>
      <c r="Z753" s="220"/>
      <c r="AA753" s="400"/>
      <c r="AB753" s="401"/>
      <c r="AC753" s="199"/>
      <c r="AD753" s="220"/>
      <c r="AE753" s="400"/>
      <c r="AF753" s="401"/>
      <c r="AG753" s="201"/>
      <c r="AH753" s="201"/>
      <c r="AI753" s="201"/>
      <c r="AJ753" s="201"/>
      <c r="AK753" s="397"/>
      <c r="AL753" s="397"/>
      <c r="AM753" s="397"/>
    </row>
    <row r="754">
      <c r="A754" s="316"/>
      <c r="B754" s="317"/>
      <c r="C754" s="318"/>
      <c r="D754" s="397"/>
      <c r="E754" s="316"/>
      <c r="F754" s="317"/>
      <c r="G754" s="318"/>
      <c r="H754" s="397"/>
      <c r="I754" s="316"/>
      <c r="J754" s="317"/>
      <c r="K754" s="318"/>
      <c r="L754" s="397"/>
      <c r="M754" s="316"/>
      <c r="N754" s="317"/>
      <c r="O754" s="318"/>
      <c r="P754" s="397"/>
      <c r="Q754" s="199"/>
      <c r="R754" s="220"/>
      <c r="S754" s="400"/>
      <c r="T754" s="401"/>
      <c r="U754" s="199"/>
      <c r="V754" s="220"/>
      <c r="W754" s="400"/>
      <c r="X754" s="401"/>
      <c r="Y754" s="199"/>
      <c r="Z754" s="220"/>
      <c r="AA754" s="400"/>
      <c r="AB754" s="401"/>
      <c r="AC754" s="199"/>
      <c r="AD754" s="220"/>
      <c r="AE754" s="400"/>
      <c r="AF754" s="401"/>
      <c r="AG754" s="201"/>
      <c r="AH754" s="201"/>
      <c r="AI754" s="201"/>
      <c r="AJ754" s="201"/>
      <c r="AK754" s="397"/>
      <c r="AL754" s="397"/>
      <c r="AM754" s="397"/>
    </row>
    <row r="755">
      <c r="A755" s="316"/>
      <c r="B755" s="317"/>
      <c r="C755" s="318"/>
      <c r="D755" s="397"/>
      <c r="E755" s="316"/>
      <c r="F755" s="317"/>
      <c r="G755" s="318"/>
      <c r="H755" s="397"/>
      <c r="I755" s="316"/>
      <c r="J755" s="317"/>
      <c r="K755" s="318"/>
      <c r="L755" s="397"/>
      <c r="M755" s="316"/>
      <c r="N755" s="317"/>
      <c r="O755" s="318"/>
      <c r="P755" s="397"/>
      <c r="Q755" s="199"/>
      <c r="R755" s="220"/>
      <c r="S755" s="400"/>
      <c r="T755" s="401"/>
      <c r="U755" s="199"/>
      <c r="V755" s="220"/>
      <c r="W755" s="400"/>
      <c r="X755" s="401"/>
      <c r="Y755" s="199"/>
      <c r="Z755" s="220"/>
      <c r="AA755" s="400"/>
      <c r="AB755" s="401"/>
      <c r="AC755" s="199"/>
      <c r="AD755" s="220"/>
      <c r="AE755" s="400"/>
      <c r="AF755" s="401"/>
      <c r="AG755" s="201"/>
      <c r="AH755" s="201"/>
      <c r="AI755" s="201"/>
      <c r="AJ755" s="201"/>
      <c r="AK755" s="397"/>
      <c r="AL755" s="397"/>
      <c r="AM755" s="397"/>
    </row>
    <row r="756">
      <c r="A756" s="316"/>
      <c r="B756" s="317"/>
      <c r="C756" s="318"/>
      <c r="D756" s="397"/>
      <c r="E756" s="316"/>
      <c r="F756" s="317"/>
      <c r="G756" s="318"/>
      <c r="H756" s="397"/>
      <c r="I756" s="316"/>
      <c r="J756" s="317"/>
      <c r="K756" s="318"/>
      <c r="L756" s="397"/>
      <c r="M756" s="316"/>
      <c r="N756" s="317"/>
      <c r="O756" s="318"/>
      <c r="P756" s="397"/>
      <c r="Q756" s="199"/>
      <c r="R756" s="220"/>
      <c r="S756" s="400"/>
      <c r="T756" s="401"/>
      <c r="U756" s="199"/>
      <c r="V756" s="220"/>
      <c r="W756" s="400"/>
      <c r="X756" s="401"/>
      <c r="Y756" s="199"/>
      <c r="Z756" s="220"/>
      <c r="AA756" s="400"/>
      <c r="AB756" s="401"/>
      <c r="AC756" s="199"/>
      <c r="AD756" s="220"/>
      <c r="AE756" s="400"/>
      <c r="AF756" s="401"/>
      <c r="AG756" s="201"/>
      <c r="AH756" s="201"/>
      <c r="AI756" s="201"/>
      <c r="AJ756" s="201"/>
      <c r="AK756" s="397"/>
      <c r="AL756" s="397"/>
      <c r="AM756" s="397"/>
    </row>
    <row r="757">
      <c r="A757" s="316"/>
      <c r="B757" s="317"/>
      <c r="C757" s="318"/>
      <c r="D757" s="397"/>
      <c r="E757" s="316"/>
      <c r="F757" s="317"/>
      <c r="G757" s="318"/>
      <c r="H757" s="397"/>
      <c r="I757" s="316"/>
      <c r="J757" s="317"/>
      <c r="K757" s="318"/>
      <c r="L757" s="397"/>
      <c r="M757" s="316"/>
      <c r="N757" s="317"/>
      <c r="O757" s="318"/>
      <c r="P757" s="397"/>
      <c r="Q757" s="199"/>
      <c r="R757" s="220"/>
      <c r="S757" s="400"/>
      <c r="T757" s="401"/>
      <c r="U757" s="199"/>
      <c r="V757" s="220"/>
      <c r="W757" s="400"/>
      <c r="X757" s="401"/>
      <c r="Y757" s="199"/>
      <c r="Z757" s="220"/>
      <c r="AA757" s="400"/>
      <c r="AB757" s="401"/>
      <c r="AC757" s="199"/>
      <c r="AD757" s="220"/>
      <c r="AE757" s="400"/>
      <c r="AF757" s="401"/>
      <c r="AG757" s="201"/>
      <c r="AH757" s="201"/>
      <c r="AI757" s="201"/>
      <c r="AJ757" s="201"/>
      <c r="AK757" s="397"/>
      <c r="AL757" s="397"/>
      <c r="AM757" s="397"/>
    </row>
    <row r="758">
      <c r="A758" s="316"/>
      <c r="B758" s="317"/>
      <c r="C758" s="318"/>
      <c r="D758" s="397"/>
      <c r="E758" s="316"/>
      <c r="F758" s="317"/>
      <c r="G758" s="318"/>
      <c r="H758" s="397"/>
      <c r="I758" s="316"/>
      <c r="J758" s="317"/>
      <c r="K758" s="318"/>
      <c r="L758" s="397"/>
      <c r="M758" s="316"/>
      <c r="N758" s="317"/>
      <c r="O758" s="318"/>
      <c r="P758" s="397"/>
      <c r="Q758" s="199"/>
      <c r="R758" s="220"/>
      <c r="S758" s="400"/>
      <c r="T758" s="401"/>
      <c r="U758" s="199"/>
      <c r="V758" s="220"/>
      <c r="W758" s="400"/>
      <c r="X758" s="401"/>
      <c r="Y758" s="199"/>
      <c r="Z758" s="220"/>
      <c r="AA758" s="400"/>
      <c r="AB758" s="401"/>
      <c r="AC758" s="199"/>
      <c r="AD758" s="220"/>
      <c r="AE758" s="400"/>
      <c r="AF758" s="401"/>
      <c r="AG758" s="201"/>
      <c r="AH758" s="201"/>
      <c r="AI758" s="201"/>
      <c r="AJ758" s="201"/>
      <c r="AK758" s="397"/>
      <c r="AL758" s="397"/>
      <c r="AM758" s="397"/>
    </row>
    <row r="759">
      <c r="A759" s="316"/>
      <c r="B759" s="317"/>
      <c r="C759" s="318"/>
      <c r="D759" s="397"/>
      <c r="E759" s="316"/>
      <c r="F759" s="317"/>
      <c r="G759" s="318"/>
      <c r="H759" s="397"/>
      <c r="I759" s="316"/>
      <c r="J759" s="317"/>
      <c r="K759" s="318"/>
      <c r="L759" s="397"/>
      <c r="M759" s="316"/>
      <c r="N759" s="317"/>
      <c r="O759" s="318"/>
      <c r="P759" s="397"/>
      <c r="Q759" s="199"/>
      <c r="R759" s="220"/>
      <c r="S759" s="400"/>
      <c r="T759" s="401"/>
      <c r="U759" s="199"/>
      <c r="V759" s="220"/>
      <c r="W759" s="400"/>
      <c r="X759" s="401"/>
      <c r="Y759" s="199"/>
      <c r="Z759" s="220"/>
      <c r="AA759" s="400"/>
      <c r="AB759" s="401"/>
      <c r="AC759" s="199"/>
      <c r="AD759" s="220"/>
      <c r="AE759" s="400"/>
      <c r="AF759" s="401"/>
      <c r="AG759" s="201"/>
      <c r="AH759" s="201"/>
      <c r="AI759" s="201"/>
      <c r="AJ759" s="201"/>
      <c r="AK759" s="397"/>
      <c r="AL759" s="397"/>
      <c r="AM759" s="397"/>
    </row>
    <row r="760">
      <c r="A760" s="316"/>
      <c r="B760" s="317"/>
      <c r="C760" s="318"/>
      <c r="D760" s="397"/>
      <c r="E760" s="316"/>
      <c r="F760" s="317"/>
      <c r="G760" s="318"/>
      <c r="H760" s="397"/>
      <c r="I760" s="316"/>
      <c r="J760" s="317"/>
      <c r="K760" s="318"/>
      <c r="L760" s="397"/>
      <c r="M760" s="316"/>
      <c r="N760" s="317"/>
      <c r="O760" s="318"/>
      <c r="P760" s="397"/>
      <c r="Q760" s="199"/>
      <c r="R760" s="220"/>
      <c r="S760" s="400"/>
      <c r="T760" s="401"/>
      <c r="U760" s="199"/>
      <c r="V760" s="220"/>
      <c r="W760" s="400"/>
      <c r="X760" s="401"/>
      <c r="Y760" s="199"/>
      <c r="Z760" s="220"/>
      <c r="AA760" s="400"/>
      <c r="AB760" s="401"/>
      <c r="AC760" s="199"/>
      <c r="AD760" s="220"/>
      <c r="AE760" s="400"/>
      <c r="AF760" s="401"/>
      <c r="AG760" s="201"/>
      <c r="AH760" s="201"/>
      <c r="AI760" s="201"/>
      <c r="AJ760" s="201"/>
      <c r="AK760" s="397"/>
      <c r="AL760" s="397"/>
      <c r="AM760" s="397"/>
    </row>
    <row r="761">
      <c r="A761" s="316"/>
      <c r="B761" s="317"/>
      <c r="C761" s="318"/>
      <c r="D761" s="397"/>
      <c r="E761" s="316"/>
      <c r="F761" s="317"/>
      <c r="G761" s="318"/>
      <c r="H761" s="397"/>
      <c r="I761" s="316"/>
      <c r="J761" s="317"/>
      <c r="K761" s="318"/>
      <c r="L761" s="397"/>
      <c r="M761" s="316"/>
      <c r="N761" s="317"/>
      <c r="O761" s="318"/>
      <c r="P761" s="397"/>
      <c r="Q761" s="199"/>
      <c r="R761" s="220"/>
      <c r="S761" s="400"/>
      <c r="T761" s="401"/>
      <c r="U761" s="199"/>
      <c r="V761" s="220"/>
      <c r="W761" s="400"/>
      <c r="X761" s="401"/>
      <c r="Y761" s="199"/>
      <c r="Z761" s="220"/>
      <c r="AA761" s="400"/>
      <c r="AB761" s="401"/>
      <c r="AC761" s="199"/>
      <c r="AD761" s="220"/>
      <c r="AE761" s="400"/>
      <c r="AF761" s="401"/>
      <c r="AG761" s="201"/>
      <c r="AH761" s="201"/>
      <c r="AI761" s="201"/>
      <c r="AJ761" s="201"/>
      <c r="AK761" s="397"/>
      <c r="AL761" s="397"/>
      <c r="AM761" s="397"/>
    </row>
    <row r="762">
      <c r="A762" s="316"/>
      <c r="B762" s="317"/>
      <c r="C762" s="318"/>
      <c r="D762" s="397"/>
      <c r="E762" s="316"/>
      <c r="F762" s="317"/>
      <c r="G762" s="318"/>
      <c r="H762" s="397"/>
      <c r="I762" s="316"/>
      <c r="J762" s="317"/>
      <c r="K762" s="318"/>
      <c r="L762" s="397"/>
      <c r="M762" s="316"/>
      <c r="N762" s="317"/>
      <c r="O762" s="318"/>
      <c r="P762" s="397"/>
      <c r="Q762" s="199"/>
      <c r="R762" s="220"/>
      <c r="S762" s="400"/>
      <c r="T762" s="401"/>
      <c r="U762" s="199"/>
      <c r="V762" s="220"/>
      <c r="W762" s="400"/>
      <c r="X762" s="401"/>
      <c r="Y762" s="199"/>
      <c r="Z762" s="220"/>
      <c r="AA762" s="400"/>
      <c r="AB762" s="401"/>
      <c r="AC762" s="199"/>
      <c r="AD762" s="220"/>
      <c r="AE762" s="400"/>
      <c r="AF762" s="401"/>
      <c r="AG762" s="201"/>
      <c r="AH762" s="201"/>
      <c r="AI762" s="201"/>
      <c r="AJ762" s="201"/>
      <c r="AK762" s="397"/>
      <c r="AL762" s="397"/>
      <c r="AM762" s="397"/>
    </row>
    <row r="763">
      <c r="A763" s="316"/>
      <c r="B763" s="317"/>
      <c r="C763" s="318"/>
      <c r="D763" s="397"/>
      <c r="E763" s="316"/>
      <c r="F763" s="317"/>
      <c r="G763" s="318"/>
      <c r="H763" s="397"/>
      <c r="I763" s="316"/>
      <c r="J763" s="317"/>
      <c r="K763" s="318"/>
      <c r="L763" s="397"/>
      <c r="M763" s="316"/>
      <c r="N763" s="317"/>
      <c r="O763" s="318"/>
      <c r="P763" s="397"/>
      <c r="Q763" s="199"/>
      <c r="R763" s="220"/>
      <c r="S763" s="400"/>
      <c r="T763" s="401"/>
      <c r="U763" s="199"/>
      <c r="V763" s="220"/>
      <c r="W763" s="400"/>
      <c r="X763" s="401"/>
      <c r="Y763" s="199"/>
      <c r="Z763" s="220"/>
      <c r="AA763" s="400"/>
      <c r="AB763" s="401"/>
      <c r="AC763" s="199"/>
      <c r="AD763" s="220"/>
      <c r="AE763" s="400"/>
      <c r="AF763" s="401"/>
      <c r="AG763" s="201"/>
      <c r="AH763" s="201"/>
      <c r="AI763" s="201"/>
      <c r="AJ763" s="201"/>
      <c r="AK763" s="397"/>
      <c r="AL763" s="397"/>
      <c r="AM763" s="397"/>
    </row>
    <row r="764">
      <c r="A764" s="316"/>
      <c r="B764" s="317"/>
      <c r="C764" s="318"/>
      <c r="D764" s="397"/>
      <c r="E764" s="316"/>
      <c r="F764" s="317"/>
      <c r="G764" s="318"/>
      <c r="H764" s="397"/>
      <c r="I764" s="316"/>
      <c r="J764" s="317"/>
      <c r="K764" s="318"/>
      <c r="L764" s="397"/>
      <c r="M764" s="316"/>
      <c r="N764" s="317"/>
      <c r="O764" s="318"/>
      <c r="P764" s="397"/>
      <c r="Q764" s="199"/>
      <c r="R764" s="220"/>
      <c r="S764" s="400"/>
      <c r="T764" s="401"/>
      <c r="U764" s="199"/>
      <c r="V764" s="220"/>
      <c r="W764" s="400"/>
      <c r="X764" s="401"/>
      <c r="Y764" s="199"/>
      <c r="Z764" s="220"/>
      <c r="AA764" s="400"/>
      <c r="AB764" s="401"/>
      <c r="AC764" s="199"/>
      <c r="AD764" s="220"/>
      <c r="AE764" s="400"/>
      <c r="AF764" s="401"/>
      <c r="AG764" s="201"/>
      <c r="AH764" s="201"/>
      <c r="AI764" s="201"/>
      <c r="AJ764" s="201"/>
      <c r="AK764" s="397"/>
      <c r="AL764" s="397"/>
      <c r="AM764" s="397"/>
    </row>
    <row r="765">
      <c r="A765" s="316"/>
      <c r="B765" s="317"/>
      <c r="C765" s="318"/>
      <c r="D765" s="397"/>
      <c r="E765" s="316"/>
      <c r="F765" s="317"/>
      <c r="G765" s="318"/>
      <c r="H765" s="397"/>
      <c r="I765" s="316"/>
      <c r="J765" s="317"/>
      <c r="K765" s="318"/>
      <c r="L765" s="397"/>
      <c r="M765" s="316"/>
      <c r="N765" s="317"/>
      <c r="O765" s="318"/>
      <c r="P765" s="397"/>
      <c r="Q765" s="199"/>
      <c r="R765" s="220"/>
      <c r="S765" s="400"/>
      <c r="T765" s="401"/>
      <c r="U765" s="199"/>
      <c r="V765" s="220"/>
      <c r="W765" s="400"/>
      <c r="X765" s="401"/>
      <c r="Y765" s="199"/>
      <c r="Z765" s="220"/>
      <c r="AA765" s="400"/>
      <c r="AB765" s="401"/>
      <c r="AC765" s="199"/>
      <c r="AD765" s="220"/>
      <c r="AE765" s="400"/>
      <c r="AF765" s="401"/>
      <c r="AG765" s="201"/>
      <c r="AH765" s="201"/>
      <c r="AI765" s="201"/>
      <c r="AJ765" s="201"/>
      <c r="AK765" s="397"/>
      <c r="AL765" s="397"/>
      <c r="AM765" s="397"/>
    </row>
    <row r="766">
      <c r="A766" s="316"/>
      <c r="B766" s="317"/>
      <c r="C766" s="318"/>
      <c r="D766" s="397"/>
      <c r="E766" s="316"/>
      <c r="F766" s="317"/>
      <c r="G766" s="318"/>
      <c r="H766" s="397"/>
      <c r="I766" s="316"/>
      <c r="J766" s="317"/>
      <c r="K766" s="318"/>
      <c r="L766" s="397"/>
      <c r="M766" s="316"/>
      <c r="N766" s="317"/>
      <c r="O766" s="318"/>
      <c r="P766" s="397"/>
      <c r="Q766" s="199"/>
      <c r="R766" s="220"/>
      <c r="S766" s="400"/>
      <c r="T766" s="401"/>
      <c r="U766" s="199"/>
      <c r="V766" s="220"/>
      <c r="W766" s="400"/>
      <c r="X766" s="401"/>
      <c r="Y766" s="199"/>
      <c r="Z766" s="220"/>
      <c r="AA766" s="400"/>
      <c r="AB766" s="401"/>
      <c r="AC766" s="199"/>
      <c r="AD766" s="220"/>
      <c r="AE766" s="400"/>
      <c r="AF766" s="401"/>
      <c r="AG766" s="201"/>
      <c r="AH766" s="201"/>
      <c r="AI766" s="201"/>
      <c r="AJ766" s="201"/>
      <c r="AK766" s="397"/>
      <c r="AL766" s="397"/>
      <c r="AM766" s="397"/>
    </row>
    <row r="767">
      <c r="A767" s="316"/>
      <c r="B767" s="317"/>
      <c r="C767" s="318"/>
      <c r="D767" s="397"/>
      <c r="E767" s="316"/>
      <c r="F767" s="317"/>
      <c r="G767" s="318"/>
      <c r="H767" s="397"/>
      <c r="I767" s="316"/>
      <c r="J767" s="317"/>
      <c r="K767" s="318"/>
      <c r="L767" s="397"/>
      <c r="M767" s="316"/>
      <c r="N767" s="317"/>
      <c r="O767" s="318"/>
      <c r="P767" s="397"/>
      <c r="Q767" s="199"/>
      <c r="R767" s="220"/>
      <c r="S767" s="400"/>
      <c r="T767" s="401"/>
      <c r="U767" s="199"/>
      <c r="V767" s="220"/>
      <c r="W767" s="400"/>
      <c r="X767" s="401"/>
      <c r="Y767" s="199"/>
      <c r="Z767" s="220"/>
      <c r="AA767" s="400"/>
      <c r="AB767" s="401"/>
      <c r="AC767" s="199"/>
      <c r="AD767" s="220"/>
      <c r="AE767" s="400"/>
      <c r="AF767" s="401"/>
      <c r="AG767" s="201"/>
      <c r="AH767" s="201"/>
      <c r="AI767" s="201"/>
      <c r="AJ767" s="201"/>
      <c r="AK767" s="397"/>
      <c r="AL767" s="397"/>
      <c r="AM767" s="397"/>
    </row>
    <row r="768">
      <c r="A768" s="316"/>
      <c r="B768" s="317"/>
      <c r="C768" s="318"/>
      <c r="D768" s="397"/>
      <c r="E768" s="316"/>
      <c r="F768" s="317"/>
      <c r="G768" s="318"/>
      <c r="H768" s="397"/>
      <c r="I768" s="316"/>
      <c r="J768" s="317"/>
      <c r="K768" s="318"/>
      <c r="L768" s="397"/>
      <c r="M768" s="316"/>
      <c r="N768" s="317"/>
      <c r="O768" s="318"/>
      <c r="P768" s="397"/>
      <c r="Q768" s="199"/>
      <c r="R768" s="220"/>
      <c r="S768" s="400"/>
      <c r="T768" s="401"/>
      <c r="U768" s="199"/>
      <c r="V768" s="220"/>
      <c r="W768" s="400"/>
      <c r="X768" s="401"/>
      <c r="Y768" s="199"/>
      <c r="Z768" s="220"/>
      <c r="AA768" s="400"/>
      <c r="AB768" s="401"/>
      <c r="AC768" s="199"/>
      <c r="AD768" s="220"/>
      <c r="AE768" s="400"/>
      <c r="AF768" s="401"/>
      <c r="AG768" s="201"/>
      <c r="AH768" s="201"/>
      <c r="AI768" s="201"/>
      <c r="AJ768" s="201"/>
      <c r="AK768" s="397"/>
      <c r="AL768" s="397"/>
      <c r="AM768" s="397"/>
    </row>
    <row r="769">
      <c r="A769" s="316"/>
      <c r="B769" s="317"/>
      <c r="C769" s="318"/>
      <c r="D769" s="397"/>
      <c r="E769" s="316"/>
      <c r="F769" s="317"/>
      <c r="G769" s="318"/>
      <c r="H769" s="397"/>
      <c r="I769" s="316"/>
      <c r="J769" s="317"/>
      <c r="K769" s="318"/>
      <c r="L769" s="397"/>
      <c r="M769" s="316"/>
      <c r="N769" s="317"/>
      <c r="O769" s="318"/>
      <c r="P769" s="397"/>
      <c r="Q769" s="199"/>
      <c r="R769" s="220"/>
      <c r="S769" s="400"/>
      <c r="T769" s="401"/>
      <c r="U769" s="199"/>
      <c r="V769" s="220"/>
      <c r="W769" s="400"/>
      <c r="X769" s="401"/>
      <c r="Y769" s="199"/>
      <c r="Z769" s="220"/>
      <c r="AA769" s="400"/>
      <c r="AB769" s="401"/>
      <c r="AC769" s="199"/>
      <c r="AD769" s="220"/>
      <c r="AE769" s="400"/>
      <c r="AF769" s="401"/>
      <c r="AG769" s="201"/>
      <c r="AH769" s="201"/>
      <c r="AI769" s="201"/>
      <c r="AJ769" s="201"/>
      <c r="AK769" s="397"/>
      <c r="AL769" s="397"/>
      <c r="AM769" s="397"/>
    </row>
    <row r="770">
      <c r="A770" s="316"/>
      <c r="B770" s="317"/>
      <c r="C770" s="318"/>
      <c r="D770" s="397"/>
      <c r="E770" s="316"/>
      <c r="F770" s="317"/>
      <c r="G770" s="318"/>
      <c r="H770" s="397"/>
      <c r="I770" s="316"/>
      <c r="J770" s="317"/>
      <c r="K770" s="318"/>
      <c r="L770" s="397"/>
      <c r="M770" s="316"/>
      <c r="N770" s="317"/>
      <c r="O770" s="318"/>
      <c r="P770" s="397"/>
      <c r="Q770" s="199"/>
      <c r="R770" s="220"/>
      <c r="S770" s="400"/>
      <c r="T770" s="401"/>
      <c r="U770" s="199"/>
      <c r="V770" s="220"/>
      <c r="W770" s="400"/>
      <c r="X770" s="401"/>
      <c r="Y770" s="199"/>
      <c r="Z770" s="220"/>
      <c r="AA770" s="400"/>
      <c r="AB770" s="401"/>
      <c r="AC770" s="199"/>
      <c r="AD770" s="220"/>
      <c r="AE770" s="400"/>
      <c r="AF770" s="401"/>
      <c r="AG770" s="201"/>
      <c r="AH770" s="201"/>
      <c r="AI770" s="201"/>
      <c r="AJ770" s="201"/>
      <c r="AK770" s="397"/>
      <c r="AL770" s="397"/>
      <c r="AM770" s="397"/>
    </row>
    <row r="771">
      <c r="A771" s="316"/>
      <c r="B771" s="317"/>
      <c r="C771" s="318"/>
      <c r="D771" s="397"/>
      <c r="E771" s="316"/>
      <c r="F771" s="317"/>
      <c r="G771" s="318"/>
      <c r="H771" s="397"/>
      <c r="I771" s="316"/>
      <c r="J771" s="317"/>
      <c r="K771" s="318"/>
      <c r="L771" s="397"/>
      <c r="M771" s="316"/>
      <c r="N771" s="317"/>
      <c r="O771" s="318"/>
      <c r="P771" s="397"/>
      <c r="Q771" s="199"/>
      <c r="R771" s="220"/>
      <c r="S771" s="400"/>
      <c r="T771" s="401"/>
      <c r="U771" s="199"/>
      <c r="V771" s="220"/>
      <c r="W771" s="400"/>
      <c r="X771" s="401"/>
      <c r="Y771" s="199"/>
      <c r="Z771" s="220"/>
      <c r="AA771" s="400"/>
      <c r="AB771" s="401"/>
      <c r="AC771" s="199"/>
      <c r="AD771" s="220"/>
      <c r="AE771" s="400"/>
      <c r="AF771" s="401"/>
      <c r="AG771" s="201"/>
      <c r="AH771" s="201"/>
      <c r="AI771" s="201"/>
      <c r="AJ771" s="201"/>
      <c r="AK771" s="397"/>
      <c r="AL771" s="397"/>
      <c r="AM771" s="397"/>
    </row>
    <row r="772">
      <c r="A772" s="316"/>
      <c r="B772" s="317"/>
      <c r="C772" s="318"/>
      <c r="D772" s="397"/>
      <c r="E772" s="316"/>
      <c r="F772" s="317"/>
      <c r="G772" s="318"/>
      <c r="H772" s="397"/>
      <c r="I772" s="316"/>
      <c r="J772" s="317"/>
      <c r="K772" s="318"/>
      <c r="L772" s="397"/>
      <c r="M772" s="316"/>
      <c r="N772" s="317"/>
      <c r="O772" s="318"/>
      <c r="P772" s="397"/>
      <c r="Q772" s="199"/>
      <c r="R772" s="220"/>
      <c r="S772" s="400"/>
      <c r="T772" s="401"/>
      <c r="U772" s="199"/>
      <c r="V772" s="220"/>
      <c r="W772" s="400"/>
      <c r="X772" s="401"/>
      <c r="Y772" s="199"/>
      <c r="Z772" s="220"/>
      <c r="AA772" s="400"/>
      <c r="AB772" s="401"/>
      <c r="AC772" s="199"/>
      <c r="AD772" s="220"/>
      <c r="AE772" s="400"/>
      <c r="AF772" s="401"/>
      <c r="AG772" s="201"/>
      <c r="AH772" s="201"/>
      <c r="AI772" s="201"/>
      <c r="AJ772" s="201"/>
      <c r="AK772" s="397"/>
      <c r="AL772" s="397"/>
      <c r="AM772" s="397"/>
    </row>
    <row r="773">
      <c r="A773" s="316"/>
      <c r="B773" s="317"/>
      <c r="C773" s="318"/>
      <c r="D773" s="397"/>
      <c r="E773" s="316"/>
      <c r="F773" s="317"/>
      <c r="G773" s="318"/>
      <c r="H773" s="397"/>
      <c r="I773" s="316"/>
      <c r="J773" s="317"/>
      <c r="K773" s="318"/>
      <c r="L773" s="397"/>
      <c r="M773" s="316"/>
      <c r="N773" s="317"/>
      <c r="O773" s="318"/>
      <c r="P773" s="397"/>
      <c r="Q773" s="199"/>
      <c r="R773" s="220"/>
      <c r="S773" s="400"/>
      <c r="T773" s="401"/>
      <c r="U773" s="199"/>
      <c r="V773" s="220"/>
      <c r="W773" s="400"/>
      <c r="X773" s="401"/>
      <c r="Y773" s="199"/>
      <c r="Z773" s="220"/>
      <c r="AA773" s="400"/>
      <c r="AB773" s="401"/>
      <c r="AC773" s="199"/>
      <c r="AD773" s="220"/>
      <c r="AE773" s="400"/>
      <c r="AF773" s="401"/>
      <c r="AG773" s="201"/>
      <c r="AH773" s="201"/>
      <c r="AI773" s="201"/>
      <c r="AJ773" s="201"/>
      <c r="AK773" s="397"/>
      <c r="AL773" s="397"/>
      <c r="AM773" s="397"/>
    </row>
    <row r="774">
      <c r="A774" s="316"/>
      <c r="B774" s="317"/>
      <c r="C774" s="318"/>
      <c r="D774" s="397"/>
      <c r="E774" s="316"/>
      <c r="F774" s="317"/>
      <c r="G774" s="318"/>
      <c r="H774" s="397"/>
      <c r="I774" s="316"/>
      <c r="J774" s="317"/>
      <c r="K774" s="318"/>
      <c r="L774" s="397"/>
      <c r="M774" s="316"/>
      <c r="N774" s="317"/>
      <c r="O774" s="318"/>
      <c r="P774" s="397"/>
      <c r="Q774" s="199"/>
      <c r="R774" s="220"/>
      <c r="S774" s="400"/>
      <c r="T774" s="401"/>
      <c r="U774" s="199"/>
      <c r="V774" s="220"/>
      <c r="W774" s="400"/>
      <c r="X774" s="401"/>
      <c r="Y774" s="199"/>
      <c r="Z774" s="220"/>
      <c r="AA774" s="400"/>
      <c r="AB774" s="401"/>
      <c r="AC774" s="199"/>
      <c r="AD774" s="220"/>
      <c r="AE774" s="400"/>
      <c r="AF774" s="401"/>
      <c r="AG774" s="201"/>
      <c r="AH774" s="201"/>
      <c r="AI774" s="201"/>
      <c r="AJ774" s="201"/>
      <c r="AK774" s="397"/>
      <c r="AL774" s="397"/>
      <c r="AM774" s="397"/>
    </row>
    <row r="775">
      <c r="A775" s="316"/>
      <c r="B775" s="317"/>
      <c r="C775" s="318"/>
      <c r="D775" s="397"/>
      <c r="E775" s="316"/>
      <c r="F775" s="317"/>
      <c r="G775" s="318"/>
      <c r="H775" s="397"/>
      <c r="I775" s="316"/>
      <c r="J775" s="317"/>
      <c r="K775" s="318"/>
      <c r="L775" s="397"/>
      <c r="M775" s="316"/>
      <c r="N775" s="317"/>
      <c r="O775" s="318"/>
      <c r="P775" s="397"/>
      <c r="Q775" s="199"/>
      <c r="R775" s="220"/>
      <c r="S775" s="400"/>
      <c r="T775" s="401"/>
      <c r="U775" s="199"/>
      <c r="V775" s="220"/>
      <c r="W775" s="400"/>
      <c r="X775" s="401"/>
      <c r="Y775" s="199"/>
      <c r="Z775" s="220"/>
      <c r="AA775" s="400"/>
      <c r="AB775" s="401"/>
      <c r="AC775" s="199"/>
      <c r="AD775" s="220"/>
      <c r="AE775" s="400"/>
      <c r="AF775" s="401"/>
      <c r="AG775" s="201"/>
      <c r="AH775" s="201"/>
      <c r="AI775" s="201"/>
      <c r="AJ775" s="201"/>
      <c r="AK775" s="397"/>
      <c r="AL775" s="397"/>
      <c r="AM775" s="397"/>
    </row>
    <row r="776">
      <c r="A776" s="316"/>
      <c r="B776" s="317"/>
      <c r="C776" s="318"/>
      <c r="D776" s="397"/>
      <c r="E776" s="316"/>
      <c r="F776" s="317"/>
      <c r="G776" s="318"/>
      <c r="H776" s="397"/>
      <c r="I776" s="316"/>
      <c r="J776" s="317"/>
      <c r="K776" s="318"/>
      <c r="L776" s="397"/>
      <c r="M776" s="316"/>
      <c r="N776" s="317"/>
      <c r="O776" s="318"/>
      <c r="P776" s="397"/>
      <c r="Q776" s="199"/>
      <c r="R776" s="220"/>
      <c r="S776" s="400"/>
      <c r="T776" s="401"/>
      <c r="U776" s="199"/>
      <c r="V776" s="220"/>
      <c r="W776" s="400"/>
      <c r="X776" s="401"/>
      <c r="Y776" s="199"/>
      <c r="Z776" s="220"/>
      <c r="AA776" s="400"/>
      <c r="AB776" s="401"/>
      <c r="AC776" s="199"/>
      <c r="AD776" s="220"/>
      <c r="AE776" s="400"/>
      <c r="AF776" s="401"/>
      <c r="AG776" s="201"/>
      <c r="AH776" s="201"/>
      <c r="AI776" s="201"/>
      <c r="AJ776" s="201"/>
      <c r="AK776" s="397"/>
      <c r="AL776" s="397"/>
      <c r="AM776" s="397"/>
    </row>
    <row r="777">
      <c r="A777" s="316"/>
      <c r="B777" s="317"/>
      <c r="C777" s="318"/>
      <c r="D777" s="397"/>
      <c r="E777" s="316"/>
      <c r="F777" s="317"/>
      <c r="G777" s="318"/>
      <c r="H777" s="397"/>
      <c r="I777" s="316"/>
      <c r="J777" s="317"/>
      <c r="K777" s="318"/>
      <c r="L777" s="397"/>
      <c r="M777" s="316"/>
      <c r="N777" s="317"/>
      <c r="O777" s="318"/>
      <c r="P777" s="397"/>
      <c r="Q777" s="199"/>
      <c r="R777" s="220"/>
      <c r="S777" s="400"/>
      <c r="T777" s="401"/>
      <c r="U777" s="199"/>
      <c r="V777" s="220"/>
      <c r="W777" s="400"/>
      <c r="X777" s="401"/>
      <c r="Y777" s="199"/>
      <c r="Z777" s="220"/>
      <c r="AA777" s="400"/>
      <c r="AB777" s="401"/>
      <c r="AC777" s="199"/>
      <c r="AD777" s="220"/>
      <c r="AE777" s="400"/>
      <c r="AF777" s="401"/>
      <c r="AG777" s="201"/>
      <c r="AH777" s="201"/>
      <c r="AI777" s="201"/>
      <c r="AJ777" s="201"/>
      <c r="AK777" s="397"/>
      <c r="AL777" s="397"/>
      <c r="AM777" s="397"/>
    </row>
    <row r="778">
      <c r="A778" s="316"/>
      <c r="B778" s="317"/>
      <c r="C778" s="318"/>
      <c r="D778" s="397"/>
      <c r="E778" s="316"/>
      <c r="F778" s="317"/>
      <c r="G778" s="318"/>
      <c r="H778" s="397"/>
      <c r="I778" s="316"/>
      <c r="J778" s="317"/>
      <c r="K778" s="318"/>
      <c r="L778" s="397"/>
      <c r="M778" s="316"/>
      <c r="N778" s="317"/>
      <c r="O778" s="318"/>
      <c r="P778" s="397"/>
      <c r="Q778" s="199"/>
      <c r="R778" s="220"/>
      <c r="S778" s="400"/>
      <c r="T778" s="401"/>
      <c r="U778" s="199"/>
      <c r="V778" s="220"/>
      <c r="W778" s="400"/>
      <c r="X778" s="401"/>
      <c r="Y778" s="199"/>
      <c r="Z778" s="220"/>
      <c r="AA778" s="400"/>
      <c r="AB778" s="401"/>
      <c r="AC778" s="199"/>
      <c r="AD778" s="220"/>
      <c r="AE778" s="400"/>
      <c r="AF778" s="401"/>
      <c r="AG778" s="201"/>
      <c r="AH778" s="201"/>
      <c r="AI778" s="201"/>
      <c r="AJ778" s="201"/>
      <c r="AK778" s="397"/>
      <c r="AL778" s="397"/>
      <c r="AM778" s="397"/>
    </row>
    <row r="779">
      <c r="A779" s="316"/>
      <c r="B779" s="317"/>
      <c r="C779" s="318"/>
      <c r="D779" s="397"/>
      <c r="E779" s="316"/>
      <c r="F779" s="317"/>
      <c r="G779" s="318"/>
      <c r="H779" s="397"/>
      <c r="I779" s="316"/>
      <c r="J779" s="317"/>
      <c r="K779" s="318"/>
      <c r="L779" s="397"/>
      <c r="M779" s="316"/>
      <c r="N779" s="317"/>
      <c r="O779" s="318"/>
      <c r="P779" s="397"/>
      <c r="Q779" s="199"/>
      <c r="R779" s="220"/>
      <c r="S779" s="400"/>
      <c r="T779" s="401"/>
      <c r="U779" s="199"/>
      <c r="V779" s="220"/>
      <c r="W779" s="400"/>
      <c r="X779" s="401"/>
      <c r="Y779" s="199"/>
      <c r="Z779" s="220"/>
      <c r="AA779" s="400"/>
      <c r="AB779" s="401"/>
      <c r="AC779" s="199"/>
      <c r="AD779" s="220"/>
      <c r="AE779" s="400"/>
      <c r="AF779" s="401"/>
      <c r="AG779" s="201"/>
      <c r="AH779" s="201"/>
      <c r="AI779" s="201"/>
      <c r="AJ779" s="201"/>
      <c r="AK779" s="397"/>
      <c r="AL779" s="397"/>
      <c r="AM779" s="397"/>
    </row>
    <row r="780">
      <c r="A780" s="316"/>
      <c r="B780" s="317"/>
      <c r="C780" s="318"/>
      <c r="D780" s="397"/>
      <c r="E780" s="316"/>
      <c r="F780" s="317"/>
      <c r="G780" s="318"/>
      <c r="H780" s="397"/>
      <c r="I780" s="316"/>
      <c r="J780" s="317"/>
      <c r="K780" s="318"/>
      <c r="L780" s="397"/>
      <c r="M780" s="316"/>
      <c r="N780" s="317"/>
      <c r="O780" s="318"/>
      <c r="P780" s="397"/>
      <c r="Q780" s="199"/>
      <c r="R780" s="220"/>
      <c r="S780" s="400"/>
      <c r="T780" s="401"/>
      <c r="U780" s="199"/>
      <c r="V780" s="220"/>
      <c r="W780" s="400"/>
      <c r="X780" s="401"/>
      <c r="Y780" s="199"/>
      <c r="Z780" s="220"/>
      <c r="AA780" s="400"/>
      <c r="AB780" s="401"/>
      <c r="AC780" s="199"/>
      <c r="AD780" s="220"/>
      <c r="AE780" s="400"/>
      <c r="AF780" s="401"/>
      <c r="AG780" s="201"/>
      <c r="AH780" s="201"/>
      <c r="AI780" s="201"/>
      <c r="AJ780" s="201"/>
      <c r="AK780" s="397"/>
      <c r="AL780" s="397"/>
      <c r="AM780" s="397"/>
    </row>
    <row r="781">
      <c r="A781" s="316"/>
      <c r="B781" s="317"/>
      <c r="C781" s="318"/>
      <c r="D781" s="397"/>
      <c r="E781" s="316"/>
      <c r="F781" s="317"/>
      <c r="G781" s="318"/>
      <c r="H781" s="397"/>
      <c r="I781" s="316"/>
      <c r="J781" s="317"/>
      <c r="K781" s="318"/>
      <c r="L781" s="397"/>
      <c r="M781" s="316"/>
      <c r="N781" s="317"/>
      <c r="O781" s="318"/>
      <c r="P781" s="397"/>
      <c r="Q781" s="199"/>
      <c r="R781" s="220"/>
      <c r="S781" s="400"/>
      <c r="T781" s="401"/>
      <c r="U781" s="199"/>
      <c r="V781" s="220"/>
      <c r="W781" s="400"/>
      <c r="X781" s="401"/>
      <c r="Y781" s="199"/>
      <c r="Z781" s="220"/>
      <c r="AA781" s="400"/>
      <c r="AB781" s="401"/>
      <c r="AC781" s="199"/>
      <c r="AD781" s="220"/>
      <c r="AE781" s="400"/>
      <c r="AF781" s="401"/>
      <c r="AG781" s="201"/>
      <c r="AH781" s="201"/>
      <c r="AI781" s="201"/>
      <c r="AJ781" s="201"/>
      <c r="AK781" s="397"/>
      <c r="AL781" s="397"/>
      <c r="AM781" s="397"/>
    </row>
    <row r="782">
      <c r="A782" s="316"/>
      <c r="B782" s="317"/>
      <c r="C782" s="318"/>
      <c r="D782" s="397"/>
      <c r="E782" s="316"/>
      <c r="F782" s="317"/>
      <c r="G782" s="318"/>
      <c r="H782" s="397"/>
      <c r="I782" s="316"/>
      <c r="J782" s="317"/>
      <c r="K782" s="318"/>
      <c r="L782" s="397"/>
      <c r="M782" s="316"/>
      <c r="N782" s="317"/>
      <c r="O782" s="318"/>
      <c r="P782" s="397"/>
      <c r="Q782" s="199"/>
      <c r="R782" s="220"/>
      <c r="S782" s="400"/>
      <c r="T782" s="401"/>
      <c r="U782" s="199"/>
      <c r="V782" s="220"/>
      <c r="W782" s="400"/>
      <c r="X782" s="401"/>
      <c r="Y782" s="199"/>
      <c r="Z782" s="220"/>
      <c r="AA782" s="400"/>
      <c r="AB782" s="401"/>
      <c r="AC782" s="199"/>
      <c r="AD782" s="220"/>
      <c r="AE782" s="400"/>
      <c r="AF782" s="401"/>
      <c r="AG782" s="201"/>
      <c r="AH782" s="201"/>
      <c r="AI782" s="201"/>
      <c r="AJ782" s="201"/>
      <c r="AK782" s="397"/>
      <c r="AL782" s="397"/>
      <c r="AM782" s="397"/>
    </row>
    <row r="783">
      <c r="A783" s="316"/>
      <c r="B783" s="317"/>
      <c r="C783" s="318"/>
      <c r="D783" s="397"/>
      <c r="E783" s="316"/>
      <c r="F783" s="317"/>
      <c r="G783" s="318"/>
      <c r="H783" s="397"/>
      <c r="I783" s="316"/>
      <c r="J783" s="317"/>
      <c r="K783" s="318"/>
      <c r="L783" s="397"/>
      <c r="M783" s="316"/>
      <c r="N783" s="317"/>
      <c r="O783" s="318"/>
      <c r="P783" s="397"/>
      <c r="Q783" s="199"/>
      <c r="R783" s="220"/>
      <c r="S783" s="400"/>
      <c r="T783" s="401"/>
      <c r="U783" s="199"/>
      <c r="V783" s="220"/>
      <c r="W783" s="400"/>
      <c r="X783" s="401"/>
      <c r="Y783" s="199"/>
      <c r="Z783" s="220"/>
      <c r="AA783" s="400"/>
      <c r="AB783" s="401"/>
      <c r="AC783" s="199"/>
      <c r="AD783" s="220"/>
      <c r="AE783" s="400"/>
      <c r="AF783" s="401"/>
      <c r="AG783" s="201"/>
      <c r="AH783" s="201"/>
      <c r="AI783" s="201"/>
      <c r="AJ783" s="201"/>
      <c r="AK783" s="397"/>
      <c r="AL783" s="397"/>
      <c r="AM783" s="397"/>
    </row>
    <row r="784">
      <c r="A784" s="316"/>
      <c r="B784" s="317"/>
      <c r="C784" s="318"/>
      <c r="D784" s="397"/>
      <c r="E784" s="316"/>
      <c r="F784" s="317"/>
      <c r="G784" s="318"/>
      <c r="H784" s="397"/>
      <c r="I784" s="316"/>
      <c r="J784" s="317"/>
      <c r="K784" s="318"/>
      <c r="L784" s="397"/>
      <c r="M784" s="316"/>
      <c r="N784" s="317"/>
      <c r="O784" s="318"/>
      <c r="P784" s="397"/>
      <c r="Q784" s="199"/>
      <c r="R784" s="220"/>
      <c r="S784" s="400"/>
      <c r="T784" s="401"/>
      <c r="U784" s="199"/>
      <c r="V784" s="220"/>
      <c r="W784" s="400"/>
      <c r="X784" s="401"/>
      <c r="Y784" s="199"/>
      <c r="Z784" s="220"/>
      <c r="AA784" s="400"/>
      <c r="AB784" s="401"/>
      <c r="AC784" s="199"/>
      <c r="AD784" s="220"/>
      <c r="AE784" s="400"/>
      <c r="AF784" s="401"/>
      <c r="AG784" s="201"/>
      <c r="AH784" s="201"/>
      <c r="AI784" s="201"/>
      <c r="AJ784" s="201"/>
      <c r="AK784" s="397"/>
      <c r="AL784" s="397"/>
      <c r="AM784" s="397"/>
    </row>
    <row r="785">
      <c r="A785" s="316"/>
      <c r="B785" s="317"/>
      <c r="C785" s="318"/>
      <c r="D785" s="397"/>
      <c r="E785" s="316"/>
      <c r="F785" s="317"/>
      <c r="G785" s="318"/>
      <c r="H785" s="397"/>
      <c r="I785" s="316"/>
      <c r="J785" s="317"/>
      <c r="K785" s="318"/>
      <c r="L785" s="397"/>
      <c r="M785" s="316"/>
      <c r="N785" s="317"/>
      <c r="O785" s="318"/>
      <c r="P785" s="397"/>
      <c r="Q785" s="199"/>
      <c r="R785" s="220"/>
      <c r="S785" s="400"/>
      <c r="T785" s="401"/>
      <c r="U785" s="199"/>
      <c r="V785" s="220"/>
      <c r="W785" s="400"/>
      <c r="X785" s="401"/>
      <c r="Y785" s="199"/>
      <c r="Z785" s="220"/>
      <c r="AA785" s="400"/>
      <c r="AB785" s="401"/>
      <c r="AC785" s="199"/>
      <c r="AD785" s="220"/>
      <c r="AE785" s="400"/>
      <c r="AF785" s="401"/>
      <c r="AG785" s="201"/>
      <c r="AH785" s="201"/>
      <c r="AI785" s="201"/>
      <c r="AJ785" s="201"/>
      <c r="AK785" s="397"/>
      <c r="AL785" s="397"/>
      <c r="AM785" s="397"/>
    </row>
    <row r="786">
      <c r="A786" s="316"/>
      <c r="B786" s="317"/>
      <c r="C786" s="318"/>
      <c r="D786" s="397"/>
      <c r="E786" s="316"/>
      <c r="F786" s="317"/>
      <c r="G786" s="318"/>
      <c r="H786" s="397"/>
      <c r="I786" s="316"/>
      <c r="J786" s="317"/>
      <c r="K786" s="318"/>
      <c r="L786" s="397"/>
      <c r="M786" s="316"/>
      <c r="N786" s="317"/>
      <c r="O786" s="318"/>
      <c r="P786" s="397"/>
      <c r="Q786" s="199"/>
      <c r="R786" s="220"/>
      <c r="S786" s="400"/>
      <c r="T786" s="401"/>
      <c r="U786" s="199"/>
      <c r="V786" s="220"/>
      <c r="W786" s="400"/>
      <c r="X786" s="401"/>
      <c r="Y786" s="199"/>
      <c r="Z786" s="220"/>
      <c r="AA786" s="400"/>
      <c r="AB786" s="401"/>
      <c r="AC786" s="199"/>
      <c r="AD786" s="220"/>
      <c r="AE786" s="400"/>
      <c r="AF786" s="401"/>
      <c r="AG786" s="201"/>
      <c r="AH786" s="201"/>
      <c r="AI786" s="201"/>
      <c r="AJ786" s="201"/>
      <c r="AK786" s="397"/>
      <c r="AL786" s="397"/>
      <c r="AM786" s="397"/>
    </row>
    <row r="787">
      <c r="A787" s="316"/>
      <c r="B787" s="317"/>
      <c r="C787" s="318"/>
      <c r="D787" s="397"/>
      <c r="E787" s="316"/>
      <c r="F787" s="317"/>
      <c r="G787" s="318"/>
      <c r="H787" s="397"/>
      <c r="I787" s="316"/>
      <c r="J787" s="317"/>
      <c r="K787" s="318"/>
      <c r="L787" s="397"/>
      <c r="M787" s="316"/>
      <c r="N787" s="317"/>
      <c r="O787" s="318"/>
      <c r="P787" s="397"/>
      <c r="Q787" s="199"/>
      <c r="R787" s="220"/>
      <c r="S787" s="400"/>
      <c r="T787" s="401"/>
      <c r="U787" s="199"/>
      <c r="V787" s="220"/>
      <c r="W787" s="400"/>
      <c r="X787" s="401"/>
      <c r="Y787" s="199"/>
      <c r="Z787" s="220"/>
      <c r="AA787" s="400"/>
      <c r="AB787" s="401"/>
      <c r="AC787" s="199"/>
      <c r="AD787" s="220"/>
      <c r="AE787" s="400"/>
      <c r="AF787" s="401"/>
      <c r="AG787" s="201"/>
      <c r="AH787" s="201"/>
      <c r="AI787" s="201"/>
      <c r="AJ787" s="201"/>
      <c r="AK787" s="397"/>
      <c r="AL787" s="397"/>
      <c r="AM787" s="397"/>
    </row>
    <row r="788">
      <c r="A788" s="316"/>
      <c r="B788" s="317"/>
      <c r="C788" s="318"/>
      <c r="D788" s="397"/>
      <c r="E788" s="316"/>
      <c r="F788" s="317"/>
      <c r="G788" s="318"/>
      <c r="H788" s="397"/>
      <c r="I788" s="316"/>
      <c r="J788" s="317"/>
      <c r="K788" s="318"/>
      <c r="L788" s="397"/>
      <c r="M788" s="316"/>
      <c r="N788" s="317"/>
      <c r="O788" s="318"/>
      <c r="P788" s="397"/>
      <c r="Q788" s="199"/>
      <c r="R788" s="220"/>
      <c r="S788" s="400"/>
      <c r="T788" s="401"/>
      <c r="U788" s="199"/>
      <c r="V788" s="220"/>
      <c r="W788" s="400"/>
      <c r="X788" s="401"/>
      <c r="Y788" s="199"/>
      <c r="Z788" s="220"/>
      <c r="AA788" s="400"/>
      <c r="AB788" s="401"/>
      <c r="AC788" s="199"/>
      <c r="AD788" s="220"/>
      <c r="AE788" s="400"/>
      <c r="AF788" s="401"/>
      <c r="AG788" s="201"/>
      <c r="AH788" s="201"/>
      <c r="AI788" s="201"/>
      <c r="AJ788" s="201"/>
      <c r="AK788" s="397"/>
      <c r="AL788" s="397"/>
      <c r="AM788" s="397"/>
    </row>
    <row r="789">
      <c r="A789" s="316"/>
      <c r="B789" s="317"/>
      <c r="C789" s="318"/>
      <c r="D789" s="397"/>
      <c r="E789" s="316"/>
      <c r="F789" s="317"/>
      <c r="G789" s="318"/>
      <c r="H789" s="397"/>
      <c r="I789" s="316"/>
      <c r="J789" s="317"/>
      <c r="K789" s="318"/>
      <c r="L789" s="397"/>
      <c r="M789" s="316"/>
      <c r="N789" s="317"/>
      <c r="O789" s="318"/>
      <c r="P789" s="397"/>
      <c r="Q789" s="199"/>
      <c r="R789" s="220"/>
      <c r="S789" s="400"/>
      <c r="T789" s="401"/>
      <c r="U789" s="199"/>
      <c r="V789" s="220"/>
      <c r="W789" s="400"/>
      <c r="X789" s="401"/>
      <c r="Y789" s="199"/>
      <c r="Z789" s="220"/>
      <c r="AA789" s="400"/>
      <c r="AB789" s="401"/>
      <c r="AC789" s="199"/>
      <c r="AD789" s="220"/>
      <c r="AE789" s="400"/>
      <c r="AF789" s="401"/>
      <c r="AG789" s="201"/>
      <c r="AH789" s="201"/>
      <c r="AI789" s="201"/>
      <c r="AJ789" s="201"/>
      <c r="AK789" s="397"/>
      <c r="AL789" s="397"/>
      <c r="AM789" s="397"/>
    </row>
    <row r="790">
      <c r="A790" s="316"/>
      <c r="B790" s="317"/>
      <c r="C790" s="318"/>
      <c r="D790" s="397"/>
      <c r="E790" s="316"/>
      <c r="F790" s="317"/>
      <c r="G790" s="318"/>
      <c r="H790" s="397"/>
      <c r="I790" s="316"/>
      <c r="J790" s="317"/>
      <c r="K790" s="318"/>
      <c r="L790" s="397"/>
      <c r="M790" s="316"/>
      <c r="N790" s="317"/>
      <c r="O790" s="318"/>
      <c r="P790" s="397"/>
      <c r="Q790" s="199"/>
      <c r="R790" s="220"/>
      <c r="S790" s="400"/>
      <c r="T790" s="401"/>
      <c r="U790" s="199"/>
      <c r="V790" s="220"/>
      <c r="W790" s="400"/>
      <c r="X790" s="401"/>
      <c r="Y790" s="199"/>
      <c r="Z790" s="220"/>
      <c r="AA790" s="400"/>
      <c r="AB790" s="401"/>
      <c r="AC790" s="199"/>
      <c r="AD790" s="220"/>
      <c r="AE790" s="400"/>
      <c r="AF790" s="401"/>
      <c r="AG790" s="201"/>
      <c r="AH790" s="201"/>
      <c r="AI790" s="201"/>
      <c r="AJ790" s="201"/>
      <c r="AK790" s="397"/>
      <c r="AL790" s="397"/>
      <c r="AM790" s="397"/>
    </row>
    <row r="791">
      <c r="A791" s="316"/>
      <c r="B791" s="317"/>
      <c r="C791" s="318"/>
      <c r="D791" s="397"/>
      <c r="E791" s="316"/>
      <c r="F791" s="317"/>
      <c r="G791" s="318"/>
      <c r="H791" s="397"/>
      <c r="I791" s="316"/>
      <c r="J791" s="317"/>
      <c r="K791" s="318"/>
      <c r="L791" s="397"/>
      <c r="M791" s="316"/>
      <c r="N791" s="317"/>
      <c r="O791" s="318"/>
      <c r="P791" s="397"/>
      <c r="Q791" s="199"/>
      <c r="R791" s="220"/>
      <c r="S791" s="400"/>
      <c r="T791" s="401"/>
      <c r="U791" s="199"/>
      <c r="V791" s="220"/>
      <c r="W791" s="400"/>
      <c r="X791" s="401"/>
      <c r="Y791" s="199"/>
      <c r="Z791" s="220"/>
      <c r="AA791" s="400"/>
      <c r="AB791" s="401"/>
      <c r="AC791" s="199"/>
      <c r="AD791" s="220"/>
      <c r="AE791" s="400"/>
      <c r="AF791" s="401"/>
      <c r="AG791" s="201"/>
      <c r="AH791" s="201"/>
      <c r="AI791" s="201"/>
      <c r="AJ791" s="201"/>
      <c r="AK791" s="397"/>
      <c r="AL791" s="397"/>
      <c r="AM791" s="397"/>
    </row>
    <row r="792">
      <c r="A792" s="316"/>
      <c r="B792" s="317"/>
      <c r="C792" s="318"/>
      <c r="D792" s="397"/>
      <c r="E792" s="316"/>
      <c r="F792" s="317"/>
      <c r="G792" s="318"/>
      <c r="H792" s="397"/>
      <c r="I792" s="316"/>
      <c r="J792" s="317"/>
      <c r="K792" s="318"/>
      <c r="L792" s="397"/>
      <c r="M792" s="316"/>
      <c r="N792" s="317"/>
      <c r="O792" s="318"/>
      <c r="P792" s="397"/>
      <c r="Q792" s="199"/>
      <c r="R792" s="220"/>
      <c r="S792" s="400"/>
      <c r="T792" s="401"/>
      <c r="U792" s="199"/>
      <c r="V792" s="220"/>
      <c r="W792" s="400"/>
      <c r="X792" s="401"/>
      <c r="Y792" s="199"/>
      <c r="Z792" s="220"/>
      <c r="AA792" s="400"/>
      <c r="AB792" s="401"/>
      <c r="AC792" s="199"/>
      <c r="AD792" s="220"/>
      <c r="AE792" s="400"/>
      <c r="AF792" s="401"/>
      <c r="AG792" s="201"/>
      <c r="AH792" s="201"/>
      <c r="AI792" s="201"/>
      <c r="AJ792" s="201"/>
      <c r="AK792" s="397"/>
      <c r="AL792" s="397"/>
      <c r="AM792" s="397"/>
    </row>
    <row r="793">
      <c r="A793" s="316"/>
      <c r="B793" s="317"/>
      <c r="C793" s="318"/>
      <c r="D793" s="397"/>
      <c r="E793" s="316"/>
      <c r="F793" s="317"/>
      <c r="G793" s="318"/>
      <c r="H793" s="397"/>
      <c r="I793" s="316"/>
      <c r="J793" s="317"/>
      <c r="K793" s="318"/>
      <c r="L793" s="397"/>
      <c r="M793" s="316"/>
      <c r="N793" s="317"/>
      <c r="O793" s="318"/>
      <c r="P793" s="397"/>
      <c r="Q793" s="199"/>
      <c r="R793" s="220"/>
      <c r="S793" s="400"/>
      <c r="T793" s="401"/>
      <c r="U793" s="199"/>
      <c r="V793" s="220"/>
      <c r="W793" s="400"/>
      <c r="X793" s="401"/>
      <c r="Y793" s="199"/>
      <c r="Z793" s="220"/>
      <c r="AA793" s="400"/>
      <c r="AB793" s="401"/>
      <c r="AC793" s="199"/>
      <c r="AD793" s="220"/>
      <c r="AE793" s="400"/>
      <c r="AF793" s="401"/>
      <c r="AG793" s="201"/>
      <c r="AH793" s="201"/>
      <c r="AI793" s="201"/>
      <c r="AJ793" s="201"/>
      <c r="AK793" s="397"/>
      <c r="AL793" s="397"/>
      <c r="AM793" s="397"/>
    </row>
    <row r="794">
      <c r="A794" s="316"/>
      <c r="B794" s="317"/>
      <c r="C794" s="318"/>
      <c r="D794" s="397"/>
      <c r="E794" s="316"/>
      <c r="F794" s="317"/>
      <c r="G794" s="318"/>
      <c r="H794" s="397"/>
      <c r="I794" s="316"/>
      <c r="J794" s="317"/>
      <c r="K794" s="318"/>
      <c r="L794" s="397"/>
      <c r="M794" s="316"/>
      <c r="N794" s="317"/>
      <c r="O794" s="318"/>
      <c r="P794" s="397"/>
      <c r="Q794" s="199"/>
      <c r="R794" s="220"/>
      <c r="S794" s="400"/>
      <c r="T794" s="401"/>
      <c r="U794" s="199"/>
      <c r="V794" s="220"/>
      <c r="W794" s="400"/>
      <c r="X794" s="401"/>
      <c r="Y794" s="199"/>
      <c r="Z794" s="220"/>
      <c r="AA794" s="400"/>
      <c r="AB794" s="401"/>
      <c r="AC794" s="199"/>
      <c r="AD794" s="220"/>
      <c r="AE794" s="400"/>
      <c r="AF794" s="401"/>
      <c r="AG794" s="201"/>
      <c r="AH794" s="201"/>
      <c r="AI794" s="201"/>
      <c r="AJ794" s="201"/>
      <c r="AK794" s="397"/>
      <c r="AL794" s="397"/>
      <c r="AM794" s="397"/>
    </row>
    <row r="795">
      <c r="A795" s="316"/>
      <c r="B795" s="317"/>
      <c r="C795" s="318"/>
      <c r="D795" s="397"/>
      <c r="E795" s="316"/>
      <c r="F795" s="317"/>
      <c r="G795" s="318"/>
      <c r="H795" s="397"/>
      <c r="I795" s="316"/>
      <c r="J795" s="317"/>
      <c r="K795" s="318"/>
      <c r="L795" s="397"/>
      <c r="M795" s="316"/>
      <c r="N795" s="317"/>
      <c r="O795" s="318"/>
      <c r="P795" s="397"/>
      <c r="Q795" s="199"/>
      <c r="R795" s="220"/>
      <c r="S795" s="400"/>
      <c r="T795" s="401"/>
      <c r="U795" s="199"/>
      <c r="V795" s="220"/>
      <c r="W795" s="400"/>
      <c r="X795" s="401"/>
      <c r="Y795" s="199"/>
      <c r="Z795" s="220"/>
      <c r="AA795" s="400"/>
      <c r="AB795" s="401"/>
      <c r="AC795" s="199"/>
      <c r="AD795" s="220"/>
      <c r="AE795" s="400"/>
      <c r="AF795" s="401"/>
      <c r="AG795" s="201"/>
      <c r="AH795" s="201"/>
      <c r="AI795" s="201"/>
      <c r="AJ795" s="201"/>
      <c r="AK795" s="397"/>
      <c r="AL795" s="397"/>
      <c r="AM795" s="397"/>
    </row>
    <row r="796">
      <c r="A796" s="316"/>
      <c r="B796" s="317"/>
      <c r="C796" s="318"/>
      <c r="D796" s="397"/>
      <c r="E796" s="316"/>
      <c r="F796" s="317"/>
      <c r="G796" s="318"/>
      <c r="H796" s="397"/>
      <c r="I796" s="316"/>
      <c r="J796" s="317"/>
      <c r="K796" s="318"/>
      <c r="L796" s="397"/>
      <c r="M796" s="316"/>
      <c r="N796" s="317"/>
      <c r="O796" s="318"/>
      <c r="P796" s="397"/>
      <c r="Q796" s="199"/>
      <c r="R796" s="220"/>
      <c r="S796" s="400"/>
      <c r="T796" s="401"/>
      <c r="U796" s="199"/>
      <c r="V796" s="220"/>
      <c r="W796" s="400"/>
      <c r="X796" s="401"/>
      <c r="Y796" s="199"/>
      <c r="Z796" s="220"/>
      <c r="AA796" s="400"/>
      <c r="AB796" s="401"/>
      <c r="AC796" s="199"/>
      <c r="AD796" s="220"/>
      <c r="AE796" s="400"/>
      <c r="AF796" s="401"/>
      <c r="AG796" s="201"/>
      <c r="AH796" s="201"/>
      <c r="AI796" s="201"/>
      <c r="AJ796" s="201"/>
      <c r="AK796" s="397"/>
      <c r="AL796" s="397"/>
      <c r="AM796" s="397"/>
    </row>
    <row r="797">
      <c r="A797" s="316"/>
      <c r="B797" s="317"/>
      <c r="C797" s="318"/>
      <c r="D797" s="397"/>
      <c r="E797" s="316"/>
      <c r="F797" s="317"/>
      <c r="G797" s="318"/>
      <c r="H797" s="397"/>
      <c r="I797" s="316"/>
      <c r="J797" s="317"/>
      <c r="K797" s="318"/>
      <c r="L797" s="397"/>
      <c r="M797" s="316"/>
      <c r="N797" s="317"/>
      <c r="O797" s="318"/>
      <c r="P797" s="397"/>
      <c r="Q797" s="199"/>
      <c r="R797" s="220"/>
      <c r="S797" s="400"/>
      <c r="T797" s="401"/>
      <c r="U797" s="199"/>
      <c r="V797" s="220"/>
      <c r="W797" s="400"/>
      <c r="X797" s="401"/>
      <c r="Y797" s="199"/>
      <c r="Z797" s="220"/>
      <c r="AA797" s="400"/>
      <c r="AB797" s="401"/>
      <c r="AC797" s="199"/>
      <c r="AD797" s="220"/>
      <c r="AE797" s="400"/>
      <c r="AF797" s="401"/>
      <c r="AG797" s="201"/>
      <c r="AH797" s="201"/>
      <c r="AI797" s="201"/>
      <c r="AJ797" s="201"/>
      <c r="AK797" s="397"/>
      <c r="AL797" s="397"/>
      <c r="AM797" s="397"/>
    </row>
    <row r="798">
      <c r="A798" s="316"/>
      <c r="B798" s="317"/>
      <c r="C798" s="318"/>
      <c r="D798" s="397"/>
      <c r="E798" s="316"/>
      <c r="F798" s="317"/>
      <c r="G798" s="318"/>
      <c r="H798" s="397"/>
      <c r="I798" s="316"/>
      <c r="J798" s="317"/>
      <c r="K798" s="318"/>
      <c r="L798" s="397"/>
      <c r="M798" s="316"/>
      <c r="N798" s="317"/>
      <c r="O798" s="318"/>
      <c r="P798" s="397"/>
      <c r="Q798" s="199"/>
      <c r="R798" s="220"/>
      <c r="S798" s="400"/>
      <c r="T798" s="401"/>
      <c r="U798" s="199"/>
      <c r="V798" s="220"/>
      <c r="W798" s="400"/>
      <c r="X798" s="401"/>
      <c r="Y798" s="199"/>
      <c r="Z798" s="220"/>
      <c r="AA798" s="400"/>
      <c r="AB798" s="401"/>
      <c r="AC798" s="199"/>
      <c r="AD798" s="220"/>
      <c r="AE798" s="400"/>
      <c r="AF798" s="401"/>
      <c r="AG798" s="201"/>
      <c r="AH798" s="201"/>
      <c r="AI798" s="201"/>
      <c r="AJ798" s="201"/>
      <c r="AK798" s="397"/>
      <c r="AL798" s="397"/>
      <c r="AM798" s="397"/>
    </row>
    <row r="799">
      <c r="A799" s="316"/>
      <c r="B799" s="317"/>
      <c r="C799" s="318"/>
      <c r="D799" s="397"/>
      <c r="E799" s="316"/>
      <c r="F799" s="317"/>
      <c r="G799" s="318"/>
      <c r="H799" s="397"/>
      <c r="I799" s="316"/>
      <c r="J799" s="317"/>
      <c r="K799" s="318"/>
      <c r="L799" s="397"/>
      <c r="M799" s="316"/>
      <c r="N799" s="317"/>
      <c r="O799" s="318"/>
      <c r="P799" s="397"/>
      <c r="Q799" s="199"/>
      <c r="R799" s="220"/>
      <c r="S799" s="400"/>
      <c r="T799" s="401"/>
      <c r="U799" s="199"/>
      <c r="V799" s="220"/>
      <c r="W799" s="400"/>
      <c r="X799" s="401"/>
      <c r="Y799" s="199"/>
      <c r="Z799" s="220"/>
      <c r="AA799" s="400"/>
      <c r="AB799" s="401"/>
      <c r="AC799" s="199"/>
      <c r="AD799" s="220"/>
      <c r="AE799" s="400"/>
      <c r="AF799" s="401"/>
      <c r="AG799" s="201"/>
      <c r="AH799" s="201"/>
      <c r="AI799" s="201"/>
      <c r="AJ799" s="201"/>
      <c r="AK799" s="397"/>
      <c r="AL799" s="397"/>
      <c r="AM799" s="397"/>
    </row>
    <row r="800">
      <c r="A800" s="316"/>
      <c r="B800" s="317"/>
      <c r="C800" s="318"/>
      <c r="D800" s="397"/>
      <c r="E800" s="316"/>
      <c r="F800" s="317"/>
      <c r="G800" s="318"/>
      <c r="H800" s="397"/>
      <c r="I800" s="316"/>
      <c r="J800" s="317"/>
      <c r="K800" s="318"/>
      <c r="L800" s="397"/>
      <c r="M800" s="316"/>
      <c r="N800" s="317"/>
      <c r="O800" s="318"/>
      <c r="P800" s="397"/>
      <c r="Q800" s="199"/>
      <c r="R800" s="220"/>
      <c r="S800" s="400"/>
      <c r="T800" s="401"/>
      <c r="U800" s="199"/>
      <c r="V800" s="220"/>
      <c r="W800" s="400"/>
      <c r="X800" s="401"/>
      <c r="Y800" s="199"/>
      <c r="Z800" s="220"/>
      <c r="AA800" s="400"/>
      <c r="AB800" s="401"/>
      <c r="AC800" s="199"/>
      <c r="AD800" s="220"/>
      <c r="AE800" s="400"/>
      <c r="AF800" s="401"/>
      <c r="AG800" s="201"/>
      <c r="AH800" s="201"/>
      <c r="AI800" s="201"/>
      <c r="AJ800" s="201"/>
      <c r="AK800" s="397"/>
      <c r="AL800" s="397"/>
      <c r="AM800" s="397"/>
    </row>
    <row r="801">
      <c r="A801" s="316"/>
      <c r="B801" s="317"/>
      <c r="C801" s="318"/>
      <c r="D801" s="397"/>
      <c r="E801" s="316"/>
      <c r="F801" s="317"/>
      <c r="G801" s="318"/>
      <c r="H801" s="397"/>
      <c r="I801" s="316"/>
      <c r="J801" s="317"/>
      <c r="K801" s="318"/>
      <c r="L801" s="397"/>
      <c r="M801" s="316"/>
      <c r="N801" s="317"/>
      <c r="O801" s="318"/>
      <c r="P801" s="397"/>
      <c r="Q801" s="199"/>
      <c r="R801" s="220"/>
      <c r="S801" s="400"/>
      <c r="T801" s="401"/>
      <c r="U801" s="199"/>
      <c r="V801" s="220"/>
      <c r="W801" s="400"/>
      <c r="X801" s="401"/>
      <c r="Y801" s="199"/>
      <c r="Z801" s="220"/>
      <c r="AA801" s="400"/>
      <c r="AB801" s="401"/>
      <c r="AC801" s="199"/>
      <c r="AD801" s="220"/>
      <c r="AE801" s="400"/>
      <c r="AF801" s="401"/>
      <c r="AG801" s="201"/>
      <c r="AH801" s="201"/>
      <c r="AI801" s="201"/>
      <c r="AJ801" s="201"/>
      <c r="AK801" s="397"/>
      <c r="AL801" s="397"/>
      <c r="AM801" s="397"/>
    </row>
    <row r="802">
      <c r="A802" s="316"/>
      <c r="B802" s="317"/>
      <c r="C802" s="318"/>
      <c r="D802" s="397"/>
      <c r="E802" s="316"/>
      <c r="F802" s="317"/>
      <c r="G802" s="318"/>
      <c r="H802" s="397"/>
      <c r="I802" s="316"/>
      <c r="J802" s="317"/>
      <c r="K802" s="318"/>
      <c r="L802" s="397"/>
      <c r="M802" s="316"/>
      <c r="N802" s="317"/>
      <c r="O802" s="318"/>
      <c r="P802" s="397"/>
      <c r="Q802" s="199"/>
      <c r="R802" s="220"/>
      <c r="S802" s="400"/>
      <c r="T802" s="401"/>
      <c r="U802" s="199"/>
      <c r="V802" s="220"/>
      <c r="W802" s="400"/>
      <c r="X802" s="401"/>
      <c r="Y802" s="199"/>
      <c r="Z802" s="220"/>
      <c r="AA802" s="400"/>
      <c r="AB802" s="401"/>
      <c r="AC802" s="199"/>
      <c r="AD802" s="220"/>
      <c r="AE802" s="400"/>
      <c r="AF802" s="401"/>
      <c r="AG802" s="201"/>
      <c r="AH802" s="201"/>
      <c r="AI802" s="201"/>
      <c r="AJ802" s="201"/>
      <c r="AK802" s="397"/>
      <c r="AL802" s="397"/>
      <c r="AM802" s="397"/>
    </row>
    <row r="803">
      <c r="A803" s="316"/>
      <c r="B803" s="317"/>
      <c r="C803" s="318"/>
      <c r="D803" s="397"/>
      <c r="E803" s="316"/>
      <c r="F803" s="317"/>
      <c r="G803" s="318"/>
      <c r="H803" s="397"/>
      <c r="I803" s="316"/>
      <c r="J803" s="317"/>
      <c r="K803" s="318"/>
      <c r="L803" s="397"/>
      <c r="M803" s="316"/>
      <c r="N803" s="317"/>
      <c r="O803" s="318"/>
      <c r="P803" s="397"/>
      <c r="Q803" s="199"/>
      <c r="R803" s="220"/>
      <c r="S803" s="400"/>
      <c r="T803" s="401"/>
      <c r="U803" s="199"/>
      <c r="V803" s="220"/>
      <c r="W803" s="400"/>
      <c r="X803" s="401"/>
      <c r="Y803" s="199"/>
      <c r="Z803" s="220"/>
      <c r="AA803" s="400"/>
      <c r="AB803" s="401"/>
      <c r="AC803" s="199"/>
      <c r="AD803" s="220"/>
      <c r="AE803" s="400"/>
      <c r="AF803" s="401"/>
      <c r="AG803" s="201"/>
      <c r="AH803" s="201"/>
      <c r="AI803" s="201"/>
      <c r="AJ803" s="201"/>
      <c r="AK803" s="397"/>
      <c r="AL803" s="397"/>
      <c r="AM803" s="397"/>
    </row>
    <row r="804">
      <c r="A804" s="316"/>
      <c r="B804" s="317"/>
      <c r="C804" s="318"/>
      <c r="D804" s="397"/>
      <c r="E804" s="316"/>
      <c r="F804" s="317"/>
      <c r="G804" s="318"/>
      <c r="H804" s="397"/>
      <c r="I804" s="316"/>
      <c r="J804" s="317"/>
      <c r="K804" s="318"/>
      <c r="L804" s="397"/>
      <c r="M804" s="316"/>
      <c r="N804" s="317"/>
      <c r="O804" s="318"/>
      <c r="P804" s="397"/>
      <c r="Q804" s="199"/>
      <c r="R804" s="220"/>
      <c r="S804" s="400"/>
      <c r="T804" s="401"/>
      <c r="U804" s="199"/>
      <c r="V804" s="220"/>
      <c r="W804" s="400"/>
      <c r="X804" s="401"/>
      <c r="Y804" s="199"/>
      <c r="Z804" s="220"/>
      <c r="AA804" s="400"/>
      <c r="AB804" s="401"/>
      <c r="AC804" s="199"/>
      <c r="AD804" s="220"/>
      <c r="AE804" s="400"/>
      <c r="AF804" s="401"/>
      <c r="AG804" s="201"/>
      <c r="AH804" s="201"/>
      <c r="AI804" s="201"/>
      <c r="AJ804" s="201"/>
      <c r="AK804" s="397"/>
      <c r="AL804" s="397"/>
      <c r="AM804" s="397"/>
    </row>
    <row r="805">
      <c r="A805" s="316"/>
      <c r="B805" s="317"/>
      <c r="C805" s="318"/>
      <c r="D805" s="397"/>
      <c r="E805" s="316"/>
      <c r="F805" s="317"/>
      <c r="G805" s="318"/>
      <c r="H805" s="397"/>
      <c r="I805" s="316"/>
      <c r="J805" s="317"/>
      <c r="K805" s="318"/>
      <c r="L805" s="397"/>
      <c r="M805" s="316"/>
      <c r="N805" s="317"/>
      <c r="O805" s="318"/>
      <c r="P805" s="397"/>
      <c r="Q805" s="199"/>
      <c r="R805" s="220"/>
      <c r="S805" s="400"/>
      <c r="T805" s="401"/>
      <c r="U805" s="199"/>
      <c r="V805" s="220"/>
      <c r="W805" s="400"/>
      <c r="X805" s="401"/>
      <c r="Y805" s="199"/>
      <c r="Z805" s="220"/>
      <c r="AA805" s="400"/>
      <c r="AB805" s="401"/>
      <c r="AC805" s="199"/>
      <c r="AD805" s="220"/>
      <c r="AE805" s="400"/>
      <c r="AF805" s="401"/>
      <c r="AG805" s="201"/>
      <c r="AH805" s="201"/>
      <c r="AI805" s="201"/>
      <c r="AJ805" s="201"/>
      <c r="AK805" s="397"/>
      <c r="AL805" s="397"/>
      <c r="AM805" s="397"/>
    </row>
    <row r="806">
      <c r="A806" s="316"/>
      <c r="B806" s="317"/>
      <c r="C806" s="318"/>
      <c r="D806" s="397"/>
      <c r="E806" s="316"/>
      <c r="F806" s="317"/>
      <c r="G806" s="318"/>
      <c r="H806" s="397"/>
      <c r="I806" s="316"/>
      <c r="J806" s="317"/>
      <c r="K806" s="318"/>
      <c r="L806" s="397"/>
      <c r="M806" s="316"/>
      <c r="N806" s="317"/>
      <c r="O806" s="318"/>
      <c r="P806" s="397"/>
      <c r="Q806" s="199"/>
      <c r="R806" s="220"/>
      <c r="S806" s="400"/>
      <c r="T806" s="401"/>
      <c r="U806" s="199"/>
      <c r="V806" s="220"/>
      <c r="W806" s="400"/>
      <c r="X806" s="401"/>
      <c r="Y806" s="199"/>
      <c r="Z806" s="220"/>
      <c r="AA806" s="400"/>
      <c r="AB806" s="401"/>
      <c r="AC806" s="199"/>
      <c r="AD806" s="220"/>
      <c r="AE806" s="400"/>
      <c r="AF806" s="401"/>
      <c r="AG806" s="201"/>
      <c r="AH806" s="201"/>
      <c r="AI806" s="201"/>
      <c r="AJ806" s="201"/>
      <c r="AK806" s="397"/>
      <c r="AL806" s="397"/>
      <c r="AM806" s="397"/>
    </row>
    <row r="807">
      <c r="A807" s="316"/>
      <c r="B807" s="317"/>
      <c r="C807" s="318"/>
      <c r="D807" s="397"/>
      <c r="E807" s="316"/>
      <c r="F807" s="317"/>
      <c r="G807" s="318"/>
      <c r="H807" s="397"/>
      <c r="I807" s="316"/>
      <c r="J807" s="317"/>
      <c r="K807" s="318"/>
      <c r="L807" s="397"/>
      <c r="M807" s="316"/>
      <c r="N807" s="317"/>
      <c r="O807" s="318"/>
      <c r="P807" s="397"/>
      <c r="Q807" s="199"/>
      <c r="R807" s="220"/>
      <c r="S807" s="400"/>
      <c r="T807" s="401"/>
      <c r="U807" s="199"/>
      <c r="V807" s="220"/>
      <c r="W807" s="400"/>
      <c r="X807" s="401"/>
      <c r="Y807" s="199"/>
      <c r="Z807" s="220"/>
      <c r="AA807" s="400"/>
      <c r="AB807" s="401"/>
      <c r="AC807" s="199"/>
      <c r="AD807" s="220"/>
      <c r="AE807" s="400"/>
      <c r="AF807" s="401"/>
      <c r="AG807" s="201"/>
      <c r="AH807" s="201"/>
      <c r="AI807" s="201"/>
      <c r="AJ807" s="201"/>
      <c r="AK807" s="397"/>
      <c r="AL807" s="397"/>
      <c r="AM807" s="397"/>
    </row>
    <row r="808">
      <c r="A808" s="316"/>
      <c r="B808" s="317"/>
      <c r="C808" s="318"/>
      <c r="D808" s="397"/>
      <c r="E808" s="316"/>
      <c r="F808" s="317"/>
      <c r="G808" s="318"/>
      <c r="H808" s="397"/>
      <c r="I808" s="316"/>
      <c r="J808" s="317"/>
      <c r="K808" s="318"/>
      <c r="L808" s="397"/>
      <c r="M808" s="316"/>
      <c r="N808" s="317"/>
      <c r="O808" s="318"/>
      <c r="P808" s="397"/>
      <c r="Q808" s="199"/>
      <c r="R808" s="220"/>
      <c r="S808" s="400"/>
      <c r="T808" s="401"/>
      <c r="U808" s="199"/>
      <c r="V808" s="220"/>
      <c r="W808" s="400"/>
      <c r="X808" s="401"/>
      <c r="Y808" s="199"/>
      <c r="Z808" s="220"/>
      <c r="AA808" s="400"/>
      <c r="AB808" s="401"/>
      <c r="AC808" s="199"/>
      <c r="AD808" s="220"/>
      <c r="AE808" s="400"/>
      <c r="AF808" s="401"/>
      <c r="AG808" s="201"/>
      <c r="AH808" s="201"/>
      <c r="AI808" s="201"/>
      <c r="AJ808" s="201"/>
      <c r="AK808" s="397"/>
      <c r="AL808" s="397"/>
      <c r="AM808" s="397"/>
    </row>
    <row r="809">
      <c r="A809" s="316"/>
      <c r="B809" s="317"/>
      <c r="C809" s="318"/>
      <c r="D809" s="397"/>
      <c r="E809" s="316"/>
      <c r="F809" s="317"/>
      <c r="G809" s="318"/>
      <c r="H809" s="397"/>
      <c r="I809" s="316"/>
      <c r="J809" s="317"/>
      <c r="K809" s="318"/>
      <c r="L809" s="397"/>
      <c r="M809" s="316"/>
      <c r="N809" s="317"/>
      <c r="O809" s="318"/>
      <c r="P809" s="397"/>
      <c r="Q809" s="199"/>
      <c r="R809" s="220"/>
      <c r="S809" s="400"/>
      <c r="T809" s="401"/>
      <c r="U809" s="199"/>
      <c r="V809" s="220"/>
      <c r="W809" s="400"/>
      <c r="X809" s="401"/>
      <c r="Y809" s="199"/>
      <c r="Z809" s="220"/>
      <c r="AA809" s="400"/>
      <c r="AB809" s="401"/>
      <c r="AC809" s="199"/>
      <c r="AD809" s="220"/>
      <c r="AE809" s="400"/>
      <c r="AF809" s="401"/>
      <c r="AG809" s="201"/>
      <c r="AH809" s="201"/>
      <c r="AI809" s="201"/>
      <c r="AJ809" s="201"/>
      <c r="AK809" s="397"/>
      <c r="AL809" s="397"/>
      <c r="AM809" s="397"/>
    </row>
    <row r="810">
      <c r="A810" s="316"/>
      <c r="B810" s="317"/>
      <c r="C810" s="318"/>
      <c r="D810" s="397"/>
      <c r="E810" s="316"/>
      <c r="F810" s="317"/>
      <c r="G810" s="318"/>
      <c r="H810" s="397"/>
      <c r="I810" s="316"/>
      <c r="J810" s="317"/>
      <c r="K810" s="318"/>
      <c r="L810" s="397"/>
      <c r="M810" s="316"/>
      <c r="N810" s="317"/>
      <c r="O810" s="318"/>
      <c r="P810" s="397"/>
      <c r="Q810" s="199"/>
      <c r="R810" s="220"/>
      <c r="S810" s="400"/>
      <c r="T810" s="401"/>
      <c r="U810" s="199"/>
      <c r="V810" s="220"/>
      <c r="W810" s="400"/>
      <c r="X810" s="401"/>
      <c r="Y810" s="199"/>
      <c r="Z810" s="220"/>
      <c r="AA810" s="400"/>
      <c r="AB810" s="401"/>
      <c r="AC810" s="199"/>
      <c r="AD810" s="220"/>
      <c r="AE810" s="400"/>
      <c r="AF810" s="401"/>
      <c r="AG810" s="201"/>
      <c r="AH810" s="201"/>
      <c r="AI810" s="201"/>
      <c r="AJ810" s="201"/>
      <c r="AK810" s="397"/>
      <c r="AL810" s="397"/>
      <c r="AM810" s="397"/>
    </row>
    <row r="811">
      <c r="A811" s="316"/>
      <c r="B811" s="317"/>
      <c r="C811" s="318"/>
      <c r="D811" s="397"/>
      <c r="E811" s="316"/>
      <c r="F811" s="317"/>
      <c r="G811" s="318"/>
      <c r="H811" s="397"/>
      <c r="I811" s="316"/>
      <c r="J811" s="317"/>
      <c r="K811" s="318"/>
      <c r="L811" s="397"/>
      <c r="M811" s="316"/>
      <c r="N811" s="317"/>
      <c r="O811" s="318"/>
      <c r="P811" s="397"/>
      <c r="Q811" s="199"/>
      <c r="R811" s="220"/>
      <c r="S811" s="400"/>
      <c r="T811" s="401"/>
      <c r="U811" s="199"/>
      <c r="V811" s="220"/>
      <c r="W811" s="400"/>
      <c r="X811" s="401"/>
      <c r="Y811" s="199"/>
      <c r="Z811" s="220"/>
      <c r="AA811" s="400"/>
      <c r="AB811" s="401"/>
      <c r="AC811" s="199"/>
      <c r="AD811" s="220"/>
      <c r="AE811" s="400"/>
      <c r="AF811" s="401"/>
      <c r="AG811" s="201"/>
      <c r="AH811" s="201"/>
      <c r="AI811" s="201"/>
      <c r="AJ811" s="201"/>
      <c r="AK811" s="397"/>
      <c r="AL811" s="397"/>
      <c r="AM811" s="397"/>
    </row>
    <row r="812">
      <c r="A812" s="316"/>
      <c r="B812" s="317"/>
      <c r="C812" s="318"/>
      <c r="D812" s="397"/>
      <c r="E812" s="316"/>
      <c r="F812" s="317"/>
      <c r="G812" s="318"/>
      <c r="H812" s="397"/>
      <c r="I812" s="316"/>
      <c r="J812" s="317"/>
      <c r="K812" s="318"/>
      <c r="L812" s="397"/>
      <c r="M812" s="316"/>
      <c r="N812" s="317"/>
      <c r="O812" s="318"/>
      <c r="P812" s="397"/>
      <c r="Q812" s="199"/>
      <c r="R812" s="220"/>
      <c r="S812" s="400"/>
      <c r="T812" s="401"/>
      <c r="U812" s="199"/>
      <c r="V812" s="220"/>
      <c r="W812" s="400"/>
      <c r="X812" s="401"/>
      <c r="Y812" s="199"/>
      <c r="Z812" s="220"/>
      <c r="AA812" s="400"/>
      <c r="AB812" s="401"/>
      <c r="AC812" s="199"/>
      <c r="AD812" s="220"/>
      <c r="AE812" s="400"/>
      <c r="AF812" s="401"/>
      <c r="AG812" s="201"/>
      <c r="AH812" s="201"/>
      <c r="AI812" s="201"/>
      <c r="AJ812" s="201"/>
      <c r="AK812" s="397"/>
      <c r="AL812" s="397"/>
      <c r="AM812" s="397"/>
    </row>
    <row r="813">
      <c r="A813" s="316"/>
      <c r="B813" s="317"/>
      <c r="C813" s="318"/>
      <c r="D813" s="397"/>
      <c r="E813" s="316"/>
      <c r="F813" s="317"/>
      <c r="G813" s="318"/>
      <c r="H813" s="397"/>
      <c r="I813" s="316"/>
      <c r="J813" s="317"/>
      <c r="K813" s="318"/>
      <c r="L813" s="397"/>
      <c r="M813" s="316"/>
      <c r="N813" s="317"/>
      <c r="O813" s="318"/>
      <c r="P813" s="397"/>
      <c r="Q813" s="199"/>
      <c r="R813" s="220"/>
      <c r="S813" s="400"/>
      <c r="T813" s="401"/>
      <c r="U813" s="199"/>
      <c r="V813" s="220"/>
      <c r="W813" s="400"/>
      <c r="X813" s="401"/>
      <c r="Y813" s="199"/>
      <c r="Z813" s="220"/>
      <c r="AA813" s="400"/>
      <c r="AB813" s="401"/>
      <c r="AC813" s="199"/>
      <c r="AD813" s="220"/>
      <c r="AE813" s="400"/>
      <c r="AF813" s="401"/>
      <c r="AG813" s="201"/>
      <c r="AH813" s="201"/>
      <c r="AI813" s="201"/>
      <c r="AJ813" s="201"/>
      <c r="AK813" s="397"/>
      <c r="AL813" s="397"/>
      <c r="AM813" s="397"/>
    </row>
    <row r="814">
      <c r="A814" s="316"/>
      <c r="B814" s="317"/>
      <c r="C814" s="318"/>
      <c r="D814" s="397"/>
      <c r="E814" s="316"/>
      <c r="F814" s="317"/>
      <c r="G814" s="318"/>
      <c r="H814" s="397"/>
      <c r="I814" s="316"/>
      <c r="J814" s="317"/>
      <c r="K814" s="318"/>
      <c r="L814" s="397"/>
      <c r="M814" s="316"/>
      <c r="N814" s="317"/>
      <c r="O814" s="318"/>
      <c r="P814" s="397"/>
      <c r="Q814" s="199"/>
      <c r="R814" s="220"/>
      <c r="S814" s="400"/>
      <c r="T814" s="401"/>
      <c r="U814" s="199"/>
      <c r="V814" s="220"/>
      <c r="W814" s="400"/>
      <c r="X814" s="401"/>
      <c r="Y814" s="199"/>
      <c r="Z814" s="220"/>
      <c r="AA814" s="400"/>
      <c r="AB814" s="401"/>
      <c r="AC814" s="199"/>
      <c r="AD814" s="220"/>
      <c r="AE814" s="400"/>
      <c r="AF814" s="401"/>
      <c r="AG814" s="201"/>
      <c r="AH814" s="201"/>
      <c r="AI814" s="201"/>
      <c r="AJ814" s="201"/>
      <c r="AK814" s="397"/>
      <c r="AL814" s="397"/>
      <c r="AM814" s="397"/>
    </row>
    <row r="815">
      <c r="A815" s="316"/>
      <c r="B815" s="317"/>
      <c r="C815" s="318"/>
      <c r="D815" s="397"/>
      <c r="E815" s="316"/>
      <c r="F815" s="317"/>
      <c r="G815" s="318"/>
      <c r="H815" s="397"/>
      <c r="I815" s="316"/>
      <c r="J815" s="317"/>
      <c r="K815" s="318"/>
      <c r="L815" s="397"/>
      <c r="M815" s="316"/>
      <c r="N815" s="317"/>
      <c r="O815" s="318"/>
      <c r="P815" s="397"/>
      <c r="Q815" s="199"/>
      <c r="R815" s="220"/>
      <c r="S815" s="400"/>
      <c r="T815" s="401"/>
      <c r="U815" s="199"/>
      <c r="V815" s="220"/>
      <c r="W815" s="400"/>
      <c r="X815" s="401"/>
      <c r="Y815" s="199"/>
      <c r="Z815" s="220"/>
      <c r="AA815" s="400"/>
      <c r="AB815" s="401"/>
      <c r="AC815" s="199"/>
      <c r="AD815" s="220"/>
      <c r="AE815" s="400"/>
      <c r="AF815" s="401"/>
      <c r="AG815" s="201"/>
      <c r="AH815" s="201"/>
      <c r="AI815" s="201"/>
      <c r="AJ815" s="201"/>
      <c r="AK815" s="397"/>
      <c r="AL815" s="397"/>
      <c r="AM815" s="397"/>
    </row>
    <row r="816">
      <c r="A816" s="316"/>
      <c r="B816" s="317"/>
      <c r="C816" s="318"/>
      <c r="D816" s="397"/>
      <c r="E816" s="316"/>
      <c r="F816" s="317"/>
      <c r="G816" s="318"/>
      <c r="H816" s="397"/>
      <c r="I816" s="316"/>
      <c r="J816" s="317"/>
      <c r="K816" s="318"/>
      <c r="L816" s="397"/>
      <c r="M816" s="316"/>
      <c r="N816" s="317"/>
      <c r="O816" s="318"/>
      <c r="P816" s="397"/>
      <c r="Q816" s="199"/>
      <c r="R816" s="220"/>
      <c r="S816" s="400"/>
      <c r="T816" s="401"/>
      <c r="U816" s="199"/>
      <c r="V816" s="220"/>
      <c r="W816" s="400"/>
      <c r="X816" s="401"/>
      <c r="Y816" s="199"/>
      <c r="Z816" s="220"/>
      <c r="AA816" s="400"/>
      <c r="AB816" s="401"/>
      <c r="AC816" s="199"/>
      <c r="AD816" s="220"/>
      <c r="AE816" s="400"/>
      <c r="AF816" s="401"/>
      <c r="AG816" s="201"/>
      <c r="AH816" s="201"/>
      <c r="AI816" s="201"/>
      <c r="AJ816" s="201"/>
      <c r="AK816" s="397"/>
      <c r="AL816" s="397"/>
      <c r="AM816" s="397"/>
    </row>
    <row r="817">
      <c r="A817" s="316"/>
      <c r="B817" s="317"/>
      <c r="C817" s="318"/>
      <c r="D817" s="397"/>
      <c r="E817" s="316"/>
      <c r="F817" s="317"/>
      <c r="G817" s="318"/>
      <c r="H817" s="397"/>
      <c r="I817" s="316"/>
      <c r="J817" s="317"/>
      <c r="K817" s="318"/>
      <c r="L817" s="397"/>
      <c r="M817" s="316"/>
      <c r="N817" s="317"/>
      <c r="O817" s="318"/>
      <c r="P817" s="397"/>
      <c r="Q817" s="199"/>
      <c r="R817" s="220"/>
      <c r="S817" s="400"/>
      <c r="T817" s="401"/>
      <c r="U817" s="199"/>
      <c r="V817" s="220"/>
      <c r="W817" s="400"/>
      <c r="X817" s="401"/>
      <c r="Y817" s="199"/>
      <c r="Z817" s="220"/>
      <c r="AA817" s="400"/>
      <c r="AB817" s="401"/>
      <c r="AC817" s="199"/>
      <c r="AD817" s="220"/>
      <c r="AE817" s="400"/>
      <c r="AF817" s="401"/>
      <c r="AG817" s="201"/>
      <c r="AH817" s="201"/>
      <c r="AI817" s="201"/>
      <c r="AJ817" s="201"/>
      <c r="AK817" s="397"/>
      <c r="AL817" s="397"/>
      <c r="AM817" s="397"/>
    </row>
    <row r="818">
      <c r="A818" s="316"/>
      <c r="B818" s="317"/>
      <c r="C818" s="318"/>
      <c r="D818" s="397"/>
      <c r="E818" s="316"/>
      <c r="F818" s="317"/>
      <c r="G818" s="318"/>
      <c r="H818" s="397"/>
      <c r="I818" s="316"/>
      <c r="J818" s="317"/>
      <c r="K818" s="318"/>
      <c r="L818" s="397"/>
      <c r="M818" s="316"/>
      <c r="N818" s="317"/>
      <c r="O818" s="318"/>
      <c r="P818" s="397"/>
      <c r="Q818" s="199"/>
      <c r="R818" s="220"/>
      <c r="S818" s="400"/>
      <c r="T818" s="401"/>
      <c r="U818" s="199"/>
      <c r="V818" s="220"/>
      <c r="W818" s="400"/>
      <c r="X818" s="401"/>
      <c r="Y818" s="199"/>
      <c r="Z818" s="220"/>
      <c r="AA818" s="400"/>
      <c r="AB818" s="401"/>
      <c r="AC818" s="199"/>
      <c r="AD818" s="220"/>
      <c r="AE818" s="400"/>
      <c r="AF818" s="401"/>
      <c r="AG818" s="201"/>
      <c r="AH818" s="201"/>
      <c r="AI818" s="201"/>
      <c r="AJ818" s="201"/>
      <c r="AK818" s="397"/>
      <c r="AL818" s="397"/>
      <c r="AM818" s="397"/>
    </row>
    <row r="819">
      <c r="A819" s="316"/>
      <c r="B819" s="317"/>
      <c r="C819" s="318"/>
      <c r="D819" s="397"/>
      <c r="E819" s="316"/>
      <c r="F819" s="317"/>
      <c r="G819" s="318"/>
      <c r="H819" s="397"/>
      <c r="I819" s="316"/>
      <c r="J819" s="317"/>
      <c r="K819" s="318"/>
      <c r="L819" s="397"/>
      <c r="M819" s="316"/>
      <c r="N819" s="317"/>
      <c r="O819" s="318"/>
      <c r="P819" s="397"/>
      <c r="Q819" s="199"/>
      <c r="R819" s="220"/>
      <c r="S819" s="400"/>
      <c r="T819" s="401"/>
      <c r="U819" s="199"/>
      <c r="V819" s="220"/>
      <c r="W819" s="400"/>
      <c r="X819" s="401"/>
      <c r="Y819" s="199"/>
      <c r="Z819" s="220"/>
      <c r="AA819" s="400"/>
      <c r="AB819" s="401"/>
      <c r="AC819" s="199"/>
      <c r="AD819" s="220"/>
      <c r="AE819" s="400"/>
      <c r="AF819" s="401"/>
      <c r="AG819" s="201"/>
      <c r="AH819" s="201"/>
      <c r="AI819" s="201"/>
      <c r="AJ819" s="201"/>
      <c r="AK819" s="397"/>
      <c r="AL819" s="397"/>
      <c r="AM819" s="397"/>
    </row>
    <row r="820">
      <c r="A820" s="316"/>
      <c r="B820" s="317"/>
      <c r="C820" s="318"/>
      <c r="D820" s="397"/>
      <c r="E820" s="316"/>
      <c r="F820" s="317"/>
      <c r="G820" s="318"/>
      <c r="H820" s="397"/>
      <c r="I820" s="316"/>
      <c r="J820" s="317"/>
      <c r="K820" s="318"/>
      <c r="L820" s="397"/>
      <c r="M820" s="316"/>
      <c r="N820" s="317"/>
      <c r="O820" s="318"/>
      <c r="P820" s="397"/>
      <c r="Q820" s="199"/>
      <c r="R820" s="220"/>
      <c r="S820" s="400"/>
      <c r="T820" s="401"/>
      <c r="U820" s="199"/>
      <c r="V820" s="220"/>
      <c r="W820" s="400"/>
      <c r="X820" s="401"/>
      <c r="Y820" s="199"/>
      <c r="Z820" s="220"/>
      <c r="AA820" s="400"/>
      <c r="AB820" s="401"/>
      <c r="AC820" s="199"/>
      <c r="AD820" s="220"/>
      <c r="AE820" s="400"/>
      <c r="AF820" s="401"/>
      <c r="AG820" s="201"/>
      <c r="AH820" s="201"/>
      <c r="AI820" s="201"/>
      <c r="AJ820" s="201"/>
      <c r="AK820" s="397"/>
      <c r="AL820" s="397"/>
      <c r="AM820" s="397"/>
    </row>
    <row r="821">
      <c r="A821" s="316"/>
      <c r="B821" s="317"/>
      <c r="C821" s="318"/>
      <c r="D821" s="397"/>
      <c r="E821" s="316"/>
      <c r="F821" s="317"/>
      <c r="G821" s="318"/>
      <c r="H821" s="397"/>
      <c r="I821" s="316"/>
      <c r="J821" s="317"/>
      <c r="K821" s="318"/>
      <c r="L821" s="397"/>
      <c r="M821" s="316"/>
      <c r="N821" s="317"/>
      <c r="O821" s="318"/>
      <c r="P821" s="397"/>
      <c r="Q821" s="199"/>
      <c r="R821" s="220"/>
      <c r="S821" s="400"/>
      <c r="T821" s="401"/>
      <c r="U821" s="199"/>
      <c r="V821" s="220"/>
      <c r="W821" s="400"/>
      <c r="X821" s="401"/>
      <c r="Y821" s="199"/>
      <c r="Z821" s="220"/>
      <c r="AA821" s="400"/>
      <c r="AB821" s="401"/>
      <c r="AC821" s="199"/>
      <c r="AD821" s="220"/>
      <c r="AE821" s="400"/>
      <c r="AF821" s="401"/>
      <c r="AG821" s="201"/>
      <c r="AH821" s="201"/>
      <c r="AI821" s="201"/>
      <c r="AJ821" s="201"/>
      <c r="AK821" s="397"/>
      <c r="AL821" s="397"/>
      <c r="AM821" s="397"/>
    </row>
    <row r="822">
      <c r="A822" s="316"/>
      <c r="B822" s="317"/>
      <c r="C822" s="318"/>
      <c r="D822" s="397"/>
      <c r="E822" s="316"/>
      <c r="F822" s="317"/>
      <c r="G822" s="318"/>
      <c r="H822" s="397"/>
      <c r="I822" s="316"/>
      <c r="J822" s="317"/>
      <c r="K822" s="318"/>
      <c r="L822" s="397"/>
      <c r="M822" s="316"/>
      <c r="N822" s="317"/>
      <c r="O822" s="318"/>
      <c r="P822" s="397"/>
      <c r="Q822" s="199"/>
      <c r="R822" s="220"/>
      <c r="S822" s="400"/>
      <c r="T822" s="401"/>
      <c r="U822" s="199"/>
      <c r="V822" s="220"/>
      <c r="W822" s="400"/>
      <c r="X822" s="401"/>
      <c r="Y822" s="199"/>
      <c r="Z822" s="220"/>
      <c r="AA822" s="400"/>
      <c r="AB822" s="401"/>
      <c r="AC822" s="199"/>
      <c r="AD822" s="220"/>
      <c r="AE822" s="400"/>
      <c r="AF822" s="401"/>
      <c r="AG822" s="201"/>
      <c r="AH822" s="201"/>
      <c r="AI822" s="201"/>
      <c r="AJ822" s="201"/>
      <c r="AK822" s="397"/>
      <c r="AL822" s="397"/>
      <c r="AM822" s="397"/>
    </row>
    <row r="823">
      <c r="A823" s="316"/>
      <c r="B823" s="317"/>
      <c r="C823" s="318"/>
      <c r="D823" s="397"/>
      <c r="E823" s="316"/>
      <c r="F823" s="317"/>
      <c r="G823" s="318"/>
      <c r="H823" s="397"/>
      <c r="I823" s="316"/>
      <c r="J823" s="317"/>
      <c r="K823" s="318"/>
      <c r="L823" s="397"/>
      <c r="M823" s="316"/>
      <c r="N823" s="317"/>
      <c r="O823" s="318"/>
      <c r="P823" s="397"/>
      <c r="Q823" s="199"/>
      <c r="R823" s="220"/>
      <c r="S823" s="400"/>
      <c r="T823" s="401"/>
      <c r="U823" s="199"/>
      <c r="V823" s="220"/>
      <c r="W823" s="400"/>
      <c r="X823" s="401"/>
      <c r="Y823" s="199"/>
      <c r="Z823" s="220"/>
      <c r="AA823" s="400"/>
      <c r="AB823" s="401"/>
      <c r="AC823" s="199"/>
      <c r="AD823" s="220"/>
      <c r="AE823" s="400"/>
      <c r="AF823" s="401"/>
      <c r="AG823" s="201"/>
      <c r="AH823" s="201"/>
      <c r="AI823" s="201"/>
      <c r="AJ823" s="201"/>
      <c r="AK823" s="397"/>
      <c r="AL823" s="397"/>
      <c r="AM823" s="397"/>
    </row>
    <row r="824">
      <c r="A824" s="316"/>
      <c r="B824" s="317"/>
      <c r="C824" s="318"/>
      <c r="D824" s="397"/>
      <c r="E824" s="316"/>
      <c r="F824" s="317"/>
      <c r="G824" s="318"/>
      <c r="H824" s="397"/>
      <c r="I824" s="316"/>
      <c r="J824" s="317"/>
      <c r="K824" s="318"/>
      <c r="L824" s="397"/>
      <c r="M824" s="316"/>
      <c r="N824" s="317"/>
      <c r="O824" s="318"/>
      <c r="P824" s="397"/>
      <c r="Q824" s="199"/>
      <c r="R824" s="220"/>
      <c r="S824" s="400"/>
      <c r="T824" s="401"/>
      <c r="U824" s="199"/>
      <c r="V824" s="220"/>
      <c r="W824" s="400"/>
      <c r="X824" s="401"/>
      <c r="Y824" s="199"/>
      <c r="Z824" s="220"/>
      <c r="AA824" s="400"/>
      <c r="AB824" s="401"/>
      <c r="AC824" s="199"/>
      <c r="AD824" s="220"/>
      <c r="AE824" s="400"/>
      <c r="AF824" s="401"/>
      <c r="AG824" s="201"/>
      <c r="AH824" s="201"/>
      <c r="AI824" s="201"/>
      <c r="AJ824" s="201"/>
      <c r="AK824" s="397"/>
      <c r="AL824" s="397"/>
      <c r="AM824" s="397"/>
    </row>
    <row r="825">
      <c r="A825" s="316"/>
      <c r="B825" s="317"/>
      <c r="C825" s="318"/>
      <c r="D825" s="397"/>
      <c r="E825" s="316"/>
      <c r="F825" s="317"/>
      <c r="G825" s="318"/>
      <c r="H825" s="397"/>
      <c r="I825" s="316"/>
      <c r="J825" s="317"/>
      <c r="K825" s="318"/>
      <c r="L825" s="397"/>
      <c r="M825" s="316"/>
      <c r="N825" s="317"/>
      <c r="O825" s="318"/>
      <c r="P825" s="397"/>
      <c r="Q825" s="199"/>
      <c r="R825" s="220"/>
      <c r="S825" s="400"/>
      <c r="T825" s="401"/>
      <c r="U825" s="199"/>
      <c r="V825" s="220"/>
      <c r="W825" s="400"/>
      <c r="X825" s="401"/>
      <c r="Y825" s="199"/>
      <c r="Z825" s="220"/>
      <c r="AA825" s="400"/>
      <c r="AB825" s="401"/>
      <c r="AC825" s="199"/>
      <c r="AD825" s="220"/>
      <c r="AE825" s="400"/>
      <c r="AF825" s="401"/>
      <c r="AG825" s="201"/>
      <c r="AH825" s="201"/>
      <c r="AI825" s="201"/>
      <c r="AJ825" s="201"/>
      <c r="AK825" s="397"/>
      <c r="AL825" s="397"/>
      <c r="AM825" s="397"/>
    </row>
    <row r="826">
      <c r="A826" s="316"/>
      <c r="B826" s="317"/>
      <c r="C826" s="318"/>
      <c r="D826" s="397"/>
      <c r="E826" s="316"/>
      <c r="F826" s="317"/>
      <c r="G826" s="318"/>
      <c r="H826" s="397"/>
      <c r="I826" s="316"/>
      <c r="J826" s="317"/>
      <c r="K826" s="318"/>
      <c r="L826" s="397"/>
      <c r="M826" s="316"/>
      <c r="N826" s="317"/>
      <c r="O826" s="318"/>
      <c r="P826" s="397"/>
      <c r="Q826" s="199"/>
      <c r="R826" s="220"/>
      <c r="S826" s="400"/>
      <c r="T826" s="401"/>
      <c r="U826" s="199"/>
      <c r="V826" s="220"/>
      <c r="W826" s="400"/>
      <c r="X826" s="401"/>
      <c r="Y826" s="199"/>
      <c r="Z826" s="220"/>
      <c r="AA826" s="400"/>
      <c r="AB826" s="401"/>
      <c r="AC826" s="199"/>
      <c r="AD826" s="220"/>
      <c r="AE826" s="400"/>
      <c r="AF826" s="401"/>
      <c r="AG826" s="201"/>
      <c r="AH826" s="201"/>
      <c r="AI826" s="201"/>
      <c r="AJ826" s="201"/>
      <c r="AK826" s="397"/>
      <c r="AL826" s="397"/>
      <c r="AM826" s="397"/>
    </row>
    <row r="827">
      <c r="A827" s="316"/>
      <c r="B827" s="317"/>
      <c r="C827" s="318"/>
      <c r="D827" s="397"/>
      <c r="E827" s="316"/>
      <c r="F827" s="317"/>
      <c r="G827" s="318"/>
      <c r="H827" s="397"/>
      <c r="I827" s="316"/>
      <c r="J827" s="317"/>
      <c r="K827" s="318"/>
      <c r="L827" s="397"/>
      <c r="M827" s="316"/>
      <c r="N827" s="317"/>
      <c r="O827" s="318"/>
      <c r="P827" s="397"/>
      <c r="Q827" s="199"/>
      <c r="R827" s="220"/>
      <c r="S827" s="400"/>
      <c r="T827" s="401"/>
      <c r="U827" s="199"/>
      <c r="V827" s="220"/>
      <c r="W827" s="400"/>
      <c r="X827" s="401"/>
      <c r="Y827" s="199"/>
      <c r="Z827" s="220"/>
      <c r="AA827" s="400"/>
      <c r="AB827" s="401"/>
      <c r="AC827" s="199"/>
      <c r="AD827" s="220"/>
      <c r="AE827" s="400"/>
      <c r="AF827" s="401"/>
      <c r="AG827" s="201"/>
      <c r="AH827" s="201"/>
      <c r="AI827" s="201"/>
      <c r="AJ827" s="201"/>
      <c r="AK827" s="397"/>
      <c r="AL827" s="397"/>
      <c r="AM827" s="397"/>
    </row>
    <row r="828">
      <c r="A828" s="316"/>
      <c r="B828" s="317"/>
      <c r="C828" s="318"/>
      <c r="D828" s="397"/>
      <c r="E828" s="316"/>
      <c r="F828" s="317"/>
      <c r="G828" s="318"/>
      <c r="H828" s="397"/>
      <c r="I828" s="316"/>
      <c r="J828" s="317"/>
      <c r="K828" s="318"/>
      <c r="L828" s="397"/>
      <c r="M828" s="316"/>
      <c r="N828" s="317"/>
      <c r="O828" s="318"/>
      <c r="P828" s="397"/>
      <c r="Q828" s="199"/>
      <c r="R828" s="220"/>
      <c r="S828" s="400"/>
      <c r="T828" s="401"/>
      <c r="U828" s="199"/>
      <c r="V828" s="220"/>
      <c r="W828" s="400"/>
      <c r="X828" s="401"/>
      <c r="Y828" s="199"/>
      <c r="Z828" s="220"/>
      <c r="AA828" s="400"/>
      <c r="AB828" s="401"/>
      <c r="AC828" s="199"/>
      <c r="AD828" s="220"/>
      <c r="AE828" s="400"/>
      <c r="AF828" s="401"/>
      <c r="AG828" s="201"/>
      <c r="AH828" s="201"/>
      <c r="AI828" s="201"/>
      <c r="AJ828" s="201"/>
      <c r="AK828" s="397"/>
      <c r="AL828" s="397"/>
      <c r="AM828" s="397"/>
    </row>
    <row r="829">
      <c r="A829" s="316"/>
      <c r="B829" s="317"/>
      <c r="C829" s="318"/>
      <c r="D829" s="397"/>
      <c r="E829" s="316"/>
      <c r="F829" s="317"/>
      <c r="G829" s="318"/>
      <c r="H829" s="397"/>
      <c r="I829" s="316"/>
      <c r="J829" s="317"/>
      <c r="K829" s="318"/>
      <c r="L829" s="397"/>
      <c r="M829" s="316"/>
      <c r="N829" s="317"/>
      <c r="O829" s="318"/>
      <c r="P829" s="397"/>
      <c r="Q829" s="199"/>
      <c r="R829" s="220"/>
      <c r="S829" s="400"/>
      <c r="T829" s="401"/>
      <c r="U829" s="199"/>
      <c r="V829" s="220"/>
      <c r="W829" s="400"/>
      <c r="X829" s="401"/>
      <c r="Y829" s="199"/>
      <c r="Z829" s="220"/>
      <c r="AA829" s="400"/>
      <c r="AB829" s="401"/>
      <c r="AC829" s="199"/>
      <c r="AD829" s="220"/>
      <c r="AE829" s="400"/>
      <c r="AF829" s="401"/>
      <c r="AG829" s="201"/>
      <c r="AH829" s="201"/>
      <c r="AI829" s="201"/>
      <c r="AJ829" s="201"/>
      <c r="AK829" s="397"/>
      <c r="AL829" s="397"/>
      <c r="AM829" s="397"/>
    </row>
    <row r="830">
      <c r="A830" s="316"/>
      <c r="B830" s="317"/>
      <c r="C830" s="318"/>
      <c r="D830" s="397"/>
      <c r="E830" s="316"/>
      <c r="F830" s="317"/>
      <c r="G830" s="318"/>
      <c r="H830" s="397"/>
      <c r="I830" s="316"/>
      <c r="J830" s="317"/>
      <c r="K830" s="318"/>
      <c r="L830" s="397"/>
      <c r="M830" s="316"/>
      <c r="N830" s="317"/>
      <c r="O830" s="318"/>
      <c r="P830" s="397"/>
      <c r="Q830" s="199"/>
      <c r="R830" s="220"/>
      <c r="S830" s="400"/>
      <c r="T830" s="401"/>
      <c r="U830" s="199"/>
      <c r="V830" s="220"/>
      <c r="W830" s="400"/>
      <c r="X830" s="401"/>
      <c r="Y830" s="199"/>
      <c r="Z830" s="220"/>
      <c r="AA830" s="400"/>
      <c r="AB830" s="401"/>
      <c r="AC830" s="199"/>
      <c r="AD830" s="220"/>
      <c r="AE830" s="400"/>
      <c r="AF830" s="401"/>
      <c r="AG830" s="201"/>
      <c r="AH830" s="201"/>
      <c r="AI830" s="201"/>
      <c r="AJ830" s="201"/>
      <c r="AK830" s="397"/>
      <c r="AL830" s="397"/>
      <c r="AM830" s="397"/>
    </row>
    <row r="831">
      <c r="A831" s="316"/>
      <c r="B831" s="317"/>
      <c r="C831" s="318"/>
      <c r="D831" s="397"/>
      <c r="E831" s="316"/>
      <c r="F831" s="317"/>
      <c r="G831" s="318"/>
      <c r="H831" s="397"/>
      <c r="I831" s="316"/>
      <c r="J831" s="317"/>
      <c r="K831" s="318"/>
      <c r="L831" s="397"/>
      <c r="M831" s="316"/>
      <c r="N831" s="317"/>
      <c r="O831" s="318"/>
      <c r="P831" s="397"/>
      <c r="Q831" s="199"/>
      <c r="R831" s="220"/>
      <c r="S831" s="400"/>
      <c r="T831" s="401"/>
      <c r="U831" s="199"/>
      <c r="V831" s="220"/>
      <c r="W831" s="400"/>
      <c r="X831" s="401"/>
      <c r="Y831" s="199"/>
      <c r="Z831" s="220"/>
      <c r="AA831" s="400"/>
      <c r="AB831" s="401"/>
      <c r="AC831" s="199"/>
      <c r="AD831" s="220"/>
      <c r="AE831" s="400"/>
      <c r="AF831" s="401"/>
      <c r="AG831" s="201"/>
      <c r="AH831" s="201"/>
      <c r="AI831" s="201"/>
      <c r="AJ831" s="201"/>
      <c r="AK831" s="397"/>
      <c r="AL831" s="397"/>
      <c r="AM831" s="397"/>
    </row>
    <row r="832">
      <c r="A832" s="316"/>
      <c r="B832" s="317"/>
      <c r="C832" s="318"/>
      <c r="D832" s="397"/>
      <c r="E832" s="316"/>
      <c r="F832" s="317"/>
      <c r="G832" s="318"/>
      <c r="H832" s="397"/>
      <c r="I832" s="316"/>
      <c r="J832" s="317"/>
      <c r="K832" s="318"/>
      <c r="L832" s="397"/>
      <c r="M832" s="316"/>
      <c r="N832" s="317"/>
      <c r="O832" s="318"/>
      <c r="P832" s="397"/>
      <c r="Q832" s="199"/>
      <c r="R832" s="220"/>
      <c r="S832" s="400"/>
      <c r="T832" s="401"/>
      <c r="U832" s="199"/>
      <c r="V832" s="220"/>
      <c r="W832" s="400"/>
      <c r="X832" s="401"/>
      <c r="Y832" s="199"/>
      <c r="Z832" s="220"/>
      <c r="AA832" s="400"/>
      <c r="AB832" s="401"/>
      <c r="AC832" s="199"/>
      <c r="AD832" s="220"/>
      <c r="AE832" s="400"/>
      <c r="AF832" s="401"/>
      <c r="AG832" s="201"/>
      <c r="AH832" s="201"/>
      <c r="AI832" s="201"/>
      <c r="AJ832" s="201"/>
      <c r="AK832" s="397"/>
      <c r="AL832" s="397"/>
      <c r="AM832" s="397"/>
    </row>
    <row r="833">
      <c r="A833" s="316"/>
      <c r="B833" s="317"/>
      <c r="C833" s="318"/>
      <c r="D833" s="397"/>
      <c r="E833" s="316"/>
      <c r="F833" s="317"/>
      <c r="G833" s="318"/>
      <c r="H833" s="397"/>
      <c r="I833" s="316"/>
      <c r="J833" s="317"/>
      <c r="K833" s="318"/>
      <c r="L833" s="397"/>
      <c r="M833" s="316"/>
      <c r="N833" s="317"/>
      <c r="O833" s="318"/>
      <c r="P833" s="397"/>
      <c r="Q833" s="199"/>
      <c r="R833" s="220"/>
      <c r="S833" s="400"/>
      <c r="T833" s="401"/>
      <c r="U833" s="199"/>
      <c r="V833" s="220"/>
      <c r="W833" s="400"/>
      <c r="X833" s="401"/>
      <c r="Y833" s="199"/>
      <c r="Z833" s="220"/>
      <c r="AA833" s="400"/>
      <c r="AB833" s="401"/>
      <c r="AC833" s="199"/>
      <c r="AD833" s="220"/>
      <c r="AE833" s="400"/>
      <c r="AF833" s="401"/>
      <c r="AG833" s="201"/>
      <c r="AH833" s="201"/>
      <c r="AI833" s="201"/>
      <c r="AJ833" s="201"/>
      <c r="AK833" s="397"/>
      <c r="AL833" s="397"/>
      <c r="AM833" s="397"/>
    </row>
    <row r="834">
      <c r="A834" s="316"/>
      <c r="B834" s="317"/>
      <c r="C834" s="318"/>
      <c r="D834" s="397"/>
      <c r="E834" s="316"/>
      <c r="F834" s="317"/>
      <c r="G834" s="318"/>
      <c r="H834" s="397"/>
      <c r="I834" s="316"/>
      <c r="J834" s="317"/>
      <c r="K834" s="318"/>
      <c r="L834" s="397"/>
      <c r="M834" s="316"/>
      <c r="N834" s="317"/>
      <c r="O834" s="318"/>
      <c r="P834" s="397"/>
      <c r="Q834" s="199"/>
      <c r="R834" s="220"/>
      <c r="S834" s="400"/>
      <c r="T834" s="401"/>
      <c r="U834" s="199"/>
      <c r="V834" s="220"/>
      <c r="W834" s="400"/>
      <c r="X834" s="401"/>
      <c r="Y834" s="199"/>
      <c r="Z834" s="220"/>
      <c r="AA834" s="400"/>
      <c r="AB834" s="401"/>
      <c r="AC834" s="199"/>
      <c r="AD834" s="220"/>
      <c r="AE834" s="400"/>
      <c r="AF834" s="401"/>
      <c r="AG834" s="201"/>
      <c r="AH834" s="201"/>
      <c r="AI834" s="201"/>
      <c r="AJ834" s="201"/>
      <c r="AK834" s="397"/>
      <c r="AL834" s="397"/>
      <c r="AM834" s="397"/>
    </row>
    <row r="835">
      <c r="A835" s="316"/>
      <c r="B835" s="317"/>
      <c r="C835" s="318"/>
      <c r="D835" s="397"/>
      <c r="E835" s="316"/>
      <c r="F835" s="317"/>
      <c r="G835" s="318"/>
      <c r="H835" s="397"/>
      <c r="I835" s="316"/>
      <c r="J835" s="317"/>
      <c r="K835" s="318"/>
      <c r="L835" s="397"/>
      <c r="M835" s="316"/>
      <c r="N835" s="317"/>
      <c r="O835" s="318"/>
      <c r="P835" s="397"/>
      <c r="Q835" s="199"/>
      <c r="R835" s="220"/>
      <c r="S835" s="400"/>
      <c r="T835" s="401"/>
      <c r="U835" s="199"/>
      <c r="V835" s="220"/>
      <c r="W835" s="400"/>
      <c r="X835" s="401"/>
      <c r="Y835" s="199"/>
      <c r="Z835" s="220"/>
      <c r="AA835" s="400"/>
      <c r="AB835" s="401"/>
      <c r="AC835" s="199"/>
      <c r="AD835" s="220"/>
      <c r="AE835" s="400"/>
      <c r="AF835" s="401"/>
      <c r="AG835" s="201"/>
      <c r="AH835" s="201"/>
      <c r="AI835" s="201"/>
      <c r="AJ835" s="201"/>
      <c r="AK835" s="397"/>
      <c r="AL835" s="397"/>
      <c r="AM835" s="397"/>
    </row>
    <row r="836">
      <c r="A836" s="316"/>
      <c r="B836" s="317"/>
      <c r="C836" s="318"/>
      <c r="D836" s="397"/>
      <c r="E836" s="316"/>
      <c r="F836" s="317"/>
      <c r="G836" s="318"/>
      <c r="H836" s="397"/>
      <c r="I836" s="316"/>
      <c r="J836" s="317"/>
      <c r="K836" s="318"/>
      <c r="L836" s="397"/>
      <c r="M836" s="316"/>
      <c r="N836" s="317"/>
      <c r="O836" s="318"/>
      <c r="P836" s="397"/>
      <c r="Q836" s="199"/>
      <c r="R836" s="220"/>
      <c r="S836" s="400"/>
      <c r="T836" s="401"/>
      <c r="U836" s="199"/>
      <c r="V836" s="220"/>
      <c r="W836" s="400"/>
      <c r="X836" s="401"/>
      <c r="Y836" s="199"/>
      <c r="Z836" s="220"/>
      <c r="AA836" s="400"/>
      <c r="AB836" s="401"/>
      <c r="AC836" s="199"/>
      <c r="AD836" s="220"/>
      <c r="AE836" s="400"/>
      <c r="AF836" s="401"/>
      <c r="AG836" s="201"/>
      <c r="AH836" s="201"/>
      <c r="AI836" s="201"/>
      <c r="AJ836" s="201"/>
      <c r="AK836" s="397"/>
      <c r="AL836" s="397"/>
      <c r="AM836" s="397"/>
    </row>
    <row r="837">
      <c r="A837" s="316"/>
      <c r="B837" s="317"/>
      <c r="C837" s="318"/>
      <c r="D837" s="397"/>
      <c r="E837" s="316"/>
      <c r="F837" s="317"/>
      <c r="G837" s="318"/>
      <c r="H837" s="397"/>
      <c r="I837" s="316"/>
      <c r="J837" s="317"/>
      <c r="K837" s="318"/>
      <c r="L837" s="397"/>
      <c r="M837" s="316"/>
      <c r="N837" s="317"/>
      <c r="O837" s="318"/>
      <c r="P837" s="397"/>
      <c r="Q837" s="199"/>
      <c r="R837" s="220"/>
      <c r="S837" s="400"/>
      <c r="T837" s="401"/>
      <c r="U837" s="199"/>
      <c r="V837" s="220"/>
      <c r="W837" s="400"/>
      <c r="X837" s="401"/>
      <c r="Y837" s="199"/>
      <c r="Z837" s="220"/>
      <c r="AA837" s="400"/>
      <c r="AB837" s="401"/>
      <c r="AC837" s="199"/>
      <c r="AD837" s="220"/>
      <c r="AE837" s="400"/>
      <c r="AF837" s="401"/>
      <c r="AG837" s="201"/>
      <c r="AH837" s="201"/>
      <c r="AI837" s="201"/>
      <c r="AJ837" s="201"/>
      <c r="AK837" s="397"/>
      <c r="AL837" s="397"/>
      <c r="AM837" s="397"/>
    </row>
    <row r="838">
      <c r="A838" s="316"/>
      <c r="B838" s="317"/>
      <c r="C838" s="318"/>
      <c r="D838" s="397"/>
      <c r="E838" s="316"/>
      <c r="F838" s="317"/>
      <c r="G838" s="318"/>
      <c r="H838" s="397"/>
      <c r="I838" s="316"/>
      <c r="J838" s="317"/>
      <c r="K838" s="318"/>
      <c r="L838" s="397"/>
      <c r="M838" s="316"/>
      <c r="N838" s="317"/>
      <c r="O838" s="318"/>
      <c r="P838" s="397"/>
      <c r="Q838" s="199"/>
      <c r="R838" s="220"/>
      <c r="S838" s="400"/>
      <c r="T838" s="401"/>
      <c r="U838" s="199"/>
      <c r="V838" s="220"/>
      <c r="W838" s="400"/>
      <c r="X838" s="401"/>
      <c r="Y838" s="199"/>
      <c r="Z838" s="220"/>
      <c r="AA838" s="400"/>
      <c r="AB838" s="401"/>
      <c r="AC838" s="199"/>
      <c r="AD838" s="220"/>
      <c r="AE838" s="400"/>
      <c r="AF838" s="401"/>
      <c r="AG838" s="201"/>
      <c r="AH838" s="201"/>
      <c r="AI838" s="201"/>
      <c r="AJ838" s="201"/>
      <c r="AK838" s="397"/>
      <c r="AL838" s="397"/>
      <c r="AM838" s="397"/>
    </row>
    <row r="839">
      <c r="A839" s="316"/>
      <c r="B839" s="317"/>
      <c r="C839" s="318"/>
      <c r="D839" s="397"/>
      <c r="E839" s="316"/>
      <c r="F839" s="317"/>
      <c r="G839" s="318"/>
      <c r="H839" s="397"/>
      <c r="I839" s="316"/>
      <c r="J839" s="317"/>
      <c r="K839" s="318"/>
      <c r="L839" s="397"/>
      <c r="M839" s="316"/>
      <c r="N839" s="317"/>
      <c r="O839" s="318"/>
      <c r="P839" s="397"/>
      <c r="Q839" s="199"/>
      <c r="R839" s="220"/>
      <c r="S839" s="400"/>
      <c r="T839" s="401"/>
      <c r="U839" s="199"/>
      <c r="V839" s="220"/>
      <c r="W839" s="400"/>
      <c r="X839" s="401"/>
      <c r="Y839" s="199"/>
      <c r="Z839" s="220"/>
      <c r="AA839" s="400"/>
      <c r="AB839" s="401"/>
      <c r="AC839" s="199"/>
      <c r="AD839" s="220"/>
      <c r="AE839" s="400"/>
      <c r="AF839" s="401"/>
      <c r="AG839" s="201"/>
      <c r="AH839" s="201"/>
      <c r="AI839" s="201"/>
      <c r="AJ839" s="201"/>
      <c r="AK839" s="397"/>
      <c r="AL839" s="397"/>
      <c r="AM839" s="397"/>
    </row>
    <row r="840">
      <c r="A840" s="316"/>
      <c r="B840" s="317"/>
      <c r="C840" s="318"/>
      <c r="D840" s="397"/>
      <c r="E840" s="316"/>
      <c r="F840" s="317"/>
      <c r="G840" s="318"/>
      <c r="H840" s="397"/>
      <c r="I840" s="316"/>
      <c r="J840" s="317"/>
      <c r="K840" s="318"/>
      <c r="L840" s="397"/>
      <c r="M840" s="316"/>
      <c r="N840" s="317"/>
      <c r="O840" s="318"/>
      <c r="P840" s="397"/>
      <c r="Q840" s="199"/>
      <c r="R840" s="220"/>
      <c r="S840" s="400"/>
      <c r="T840" s="401"/>
      <c r="U840" s="199"/>
      <c r="V840" s="220"/>
      <c r="W840" s="400"/>
      <c r="X840" s="401"/>
      <c r="Y840" s="199"/>
      <c r="Z840" s="220"/>
      <c r="AA840" s="400"/>
      <c r="AB840" s="401"/>
      <c r="AC840" s="199"/>
      <c r="AD840" s="220"/>
      <c r="AE840" s="400"/>
      <c r="AF840" s="401"/>
      <c r="AG840" s="201"/>
      <c r="AH840" s="201"/>
      <c r="AI840" s="201"/>
      <c r="AJ840" s="201"/>
      <c r="AK840" s="397"/>
      <c r="AL840" s="397"/>
      <c r="AM840" s="397"/>
    </row>
    <row r="841">
      <c r="A841" s="316"/>
      <c r="B841" s="317"/>
      <c r="C841" s="318"/>
      <c r="D841" s="397"/>
      <c r="E841" s="316"/>
      <c r="F841" s="317"/>
      <c r="G841" s="318"/>
      <c r="H841" s="397"/>
      <c r="I841" s="316"/>
      <c r="J841" s="317"/>
      <c r="K841" s="318"/>
      <c r="L841" s="397"/>
      <c r="M841" s="316"/>
      <c r="N841" s="317"/>
      <c r="O841" s="318"/>
      <c r="P841" s="397"/>
      <c r="Q841" s="199"/>
      <c r="R841" s="220"/>
      <c r="S841" s="400"/>
      <c r="T841" s="401"/>
      <c r="U841" s="199"/>
      <c r="V841" s="220"/>
      <c r="W841" s="400"/>
      <c r="X841" s="401"/>
      <c r="Y841" s="199"/>
      <c r="Z841" s="220"/>
      <c r="AA841" s="400"/>
      <c r="AB841" s="401"/>
      <c r="AC841" s="199"/>
      <c r="AD841" s="220"/>
      <c r="AE841" s="400"/>
      <c r="AF841" s="401"/>
      <c r="AG841" s="201"/>
      <c r="AH841" s="201"/>
      <c r="AI841" s="201"/>
      <c r="AJ841" s="201"/>
      <c r="AK841" s="397"/>
      <c r="AL841" s="397"/>
      <c r="AM841" s="397"/>
    </row>
    <row r="842">
      <c r="A842" s="316"/>
      <c r="B842" s="317"/>
      <c r="C842" s="318"/>
      <c r="D842" s="397"/>
      <c r="E842" s="316"/>
      <c r="F842" s="317"/>
      <c r="G842" s="318"/>
      <c r="H842" s="397"/>
      <c r="I842" s="316"/>
      <c r="J842" s="317"/>
      <c r="K842" s="318"/>
      <c r="L842" s="397"/>
      <c r="M842" s="316"/>
      <c r="N842" s="317"/>
      <c r="O842" s="318"/>
      <c r="P842" s="397"/>
      <c r="Q842" s="199"/>
      <c r="R842" s="220"/>
      <c r="S842" s="400"/>
      <c r="T842" s="401"/>
      <c r="U842" s="199"/>
      <c r="V842" s="220"/>
      <c r="W842" s="400"/>
      <c r="X842" s="401"/>
      <c r="Y842" s="199"/>
      <c r="Z842" s="220"/>
      <c r="AA842" s="400"/>
      <c r="AB842" s="401"/>
      <c r="AC842" s="199"/>
      <c r="AD842" s="220"/>
      <c r="AE842" s="400"/>
      <c r="AF842" s="401"/>
      <c r="AG842" s="201"/>
      <c r="AH842" s="201"/>
      <c r="AI842" s="201"/>
      <c r="AJ842" s="201"/>
      <c r="AK842" s="397"/>
      <c r="AL842" s="397"/>
      <c r="AM842" s="397"/>
    </row>
    <row r="843">
      <c r="A843" s="316"/>
      <c r="B843" s="317"/>
      <c r="C843" s="318"/>
      <c r="D843" s="397"/>
      <c r="E843" s="316"/>
      <c r="F843" s="317"/>
      <c r="G843" s="318"/>
      <c r="H843" s="397"/>
      <c r="I843" s="316"/>
      <c r="J843" s="317"/>
      <c r="K843" s="318"/>
      <c r="L843" s="397"/>
      <c r="M843" s="316"/>
      <c r="N843" s="317"/>
      <c r="O843" s="318"/>
      <c r="P843" s="397"/>
      <c r="Q843" s="199"/>
      <c r="R843" s="220"/>
      <c r="S843" s="400"/>
      <c r="T843" s="401"/>
      <c r="U843" s="199"/>
      <c r="V843" s="220"/>
      <c r="W843" s="400"/>
      <c r="X843" s="401"/>
      <c r="Y843" s="199"/>
      <c r="Z843" s="220"/>
      <c r="AA843" s="400"/>
      <c r="AB843" s="401"/>
      <c r="AC843" s="199"/>
      <c r="AD843" s="220"/>
      <c r="AE843" s="400"/>
      <c r="AF843" s="401"/>
      <c r="AG843" s="201"/>
      <c r="AH843" s="201"/>
      <c r="AI843" s="201"/>
      <c r="AJ843" s="201"/>
      <c r="AK843" s="397"/>
      <c r="AL843" s="397"/>
      <c r="AM843" s="397"/>
    </row>
    <row r="844">
      <c r="A844" s="316"/>
      <c r="B844" s="317"/>
      <c r="C844" s="318"/>
      <c r="D844" s="397"/>
      <c r="E844" s="316"/>
      <c r="F844" s="317"/>
      <c r="G844" s="318"/>
      <c r="H844" s="397"/>
      <c r="I844" s="316"/>
      <c r="J844" s="317"/>
      <c r="K844" s="318"/>
      <c r="L844" s="397"/>
      <c r="M844" s="316"/>
      <c r="N844" s="317"/>
      <c r="O844" s="318"/>
      <c r="P844" s="397"/>
      <c r="Q844" s="199"/>
      <c r="R844" s="220"/>
      <c r="S844" s="400"/>
      <c r="T844" s="401"/>
      <c r="U844" s="199"/>
      <c r="V844" s="220"/>
      <c r="W844" s="400"/>
      <c r="X844" s="401"/>
      <c r="Y844" s="199"/>
      <c r="Z844" s="220"/>
      <c r="AA844" s="400"/>
      <c r="AB844" s="401"/>
      <c r="AC844" s="199"/>
      <c r="AD844" s="220"/>
      <c r="AE844" s="400"/>
      <c r="AF844" s="401"/>
      <c r="AG844" s="201"/>
      <c r="AH844" s="201"/>
      <c r="AI844" s="201"/>
      <c r="AJ844" s="201"/>
      <c r="AK844" s="397"/>
      <c r="AL844" s="397"/>
      <c r="AM844" s="397"/>
    </row>
    <row r="845">
      <c r="A845" s="316"/>
      <c r="B845" s="317"/>
      <c r="C845" s="318"/>
      <c r="D845" s="397"/>
      <c r="E845" s="316"/>
      <c r="F845" s="317"/>
      <c r="G845" s="318"/>
      <c r="H845" s="397"/>
      <c r="I845" s="316"/>
      <c r="J845" s="317"/>
      <c r="K845" s="318"/>
      <c r="L845" s="397"/>
      <c r="M845" s="316"/>
      <c r="N845" s="317"/>
      <c r="O845" s="318"/>
      <c r="P845" s="397"/>
      <c r="Q845" s="199"/>
      <c r="R845" s="220"/>
      <c r="S845" s="400"/>
      <c r="T845" s="401"/>
      <c r="U845" s="199"/>
      <c r="V845" s="220"/>
      <c r="W845" s="400"/>
      <c r="X845" s="401"/>
      <c r="Y845" s="199"/>
      <c r="Z845" s="220"/>
      <c r="AA845" s="400"/>
      <c r="AB845" s="401"/>
      <c r="AC845" s="199"/>
      <c r="AD845" s="220"/>
      <c r="AE845" s="400"/>
      <c r="AF845" s="401"/>
      <c r="AG845" s="201"/>
      <c r="AH845" s="201"/>
      <c r="AI845" s="201"/>
      <c r="AJ845" s="201"/>
      <c r="AK845" s="397"/>
      <c r="AL845" s="397"/>
      <c r="AM845" s="397"/>
    </row>
    <row r="846">
      <c r="A846" s="316"/>
      <c r="B846" s="317"/>
      <c r="C846" s="318"/>
      <c r="D846" s="397"/>
      <c r="E846" s="316"/>
      <c r="F846" s="317"/>
      <c r="G846" s="318"/>
      <c r="H846" s="397"/>
      <c r="I846" s="316"/>
      <c r="J846" s="317"/>
      <c r="K846" s="318"/>
      <c r="L846" s="397"/>
      <c r="M846" s="316"/>
      <c r="N846" s="317"/>
      <c r="O846" s="318"/>
      <c r="P846" s="397"/>
      <c r="Q846" s="199"/>
      <c r="R846" s="220"/>
      <c r="S846" s="400"/>
      <c r="T846" s="401"/>
      <c r="U846" s="199"/>
      <c r="V846" s="220"/>
      <c r="W846" s="400"/>
      <c r="X846" s="401"/>
      <c r="Y846" s="199"/>
      <c r="Z846" s="220"/>
      <c r="AA846" s="400"/>
      <c r="AB846" s="401"/>
      <c r="AC846" s="199"/>
      <c r="AD846" s="220"/>
      <c r="AE846" s="400"/>
      <c r="AF846" s="401"/>
      <c r="AG846" s="201"/>
      <c r="AH846" s="201"/>
      <c r="AI846" s="201"/>
      <c r="AJ846" s="201"/>
      <c r="AK846" s="397"/>
      <c r="AL846" s="397"/>
      <c r="AM846" s="397"/>
    </row>
    <row r="847">
      <c r="A847" s="316"/>
      <c r="B847" s="317"/>
      <c r="C847" s="318"/>
      <c r="D847" s="397"/>
      <c r="E847" s="316"/>
      <c r="F847" s="317"/>
      <c r="G847" s="318"/>
      <c r="H847" s="397"/>
      <c r="I847" s="316"/>
      <c r="J847" s="317"/>
      <c r="K847" s="318"/>
      <c r="L847" s="397"/>
      <c r="M847" s="316"/>
      <c r="N847" s="317"/>
      <c r="O847" s="318"/>
      <c r="P847" s="397"/>
      <c r="Q847" s="199"/>
      <c r="R847" s="220"/>
      <c r="S847" s="400"/>
      <c r="T847" s="401"/>
      <c r="U847" s="199"/>
      <c r="V847" s="220"/>
      <c r="W847" s="400"/>
      <c r="X847" s="401"/>
      <c r="Y847" s="199"/>
      <c r="Z847" s="220"/>
      <c r="AA847" s="400"/>
      <c r="AB847" s="401"/>
      <c r="AC847" s="199"/>
      <c r="AD847" s="220"/>
      <c r="AE847" s="400"/>
      <c r="AF847" s="401"/>
      <c r="AG847" s="201"/>
      <c r="AH847" s="201"/>
      <c r="AI847" s="201"/>
      <c r="AJ847" s="201"/>
      <c r="AK847" s="397"/>
      <c r="AL847" s="397"/>
      <c r="AM847" s="397"/>
    </row>
    <row r="848">
      <c r="A848" s="316"/>
      <c r="B848" s="317"/>
      <c r="C848" s="318"/>
      <c r="D848" s="397"/>
      <c r="E848" s="316"/>
      <c r="F848" s="317"/>
      <c r="G848" s="318"/>
      <c r="H848" s="397"/>
      <c r="I848" s="316"/>
      <c r="J848" s="317"/>
      <c r="K848" s="318"/>
      <c r="L848" s="397"/>
      <c r="M848" s="316"/>
      <c r="N848" s="317"/>
      <c r="O848" s="318"/>
      <c r="P848" s="397"/>
      <c r="Q848" s="199"/>
      <c r="R848" s="220"/>
      <c r="S848" s="400"/>
      <c r="T848" s="401"/>
      <c r="U848" s="199"/>
      <c r="V848" s="220"/>
      <c r="W848" s="400"/>
      <c r="X848" s="401"/>
      <c r="Y848" s="199"/>
      <c r="Z848" s="220"/>
      <c r="AA848" s="400"/>
      <c r="AB848" s="401"/>
      <c r="AC848" s="199"/>
      <c r="AD848" s="220"/>
      <c r="AE848" s="400"/>
      <c r="AF848" s="401"/>
      <c r="AG848" s="201"/>
      <c r="AH848" s="201"/>
      <c r="AI848" s="201"/>
      <c r="AJ848" s="201"/>
      <c r="AK848" s="397"/>
      <c r="AL848" s="397"/>
      <c r="AM848" s="397"/>
    </row>
    <row r="849">
      <c r="A849" s="316"/>
      <c r="B849" s="317"/>
      <c r="C849" s="318"/>
      <c r="D849" s="397"/>
      <c r="E849" s="316"/>
      <c r="F849" s="317"/>
      <c r="G849" s="318"/>
      <c r="H849" s="397"/>
      <c r="I849" s="316"/>
      <c r="J849" s="317"/>
      <c r="K849" s="318"/>
      <c r="L849" s="397"/>
      <c r="M849" s="316"/>
      <c r="N849" s="317"/>
      <c r="O849" s="318"/>
      <c r="P849" s="397"/>
      <c r="Q849" s="199"/>
      <c r="R849" s="220"/>
      <c r="S849" s="400"/>
      <c r="T849" s="401"/>
      <c r="U849" s="199"/>
      <c r="V849" s="220"/>
      <c r="W849" s="400"/>
      <c r="X849" s="401"/>
      <c r="Y849" s="199"/>
      <c r="Z849" s="220"/>
      <c r="AA849" s="400"/>
      <c r="AB849" s="401"/>
      <c r="AC849" s="199"/>
      <c r="AD849" s="220"/>
      <c r="AE849" s="400"/>
      <c r="AF849" s="401"/>
      <c r="AG849" s="201"/>
      <c r="AH849" s="201"/>
      <c r="AI849" s="201"/>
      <c r="AJ849" s="201"/>
      <c r="AK849" s="397"/>
      <c r="AL849" s="397"/>
      <c r="AM849" s="397"/>
    </row>
    <row r="850">
      <c r="A850" s="316"/>
      <c r="B850" s="317"/>
      <c r="C850" s="318"/>
      <c r="D850" s="397"/>
      <c r="E850" s="316"/>
      <c r="F850" s="317"/>
      <c r="G850" s="318"/>
      <c r="H850" s="397"/>
      <c r="I850" s="316"/>
      <c r="J850" s="317"/>
      <c r="K850" s="318"/>
      <c r="L850" s="397"/>
      <c r="M850" s="316"/>
      <c r="N850" s="317"/>
      <c r="O850" s="318"/>
      <c r="P850" s="397"/>
      <c r="Q850" s="199"/>
      <c r="R850" s="220"/>
      <c r="S850" s="400"/>
      <c r="T850" s="401"/>
      <c r="U850" s="199"/>
      <c r="V850" s="220"/>
      <c r="W850" s="400"/>
      <c r="X850" s="401"/>
      <c r="Y850" s="199"/>
      <c r="Z850" s="220"/>
      <c r="AA850" s="400"/>
      <c r="AB850" s="401"/>
      <c r="AC850" s="199"/>
      <c r="AD850" s="220"/>
      <c r="AE850" s="400"/>
      <c r="AF850" s="401"/>
      <c r="AG850" s="201"/>
      <c r="AH850" s="201"/>
      <c r="AI850" s="201"/>
      <c r="AJ850" s="201"/>
      <c r="AK850" s="397"/>
      <c r="AL850" s="397"/>
      <c r="AM850" s="397"/>
    </row>
    <row r="851">
      <c r="A851" s="316"/>
      <c r="B851" s="317"/>
      <c r="C851" s="318"/>
      <c r="D851" s="397"/>
      <c r="E851" s="316"/>
      <c r="F851" s="317"/>
      <c r="G851" s="318"/>
      <c r="H851" s="397"/>
      <c r="I851" s="316"/>
      <c r="J851" s="317"/>
      <c r="K851" s="318"/>
      <c r="L851" s="397"/>
      <c r="M851" s="316"/>
      <c r="N851" s="317"/>
      <c r="O851" s="318"/>
      <c r="P851" s="397"/>
      <c r="Q851" s="199"/>
      <c r="R851" s="220"/>
      <c r="S851" s="400"/>
      <c r="T851" s="401"/>
      <c r="U851" s="199"/>
      <c r="V851" s="220"/>
      <c r="W851" s="400"/>
      <c r="X851" s="401"/>
      <c r="Y851" s="199"/>
      <c r="Z851" s="220"/>
      <c r="AA851" s="400"/>
      <c r="AB851" s="401"/>
      <c r="AC851" s="199"/>
      <c r="AD851" s="220"/>
      <c r="AE851" s="400"/>
      <c r="AF851" s="401"/>
      <c r="AG851" s="201"/>
      <c r="AH851" s="201"/>
      <c r="AI851" s="201"/>
      <c r="AJ851" s="201"/>
      <c r="AK851" s="397"/>
      <c r="AL851" s="397"/>
      <c r="AM851" s="397"/>
    </row>
    <row r="852">
      <c r="A852" s="316"/>
      <c r="B852" s="317"/>
      <c r="C852" s="318"/>
      <c r="D852" s="397"/>
      <c r="E852" s="316"/>
      <c r="F852" s="317"/>
      <c r="G852" s="318"/>
      <c r="H852" s="397"/>
      <c r="I852" s="316"/>
      <c r="J852" s="317"/>
      <c r="K852" s="318"/>
      <c r="L852" s="397"/>
      <c r="M852" s="316"/>
      <c r="N852" s="317"/>
      <c r="O852" s="318"/>
      <c r="P852" s="397"/>
      <c r="Q852" s="199"/>
      <c r="R852" s="220"/>
      <c r="S852" s="400"/>
      <c r="T852" s="401"/>
      <c r="U852" s="199"/>
      <c r="V852" s="220"/>
      <c r="W852" s="400"/>
      <c r="X852" s="401"/>
      <c r="Y852" s="199"/>
      <c r="Z852" s="220"/>
      <c r="AA852" s="400"/>
      <c r="AB852" s="401"/>
      <c r="AC852" s="199"/>
      <c r="AD852" s="220"/>
      <c r="AE852" s="400"/>
      <c r="AF852" s="401"/>
      <c r="AG852" s="201"/>
      <c r="AH852" s="201"/>
      <c r="AI852" s="201"/>
      <c r="AJ852" s="201"/>
      <c r="AK852" s="397"/>
      <c r="AL852" s="397"/>
      <c r="AM852" s="397"/>
    </row>
    <row r="853">
      <c r="A853" s="316"/>
      <c r="B853" s="317"/>
      <c r="C853" s="318"/>
      <c r="D853" s="397"/>
      <c r="E853" s="316"/>
      <c r="F853" s="317"/>
      <c r="G853" s="318"/>
      <c r="H853" s="397"/>
      <c r="I853" s="316"/>
      <c r="J853" s="317"/>
      <c r="K853" s="318"/>
      <c r="L853" s="397"/>
      <c r="M853" s="316"/>
      <c r="N853" s="317"/>
      <c r="O853" s="318"/>
      <c r="P853" s="397"/>
      <c r="Q853" s="199"/>
      <c r="R853" s="220"/>
      <c r="S853" s="400"/>
      <c r="T853" s="401"/>
      <c r="U853" s="199"/>
      <c r="V853" s="220"/>
      <c r="W853" s="400"/>
      <c r="X853" s="401"/>
      <c r="Y853" s="199"/>
      <c r="Z853" s="220"/>
      <c r="AA853" s="400"/>
      <c r="AB853" s="401"/>
      <c r="AC853" s="199"/>
      <c r="AD853" s="220"/>
      <c r="AE853" s="400"/>
      <c r="AF853" s="401"/>
      <c r="AG853" s="201"/>
      <c r="AH853" s="201"/>
      <c r="AI853" s="201"/>
      <c r="AJ853" s="201"/>
      <c r="AK853" s="397"/>
      <c r="AL853" s="397"/>
      <c r="AM853" s="397"/>
    </row>
    <row r="854">
      <c r="A854" s="316"/>
      <c r="B854" s="317"/>
      <c r="C854" s="318"/>
      <c r="D854" s="397"/>
      <c r="E854" s="316"/>
      <c r="F854" s="317"/>
      <c r="G854" s="318"/>
      <c r="H854" s="397"/>
      <c r="I854" s="316"/>
      <c r="J854" s="317"/>
      <c r="K854" s="318"/>
      <c r="L854" s="397"/>
      <c r="M854" s="316"/>
      <c r="N854" s="317"/>
      <c r="O854" s="318"/>
      <c r="P854" s="397"/>
      <c r="Q854" s="199"/>
      <c r="R854" s="220"/>
      <c r="S854" s="400"/>
      <c r="T854" s="401"/>
      <c r="U854" s="199"/>
      <c r="V854" s="220"/>
      <c r="W854" s="400"/>
      <c r="X854" s="401"/>
      <c r="Y854" s="199"/>
      <c r="Z854" s="220"/>
      <c r="AA854" s="400"/>
      <c r="AB854" s="401"/>
      <c r="AC854" s="199"/>
      <c r="AD854" s="220"/>
      <c r="AE854" s="400"/>
      <c r="AF854" s="401"/>
      <c r="AG854" s="201"/>
      <c r="AH854" s="201"/>
      <c r="AI854" s="201"/>
      <c r="AJ854" s="201"/>
      <c r="AK854" s="397"/>
      <c r="AL854" s="397"/>
      <c r="AM854" s="397"/>
    </row>
    <row r="855">
      <c r="A855" s="316"/>
      <c r="B855" s="317"/>
      <c r="C855" s="318"/>
      <c r="D855" s="397"/>
      <c r="E855" s="316"/>
      <c r="F855" s="317"/>
      <c r="G855" s="318"/>
      <c r="H855" s="397"/>
      <c r="I855" s="316"/>
      <c r="J855" s="317"/>
      <c r="K855" s="318"/>
      <c r="L855" s="397"/>
      <c r="M855" s="316"/>
      <c r="N855" s="317"/>
      <c r="O855" s="318"/>
      <c r="P855" s="397"/>
      <c r="Q855" s="199"/>
      <c r="R855" s="220"/>
      <c r="S855" s="400"/>
      <c r="T855" s="401"/>
      <c r="U855" s="199"/>
      <c r="V855" s="220"/>
      <c r="W855" s="400"/>
      <c r="X855" s="401"/>
      <c r="Y855" s="199"/>
      <c r="Z855" s="220"/>
      <c r="AA855" s="400"/>
      <c r="AB855" s="401"/>
      <c r="AC855" s="199"/>
      <c r="AD855" s="220"/>
      <c r="AE855" s="400"/>
      <c r="AF855" s="401"/>
      <c r="AG855" s="201"/>
      <c r="AH855" s="201"/>
      <c r="AI855" s="201"/>
      <c r="AJ855" s="201"/>
      <c r="AK855" s="397"/>
      <c r="AL855" s="397"/>
      <c r="AM855" s="397"/>
    </row>
    <row r="856">
      <c r="A856" s="316"/>
      <c r="B856" s="317"/>
      <c r="C856" s="318"/>
      <c r="D856" s="397"/>
      <c r="E856" s="316"/>
      <c r="F856" s="317"/>
      <c r="G856" s="318"/>
      <c r="H856" s="397"/>
      <c r="I856" s="316"/>
      <c r="J856" s="317"/>
      <c r="K856" s="318"/>
      <c r="L856" s="397"/>
      <c r="M856" s="316"/>
      <c r="N856" s="317"/>
      <c r="O856" s="318"/>
      <c r="P856" s="397"/>
      <c r="Q856" s="199"/>
      <c r="R856" s="220"/>
      <c r="S856" s="400"/>
      <c r="T856" s="401"/>
      <c r="U856" s="199"/>
      <c r="V856" s="220"/>
      <c r="W856" s="400"/>
      <c r="X856" s="401"/>
      <c r="Y856" s="199"/>
      <c r="Z856" s="220"/>
      <c r="AA856" s="400"/>
      <c r="AB856" s="401"/>
      <c r="AC856" s="199"/>
      <c r="AD856" s="220"/>
      <c r="AE856" s="400"/>
      <c r="AF856" s="401"/>
      <c r="AG856" s="201"/>
      <c r="AH856" s="201"/>
      <c r="AI856" s="201"/>
      <c r="AJ856" s="201"/>
      <c r="AK856" s="397"/>
      <c r="AL856" s="397"/>
      <c r="AM856" s="397"/>
    </row>
    <row r="857">
      <c r="A857" s="316"/>
      <c r="B857" s="317"/>
      <c r="C857" s="318"/>
      <c r="D857" s="397"/>
      <c r="E857" s="316"/>
      <c r="F857" s="317"/>
      <c r="G857" s="318"/>
      <c r="H857" s="397"/>
      <c r="I857" s="316"/>
      <c r="J857" s="317"/>
      <c r="K857" s="318"/>
      <c r="L857" s="397"/>
      <c r="M857" s="316"/>
      <c r="N857" s="317"/>
      <c r="O857" s="318"/>
      <c r="P857" s="397"/>
      <c r="Q857" s="199"/>
      <c r="R857" s="220"/>
      <c r="S857" s="400"/>
      <c r="T857" s="401"/>
      <c r="U857" s="199"/>
      <c r="V857" s="220"/>
      <c r="W857" s="400"/>
      <c r="X857" s="401"/>
      <c r="Y857" s="199"/>
      <c r="Z857" s="220"/>
      <c r="AA857" s="400"/>
      <c r="AB857" s="401"/>
      <c r="AC857" s="199"/>
      <c r="AD857" s="220"/>
      <c r="AE857" s="400"/>
      <c r="AF857" s="401"/>
      <c r="AG857" s="201"/>
      <c r="AH857" s="201"/>
      <c r="AI857" s="201"/>
      <c r="AJ857" s="201"/>
      <c r="AK857" s="397"/>
      <c r="AL857" s="397"/>
      <c r="AM857" s="397"/>
    </row>
    <row r="858">
      <c r="A858" s="316"/>
      <c r="B858" s="317"/>
      <c r="C858" s="318"/>
      <c r="D858" s="397"/>
      <c r="E858" s="316"/>
      <c r="F858" s="317"/>
      <c r="G858" s="318"/>
      <c r="H858" s="397"/>
      <c r="I858" s="316"/>
      <c r="J858" s="317"/>
      <c r="K858" s="318"/>
      <c r="L858" s="397"/>
      <c r="M858" s="316"/>
      <c r="N858" s="317"/>
      <c r="O858" s="318"/>
      <c r="P858" s="397"/>
      <c r="Q858" s="199"/>
      <c r="R858" s="220"/>
      <c r="S858" s="400"/>
      <c r="T858" s="401"/>
      <c r="U858" s="199"/>
      <c r="V858" s="220"/>
      <c r="W858" s="400"/>
      <c r="X858" s="401"/>
      <c r="Y858" s="199"/>
      <c r="Z858" s="220"/>
      <c r="AA858" s="400"/>
      <c r="AB858" s="401"/>
      <c r="AC858" s="199"/>
      <c r="AD858" s="220"/>
      <c r="AE858" s="400"/>
      <c r="AF858" s="401"/>
      <c r="AG858" s="201"/>
      <c r="AH858" s="201"/>
      <c r="AI858" s="201"/>
      <c r="AJ858" s="201"/>
      <c r="AK858" s="397"/>
      <c r="AL858" s="397"/>
      <c r="AM858" s="397"/>
    </row>
    <row r="859">
      <c r="A859" s="316"/>
      <c r="B859" s="317"/>
      <c r="C859" s="318"/>
      <c r="D859" s="397"/>
      <c r="E859" s="316"/>
      <c r="F859" s="317"/>
      <c r="G859" s="318"/>
      <c r="H859" s="397"/>
      <c r="I859" s="316"/>
      <c r="J859" s="317"/>
      <c r="K859" s="318"/>
      <c r="L859" s="397"/>
      <c r="M859" s="316"/>
      <c r="N859" s="317"/>
      <c r="O859" s="318"/>
      <c r="P859" s="397"/>
      <c r="Q859" s="199"/>
      <c r="R859" s="220"/>
      <c r="S859" s="400"/>
      <c r="T859" s="401"/>
      <c r="U859" s="199"/>
      <c r="V859" s="220"/>
      <c r="W859" s="400"/>
      <c r="X859" s="401"/>
      <c r="Y859" s="199"/>
      <c r="Z859" s="220"/>
      <c r="AA859" s="400"/>
      <c r="AB859" s="401"/>
      <c r="AC859" s="199"/>
      <c r="AD859" s="220"/>
      <c r="AE859" s="400"/>
      <c r="AF859" s="401"/>
      <c r="AG859" s="201"/>
      <c r="AH859" s="201"/>
      <c r="AI859" s="201"/>
      <c r="AJ859" s="201"/>
      <c r="AK859" s="397"/>
      <c r="AL859" s="397"/>
      <c r="AM859" s="397"/>
    </row>
    <row r="860">
      <c r="A860" s="316"/>
      <c r="B860" s="317"/>
      <c r="C860" s="318"/>
      <c r="D860" s="397"/>
      <c r="E860" s="316"/>
      <c r="F860" s="317"/>
      <c r="G860" s="318"/>
      <c r="H860" s="397"/>
      <c r="I860" s="316"/>
      <c r="J860" s="317"/>
      <c r="K860" s="318"/>
      <c r="L860" s="397"/>
      <c r="M860" s="316"/>
      <c r="N860" s="317"/>
      <c r="O860" s="318"/>
      <c r="P860" s="397"/>
      <c r="Q860" s="199"/>
      <c r="R860" s="220"/>
      <c r="S860" s="400"/>
      <c r="T860" s="401"/>
      <c r="U860" s="199"/>
      <c r="V860" s="220"/>
      <c r="W860" s="400"/>
      <c r="X860" s="401"/>
      <c r="Y860" s="199"/>
      <c r="Z860" s="220"/>
      <c r="AA860" s="400"/>
      <c r="AB860" s="401"/>
      <c r="AC860" s="199"/>
      <c r="AD860" s="220"/>
      <c r="AE860" s="400"/>
      <c r="AF860" s="401"/>
      <c r="AG860" s="201"/>
      <c r="AH860" s="201"/>
      <c r="AI860" s="201"/>
      <c r="AJ860" s="201"/>
      <c r="AK860" s="397"/>
      <c r="AL860" s="397"/>
      <c r="AM860" s="397"/>
    </row>
    <row r="861">
      <c r="A861" s="316"/>
      <c r="B861" s="317"/>
      <c r="C861" s="318"/>
      <c r="D861" s="397"/>
      <c r="E861" s="316"/>
      <c r="F861" s="317"/>
      <c r="G861" s="318"/>
      <c r="H861" s="397"/>
      <c r="I861" s="316"/>
      <c r="J861" s="317"/>
      <c r="K861" s="318"/>
      <c r="L861" s="397"/>
      <c r="M861" s="316"/>
      <c r="N861" s="317"/>
      <c r="O861" s="318"/>
      <c r="P861" s="397"/>
      <c r="Q861" s="199"/>
      <c r="R861" s="220"/>
      <c r="S861" s="400"/>
      <c r="T861" s="401"/>
      <c r="U861" s="199"/>
      <c r="V861" s="220"/>
      <c r="W861" s="400"/>
      <c r="X861" s="401"/>
      <c r="Y861" s="199"/>
      <c r="Z861" s="220"/>
      <c r="AA861" s="400"/>
      <c r="AB861" s="401"/>
      <c r="AC861" s="199"/>
      <c r="AD861" s="220"/>
      <c r="AE861" s="400"/>
      <c r="AF861" s="401"/>
      <c r="AG861" s="201"/>
      <c r="AH861" s="201"/>
      <c r="AI861" s="201"/>
      <c r="AJ861" s="201"/>
      <c r="AK861" s="397"/>
      <c r="AL861" s="397"/>
      <c r="AM861" s="397"/>
    </row>
    <row r="862">
      <c r="A862" s="316"/>
      <c r="B862" s="317"/>
      <c r="C862" s="318"/>
      <c r="D862" s="397"/>
      <c r="E862" s="316"/>
      <c r="F862" s="317"/>
      <c r="G862" s="318"/>
      <c r="H862" s="397"/>
      <c r="I862" s="316"/>
      <c r="J862" s="317"/>
      <c r="K862" s="318"/>
      <c r="L862" s="397"/>
      <c r="M862" s="316"/>
      <c r="N862" s="317"/>
      <c r="O862" s="318"/>
      <c r="P862" s="397"/>
      <c r="Q862" s="199"/>
      <c r="R862" s="220"/>
      <c r="S862" s="400"/>
      <c r="T862" s="401"/>
      <c r="U862" s="199"/>
      <c r="V862" s="220"/>
      <c r="W862" s="400"/>
      <c r="X862" s="401"/>
      <c r="Y862" s="199"/>
      <c r="Z862" s="220"/>
      <c r="AA862" s="400"/>
      <c r="AB862" s="401"/>
      <c r="AC862" s="199"/>
      <c r="AD862" s="220"/>
      <c r="AE862" s="400"/>
      <c r="AF862" s="401"/>
      <c r="AG862" s="201"/>
      <c r="AH862" s="201"/>
      <c r="AI862" s="201"/>
      <c r="AJ862" s="201"/>
      <c r="AK862" s="397"/>
      <c r="AL862" s="397"/>
      <c r="AM862" s="397"/>
    </row>
    <row r="863">
      <c r="A863" s="316"/>
      <c r="B863" s="317"/>
      <c r="C863" s="318"/>
      <c r="D863" s="397"/>
      <c r="E863" s="316"/>
      <c r="F863" s="317"/>
      <c r="G863" s="318"/>
      <c r="H863" s="397"/>
      <c r="I863" s="316"/>
      <c r="J863" s="317"/>
      <c r="K863" s="318"/>
      <c r="L863" s="397"/>
      <c r="M863" s="316"/>
      <c r="N863" s="317"/>
      <c r="O863" s="318"/>
      <c r="P863" s="397"/>
      <c r="Q863" s="199"/>
      <c r="R863" s="220"/>
      <c r="S863" s="400"/>
      <c r="T863" s="401"/>
      <c r="U863" s="199"/>
      <c r="V863" s="220"/>
      <c r="W863" s="400"/>
      <c r="X863" s="401"/>
      <c r="Y863" s="199"/>
      <c r="Z863" s="220"/>
      <c r="AA863" s="400"/>
      <c r="AB863" s="401"/>
      <c r="AC863" s="199"/>
      <c r="AD863" s="220"/>
      <c r="AE863" s="400"/>
      <c r="AF863" s="401"/>
      <c r="AG863" s="201"/>
      <c r="AH863" s="201"/>
      <c r="AI863" s="201"/>
      <c r="AJ863" s="201"/>
      <c r="AK863" s="397"/>
      <c r="AL863" s="397"/>
      <c r="AM863" s="397"/>
    </row>
    <row r="864">
      <c r="A864" s="316"/>
      <c r="B864" s="317"/>
      <c r="C864" s="318"/>
      <c r="D864" s="397"/>
      <c r="E864" s="316"/>
      <c r="F864" s="317"/>
      <c r="G864" s="318"/>
      <c r="H864" s="397"/>
      <c r="I864" s="316"/>
      <c r="J864" s="317"/>
      <c r="K864" s="318"/>
      <c r="L864" s="397"/>
      <c r="M864" s="316"/>
      <c r="N864" s="317"/>
      <c r="O864" s="318"/>
      <c r="P864" s="397"/>
      <c r="Q864" s="199"/>
      <c r="R864" s="220"/>
      <c r="S864" s="400"/>
      <c r="T864" s="401"/>
      <c r="U864" s="199"/>
      <c r="V864" s="220"/>
      <c r="W864" s="400"/>
      <c r="X864" s="401"/>
      <c r="Y864" s="199"/>
      <c r="Z864" s="220"/>
      <c r="AA864" s="400"/>
      <c r="AB864" s="401"/>
      <c r="AC864" s="199"/>
      <c r="AD864" s="220"/>
      <c r="AE864" s="400"/>
      <c r="AF864" s="401"/>
      <c r="AG864" s="201"/>
      <c r="AH864" s="201"/>
      <c r="AI864" s="201"/>
      <c r="AJ864" s="201"/>
      <c r="AK864" s="397"/>
      <c r="AL864" s="397"/>
      <c r="AM864" s="397"/>
    </row>
    <row r="865">
      <c r="A865" s="316"/>
      <c r="B865" s="317"/>
      <c r="C865" s="318"/>
      <c r="D865" s="397"/>
      <c r="E865" s="316"/>
      <c r="F865" s="317"/>
      <c r="G865" s="318"/>
      <c r="H865" s="397"/>
      <c r="I865" s="316"/>
      <c r="J865" s="317"/>
      <c r="K865" s="318"/>
      <c r="L865" s="397"/>
      <c r="M865" s="316"/>
      <c r="N865" s="317"/>
      <c r="O865" s="318"/>
      <c r="P865" s="397"/>
      <c r="Q865" s="199"/>
      <c r="R865" s="220"/>
      <c r="S865" s="400"/>
      <c r="T865" s="401"/>
      <c r="U865" s="199"/>
      <c r="V865" s="220"/>
      <c r="W865" s="400"/>
      <c r="X865" s="401"/>
      <c r="Y865" s="199"/>
      <c r="Z865" s="220"/>
      <c r="AA865" s="400"/>
      <c r="AB865" s="401"/>
      <c r="AC865" s="199"/>
      <c r="AD865" s="220"/>
      <c r="AE865" s="400"/>
      <c r="AF865" s="401"/>
      <c r="AG865" s="201"/>
      <c r="AH865" s="201"/>
      <c r="AI865" s="201"/>
      <c r="AJ865" s="201"/>
      <c r="AK865" s="397"/>
      <c r="AL865" s="397"/>
      <c r="AM865" s="397"/>
    </row>
    <row r="866">
      <c r="A866" s="316"/>
      <c r="B866" s="317"/>
      <c r="C866" s="318"/>
      <c r="D866" s="397"/>
      <c r="E866" s="316"/>
      <c r="F866" s="317"/>
      <c r="G866" s="318"/>
      <c r="H866" s="397"/>
      <c r="I866" s="316"/>
      <c r="J866" s="317"/>
      <c r="K866" s="318"/>
      <c r="L866" s="397"/>
      <c r="M866" s="316"/>
      <c r="N866" s="317"/>
      <c r="O866" s="318"/>
      <c r="P866" s="397"/>
      <c r="Q866" s="199"/>
      <c r="R866" s="220"/>
      <c r="S866" s="400"/>
      <c r="T866" s="401"/>
      <c r="U866" s="199"/>
      <c r="V866" s="220"/>
      <c r="W866" s="400"/>
      <c r="X866" s="401"/>
      <c r="Y866" s="199"/>
      <c r="Z866" s="220"/>
      <c r="AA866" s="400"/>
      <c r="AB866" s="401"/>
      <c r="AC866" s="199"/>
      <c r="AD866" s="220"/>
      <c r="AE866" s="400"/>
      <c r="AF866" s="401"/>
      <c r="AG866" s="201"/>
      <c r="AH866" s="201"/>
      <c r="AI866" s="201"/>
      <c r="AJ866" s="201"/>
      <c r="AK866" s="397"/>
      <c r="AL866" s="397"/>
      <c r="AM866" s="397"/>
    </row>
    <row r="867">
      <c r="A867" s="316"/>
      <c r="B867" s="317"/>
      <c r="C867" s="318"/>
      <c r="D867" s="397"/>
      <c r="E867" s="316"/>
      <c r="F867" s="317"/>
      <c r="G867" s="318"/>
      <c r="H867" s="397"/>
      <c r="I867" s="316"/>
      <c r="J867" s="317"/>
      <c r="K867" s="318"/>
      <c r="L867" s="397"/>
      <c r="M867" s="316"/>
      <c r="N867" s="317"/>
      <c r="O867" s="318"/>
      <c r="P867" s="397"/>
      <c r="Q867" s="199"/>
      <c r="R867" s="220"/>
      <c r="S867" s="400"/>
      <c r="T867" s="401"/>
      <c r="U867" s="199"/>
      <c r="V867" s="220"/>
      <c r="W867" s="400"/>
      <c r="X867" s="401"/>
      <c r="Y867" s="199"/>
      <c r="Z867" s="220"/>
      <c r="AA867" s="400"/>
      <c r="AB867" s="401"/>
      <c r="AC867" s="199"/>
      <c r="AD867" s="220"/>
      <c r="AE867" s="400"/>
      <c r="AF867" s="401"/>
      <c r="AG867" s="201"/>
      <c r="AH867" s="201"/>
      <c r="AI867" s="201"/>
      <c r="AJ867" s="201"/>
      <c r="AK867" s="397"/>
      <c r="AL867" s="397"/>
      <c r="AM867" s="397"/>
    </row>
    <row r="868">
      <c r="A868" s="316"/>
      <c r="B868" s="317"/>
      <c r="C868" s="318"/>
      <c r="D868" s="397"/>
      <c r="E868" s="316"/>
      <c r="F868" s="317"/>
      <c r="G868" s="318"/>
      <c r="H868" s="397"/>
      <c r="I868" s="316"/>
      <c r="J868" s="317"/>
      <c r="K868" s="318"/>
      <c r="L868" s="397"/>
      <c r="M868" s="316"/>
      <c r="N868" s="317"/>
      <c r="O868" s="318"/>
      <c r="P868" s="397"/>
      <c r="Q868" s="199"/>
      <c r="R868" s="220"/>
      <c r="S868" s="400"/>
      <c r="T868" s="401"/>
      <c r="U868" s="199"/>
      <c r="V868" s="220"/>
      <c r="W868" s="400"/>
      <c r="X868" s="401"/>
      <c r="Y868" s="199"/>
      <c r="Z868" s="220"/>
      <c r="AA868" s="400"/>
      <c r="AB868" s="401"/>
      <c r="AC868" s="199"/>
      <c r="AD868" s="220"/>
      <c r="AE868" s="400"/>
      <c r="AF868" s="401"/>
      <c r="AG868" s="201"/>
      <c r="AH868" s="201"/>
      <c r="AI868" s="201"/>
      <c r="AJ868" s="201"/>
      <c r="AK868" s="397"/>
      <c r="AL868" s="397"/>
      <c r="AM868" s="397"/>
    </row>
    <row r="869">
      <c r="A869" s="316"/>
      <c r="B869" s="317"/>
      <c r="C869" s="318"/>
      <c r="D869" s="397"/>
      <c r="E869" s="316"/>
      <c r="F869" s="317"/>
      <c r="G869" s="318"/>
      <c r="H869" s="397"/>
      <c r="I869" s="316"/>
      <c r="J869" s="317"/>
      <c r="K869" s="318"/>
      <c r="L869" s="397"/>
      <c r="M869" s="316"/>
      <c r="N869" s="317"/>
      <c r="O869" s="318"/>
      <c r="P869" s="397"/>
      <c r="Q869" s="199"/>
      <c r="R869" s="220"/>
      <c r="S869" s="400"/>
      <c r="T869" s="401"/>
      <c r="U869" s="199"/>
      <c r="V869" s="220"/>
      <c r="W869" s="400"/>
      <c r="X869" s="401"/>
      <c r="Y869" s="199"/>
      <c r="Z869" s="220"/>
      <c r="AA869" s="400"/>
      <c r="AB869" s="401"/>
      <c r="AC869" s="199"/>
      <c r="AD869" s="220"/>
      <c r="AE869" s="400"/>
      <c r="AF869" s="401"/>
      <c r="AG869" s="201"/>
      <c r="AH869" s="201"/>
      <c r="AI869" s="201"/>
      <c r="AJ869" s="201"/>
      <c r="AK869" s="397"/>
      <c r="AL869" s="397"/>
      <c r="AM869" s="397"/>
    </row>
    <row r="870">
      <c r="A870" s="316"/>
      <c r="B870" s="317"/>
      <c r="C870" s="318"/>
      <c r="D870" s="397"/>
      <c r="E870" s="316"/>
      <c r="F870" s="317"/>
      <c r="G870" s="318"/>
      <c r="H870" s="397"/>
      <c r="I870" s="316"/>
      <c r="J870" s="317"/>
      <c r="K870" s="318"/>
      <c r="L870" s="397"/>
      <c r="M870" s="316"/>
      <c r="N870" s="317"/>
      <c r="O870" s="318"/>
      <c r="P870" s="397"/>
      <c r="Q870" s="199"/>
      <c r="R870" s="220"/>
      <c r="S870" s="400"/>
      <c r="T870" s="401"/>
      <c r="U870" s="199"/>
      <c r="V870" s="220"/>
      <c r="W870" s="400"/>
      <c r="X870" s="401"/>
      <c r="Y870" s="199"/>
      <c r="Z870" s="220"/>
      <c r="AA870" s="400"/>
      <c r="AB870" s="401"/>
      <c r="AC870" s="199"/>
      <c r="AD870" s="220"/>
      <c r="AE870" s="400"/>
      <c r="AF870" s="401"/>
      <c r="AG870" s="201"/>
      <c r="AH870" s="201"/>
      <c r="AI870" s="201"/>
      <c r="AJ870" s="201"/>
      <c r="AK870" s="397"/>
      <c r="AL870" s="397"/>
      <c r="AM870" s="397"/>
    </row>
    <row r="871">
      <c r="A871" s="316"/>
      <c r="B871" s="317"/>
      <c r="C871" s="318"/>
      <c r="D871" s="397"/>
      <c r="E871" s="316"/>
      <c r="F871" s="317"/>
      <c r="G871" s="318"/>
      <c r="H871" s="397"/>
      <c r="I871" s="316"/>
      <c r="J871" s="317"/>
      <c r="K871" s="318"/>
      <c r="L871" s="397"/>
      <c r="M871" s="316"/>
      <c r="N871" s="317"/>
      <c r="O871" s="318"/>
      <c r="P871" s="397"/>
      <c r="Q871" s="199"/>
      <c r="R871" s="220"/>
      <c r="S871" s="400"/>
      <c r="T871" s="401"/>
      <c r="U871" s="199"/>
      <c r="V871" s="220"/>
      <c r="W871" s="400"/>
      <c r="X871" s="401"/>
      <c r="Y871" s="199"/>
      <c r="Z871" s="220"/>
      <c r="AA871" s="400"/>
      <c r="AB871" s="401"/>
      <c r="AC871" s="199"/>
      <c r="AD871" s="220"/>
      <c r="AE871" s="400"/>
      <c r="AF871" s="401"/>
      <c r="AG871" s="201"/>
      <c r="AH871" s="201"/>
      <c r="AI871" s="201"/>
      <c r="AJ871" s="201"/>
      <c r="AK871" s="397"/>
      <c r="AL871" s="397"/>
      <c r="AM871" s="397"/>
    </row>
    <row r="872">
      <c r="A872" s="316"/>
      <c r="B872" s="317"/>
      <c r="C872" s="318"/>
      <c r="D872" s="397"/>
      <c r="E872" s="316"/>
      <c r="F872" s="317"/>
      <c r="G872" s="318"/>
      <c r="H872" s="397"/>
      <c r="I872" s="316"/>
      <c r="J872" s="317"/>
      <c r="K872" s="318"/>
      <c r="L872" s="397"/>
      <c r="M872" s="316"/>
      <c r="N872" s="317"/>
      <c r="O872" s="318"/>
      <c r="P872" s="397"/>
      <c r="Q872" s="199"/>
      <c r="R872" s="220"/>
      <c r="S872" s="400"/>
      <c r="T872" s="401"/>
      <c r="U872" s="199"/>
      <c r="V872" s="220"/>
      <c r="W872" s="400"/>
      <c r="X872" s="401"/>
      <c r="Y872" s="199"/>
      <c r="Z872" s="220"/>
      <c r="AA872" s="400"/>
      <c r="AB872" s="401"/>
      <c r="AC872" s="199"/>
      <c r="AD872" s="220"/>
      <c r="AE872" s="400"/>
      <c r="AF872" s="401"/>
      <c r="AG872" s="201"/>
      <c r="AH872" s="201"/>
      <c r="AI872" s="201"/>
      <c r="AJ872" s="201"/>
      <c r="AK872" s="397"/>
      <c r="AL872" s="397"/>
      <c r="AM872" s="397"/>
    </row>
    <row r="873">
      <c r="A873" s="316"/>
      <c r="B873" s="317"/>
      <c r="C873" s="318"/>
      <c r="D873" s="397"/>
      <c r="E873" s="316"/>
      <c r="F873" s="317"/>
      <c r="G873" s="318"/>
      <c r="H873" s="397"/>
      <c r="I873" s="316"/>
      <c r="J873" s="317"/>
      <c r="K873" s="318"/>
      <c r="L873" s="397"/>
      <c r="M873" s="316"/>
      <c r="N873" s="317"/>
      <c r="O873" s="318"/>
      <c r="P873" s="397"/>
      <c r="Q873" s="199"/>
      <c r="R873" s="220"/>
      <c r="S873" s="400"/>
      <c r="T873" s="401"/>
      <c r="U873" s="199"/>
      <c r="V873" s="220"/>
      <c r="W873" s="400"/>
      <c r="X873" s="401"/>
      <c r="Y873" s="199"/>
      <c r="Z873" s="220"/>
      <c r="AA873" s="400"/>
      <c r="AB873" s="401"/>
      <c r="AC873" s="199"/>
      <c r="AD873" s="220"/>
      <c r="AE873" s="400"/>
      <c r="AF873" s="401"/>
      <c r="AG873" s="201"/>
      <c r="AH873" s="201"/>
      <c r="AI873" s="201"/>
      <c r="AJ873" s="201"/>
      <c r="AK873" s="397"/>
      <c r="AL873" s="397"/>
      <c r="AM873" s="397"/>
    </row>
    <row r="874">
      <c r="A874" s="316"/>
      <c r="B874" s="317"/>
      <c r="C874" s="318"/>
      <c r="D874" s="397"/>
      <c r="E874" s="316"/>
      <c r="F874" s="317"/>
      <c r="G874" s="318"/>
      <c r="H874" s="397"/>
      <c r="I874" s="316"/>
      <c r="J874" s="317"/>
      <c r="K874" s="318"/>
      <c r="L874" s="397"/>
      <c r="M874" s="316"/>
      <c r="N874" s="317"/>
      <c r="O874" s="318"/>
      <c r="P874" s="397"/>
      <c r="Q874" s="199"/>
      <c r="R874" s="220"/>
      <c r="S874" s="400"/>
      <c r="T874" s="401"/>
      <c r="U874" s="199"/>
      <c r="V874" s="220"/>
      <c r="W874" s="400"/>
      <c r="X874" s="401"/>
      <c r="Y874" s="199"/>
      <c r="Z874" s="220"/>
      <c r="AA874" s="400"/>
      <c r="AB874" s="401"/>
      <c r="AC874" s="199"/>
      <c r="AD874" s="220"/>
      <c r="AE874" s="400"/>
      <c r="AF874" s="401"/>
      <c r="AG874" s="201"/>
      <c r="AH874" s="201"/>
      <c r="AI874" s="201"/>
      <c r="AJ874" s="201"/>
      <c r="AK874" s="397"/>
      <c r="AL874" s="397"/>
      <c r="AM874" s="397"/>
    </row>
    <row r="875">
      <c r="A875" s="316"/>
      <c r="B875" s="317"/>
      <c r="C875" s="318"/>
      <c r="D875" s="397"/>
      <c r="E875" s="316"/>
      <c r="F875" s="317"/>
      <c r="G875" s="318"/>
      <c r="H875" s="397"/>
      <c r="I875" s="316"/>
      <c r="J875" s="317"/>
      <c r="K875" s="318"/>
      <c r="L875" s="397"/>
      <c r="M875" s="316"/>
      <c r="N875" s="317"/>
      <c r="O875" s="318"/>
      <c r="P875" s="397"/>
      <c r="Q875" s="199"/>
      <c r="R875" s="220"/>
      <c r="S875" s="400"/>
      <c r="T875" s="401"/>
      <c r="U875" s="199"/>
      <c r="V875" s="220"/>
      <c r="W875" s="400"/>
      <c r="X875" s="401"/>
      <c r="Y875" s="199"/>
      <c r="Z875" s="220"/>
      <c r="AA875" s="400"/>
      <c r="AB875" s="401"/>
      <c r="AC875" s="199"/>
      <c r="AD875" s="220"/>
      <c r="AE875" s="400"/>
      <c r="AF875" s="401"/>
      <c r="AG875" s="201"/>
      <c r="AH875" s="201"/>
      <c r="AI875" s="201"/>
      <c r="AJ875" s="201"/>
      <c r="AK875" s="397"/>
      <c r="AL875" s="397"/>
      <c r="AM875" s="397"/>
    </row>
    <row r="876">
      <c r="A876" s="316"/>
      <c r="B876" s="317"/>
      <c r="C876" s="318"/>
      <c r="D876" s="397"/>
      <c r="E876" s="316"/>
      <c r="F876" s="317"/>
      <c r="G876" s="318"/>
      <c r="H876" s="397"/>
      <c r="I876" s="316"/>
      <c r="J876" s="317"/>
      <c r="K876" s="318"/>
      <c r="L876" s="397"/>
      <c r="M876" s="316"/>
      <c r="N876" s="317"/>
      <c r="O876" s="318"/>
      <c r="P876" s="397"/>
      <c r="Q876" s="199"/>
      <c r="R876" s="220"/>
      <c r="S876" s="400"/>
      <c r="T876" s="401"/>
      <c r="U876" s="199"/>
      <c r="V876" s="220"/>
      <c r="W876" s="400"/>
      <c r="X876" s="401"/>
      <c r="Y876" s="199"/>
      <c r="Z876" s="220"/>
      <c r="AA876" s="400"/>
      <c r="AB876" s="401"/>
      <c r="AC876" s="199"/>
      <c r="AD876" s="220"/>
      <c r="AE876" s="400"/>
      <c r="AF876" s="401"/>
      <c r="AG876" s="201"/>
      <c r="AH876" s="201"/>
      <c r="AI876" s="201"/>
      <c r="AJ876" s="201"/>
      <c r="AK876" s="397"/>
      <c r="AL876" s="397"/>
      <c r="AM876" s="397"/>
    </row>
    <row r="877">
      <c r="A877" s="316"/>
      <c r="B877" s="317"/>
      <c r="C877" s="318"/>
      <c r="D877" s="397"/>
      <c r="E877" s="316"/>
      <c r="F877" s="317"/>
      <c r="G877" s="318"/>
      <c r="H877" s="397"/>
      <c r="I877" s="316"/>
      <c r="J877" s="317"/>
      <c r="K877" s="318"/>
      <c r="L877" s="397"/>
      <c r="M877" s="316"/>
      <c r="N877" s="317"/>
      <c r="O877" s="318"/>
      <c r="P877" s="397"/>
      <c r="Q877" s="199"/>
      <c r="R877" s="220"/>
      <c r="S877" s="400"/>
      <c r="T877" s="401"/>
      <c r="U877" s="199"/>
      <c r="V877" s="220"/>
      <c r="W877" s="400"/>
      <c r="X877" s="401"/>
      <c r="Y877" s="199"/>
      <c r="Z877" s="220"/>
      <c r="AA877" s="400"/>
      <c r="AB877" s="401"/>
      <c r="AC877" s="199"/>
      <c r="AD877" s="220"/>
      <c r="AE877" s="400"/>
      <c r="AF877" s="401"/>
      <c r="AG877" s="201"/>
      <c r="AH877" s="201"/>
      <c r="AI877" s="201"/>
      <c r="AJ877" s="201"/>
      <c r="AK877" s="397"/>
      <c r="AL877" s="397"/>
      <c r="AM877" s="397"/>
    </row>
    <row r="878">
      <c r="A878" s="316"/>
      <c r="B878" s="317"/>
      <c r="C878" s="318"/>
      <c r="D878" s="397"/>
      <c r="E878" s="316"/>
      <c r="F878" s="317"/>
      <c r="G878" s="318"/>
      <c r="H878" s="397"/>
      <c r="I878" s="316"/>
      <c r="J878" s="317"/>
      <c r="K878" s="318"/>
      <c r="L878" s="397"/>
      <c r="M878" s="316"/>
      <c r="N878" s="317"/>
      <c r="O878" s="318"/>
      <c r="P878" s="397"/>
      <c r="Q878" s="199"/>
      <c r="R878" s="220"/>
      <c r="S878" s="400"/>
      <c r="T878" s="401"/>
      <c r="U878" s="199"/>
      <c r="V878" s="220"/>
      <c r="W878" s="400"/>
      <c r="X878" s="401"/>
      <c r="Y878" s="199"/>
      <c r="Z878" s="220"/>
      <c r="AA878" s="400"/>
      <c r="AB878" s="401"/>
      <c r="AC878" s="199"/>
      <c r="AD878" s="220"/>
      <c r="AE878" s="400"/>
      <c r="AF878" s="401"/>
      <c r="AG878" s="201"/>
      <c r="AH878" s="201"/>
      <c r="AI878" s="201"/>
      <c r="AJ878" s="201"/>
      <c r="AK878" s="397"/>
      <c r="AL878" s="397"/>
      <c r="AM878" s="397"/>
    </row>
    <row r="879">
      <c r="A879" s="316"/>
      <c r="B879" s="317"/>
      <c r="C879" s="318"/>
      <c r="D879" s="397"/>
      <c r="E879" s="316"/>
      <c r="F879" s="317"/>
      <c r="G879" s="318"/>
      <c r="H879" s="397"/>
      <c r="I879" s="316"/>
      <c r="J879" s="317"/>
      <c r="K879" s="318"/>
      <c r="L879" s="397"/>
      <c r="M879" s="316"/>
      <c r="N879" s="317"/>
      <c r="O879" s="318"/>
      <c r="P879" s="397"/>
      <c r="Q879" s="199"/>
      <c r="R879" s="220"/>
      <c r="S879" s="400"/>
      <c r="T879" s="401"/>
      <c r="U879" s="199"/>
      <c r="V879" s="220"/>
      <c r="W879" s="400"/>
      <c r="X879" s="401"/>
      <c r="Y879" s="199"/>
      <c r="Z879" s="220"/>
      <c r="AA879" s="400"/>
      <c r="AB879" s="401"/>
      <c r="AC879" s="199"/>
      <c r="AD879" s="220"/>
      <c r="AE879" s="400"/>
      <c r="AF879" s="401"/>
      <c r="AG879" s="201"/>
      <c r="AH879" s="201"/>
      <c r="AI879" s="201"/>
      <c r="AJ879" s="201"/>
      <c r="AK879" s="397"/>
      <c r="AL879" s="397"/>
      <c r="AM879" s="397"/>
    </row>
    <row r="880">
      <c r="A880" s="316"/>
      <c r="B880" s="317"/>
      <c r="C880" s="318"/>
      <c r="D880" s="397"/>
      <c r="E880" s="316"/>
      <c r="F880" s="317"/>
      <c r="G880" s="318"/>
      <c r="H880" s="397"/>
      <c r="I880" s="316"/>
      <c r="J880" s="317"/>
      <c r="K880" s="318"/>
      <c r="L880" s="397"/>
      <c r="M880" s="316"/>
      <c r="N880" s="317"/>
      <c r="O880" s="318"/>
      <c r="P880" s="397"/>
      <c r="Q880" s="199"/>
      <c r="R880" s="220"/>
      <c r="S880" s="400"/>
      <c r="T880" s="401"/>
      <c r="U880" s="199"/>
      <c r="V880" s="220"/>
      <c r="W880" s="400"/>
      <c r="X880" s="401"/>
      <c r="Y880" s="199"/>
      <c r="Z880" s="220"/>
      <c r="AA880" s="400"/>
      <c r="AB880" s="401"/>
      <c r="AC880" s="199"/>
      <c r="AD880" s="220"/>
      <c r="AE880" s="400"/>
      <c r="AF880" s="401"/>
      <c r="AG880" s="201"/>
      <c r="AH880" s="201"/>
      <c r="AI880" s="201"/>
      <c r="AJ880" s="201"/>
      <c r="AK880" s="397"/>
      <c r="AL880" s="397"/>
      <c r="AM880" s="397"/>
    </row>
    <row r="881">
      <c r="A881" s="316"/>
      <c r="B881" s="317"/>
      <c r="C881" s="318"/>
      <c r="D881" s="397"/>
      <c r="E881" s="316"/>
      <c r="F881" s="317"/>
      <c r="G881" s="318"/>
      <c r="H881" s="397"/>
      <c r="I881" s="316"/>
      <c r="J881" s="317"/>
      <c r="K881" s="318"/>
      <c r="L881" s="397"/>
      <c r="M881" s="316"/>
      <c r="N881" s="317"/>
      <c r="O881" s="318"/>
      <c r="P881" s="397"/>
      <c r="Q881" s="199"/>
      <c r="R881" s="220"/>
      <c r="S881" s="400"/>
      <c r="T881" s="401"/>
      <c r="U881" s="199"/>
      <c r="V881" s="220"/>
      <c r="W881" s="400"/>
      <c r="X881" s="401"/>
      <c r="Y881" s="199"/>
      <c r="Z881" s="220"/>
      <c r="AA881" s="400"/>
      <c r="AB881" s="401"/>
      <c r="AC881" s="199"/>
      <c r="AD881" s="220"/>
      <c r="AE881" s="400"/>
      <c r="AF881" s="401"/>
      <c r="AG881" s="201"/>
      <c r="AH881" s="201"/>
      <c r="AI881" s="201"/>
      <c r="AJ881" s="201"/>
      <c r="AK881" s="397"/>
      <c r="AL881" s="397"/>
      <c r="AM881" s="397"/>
    </row>
    <row r="882">
      <c r="A882" s="316"/>
      <c r="B882" s="317"/>
      <c r="C882" s="318"/>
      <c r="D882" s="397"/>
      <c r="E882" s="316"/>
      <c r="F882" s="317"/>
      <c r="G882" s="318"/>
      <c r="H882" s="397"/>
      <c r="I882" s="316"/>
      <c r="J882" s="317"/>
      <c r="K882" s="318"/>
      <c r="L882" s="397"/>
      <c r="M882" s="316"/>
      <c r="N882" s="317"/>
      <c r="O882" s="318"/>
      <c r="P882" s="397"/>
      <c r="Q882" s="199"/>
      <c r="R882" s="220"/>
      <c r="S882" s="400"/>
      <c r="T882" s="401"/>
      <c r="U882" s="199"/>
      <c r="V882" s="220"/>
      <c r="W882" s="400"/>
      <c r="X882" s="401"/>
      <c r="Y882" s="199"/>
      <c r="Z882" s="220"/>
      <c r="AA882" s="400"/>
      <c r="AB882" s="401"/>
      <c r="AC882" s="199"/>
      <c r="AD882" s="220"/>
      <c r="AE882" s="400"/>
      <c r="AF882" s="401"/>
      <c r="AG882" s="201"/>
      <c r="AH882" s="201"/>
      <c r="AI882" s="201"/>
      <c r="AJ882" s="201"/>
      <c r="AK882" s="397"/>
      <c r="AL882" s="397"/>
      <c r="AM882" s="397"/>
    </row>
    <row r="883">
      <c r="A883" s="316"/>
      <c r="B883" s="317"/>
      <c r="C883" s="318"/>
      <c r="D883" s="397"/>
      <c r="E883" s="316"/>
      <c r="F883" s="317"/>
      <c r="G883" s="318"/>
      <c r="H883" s="397"/>
      <c r="I883" s="316"/>
      <c r="J883" s="317"/>
      <c r="K883" s="318"/>
      <c r="L883" s="397"/>
      <c r="M883" s="316"/>
      <c r="N883" s="317"/>
      <c r="O883" s="318"/>
      <c r="P883" s="397"/>
      <c r="Q883" s="199"/>
      <c r="R883" s="220"/>
      <c r="S883" s="400"/>
      <c r="T883" s="401"/>
      <c r="U883" s="199"/>
      <c r="V883" s="220"/>
      <c r="W883" s="400"/>
      <c r="X883" s="401"/>
      <c r="Y883" s="199"/>
      <c r="Z883" s="220"/>
      <c r="AA883" s="400"/>
      <c r="AB883" s="401"/>
      <c r="AC883" s="199"/>
      <c r="AD883" s="220"/>
      <c r="AE883" s="400"/>
      <c r="AF883" s="401"/>
      <c r="AG883" s="201"/>
      <c r="AH883" s="201"/>
      <c r="AI883" s="201"/>
      <c r="AJ883" s="201"/>
      <c r="AK883" s="397"/>
      <c r="AL883" s="397"/>
      <c r="AM883" s="397"/>
    </row>
    <row r="884">
      <c r="A884" s="316"/>
      <c r="B884" s="317"/>
      <c r="C884" s="318"/>
      <c r="D884" s="397"/>
      <c r="E884" s="316"/>
      <c r="F884" s="317"/>
      <c r="G884" s="318"/>
      <c r="H884" s="397"/>
      <c r="I884" s="316"/>
      <c r="J884" s="317"/>
      <c r="K884" s="318"/>
      <c r="L884" s="397"/>
      <c r="M884" s="316"/>
      <c r="N884" s="317"/>
      <c r="O884" s="318"/>
      <c r="P884" s="397"/>
      <c r="Q884" s="199"/>
      <c r="R884" s="220"/>
      <c r="S884" s="400"/>
      <c r="T884" s="401"/>
      <c r="U884" s="199"/>
      <c r="V884" s="220"/>
      <c r="W884" s="400"/>
      <c r="X884" s="401"/>
      <c r="Y884" s="199"/>
      <c r="Z884" s="220"/>
      <c r="AA884" s="400"/>
      <c r="AB884" s="401"/>
      <c r="AC884" s="199"/>
      <c r="AD884" s="220"/>
      <c r="AE884" s="400"/>
      <c r="AF884" s="401"/>
      <c r="AG884" s="201"/>
      <c r="AH884" s="201"/>
      <c r="AI884" s="201"/>
      <c r="AJ884" s="201"/>
      <c r="AK884" s="397"/>
      <c r="AL884" s="397"/>
      <c r="AM884" s="397"/>
    </row>
    <row r="885">
      <c r="A885" s="316"/>
      <c r="B885" s="317"/>
      <c r="C885" s="318"/>
      <c r="D885" s="397"/>
      <c r="E885" s="316"/>
      <c r="F885" s="317"/>
      <c r="G885" s="318"/>
      <c r="H885" s="397"/>
      <c r="I885" s="316"/>
      <c r="J885" s="317"/>
      <c r="K885" s="318"/>
      <c r="L885" s="397"/>
      <c r="M885" s="316"/>
      <c r="N885" s="317"/>
      <c r="O885" s="318"/>
      <c r="P885" s="397"/>
      <c r="Q885" s="199"/>
      <c r="R885" s="220"/>
      <c r="S885" s="400"/>
      <c r="T885" s="401"/>
      <c r="U885" s="199"/>
      <c r="V885" s="220"/>
      <c r="W885" s="400"/>
      <c r="X885" s="401"/>
      <c r="Y885" s="199"/>
      <c r="Z885" s="220"/>
      <c r="AA885" s="400"/>
      <c r="AB885" s="401"/>
      <c r="AC885" s="199"/>
      <c r="AD885" s="220"/>
      <c r="AE885" s="400"/>
      <c r="AF885" s="401"/>
      <c r="AG885" s="201"/>
      <c r="AH885" s="201"/>
      <c r="AI885" s="201"/>
      <c r="AJ885" s="201"/>
      <c r="AK885" s="397"/>
      <c r="AL885" s="397"/>
      <c r="AM885" s="397"/>
    </row>
    <row r="886">
      <c r="A886" s="316"/>
      <c r="B886" s="317"/>
      <c r="C886" s="318"/>
      <c r="D886" s="397"/>
      <c r="E886" s="316"/>
      <c r="F886" s="317"/>
      <c r="G886" s="318"/>
      <c r="H886" s="397"/>
      <c r="I886" s="316"/>
      <c r="J886" s="317"/>
      <c r="K886" s="318"/>
      <c r="L886" s="397"/>
      <c r="M886" s="316"/>
      <c r="N886" s="317"/>
      <c r="O886" s="318"/>
      <c r="P886" s="397"/>
      <c r="Q886" s="199"/>
      <c r="R886" s="220"/>
      <c r="S886" s="400"/>
      <c r="T886" s="401"/>
      <c r="U886" s="199"/>
      <c r="V886" s="220"/>
      <c r="W886" s="400"/>
      <c r="X886" s="401"/>
      <c r="Y886" s="199"/>
      <c r="Z886" s="220"/>
      <c r="AA886" s="400"/>
      <c r="AB886" s="401"/>
      <c r="AC886" s="199"/>
      <c r="AD886" s="220"/>
      <c r="AE886" s="400"/>
      <c r="AF886" s="401"/>
      <c r="AG886" s="201"/>
      <c r="AH886" s="201"/>
      <c r="AI886" s="201"/>
      <c r="AJ886" s="201"/>
      <c r="AK886" s="397"/>
      <c r="AL886" s="397"/>
      <c r="AM886" s="397"/>
    </row>
    <row r="887">
      <c r="A887" s="316"/>
      <c r="B887" s="317"/>
      <c r="C887" s="318"/>
      <c r="D887" s="397"/>
      <c r="E887" s="316"/>
      <c r="F887" s="317"/>
      <c r="G887" s="318"/>
      <c r="H887" s="397"/>
      <c r="I887" s="316"/>
      <c r="J887" s="317"/>
      <c r="K887" s="318"/>
      <c r="L887" s="397"/>
      <c r="M887" s="316"/>
      <c r="N887" s="317"/>
      <c r="O887" s="318"/>
      <c r="P887" s="397"/>
      <c r="Q887" s="199"/>
      <c r="R887" s="220"/>
      <c r="S887" s="400"/>
      <c r="T887" s="401"/>
      <c r="U887" s="199"/>
      <c r="V887" s="220"/>
      <c r="W887" s="400"/>
      <c r="X887" s="401"/>
      <c r="Y887" s="199"/>
      <c r="Z887" s="220"/>
      <c r="AA887" s="400"/>
      <c r="AB887" s="401"/>
      <c r="AC887" s="199"/>
      <c r="AD887" s="220"/>
      <c r="AE887" s="400"/>
      <c r="AF887" s="401"/>
      <c r="AG887" s="201"/>
      <c r="AH887" s="201"/>
      <c r="AI887" s="201"/>
      <c r="AJ887" s="201"/>
      <c r="AK887" s="397"/>
      <c r="AL887" s="397"/>
      <c r="AM887" s="397"/>
    </row>
    <row r="888">
      <c r="A888" s="316"/>
      <c r="B888" s="317"/>
      <c r="C888" s="318"/>
      <c r="D888" s="397"/>
      <c r="E888" s="316"/>
      <c r="F888" s="317"/>
      <c r="G888" s="318"/>
      <c r="H888" s="397"/>
      <c r="I888" s="316"/>
      <c r="J888" s="317"/>
      <c r="K888" s="318"/>
      <c r="L888" s="397"/>
      <c r="M888" s="316"/>
      <c r="N888" s="317"/>
      <c r="O888" s="318"/>
      <c r="P888" s="397"/>
      <c r="Q888" s="199"/>
      <c r="R888" s="220"/>
      <c r="S888" s="400"/>
      <c r="T888" s="401"/>
      <c r="U888" s="199"/>
      <c r="V888" s="220"/>
      <c r="W888" s="400"/>
      <c r="X888" s="401"/>
      <c r="Y888" s="199"/>
      <c r="Z888" s="220"/>
      <c r="AA888" s="400"/>
      <c r="AB888" s="401"/>
      <c r="AC888" s="199"/>
      <c r="AD888" s="220"/>
      <c r="AE888" s="400"/>
      <c r="AF888" s="401"/>
      <c r="AG888" s="201"/>
      <c r="AH888" s="201"/>
      <c r="AI888" s="201"/>
      <c r="AJ888" s="201"/>
      <c r="AK888" s="397"/>
      <c r="AL888" s="397"/>
      <c r="AM888" s="397"/>
    </row>
    <row r="889">
      <c r="A889" s="316"/>
      <c r="B889" s="317"/>
      <c r="C889" s="318"/>
      <c r="D889" s="397"/>
      <c r="E889" s="316"/>
      <c r="F889" s="317"/>
      <c r="G889" s="318"/>
      <c r="H889" s="397"/>
      <c r="I889" s="316"/>
      <c r="J889" s="317"/>
      <c r="K889" s="318"/>
      <c r="L889" s="397"/>
      <c r="M889" s="316"/>
      <c r="N889" s="317"/>
      <c r="O889" s="318"/>
      <c r="P889" s="397"/>
      <c r="Q889" s="199"/>
      <c r="R889" s="220"/>
      <c r="S889" s="400"/>
      <c r="T889" s="401"/>
      <c r="U889" s="199"/>
      <c r="V889" s="220"/>
      <c r="W889" s="400"/>
      <c r="X889" s="401"/>
      <c r="Y889" s="199"/>
      <c r="Z889" s="220"/>
      <c r="AA889" s="400"/>
      <c r="AB889" s="401"/>
      <c r="AC889" s="199"/>
      <c r="AD889" s="220"/>
      <c r="AE889" s="400"/>
      <c r="AF889" s="401"/>
      <c r="AG889" s="201"/>
      <c r="AH889" s="201"/>
      <c r="AI889" s="201"/>
      <c r="AJ889" s="201"/>
      <c r="AK889" s="397"/>
      <c r="AL889" s="397"/>
      <c r="AM889" s="397"/>
    </row>
    <row r="890">
      <c r="A890" s="316"/>
      <c r="B890" s="317"/>
      <c r="C890" s="318"/>
      <c r="D890" s="397"/>
      <c r="E890" s="316"/>
      <c r="F890" s="317"/>
      <c r="G890" s="318"/>
      <c r="H890" s="397"/>
      <c r="I890" s="316"/>
      <c r="J890" s="317"/>
      <c r="K890" s="318"/>
      <c r="L890" s="397"/>
      <c r="M890" s="316"/>
      <c r="N890" s="317"/>
      <c r="O890" s="318"/>
      <c r="P890" s="397"/>
      <c r="Q890" s="199"/>
      <c r="R890" s="220"/>
      <c r="S890" s="400"/>
      <c r="T890" s="401"/>
      <c r="U890" s="199"/>
      <c r="V890" s="220"/>
      <c r="W890" s="400"/>
      <c r="X890" s="401"/>
      <c r="Y890" s="199"/>
      <c r="Z890" s="220"/>
      <c r="AA890" s="400"/>
      <c r="AB890" s="401"/>
      <c r="AC890" s="199"/>
      <c r="AD890" s="220"/>
      <c r="AE890" s="400"/>
      <c r="AF890" s="401"/>
      <c r="AG890" s="201"/>
      <c r="AH890" s="201"/>
      <c r="AI890" s="201"/>
      <c r="AJ890" s="201"/>
      <c r="AK890" s="397"/>
      <c r="AL890" s="397"/>
      <c r="AM890" s="397"/>
    </row>
    <row r="891">
      <c r="A891" s="316"/>
      <c r="B891" s="317"/>
      <c r="C891" s="318"/>
      <c r="D891" s="397"/>
      <c r="E891" s="316"/>
      <c r="F891" s="317"/>
      <c r="G891" s="318"/>
      <c r="H891" s="397"/>
      <c r="I891" s="316"/>
      <c r="J891" s="317"/>
      <c r="K891" s="318"/>
      <c r="L891" s="397"/>
      <c r="M891" s="316"/>
      <c r="N891" s="317"/>
      <c r="O891" s="318"/>
      <c r="P891" s="397"/>
      <c r="Q891" s="199"/>
      <c r="R891" s="220"/>
      <c r="S891" s="400"/>
      <c r="T891" s="401"/>
      <c r="U891" s="199"/>
      <c r="V891" s="220"/>
      <c r="W891" s="400"/>
      <c r="X891" s="401"/>
      <c r="Y891" s="199"/>
      <c r="Z891" s="220"/>
      <c r="AA891" s="400"/>
      <c r="AB891" s="401"/>
      <c r="AC891" s="199"/>
      <c r="AD891" s="220"/>
      <c r="AE891" s="400"/>
      <c r="AF891" s="401"/>
      <c r="AG891" s="201"/>
      <c r="AH891" s="201"/>
      <c r="AI891" s="201"/>
      <c r="AJ891" s="201"/>
      <c r="AK891" s="397"/>
      <c r="AL891" s="397"/>
      <c r="AM891" s="397"/>
    </row>
    <row r="892">
      <c r="A892" s="316"/>
      <c r="B892" s="317"/>
      <c r="C892" s="318"/>
      <c r="D892" s="397"/>
      <c r="E892" s="316"/>
      <c r="F892" s="317"/>
      <c r="G892" s="318"/>
      <c r="H892" s="397"/>
      <c r="I892" s="316"/>
      <c r="J892" s="317"/>
      <c r="K892" s="318"/>
      <c r="L892" s="397"/>
      <c r="M892" s="316"/>
      <c r="N892" s="317"/>
      <c r="O892" s="318"/>
      <c r="P892" s="397"/>
      <c r="Q892" s="199"/>
      <c r="R892" s="220"/>
      <c r="S892" s="400"/>
      <c r="T892" s="401"/>
      <c r="U892" s="199"/>
      <c r="V892" s="220"/>
      <c r="W892" s="400"/>
      <c r="X892" s="401"/>
      <c r="Y892" s="199"/>
      <c r="Z892" s="220"/>
      <c r="AA892" s="400"/>
      <c r="AB892" s="401"/>
      <c r="AC892" s="199"/>
      <c r="AD892" s="220"/>
      <c r="AE892" s="400"/>
      <c r="AF892" s="401"/>
      <c r="AG892" s="201"/>
      <c r="AH892" s="201"/>
      <c r="AI892" s="201"/>
      <c r="AJ892" s="201"/>
      <c r="AK892" s="397"/>
      <c r="AL892" s="397"/>
      <c r="AM892" s="397"/>
    </row>
    <row r="893">
      <c r="A893" s="316"/>
      <c r="B893" s="317"/>
      <c r="C893" s="318"/>
      <c r="D893" s="397"/>
      <c r="E893" s="316"/>
      <c r="F893" s="317"/>
      <c r="G893" s="318"/>
      <c r="H893" s="397"/>
      <c r="I893" s="316"/>
      <c r="J893" s="317"/>
      <c r="K893" s="318"/>
      <c r="L893" s="397"/>
      <c r="M893" s="316"/>
      <c r="N893" s="317"/>
      <c r="O893" s="318"/>
      <c r="P893" s="397"/>
      <c r="Q893" s="199"/>
      <c r="R893" s="220"/>
      <c r="S893" s="400"/>
      <c r="T893" s="401"/>
      <c r="U893" s="199"/>
      <c r="V893" s="220"/>
      <c r="W893" s="400"/>
      <c r="X893" s="401"/>
      <c r="Y893" s="199"/>
      <c r="Z893" s="220"/>
      <c r="AA893" s="400"/>
      <c r="AB893" s="401"/>
      <c r="AC893" s="199"/>
      <c r="AD893" s="220"/>
      <c r="AE893" s="400"/>
      <c r="AF893" s="401"/>
      <c r="AG893" s="201"/>
      <c r="AH893" s="201"/>
      <c r="AI893" s="201"/>
      <c r="AJ893" s="201"/>
      <c r="AK893" s="397"/>
      <c r="AL893" s="397"/>
      <c r="AM893" s="397"/>
    </row>
    <row r="894">
      <c r="A894" s="316"/>
      <c r="B894" s="317"/>
      <c r="C894" s="318"/>
      <c r="D894" s="397"/>
      <c r="E894" s="316"/>
      <c r="F894" s="317"/>
      <c r="G894" s="318"/>
      <c r="H894" s="397"/>
      <c r="I894" s="316"/>
      <c r="J894" s="317"/>
      <c r="K894" s="318"/>
      <c r="L894" s="397"/>
      <c r="M894" s="316"/>
      <c r="N894" s="317"/>
      <c r="O894" s="318"/>
      <c r="P894" s="397"/>
      <c r="Q894" s="199"/>
      <c r="R894" s="220"/>
      <c r="S894" s="400"/>
      <c r="T894" s="401"/>
      <c r="U894" s="199"/>
      <c r="V894" s="220"/>
      <c r="W894" s="400"/>
      <c r="X894" s="401"/>
      <c r="Y894" s="199"/>
      <c r="Z894" s="220"/>
      <c r="AA894" s="400"/>
      <c r="AB894" s="401"/>
      <c r="AC894" s="199"/>
      <c r="AD894" s="220"/>
      <c r="AE894" s="400"/>
      <c r="AF894" s="401"/>
      <c r="AG894" s="201"/>
      <c r="AH894" s="201"/>
      <c r="AI894" s="201"/>
      <c r="AJ894" s="201"/>
      <c r="AK894" s="397"/>
      <c r="AL894" s="397"/>
      <c r="AM894" s="397"/>
    </row>
    <row r="895">
      <c r="A895" s="316"/>
      <c r="B895" s="317"/>
      <c r="C895" s="318"/>
      <c r="D895" s="397"/>
      <c r="E895" s="316"/>
      <c r="F895" s="317"/>
      <c r="G895" s="318"/>
      <c r="H895" s="397"/>
      <c r="I895" s="316"/>
      <c r="J895" s="317"/>
      <c r="K895" s="318"/>
      <c r="L895" s="397"/>
      <c r="M895" s="316"/>
      <c r="N895" s="317"/>
      <c r="O895" s="318"/>
      <c r="P895" s="397"/>
      <c r="Q895" s="199"/>
      <c r="R895" s="220"/>
      <c r="S895" s="400"/>
      <c r="T895" s="401"/>
      <c r="U895" s="199"/>
      <c r="V895" s="220"/>
      <c r="W895" s="400"/>
      <c r="X895" s="401"/>
      <c r="Y895" s="199"/>
      <c r="Z895" s="220"/>
      <c r="AA895" s="400"/>
      <c r="AB895" s="401"/>
      <c r="AC895" s="199"/>
      <c r="AD895" s="220"/>
      <c r="AE895" s="400"/>
      <c r="AF895" s="401"/>
      <c r="AG895" s="201"/>
      <c r="AH895" s="201"/>
      <c r="AI895" s="201"/>
      <c r="AJ895" s="201"/>
      <c r="AK895" s="397"/>
      <c r="AL895" s="397"/>
      <c r="AM895" s="397"/>
    </row>
    <row r="896">
      <c r="A896" s="316"/>
      <c r="B896" s="317"/>
      <c r="C896" s="318"/>
      <c r="D896" s="397"/>
      <c r="E896" s="316"/>
      <c r="F896" s="317"/>
      <c r="G896" s="318"/>
      <c r="H896" s="397"/>
      <c r="I896" s="316"/>
      <c r="J896" s="317"/>
      <c r="K896" s="318"/>
      <c r="L896" s="397"/>
      <c r="M896" s="316"/>
      <c r="N896" s="317"/>
      <c r="O896" s="318"/>
      <c r="P896" s="397"/>
      <c r="Q896" s="199"/>
      <c r="R896" s="220"/>
      <c r="S896" s="400"/>
      <c r="T896" s="401"/>
      <c r="U896" s="199"/>
      <c r="V896" s="220"/>
      <c r="W896" s="400"/>
      <c r="X896" s="401"/>
      <c r="Y896" s="199"/>
      <c r="Z896" s="220"/>
      <c r="AA896" s="400"/>
      <c r="AB896" s="401"/>
      <c r="AC896" s="199"/>
      <c r="AD896" s="220"/>
      <c r="AE896" s="400"/>
      <c r="AF896" s="401"/>
      <c r="AG896" s="201"/>
      <c r="AH896" s="201"/>
      <c r="AI896" s="201"/>
      <c r="AJ896" s="201"/>
      <c r="AK896" s="397"/>
      <c r="AL896" s="397"/>
      <c r="AM896" s="397"/>
    </row>
    <row r="897">
      <c r="A897" s="316"/>
      <c r="B897" s="317"/>
      <c r="C897" s="318"/>
      <c r="D897" s="397"/>
      <c r="E897" s="316"/>
      <c r="F897" s="317"/>
      <c r="G897" s="318"/>
      <c r="H897" s="397"/>
      <c r="I897" s="316"/>
      <c r="J897" s="317"/>
      <c r="K897" s="318"/>
      <c r="L897" s="397"/>
      <c r="M897" s="316"/>
      <c r="N897" s="317"/>
      <c r="O897" s="318"/>
      <c r="P897" s="397"/>
      <c r="Q897" s="199"/>
      <c r="R897" s="220"/>
      <c r="S897" s="400"/>
      <c r="T897" s="401"/>
      <c r="U897" s="199"/>
      <c r="V897" s="220"/>
      <c r="W897" s="400"/>
      <c r="X897" s="401"/>
      <c r="Y897" s="199"/>
      <c r="Z897" s="220"/>
      <c r="AA897" s="400"/>
      <c r="AB897" s="401"/>
      <c r="AC897" s="199"/>
      <c r="AD897" s="220"/>
      <c r="AE897" s="400"/>
      <c r="AF897" s="401"/>
      <c r="AG897" s="201"/>
      <c r="AH897" s="201"/>
      <c r="AI897" s="201"/>
      <c r="AJ897" s="201"/>
      <c r="AK897" s="397"/>
      <c r="AL897" s="397"/>
      <c r="AM897" s="397"/>
    </row>
    <row r="898">
      <c r="A898" s="316"/>
      <c r="B898" s="317"/>
      <c r="C898" s="318"/>
      <c r="D898" s="397"/>
      <c r="E898" s="316"/>
      <c r="F898" s="317"/>
      <c r="G898" s="318"/>
      <c r="H898" s="397"/>
      <c r="I898" s="316"/>
      <c r="J898" s="317"/>
      <c r="K898" s="318"/>
      <c r="L898" s="397"/>
      <c r="M898" s="316"/>
      <c r="N898" s="317"/>
      <c r="O898" s="318"/>
      <c r="P898" s="397"/>
      <c r="Q898" s="199"/>
      <c r="R898" s="220"/>
      <c r="S898" s="400"/>
      <c r="T898" s="401"/>
      <c r="U898" s="199"/>
      <c r="V898" s="220"/>
      <c r="W898" s="400"/>
      <c r="X898" s="401"/>
      <c r="Y898" s="199"/>
      <c r="Z898" s="220"/>
      <c r="AA898" s="400"/>
      <c r="AB898" s="401"/>
      <c r="AC898" s="199"/>
      <c r="AD898" s="220"/>
      <c r="AE898" s="400"/>
      <c r="AF898" s="401"/>
      <c r="AG898" s="201"/>
      <c r="AH898" s="201"/>
      <c r="AI898" s="201"/>
      <c r="AJ898" s="201"/>
      <c r="AK898" s="397"/>
      <c r="AL898" s="397"/>
      <c r="AM898" s="397"/>
    </row>
    <row r="899">
      <c r="A899" s="316"/>
      <c r="B899" s="317"/>
      <c r="C899" s="318"/>
      <c r="D899" s="397"/>
      <c r="E899" s="316"/>
      <c r="F899" s="317"/>
      <c r="G899" s="318"/>
      <c r="H899" s="397"/>
      <c r="I899" s="316"/>
      <c r="J899" s="317"/>
      <c r="K899" s="318"/>
      <c r="L899" s="397"/>
      <c r="M899" s="316"/>
      <c r="N899" s="317"/>
      <c r="O899" s="318"/>
      <c r="P899" s="397"/>
      <c r="Q899" s="199"/>
      <c r="R899" s="220"/>
      <c r="S899" s="400"/>
      <c r="T899" s="401"/>
      <c r="U899" s="199"/>
      <c r="V899" s="220"/>
      <c r="W899" s="400"/>
      <c r="X899" s="401"/>
      <c r="Y899" s="199"/>
      <c r="Z899" s="220"/>
      <c r="AA899" s="400"/>
      <c r="AB899" s="401"/>
      <c r="AC899" s="199"/>
      <c r="AD899" s="220"/>
      <c r="AE899" s="400"/>
      <c r="AF899" s="401"/>
      <c r="AG899" s="201"/>
      <c r="AH899" s="201"/>
      <c r="AI899" s="201"/>
      <c r="AJ899" s="201"/>
      <c r="AK899" s="397"/>
      <c r="AL899" s="397"/>
      <c r="AM899" s="397"/>
    </row>
    <row r="900">
      <c r="A900" s="316"/>
      <c r="B900" s="317"/>
      <c r="C900" s="318"/>
      <c r="D900" s="397"/>
      <c r="E900" s="316"/>
      <c r="F900" s="317"/>
      <c r="G900" s="318"/>
      <c r="H900" s="397"/>
      <c r="I900" s="316"/>
      <c r="J900" s="317"/>
      <c r="K900" s="318"/>
      <c r="L900" s="397"/>
      <c r="M900" s="316"/>
      <c r="N900" s="317"/>
      <c r="O900" s="318"/>
      <c r="P900" s="397"/>
      <c r="Q900" s="199"/>
      <c r="R900" s="220"/>
      <c r="S900" s="400"/>
      <c r="T900" s="401"/>
      <c r="U900" s="199"/>
      <c r="V900" s="220"/>
      <c r="W900" s="400"/>
      <c r="X900" s="401"/>
      <c r="Y900" s="199"/>
      <c r="Z900" s="220"/>
      <c r="AA900" s="400"/>
      <c r="AB900" s="401"/>
      <c r="AC900" s="199"/>
      <c r="AD900" s="220"/>
      <c r="AE900" s="400"/>
      <c r="AF900" s="401"/>
      <c r="AG900" s="201"/>
      <c r="AH900" s="201"/>
      <c r="AI900" s="201"/>
      <c r="AJ900" s="201"/>
      <c r="AK900" s="397"/>
      <c r="AL900" s="397"/>
      <c r="AM900" s="397"/>
    </row>
    <row r="901">
      <c r="A901" s="316"/>
      <c r="B901" s="317"/>
      <c r="C901" s="318"/>
      <c r="D901" s="397"/>
      <c r="E901" s="316"/>
      <c r="F901" s="317"/>
      <c r="G901" s="318"/>
      <c r="H901" s="397"/>
      <c r="I901" s="316"/>
      <c r="J901" s="317"/>
      <c r="K901" s="318"/>
      <c r="L901" s="397"/>
      <c r="M901" s="316"/>
      <c r="N901" s="317"/>
      <c r="O901" s="318"/>
      <c r="P901" s="397"/>
      <c r="Q901" s="199"/>
      <c r="R901" s="220"/>
      <c r="S901" s="400"/>
      <c r="T901" s="401"/>
      <c r="U901" s="199"/>
      <c r="V901" s="220"/>
      <c r="W901" s="400"/>
      <c r="X901" s="401"/>
      <c r="Y901" s="199"/>
      <c r="Z901" s="220"/>
      <c r="AA901" s="400"/>
      <c r="AB901" s="401"/>
      <c r="AC901" s="199"/>
      <c r="AD901" s="220"/>
      <c r="AE901" s="400"/>
      <c r="AF901" s="401"/>
      <c r="AG901" s="201"/>
      <c r="AH901" s="201"/>
      <c r="AI901" s="201"/>
      <c r="AJ901" s="201"/>
      <c r="AK901" s="397"/>
      <c r="AL901" s="397"/>
      <c r="AM901" s="397"/>
    </row>
    <row r="902">
      <c r="A902" s="316"/>
      <c r="B902" s="317"/>
      <c r="C902" s="318"/>
      <c r="D902" s="397"/>
      <c r="E902" s="316"/>
      <c r="F902" s="317"/>
      <c r="G902" s="318"/>
      <c r="H902" s="397"/>
      <c r="I902" s="316"/>
      <c r="J902" s="317"/>
      <c r="K902" s="318"/>
      <c r="L902" s="397"/>
      <c r="M902" s="316"/>
      <c r="N902" s="317"/>
      <c r="O902" s="318"/>
      <c r="P902" s="397"/>
      <c r="Q902" s="199"/>
      <c r="R902" s="220"/>
      <c r="S902" s="400"/>
      <c r="T902" s="401"/>
      <c r="U902" s="199"/>
      <c r="V902" s="220"/>
      <c r="W902" s="400"/>
      <c r="X902" s="401"/>
      <c r="Y902" s="199"/>
      <c r="Z902" s="220"/>
      <c r="AA902" s="400"/>
      <c r="AB902" s="401"/>
      <c r="AC902" s="199"/>
      <c r="AD902" s="220"/>
      <c r="AE902" s="400"/>
      <c r="AF902" s="401"/>
      <c r="AG902" s="201"/>
      <c r="AH902" s="201"/>
      <c r="AI902" s="201"/>
      <c r="AJ902" s="201"/>
      <c r="AK902" s="397"/>
      <c r="AL902" s="397"/>
      <c r="AM902" s="397"/>
    </row>
    <row r="903">
      <c r="A903" s="316"/>
      <c r="B903" s="317"/>
      <c r="C903" s="318"/>
      <c r="D903" s="397"/>
      <c r="E903" s="316"/>
      <c r="F903" s="317"/>
      <c r="G903" s="318"/>
      <c r="H903" s="397"/>
      <c r="I903" s="316"/>
      <c r="J903" s="317"/>
      <c r="K903" s="318"/>
      <c r="L903" s="397"/>
      <c r="M903" s="316"/>
      <c r="N903" s="317"/>
      <c r="O903" s="318"/>
      <c r="P903" s="397"/>
      <c r="Q903" s="199"/>
      <c r="R903" s="220"/>
      <c r="S903" s="400"/>
      <c r="T903" s="401"/>
      <c r="U903" s="199"/>
      <c r="V903" s="220"/>
      <c r="W903" s="400"/>
      <c r="X903" s="401"/>
      <c r="Y903" s="199"/>
      <c r="Z903" s="220"/>
      <c r="AA903" s="400"/>
      <c r="AB903" s="401"/>
      <c r="AC903" s="199"/>
      <c r="AD903" s="220"/>
      <c r="AE903" s="400"/>
      <c r="AF903" s="401"/>
      <c r="AG903" s="201"/>
      <c r="AH903" s="201"/>
      <c r="AI903" s="201"/>
      <c r="AJ903" s="201"/>
      <c r="AK903" s="397"/>
      <c r="AL903" s="397"/>
      <c r="AM903" s="397"/>
    </row>
    <row r="904">
      <c r="A904" s="316"/>
      <c r="B904" s="317"/>
      <c r="C904" s="318"/>
      <c r="D904" s="397"/>
      <c r="E904" s="316"/>
      <c r="F904" s="317"/>
      <c r="G904" s="318"/>
      <c r="H904" s="397"/>
      <c r="I904" s="316"/>
      <c r="J904" s="317"/>
      <c r="K904" s="318"/>
      <c r="L904" s="397"/>
      <c r="M904" s="316"/>
      <c r="N904" s="317"/>
      <c r="O904" s="318"/>
      <c r="P904" s="397"/>
      <c r="Q904" s="199"/>
      <c r="R904" s="220"/>
      <c r="S904" s="400"/>
      <c r="T904" s="401"/>
      <c r="U904" s="199"/>
      <c r="V904" s="220"/>
      <c r="W904" s="400"/>
      <c r="X904" s="401"/>
      <c r="Y904" s="199"/>
      <c r="Z904" s="220"/>
      <c r="AA904" s="400"/>
      <c r="AB904" s="401"/>
      <c r="AC904" s="199"/>
      <c r="AD904" s="220"/>
      <c r="AE904" s="400"/>
      <c r="AF904" s="401"/>
      <c r="AG904" s="201"/>
      <c r="AH904" s="201"/>
      <c r="AI904" s="201"/>
      <c r="AJ904" s="201"/>
      <c r="AK904" s="397"/>
      <c r="AL904" s="397"/>
      <c r="AM904" s="397"/>
    </row>
    <row r="905">
      <c r="A905" s="316"/>
      <c r="B905" s="317"/>
      <c r="C905" s="318"/>
      <c r="D905" s="397"/>
      <c r="E905" s="316"/>
      <c r="F905" s="317"/>
      <c r="G905" s="318"/>
      <c r="H905" s="397"/>
      <c r="I905" s="316"/>
      <c r="J905" s="317"/>
      <c r="K905" s="318"/>
      <c r="L905" s="397"/>
      <c r="M905" s="316"/>
      <c r="N905" s="317"/>
      <c r="O905" s="318"/>
      <c r="P905" s="397"/>
      <c r="Q905" s="199"/>
      <c r="R905" s="220"/>
      <c r="S905" s="400"/>
      <c r="T905" s="401"/>
      <c r="U905" s="199"/>
      <c r="V905" s="220"/>
      <c r="W905" s="400"/>
      <c r="X905" s="401"/>
      <c r="Y905" s="199"/>
      <c r="Z905" s="220"/>
      <c r="AA905" s="400"/>
      <c r="AB905" s="401"/>
      <c r="AC905" s="199"/>
      <c r="AD905" s="220"/>
      <c r="AE905" s="400"/>
      <c r="AF905" s="401"/>
      <c r="AG905" s="201"/>
      <c r="AH905" s="201"/>
      <c r="AI905" s="201"/>
      <c r="AJ905" s="201"/>
      <c r="AK905" s="397"/>
      <c r="AL905" s="397"/>
      <c r="AM905" s="397"/>
    </row>
    <row r="906">
      <c r="A906" s="316"/>
      <c r="B906" s="317"/>
      <c r="C906" s="318"/>
      <c r="D906" s="397"/>
      <c r="E906" s="316"/>
      <c r="F906" s="317"/>
      <c r="G906" s="318"/>
      <c r="H906" s="397"/>
      <c r="I906" s="316"/>
      <c r="J906" s="317"/>
      <c r="K906" s="318"/>
      <c r="L906" s="397"/>
      <c r="M906" s="316"/>
      <c r="N906" s="317"/>
      <c r="O906" s="318"/>
      <c r="P906" s="397"/>
      <c r="Q906" s="199"/>
      <c r="R906" s="220"/>
      <c r="S906" s="400"/>
      <c r="T906" s="401"/>
      <c r="U906" s="199"/>
      <c r="V906" s="220"/>
      <c r="W906" s="400"/>
      <c r="X906" s="401"/>
      <c r="Y906" s="199"/>
      <c r="Z906" s="220"/>
      <c r="AA906" s="400"/>
      <c r="AB906" s="401"/>
      <c r="AC906" s="199"/>
      <c r="AD906" s="220"/>
      <c r="AE906" s="400"/>
      <c r="AF906" s="401"/>
      <c r="AG906" s="201"/>
      <c r="AH906" s="201"/>
      <c r="AI906" s="201"/>
      <c r="AJ906" s="201"/>
      <c r="AK906" s="397"/>
      <c r="AL906" s="397"/>
      <c r="AM906" s="397"/>
    </row>
    <row r="907">
      <c r="A907" s="316"/>
      <c r="B907" s="317"/>
      <c r="C907" s="318"/>
      <c r="D907" s="397"/>
      <c r="E907" s="316"/>
      <c r="F907" s="317"/>
      <c r="G907" s="318"/>
      <c r="H907" s="397"/>
      <c r="I907" s="316"/>
      <c r="J907" s="317"/>
      <c r="K907" s="318"/>
      <c r="L907" s="397"/>
      <c r="M907" s="316"/>
      <c r="N907" s="317"/>
      <c r="O907" s="318"/>
      <c r="P907" s="397"/>
      <c r="Q907" s="199"/>
      <c r="R907" s="220"/>
      <c r="S907" s="400"/>
      <c r="T907" s="401"/>
      <c r="U907" s="199"/>
      <c r="V907" s="220"/>
      <c r="W907" s="400"/>
      <c r="X907" s="401"/>
      <c r="Y907" s="199"/>
      <c r="Z907" s="220"/>
      <c r="AA907" s="400"/>
      <c r="AB907" s="401"/>
      <c r="AC907" s="199"/>
      <c r="AD907" s="220"/>
      <c r="AE907" s="400"/>
      <c r="AF907" s="401"/>
      <c r="AG907" s="201"/>
      <c r="AH907" s="201"/>
      <c r="AI907" s="201"/>
      <c r="AJ907" s="201"/>
      <c r="AK907" s="397"/>
      <c r="AL907" s="397"/>
      <c r="AM907" s="397"/>
    </row>
    <row r="908">
      <c r="A908" s="316"/>
      <c r="B908" s="317"/>
      <c r="C908" s="318"/>
      <c r="D908" s="397"/>
      <c r="E908" s="316"/>
      <c r="F908" s="317"/>
      <c r="G908" s="318"/>
      <c r="H908" s="397"/>
      <c r="I908" s="316"/>
      <c r="J908" s="317"/>
      <c r="K908" s="318"/>
      <c r="L908" s="397"/>
      <c r="M908" s="316"/>
      <c r="N908" s="317"/>
      <c r="O908" s="318"/>
      <c r="P908" s="397"/>
      <c r="Q908" s="199"/>
      <c r="R908" s="220"/>
      <c r="S908" s="400"/>
      <c r="T908" s="401"/>
      <c r="U908" s="199"/>
      <c r="V908" s="220"/>
      <c r="W908" s="400"/>
      <c r="X908" s="401"/>
      <c r="Y908" s="199"/>
      <c r="Z908" s="220"/>
      <c r="AA908" s="400"/>
      <c r="AB908" s="401"/>
      <c r="AC908" s="199"/>
      <c r="AD908" s="220"/>
      <c r="AE908" s="400"/>
      <c r="AF908" s="401"/>
      <c r="AG908" s="201"/>
      <c r="AH908" s="201"/>
      <c r="AI908" s="201"/>
      <c r="AJ908" s="201"/>
      <c r="AK908" s="397"/>
      <c r="AL908" s="397"/>
      <c r="AM908" s="397"/>
    </row>
    <row r="909">
      <c r="A909" s="316"/>
      <c r="B909" s="317"/>
      <c r="C909" s="318"/>
      <c r="D909" s="397"/>
      <c r="E909" s="316"/>
      <c r="F909" s="317"/>
      <c r="G909" s="318"/>
      <c r="H909" s="397"/>
      <c r="I909" s="316"/>
      <c r="J909" s="317"/>
      <c r="K909" s="318"/>
      <c r="L909" s="397"/>
      <c r="M909" s="316"/>
      <c r="N909" s="317"/>
      <c r="O909" s="318"/>
      <c r="P909" s="397"/>
      <c r="Q909" s="199"/>
      <c r="R909" s="220"/>
      <c r="S909" s="400"/>
      <c r="T909" s="401"/>
      <c r="U909" s="199"/>
      <c r="V909" s="220"/>
      <c r="W909" s="400"/>
      <c r="X909" s="401"/>
      <c r="Y909" s="199"/>
      <c r="Z909" s="220"/>
      <c r="AA909" s="400"/>
      <c r="AB909" s="401"/>
      <c r="AC909" s="199"/>
      <c r="AD909" s="220"/>
      <c r="AE909" s="400"/>
      <c r="AF909" s="401"/>
      <c r="AG909" s="201"/>
      <c r="AH909" s="201"/>
      <c r="AI909" s="201"/>
      <c r="AJ909" s="201"/>
      <c r="AK909" s="397"/>
      <c r="AL909" s="397"/>
      <c r="AM909" s="397"/>
    </row>
    <row r="910">
      <c r="A910" s="316"/>
      <c r="B910" s="317"/>
      <c r="C910" s="318"/>
      <c r="D910" s="397"/>
      <c r="E910" s="316"/>
      <c r="F910" s="317"/>
      <c r="G910" s="318"/>
      <c r="H910" s="397"/>
      <c r="I910" s="316"/>
      <c r="J910" s="317"/>
      <c r="K910" s="318"/>
      <c r="L910" s="397"/>
      <c r="M910" s="316"/>
      <c r="N910" s="317"/>
      <c r="O910" s="318"/>
      <c r="P910" s="397"/>
      <c r="Q910" s="199"/>
      <c r="R910" s="220"/>
      <c r="S910" s="400"/>
      <c r="T910" s="401"/>
      <c r="U910" s="199"/>
      <c r="V910" s="220"/>
      <c r="W910" s="400"/>
      <c r="X910" s="401"/>
      <c r="Y910" s="199"/>
      <c r="Z910" s="220"/>
      <c r="AA910" s="400"/>
      <c r="AB910" s="401"/>
      <c r="AC910" s="199"/>
      <c r="AD910" s="220"/>
      <c r="AE910" s="400"/>
      <c r="AF910" s="401"/>
      <c r="AG910" s="201"/>
      <c r="AH910" s="201"/>
      <c r="AI910" s="201"/>
      <c r="AJ910" s="201"/>
      <c r="AK910" s="397"/>
      <c r="AL910" s="397"/>
      <c r="AM910" s="397"/>
    </row>
    <row r="911">
      <c r="A911" s="316"/>
      <c r="B911" s="317"/>
      <c r="C911" s="318"/>
      <c r="D911" s="397"/>
      <c r="E911" s="316"/>
      <c r="F911" s="317"/>
      <c r="G911" s="318"/>
      <c r="H911" s="397"/>
      <c r="I911" s="316"/>
      <c r="J911" s="317"/>
      <c r="K911" s="318"/>
      <c r="L911" s="397"/>
      <c r="M911" s="316"/>
      <c r="N911" s="317"/>
      <c r="O911" s="318"/>
      <c r="P911" s="397"/>
      <c r="Q911" s="199"/>
      <c r="R911" s="220"/>
      <c r="S911" s="400"/>
      <c r="T911" s="401"/>
      <c r="U911" s="199"/>
      <c r="V911" s="220"/>
      <c r="W911" s="400"/>
      <c r="X911" s="401"/>
      <c r="Y911" s="199"/>
      <c r="Z911" s="220"/>
      <c r="AA911" s="400"/>
      <c r="AB911" s="401"/>
      <c r="AC911" s="199"/>
      <c r="AD911" s="220"/>
      <c r="AE911" s="400"/>
      <c r="AF911" s="401"/>
      <c r="AG911" s="201"/>
      <c r="AH911" s="201"/>
      <c r="AI911" s="201"/>
      <c r="AJ911" s="201"/>
      <c r="AK911" s="397"/>
      <c r="AL911" s="397"/>
      <c r="AM911" s="397"/>
    </row>
    <row r="912">
      <c r="A912" s="316"/>
      <c r="B912" s="317"/>
      <c r="C912" s="318"/>
      <c r="D912" s="397"/>
      <c r="E912" s="316"/>
      <c r="F912" s="317"/>
      <c r="G912" s="318"/>
      <c r="H912" s="397"/>
      <c r="I912" s="316"/>
      <c r="J912" s="317"/>
      <c r="K912" s="318"/>
      <c r="L912" s="397"/>
      <c r="M912" s="316"/>
      <c r="N912" s="317"/>
      <c r="O912" s="318"/>
      <c r="P912" s="397"/>
      <c r="Q912" s="199"/>
      <c r="R912" s="220"/>
      <c r="S912" s="400"/>
      <c r="T912" s="401"/>
      <c r="U912" s="199"/>
      <c r="V912" s="220"/>
      <c r="W912" s="400"/>
      <c r="X912" s="401"/>
      <c r="Y912" s="199"/>
      <c r="Z912" s="220"/>
      <c r="AA912" s="400"/>
      <c r="AB912" s="401"/>
      <c r="AC912" s="199"/>
      <c r="AD912" s="220"/>
      <c r="AE912" s="400"/>
      <c r="AF912" s="401"/>
      <c r="AG912" s="201"/>
      <c r="AH912" s="201"/>
      <c r="AI912" s="201"/>
      <c r="AJ912" s="201"/>
      <c r="AK912" s="397"/>
      <c r="AL912" s="397"/>
      <c r="AM912" s="397"/>
    </row>
    <row r="913">
      <c r="A913" s="316"/>
      <c r="B913" s="317"/>
      <c r="C913" s="318"/>
      <c r="D913" s="397"/>
      <c r="E913" s="316"/>
      <c r="F913" s="317"/>
      <c r="G913" s="318"/>
      <c r="H913" s="397"/>
      <c r="I913" s="316"/>
      <c r="J913" s="317"/>
      <c r="K913" s="318"/>
      <c r="L913" s="397"/>
      <c r="M913" s="316"/>
      <c r="N913" s="317"/>
      <c r="O913" s="318"/>
      <c r="P913" s="397"/>
      <c r="Q913" s="199"/>
      <c r="R913" s="220"/>
      <c r="S913" s="400"/>
      <c r="T913" s="401"/>
      <c r="U913" s="199"/>
      <c r="V913" s="220"/>
      <c r="W913" s="400"/>
      <c r="X913" s="401"/>
      <c r="Y913" s="199"/>
      <c r="Z913" s="220"/>
      <c r="AA913" s="400"/>
      <c r="AB913" s="401"/>
      <c r="AC913" s="199"/>
      <c r="AD913" s="220"/>
      <c r="AE913" s="400"/>
      <c r="AF913" s="401"/>
      <c r="AG913" s="201"/>
      <c r="AH913" s="201"/>
      <c r="AI913" s="201"/>
      <c r="AJ913" s="201"/>
      <c r="AK913" s="397"/>
      <c r="AL913" s="397"/>
      <c r="AM913" s="397"/>
    </row>
    <row r="914">
      <c r="A914" s="316"/>
      <c r="B914" s="317"/>
      <c r="C914" s="318"/>
      <c r="D914" s="397"/>
      <c r="E914" s="316"/>
      <c r="F914" s="317"/>
      <c r="G914" s="318"/>
      <c r="H914" s="397"/>
      <c r="I914" s="316"/>
      <c r="J914" s="317"/>
      <c r="K914" s="318"/>
      <c r="L914" s="397"/>
      <c r="M914" s="316"/>
      <c r="N914" s="317"/>
      <c r="O914" s="318"/>
      <c r="P914" s="397"/>
      <c r="Q914" s="199"/>
      <c r="R914" s="220"/>
      <c r="S914" s="400"/>
      <c r="T914" s="401"/>
      <c r="U914" s="199"/>
      <c r="V914" s="220"/>
      <c r="W914" s="400"/>
      <c r="X914" s="401"/>
      <c r="Y914" s="199"/>
      <c r="Z914" s="220"/>
      <c r="AA914" s="400"/>
      <c r="AB914" s="401"/>
      <c r="AC914" s="199"/>
      <c r="AD914" s="220"/>
      <c r="AE914" s="400"/>
      <c r="AF914" s="401"/>
      <c r="AG914" s="201"/>
      <c r="AH914" s="201"/>
      <c r="AI914" s="201"/>
      <c r="AJ914" s="201"/>
      <c r="AK914" s="397"/>
      <c r="AL914" s="397"/>
      <c r="AM914" s="397"/>
    </row>
    <row r="915">
      <c r="A915" s="316"/>
      <c r="B915" s="317"/>
      <c r="C915" s="318"/>
      <c r="D915" s="397"/>
      <c r="E915" s="316"/>
      <c r="F915" s="317"/>
      <c r="G915" s="318"/>
      <c r="H915" s="397"/>
      <c r="I915" s="316"/>
      <c r="J915" s="317"/>
      <c r="K915" s="318"/>
      <c r="L915" s="397"/>
      <c r="M915" s="316"/>
      <c r="N915" s="317"/>
      <c r="O915" s="318"/>
      <c r="P915" s="397"/>
      <c r="Q915" s="199"/>
      <c r="R915" s="220"/>
      <c r="S915" s="400"/>
      <c r="T915" s="401"/>
      <c r="U915" s="199"/>
      <c r="V915" s="220"/>
      <c r="W915" s="400"/>
      <c r="X915" s="401"/>
      <c r="Y915" s="199"/>
      <c r="Z915" s="220"/>
      <c r="AA915" s="400"/>
      <c r="AB915" s="401"/>
      <c r="AC915" s="199"/>
      <c r="AD915" s="220"/>
      <c r="AE915" s="400"/>
      <c r="AF915" s="401"/>
      <c r="AG915" s="201"/>
      <c r="AH915" s="201"/>
      <c r="AI915" s="201"/>
      <c r="AJ915" s="201"/>
      <c r="AK915" s="397"/>
      <c r="AL915" s="397"/>
      <c r="AM915" s="397"/>
    </row>
    <row r="916">
      <c r="A916" s="316"/>
      <c r="B916" s="317"/>
      <c r="C916" s="318"/>
      <c r="D916" s="397"/>
      <c r="E916" s="316"/>
      <c r="F916" s="317"/>
      <c r="G916" s="318"/>
      <c r="H916" s="397"/>
      <c r="I916" s="316"/>
      <c r="J916" s="317"/>
      <c r="K916" s="318"/>
      <c r="L916" s="397"/>
      <c r="M916" s="316"/>
      <c r="N916" s="317"/>
      <c r="O916" s="318"/>
      <c r="P916" s="397"/>
      <c r="Q916" s="199"/>
      <c r="R916" s="220"/>
      <c r="S916" s="400"/>
      <c r="T916" s="401"/>
      <c r="U916" s="199"/>
      <c r="V916" s="220"/>
      <c r="W916" s="400"/>
      <c r="X916" s="401"/>
      <c r="Y916" s="199"/>
      <c r="Z916" s="220"/>
      <c r="AA916" s="400"/>
      <c r="AB916" s="401"/>
      <c r="AC916" s="199"/>
      <c r="AD916" s="220"/>
      <c r="AE916" s="400"/>
      <c r="AF916" s="401"/>
      <c r="AG916" s="201"/>
      <c r="AH916" s="201"/>
      <c r="AI916" s="201"/>
      <c r="AJ916" s="201"/>
      <c r="AK916" s="397"/>
      <c r="AL916" s="397"/>
      <c r="AM916" s="397"/>
    </row>
    <row r="917">
      <c r="A917" s="316"/>
      <c r="B917" s="317"/>
      <c r="C917" s="318"/>
      <c r="D917" s="397"/>
      <c r="E917" s="316"/>
      <c r="F917" s="317"/>
      <c r="G917" s="318"/>
      <c r="H917" s="397"/>
      <c r="I917" s="316"/>
      <c r="J917" s="317"/>
      <c r="K917" s="318"/>
      <c r="L917" s="397"/>
      <c r="M917" s="316"/>
      <c r="N917" s="317"/>
      <c r="O917" s="318"/>
      <c r="P917" s="397"/>
      <c r="Q917" s="199"/>
      <c r="R917" s="220"/>
      <c r="S917" s="400"/>
      <c r="T917" s="401"/>
      <c r="U917" s="199"/>
      <c r="V917" s="220"/>
      <c r="W917" s="400"/>
      <c r="X917" s="401"/>
      <c r="Y917" s="199"/>
      <c r="Z917" s="220"/>
      <c r="AA917" s="400"/>
      <c r="AB917" s="401"/>
      <c r="AC917" s="199"/>
      <c r="AD917" s="220"/>
      <c r="AE917" s="400"/>
      <c r="AF917" s="401"/>
      <c r="AG917" s="201"/>
      <c r="AH917" s="201"/>
      <c r="AI917" s="201"/>
      <c r="AJ917" s="201"/>
      <c r="AK917" s="397"/>
      <c r="AL917" s="397"/>
      <c r="AM917" s="397"/>
    </row>
    <row r="918">
      <c r="A918" s="316"/>
      <c r="B918" s="317"/>
      <c r="C918" s="318"/>
      <c r="D918" s="397"/>
      <c r="E918" s="316"/>
      <c r="F918" s="317"/>
      <c r="G918" s="318"/>
      <c r="H918" s="397"/>
      <c r="I918" s="316"/>
      <c r="J918" s="317"/>
      <c r="K918" s="318"/>
      <c r="L918" s="397"/>
      <c r="M918" s="316"/>
      <c r="N918" s="317"/>
      <c r="O918" s="318"/>
      <c r="P918" s="397"/>
      <c r="Q918" s="199"/>
      <c r="R918" s="220"/>
      <c r="S918" s="400"/>
      <c r="T918" s="401"/>
      <c r="U918" s="199"/>
      <c r="V918" s="220"/>
      <c r="W918" s="400"/>
      <c r="X918" s="401"/>
      <c r="Y918" s="199"/>
      <c r="Z918" s="220"/>
      <c r="AA918" s="400"/>
      <c r="AB918" s="401"/>
      <c r="AC918" s="199"/>
      <c r="AD918" s="220"/>
      <c r="AE918" s="400"/>
      <c r="AF918" s="401"/>
      <c r="AG918" s="201"/>
      <c r="AH918" s="201"/>
      <c r="AI918" s="201"/>
      <c r="AJ918" s="201"/>
      <c r="AK918" s="397"/>
      <c r="AL918" s="397"/>
      <c r="AM918" s="397"/>
    </row>
    <row r="919">
      <c r="A919" s="316"/>
      <c r="B919" s="317"/>
      <c r="C919" s="318"/>
      <c r="D919" s="397"/>
      <c r="E919" s="316"/>
      <c r="F919" s="317"/>
      <c r="G919" s="318"/>
      <c r="H919" s="397"/>
      <c r="I919" s="316"/>
      <c r="J919" s="317"/>
      <c r="K919" s="318"/>
      <c r="L919" s="397"/>
      <c r="M919" s="316"/>
      <c r="N919" s="317"/>
      <c r="O919" s="318"/>
      <c r="P919" s="397"/>
      <c r="Q919" s="199"/>
      <c r="R919" s="220"/>
      <c r="S919" s="400"/>
      <c r="T919" s="401"/>
      <c r="U919" s="199"/>
      <c r="V919" s="220"/>
      <c r="W919" s="400"/>
      <c r="X919" s="401"/>
      <c r="Y919" s="199"/>
      <c r="Z919" s="220"/>
      <c r="AA919" s="400"/>
      <c r="AB919" s="401"/>
      <c r="AC919" s="199"/>
      <c r="AD919" s="220"/>
      <c r="AE919" s="400"/>
      <c r="AF919" s="401"/>
      <c r="AG919" s="201"/>
      <c r="AH919" s="201"/>
      <c r="AI919" s="201"/>
      <c r="AJ919" s="201"/>
      <c r="AK919" s="397"/>
      <c r="AL919" s="397"/>
      <c r="AM919" s="397"/>
    </row>
    <row r="920">
      <c r="A920" s="316"/>
      <c r="B920" s="317"/>
      <c r="C920" s="318"/>
      <c r="D920" s="397"/>
      <c r="E920" s="316"/>
      <c r="F920" s="317"/>
      <c r="G920" s="318"/>
      <c r="H920" s="397"/>
      <c r="I920" s="316"/>
      <c r="J920" s="317"/>
      <c r="K920" s="318"/>
      <c r="L920" s="397"/>
      <c r="M920" s="316"/>
      <c r="N920" s="317"/>
      <c r="O920" s="318"/>
      <c r="P920" s="397"/>
      <c r="Q920" s="199"/>
      <c r="R920" s="220"/>
      <c r="S920" s="400"/>
      <c r="T920" s="401"/>
      <c r="U920" s="199"/>
      <c r="V920" s="220"/>
      <c r="W920" s="400"/>
      <c r="X920" s="401"/>
      <c r="Y920" s="199"/>
      <c r="Z920" s="220"/>
      <c r="AA920" s="400"/>
      <c r="AB920" s="401"/>
      <c r="AC920" s="199"/>
      <c r="AD920" s="220"/>
      <c r="AE920" s="400"/>
      <c r="AF920" s="401"/>
      <c r="AG920" s="201"/>
      <c r="AH920" s="201"/>
      <c r="AI920" s="201"/>
      <c r="AJ920" s="201"/>
      <c r="AK920" s="397"/>
      <c r="AL920" s="397"/>
      <c r="AM920" s="397"/>
    </row>
    <row r="921">
      <c r="A921" s="316"/>
      <c r="B921" s="317"/>
      <c r="C921" s="318"/>
      <c r="D921" s="397"/>
      <c r="E921" s="316"/>
      <c r="F921" s="317"/>
      <c r="G921" s="318"/>
      <c r="H921" s="397"/>
      <c r="I921" s="316"/>
      <c r="J921" s="317"/>
      <c r="K921" s="318"/>
      <c r="L921" s="397"/>
      <c r="M921" s="316"/>
      <c r="N921" s="317"/>
      <c r="O921" s="318"/>
      <c r="P921" s="397"/>
      <c r="Q921" s="199"/>
      <c r="R921" s="220"/>
      <c r="S921" s="400"/>
      <c r="T921" s="401"/>
      <c r="U921" s="199"/>
      <c r="V921" s="220"/>
      <c r="W921" s="400"/>
      <c r="X921" s="401"/>
      <c r="Y921" s="199"/>
      <c r="Z921" s="220"/>
      <c r="AA921" s="400"/>
      <c r="AB921" s="401"/>
      <c r="AC921" s="199"/>
      <c r="AD921" s="220"/>
      <c r="AE921" s="400"/>
      <c r="AF921" s="401"/>
      <c r="AG921" s="201"/>
      <c r="AH921" s="201"/>
      <c r="AI921" s="201"/>
      <c r="AJ921" s="201"/>
      <c r="AK921" s="397"/>
      <c r="AL921" s="397"/>
      <c r="AM921" s="397"/>
    </row>
    <row r="922">
      <c r="A922" s="316"/>
      <c r="B922" s="317"/>
      <c r="C922" s="318"/>
      <c r="D922" s="397"/>
      <c r="E922" s="316"/>
      <c r="F922" s="317"/>
      <c r="G922" s="318"/>
      <c r="H922" s="397"/>
      <c r="I922" s="316"/>
      <c r="J922" s="317"/>
      <c r="K922" s="318"/>
      <c r="L922" s="397"/>
      <c r="M922" s="316"/>
      <c r="N922" s="317"/>
      <c r="O922" s="318"/>
      <c r="P922" s="397"/>
      <c r="Q922" s="199"/>
      <c r="R922" s="220"/>
      <c r="S922" s="400"/>
      <c r="T922" s="401"/>
      <c r="U922" s="199"/>
      <c r="V922" s="220"/>
      <c r="W922" s="400"/>
      <c r="X922" s="401"/>
      <c r="Y922" s="199"/>
      <c r="Z922" s="220"/>
      <c r="AA922" s="400"/>
      <c r="AB922" s="401"/>
      <c r="AC922" s="199"/>
      <c r="AD922" s="220"/>
      <c r="AE922" s="400"/>
      <c r="AF922" s="401"/>
      <c r="AG922" s="201"/>
      <c r="AH922" s="201"/>
      <c r="AI922" s="201"/>
      <c r="AJ922" s="201"/>
      <c r="AK922" s="397"/>
      <c r="AL922" s="397"/>
      <c r="AM922" s="397"/>
    </row>
    <row r="923">
      <c r="A923" s="316"/>
      <c r="B923" s="317"/>
      <c r="C923" s="318"/>
      <c r="D923" s="397"/>
      <c r="E923" s="316"/>
      <c r="F923" s="317"/>
      <c r="G923" s="318"/>
      <c r="H923" s="397"/>
      <c r="I923" s="316"/>
      <c r="J923" s="317"/>
      <c r="K923" s="318"/>
      <c r="L923" s="397"/>
      <c r="M923" s="316"/>
      <c r="N923" s="317"/>
      <c r="O923" s="318"/>
      <c r="P923" s="397"/>
      <c r="Q923" s="199"/>
      <c r="R923" s="220"/>
      <c r="S923" s="400"/>
      <c r="T923" s="401"/>
      <c r="U923" s="199"/>
      <c r="V923" s="220"/>
      <c r="W923" s="400"/>
      <c r="X923" s="401"/>
      <c r="Y923" s="199"/>
      <c r="Z923" s="220"/>
      <c r="AA923" s="400"/>
      <c r="AB923" s="401"/>
      <c r="AC923" s="199"/>
      <c r="AD923" s="220"/>
      <c r="AE923" s="400"/>
      <c r="AF923" s="401"/>
      <c r="AG923" s="201"/>
      <c r="AH923" s="201"/>
      <c r="AI923" s="201"/>
      <c r="AJ923" s="201"/>
      <c r="AK923" s="397"/>
      <c r="AL923" s="397"/>
      <c r="AM923" s="397"/>
    </row>
    <row r="924">
      <c r="A924" s="316"/>
      <c r="B924" s="317"/>
      <c r="C924" s="318"/>
      <c r="D924" s="397"/>
      <c r="E924" s="316"/>
      <c r="F924" s="317"/>
      <c r="G924" s="318"/>
      <c r="H924" s="397"/>
      <c r="I924" s="316"/>
      <c r="J924" s="317"/>
      <c r="K924" s="318"/>
      <c r="L924" s="397"/>
      <c r="M924" s="316"/>
      <c r="N924" s="317"/>
      <c r="O924" s="318"/>
      <c r="P924" s="397"/>
      <c r="Q924" s="199"/>
      <c r="R924" s="220"/>
      <c r="S924" s="400"/>
      <c r="T924" s="401"/>
      <c r="U924" s="199"/>
      <c r="V924" s="220"/>
      <c r="W924" s="400"/>
      <c r="X924" s="401"/>
      <c r="Y924" s="199"/>
      <c r="Z924" s="220"/>
      <c r="AA924" s="400"/>
      <c r="AB924" s="401"/>
      <c r="AC924" s="199"/>
      <c r="AD924" s="220"/>
      <c r="AE924" s="400"/>
      <c r="AF924" s="401"/>
      <c r="AG924" s="201"/>
      <c r="AH924" s="201"/>
      <c r="AI924" s="201"/>
      <c r="AJ924" s="201"/>
      <c r="AK924" s="397"/>
      <c r="AL924" s="397"/>
      <c r="AM924" s="397"/>
    </row>
    <row r="925">
      <c r="A925" s="316"/>
      <c r="B925" s="317"/>
      <c r="C925" s="318"/>
      <c r="D925" s="397"/>
      <c r="E925" s="316"/>
      <c r="F925" s="317"/>
      <c r="G925" s="318"/>
      <c r="H925" s="397"/>
      <c r="I925" s="316"/>
      <c r="J925" s="317"/>
      <c r="K925" s="318"/>
      <c r="L925" s="397"/>
      <c r="M925" s="316"/>
      <c r="N925" s="317"/>
      <c r="O925" s="318"/>
      <c r="P925" s="397"/>
      <c r="Q925" s="199"/>
      <c r="R925" s="220"/>
      <c r="S925" s="400"/>
      <c r="T925" s="401"/>
      <c r="U925" s="199"/>
      <c r="V925" s="220"/>
      <c r="W925" s="400"/>
      <c r="X925" s="401"/>
      <c r="Y925" s="199"/>
      <c r="Z925" s="220"/>
      <c r="AA925" s="400"/>
      <c r="AB925" s="401"/>
      <c r="AC925" s="199"/>
      <c r="AD925" s="220"/>
      <c r="AE925" s="400"/>
      <c r="AF925" s="401"/>
      <c r="AG925" s="201"/>
      <c r="AH925" s="201"/>
      <c r="AI925" s="201"/>
      <c r="AJ925" s="201"/>
      <c r="AK925" s="397"/>
      <c r="AL925" s="397"/>
      <c r="AM925" s="397"/>
    </row>
    <row r="926">
      <c r="A926" s="316"/>
      <c r="B926" s="317"/>
      <c r="C926" s="318"/>
      <c r="D926" s="397"/>
      <c r="E926" s="316"/>
      <c r="F926" s="317"/>
      <c r="G926" s="318"/>
      <c r="H926" s="397"/>
      <c r="I926" s="316"/>
      <c r="J926" s="317"/>
      <c r="K926" s="318"/>
      <c r="L926" s="397"/>
      <c r="M926" s="316"/>
      <c r="N926" s="317"/>
      <c r="O926" s="318"/>
      <c r="P926" s="397"/>
      <c r="Q926" s="199"/>
      <c r="R926" s="220"/>
      <c r="S926" s="400"/>
      <c r="T926" s="401"/>
      <c r="U926" s="199"/>
      <c r="V926" s="220"/>
      <c r="W926" s="400"/>
      <c r="X926" s="401"/>
      <c r="Y926" s="199"/>
      <c r="Z926" s="220"/>
      <c r="AA926" s="400"/>
      <c r="AB926" s="401"/>
      <c r="AC926" s="199"/>
      <c r="AD926" s="220"/>
      <c r="AE926" s="400"/>
      <c r="AF926" s="401"/>
      <c r="AG926" s="201"/>
      <c r="AH926" s="201"/>
      <c r="AI926" s="201"/>
      <c r="AJ926" s="201"/>
      <c r="AK926" s="397"/>
      <c r="AL926" s="397"/>
      <c r="AM926" s="397"/>
    </row>
    <row r="927">
      <c r="A927" s="316"/>
      <c r="B927" s="317"/>
      <c r="C927" s="318"/>
      <c r="D927" s="397"/>
      <c r="E927" s="316"/>
      <c r="F927" s="317"/>
      <c r="G927" s="318"/>
      <c r="H927" s="397"/>
      <c r="I927" s="316"/>
      <c r="J927" s="317"/>
      <c r="K927" s="318"/>
      <c r="L927" s="397"/>
      <c r="M927" s="316"/>
      <c r="N927" s="317"/>
      <c r="O927" s="318"/>
      <c r="P927" s="397"/>
      <c r="Q927" s="199"/>
      <c r="R927" s="220"/>
      <c r="S927" s="400"/>
      <c r="T927" s="401"/>
      <c r="U927" s="199"/>
      <c r="V927" s="220"/>
      <c r="W927" s="400"/>
      <c r="X927" s="401"/>
      <c r="Y927" s="199"/>
      <c r="Z927" s="220"/>
      <c r="AA927" s="400"/>
      <c r="AB927" s="401"/>
      <c r="AC927" s="199"/>
      <c r="AD927" s="220"/>
      <c r="AE927" s="400"/>
      <c r="AF927" s="401"/>
      <c r="AG927" s="201"/>
      <c r="AH927" s="201"/>
      <c r="AI927" s="201"/>
      <c r="AJ927" s="201"/>
      <c r="AK927" s="397"/>
      <c r="AL927" s="397"/>
      <c r="AM927" s="397"/>
    </row>
    <row r="928">
      <c r="A928" s="316"/>
      <c r="B928" s="317"/>
      <c r="C928" s="318"/>
      <c r="D928" s="397"/>
      <c r="E928" s="316"/>
      <c r="F928" s="317"/>
      <c r="G928" s="318"/>
      <c r="H928" s="397"/>
      <c r="I928" s="316"/>
      <c r="J928" s="317"/>
      <c r="K928" s="318"/>
      <c r="L928" s="397"/>
      <c r="M928" s="316"/>
      <c r="N928" s="317"/>
      <c r="O928" s="318"/>
      <c r="P928" s="397"/>
      <c r="Q928" s="199"/>
      <c r="R928" s="220"/>
      <c r="S928" s="400"/>
      <c r="T928" s="401"/>
      <c r="U928" s="199"/>
      <c r="V928" s="220"/>
      <c r="W928" s="400"/>
      <c r="X928" s="401"/>
      <c r="Y928" s="199"/>
      <c r="Z928" s="220"/>
      <c r="AA928" s="400"/>
      <c r="AB928" s="401"/>
      <c r="AC928" s="199"/>
      <c r="AD928" s="220"/>
      <c r="AE928" s="400"/>
      <c r="AF928" s="401"/>
      <c r="AG928" s="201"/>
      <c r="AH928" s="201"/>
      <c r="AI928" s="201"/>
      <c r="AJ928" s="201"/>
      <c r="AK928" s="397"/>
      <c r="AL928" s="397"/>
      <c r="AM928" s="397"/>
    </row>
    <row r="929">
      <c r="A929" s="316"/>
      <c r="B929" s="317"/>
      <c r="C929" s="318"/>
      <c r="D929" s="397"/>
      <c r="E929" s="316"/>
      <c r="F929" s="317"/>
      <c r="G929" s="318"/>
      <c r="H929" s="397"/>
      <c r="I929" s="316"/>
      <c r="J929" s="317"/>
      <c r="K929" s="318"/>
      <c r="L929" s="397"/>
      <c r="M929" s="316"/>
      <c r="N929" s="317"/>
      <c r="O929" s="318"/>
      <c r="P929" s="397"/>
      <c r="Q929" s="199"/>
      <c r="R929" s="220"/>
      <c r="S929" s="400"/>
      <c r="T929" s="401"/>
      <c r="U929" s="199"/>
      <c r="V929" s="220"/>
      <c r="W929" s="400"/>
      <c r="X929" s="401"/>
      <c r="Y929" s="199"/>
      <c r="Z929" s="220"/>
      <c r="AA929" s="400"/>
      <c r="AB929" s="401"/>
      <c r="AC929" s="199"/>
      <c r="AD929" s="220"/>
      <c r="AE929" s="400"/>
      <c r="AF929" s="401"/>
      <c r="AG929" s="201"/>
      <c r="AH929" s="201"/>
      <c r="AI929" s="201"/>
      <c r="AJ929" s="201"/>
      <c r="AK929" s="397"/>
      <c r="AL929" s="397"/>
      <c r="AM929" s="397"/>
    </row>
    <row r="930">
      <c r="A930" s="316"/>
      <c r="B930" s="317"/>
      <c r="C930" s="318"/>
      <c r="D930" s="397"/>
      <c r="E930" s="316"/>
      <c r="F930" s="317"/>
      <c r="G930" s="318"/>
      <c r="H930" s="397"/>
      <c r="I930" s="316"/>
      <c r="J930" s="317"/>
      <c r="K930" s="318"/>
      <c r="L930" s="397"/>
      <c r="M930" s="316"/>
      <c r="N930" s="317"/>
      <c r="O930" s="318"/>
      <c r="P930" s="397"/>
      <c r="Q930" s="199"/>
      <c r="R930" s="220"/>
      <c r="S930" s="400"/>
      <c r="T930" s="401"/>
      <c r="U930" s="199"/>
      <c r="V930" s="220"/>
      <c r="W930" s="400"/>
      <c r="X930" s="401"/>
      <c r="Y930" s="199"/>
      <c r="Z930" s="220"/>
      <c r="AA930" s="400"/>
      <c r="AB930" s="401"/>
      <c r="AC930" s="199"/>
      <c r="AD930" s="220"/>
      <c r="AE930" s="400"/>
      <c r="AF930" s="401"/>
      <c r="AG930" s="201"/>
      <c r="AH930" s="201"/>
      <c r="AI930" s="201"/>
      <c r="AJ930" s="201"/>
      <c r="AK930" s="397"/>
      <c r="AL930" s="397"/>
      <c r="AM930" s="397"/>
    </row>
    <row r="931">
      <c r="A931" s="316"/>
      <c r="B931" s="317"/>
      <c r="C931" s="318"/>
      <c r="D931" s="397"/>
      <c r="E931" s="316"/>
      <c r="F931" s="317"/>
      <c r="G931" s="318"/>
      <c r="H931" s="397"/>
      <c r="I931" s="316"/>
      <c r="J931" s="317"/>
      <c r="K931" s="318"/>
      <c r="L931" s="397"/>
      <c r="M931" s="316"/>
      <c r="N931" s="317"/>
      <c r="O931" s="318"/>
      <c r="P931" s="397"/>
      <c r="Q931" s="199"/>
      <c r="R931" s="220"/>
      <c r="S931" s="400"/>
      <c r="T931" s="401"/>
      <c r="U931" s="199"/>
      <c r="V931" s="220"/>
      <c r="W931" s="400"/>
      <c r="X931" s="401"/>
      <c r="Y931" s="199"/>
      <c r="Z931" s="220"/>
      <c r="AA931" s="400"/>
      <c r="AB931" s="401"/>
      <c r="AC931" s="199"/>
      <c r="AD931" s="220"/>
      <c r="AE931" s="400"/>
      <c r="AF931" s="401"/>
      <c r="AG931" s="201"/>
      <c r="AH931" s="201"/>
      <c r="AI931" s="201"/>
      <c r="AJ931" s="201"/>
      <c r="AK931" s="397"/>
      <c r="AL931" s="397"/>
      <c r="AM931" s="397"/>
    </row>
    <row r="932">
      <c r="A932" s="316"/>
      <c r="B932" s="317"/>
      <c r="C932" s="318"/>
      <c r="D932" s="397"/>
      <c r="E932" s="316"/>
      <c r="F932" s="317"/>
      <c r="G932" s="318"/>
      <c r="H932" s="397"/>
      <c r="I932" s="316"/>
      <c r="J932" s="317"/>
      <c r="K932" s="318"/>
      <c r="L932" s="397"/>
      <c r="M932" s="316"/>
      <c r="N932" s="317"/>
      <c r="O932" s="318"/>
      <c r="P932" s="397"/>
      <c r="Q932" s="199"/>
      <c r="R932" s="220"/>
      <c r="S932" s="400"/>
      <c r="T932" s="401"/>
      <c r="U932" s="199"/>
      <c r="V932" s="220"/>
      <c r="W932" s="400"/>
      <c r="X932" s="401"/>
      <c r="Y932" s="199"/>
      <c r="Z932" s="220"/>
      <c r="AA932" s="400"/>
      <c r="AB932" s="401"/>
      <c r="AC932" s="199"/>
      <c r="AD932" s="220"/>
      <c r="AE932" s="400"/>
      <c r="AF932" s="401"/>
      <c r="AG932" s="201"/>
      <c r="AH932" s="201"/>
      <c r="AI932" s="201"/>
      <c r="AJ932" s="201"/>
      <c r="AK932" s="397"/>
      <c r="AL932" s="397"/>
      <c r="AM932" s="397"/>
    </row>
    <row r="933">
      <c r="A933" s="316"/>
      <c r="B933" s="317"/>
      <c r="C933" s="318"/>
      <c r="D933" s="397"/>
      <c r="E933" s="316"/>
      <c r="F933" s="317"/>
      <c r="G933" s="318"/>
      <c r="H933" s="397"/>
      <c r="I933" s="316"/>
      <c r="J933" s="317"/>
      <c r="K933" s="318"/>
      <c r="L933" s="397"/>
      <c r="M933" s="316"/>
      <c r="N933" s="317"/>
      <c r="O933" s="318"/>
      <c r="P933" s="397"/>
      <c r="Q933" s="199"/>
      <c r="R933" s="220"/>
      <c r="S933" s="400"/>
      <c r="T933" s="401"/>
      <c r="U933" s="199"/>
      <c r="V933" s="220"/>
      <c r="W933" s="400"/>
      <c r="X933" s="401"/>
      <c r="Y933" s="199"/>
      <c r="Z933" s="220"/>
      <c r="AA933" s="400"/>
      <c r="AB933" s="401"/>
      <c r="AC933" s="199"/>
      <c r="AD933" s="220"/>
      <c r="AE933" s="400"/>
      <c r="AF933" s="401"/>
      <c r="AG933" s="201"/>
      <c r="AH933" s="201"/>
      <c r="AI933" s="201"/>
      <c r="AJ933" s="201"/>
      <c r="AK933" s="397"/>
      <c r="AL933" s="397"/>
      <c r="AM933" s="397"/>
    </row>
    <row r="934">
      <c r="A934" s="316"/>
      <c r="B934" s="317"/>
      <c r="C934" s="318"/>
      <c r="D934" s="397"/>
      <c r="E934" s="316"/>
      <c r="F934" s="317"/>
      <c r="G934" s="318"/>
      <c r="H934" s="397"/>
      <c r="I934" s="316"/>
      <c r="J934" s="317"/>
      <c r="K934" s="318"/>
      <c r="L934" s="397"/>
      <c r="M934" s="316"/>
      <c r="N934" s="317"/>
      <c r="O934" s="318"/>
      <c r="P934" s="397"/>
      <c r="Q934" s="199"/>
      <c r="R934" s="220"/>
      <c r="S934" s="400"/>
      <c r="T934" s="401"/>
      <c r="U934" s="199"/>
      <c r="V934" s="220"/>
      <c r="W934" s="400"/>
      <c r="X934" s="401"/>
      <c r="Y934" s="199"/>
      <c r="Z934" s="220"/>
      <c r="AA934" s="400"/>
      <c r="AB934" s="401"/>
      <c r="AC934" s="199"/>
      <c r="AD934" s="220"/>
      <c r="AE934" s="400"/>
      <c r="AF934" s="401"/>
      <c r="AG934" s="201"/>
      <c r="AH934" s="201"/>
      <c r="AI934" s="201"/>
      <c r="AJ934" s="201"/>
      <c r="AK934" s="397"/>
      <c r="AL934" s="397"/>
      <c r="AM934" s="397"/>
    </row>
    <row r="935">
      <c r="A935" s="316"/>
      <c r="B935" s="317"/>
      <c r="C935" s="318"/>
      <c r="D935" s="397"/>
      <c r="E935" s="316"/>
      <c r="F935" s="317"/>
      <c r="G935" s="318"/>
      <c r="H935" s="397"/>
      <c r="I935" s="316"/>
      <c r="J935" s="317"/>
      <c r="K935" s="318"/>
      <c r="L935" s="397"/>
      <c r="M935" s="316"/>
      <c r="N935" s="317"/>
      <c r="O935" s="318"/>
      <c r="P935" s="397"/>
      <c r="Q935" s="199"/>
      <c r="R935" s="220"/>
      <c r="S935" s="400"/>
      <c r="T935" s="401"/>
      <c r="U935" s="199"/>
      <c r="V935" s="220"/>
      <c r="W935" s="400"/>
      <c r="X935" s="401"/>
      <c r="Y935" s="199"/>
      <c r="Z935" s="220"/>
      <c r="AA935" s="400"/>
      <c r="AB935" s="401"/>
      <c r="AC935" s="199"/>
      <c r="AD935" s="220"/>
      <c r="AE935" s="400"/>
      <c r="AF935" s="401"/>
      <c r="AG935" s="201"/>
      <c r="AH935" s="201"/>
      <c r="AI935" s="201"/>
      <c r="AJ935" s="201"/>
      <c r="AK935" s="397"/>
      <c r="AL935" s="397"/>
      <c r="AM935" s="397"/>
    </row>
    <row r="936">
      <c r="A936" s="316"/>
      <c r="B936" s="317"/>
      <c r="C936" s="318"/>
      <c r="D936" s="397"/>
      <c r="E936" s="316"/>
      <c r="F936" s="317"/>
      <c r="G936" s="318"/>
      <c r="H936" s="397"/>
      <c r="I936" s="316"/>
      <c r="J936" s="317"/>
      <c r="K936" s="318"/>
      <c r="L936" s="397"/>
      <c r="M936" s="316"/>
      <c r="N936" s="317"/>
      <c r="O936" s="318"/>
      <c r="P936" s="397"/>
      <c r="Q936" s="199"/>
      <c r="R936" s="220"/>
      <c r="S936" s="400"/>
      <c r="T936" s="401"/>
      <c r="U936" s="199"/>
      <c r="V936" s="220"/>
      <c r="W936" s="400"/>
      <c r="X936" s="401"/>
      <c r="Y936" s="199"/>
      <c r="Z936" s="220"/>
      <c r="AA936" s="400"/>
      <c r="AB936" s="401"/>
      <c r="AC936" s="199"/>
      <c r="AD936" s="220"/>
      <c r="AE936" s="400"/>
      <c r="AF936" s="401"/>
      <c r="AG936" s="201"/>
      <c r="AH936" s="201"/>
      <c r="AI936" s="201"/>
      <c r="AJ936" s="201"/>
      <c r="AK936" s="397"/>
      <c r="AL936" s="397"/>
      <c r="AM936" s="397"/>
    </row>
    <row r="937">
      <c r="A937" s="316"/>
      <c r="B937" s="317"/>
      <c r="C937" s="318"/>
      <c r="D937" s="397"/>
      <c r="E937" s="316"/>
      <c r="F937" s="317"/>
      <c r="G937" s="318"/>
      <c r="H937" s="397"/>
      <c r="I937" s="316"/>
      <c r="J937" s="317"/>
      <c r="K937" s="318"/>
      <c r="L937" s="397"/>
      <c r="M937" s="316"/>
      <c r="N937" s="317"/>
      <c r="O937" s="318"/>
      <c r="P937" s="397"/>
      <c r="Q937" s="199"/>
      <c r="R937" s="220"/>
      <c r="S937" s="400"/>
      <c r="T937" s="401"/>
      <c r="U937" s="199"/>
      <c r="V937" s="220"/>
      <c r="W937" s="400"/>
      <c r="X937" s="401"/>
      <c r="Y937" s="199"/>
      <c r="Z937" s="220"/>
      <c r="AA937" s="400"/>
      <c r="AB937" s="401"/>
      <c r="AC937" s="199"/>
      <c r="AD937" s="220"/>
      <c r="AE937" s="400"/>
      <c r="AF937" s="401"/>
      <c r="AG937" s="201"/>
      <c r="AH937" s="201"/>
      <c r="AI937" s="201"/>
      <c r="AJ937" s="201"/>
      <c r="AK937" s="397"/>
      <c r="AL937" s="397"/>
      <c r="AM937" s="397"/>
    </row>
    <row r="938">
      <c r="A938" s="316"/>
      <c r="B938" s="317"/>
      <c r="C938" s="318"/>
      <c r="D938" s="397"/>
      <c r="E938" s="316"/>
      <c r="F938" s="317"/>
      <c r="G938" s="318"/>
      <c r="H938" s="397"/>
      <c r="I938" s="316"/>
      <c r="J938" s="317"/>
      <c r="K938" s="318"/>
      <c r="L938" s="397"/>
      <c r="M938" s="316"/>
      <c r="N938" s="317"/>
      <c r="O938" s="318"/>
      <c r="P938" s="397"/>
      <c r="Q938" s="199"/>
      <c r="R938" s="220"/>
      <c r="S938" s="400"/>
      <c r="T938" s="401"/>
      <c r="U938" s="199"/>
      <c r="V938" s="220"/>
      <c r="W938" s="400"/>
      <c r="X938" s="401"/>
      <c r="Y938" s="199"/>
      <c r="Z938" s="220"/>
      <c r="AA938" s="400"/>
      <c r="AB938" s="401"/>
      <c r="AC938" s="199"/>
      <c r="AD938" s="220"/>
      <c r="AE938" s="400"/>
      <c r="AF938" s="401"/>
      <c r="AG938" s="201"/>
      <c r="AH938" s="201"/>
      <c r="AI938" s="201"/>
      <c r="AJ938" s="201"/>
      <c r="AK938" s="397"/>
      <c r="AL938" s="397"/>
      <c r="AM938" s="397"/>
    </row>
    <row r="939">
      <c r="A939" s="316"/>
      <c r="B939" s="317"/>
      <c r="C939" s="318"/>
      <c r="D939" s="397"/>
      <c r="E939" s="316"/>
      <c r="F939" s="317"/>
      <c r="G939" s="318"/>
      <c r="H939" s="397"/>
      <c r="I939" s="316"/>
      <c r="J939" s="317"/>
      <c r="K939" s="318"/>
      <c r="L939" s="397"/>
      <c r="M939" s="316"/>
      <c r="N939" s="317"/>
      <c r="O939" s="318"/>
      <c r="P939" s="397"/>
      <c r="Q939" s="199"/>
      <c r="R939" s="220"/>
      <c r="S939" s="400"/>
      <c r="T939" s="401"/>
      <c r="U939" s="199"/>
      <c r="V939" s="220"/>
      <c r="W939" s="400"/>
      <c r="X939" s="401"/>
      <c r="Y939" s="199"/>
      <c r="Z939" s="220"/>
      <c r="AA939" s="400"/>
      <c r="AB939" s="401"/>
      <c r="AC939" s="199"/>
      <c r="AD939" s="220"/>
      <c r="AE939" s="400"/>
      <c r="AF939" s="401"/>
      <c r="AG939" s="201"/>
      <c r="AH939" s="201"/>
      <c r="AI939" s="201"/>
      <c r="AJ939" s="201"/>
      <c r="AK939" s="397"/>
      <c r="AL939" s="397"/>
      <c r="AM939" s="397"/>
    </row>
    <row r="940">
      <c r="A940" s="316"/>
      <c r="B940" s="317"/>
      <c r="C940" s="318"/>
      <c r="D940" s="397"/>
      <c r="E940" s="316"/>
      <c r="F940" s="317"/>
      <c r="G940" s="318"/>
      <c r="H940" s="397"/>
      <c r="I940" s="316"/>
      <c r="J940" s="317"/>
      <c r="K940" s="318"/>
      <c r="L940" s="397"/>
      <c r="M940" s="316"/>
      <c r="N940" s="317"/>
      <c r="O940" s="318"/>
      <c r="P940" s="397"/>
      <c r="Q940" s="199"/>
      <c r="R940" s="220"/>
      <c r="S940" s="400"/>
      <c r="T940" s="401"/>
      <c r="U940" s="199"/>
      <c r="V940" s="220"/>
      <c r="W940" s="400"/>
      <c r="X940" s="401"/>
      <c r="Y940" s="199"/>
      <c r="Z940" s="220"/>
      <c r="AA940" s="400"/>
      <c r="AB940" s="401"/>
      <c r="AC940" s="199"/>
      <c r="AD940" s="220"/>
      <c r="AE940" s="400"/>
      <c r="AF940" s="401"/>
      <c r="AG940" s="201"/>
      <c r="AH940" s="201"/>
      <c r="AI940" s="201"/>
      <c r="AJ940" s="201"/>
      <c r="AK940" s="397"/>
      <c r="AL940" s="397"/>
      <c r="AM940" s="397"/>
    </row>
    <row r="941">
      <c r="A941" s="316"/>
      <c r="B941" s="317"/>
      <c r="C941" s="318"/>
      <c r="D941" s="397"/>
      <c r="E941" s="316"/>
      <c r="F941" s="317"/>
      <c r="G941" s="318"/>
      <c r="H941" s="397"/>
      <c r="I941" s="316"/>
      <c r="J941" s="317"/>
      <c r="K941" s="318"/>
      <c r="L941" s="397"/>
      <c r="M941" s="316"/>
      <c r="N941" s="317"/>
      <c r="O941" s="318"/>
      <c r="P941" s="397"/>
      <c r="Q941" s="199"/>
      <c r="R941" s="220"/>
      <c r="S941" s="400"/>
      <c r="T941" s="401"/>
      <c r="U941" s="199"/>
      <c r="V941" s="220"/>
      <c r="W941" s="400"/>
      <c r="X941" s="401"/>
      <c r="Y941" s="199"/>
      <c r="Z941" s="220"/>
      <c r="AA941" s="400"/>
      <c r="AB941" s="401"/>
      <c r="AC941" s="199"/>
      <c r="AD941" s="220"/>
      <c r="AE941" s="400"/>
      <c r="AF941" s="401"/>
      <c r="AG941" s="201"/>
      <c r="AH941" s="201"/>
      <c r="AI941" s="201"/>
      <c r="AJ941" s="201"/>
      <c r="AK941" s="397"/>
      <c r="AL941" s="397"/>
      <c r="AM941" s="397"/>
    </row>
    <row r="942">
      <c r="A942" s="316"/>
      <c r="B942" s="317"/>
      <c r="C942" s="318"/>
      <c r="D942" s="397"/>
      <c r="E942" s="316"/>
      <c r="F942" s="317"/>
      <c r="G942" s="318"/>
      <c r="H942" s="397"/>
      <c r="I942" s="316"/>
      <c r="J942" s="317"/>
      <c r="K942" s="318"/>
      <c r="L942" s="397"/>
      <c r="M942" s="316"/>
      <c r="N942" s="317"/>
      <c r="O942" s="318"/>
      <c r="P942" s="397"/>
      <c r="Q942" s="199"/>
      <c r="R942" s="220"/>
      <c r="S942" s="400"/>
      <c r="T942" s="401"/>
      <c r="U942" s="199"/>
      <c r="V942" s="220"/>
      <c r="W942" s="400"/>
      <c r="X942" s="401"/>
      <c r="Y942" s="199"/>
      <c r="Z942" s="220"/>
      <c r="AA942" s="400"/>
      <c r="AB942" s="401"/>
      <c r="AC942" s="199"/>
      <c r="AD942" s="220"/>
      <c r="AE942" s="400"/>
      <c r="AF942" s="401"/>
      <c r="AG942" s="201"/>
      <c r="AH942" s="201"/>
      <c r="AI942" s="201"/>
      <c r="AJ942" s="201"/>
      <c r="AK942" s="397"/>
      <c r="AL942" s="397"/>
      <c r="AM942" s="397"/>
    </row>
    <row r="943">
      <c r="A943" s="316"/>
      <c r="B943" s="317"/>
      <c r="C943" s="318"/>
      <c r="D943" s="397"/>
      <c r="E943" s="316"/>
      <c r="F943" s="317"/>
      <c r="G943" s="318"/>
      <c r="H943" s="397"/>
      <c r="I943" s="316"/>
      <c r="J943" s="317"/>
      <c r="K943" s="318"/>
      <c r="L943" s="397"/>
      <c r="M943" s="316"/>
      <c r="N943" s="317"/>
      <c r="O943" s="318"/>
      <c r="P943" s="397"/>
      <c r="Q943" s="199"/>
      <c r="R943" s="220"/>
      <c r="S943" s="400"/>
      <c r="T943" s="401"/>
      <c r="U943" s="199"/>
      <c r="V943" s="220"/>
      <c r="W943" s="400"/>
      <c r="X943" s="401"/>
      <c r="Y943" s="199"/>
      <c r="Z943" s="220"/>
      <c r="AA943" s="400"/>
      <c r="AB943" s="401"/>
      <c r="AC943" s="199"/>
      <c r="AD943" s="220"/>
      <c r="AE943" s="400"/>
      <c r="AF943" s="401"/>
      <c r="AG943" s="201"/>
      <c r="AH943" s="201"/>
      <c r="AI943" s="201"/>
      <c r="AJ943" s="201"/>
      <c r="AK943" s="397"/>
      <c r="AL943" s="397"/>
      <c r="AM943" s="397"/>
    </row>
    <row r="944">
      <c r="A944" s="316"/>
      <c r="B944" s="317"/>
      <c r="C944" s="318"/>
      <c r="D944" s="397"/>
      <c r="E944" s="316"/>
      <c r="F944" s="317"/>
      <c r="G944" s="318"/>
      <c r="H944" s="397"/>
      <c r="I944" s="316"/>
      <c r="J944" s="317"/>
      <c r="K944" s="318"/>
      <c r="L944" s="397"/>
      <c r="M944" s="316"/>
      <c r="N944" s="317"/>
      <c r="O944" s="318"/>
      <c r="P944" s="397"/>
      <c r="Q944" s="199"/>
      <c r="R944" s="220"/>
      <c r="S944" s="400"/>
      <c r="T944" s="401"/>
      <c r="U944" s="199"/>
      <c r="V944" s="220"/>
      <c r="W944" s="400"/>
      <c r="X944" s="401"/>
      <c r="Y944" s="199"/>
      <c r="Z944" s="220"/>
      <c r="AA944" s="400"/>
      <c r="AB944" s="401"/>
      <c r="AC944" s="199"/>
      <c r="AD944" s="220"/>
      <c r="AE944" s="400"/>
      <c r="AF944" s="401"/>
      <c r="AG944" s="201"/>
      <c r="AH944" s="201"/>
      <c r="AI944" s="201"/>
      <c r="AJ944" s="201"/>
      <c r="AK944" s="397"/>
      <c r="AL944" s="397"/>
      <c r="AM944" s="397"/>
    </row>
    <row r="945">
      <c r="A945" s="316"/>
      <c r="B945" s="317"/>
      <c r="C945" s="318"/>
      <c r="D945" s="397"/>
      <c r="E945" s="316"/>
      <c r="F945" s="317"/>
      <c r="G945" s="318"/>
      <c r="H945" s="397"/>
      <c r="I945" s="316"/>
      <c r="J945" s="317"/>
      <c r="K945" s="318"/>
      <c r="L945" s="397"/>
      <c r="M945" s="316"/>
      <c r="N945" s="317"/>
      <c r="O945" s="318"/>
      <c r="P945" s="397"/>
      <c r="Q945" s="199"/>
      <c r="R945" s="220"/>
      <c r="S945" s="400"/>
      <c r="T945" s="401"/>
      <c r="U945" s="199"/>
      <c r="V945" s="220"/>
      <c r="W945" s="400"/>
      <c r="X945" s="401"/>
      <c r="Y945" s="199"/>
      <c r="Z945" s="220"/>
      <c r="AA945" s="400"/>
      <c r="AB945" s="401"/>
      <c r="AC945" s="199"/>
      <c r="AD945" s="220"/>
      <c r="AE945" s="400"/>
      <c r="AF945" s="401"/>
      <c r="AG945" s="201"/>
      <c r="AH945" s="201"/>
      <c r="AI945" s="201"/>
      <c r="AJ945" s="201"/>
      <c r="AK945" s="397"/>
      <c r="AL945" s="397"/>
      <c r="AM945" s="397"/>
    </row>
    <row r="946">
      <c r="A946" s="316"/>
      <c r="B946" s="317"/>
      <c r="C946" s="318"/>
      <c r="D946" s="397"/>
      <c r="E946" s="316"/>
      <c r="F946" s="317"/>
      <c r="G946" s="318"/>
      <c r="H946" s="397"/>
      <c r="I946" s="316"/>
      <c r="J946" s="317"/>
      <c r="K946" s="318"/>
      <c r="L946" s="397"/>
      <c r="M946" s="316"/>
      <c r="N946" s="317"/>
      <c r="O946" s="318"/>
      <c r="P946" s="397"/>
      <c r="Q946" s="199"/>
      <c r="R946" s="220"/>
      <c r="S946" s="400"/>
      <c r="T946" s="401"/>
      <c r="U946" s="199"/>
      <c r="V946" s="220"/>
      <c r="W946" s="400"/>
      <c r="X946" s="401"/>
      <c r="Y946" s="199"/>
      <c r="Z946" s="220"/>
      <c r="AA946" s="400"/>
      <c r="AB946" s="401"/>
      <c r="AC946" s="199"/>
      <c r="AD946" s="220"/>
      <c r="AE946" s="400"/>
      <c r="AF946" s="401"/>
      <c r="AG946" s="201"/>
      <c r="AH946" s="201"/>
      <c r="AI946" s="201"/>
      <c r="AJ946" s="201"/>
      <c r="AK946" s="397"/>
      <c r="AL946" s="397"/>
      <c r="AM946" s="397"/>
    </row>
    <row r="947">
      <c r="A947" s="316"/>
      <c r="B947" s="317"/>
      <c r="C947" s="318"/>
      <c r="D947" s="397"/>
      <c r="E947" s="316"/>
      <c r="F947" s="317"/>
      <c r="G947" s="318"/>
      <c r="H947" s="397"/>
      <c r="I947" s="316"/>
      <c r="J947" s="317"/>
      <c r="K947" s="318"/>
      <c r="L947" s="397"/>
      <c r="M947" s="316"/>
      <c r="N947" s="317"/>
      <c r="O947" s="318"/>
      <c r="P947" s="397"/>
      <c r="Q947" s="199"/>
      <c r="R947" s="220"/>
      <c r="S947" s="400"/>
      <c r="T947" s="401"/>
      <c r="U947" s="199"/>
      <c r="V947" s="220"/>
      <c r="W947" s="400"/>
      <c r="X947" s="401"/>
      <c r="Y947" s="199"/>
      <c r="Z947" s="220"/>
      <c r="AA947" s="400"/>
      <c r="AB947" s="401"/>
      <c r="AC947" s="199"/>
      <c r="AD947" s="220"/>
      <c r="AE947" s="400"/>
      <c r="AF947" s="401"/>
      <c r="AG947" s="201"/>
      <c r="AH947" s="201"/>
      <c r="AI947" s="201"/>
      <c r="AJ947" s="201"/>
      <c r="AK947" s="397"/>
      <c r="AL947" s="397"/>
      <c r="AM947" s="397"/>
    </row>
    <row r="948">
      <c r="A948" s="316"/>
      <c r="B948" s="317"/>
      <c r="C948" s="318"/>
      <c r="D948" s="397"/>
      <c r="E948" s="316"/>
      <c r="F948" s="317"/>
      <c r="G948" s="318"/>
      <c r="H948" s="397"/>
      <c r="I948" s="316"/>
      <c r="J948" s="317"/>
      <c r="K948" s="318"/>
      <c r="L948" s="397"/>
      <c r="M948" s="316"/>
      <c r="N948" s="317"/>
      <c r="O948" s="318"/>
      <c r="P948" s="397"/>
      <c r="Q948" s="199"/>
      <c r="R948" s="220"/>
      <c r="S948" s="400"/>
      <c r="T948" s="401"/>
      <c r="U948" s="199"/>
      <c r="V948" s="220"/>
      <c r="W948" s="400"/>
      <c r="X948" s="401"/>
      <c r="Y948" s="199"/>
      <c r="Z948" s="220"/>
      <c r="AA948" s="400"/>
      <c r="AB948" s="401"/>
      <c r="AC948" s="199"/>
      <c r="AD948" s="220"/>
      <c r="AE948" s="400"/>
      <c r="AF948" s="401"/>
      <c r="AG948" s="201"/>
      <c r="AH948" s="201"/>
      <c r="AI948" s="201"/>
      <c r="AJ948" s="201"/>
      <c r="AK948" s="397"/>
      <c r="AL948" s="397"/>
      <c r="AM948" s="397"/>
    </row>
    <row r="949">
      <c r="A949" s="316"/>
      <c r="B949" s="317"/>
      <c r="C949" s="318"/>
      <c r="D949" s="397"/>
      <c r="E949" s="316"/>
      <c r="F949" s="317"/>
      <c r="G949" s="318"/>
      <c r="H949" s="397"/>
      <c r="I949" s="316"/>
      <c r="J949" s="317"/>
      <c r="K949" s="318"/>
      <c r="L949" s="397"/>
      <c r="M949" s="316"/>
      <c r="N949" s="317"/>
      <c r="O949" s="318"/>
      <c r="P949" s="397"/>
      <c r="Q949" s="199"/>
      <c r="R949" s="220"/>
      <c r="S949" s="400"/>
      <c r="T949" s="401"/>
      <c r="U949" s="199"/>
      <c r="V949" s="220"/>
      <c r="W949" s="400"/>
      <c r="X949" s="401"/>
      <c r="Y949" s="199"/>
      <c r="Z949" s="220"/>
      <c r="AA949" s="400"/>
      <c r="AB949" s="401"/>
      <c r="AC949" s="199"/>
      <c r="AD949" s="220"/>
      <c r="AE949" s="400"/>
      <c r="AF949" s="401"/>
      <c r="AG949" s="201"/>
      <c r="AH949" s="201"/>
      <c r="AI949" s="201"/>
      <c r="AJ949" s="201"/>
      <c r="AK949" s="397"/>
      <c r="AL949" s="397"/>
      <c r="AM949" s="397"/>
    </row>
    <row r="950">
      <c r="A950" s="316"/>
      <c r="B950" s="317"/>
      <c r="C950" s="318"/>
      <c r="D950" s="397"/>
      <c r="E950" s="316"/>
      <c r="F950" s="317"/>
      <c r="G950" s="318"/>
      <c r="H950" s="397"/>
      <c r="I950" s="316"/>
      <c r="J950" s="317"/>
      <c r="K950" s="318"/>
      <c r="L950" s="397"/>
      <c r="M950" s="316"/>
      <c r="N950" s="317"/>
      <c r="O950" s="318"/>
      <c r="P950" s="397"/>
      <c r="Q950" s="199"/>
      <c r="R950" s="220"/>
      <c r="S950" s="400"/>
      <c r="T950" s="401"/>
      <c r="U950" s="199"/>
      <c r="V950" s="220"/>
      <c r="W950" s="400"/>
      <c r="X950" s="401"/>
      <c r="Y950" s="199"/>
      <c r="Z950" s="220"/>
      <c r="AA950" s="400"/>
      <c r="AB950" s="401"/>
      <c r="AC950" s="199"/>
      <c r="AD950" s="220"/>
      <c r="AE950" s="400"/>
      <c r="AF950" s="401"/>
      <c r="AG950" s="201"/>
      <c r="AH950" s="201"/>
      <c r="AI950" s="201"/>
      <c r="AJ950" s="201"/>
      <c r="AK950" s="397"/>
      <c r="AL950" s="397"/>
      <c r="AM950" s="397"/>
    </row>
    <row r="951">
      <c r="A951" s="316"/>
      <c r="B951" s="317"/>
      <c r="C951" s="318"/>
      <c r="D951" s="397"/>
      <c r="E951" s="316"/>
      <c r="F951" s="317"/>
      <c r="G951" s="318"/>
      <c r="H951" s="397"/>
      <c r="I951" s="316"/>
      <c r="J951" s="317"/>
      <c r="K951" s="318"/>
      <c r="L951" s="397"/>
      <c r="M951" s="316"/>
      <c r="N951" s="317"/>
      <c r="O951" s="318"/>
      <c r="P951" s="397"/>
      <c r="Q951" s="199"/>
      <c r="R951" s="220"/>
      <c r="S951" s="400"/>
      <c r="T951" s="401"/>
      <c r="U951" s="199"/>
      <c r="V951" s="220"/>
      <c r="W951" s="400"/>
      <c r="X951" s="401"/>
      <c r="Y951" s="199"/>
      <c r="Z951" s="220"/>
      <c r="AA951" s="400"/>
      <c r="AB951" s="401"/>
      <c r="AC951" s="199"/>
      <c r="AD951" s="220"/>
      <c r="AE951" s="400"/>
      <c r="AF951" s="401"/>
      <c r="AG951" s="201"/>
      <c r="AH951" s="201"/>
      <c r="AI951" s="201"/>
      <c r="AJ951" s="201"/>
      <c r="AK951" s="397"/>
      <c r="AL951" s="397"/>
      <c r="AM951" s="397"/>
    </row>
    <row r="952">
      <c r="A952" s="316"/>
      <c r="B952" s="317"/>
      <c r="C952" s="318"/>
      <c r="D952" s="397"/>
      <c r="E952" s="316"/>
      <c r="F952" s="317"/>
      <c r="G952" s="318"/>
      <c r="H952" s="397"/>
      <c r="I952" s="316"/>
      <c r="J952" s="317"/>
      <c r="K952" s="318"/>
      <c r="L952" s="397"/>
      <c r="M952" s="316"/>
      <c r="N952" s="317"/>
      <c r="O952" s="318"/>
      <c r="P952" s="397"/>
      <c r="Q952" s="199"/>
      <c r="R952" s="220"/>
      <c r="S952" s="400"/>
      <c r="T952" s="401"/>
      <c r="U952" s="199"/>
      <c r="V952" s="220"/>
      <c r="W952" s="400"/>
      <c r="X952" s="401"/>
      <c r="Y952" s="199"/>
      <c r="Z952" s="220"/>
      <c r="AA952" s="400"/>
      <c r="AB952" s="401"/>
      <c r="AC952" s="199"/>
      <c r="AD952" s="220"/>
      <c r="AE952" s="400"/>
      <c r="AF952" s="401"/>
      <c r="AG952" s="201"/>
      <c r="AH952" s="201"/>
      <c r="AI952" s="201"/>
      <c r="AJ952" s="201"/>
      <c r="AK952" s="397"/>
      <c r="AL952" s="397"/>
      <c r="AM952" s="397"/>
    </row>
    <row r="953">
      <c r="A953" s="316"/>
      <c r="B953" s="317"/>
      <c r="C953" s="318"/>
      <c r="D953" s="397"/>
      <c r="E953" s="316"/>
      <c r="F953" s="317"/>
      <c r="G953" s="318"/>
      <c r="H953" s="397"/>
      <c r="I953" s="316"/>
      <c r="J953" s="317"/>
      <c r="K953" s="318"/>
      <c r="L953" s="397"/>
      <c r="M953" s="316"/>
      <c r="N953" s="317"/>
      <c r="O953" s="318"/>
      <c r="P953" s="397"/>
      <c r="Q953" s="199"/>
      <c r="R953" s="220"/>
      <c r="S953" s="400"/>
      <c r="T953" s="401"/>
      <c r="U953" s="199"/>
      <c r="V953" s="220"/>
      <c r="W953" s="400"/>
      <c r="X953" s="401"/>
      <c r="Y953" s="199"/>
      <c r="Z953" s="220"/>
      <c r="AA953" s="400"/>
      <c r="AB953" s="401"/>
      <c r="AC953" s="199"/>
      <c r="AD953" s="220"/>
      <c r="AE953" s="400"/>
      <c r="AF953" s="401"/>
      <c r="AG953" s="201"/>
      <c r="AH953" s="201"/>
      <c r="AI953" s="201"/>
      <c r="AJ953" s="201"/>
      <c r="AK953" s="397"/>
      <c r="AL953" s="397"/>
      <c r="AM953" s="397"/>
    </row>
    <row r="954">
      <c r="A954" s="316"/>
      <c r="B954" s="317"/>
      <c r="C954" s="318"/>
      <c r="D954" s="397"/>
      <c r="E954" s="316"/>
      <c r="F954" s="317"/>
      <c r="G954" s="318"/>
      <c r="H954" s="397"/>
      <c r="I954" s="316"/>
      <c r="J954" s="317"/>
      <c r="K954" s="318"/>
      <c r="L954" s="397"/>
      <c r="M954" s="316"/>
      <c r="N954" s="317"/>
      <c r="O954" s="318"/>
      <c r="P954" s="397"/>
      <c r="Q954" s="199"/>
      <c r="R954" s="220"/>
      <c r="S954" s="400"/>
      <c r="T954" s="401"/>
      <c r="U954" s="199"/>
      <c r="V954" s="220"/>
      <c r="W954" s="400"/>
      <c r="X954" s="401"/>
      <c r="Y954" s="199"/>
      <c r="Z954" s="220"/>
      <c r="AA954" s="400"/>
      <c r="AB954" s="401"/>
      <c r="AC954" s="199"/>
      <c r="AD954" s="220"/>
      <c r="AE954" s="400"/>
      <c r="AF954" s="401"/>
      <c r="AG954" s="201"/>
      <c r="AH954" s="201"/>
      <c r="AI954" s="201"/>
      <c r="AJ954" s="201"/>
      <c r="AK954" s="397"/>
      <c r="AL954" s="397"/>
      <c r="AM954" s="397"/>
    </row>
    <row r="955">
      <c r="A955" s="316"/>
      <c r="B955" s="317"/>
      <c r="C955" s="318"/>
      <c r="D955" s="397"/>
      <c r="E955" s="316"/>
      <c r="F955" s="317"/>
      <c r="G955" s="318"/>
      <c r="H955" s="397"/>
      <c r="I955" s="316"/>
      <c r="J955" s="317"/>
      <c r="K955" s="318"/>
      <c r="L955" s="397"/>
      <c r="M955" s="316"/>
      <c r="N955" s="317"/>
      <c r="O955" s="318"/>
      <c r="P955" s="397"/>
      <c r="Q955" s="199"/>
      <c r="R955" s="220"/>
      <c r="S955" s="400"/>
      <c r="T955" s="401"/>
      <c r="U955" s="199"/>
      <c r="V955" s="220"/>
      <c r="W955" s="400"/>
      <c r="X955" s="401"/>
      <c r="Y955" s="199"/>
      <c r="Z955" s="220"/>
      <c r="AA955" s="400"/>
      <c r="AB955" s="401"/>
      <c r="AC955" s="199"/>
      <c r="AD955" s="220"/>
      <c r="AE955" s="400"/>
      <c r="AF955" s="401"/>
      <c r="AG955" s="201"/>
      <c r="AH955" s="201"/>
      <c r="AI955" s="201"/>
      <c r="AJ955" s="201"/>
      <c r="AK955" s="397"/>
      <c r="AL955" s="397"/>
      <c r="AM955" s="397"/>
    </row>
    <row r="956">
      <c r="A956" s="316"/>
      <c r="B956" s="317"/>
      <c r="C956" s="318"/>
      <c r="D956" s="397"/>
      <c r="E956" s="316"/>
      <c r="F956" s="317"/>
      <c r="G956" s="318"/>
      <c r="H956" s="397"/>
      <c r="I956" s="316"/>
      <c r="J956" s="317"/>
      <c r="K956" s="318"/>
      <c r="L956" s="397"/>
      <c r="M956" s="316"/>
      <c r="N956" s="317"/>
      <c r="O956" s="318"/>
      <c r="P956" s="397"/>
      <c r="Q956" s="199"/>
      <c r="R956" s="220"/>
      <c r="S956" s="400"/>
      <c r="T956" s="401"/>
      <c r="U956" s="199"/>
      <c r="V956" s="220"/>
      <c r="W956" s="400"/>
      <c r="X956" s="401"/>
      <c r="Y956" s="199"/>
      <c r="Z956" s="220"/>
      <c r="AA956" s="400"/>
      <c r="AB956" s="401"/>
      <c r="AC956" s="199"/>
      <c r="AD956" s="220"/>
      <c r="AE956" s="400"/>
      <c r="AF956" s="401"/>
      <c r="AG956" s="201"/>
      <c r="AH956" s="201"/>
      <c r="AI956" s="201"/>
      <c r="AJ956" s="201"/>
      <c r="AK956" s="397"/>
      <c r="AL956" s="397"/>
      <c r="AM956" s="397"/>
    </row>
    <row r="957">
      <c r="A957" s="316"/>
      <c r="B957" s="317"/>
      <c r="C957" s="318"/>
      <c r="D957" s="397"/>
      <c r="E957" s="316"/>
      <c r="F957" s="317"/>
      <c r="G957" s="318"/>
      <c r="H957" s="397"/>
      <c r="I957" s="316"/>
      <c r="J957" s="317"/>
      <c r="K957" s="318"/>
      <c r="L957" s="397"/>
      <c r="M957" s="316"/>
      <c r="N957" s="317"/>
      <c r="O957" s="318"/>
      <c r="P957" s="397"/>
      <c r="Q957" s="199"/>
      <c r="R957" s="220"/>
      <c r="S957" s="400"/>
      <c r="T957" s="401"/>
      <c r="U957" s="199"/>
      <c r="V957" s="220"/>
      <c r="W957" s="400"/>
      <c r="X957" s="401"/>
      <c r="Y957" s="199"/>
      <c r="Z957" s="220"/>
      <c r="AA957" s="400"/>
      <c r="AB957" s="401"/>
      <c r="AC957" s="199"/>
      <c r="AD957" s="220"/>
      <c r="AE957" s="400"/>
      <c r="AF957" s="401"/>
      <c r="AG957" s="201"/>
      <c r="AH957" s="201"/>
      <c r="AI957" s="201"/>
      <c r="AJ957" s="201"/>
      <c r="AK957" s="397"/>
      <c r="AL957" s="397"/>
      <c r="AM957" s="397"/>
    </row>
    <row r="958">
      <c r="A958" s="316"/>
      <c r="B958" s="317"/>
      <c r="C958" s="318"/>
      <c r="D958" s="397"/>
      <c r="E958" s="316"/>
      <c r="F958" s="317"/>
      <c r="G958" s="318"/>
      <c r="H958" s="397"/>
      <c r="I958" s="316"/>
      <c r="J958" s="317"/>
      <c r="K958" s="318"/>
      <c r="L958" s="397"/>
      <c r="M958" s="316"/>
      <c r="N958" s="317"/>
      <c r="O958" s="318"/>
      <c r="P958" s="397"/>
      <c r="Q958" s="199"/>
      <c r="R958" s="220"/>
      <c r="S958" s="400"/>
      <c r="T958" s="401"/>
      <c r="U958" s="199"/>
      <c r="V958" s="220"/>
      <c r="W958" s="400"/>
      <c r="X958" s="401"/>
      <c r="Y958" s="199"/>
      <c r="Z958" s="220"/>
      <c r="AA958" s="400"/>
      <c r="AB958" s="401"/>
      <c r="AC958" s="199"/>
      <c r="AD958" s="220"/>
      <c r="AE958" s="400"/>
      <c r="AF958" s="401"/>
      <c r="AG958" s="201"/>
      <c r="AH958" s="201"/>
      <c r="AI958" s="201"/>
      <c r="AJ958" s="201"/>
      <c r="AK958" s="397"/>
      <c r="AL958" s="397"/>
      <c r="AM958" s="397"/>
    </row>
    <row r="959">
      <c r="A959" s="316"/>
      <c r="B959" s="317"/>
      <c r="C959" s="318"/>
      <c r="D959" s="397"/>
      <c r="E959" s="316"/>
      <c r="F959" s="317"/>
      <c r="G959" s="318"/>
      <c r="H959" s="397"/>
      <c r="I959" s="316"/>
      <c r="J959" s="317"/>
      <c r="K959" s="318"/>
      <c r="L959" s="397"/>
      <c r="M959" s="316"/>
      <c r="N959" s="317"/>
      <c r="O959" s="318"/>
      <c r="P959" s="397"/>
      <c r="Q959" s="199"/>
      <c r="R959" s="220"/>
      <c r="S959" s="400"/>
      <c r="T959" s="401"/>
      <c r="U959" s="199"/>
      <c r="V959" s="220"/>
      <c r="W959" s="400"/>
      <c r="X959" s="401"/>
      <c r="Y959" s="199"/>
      <c r="Z959" s="220"/>
      <c r="AA959" s="400"/>
      <c r="AB959" s="401"/>
      <c r="AC959" s="199"/>
      <c r="AD959" s="220"/>
      <c r="AE959" s="400"/>
      <c r="AF959" s="401"/>
      <c r="AG959" s="201"/>
      <c r="AH959" s="201"/>
      <c r="AI959" s="201"/>
      <c r="AJ959" s="201"/>
      <c r="AK959" s="397"/>
      <c r="AL959" s="397"/>
      <c r="AM959" s="397"/>
    </row>
    <row r="960">
      <c r="A960" s="316"/>
      <c r="B960" s="317"/>
      <c r="C960" s="318"/>
      <c r="D960" s="397"/>
      <c r="E960" s="316"/>
      <c r="F960" s="317"/>
      <c r="G960" s="318"/>
      <c r="H960" s="397"/>
      <c r="I960" s="316"/>
      <c r="J960" s="317"/>
      <c r="K960" s="318"/>
      <c r="L960" s="397"/>
      <c r="M960" s="316"/>
      <c r="N960" s="317"/>
      <c r="O960" s="318"/>
      <c r="P960" s="397"/>
      <c r="Q960" s="199"/>
      <c r="R960" s="220"/>
      <c r="S960" s="400"/>
      <c r="T960" s="401"/>
      <c r="U960" s="199"/>
      <c r="V960" s="220"/>
      <c r="W960" s="400"/>
      <c r="X960" s="401"/>
      <c r="Y960" s="199"/>
      <c r="Z960" s="220"/>
      <c r="AA960" s="400"/>
      <c r="AB960" s="401"/>
      <c r="AC960" s="199"/>
      <c r="AD960" s="220"/>
      <c r="AE960" s="400"/>
      <c r="AF960" s="401"/>
      <c r="AG960" s="201"/>
      <c r="AH960" s="201"/>
      <c r="AI960" s="201"/>
      <c r="AJ960" s="201"/>
      <c r="AK960" s="397"/>
      <c r="AL960" s="397"/>
      <c r="AM960" s="397"/>
    </row>
    <row r="961">
      <c r="A961" s="316"/>
      <c r="B961" s="317"/>
      <c r="C961" s="318"/>
      <c r="D961" s="397"/>
      <c r="E961" s="316"/>
      <c r="F961" s="317"/>
      <c r="G961" s="318"/>
      <c r="H961" s="397"/>
      <c r="I961" s="316"/>
      <c r="J961" s="317"/>
      <c r="K961" s="318"/>
      <c r="L961" s="397"/>
      <c r="M961" s="316"/>
      <c r="N961" s="317"/>
      <c r="O961" s="318"/>
      <c r="P961" s="397"/>
      <c r="Q961" s="199"/>
      <c r="R961" s="220"/>
      <c r="S961" s="400"/>
      <c r="T961" s="401"/>
      <c r="U961" s="199"/>
      <c r="V961" s="220"/>
      <c r="W961" s="400"/>
      <c r="X961" s="401"/>
      <c r="Y961" s="199"/>
      <c r="Z961" s="220"/>
      <c r="AA961" s="400"/>
      <c r="AB961" s="401"/>
      <c r="AC961" s="199"/>
      <c r="AD961" s="220"/>
      <c r="AE961" s="400"/>
      <c r="AF961" s="401"/>
      <c r="AG961" s="201"/>
      <c r="AH961" s="201"/>
      <c r="AI961" s="201"/>
      <c r="AJ961" s="201"/>
      <c r="AK961" s="397"/>
      <c r="AL961" s="397"/>
      <c r="AM961" s="397"/>
    </row>
    <row r="962">
      <c r="A962" s="316"/>
      <c r="B962" s="317"/>
      <c r="C962" s="318"/>
      <c r="D962" s="397"/>
      <c r="E962" s="316"/>
      <c r="F962" s="317"/>
      <c r="G962" s="318"/>
      <c r="H962" s="397"/>
      <c r="I962" s="316"/>
      <c r="J962" s="317"/>
      <c r="K962" s="318"/>
      <c r="L962" s="397"/>
      <c r="M962" s="316"/>
      <c r="N962" s="317"/>
      <c r="O962" s="318"/>
      <c r="P962" s="397"/>
      <c r="Q962" s="199"/>
      <c r="R962" s="220"/>
      <c r="S962" s="400"/>
      <c r="T962" s="401"/>
      <c r="U962" s="199"/>
      <c r="V962" s="220"/>
      <c r="W962" s="400"/>
      <c r="X962" s="401"/>
      <c r="Y962" s="199"/>
      <c r="Z962" s="220"/>
      <c r="AA962" s="400"/>
      <c r="AB962" s="401"/>
      <c r="AC962" s="199"/>
      <c r="AD962" s="220"/>
      <c r="AE962" s="400"/>
      <c r="AF962" s="401"/>
      <c r="AG962" s="201"/>
      <c r="AH962" s="201"/>
      <c r="AI962" s="201"/>
      <c r="AJ962" s="201"/>
      <c r="AK962" s="397"/>
      <c r="AL962" s="397"/>
      <c r="AM962" s="397"/>
    </row>
    <row r="963">
      <c r="A963" s="316"/>
      <c r="B963" s="317"/>
      <c r="C963" s="318"/>
      <c r="D963" s="397"/>
      <c r="E963" s="316"/>
      <c r="F963" s="317"/>
      <c r="G963" s="318"/>
      <c r="H963" s="397"/>
      <c r="I963" s="316"/>
      <c r="J963" s="317"/>
      <c r="K963" s="318"/>
      <c r="L963" s="397"/>
      <c r="M963" s="316"/>
      <c r="N963" s="317"/>
      <c r="O963" s="318"/>
      <c r="P963" s="397"/>
      <c r="Q963" s="199"/>
      <c r="R963" s="220"/>
      <c r="S963" s="400"/>
      <c r="T963" s="401"/>
      <c r="U963" s="199"/>
      <c r="V963" s="220"/>
      <c r="W963" s="400"/>
      <c r="X963" s="401"/>
      <c r="Y963" s="199"/>
      <c r="Z963" s="220"/>
      <c r="AA963" s="400"/>
      <c r="AB963" s="401"/>
      <c r="AC963" s="199"/>
      <c r="AD963" s="220"/>
      <c r="AE963" s="400"/>
      <c r="AF963" s="401"/>
      <c r="AG963" s="201"/>
      <c r="AH963" s="201"/>
      <c r="AI963" s="201"/>
      <c r="AJ963" s="201"/>
      <c r="AK963" s="397"/>
      <c r="AL963" s="397"/>
      <c r="AM963" s="397"/>
    </row>
    <row r="964">
      <c r="A964" s="316"/>
      <c r="B964" s="317"/>
      <c r="C964" s="318"/>
      <c r="D964" s="397"/>
      <c r="E964" s="316"/>
      <c r="F964" s="317"/>
      <c r="G964" s="318"/>
      <c r="H964" s="397"/>
      <c r="I964" s="316"/>
      <c r="J964" s="317"/>
      <c r="K964" s="318"/>
      <c r="L964" s="397"/>
      <c r="M964" s="316"/>
      <c r="N964" s="317"/>
      <c r="O964" s="318"/>
      <c r="P964" s="397"/>
      <c r="Q964" s="199"/>
      <c r="R964" s="220"/>
      <c r="S964" s="400"/>
      <c r="T964" s="401"/>
      <c r="U964" s="199"/>
      <c r="V964" s="220"/>
      <c r="W964" s="400"/>
      <c r="X964" s="401"/>
      <c r="Y964" s="199"/>
      <c r="Z964" s="220"/>
      <c r="AA964" s="400"/>
      <c r="AB964" s="401"/>
      <c r="AC964" s="199"/>
      <c r="AD964" s="220"/>
      <c r="AE964" s="400"/>
      <c r="AF964" s="401"/>
      <c r="AG964" s="201"/>
      <c r="AH964" s="201"/>
      <c r="AI964" s="201"/>
      <c r="AJ964" s="201"/>
      <c r="AK964" s="397"/>
      <c r="AL964" s="397"/>
      <c r="AM964" s="397"/>
    </row>
    <row r="965">
      <c r="A965" s="316"/>
      <c r="B965" s="317"/>
      <c r="C965" s="318"/>
      <c r="D965" s="397"/>
      <c r="E965" s="316"/>
      <c r="F965" s="317"/>
      <c r="G965" s="318"/>
      <c r="H965" s="397"/>
      <c r="I965" s="316"/>
      <c r="J965" s="317"/>
      <c r="K965" s="318"/>
      <c r="L965" s="397"/>
      <c r="M965" s="316"/>
      <c r="N965" s="317"/>
      <c r="O965" s="318"/>
      <c r="P965" s="397"/>
      <c r="Q965" s="199"/>
      <c r="R965" s="220"/>
      <c r="S965" s="400"/>
      <c r="T965" s="401"/>
      <c r="U965" s="199"/>
      <c r="V965" s="220"/>
      <c r="W965" s="400"/>
      <c r="X965" s="401"/>
      <c r="Y965" s="199"/>
      <c r="Z965" s="220"/>
      <c r="AA965" s="400"/>
      <c r="AB965" s="401"/>
      <c r="AC965" s="199"/>
      <c r="AD965" s="220"/>
      <c r="AE965" s="400"/>
      <c r="AF965" s="401"/>
      <c r="AG965" s="201"/>
      <c r="AH965" s="201"/>
      <c r="AI965" s="201"/>
      <c r="AJ965" s="201"/>
      <c r="AK965" s="397"/>
      <c r="AL965" s="397"/>
      <c r="AM965" s="397"/>
    </row>
    <row r="966">
      <c r="A966" s="316"/>
      <c r="B966" s="317"/>
      <c r="C966" s="318"/>
      <c r="D966" s="397"/>
      <c r="E966" s="316"/>
      <c r="F966" s="317"/>
      <c r="G966" s="318"/>
      <c r="H966" s="397"/>
      <c r="I966" s="316"/>
      <c r="J966" s="317"/>
      <c r="K966" s="318"/>
      <c r="L966" s="397"/>
      <c r="M966" s="316"/>
      <c r="N966" s="317"/>
      <c r="O966" s="318"/>
      <c r="P966" s="397"/>
      <c r="Q966" s="199"/>
      <c r="R966" s="220"/>
      <c r="S966" s="400"/>
      <c r="T966" s="401"/>
      <c r="U966" s="199"/>
      <c r="V966" s="220"/>
      <c r="W966" s="400"/>
      <c r="X966" s="401"/>
      <c r="Y966" s="199"/>
      <c r="Z966" s="220"/>
      <c r="AA966" s="400"/>
      <c r="AB966" s="401"/>
      <c r="AC966" s="199"/>
      <c r="AD966" s="220"/>
      <c r="AE966" s="400"/>
      <c r="AF966" s="401"/>
      <c r="AG966" s="201"/>
      <c r="AH966" s="201"/>
      <c r="AI966" s="201"/>
      <c r="AJ966" s="201"/>
      <c r="AK966" s="397"/>
      <c r="AL966" s="397"/>
      <c r="AM966" s="397"/>
    </row>
    <row r="967">
      <c r="A967" s="316"/>
      <c r="B967" s="317"/>
      <c r="C967" s="318"/>
      <c r="D967" s="397"/>
      <c r="E967" s="316"/>
      <c r="F967" s="317"/>
      <c r="G967" s="318"/>
      <c r="H967" s="397"/>
      <c r="I967" s="316"/>
      <c r="J967" s="317"/>
      <c r="K967" s="318"/>
      <c r="L967" s="397"/>
      <c r="M967" s="316"/>
      <c r="N967" s="317"/>
      <c r="O967" s="318"/>
      <c r="P967" s="397"/>
      <c r="Q967" s="199"/>
      <c r="R967" s="220"/>
      <c r="S967" s="400"/>
      <c r="T967" s="401"/>
      <c r="U967" s="199"/>
      <c r="V967" s="220"/>
      <c r="W967" s="400"/>
      <c r="X967" s="401"/>
      <c r="Y967" s="199"/>
      <c r="Z967" s="220"/>
      <c r="AA967" s="400"/>
      <c r="AB967" s="401"/>
      <c r="AC967" s="199"/>
      <c r="AD967" s="220"/>
      <c r="AE967" s="400"/>
      <c r="AF967" s="401"/>
      <c r="AG967" s="201"/>
      <c r="AH967" s="201"/>
      <c r="AI967" s="201"/>
      <c r="AJ967" s="201"/>
      <c r="AK967" s="397"/>
      <c r="AL967" s="397"/>
      <c r="AM967" s="397"/>
    </row>
    <row r="968">
      <c r="A968" s="316"/>
      <c r="B968" s="317"/>
      <c r="C968" s="318"/>
      <c r="D968" s="397"/>
      <c r="E968" s="316"/>
      <c r="F968" s="317"/>
      <c r="G968" s="318"/>
      <c r="H968" s="397"/>
      <c r="I968" s="316"/>
      <c r="J968" s="317"/>
      <c r="K968" s="318"/>
      <c r="L968" s="397"/>
      <c r="M968" s="316"/>
      <c r="N968" s="317"/>
      <c r="O968" s="318"/>
      <c r="P968" s="397"/>
      <c r="Q968" s="199"/>
      <c r="R968" s="220"/>
      <c r="S968" s="400"/>
      <c r="T968" s="401"/>
      <c r="U968" s="199"/>
      <c r="V968" s="220"/>
      <c r="W968" s="400"/>
      <c r="X968" s="401"/>
      <c r="Y968" s="199"/>
      <c r="Z968" s="220"/>
      <c r="AA968" s="400"/>
      <c r="AB968" s="401"/>
      <c r="AC968" s="199"/>
      <c r="AD968" s="220"/>
      <c r="AE968" s="400"/>
      <c r="AF968" s="401"/>
      <c r="AG968" s="201"/>
      <c r="AH968" s="201"/>
      <c r="AI968" s="201"/>
      <c r="AJ968" s="201"/>
      <c r="AK968" s="397"/>
      <c r="AL968" s="397"/>
      <c r="AM968" s="397"/>
    </row>
    <row r="969">
      <c r="A969" s="316"/>
      <c r="B969" s="317"/>
      <c r="C969" s="318"/>
      <c r="D969" s="397"/>
      <c r="E969" s="316"/>
      <c r="F969" s="317"/>
      <c r="G969" s="318"/>
      <c r="H969" s="397"/>
      <c r="I969" s="316"/>
      <c r="J969" s="317"/>
      <c r="K969" s="318"/>
      <c r="L969" s="397"/>
      <c r="M969" s="316"/>
      <c r="N969" s="317"/>
      <c r="O969" s="318"/>
      <c r="P969" s="397"/>
      <c r="Q969" s="199"/>
      <c r="R969" s="220"/>
      <c r="S969" s="400"/>
      <c r="T969" s="401"/>
      <c r="U969" s="199"/>
      <c r="V969" s="220"/>
      <c r="W969" s="400"/>
      <c r="X969" s="401"/>
      <c r="Y969" s="199"/>
      <c r="Z969" s="220"/>
      <c r="AA969" s="400"/>
      <c r="AB969" s="401"/>
      <c r="AC969" s="199"/>
      <c r="AD969" s="220"/>
      <c r="AE969" s="400"/>
      <c r="AF969" s="401"/>
      <c r="AG969" s="201"/>
      <c r="AH969" s="201"/>
      <c r="AI969" s="201"/>
      <c r="AJ969" s="201"/>
      <c r="AK969" s="397"/>
      <c r="AL969" s="397"/>
      <c r="AM969" s="397"/>
    </row>
    <row r="970">
      <c r="A970" s="316"/>
      <c r="B970" s="317"/>
      <c r="C970" s="318"/>
      <c r="D970" s="397"/>
      <c r="E970" s="316"/>
      <c r="F970" s="317"/>
      <c r="G970" s="318"/>
      <c r="H970" s="397"/>
      <c r="I970" s="316"/>
      <c r="J970" s="317"/>
      <c r="K970" s="318"/>
      <c r="L970" s="397"/>
      <c r="M970" s="316"/>
      <c r="N970" s="317"/>
      <c r="O970" s="318"/>
      <c r="P970" s="397"/>
      <c r="Q970" s="199"/>
      <c r="R970" s="220"/>
      <c r="S970" s="400"/>
      <c r="T970" s="401"/>
      <c r="U970" s="199"/>
      <c r="V970" s="220"/>
      <c r="W970" s="400"/>
      <c r="X970" s="401"/>
      <c r="Y970" s="199"/>
      <c r="Z970" s="220"/>
      <c r="AA970" s="400"/>
      <c r="AB970" s="401"/>
      <c r="AC970" s="199"/>
      <c r="AD970" s="220"/>
      <c r="AE970" s="400"/>
      <c r="AF970" s="401"/>
      <c r="AG970" s="201"/>
      <c r="AH970" s="201"/>
      <c r="AI970" s="201"/>
      <c r="AJ970" s="201"/>
      <c r="AK970" s="397"/>
      <c r="AL970" s="397"/>
      <c r="AM970" s="397"/>
    </row>
    <row r="971">
      <c r="A971" s="316"/>
      <c r="B971" s="317"/>
      <c r="C971" s="318"/>
      <c r="D971" s="397"/>
      <c r="E971" s="316"/>
      <c r="F971" s="317"/>
      <c r="G971" s="318"/>
      <c r="H971" s="397"/>
      <c r="I971" s="316"/>
      <c r="J971" s="317"/>
      <c r="K971" s="318"/>
      <c r="L971" s="397"/>
      <c r="M971" s="316"/>
      <c r="N971" s="317"/>
      <c r="O971" s="318"/>
      <c r="P971" s="397"/>
      <c r="Q971" s="199"/>
      <c r="R971" s="220"/>
      <c r="S971" s="400"/>
      <c r="T971" s="401"/>
      <c r="U971" s="199"/>
      <c r="V971" s="220"/>
      <c r="W971" s="400"/>
      <c r="X971" s="401"/>
      <c r="Y971" s="199"/>
      <c r="Z971" s="220"/>
      <c r="AA971" s="400"/>
      <c r="AB971" s="401"/>
      <c r="AC971" s="199"/>
      <c r="AD971" s="220"/>
      <c r="AE971" s="400"/>
      <c r="AF971" s="401"/>
      <c r="AG971" s="201"/>
      <c r="AH971" s="201"/>
      <c r="AI971" s="201"/>
      <c r="AJ971" s="201"/>
      <c r="AK971" s="397"/>
      <c r="AL971" s="397"/>
      <c r="AM971" s="397"/>
    </row>
    <row r="972">
      <c r="A972" s="316"/>
      <c r="B972" s="317"/>
      <c r="C972" s="318"/>
      <c r="D972" s="397"/>
      <c r="E972" s="316"/>
      <c r="F972" s="317"/>
      <c r="G972" s="318"/>
      <c r="H972" s="397"/>
      <c r="I972" s="316"/>
      <c r="J972" s="317"/>
      <c r="K972" s="318"/>
      <c r="L972" s="397"/>
      <c r="M972" s="316"/>
      <c r="N972" s="317"/>
      <c r="O972" s="318"/>
      <c r="P972" s="397"/>
      <c r="Q972" s="199"/>
      <c r="R972" s="220"/>
      <c r="S972" s="400"/>
      <c r="T972" s="401"/>
      <c r="U972" s="199"/>
      <c r="V972" s="220"/>
      <c r="W972" s="400"/>
      <c r="X972" s="401"/>
      <c r="Y972" s="199"/>
      <c r="Z972" s="220"/>
      <c r="AA972" s="400"/>
      <c r="AB972" s="401"/>
      <c r="AC972" s="199"/>
      <c r="AD972" s="220"/>
      <c r="AE972" s="400"/>
      <c r="AF972" s="401"/>
      <c r="AG972" s="201"/>
      <c r="AH972" s="201"/>
      <c r="AI972" s="201"/>
      <c r="AJ972" s="201"/>
      <c r="AK972" s="397"/>
      <c r="AL972" s="397"/>
      <c r="AM972" s="397"/>
    </row>
    <row r="973">
      <c r="A973" s="316"/>
      <c r="B973" s="317"/>
      <c r="C973" s="318"/>
      <c r="D973" s="397"/>
      <c r="E973" s="316"/>
      <c r="F973" s="317"/>
      <c r="G973" s="318"/>
      <c r="H973" s="397"/>
      <c r="I973" s="316"/>
      <c r="J973" s="317"/>
      <c r="K973" s="318"/>
      <c r="L973" s="397"/>
      <c r="M973" s="316"/>
      <c r="N973" s="317"/>
      <c r="O973" s="318"/>
      <c r="P973" s="397"/>
      <c r="Q973" s="199"/>
      <c r="R973" s="220"/>
      <c r="S973" s="400"/>
      <c r="T973" s="401"/>
      <c r="U973" s="199"/>
      <c r="V973" s="220"/>
      <c r="W973" s="400"/>
      <c r="X973" s="401"/>
      <c r="Y973" s="199"/>
      <c r="Z973" s="220"/>
      <c r="AA973" s="400"/>
      <c r="AB973" s="401"/>
      <c r="AC973" s="199"/>
      <c r="AD973" s="220"/>
      <c r="AE973" s="400"/>
      <c r="AF973" s="401"/>
      <c r="AG973" s="201"/>
      <c r="AH973" s="201"/>
      <c r="AI973" s="201"/>
      <c r="AJ973" s="201"/>
      <c r="AK973" s="397"/>
      <c r="AL973" s="397"/>
      <c r="AM973" s="397"/>
    </row>
    <row r="974">
      <c r="A974" s="316"/>
      <c r="B974" s="317"/>
      <c r="C974" s="318"/>
      <c r="D974" s="397"/>
      <c r="E974" s="316"/>
      <c r="F974" s="317"/>
      <c r="G974" s="318"/>
      <c r="H974" s="397"/>
      <c r="I974" s="316"/>
      <c r="J974" s="317"/>
      <c r="K974" s="318"/>
      <c r="L974" s="397"/>
      <c r="M974" s="316"/>
      <c r="N974" s="317"/>
      <c r="O974" s="318"/>
      <c r="P974" s="397"/>
      <c r="Q974" s="199"/>
      <c r="R974" s="220"/>
      <c r="S974" s="400"/>
      <c r="T974" s="401"/>
      <c r="U974" s="199"/>
      <c r="V974" s="220"/>
      <c r="W974" s="400"/>
      <c r="X974" s="401"/>
      <c r="Y974" s="199"/>
      <c r="Z974" s="220"/>
      <c r="AA974" s="400"/>
      <c r="AB974" s="401"/>
      <c r="AC974" s="199"/>
      <c r="AD974" s="220"/>
      <c r="AE974" s="400"/>
      <c r="AF974" s="401"/>
      <c r="AG974" s="201"/>
      <c r="AH974" s="201"/>
      <c r="AI974" s="201"/>
      <c r="AJ974" s="201"/>
      <c r="AK974" s="397"/>
      <c r="AL974" s="397"/>
      <c r="AM974" s="397"/>
    </row>
    <row r="975">
      <c r="A975" s="316"/>
      <c r="B975" s="317"/>
      <c r="C975" s="318"/>
      <c r="D975" s="397"/>
      <c r="E975" s="316"/>
      <c r="F975" s="317"/>
      <c r="G975" s="318"/>
      <c r="H975" s="397"/>
      <c r="I975" s="316"/>
      <c r="J975" s="317"/>
      <c r="K975" s="318"/>
      <c r="L975" s="397"/>
      <c r="M975" s="316"/>
      <c r="N975" s="317"/>
      <c r="O975" s="318"/>
      <c r="P975" s="397"/>
      <c r="Q975" s="199"/>
      <c r="R975" s="220"/>
      <c r="S975" s="400"/>
      <c r="T975" s="401"/>
      <c r="U975" s="199"/>
      <c r="V975" s="220"/>
      <c r="W975" s="400"/>
      <c r="X975" s="401"/>
      <c r="Y975" s="199"/>
      <c r="Z975" s="220"/>
      <c r="AA975" s="400"/>
      <c r="AB975" s="401"/>
      <c r="AC975" s="199"/>
      <c r="AD975" s="220"/>
      <c r="AE975" s="400"/>
      <c r="AF975" s="401"/>
      <c r="AG975" s="201"/>
      <c r="AH975" s="201"/>
      <c r="AI975" s="201"/>
      <c r="AJ975" s="201"/>
      <c r="AK975" s="397"/>
      <c r="AL975" s="397"/>
      <c r="AM975" s="397"/>
    </row>
    <row r="976">
      <c r="A976" s="316"/>
      <c r="B976" s="317"/>
      <c r="C976" s="318"/>
      <c r="D976" s="397"/>
      <c r="E976" s="316"/>
      <c r="F976" s="317"/>
      <c r="G976" s="318"/>
      <c r="H976" s="397"/>
      <c r="I976" s="316"/>
      <c r="J976" s="317"/>
      <c r="K976" s="318"/>
      <c r="L976" s="397"/>
      <c r="M976" s="316"/>
      <c r="N976" s="317"/>
      <c r="O976" s="318"/>
      <c r="P976" s="397"/>
      <c r="Q976" s="199"/>
      <c r="R976" s="220"/>
      <c r="S976" s="400"/>
      <c r="T976" s="401"/>
      <c r="U976" s="199"/>
      <c r="V976" s="220"/>
      <c r="W976" s="400"/>
      <c r="X976" s="401"/>
      <c r="Y976" s="199"/>
      <c r="Z976" s="220"/>
      <c r="AA976" s="400"/>
      <c r="AB976" s="401"/>
      <c r="AC976" s="199"/>
      <c r="AD976" s="220"/>
      <c r="AE976" s="400"/>
      <c r="AF976" s="401"/>
      <c r="AG976" s="201"/>
      <c r="AH976" s="201"/>
      <c r="AI976" s="201"/>
      <c r="AJ976" s="201"/>
      <c r="AK976" s="397"/>
      <c r="AL976" s="397"/>
      <c r="AM976" s="397"/>
    </row>
    <row r="977">
      <c r="A977" s="316"/>
      <c r="B977" s="317"/>
      <c r="C977" s="318"/>
      <c r="D977" s="397"/>
      <c r="E977" s="316"/>
      <c r="F977" s="317"/>
      <c r="G977" s="318"/>
      <c r="H977" s="397"/>
      <c r="I977" s="316"/>
      <c r="J977" s="317"/>
      <c r="K977" s="318"/>
      <c r="L977" s="397"/>
      <c r="M977" s="316"/>
      <c r="N977" s="317"/>
      <c r="O977" s="318"/>
      <c r="P977" s="397"/>
      <c r="Q977" s="199"/>
      <c r="R977" s="220"/>
      <c r="S977" s="400"/>
      <c r="T977" s="401"/>
      <c r="U977" s="199"/>
      <c r="V977" s="220"/>
      <c r="W977" s="400"/>
      <c r="X977" s="401"/>
      <c r="Y977" s="199"/>
      <c r="Z977" s="220"/>
      <c r="AA977" s="400"/>
      <c r="AB977" s="401"/>
      <c r="AC977" s="199"/>
      <c r="AD977" s="220"/>
      <c r="AE977" s="400"/>
      <c r="AF977" s="401"/>
      <c r="AG977" s="201"/>
      <c r="AH977" s="201"/>
      <c r="AI977" s="201"/>
      <c r="AJ977" s="201"/>
      <c r="AK977" s="397"/>
      <c r="AL977" s="397"/>
      <c r="AM977" s="397"/>
    </row>
    <row r="978">
      <c r="A978" s="316"/>
      <c r="B978" s="317"/>
      <c r="C978" s="318"/>
      <c r="D978" s="397"/>
      <c r="E978" s="316"/>
      <c r="F978" s="317"/>
      <c r="G978" s="318"/>
      <c r="H978" s="397"/>
      <c r="I978" s="316"/>
      <c r="J978" s="317"/>
      <c r="K978" s="318"/>
      <c r="L978" s="397"/>
      <c r="M978" s="316"/>
      <c r="N978" s="317"/>
      <c r="O978" s="318"/>
      <c r="P978" s="397"/>
      <c r="Q978" s="199"/>
      <c r="R978" s="220"/>
      <c r="S978" s="400"/>
      <c r="T978" s="401"/>
      <c r="U978" s="199"/>
      <c r="V978" s="220"/>
      <c r="W978" s="400"/>
      <c r="X978" s="401"/>
      <c r="Y978" s="199"/>
      <c r="Z978" s="220"/>
      <c r="AA978" s="400"/>
      <c r="AB978" s="401"/>
      <c r="AC978" s="199"/>
      <c r="AD978" s="220"/>
      <c r="AE978" s="400"/>
      <c r="AF978" s="401"/>
      <c r="AG978" s="201"/>
      <c r="AH978" s="201"/>
      <c r="AI978" s="201"/>
      <c r="AJ978" s="201"/>
      <c r="AK978" s="397"/>
      <c r="AL978" s="397"/>
      <c r="AM978" s="397"/>
    </row>
    <row r="979">
      <c r="A979" s="316"/>
      <c r="B979" s="317"/>
      <c r="C979" s="318"/>
      <c r="D979" s="397"/>
      <c r="E979" s="316"/>
      <c r="F979" s="317"/>
      <c r="G979" s="318"/>
      <c r="H979" s="397"/>
      <c r="I979" s="316"/>
      <c r="J979" s="317"/>
      <c r="K979" s="318"/>
      <c r="L979" s="397"/>
      <c r="M979" s="316"/>
      <c r="N979" s="317"/>
      <c r="O979" s="318"/>
      <c r="P979" s="397"/>
      <c r="Q979" s="199"/>
      <c r="R979" s="220"/>
      <c r="S979" s="400"/>
      <c r="T979" s="401"/>
      <c r="U979" s="199"/>
      <c r="V979" s="220"/>
      <c r="W979" s="400"/>
      <c r="X979" s="401"/>
      <c r="Y979" s="199"/>
      <c r="Z979" s="220"/>
      <c r="AA979" s="400"/>
      <c r="AB979" s="401"/>
      <c r="AC979" s="199"/>
      <c r="AD979" s="220"/>
      <c r="AE979" s="400"/>
      <c r="AF979" s="401"/>
      <c r="AG979" s="201"/>
      <c r="AH979" s="201"/>
      <c r="AI979" s="201"/>
      <c r="AJ979" s="201"/>
      <c r="AK979" s="397"/>
      <c r="AL979" s="397"/>
      <c r="AM979" s="397"/>
    </row>
    <row r="980">
      <c r="A980" s="316"/>
      <c r="B980" s="317"/>
      <c r="C980" s="318"/>
      <c r="D980" s="397"/>
      <c r="E980" s="316"/>
      <c r="F980" s="317"/>
      <c r="G980" s="318"/>
      <c r="H980" s="397"/>
      <c r="I980" s="316"/>
      <c r="J980" s="317"/>
      <c r="K980" s="318"/>
      <c r="L980" s="397"/>
      <c r="M980" s="316"/>
      <c r="N980" s="317"/>
      <c r="O980" s="318"/>
      <c r="P980" s="397"/>
      <c r="Q980" s="199"/>
      <c r="R980" s="220"/>
      <c r="S980" s="400"/>
      <c r="T980" s="401"/>
      <c r="U980" s="199"/>
      <c r="V980" s="220"/>
      <c r="W980" s="400"/>
      <c r="X980" s="401"/>
      <c r="Y980" s="199"/>
      <c r="Z980" s="220"/>
      <c r="AA980" s="400"/>
      <c r="AB980" s="401"/>
      <c r="AC980" s="199"/>
      <c r="AD980" s="220"/>
      <c r="AE980" s="400"/>
      <c r="AF980" s="401"/>
      <c r="AG980" s="201"/>
      <c r="AH980" s="201"/>
      <c r="AI980" s="201"/>
      <c r="AJ980" s="201"/>
      <c r="AK980" s="397"/>
      <c r="AL980" s="397"/>
      <c r="AM980" s="397"/>
    </row>
    <row r="981">
      <c r="A981" s="316"/>
      <c r="B981" s="317"/>
      <c r="C981" s="318"/>
      <c r="D981" s="397"/>
      <c r="E981" s="316"/>
      <c r="F981" s="317"/>
      <c r="G981" s="318"/>
      <c r="H981" s="397"/>
      <c r="I981" s="316"/>
      <c r="J981" s="317"/>
      <c r="K981" s="318"/>
      <c r="L981" s="397"/>
      <c r="M981" s="316"/>
      <c r="N981" s="317"/>
      <c r="O981" s="318"/>
      <c r="P981" s="397"/>
      <c r="Q981" s="199"/>
      <c r="R981" s="220"/>
      <c r="S981" s="400"/>
      <c r="T981" s="401"/>
      <c r="U981" s="199"/>
      <c r="V981" s="220"/>
      <c r="W981" s="400"/>
      <c r="X981" s="401"/>
      <c r="Y981" s="199"/>
      <c r="Z981" s="220"/>
      <c r="AA981" s="400"/>
      <c r="AB981" s="401"/>
      <c r="AC981" s="199"/>
      <c r="AD981" s="220"/>
      <c r="AE981" s="400"/>
      <c r="AF981" s="401"/>
      <c r="AG981" s="201"/>
      <c r="AH981" s="201"/>
      <c r="AI981" s="201"/>
      <c r="AJ981" s="201"/>
      <c r="AK981" s="397"/>
      <c r="AL981" s="397"/>
      <c r="AM981" s="397"/>
    </row>
    <row r="982">
      <c r="A982" s="316"/>
      <c r="B982" s="317"/>
      <c r="C982" s="318"/>
      <c r="D982" s="397"/>
      <c r="E982" s="316"/>
      <c r="F982" s="317"/>
      <c r="G982" s="318"/>
      <c r="H982" s="397"/>
      <c r="I982" s="316"/>
      <c r="J982" s="317"/>
      <c r="K982" s="318"/>
      <c r="L982" s="397"/>
      <c r="M982" s="316"/>
      <c r="N982" s="317"/>
      <c r="O982" s="318"/>
      <c r="P982" s="397"/>
      <c r="Q982" s="199"/>
      <c r="R982" s="220"/>
      <c r="S982" s="400"/>
      <c r="T982" s="401"/>
      <c r="U982" s="199"/>
      <c r="V982" s="220"/>
      <c r="W982" s="400"/>
      <c r="X982" s="401"/>
      <c r="Y982" s="199"/>
      <c r="Z982" s="220"/>
      <c r="AA982" s="400"/>
      <c r="AB982" s="401"/>
      <c r="AC982" s="199"/>
      <c r="AD982" s="220"/>
      <c r="AE982" s="400"/>
      <c r="AF982" s="401"/>
      <c r="AG982" s="201"/>
      <c r="AH982" s="201"/>
      <c r="AI982" s="201"/>
      <c r="AJ982" s="201"/>
      <c r="AK982" s="397"/>
      <c r="AL982" s="397"/>
      <c r="AM982" s="397"/>
    </row>
    <row r="983">
      <c r="A983" s="316"/>
      <c r="B983" s="317"/>
      <c r="C983" s="318"/>
      <c r="D983" s="397"/>
      <c r="E983" s="316"/>
      <c r="F983" s="317"/>
      <c r="G983" s="318"/>
      <c r="H983" s="397"/>
      <c r="I983" s="316"/>
      <c r="J983" s="317"/>
      <c r="K983" s="318"/>
      <c r="L983" s="397"/>
      <c r="M983" s="316"/>
      <c r="N983" s="317"/>
      <c r="O983" s="318"/>
      <c r="P983" s="397"/>
      <c r="Q983" s="199"/>
      <c r="R983" s="220"/>
      <c r="S983" s="400"/>
      <c r="T983" s="401"/>
      <c r="U983" s="199"/>
      <c r="V983" s="220"/>
      <c r="W983" s="400"/>
      <c r="X983" s="401"/>
      <c r="Y983" s="199"/>
      <c r="Z983" s="220"/>
      <c r="AA983" s="400"/>
      <c r="AB983" s="401"/>
      <c r="AC983" s="199"/>
      <c r="AD983" s="220"/>
      <c r="AE983" s="400"/>
      <c r="AF983" s="401"/>
      <c r="AG983" s="201"/>
      <c r="AH983" s="201"/>
      <c r="AI983" s="201"/>
      <c r="AJ983" s="201"/>
      <c r="AK983" s="397"/>
      <c r="AL983" s="397"/>
      <c r="AM983" s="397"/>
    </row>
    <row r="984">
      <c r="A984" s="316"/>
      <c r="B984" s="317"/>
      <c r="C984" s="318"/>
      <c r="D984" s="397"/>
      <c r="E984" s="316"/>
      <c r="F984" s="317"/>
      <c r="G984" s="318"/>
      <c r="H984" s="397"/>
      <c r="I984" s="316"/>
      <c r="J984" s="317"/>
      <c r="K984" s="318"/>
      <c r="L984" s="397"/>
      <c r="M984" s="316"/>
      <c r="N984" s="317"/>
      <c r="O984" s="318"/>
      <c r="P984" s="397"/>
      <c r="Q984" s="199"/>
      <c r="R984" s="220"/>
      <c r="S984" s="400"/>
      <c r="T984" s="401"/>
      <c r="U984" s="199"/>
      <c r="V984" s="220"/>
      <c r="W984" s="400"/>
      <c r="X984" s="401"/>
      <c r="Y984" s="199"/>
      <c r="Z984" s="220"/>
      <c r="AA984" s="400"/>
      <c r="AB984" s="401"/>
      <c r="AC984" s="199"/>
      <c r="AD984" s="220"/>
      <c r="AE984" s="400"/>
      <c r="AF984" s="401"/>
      <c r="AG984" s="201"/>
      <c r="AH984" s="201"/>
      <c r="AI984" s="201"/>
      <c r="AJ984" s="201"/>
      <c r="AK984" s="397"/>
      <c r="AL984" s="397"/>
      <c r="AM984" s="397"/>
    </row>
    <row r="985">
      <c r="A985" s="316"/>
      <c r="B985" s="317"/>
      <c r="C985" s="318"/>
      <c r="D985" s="397"/>
      <c r="E985" s="316"/>
      <c r="F985" s="317"/>
      <c r="G985" s="318"/>
      <c r="H985" s="397"/>
      <c r="I985" s="316"/>
      <c r="J985" s="317"/>
      <c r="K985" s="318"/>
      <c r="L985" s="397"/>
      <c r="M985" s="316"/>
      <c r="N985" s="317"/>
      <c r="O985" s="318"/>
      <c r="P985" s="397"/>
      <c r="Q985" s="199"/>
      <c r="R985" s="220"/>
      <c r="S985" s="400"/>
      <c r="T985" s="401"/>
      <c r="U985" s="199"/>
      <c r="V985" s="220"/>
      <c r="W985" s="400"/>
      <c r="X985" s="401"/>
      <c r="Y985" s="199"/>
      <c r="Z985" s="220"/>
      <c r="AA985" s="400"/>
      <c r="AB985" s="401"/>
      <c r="AC985" s="199"/>
      <c r="AD985" s="220"/>
      <c r="AE985" s="400"/>
      <c r="AF985" s="401"/>
      <c r="AG985" s="201"/>
      <c r="AH985" s="201"/>
      <c r="AI985" s="201"/>
      <c r="AJ985" s="201"/>
      <c r="AK985" s="397"/>
      <c r="AL985" s="397"/>
      <c r="AM985" s="397"/>
    </row>
    <row r="986">
      <c r="A986" s="316"/>
      <c r="B986" s="317"/>
      <c r="C986" s="318"/>
      <c r="D986" s="397"/>
      <c r="E986" s="316"/>
      <c r="F986" s="317"/>
      <c r="G986" s="318"/>
      <c r="H986" s="397"/>
      <c r="I986" s="316"/>
      <c r="J986" s="317"/>
      <c r="K986" s="318"/>
      <c r="L986" s="397"/>
      <c r="M986" s="316"/>
      <c r="N986" s="317"/>
      <c r="O986" s="318"/>
      <c r="P986" s="397"/>
      <c r="Q986" s="199"/>
      <c r="R986" s="220"/>
      <c r="S986" s="400"/>
      <c r="T986" s="401"/>
      <c r="U986" s="199"/>
      <c r="V986" s="220"/>
      <c r="W986" s="400"/>
      <c r="X986" s="401"/>
      <c r="Y986" s="199"/>
      <c r="Z986" s="220"/>
      <c r="AA986" s="400"/>
      <c r="AB986" s="401"/>
      <c r="AC986" s="199"/>
      <c r="AD986" s="220"/>
      <c r="AE986" s="400"/>
      <c r="AF986" s="401"/>
      <c r="AG986" s="201"/>
      <c r="AH986" s="201"/>
      <c r="AI986" s="201"/>
      <c r="AJ986" s="201"/>
      <c r="AK986" s="397"/>
      <c r="AL986" s="397"/>
      <c r="AM986" s="397"/>
    </row>
    <row r="987">
      <c r="A987" s="316"/>
      <c r="B987" s="317"/>
      <c r="C987" s="318"/>
      <c r="D987" s="397"/>
      <c r="E987" s="316"/>
      <c r="F987" s="317"/>
      <c r="G987" s="318"/>
      <c r="H987" s="397"/>
      <c r="I987" s="316"/>
      <c r="J987" s="317"/>
      <c r="K987" s="318"/>
      <c r="L987" s="397"/>
      <c r="M987" s="316"/>
      <c r="N987" s="317"/>
      <c r="O987" s="318"/>
      <c r="P987" s="397"/>
      <c r="Q987" s="199"/>
      <c r="R987" s="220"/>
      <c r="S987" s="400"/>
      <c r="T987" s="401"/>
      <c r="U987" s="199"/>
      <c r="V987" s="220"/>
      <c r="W987" s="400"/>
      <c r="X987" s="401"/>
      <c r="Y987" s="199"/>
      <c r="Z987" s="220"/>
      <c r="AA987" s="400"/>
      <c r="AB987" s="401"/>
      <c r="AC987" s="199"/>
      <c r="AD987" s="220"/>
      <c r="AE987" s="400"/>
      <c r="AF987" s="401"/>
      <c r="AG987" s="201"/>
      <c r="AH987" s="201"/>
      <c r="AI987" s="201"/>
      <c r="AJ987" s="201"/>
      <c r="AK987" s="397"/>
      <c r="AL987" s="397"/>
      <c r="AM987" s="397"/>
    </row>
    <row r="988">
      <c r="A988" s="316"/>
      <c r="B988" s="317"/>
      <c r="C988" s="318"/>
      <c r="D988" s="397"/>
      <c r="E988" s="316"/>
      <c r="F988" s="317"/>
      <c r="G988" s="318"/>
      <c r="H988" s="397"/>
      <c r="I988" s="316"/>
      <c r="J988" s="317"/>
      <c r="K988" s="318"/>
      <c r="L988" s="397"/>
      <c r="M988" s="316"/>
      <c r="N988" s="317"/>
      <c r="O988" s="318"/>
      <c r="P988" s="397"/>
      <c r="Q988" s="199"/>
      <c r="R988" s="220"/>
      <c r="S988" s="400"/>
      <c r="T988" s="401"/>
      <c r="U988" s="199"/>
      <c r="V988" s="220"/>
      <c r="W988" s="400"/>
      <c r="X988" s="401"/>
      <c r="Y988" s="199"/>
      <c r="Z988" s="220"/>
      <c r="AA988" s="400"/>
      <c r="AB988" s="401"/>
      <c r="AC988" s="199"/>
      <c r="AD988" s="220"/>
      <c r="AE988" s="400"/>
      <c r="AF988" s="401"/>
      <c r="AG988" s="201"/>
      <c r="AH988" s="201"/>
      <c r="AI988" s="201"/>
      <c r="AJ988" s="201"/>
      <c r="AK988" s="397"/>
      <c r="AL988" s="397"/>
      <c r="AM988" s="397"/>
    </row>
    <row r="989">
      <c r="A989" s="316"/>
      <c r="B989" s="317"/>
      <c r="C989" s="318"/>
      <c r="D989" s="397"/>
      <c r="E989" s="316"/>
      <c r="F989" s="317"/>
      <c r="G989" s="318"/>
      <c r="H989" s="397"/>
      <c r="I989" s="316"/>
      <c r="J989" s="317"/>
      <c r="K989" s="318"/>
      <c r="L989" s="397"/>
      <c r="M989" s="316"/>
      <c r="N989" s="317"/>
      <c r="O989" s="318"/>
      <c r="P989" s="397"/>
      <c r="Q989" s="199"/>
      <c r="R989" s="220"/>
      <c r="S989" s="400"/>
      <c r="T989" s="401"/>
      <c r="U989" s="199"/>
      <c r="V989" s="220"/>
      <c r="W989" s="400"/>
      <c r="X989" s="401"/>
      <c r="Y989" s="199"/>
      <c r="Z989" s="220"/>
      <c r="AA989" s="400"/>
      <c r="AB989" s="401"/>
      <c r="AC989" s="199"/>
      <c r="AD989" s="220"/>
      <c r="AE989" s="400"/>
      <c r="AF989" s="401"/>
      <c r="AG989" s="201"/>
      <c r="AH989" s="201"/>
      <c r="AI989" s="201"/>
      <c r="AJ989" s="201"/>
      <c r="AK989" s="397"/>
      <c r="AL989" s="397"/>
      <c r="AM989" s="397"/>
    </row>
    <row r="990">
      <c r="A990" s="316"/>
      <c r="B990" s="317"/>
      <c r="C990" s="318"/>
      <c r="D990" s="397"/>
      <c r="E990" s="316"/>
      <c r="F990" s="317"/>
      <c r="G990" s="318"/>
      <c r="H990" s="397"/>
      <c r="I990" s="316"/>
      <c r="J990" s="317"/>
      <c r="K990" s="318"/>
      <c r="L990" s="397"/>
      <c r="M990" s="316"/>
      <c r="N990" s="317"/>
      <c r="O990" s="318"/>
      <c r="P990" s="397"/>
      <c r="Q990" s="199"/>
      <c r="R990" s="220"/>
      <c r="S990" s="400"/>
      <c r="T990" s="401"/>
      <c r="U990" s="199"/>
      <c r="V990" s="220"/>
      <c r="W990" s="400"/>
      <c r="X990" s="401"/>
      <c r="Y990" s="199"/>
      <c r="Z990" s="220"/>
      <c r="AA990" s="400"/>
      <c r="AB990" s="401"/>
      <c r="AC990" s="199"/>
      <c r="AD990" s="220"/>
      <c r="AE990" s="400"/>
      <c r="AF990" s="401"/>
      <c r="AG990" s="201"/>
      <c r="AH990" s="201"/>
      <c r="AI990" s="201"/>
      <c r="AJ990" s="201"/>
      <c r="AK990" s="397"/>
      <c r="AL990" s="397"/>
      <c r="AM990" s="397"/>
    </row>
    <row r="991">
      <c r="A991" s="316"/>
      <c r="B991" s="317"/>
      <c r="C991" s="318"/>
      <c r="D991" s="397"/>
      <c r="E991" s="316"/>
      <c r="F991" s="317"/>
      <c r="G991" s="318"/>
      <c r="H991" s="397"/>
      <c r="I991" s="316"/>
      <c r="J991" s="317"/>
      <c r="K991" s="318"/>
      <c r="L991" s="397"/>
      <c r="M991" s="316"/>
      <c r="N991" s="317"/>
      <c r="O991" s="318"/>
      <c r="P991" s="397"/>
      <c r="Q991" s="199"/>
      <c r="R991" s="220"/>
      <c r="S991" s="400"/>
      <c r="T991" s="401"/>
      <c r="U991" s="199"/>
      <c r="V991" s="220"/>
      <c r="W991" s="400"/>
      <c r="X991" s="401"/>
      <c r="Y991" s="199"/>
      <c r="Z991" s="220"/>
      <c r="AA991" s="400"/>
      <c r="AB991" s="401"/>
      <c r="AC991" s="199"/>
      <c r="AD991" s="220"/>
      <c r="AE991" s="400"/>
      <c r="AF991" s="401"/>
      <c r="AG991" s="201"/>
      <c r="AH991" s="201"/>
      <c r="AI991" s="201"/>
      <c r="AJ991" s="201"/>
      <c r="AK991" s="397"/>
      <c r="AL991" s="397"/>
      <c r="AM991" s="397"/>
    </row>
    <row r="992">
      <c r="A992" s="316"/>
      <c r="B992" s="317"/>
      <c r="C992" s="318"/>
      <c r="D992" s="397"/>
      <c r="E992" s="316"/>
      <c r="F992" s="317"/>
      <c r="G992" s="318"/>
      <c r="H992" s="397"/>
      <c r="I992" s="316"/>
      <c r="J992" s="317"/>
      <c r="K992" s="318"/>
      <c r="L992" s="397"/>
      <c r="M992" s="316"/>
      <c r="N992" s="317"/>
      <c r="O992" s="318"/>
      <c r="P992" s="397"/>
      <c r="Q992" s="199"/>
      <c r="R992" s="220"/>
      <c r="S992" s="400"/>
      <c r="T992" s="401"/>
      <c r="U992" s="199"/>
      <c r="V992" s="220"/>
      <c r="W992" s="400"/>
      <c r="X992" s="401"/>
      <c r="Y992" s="199"/>
      <c r="Z992" s="220"/>
      <c r="AA992" s="400"/>
      <c r="AB992" s="401"/>
      <c r="AC992" s="199"/>
      <c r="AD992" s="220"/>
      <c r="AE992" s="400"/>
      <c r="AF992" s="401"/>
      <c r="AG992" s="201"/>
      <c r="AH992" s="201"/>
      <c r="AI992" s="201"/>
      <c r="AJ992" s="201"/>
      <c r="AK992" s="397"/>
      <c r="AL992" s="397"/>
      <c r="AM992" s="397"/>
    </row>
    <row r="993">
      <c r="A993" s="316"/>
      <c r="B993" s="317"/>
      <c r="C993" s="318"/>
      <c r="D993" s="397"/>
      <c r="E993" s="316"/>
      <c r="F993" s="317"/>
      <c r="G993" s="318"/>
      <c r="H993" s="397"/>
      <c r="I993" s="316"/>
      <c r="J993" s="317"/>
      <c r="K993" s="318"/>
      <c r="L993" s="397"/>
      <c r="M993" s="316"/>
      <c r="N993" s="317"/>
      <c r="O993" s="318"/>
      <c r="P993" s="397"/>
      <c r="Q993" s="199"/>
      <c r="R993" s="220"/>
      <c r="S993" s="400"/>
      <c r="T993" s="401"/>
      <c r="U993" s="199"/>
      <c r="V993" s="220"/>
      <c r="W993" s="400"/>
      <c r="X993" s="401"/>
      <c r="Y993" s="199"/>
      <c r="Z993" s="220"/>
      <c r="AA993" s="400"/>
      <c r="AB993" s="401"/>
      <c r="AC993" s="199"/>
      <c r="AD993" s="220"/>
      <c r="AE993" s="400"/>
      <c r="AF993" s="401"/>
      <c r="AG993" s="201"/>
      <c r="AH993" s="201"/>
      <c r="AI993" s="201"/>
      <c r="AJ993" s="201"/>
      <c r="AK993" s="397"/>
      <c r="AL993" s="397"/>
      <c r="AM993" s="397"/>
    </row>
    <row r="994">
      <c r="A994" s="316"/>
      <c r="B994" s="317"/>
      <c r="C994" s="318"/>
      <c r="D994" s="397"/>
      <c r="E994" s="316"/>
      <c r="F994" s="317"/>
      <c r="G994" s="318"/>
      <c r="H994" s="397"/>
      <c r="I994" s="316"/>
      <c r="J994" s="317"/>
      <c r="K994" s="318"/>
      <c r="L994" s="397"/>
      <c r="M994" s="316"/>
      <c r="N994" s="317"/>
      <c r="O994" s="318"/>
      <c r="P994" s="397"/>
      <c r="Q994" s="199"/>
      <c r="R994" s="220"/>
      <c r="S994" s="400"/>
      <c r="T994" s="401"/>
      <c r="U994" s="199"/>
      <c r="V994" s="220"/>
      <c r="W994" s="400"/>
      <c r="X994" s="401"/>
      <c r="Y994" s="199"/>
      <c r="Z994" s="220"/>
      <c r="AA994" s="400"/>
      <c r="AB994" s="401"/>
      <c r="AC994" s="199"/>
      <c r="AD994" s="220"/>
      <c r="AE994" s="400"/>
      <c r="AF994" s="401"/>
      <c r="AG994" s="201"/>
      <c r="AH994" s="201"/>
      <c r="AI994" s="201"/>
      <c r="AJ994" s="201"/>
      <c r="AK994" s="397"/>
      <c r="AL994" s="397"/>
      <c r="AM994" s="397"/>
    </row>
    <row r="995">
      <c r="A995" s="316"/>
      <c r="B995" s="317"/>
      <c r="C995" s="318"/>
      <c r="D995" s="397"/>
      <c r="E995" s="316"/>
      <c r="F995" s="317"/>
      <c r="G995" s="318"/>
      <c r="H995" s="397"/>
      <c r="I995" s="316"/>
      <c r="J995" s="317"/>
      <c r="K995" s="318"/>
      <c r="L995" s="397"/>
      <c r="M995" s="316"/>
      <c r="N995" s="317"/>
      <c r="O995" s="318"/>
      <c r="P995" s="397"/>
      <c r="Q995" s="199"/>
      <c r="R995" s="220"/>
      <c r="S995" s="400"/>
      <c r="T995" s="401"/>
      <c r="U995" s="199"/>
      <c r="V995" s="220"/>
      <c r="W995" s="400"/>
      <c r="X995" s="401"/>
      <c r="Y995" s="199"/>
      <c r="Z995" s="220"/>
      <c r="AA995" s="400"/>
      <c r="AB995" s="401"/>
      <c r="AC995" s="199"/>
      <c r="AD995" s="220"/>
      <c r="AE995" s="400"/>
      <c r="AF995" s="401"/>
      <c r="AG995" s="201"/>
      <c r="AH995" s="201"/>
      <c r="AI995" s="201"/>
      <c r="AJ995" s="201"/>
      <c r="AK995" s="397"/>
      <c r="AL995" s="397"/>
      <c r="AM995" s="397"/>
    </row>
    <row r="996">
      <c r="A996" s="316"/>
      <c r="B996" s="317"/>
      <c r="C996" s="318"/>
      <c r="D996" s="397"/>
      <c r="E996" s="316"/>
      <c r="F996" s="317"/>
      <c r="G996" s="318"/>
      <c r="H996" s="397"/>
      <c r="I996" s="316"/>
      <c r="J996" s="317"/>
      <c r="K996" s="318"/>
      <c r="L996" s="397"/>
      <c r="M996" s="316"/>
      <c r="N996" s="317"/>
      <c r="O996" s="318"/>
      <c r="P996" s="397"/>
      <c r="Q996" s="199"/>
      <c r="R996" s="220"/>
      <c r="S996" s="400"/>
      <c r="T996" s="401"/>
      <c r="U996" s="199"/>
      <c r="V996" s="220"/>
      <c r="W996" s="400"/>
      <c r="X996" s="401"/>
      <c r="Y996" s="199"/>
      <c r="Z996" s="220"/>
      <c r="AA996" s="400"/>
      <c r="AB996" s="401"/>
      <c r="AC996" s="199"/>
      <c r="AD996" s="220"/>
      <c r="AE996" s="400"/>
      <c r="AF996" s="401"/>
      <c r="AG996" s="201"/>
      <c r="AH996" s="201"/>
      <c r="AI996" s="201"/>
      <c r="AJ996" s="201"/>
      <c r="AK996" s="397"/>
      <c r="AL996" s="397"/>
      <c r="AM996" s="397"/>
    </row>
    <row r="997">
      <c r="A997" s="316"/>
      <c r="B997" s="317"/>
      <c r="C997" s="318"/>
      <c r="D997" s="397"/>
      <c r="E997" s="316"/>
      <c r="F997" s="317"/>
      <c r="G997" s="318"/>
      <c r="H997" s="397"/>
      <c r="I997" s="316"/>
      <c r="J997" s="317"/>
      <c r="K997" s="318"/>
      <c r="L997" s="397"/>
      <c r="M997" s="316"/>
      <c r="N997" s="317"/>
      <c r="O997" s="318"/>
      <c r="P997" s="397"/>
      <c r="Q997" s="199"/>
      <c r="R997" s="220"/>
      <c r="S997" s="400"/>
      <c r="T997" s="401"/>
      <c r="U997" s="199"/>
      <c r="V997" s="220"/>
      <c r="W997" s="400"/>
      <c r="X997" s="401"/>
      <c r="Y997" s="199"/>
      <c r="Z997" s="220"/>
      <c r="AA997" s="400"/>
      <c r="AB997" s="401"/>
      <c r="AC997" s="199"/>
      <c r="AD997" s="220"/>
      <c r="AE997" s="400"/>
      <c r="AF997" s="401"/>
      <c r="AG997" s="201"/>
      <c r="AH997" s="201"/>
      <c r="AI997" s="201"/>
      <c r="AJ997" s="201"/>
      <c r="AK997" s="397"/>
      <c r="AL997" s="397"/>
      <c r="AM997" s="397"/>
    </row>
    <row r="998">
      <c r="A998" s="316"/>
      <c r="B998" s="317"/>
      <c r="C998" s="318"/>
      <c r="D998" s="397"/>
      <c r="E998" s="316"/>
      <c r="F998" s="317"/>
      <c r="G998" s="318"/>
      <c r="H998" s="397"/>
      <c r="I998" s="316"/>
      <c r="J998" s="317"/>
      <c r="K998" s="318"/>
      <c r="L998" s="397"/>
      <c r="M998" s="316"/>
      <c r="N998" s="317"/>
      <c r="O998" s="318"/>
      <c r="P998" s="397"/>
      <c r="Q998" s="199"/>
      <c r="R998" s="220"/>
      <c r="S998" s="400"/>
      <c r="T998" s="401"/>
      <c r="U998" s="199"/>
      <c r="V998" s="220"/>
      <c r="W998" s="400"/>
      <c r="X998" s="401"/>
      <c r="Y998" s="199"/>
      <c r="Z998" s="220"/>
      <c r="AA998" s="400"/>
      <c r="AB998" s="401"/>
      <c r="AC998" s="199"/>
      <c r="AD998" s="220"/>
      <c r="AE998" s="400"/>
      <c r="AF998" s="401"/>
      <c r="AG998" s="201"/>
      <c r="AH998" s="201"/>
      <c r="AI998" s="201"/>
      <c r="AJ998" s="201"/>
      <c r="AK998" s="397"/>
      <c r="AL998" s="397"/>
      <c r="AM998" s="397"/>
    </row>
    <row r="999">
      <c r="A999" s="316"/>
      <c r="B999" s="317"/>
      <c r="C999" s="318"/>
      <c r="D999" s="397"/>
      <c r="E999" s="316"/>
      <c r="F999" s="317"/>
      <c r="G999" s="318"/>
      <c r="H999" s="397"/>
      <c r="I999" s="316"/>
      <c r="J999" s="317"/>
      <c r="K999" s="318"/>
      <c r="L999" s="397"/>
      <c r="M999" s="316"/>
      <c r="N999" s="317"/>
      <c r="O999" s="318"/>
      <c r="P999" s="397"/>
      <c r="Q999" s="199"/>
      <c r="R999" s="220"/>
      <c r="S999" s="400"/>
      <c r="T999" s="401"/>
      <c r="U999" s="199"/>
      <c r="V999" s="220"/>
      <c r="W999" s="400"/>
      <c r="X999" s="401"/>
      <c r="Y999" s="199"/>
      <c r="Z999" s="220"/>
      <c r="AA999" s="400"/>
      <c r="AB999" s="401"/>
      <c r="AC999" s="199"/>
      <c r="AD999" s="220"/>
      <c r="AE999" s="400"/>
      <c r="AF999" s="401"/>
      <c r="AG999" s="201"/>
      <c r="AH999" s="201"/>
      <c r="AI999" s="201"/>
      <c r="AJ999" s="201"/>
      <c r="AK999" s="397"/>
      <c r="AL999" s="397"/>
      <c r="AM999" s="397"/>
    </row>
    <row r="1000">
      <c r="A1000" s="316"/>
      <c r="B1000" s="317"/>
      <c r="C1000" s="318"/>
      <c r="D1000" s="397"/>
      <c r="E1000" s="316"/>
      <c r="F1000" s="317"/>
      <c r="G1000" s="318"/>
      <c r="H1000" s="397"/>
      <c r="I1000" s="316"/>
      <c r="J1000" s="317"/>
      <c r="K1000" s="318"/>
      <c r="L1000" s="397"/>
      <c r="M1000" s="316"/>
      <c r="N1000" s="317"/>
      <c r="O1000" s="318"/>
      <c r="P1000" s="397"/>
      <c r="Q1000" s="199"/>
      <c r="R1000" s="220"/>
      <c r="S1000" s="400"/>
      <c r="T1000" s="401"/>
      <c r="U1000" s="199"/>
      <c r="V1000" s="220"/>
      <c r="W1000" s="400"/>
      <c r="X1000" s="401"/>
      <c r="Y1000" s="199"/>
      <c r="Z1000" s="220"/>
      <c r="AA1000" s="400"/>
      <c r="AB1000" s="401"/>
      <c r="AC1000" s="199"/>
      <c r="AD1000" s="220"/>
      <c r="AE1000" s="400"/>
      <c r="AF1000" s="401"/>
      <c r="AG1000" s="201"/>
      <c r="AH1000" s="201"/>
      <c r="AI1000" s="201"/>
      <c r="AJ1000" s="201"/>
      <c r="AK1000" s="397"/>
      <c r="AL1000" s="397"/>
      <c r="AM1000" s="397"/>
    </row>
    <row r="1001">
      <c r="A1001" s="316"/>
      <c r="B1001" s="317"/>
      <c r="C1001" s="318"/>
      <c r="D1001" s="397"/>
      <c r="E1001" s="316"/>
      <c r="F1001" s="317"/>
      <c r="G1001" s="318"/>
      <c r="H1001" s="397"/>
      <c r="I1001" s="316"/>
      <c r="J1001" s="317"/>
      <c r="K1001" s="318"/>
      <c r="L1001" s="397"/>
      <c r="M1001" s="316"/>
      <c r="N1001" s="317"/>
      <c r="O1001" s="318"/>
      <c r="P1001" s="397"/>
      <c r="Q1001" s="199"/>
      <c r="R1001" s="220"/>
      <c r="S1001" s="400"/>
      <c r="T1001" s="401"/>
      <c r="U1001" s="199"/>
      <c r="V1001" s="220"/>
      <c r="W1001" s="400"/>
      <c r="X1001" s="401"/>
      <c r="Y1001" s="199"/>
      <c r="Z1001" s="220"/>
      <c r="AA1001" s="400"/>
      <c r="AB1001" s="401"/>
      <c r="AC1001" s="199"/>
      <c r="AD1001" s="220"/>
      <c r="AE1001" s="400"/>
      <c r="AF1001" s="401"/>
      <c r="AG1001" s="201"/>
      <c r="AH1001" s="201"/>
      <c r="AI1001" s="201"/>
      <c r="AJ1001" s="201"/>
      <c r="AK1001" s="397"/>
      <c r="AL1001" s="397"/>
      <c r="AM1001" s="397"/>
    </row>
    <row r="1002">
      <c r="A1002" s="316"/>
      <c r="B1002" s="317"/>
      <c r="C1002" s="318"/>
      <c r="D1002" s="397"/>
      <c r="E1002" s="316"/>
      <c r="F1002" s="317"/>
      <c r="G1002" s="318"/>
      <c r="H1002" s="397"/>
      <c r="I1002" s="316"/>
      <c r="J1002" s="317"/>
      <c r="K1002" s="318"/>
      <c r="L1002" s="397"/>
      <c r="M1002" s="316"/>
      <c r="N1002" s="317"/>
      <c r="O1002" s="318"/>
      <c r="P1002" s="397"/>
      <c r="Q1002" s="199"/>
      <c r="R1002" s="220"/>
      <c r="S1002" s="400"/>
      <c r="T1002" s="401"/>
      <c r="U1002" s="199"/>
      <c r="V1002" s="220"/>
      <c r="W1002" s="400"/>
      <c r="X1002" s="401"/>
      <c r="Y1002" s="199"/>
      <c r="Z1002" s="220"/>
      <c r="AA1002" s="400"/>
      <c r="AB1002" s="401"/>
      <c r="AC1002" s="199"/>
      <c r="AD1002" s="220"/>
      <c r="AE1002" s="400"/>
      <c r="AF1002" s="401"/>
      <c r="AG1002" s="201"/>
      <c r="AH1002" s="201"/>
      <c r="AI1002" s="201"/>
      <c r="AJ1002" s="201"/>
      <c r="AK1002" s="397"/>
      <c r="AL1002" s="397"/>
      <c r="AM1002" s="397"/>
    </row>
    <row r="1003">
      <c r="A1003" s="316"/>
      <c r="B1003" s="317"/>
      <c r="C1003" s="318"/>
      <c r="D1003" s="397"/>
      <c r="E1003" s="316"/>
      <c r="F1003" s="317"/>
      <c r="G1003" s="318"/>
      <c r="H1003" s="397"/>
      <c r="I1003" s="316"/>
      <c r="J1003" s="317"/>
      <c r="K1003" s="318"/>
      <c r="L1003" s="397"/>
      <c r="M1003" s="316"/>
      <c r="N1003" s="317"/>
      <c r="O1003" s="318"/>
      <c r="P1003" s="397"/>
      <c r="Q1003" s="199"/>
      <c r="R1003" s="220"/>
      <c r="S1003" s="400"/>
      <c r="T1003" s="401"/>
      <c r="U1003" s="199"/>
      <c r="V1003" s="220"/>
      <c r="W1003" s="400"/>
      <c r="X1003" s="401"/>
      <c r="Y1003" s="199"/>
      <c r="Z1003" s="220"/>
      <c r="AA1003" s="400"/>
      <c r="AB1003" s="401"/>
      <c r="AC1003" s="199"/>
      <c r="AD1003" s="220"/>
      <c r="AE1003" s="400"/>
      <c r="AF1003" s="401"/>
      <c r="AG1003" s="316"/>
      <c r="AH1003" s="317"/>
      <c r="AI1003" s="318"/>
      <c r="AJ1003" s="397"/>
      <c r="AK1003" s="397"/>
      <c r="AL1003" s="397"/>
      <c r="AM1003" s="397"/>
    </row>
    <row r="1004">
      <c r="A1004" s="316"/>
      <c r="B1004" s="317"/>
      <c r="C1004" s="318"/>
      <c r="D1004" s="397"/>
      <c r="E1004" s="316"/>
      <c r="F1004" s="317"/>
      <c r="G1004" s="318"/>
      <c r="H1004" s="397"/>
      <c r="I1004" s="316"/>
      <c r="J1004" s="317"/>
      <c r="K1004" s="318"/>
      <c r="L1004" s="397"/>
      <c r="M1004" s="316"/>
      <c r="N1004" s="317"/>
      <c r="O1004" s="318"/>
      <c r="P1004" s="397"/>
      <c r="Q1004" s="199"/>
      <c r="R1004" s="220"/>
      <c r="S1004" s="400"/>
      <c r="T1004" s="401"/>
      <c r="U1004" s="199"/>
      <c r="V1004" s="220"/>
      <c r="W1004" s="400"/>
      <c r="X1004" s="401"/>
      <c r="Y1004" s="199"/>
      <c r="Z1004" s="220"/>
      <c r="AA1004" s="400"/>
      <c r="AB1004" s="401"/>
      <c r="AC1004" s="199"/>
      <c r="AD1004" s="220"/>
      <c r="AE1004" s="400"/>
      <c r="AF1004" s="401"/>
      <c r="AG1004" s="316"/>
      <c r="AH1004" s="317"/>
      <c r="AI1004" s="318"/>
      <c r="AJ1004" s="397"/>
      <c r="AK1004" s="397"/>
      <c r="AL1004" s="397"/>
      <c r="AM1004" s="397"/>
    </row>
    <row r="1005">
      <c r="A1005" s="316"/>
      <c r="B1005" s="317"/>
      <c r="C1005" s="318"/>
      <c r="D1005" s="397"/>
      <c r="E1005" s="316"/>
      <c r="F1005" s="317"/>
      <c r="G1005" s="318"/>
      <c r="H1005" s="397"/>
      <c r="I1005" s="316"/>
      <c r="J1005" s="317"/>
      <c r="K1005" s="318"/>
      <c r="L1005" s="397"/>
      <c r="M1005" s="316"/>
      <c r="N1005" s="317"/>
      <c r="O1005" s="318"/>
      <c r="P1005" s="397"/>
      <c r="Q1005" s="199"/>
      <c r="R1005" s="220"/>
      <c r="S1005" s="400"/>
      <c r="T1005" s="401"/>
      <c r="U1005" s="199"/>
      <c r="V1005" s="220"/>
      <c r="W1005" s="400"/>
      <c r="X1005" s="401"/>
      <c r="Y1005" s="199"/>
      <c r="Z1005" s="220"/>
      <c r="AA1005" s="400"/>
      <c r="AB1005" s="401"/>
      <c r="AC1005" s="199"/>
      <c r="AD1005" s="220"/>
      <c r="AE1005" s="400"/>
      <c r="AF1005" s="401"/>
      <c r="AG1005" s="316"/>
      <c r="AH1005" s="317"/>
      <c r="AI1005" s="318"/>
      <c r="AJ1005" s="397"/>
      <c r="AK1005" s="397"/>
      <c r="AL1005" s="397"/>
      <c r="AM1005" s="397"/>
    </row>
    <row r="1006">
      <c r="A1006" s="316"/>
      <c r="B1006" s="317"/>
      <c r="C1006" s="318"/>
      <c r="D1006" s="397"/>
      <c r="E1006" s="316"/>
      <c r="F1006" s="317"/>
      <c r="G1006" s="318"/>
      <c r="H1006" s="397"/>
      <c r="I1006" s="316"/>
      <c r="J1006" s="317"/>
      <c r="K1006" s="318"/>
      <c r="L1006" s="397"/>
      <c r="M1006" s="316"/>
      <c r="N1006" s="317"/>
      <c r="O1006" s="318"/>
      <c r="P1006" s="397"/>
      <c r="Q1006" s="199"/>
      <c r="R1006" s="220"/>
      <c r="S1006" s="400"/>
      <c r="T1006" s="401"/>
      <c r="U1006" s="199"/>
      <c r="V1006" s="220"/>
      <c r="W1006" s="400"/>
      <c r="X1006" s="401"/>
      <c r="Y1006" s="199"/>
      <c r="Z1006" s="220"/>
      <c r="AA1006" s="400"/>
      <c r="AB1006" s="401"/>
      <c r="AC1006" s="199"/>
      <c r="AD1006" s="220"/>
      <c r="AE1006" s="400"/>
      <c r="AF1006" s="401"/>
      <c r="AG1006" s="316"/>
      <c r="AH1006" s="317"/>
      <c r="AI1006" s="318"/>
      <c r="AJ1006" s="397"/>
      <c r="AK1006" s="397"/>
      <c r="AL1006" s="397"/>
      <c r="AM1006" s="397"/>
    </row>
    <row r="1007">
      <c r="A1007" s="316"/>
      <c r="B1007" s="317"/>
      <c r="C1007" s="318"/>
      <c r="D1007" s="397"/>
      <c r="E1007" s="316"/>
      <c r="F1007" s="317"/>
      <c r="G1007" s="318"/>
      <c r="H1007" s="397"/>
      <c r="I1007" s="316"/>
      <c r="J1007" s="317"/>
      <c r="K1007" s="318"/>
      <c r="L1007" s="397"/>
      <c r="M1007" s="316"/>
      <c r="N1007" s="317"/>
      <c r="O1007" s="318"/>
      <c r="P1007" s="397"/>
      <c r="Q1007" s="199"/>
      <c r="R1007" s="220"/>
      <c r="S1007" s="400"/>
      <c r="T1007" s="401"/>
      <c r="U1007" s="199"/>
      <c r="V1007" s="220"/>
      <c r="W1007" s="400"/>
      <c r="X1007" s="401"/>
      <c r="Y1007" s="199"/>
      <c r="Z1007" s="220"/>
      <c r="AA1007" s="400"/>
      <c r="AB1007" s="401"/>
      <c r="AC1007" s="199"/>
      <c r="AD1007" s="220"/>
      <c r="AE1007" s="400"/>
      <c r="AF1007" s="401"/>
      <c r="AG1007" s="316"/>
      <c r="AH1007" s="317"/>
      <c r="AI1007" s="318"/>
      <c r="AJ1007" s="397"/>
      <c r="AK1007" s="397"/>
      <c r="AL1007" s="397"/>
      <c r="AM1007" s="397"/>
    </row>
    <row r="1008">
      <c r="A1008" s="316"/>
      <c r="B1008" s="317"/>
      <c r="C1008" s="318"/>
      <c r="D1008" s="397"/>
      <c r="E1008" s="316"/>
      <c r="F1008" s="317"/>
      <c r="G1008" s="318"/>
      <c r="H1008" s="397"/>
      <c r="I1008" s="316"/>
      <c r="J1008" s="317"/>
      <c r="K1008" s="318"/>
      <c r="L1008" s="397"/>
      <c r="M1008" s="316"/>
      <c r="N1008" s="317"/>
      <c r="O1008" s="318"/>
      <c r="P1008" s="397"/>
      <c r="Q1008" s="199"/>
      <c r="R1008" s="220"/>
      <c r="S1008" s="400"/>
      <c r="T1008" s="401"/>
      <c r="U1008" s="199"/>
      <c r="V1008" s="220"/>
      <c r="W1008" s="400"/>
      <c r="X1008" s="401"/>
      <c r="Y1008" s="199"/>
      <c r="Z1008" s="220"/>
      <c r="AA1008" s="400"/>
      <c r="AB1008" s="401"/>
      <c r="AC1008" s="199"/>
      <c r="AD1008" s="220"/>
      <c r="AE1008" s="400"/>
      <c r="AF1008" s="401"/>
      <c r="AG1008" s="316"/>
      <c r="AH1008" s="317"/>
      <c r="AI1008" s="318"/>
      <c r="AJ1008" s="397"/>
      <c r="AK1008" s="397"/>
      <c r="AL1008" s="397"/>
      <c r="AM1008" s="397"/>
    </row>
    <row r="1009">
      <c r="A1009" s="316"/>
      <c r="B1009" s="317"/>
      <c r="C1009" s="318"/>
      <c r="D1009" s="397"/>
      <c r="E1009" s="316"/>
      <c r="F1009" s="317"/>
      <c r="G1009" s="318"/>
      <c r="H1009" s="397"/>
      <c r="I1009" s="316"/>
      <c r="J1009" s="317"/>
      <c r="K1009" s="318"/>
      <c r="L1009" s="397"/>
      <c r="M1009" s="316"/>
      <c r="N1009" s="317"/>
      <c r="O1009" s="318"/>
      <c r="P1009" s="397"/>
      <c r="Q1009" s="199"/>
      <c r="R1009" s="220"/>
      <c r="S1009" s="400"/>
      <c r="T1009" s="401"/>
      <c r="U1009" s="199"/>
      <c r="V1009" s="220"/>
      <c r="W1009" s="400"/>
      <c r="X1009" s="401"/>
      <c r="Y1009" s="199"/>
      <c r="Z1009" s="220"/>
      <c r="AA1009" s="400"/>
      <c r="AB1009" s="401"/>
      <c r="AC1009" s="199"/>
      <c r="AD1009" s="220"/>
      <c r="AE1009" s="400"/>
      <c r="AF1009" s="401"/>
      <c r="AG1009" s="316"/>
      <c r="AH1009" s="317"/>
      <c r="AI1009" s="318"/>
      <c r="AJ1009" s="397"/>
      <c r="AK1009" s="397"/>
      <c r="AL1009" s="397"/>
      <c r="AM1009" s="397"/>
    </row>
    <row r="1010">
      <c r="A1010" s="316"/>
      <c r="B1010" s="317"/>
      <c r="C1010" s="318"/>
      <c r="D1010" s="397"/>
      <c r="E1010" s="316"/>
      <c r="F1010" s="317"/>
      <c r="G1010" s="318"/>
      <c r="H1010" s="397"/>
      <c r="I1010" s="316"/>
      <c r="J1010" s="317"/>
      <c r="K1010" s="318"/>
      <c r="L1010" s="397"/>
      <c r="M1010" s="316"/>
      <c r="N1010" s="317"/>
      <c r="O1010" s="318"/>
      <c r="P1010" s="397"/>
      <c r="Q1010" s="199"/>
      <c r="R1010" s="220"/>
      <c r="S1010" s="400"/>
      <c r="T1010" s="401"/>
      <c r="U1010" s="199"/>
      <c r="V1010" s="220"/>
      <c r="W1010" s="400"/>
      <c r="X1010" s="401"/>
      <c r="Y1010" s="199"/>
      <c r="Z1010" s="220"/>
      <c r="AA1010" s="400"/>
      <c r="AB1010" s="401"/>
      <c r="AC1010" s="199"/>
      <c r="AD1010" s="220"/>
      <c r="AE1010" s="400"/>
      <c r="AF1010" s="401"/>
      <c r="AG1010" s="316"/>
      <c r="AH1010" s="317"/>
      <c r="AI1010" s="318"/>
      <c r="AJ1010" s="397"/>
      <c r="AK1010" s="397"/>
      <c r="AL1010" s="397"/>
      <c r="AM1010" s="397"/>
    </row>
    <row r="1011">
      <c r="A1011" s="316"/>
      <c r="B1011" s="317"/>
      <c r="C1011" s="318"/>
      <c r="D1011" s="397"/>
      <c r="E1011" s="316"/>
      <c r="F1011" s="317"/>
      <c r="G1011" s="318"/>
      <c r="H1011" s="397"/>
      <c r="I1011" s="316"/>
      <c r="J1011" s="317"/>
      <c r="K1011" s="318"/>
      <c r="L1011" s="397"/>
      <c r="M1011" s="316"/>
      <c r="N1011" s="317"/>
      <c r="O1011" s="318"/>
      <c r="P1011" s="397"/>
      <c r="Q1011" s="199"/>
      <c r="R1011" s="220"/>
      <c r="S1011" s="400"/>
      <c r="T1011" s="401"/>
      <c r="U1011" s="199"/>
      <c r="V1011" s="220"/>
      <c r="W1011" s="400"/>
      <c r="X1011" s="401"/>
      <c r="Y1011" s="199"/>
      <c r="Z1011" s="220"/>
      <c r="AA1011" s="400"/>
      <c r="AB1011" s="401"/>
      <c r="AC1011" s="199"/>
      <c r="AD1011" s="220"/>
      <c r="AE1011" s="400"/>
      <c r="AF1011" s="401"/>
      <c r="AG1011" s="316"/>
      <c r="AH1011" s="317"/>
      <c r="AI1011" s="318"/>
      <c r="AJ1011" s="397"/>
      <c r="AK1011" s="397"/>
      <c r="AL1011" s="397"/>
      <c r="AM1011" s="397"/>
    </row>
    <row r="1012">
      <c r="A1012" s="316"/>
      <c r="B1012" s="317"/>
      <c r="C1012" s="318"/>
      <c r="D1012" s="397"/>
      <c r="E1012" s="316"/>
      <c r="F1012" s="317"/>
      <c r="G1012" s="318"/>
      <c r="H1012" s="397"/>
      <c r="I1012" s="316"/>
      <c r="J1012" s="317"/>
      <c r="K1012" s="318"/>
      <c r="L1012" s="397"/>
      <c r="M1012" s="316"/>
      <c r="N1012" s="317"/>
      <c r="O1012" s="318"/>
      <c r="P1012" s="397"/>
      <c r="Q1012" s="199"/>
      <c r="R1012" s="220"/>
      <c r="S1012" s="400"/>
      <c r="T1012" s="401"/>
      <c r="U1012" s="199"/>
      <c r="V1012" s="220"/>
      <c r="W1012" s="400"/>
      <c r="X1012" s="401"/>
      <c r="Y1012" s="199"/>
      <c r="Z1012" s="220"/>
      <c r="AA1012" s="400"/>
      <c r="AB1012" s="401"/>
      <c r="AC1012" s="199"/>
      <c r="AD1012" s="220"/>
      <c r="AE1012" s="400"/>
      <c r="AF1012" s="401"/>
      <c r="AG1012" s="316"/>
      <c r="AH1012" s="317"/>
      <c r="AI1012" s="318"/>
      <c r="AJ1012" s="397"/>
      <c r="AK1012" s="397"/>
      <c r="AL1012" s="397"/>
      <c r="AM1012" s="397"/>
    </row>
    <row r="1013">
      <c r="A1013" s="316"/>
      <c r="B1013" s="317"/>
      <c r="C1013" s="318"/>
      <c r="D1013" s="397"/>
      <c r="E1013" s="316"/>
      <c r="F1013" s="317"/>
      <c r="G1013" s="318"/>
      <c r="H1013" s="397"/>
      <c r="I1013" s="316"/>
      <c r="J1013" s="317"/>
      <c r="K1013" s="318"/>
      <c r="L1013" s="397"/>
      <c r="M1013" s="316"/>
      <c r="N1013" s="317"/>
      <c r="O1013" s="318"/>
      <c r="P1013" s="397"/>
      <c r="Q1013" s="199"/>
      <c r="R1013" s="220"/>
      <c r="S1013" s="400"/>
      <c r="T1013" s="401"/>
      <c r="U1013" s="199"/>
      <c r="V1013" s="220"/>
      <c r="W1013" s="400"/>
      <c r="X1013" s="401"/>
      <c r="Y1013" s="199"/>
      <c r="Z1013" s="220"/>
      <c r="AA1013" s="400"/>
      <c r="AB1013" s="401"/>
      <c r="AC1013" s="199"/>
      <c r="AD1013" s="220"/>
      <c r="AE1013" s="400"/>
      <c r="AF1013" s="401"/>
      <c r="AG1013" s="316"/>
      <c r="AH1013" s="317"/>
      <c r="AI1013" s="318"/>
      <c r="AJ1013" s="397"/>
      <c r="AK1013" s="397"/>
      <c r="AL1013" s="397"/>
      <c r="AM1013" s="397"/>
    </row>
    <row r="1014">
      <c r="A1014" s="316"/>
      <c r="B1014" s="317"/>
      <c r="C1014" s="318"/>
      <c r="D1014" s="397"/>
      <c r="E1014" s="316"/>
      <c r="F1014" s="317"/>
      <c r="G1014" s="318"/>
      <c r="H1014" s="397"/>
      <c r="I1014" s="316"/>
      <c r="J1014" s="317"/>
      <c r="K1014" s="318"/>
      <c r="L1014" s="397"/>
      <c r="M1014" s="316"/>
      <c r="N1014" s="317"/>
      <c r="O1014" s="318"/>
      <c r="P1014" s="397"/>
      <c r="Q1014" s="199"/>
      <c r="R1014" s="220"/>
      <c r="S1014" s="400"/>
      <c r="T1014" s="401"/>
      <c r="U1014" s="199"/>
      <c r="V1014" s="220"/>
      <c r="W1014" s="400"/>
      <c r="X1014" s="401"/>
      <c r="Y1014" s="199"/>
      <c r="Z1014" s="220"/>
      <c r="AA1014" s="400"/>
      <c r="AB1014" s="401"/>
      <c r="AC1014" s="199"/>
      <c r="AD1014" s="220"/>
      <c r="AE1014" s="400"/>
      <c r="AF1014" s="401"/>
      <c r="AG1014" s="316"/>
      <c r="AH1014" s="317"/>
      <c r="AI1014" s="318"/>
      <c r="AJ1014" s="397"/>
      <c r="AK1014" s="397"/>
      <c r="AL1014" s="397"/>
      <c r="AM1014" s="397"/>
    </row>
    <row r="1015">
      <c r="A1015" s="316"/>
      <c r="B1015" s="317"/>
      <c r="C1015" s="318"/>
      <c r="D1015" s="397"/>
      <c r="E1015" s="316"/>
      <c r="F1015" s="317"/>
      <c r="G1015" s="318"/>
      <c r="H1015" s="397"/>
      <c r="I1015" s="316"/>
      <c r="J1015" s="317"/>
      <c r="K1015" s="318"/>
      <c r="L1015" s="397"/>
      <c r="M1015" s="316"/>
      <c r="N1015" s="317"/>
      <c r="O1015" s="318"/>
      <c r="P1015" s="397"/>
      <c r="Q1015" s="199"/>
      <c r="R1015" s="220"/>
      <c r="S1015" s="400"/>
      <c r="T1015" s="401"/>
      <c r="U1015" s="199"/>
      <c r="V1015" s="220"/>
      <c r="W1015" s="400"/>
      <c r="X1015" s="401"/>
      <c r="Y1015" s="199"/>
      <c r="Z1015" s="220"/>
      <c r="AA1015" s="400"/>
      <c r="AB1015" s="401"/>
      <c r="AC1015" s="199"/>
      <c r="AD1015" s="220"/>
      <c r="AE1015" s="400"/>
      <c r="AF1015" s="401"/>
      <c r="AG1015" s="316"/>
      <c r="AH1015" s="317"/>
      <c r="AI1015" s="318"/>
      <c r="AJ1015" s="397"/>
      <c r="AK1015" s="397"/>
      <c r="AL1015" s="397"/>
      <c r="AM1015" s="397"/>
    </row>
    <row r="1016">
      <c r="A1016" s="316"/>
      <c r="B1016" s="317"/>
      <c r="C1016" s="318"/>
      <c r="D1016" s="397"/>
      <c r="E1016" s="316"/>
      <c r="F1016" s="317"/>
      <c r="G1016" s="318"/>
      <c r="H1016" s="397"/>
      <c r="I1016" s="316"/>
      <c r="J1016" s="317"/>
      <c r="K1016" s="318"/>
      <c r="L1016" s="397"/>
      <c r="M1016" s="316"/>
      <c r="N1016" s="317"/>
      <c r="O1016" s="318"/>
      <c r="P1016" s="397"/>
      <c r="Q1016" s="199"/>
      <c r="R1016" s="220"/>
      <c r="S1016" s="400"/>
      <c r="T1016" s="401"/>
      <c r="U1016" s="199"/>
      <c r="V1016" s="220"/>
      <c r="W1016" s="400"/>
      <c r="X1016" s="401"/>
      <c r="Y1016" s="199"/>
      <c r="Z1016" s="220"/>
      <c r="AA1016" s="400"/>
      <c r="AB1016" s="401"/>
      <c r="AC1016" s="199"/>
      <c r="AD1016" s="220"/>
      <c r="AE1016" s="400"/>
      <c r="AF1016" s="401"/>
      <c r="AG1016" s="316"/>
      <c r="AH1016" s="317"/>
      <c r="AI1016" s="318"/>
      <c r="AJ1016" s="397"/>
      <c r="AK1016" s="397"/>
      <c r="AL1016" s="397"/>
      <c r="AM1016" s="397"/>
    </row>
    <row r="1017">
      <c r="A1017" s="316"/>
      <c r="B1017" s="317"/>
      <c r="C1017" s="318"/>
      <c r="D1017" s="397"/>
      <c r="E1017" s="316"/>
      <c r="F1017" s="317"/>
      <c r="G1017" s="318"/>
      <c r="H1017" s="397"/>
      <c r="I1017" s="316"/>
      <c r="J1017" s="317"/>
      <c r="K1017" s="318"/>
      <c r="L1017" s="397"/>
      <c r="M1017" s="316"/>
      <c r="N1017" s="317"/>
      <c r="O1017" s="318"/>
      <c r="P1017" s="397"/>
      <c r="Q1017" s="199"/>
      <c r="R1017" s="220"/>
      <c r="S1017" s="400"/>
      <c r="T1017" s="401"/>
      <c r="U1017" s="199"/>
      <c r="V1017" s="220"/>
      <c r="W1017" s="400"/>
      <c r="X1017" s="401"/>
      <c r="Y1017" s="199"/>
      <c r="Z1017" s="220"/>
      <c r="AA1017" s="400"/>
      <c r="AB1017" s="401"/>
      <c r="AC1017" s="199"/>
      <c r="AD1017" s="220"/>
      <c r="AE1017" s="400"/>
      <c r="AF1017" s="401"/>
      <c r="AG1017" s="316"/>
      <c r="AH1017" s="317"/>
      <c r="AI1017" s="318"/>
      <c r="AJ1017" s="397"/>
      <c r="AK1017" s="397"/>
      <c r="AL1017" s="397"/>
      <c r="AM1017" s="397"/>
    </row>
    <row r="1018">
      <c r="A1018" s="316"/>
      <c r="B1018" s="317"/>
      <c r="C1018" s="318"/>
      <c r="D1018" s="397"/>
      <c r="E1018" s="316"/>
      <c r="F1018" s="317"/>
      <c r="G1018" s="318"/>
      <c r="H1018" s="397"/>
      <c r="I1018" s="316"/>
      <c r="J1018" s="317"/>
      <c r="K1018" s="318"/>
      <c r="L1018" s="397"/>
      <c r="M1018" s="316"/>
      <c r="N1018" s="317"/>
      <c r="O1018" s="318"/>
      <c r="P1018" s="397"/>
      <c r="Q1018" s="199"/>
      <c r="R1018" s="220"/>
      <c r="S1018" s="400"/>
      <c r="T1018" s="401"/>
      <c r="U1018" s="199"/>
      <c r="V1018" s="220"/>
      <c r="W1018" s="400"/>
      <c r="X1018" s="401"/>
      <c r="Y1018" s="199"/>
      <c r="Z1018" s="220"/>
      <c r="AA1018" s="400"/>
      <c r="AB1018" s="401"/>
      <c r="AC1018" s="199"/>
      <c r="AD1018" s="220"/>
      <c r="AE1018" s="400"/>
      <c r="AF1018" s="401"/>
      <c r="AG1018" s="316"/>
      <c r="AH1018" s="317"/>
      <c r="AI1018" s="318"/>
      <c r="AJ1018" s="397"/>
      <c r="AK1018" s="397"/>
      <c r="AL1018" s="397"/>
      <c r="AM1018" s="397"/>
    </row>
  </sheetData>
  <mergeCells count="9">
    <mergeCell ref="AC1:AF2"/>
    <mergeCell ref="AG1:AJ2"/>
    <mergeCell ref="A1:D2"/>
    <mergeCell ref="E1:H2"/>
    <mergeCell ref="I1:L2"/>
    <mergeCell ref="M1:P2"/>
    <mergeCell ref="Q1:T2"/>
    <mergeCell ref="U1:X2"/>
    <mergeCell ref="Y1:AB2"/>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0.38"/>
    <col customWidth="1" min="4" max="4" width="14.13"/>
  </cols>
  <sheetData>
    <row r="1" ht="447.75" customHeight="1">
      <c r="A1" s="406" t="s">
        <v>6933</v>
      </c>
      <c r="B1" s="407" t="str">
        <f>IFERROR(__xludf.DUMMYFUNCTION("GOOGLETRANSLATE(A1,""zh-tw"",""ja"")"),"このゲームに関連する動画/音声リンクの投稿を歓迎します。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AI翻訳の問題により、URLを埋め込むことはできません。動画/音声フ"&amp;"ァイルへは、繁体字中国語のリンクを直接クリックしてください。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プラットフォームのルールを遵守してください。黄色タグ付きの"&amp;"コンテンツやヌードなどは禁止されています。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f>
        <v>このゲームに関連する動画/音声リンクの投稿を歓迎します。
現在、YouTubeとBillboardへの投稿のみ受け付けています。
動画ファイルのみをお持ちの場合は、YouTubeへのアップロード用にご提出ください。
（投稿者情報は掲載されますが、動画/音声ファイルに関するその後の問題や収益/権利については責任を負いかねます。）
お問い合わせは、ガイド作者：ROROまでご連絡ください（連絡先はお知らせページに記載されています）。
AI翻訳の問題により、URLを埋め込むことはできません。動画/音声ファイルへは、繁体字中国語のリンクを直接クリックしてください。
投稿ルール：
1. 動画が1本のみの場合は、タイトルのみをご提出ください。
2. 動画が複数本ある場合は、リストが長くなりすぎないよう、指定のチャンネルにご提出ください。
3. 著作権侵害に関する情報を含む動画/情報/コメントは禁止です。
4. ファンメイドコンテンツ、楽曲付き背景、AI生成コンテンツなどについては、著作権およびプラットフォームの規制にご注意ください。
5. プラットフォームのルールを遵守してください。黄色タグ付きのコンテンツやヌードなどは禁止されています。
6. コンテンツを作成する際は、字幕を付けてください。
7. 動画に広告、スポンサーコンテンツ、プロモーション資料、または本ゲームに関係のないコンテンツを含めないでください。</v>
      </c>
      <c r="C1" s="408" t="str">
        <f>IFERROR(__xludf.DUMMYFUNCTION("GOOGLETRANSLATE(A1,""zh-tw"",""en"")"),"We welcome submissions of video/audio links related to this game.
Currently, we are only accepting submissions to YouTube and Billboard.
If you only have the video file, you can submit it to me for uploading to YouTube.
(Author information will be incl"&amp;"uded, but I will not be responsible for any subsequent issues or revenue/rights related to the video/audio file.)
For any inquiries, please contact the guide author: RORO (contact details can be found on the announcement page).
Due to AI translation iss"&amp;"ues, URLs cannot be embedded. Please click the Traditional Chinese link directly for the video/audio file.
Submission Rules:
1. If you only have a single video, please submit the title.
2. If you have multiple videos, please submit them on the designat"&amp;"ed channel to avoid an excessively long list.
3. Videos/information/comments containing any information related to piracy are prohibited.
4. Regarding fan-made content, backgrounds with songs, AI-generated content, etc., please be aware of copyright and"&amp;" platform regulations.
5. Please comply with platform rules; content with yellow tags, nudity, etc., is prohibited.
6. Please include subtitles when creating your content.
7. Please do not include advertisements, sponsored content, promotional material"&amp;"s, or any content unrelated to this game in the video.")</f>
        <v>We welcome submissions of video/audio links related to this game.
Currently, we are only accepting submissions to YouTube and Billboard.
If you only have the video file, you can submit it to me for uploading to YouTube.
(Author information will be included, but I will not be responsible for any subsequent issues or revenue/rights related to the video/audio file.)
For any inquiries, please contact the guide author: RORO (contact details can be found on the announcement page).
Due to AI translation issues, URLs cannot be embedded. Please click the Traditional Chinese link directly for the video/audio file.
Submission Rules:
1. If you only have a single video, please submit the title.
2. If you have multiple videos, please submit them on the designated channel to avoid an excessively long list.
3. Videos/information/comments containing any information related to piracy are prohibited.
4. Regarding fan-made content, backgrounds with songs, AI-generated content, etc., please be aware of copyright and platform regulations.
5. Please comply with platform rules; content with yellow tags, nudity, etc., is prohibited.
6. Please include subtitles when creating your content.
7. Please do not include advertisements, sponsored content, promotional materials, or any content unrelated to this game in the video.</v>
      </c>
      <c r="D1" s="409"/>
      <c r="E1" s="123"/>
      <c r="F1" s="123"/>
      <c r="G1" s="123"/>
      <c r="H1" s="123"/>
      <c r="I1" s="123"/>
      <c r="J1" s="123"/>
      <c r="K1" s="123"/>
      <c r="L1" s="123"/>
      <c r="M1" s="123"/>
      <c r="N1" s="123"/>
      <c r="O1" s="123"/>
      <c r="P1" s="123"/>
      <c r="Q1" s="123"/>
      <c r="R1" s="123"/>
      <c r="S1" s="123"/>
      <c r="T1" s="123"/>
      <c r="U1" s="123"/>
      <c r="V1" s="123"/>
      <c r="W1" s="123"/>
      <c r="X1" s="123"/>
      <c r="Y1" s="123"/>
      <c r="Z1" s="123"/>
    </row>
    <row r="2">
      <c r="A2" s="410" t="s">
        <v>6934</v>
      </c>
      <c r="B2" s="30" t="str">
        <f>IFERROR(__xludf.DUMMYFUNCTION("GOOGLETRANSLATE(A2,""zh-tw"",""ja"")"),"公式Discordグループ:
https://discord.gg/2Bt7RWknyH")</f>
        <v>公式Discordグループ:
https://discord.gg/2Bt7RWknyH</v>
      </c>
      <c r="C2" s="411" t="str">
        <f>IFERROR(__xludf.DUMMYFUNCTION("GOOGLETRANSLATE(A2,""zh-tw"",""en"")"),"Official Discord group:
https://discord.gg/2Bt7RWknyH")</f>
        <v>Official Discord group:
https://discord.gg/2Bt7RWknyH</v>
      </c>
      <c r="E2" s="123"/>
      <c r="F2" s="123"/>
      <c r="G2" s="123"/>
      <c r="H2" s="123"/>
      <c r="I2" s="123"/>
      <c r="J2" s="123"/>
      <c r="K2" s="123"/>
      <c r="L2" s="123"/>
      <c r="M2" s="123"/>
      <c r="N2" s="123"/>
      <c r="O2" s="123"/>
      <c r="P2" s="123"/>
      <c r="Q2" s="123"/>
      <c r="R2" s="123"/>
      <c r="S2" s="123"/>
      <c r="T2" s="123"/>
      <c r="U2" s="123"/>
      <c r="V2" s="123"/>
      <c r="W2" s="123"/>
      <c r="X2" s="123"/>
      <c r="Y2" s="123"/>
      <c r="Z2" s="123"/>
    </row>
    <row r="3">
      <c r="A3" s="412" t="s">
        <v>6935</v>
      </c>
      <c r="B3" s="30" t="s">
        <v>6935</v>
      </c>
      <c r="C3" s="411" t="s">
        <v>6935</v>
      </c>
      <c r="E3" s="123"/>
      <c r="F3" s="123"/>
      <c r="G3" s="123"/>
      <c r="H3" s="123"/>
      <c r="I3" s="123"/>
      <c r="J3" s="123"/>
      <c r="K3" s="123"/>
      <c r="L3" s="123"/>
      <c r="M3" s="123"/>
      <c r="N3" s="123"/>
      <c r="O3" s="123"/>
      <c r="P3" s="123"/>
      <c r="Q3" s="123"/>
      <c r="R3" s="123"/>
      <c r="S3" s="123"/>
      <c r="T3" s="123"/>
      <c r="U3" s="123"/>
      <c r="V3" s="123"/>
      <c r="W3" s="123"/>
      <c r="X3" s="123"/>
      <c r="Y3" s="123"/>
      <c r="Z3" s="123"/>
    </row>
    <row r="4">
      <c r="A4" s="413"/>
      <c r="E4" s="123"/>
      <c r="F4" s="123"/>
      <c r="G4" s="123"/>
      <c r="H4" s="123"/>
      <c r="I4" s="123"/>
      <c r="J4" s="123"/>
      <c r="K4" s="123"/>
      <c r="L4" s="123"/>
      <c r="M4" s="123"/>
      <c r="N4" s="123"/>
      <c r="O4" s="123"/>
      <c r="P4" s="123"/>
      <c r="Q4" s="123"/>
      <c r="R4" s="123"/>
      <c r="S4" s="123"/>
      <c r="T4" s="123"/>
      <c r="U4" s="123"/>
      <c r="V4" s="123"/>
      <c r="W4" s="123"/>
      <c r="X4" s="123"/>
      <c r="Y4" s="123"/>
      <c r="Z4" s="123"/>
    </row>
    <row r="5">
      <c r="A5" s="410" t="s">
        <v>6936</v>
      </c>
      <c r="B5" s="30" t="str">
        <f>IFERROR(__xludf.DUMMYFUNCTION("GOOGLETRANSLATE(A5,""zh-tw"",""ja"")"),"公式YouTubeチャンネル")</f>
        <v>公式YouTubeチャンネル</v>
      </c>
      <c r="C5" s="411" t="str">
        <f>IFERROR(__xludf.DUMMYFUNCTION("GOOGLETRANSLATE(A5,""zh-tw"",""en"")"),"Official YouTube channel")</f>
        <v>Official YouTube channel</v>
      </c>
      <c r="D5" s="143" t="s">
        <v>6937</v>
      </c>
      <c r="E5" s="123"/>
      <c r="F5" s="123"/>
      <c r="G5" s="123"/>
      <c r="H5" s="123"/>
      <c r="I5" s="123"/>
      <c r="J5" s="123"/>
      <c r="K5" s="123"/>
      <c r="L5" s="123"/>
      <c r="M5" s="123"/>
      <c r="N5" s="123"/>
      <c r="O5" s="123"/>
      <c r="P5" s="123"/>
      <c r="Q5" s="123"/>
      <c r="R5" s="123"/>
      <c r="S5" s="123"/>
      <c r="T5" s="123"/>
      <c r="U5" s="123"/>
      <c r="V5" s="123"/>
      <c r="W5" s="123"/>
      <c r="X5" s="123"/>
      <c r="Y5" s="123"/>
      <c r="Z5" s="123"/>
    </row>
    <row r="6">
      <c r="A6" s="410" t="s">
        <v>6938</v>
      </c>
      <c r="B6" s="30" t="str">
        <f>IFERROR(__xludf.DUMMYFUNCTION("GOOGLETRANSLATE(A6,""zh-tw"",""ja"")"),"公式法案")</f>
        <v>公式法案</v>
      </c>
      <c r="C6" s="411" t="str">
        <f>IFERROR(__xludf.DUMMYFUNCTION("GOOGLETRANSLATE(A6,""zh-tw"",""en"")"),"Official bill")</f>
        <v>Official bill</v>
      </c>
      <c r="D6" s="143" t="s">
        <v>6937</v>
      </c>
      <c r="E6" s="123"/>
      <c r="F6" s="123"/>
      <c r="G6" s="123"/>
      <c r="H6" s="123"/>
      <c r="I6" s="123"/>
      <c r="J6" s="123"/>
      <c r="K6" s="123"/>
      <c r="L6" s="123"/>
      <c r="M6" s="123"/>
      <c r="N6" s="123"/>
      <c r="O6" s="123"/>
      <c r="P6" s="123"/>
      <c r="Q6" s="123"/>
      <c r="R6" s="123"/>
      <c r="S6" s="123"/>
      <c r="T6" s="123"/>
      <c r="U6" s="123"/>
      <c r="V6" s="123"/>
      <c r="W6" s="123"/>
      <c r="X6" s="123"/>
      <c r="Y6" s="123"/>
      <c r="Z6" s="123"/>
    </row>
    <row r="7">
      <c r="A7" s="410" t="s">
        <v>6939</v>
      </c>
      <c r="B7" s="30" t="str">
        <f>IFERROR(__xludf.DUMMYFUNCTION("GOOGLETRANSLATE(A7,""zh-tw"",""ja"")"),"片桐亜希のYouTubeチャンネル
（妹の声優）")</f>
        <v>片桐亜希のYouTubeチャンネル
（妹の声優）</v>
      </c>
      <c r="C7" s="411" t="str">
        <f>IFERROR(__xludf.DUMMYFUNCTION("GOOGLETRANSLATE(A7,""zh-tw"",""en"")"),"Aki Katagiri's YouTube channel
(Voice actress for her younger sister)")</f>
        <v>Aki Katagiri's YouTube channel
(Voice actress for her younger sister)</v>
      </c>
      <c r="D7" s="143" t="s">
        <v>6940</v>
      </c>
      <c r="E7" s="123"/>
      <c r="F7" s="123"/>
      <c r="G7" s="123"/>
      <c r="H7" s="123"/>
      <c r="I7" s="123"/>
      <c r="J7" s="123"/>
      <c r="K7" s="123"/>
      <c r="L7" s="123"/>
      <c r="M7" s="123"/>
      <c r="N7" s="123"/>
      <c r="O7" s="123"/>
      <c r="P7" s="123"/>
      <c r="Q7" s="123"/>
      <c r="R7" s="123"/>
      <c r="S7" s="123"/>
      <c r="T7" s="123"/>
      <c r="U7" s="123"/>
      <c r="V7" s="123"/>
      <c r="W7" s="123"/>
      <c r="X7" s="123"/>
      <c r="Y7" s="123"/>
      <c r="Z7" s="123"/>
    </row>
    <row r="8">
      <c r="A8" s="410" t="s">
        <v>6941</v>
      </c>
      <c r="B8" s="30" t="str">
        <f>IFERROR(__xludf.DUMMYFUNCTION("GOOGLETRANSLATE(A8,""zh-tw"",""ja"")"),"片桐亜紀（ビルビルチャンネル）
（妹役の声優）")</f>
        <v>片桐亜紀（ビルビルチャンネル）
（妹役の声優）</v>
      </c>
      <c r="C8" s="411" t="str">
        <f>IFERROR(__xludf.DUMMYFUNCTION("GOOGLETRANSLATE(A8,""zh-tw"",""en"")"),"Aki Katagiri (bilbill channel)
(Voice actress for the younger sister)")</f>
        <v>Aki Katagiri (bilbill channel)
(Voice actress for the younger sister)</v>
      </c>
      <c r="D8" s="143" t="s">
        <v>6940</v>
      </c>
      <c r="E8" s="123"/>
      <c r="F8" s="123"/>
      <c r="G8" s="123"/>
      <c r="H8" s="123"/>
      <c r="I8" s="123"/>
      <c r="J8" s="123"/>
      <c r="K8" s="123"/>
      <c r="L8" s="123"/>
      <c r="M8" s="123"/>
      <c r="N8" s="123"/>
      <c r="O8" s="123"/>
      <c r="P8" s="123"/>
      <c r="Q8" s="123"/>
      <c r="R8" s="123"/>
      <c r="S8" s="123"/>
      <c r="T8" s="123"/>
      <c r="U8" s="123"/>
      <c r="V8" s="123"/>
      <c r="W8" s="123"/>
      <c r="X8" s="123"/>
      <c r="Y8" s="123"/>
      <c r="Z8" s="123"/>
    </row>
    <row r="9">
      <c r="A9" s="410" t="s">
        <v>6942</v>
      </c>
      <c r="B9" s="30" t="str">
        <f>IFERROR(__xludf.DUMMYFUNCTION("GOOGLETRANSLATE(A9,""zh-tw"",""ja"")"),"ROROのYouTubeチャンネル（攻略ガイド作成チャンネル、現在準備中、登録大歓迎）")</f>
        <v>ROROのYouTubeチャンネル（攻略ガイド作成チャンネル、現在準備中、登録大歓迎）</v>
      </c>
      <c r="C9" s="411" t="str">
        <f>IFERROR(__xludf.DUMMYFUNCTION("GOOGLETRANSLATE(A9,""zh-tw"",""en"")"),"RORO's YouTube channel (Strategy guide creator channel, currently in preparation, welcome to subscribe)")</f>
        <v>RORO's YouTube channel (Strategy guide creator channel, currently in preparation, welcome to subscribe)</v>
      </c>
      <c r="D9" s="143" t="s">
        <v>6943</v>
      </c>
      <c r="E9" s="123"/>
      <c r="F9" s="123"/>
      <c r="G9" s="123"/>
      <c r="H9" s="123"/>
      <c r="I9" s="123"/>
      <c r="J9" s="123"/>
      <c r="K9" s="123"/>
      <c r="L9" s="123"/>
      <c r="M9" s="123"/>
      <c r="N9" s="123"/>
      <c r="O9" s="123"/>
      <c r="P9" s="123"/>
      <c r="Q9" s="123"/>
      <c r="R9" s="123"/>
      <c r="S9" s="123"/>
      <c r="T9" s="123"/>
      <c r="U9" s="123"/>
      <c r="V9" s="123"/>
      <c r="W9" s="123"/>
      <c r="X9" s="123"/>
      <c r="Y9" s="123"/>
      <c r="Z9" s="123"/>
    </row>
    <row r="10">
      <c r="A10" s="413"/>
      <c r="E10" s="123"/>
      <c r="F10" s="123"/>
      <c r="G10" s="123"/>
      <c r="H10" s="123"/>
      <c r="I10" s="123"/>
      <c r="J10" s="123"/>
      <c r="K10" s="123"/>
      <c r="L10" s="123"/>
      <c r="M10" s="123"/>
      <c r="N10" s="123"/>
      <c r="O10" s="123"/>
      <c r="P10" s="123"/>
      <c r="Q10" s="123"/>
      <c r="R10" s="123"/>
      <c r="S10" s="123"/>
      <c r="T10" s="123"/>
      <c r="U10" s="123"/>
      <c r="V10" s="123"/>
      <c r="W10" s="123"/>
      <c r="X10" s="123"/>
      <c r="Y10" s="123"/>
      <c r="Z10" s="123"/>
    </row>
    <row r="11">
      <c r="A11" s="414" t="s">
        <v>6944</v>
      </c>
      <c r="B11" s="30" t="str">
        <f>IFERROR(__xludf.DUMMYFUNCTION("GOOGLETRANSLATE(A11,""zh-tw"",""ja"")"),"プレイヤーの投稿（準備中、投稿は大歓迎です）")</f>
        <v>プレイヤーの投稿（準備中、投稿は大歓迎です）</v>
      </c>
      <c r="C11" s="411" t="str">
        <f>IFERROR(__xludf.DUMMYFUNCTION("GOOGLETRANSLATE(A11,""zh-tw"",""en"")"),"Player submissions (in preparation, submissions are welcome)")</f>
        <v>Player submissions (in preparation, submissions are welcome)</v>
      </c>
      <c r="D11" s="415" t="s">
        <v>6945</v>
      </c>
      <c r="E11" s="123"/>
      <c r="F11" s="123"/>
      <c r="G11" s="123"/>
      <c r="H11" s="123"/>
      <c r="I11" s="123"/>
      <c r="J11" s="123"/>
      <c r="K11" s="123"/>
      <c r="L11" s="123"/>
      <c r="M11" s="123"/>
      <c r="N11" s="123"/>
      <c r="O11" s="123"/>
      <c r="P11" s="123"/>
      <c r="Q11" s="123"/>
      <c r="R11" s="123"/>
      <c r="S11" s="123"/>
      <c r="T11" s="123"/>
      <c r="U11" s="123"/>
      <c r="V11" s="123"/>
      <c r="W11" s="123"/>
      <c r="X11" s="123"/>
      <c r="Y11" s="123"/>
      <c r="Z11" s="123"/>
    </row>
    <row r="12">
      <c r="A12" s="416"/>
      <c r="B12" s="134"/>
      <c r="C12" s="417"/>
      <c r="D12" s="418"/>
      <c r="E12" s="123"/>
      <c r="F12" s="123"/>
      <c r="G12" s="123"/>
      <c r="H12" s="123"/>
      <c r="I12" s="123"/>
      <c r="J12" s="123"/>
      <c r="K12" s="123"/>
      <c r="L12" s="123"/>
      <c r="M12" s="123"/>
      <c r="N12" s="123"/>
      <c r="O12" s="123"/>
      <c r="P12" s="123"/>
      <c r="Q12" s="123"/>
      <c r="R12" s="123"/>
      <c r="S12" s="123"/>
      <c r="T12" s="123"/>
      <c r="U12" s="123"/>
      <c r="V12" s="123"/>
      <c r="W12" s="123"/>
      <c r="X12" s="123"/>
      <c r="Y12" s="123"/>
      <c r="Z12" s="123"/>
    </row>
    <row r="13">
      <c r="A13" s="416"/>
      <c r="B13" s="134"/>
      <c r="C13" s="417"/>
      <c r="D13" s="418"/>
      <c r="E13" s="123"/>
      <c r="F13" s="123"/>
      <c r="G13" s="123"/>
      <c r="H13" s="123"/>
      <c r="I13" s="123"/>
      <c r="J13" s="123"/>
      <c r="K13" s="123"/>
      <c r="L13" s="123"/>
      <c r="M13" s="123"/>
      <c r="N13" s="123"/>
      <c r="O13" s="123"/>
      <c r="P13" s="123"/>
      <c r="Q13" s="123"/>
      <c r="R13" s="123"/>
      <c r="S13" s="123"/>
      <c r="T13" s="123"/>
      <c r="U13" s="123"/>
      <c r="V13" s="123"/>
      <c r="W13" s="123"/>
      <c r="X13" s="123"/>
      <c r="Y13" s="123"/>
      <c r="Z13" s="123"/>
    </row>
    <row r="14">
      <c r="A14" s="416"/>
      <c r="B14" s="134"/>
      <c r="C14" s="417"/>
      <c r="D14" s="418"/>
      <c r="E14" s="123"/>
      <c r="F14" s="123"/>
      <c r="G14" s="123"/>
      <c r="H14" s="123"/>
      <c r="I14" s="123"/>
      <c r="J14" s="123"/>
      <c r="K14" s="123"/>
      <c r="L14" s="123"/>
      <c r="M14" s="123"/>
      <c r="N14" s="123"/>
      <c r="O14" s="123"/>
      <c r="P14" s="123"/>
      <c r="Q14" s="123"/>
      <c r="R14" s="123"/>
      <c r="S14" s="123"/>
      <c r="T14" s="123"/>
      <c r="U14" s="123"/>
      <c r="V14" s="123"/>
      <c r="W14" s="123"/>
      <c r="X14" s="123"/>
      <c r="Y14" s="123"/>
      <c r="Z14" s="123"/>
    </row>
    <row r="15">
      <c r="A15" s="416"/>
      <c r="B15" s="134"/>
      <c r="C15" s="417"/>
      <c r="D15" s="418"/>
      <c r="E15" s="123"/>
      <c r="F15" s="123"/>
      <c r="G15" s="123"/>
      <c r="H15" s="123"/>
      <c r="I15" s="123"/>
      <c r="J15" s="123"/>
      <c r="K15" s="123"/>
      <c r="L15" s="123"/>
      <c r="M15" s="123"/>
      <c r="N15" s="123"/>
      <c r="O15" s="123"/>
      <c r="P15" s="123"/>
      <c r="Q15" s="123"/>
      <c r="R15" s="123"/>
      <c r="S15" s="123"/>
      <c r="T15" s="123"/>
      <c r="U15" s="123"/>
      <c r="V15" s="123"/>
      <c r="W15" s="123"/>
      <c r="X15" s="123"/>
      <c r="Y15" s="123"/>
      <c r="Z15" s="123"/>
    </row>
    <row r="16">
      <c r="A16" s="416"/>
      <c r="B16" s="134"/>
      <c r="C16" s="417"/>
      <c r="D16" s="418"/>
      <c r="E16" s="123"/>
      <c r="F16" s="123"/>
      <c r="G16" s="123"/>
      <c r="H16" s="123"/>
      <c r="I16" s="123"/>
      <c r="J16" s="123"/>
      <c r="K16" s="123"/>
      <c r="L16" s="123"/>
      <c r="M16" s="123"/>
      <c r="N16" s="123"/>
      <c r="O16" s="123"/>
      <c r="P16" s="123"/>
      <c r="Q16" s="123"/>
      <c r="R16" s="123"/>
      <c r="S16" s="123"/>
      <c r="T16" s="123"/>
      <c r="U16" s="123"/>
      <c r="V16" s="123"/>
      <c r="W16" s="123"/>
      <c r="X16" s="123"/>
      <c r="Y16" s="123"/>
      <c r="Z16" s="123"/>
    </row>
    <row r="17">
      <c r="A17" s="416"/>
      <c r="B17" s="134"/>
      <c r="C17" s="417"/>
      <c r="D17" s="418"/>
      <c r="E17" s="123"/>
      <c r="F17" s="123"/>
      <c r="G17" s="123"/>
      <c r="H17" s="123"/>
      <c r="I17" s="123"/>
      <c r="J17" s="123"/>
      <c r="K17" s="123"/>
      <c r="L17" s="123"/>
      <c r="M17" s="123"/>
      <c r="N17" s="123"/>
      <c r="O17" s="123"/>
      <c r="P17" s="123"/>
      <c r="Q17" s="123"/>
      <c r="R17" s="123"/>
      <c r="S17" s="123"/>
      <c r="T17" s="123"/>
      <c r="U17" s="123"/>
      <c r="V17" s="123"/>
      <c r="W17" s="123"/>
      <c r="X17" s="123"/>
      <c r="Y17" s="123"/>
      <c r="Z17" s="123"/>
    </row>
    <row r="18">
      <c r="A18" s="416"/>
      <c r="B18" s="134"/>
      <c r="C18" s="417"/>
      <c r="D18" s="418"/>
      <c r="E18" s="123"/>
      <c r="F18" s="123"/>
      <c r="G18" s="123"/>
      <c r="H18" s="123"/>
      <c r="I18" s="123"/>
      <c r="J18" s="123"/>
      <c r="K18" s="123"/>
      <c r="L18" s="123"/>
      <c r="M18" s="123"/>
      <c r="N18" s="123"/>
      <c r="O18" s="123"/>
      <c r="P18" s="123"/>
      <c r="Q18" s="123"/>
      <c r="R18" s="123"/>
      <c r="S18" s="123"/>
      <c r="T18" s="123"/>
      <c r="U18" s="123"/>
      <c r="V18" s="123"/>
      <c r="W18" s="123"/>
      <c r="X18" s="123"/>
      <c r="Y18" s="123"/>
      <c r="Z18" s="123"/>
    </row>
    <row r="19">
      <c r="A19" s="416"/>
      <c r="B19" s="134"/>
      <c r="C19" s="417"/>
      <c r="D19" s="418"/>
      <c r="E19" s="123"/>
      <c r="F19" s="123"/>
      <c r="G19" s="123"/>
      <c r="H19" s="123"/>
      <c r="I19" s="123"/>
      <c r="J19" s="123"/>
      <c r="K19" s="123"/>
      <c r="L19" s="123"/>
      <c r="M19" s="123"/>
      <c r="N19" s="123"/>
      <c r="O19" s="123"/>
      <c r="P19" s="123"/>
      <c r="Q19" s="123"/>
      <c r="R19" s="123"/>
      <c r="S19" s="123"/>
      <c r="T19" s="123"/>
      <c r="U19" s="123"/>
      <c r="V19" s="123"/>
      <c r="W19" s="123"/>
      <c r="X19" s="123"/>
      <c r="Y19" s="123"/>
      <c r="Z19" s="123"/>
    </row>
    <row r="20">
      <c r="A20" s="416"/>
      <c r="B20" s="134"/>
      <c r="C20" s="417"/>
      <c r="D20" s="418"/>
      <c r="E20" s="123"/>
      <c r="F20" s="123"/>
      <c r="G20" s="123"/>
      <c r="H20" s="123"/>
      <c r="I20" s="123"/>
      <c r="J20" s="123"/>
      <c r="K20" s="123"/>
      <c r="L20" s="123"/>
      <c r="M20" s="123"/>
      <c r="N20" s="123"/>
      <c r="O20" s="123"/>
      <c r="P20" s="123"/>
      <c r="Q20" s="123"/>
      <c r="R20" s="123"/>
      <c r="S20" s="123"/>
      <c r="T20" s="123"/>
      <c r="U20" s="123"/>
      <c r="V20" s="123"/>
      <c r="W20" s="123"/>
      <c r="X20" s="123"/>
      <c r="Y20" s="123"/>
      <c r="Z20" s="123"/>
    </row>
    <row r="21">
      <c r="A21" s="416"/>
      <c r="B21" s="134"/>
      <c r="C21" s="417"/>
      <c r="D21" s="418"/>
      <c r="E21" s="123"/>
      <c r="F21" s="123"/>
      <c r="G21" s="123"/>
      <c r="H21" s="123"/>
      <c r="I21" s="123"/>
      <c r="J21" s="123"/>
      <c r="K21" s="123"/>
      <c r="L21" s="123"/>
      <c r="M21" s="123"/>
      <c r="N21" s="123"/>
      <c r="O21" s="123"/>
      <c r="P21" s="123"/>
      <c r="Q21" s="123"/>
      <c r="R21" s="123"/>
      <c r="S21" s="123"/>
      <c r="T21" s="123"/>
      <c r="U21" s="123"/>
      <c r="V21" s="123"/>
      <c r="W21" s="123"/>
      <c r="X21" s="123"/>
      <c r="Y21" s="123"/>
      <c r="Z21" s="123"/>
    </row>
    <row r="22">
      <c r="A22" s="416"/>
      <c r="B22" s="134"/>
      <c r="C22" s="417"/>
      <c r="D22" s="418"/>
      <c r="E22" s="123"/>
      <c r="F22" s="123"/>
      <c r="G22" s="123"/>
      <c r="H22" s="123"/>
      <c r="I22" s="123"/>
      <c r="J22" s="123"/>
      <c r="K22" s="123"/>
      <c r="L22" s="123"/>
      <c r="M22" s="123"/>
      <c r="N22" s="123"/>
      <c r="O22" s="123"/>
      <c r="P22" s="123"/>
      <c r="Q22" s="123"/>
      <c r="R22" s="123"/>
      <c r="S22" s="123"/>
      <c r="T22" s="123"/>
      <c r="U22" s="123"/>
      <c r="V22" s="123"/>
      <c r="W22" s="123"/>
      <c r="X22" s="123"/>
      <c r="Y22" s="123"/>
      <c r="Z22" s="123"/>
    </row>
    <row r="23">
      <c r="A23" s="416"/>
      <c r="B23" s="134"/>
      <c r="C23" s="417"/>
      <c r="D23" s="418"/>
      <c r="E23" s="123"/>
      <c r="F23" s="123"/>
      <c r="G23" s="123"/>
      <c r="H23" s="123"/>
      <c r="I23" s="123"/>
      <c r="J23" s="123"/>
      <c r="K23" s="123"/>
      <c r="L23" s="123"/>
      <c r="M23" s="123"/>
      <c r="N23" s="123"/>
      <c r="O23" s="123"/>
      <c r="P23" s="123"/>
      <c r="Q23" s="123"/>
      <c r="R23" s="123"/>
      <c r="S23" s="123"/>
      <c r="T23" s="123"/>
      <c r="U23" s="123"/>
      <c r="V23" s="123"/>
      <c r="W23" s="123"/>
      <c r="X23" s="123"/>
      <c r="Y23" s="123"/>
      <c r="Z23" s="123"/>
    </row>
    <row r="24">
      <c r="A24" s="416"/>
      <c r="B24" s="134"/>
      <c r="C24" s="417"/>
      <c r="D24" s="418"/>
      <c r="E24" s="123"/>
      <c r="F24" s="123"/>
      <c r="G24" s="123"/>
      <c r="H24" s="123"/>
      <c r="I24" s="123"/>
      <c r="J24" s="123"/>
      <c r="K24" s="123"/>
      <c r="L24" s="123"/>
      <c r="M24" s="123"/>
      <c r="N24" s="123"/>
      <c r="O24" s="123"/>
      <c r="P24" s="123"/>
      <c r="Q24" s="123"/>
      <c r="R24" s="123"/>
      <c r="S24" s="123"/>
      <c r="T24" s="123"/>
      <c r="U24" s="123"/>
      <c r="V24" s="123"/>
      <c r="W24" s="123"/>
      <c r="X24" s="123"/>
      <c r="Y24" s="123"/>
      <c r="Z24" s="123"/>
    </row>
    <row r="25">
      <c r="A25" s="416"/>
      <c r="B25" s="134"/>
      <c r="C25" s="417"/>
      <c r="D25" s="418"/>
      <c r="E25" s="123"/>
      <c r="F25" s="123"/>
      <c r="G25" s="123"/>
      <c r="H25" s="123"/>
      <c r="I25" s="123"/>
      <c r="J25" s="123"/>
      <c r="K25" s="123"/>
      <c r="L25" s="123"/>
      <c r="M25" s="123"/>
      <c r="N25" s="123"/>
      <c r="O25" s="123"/>
      <c r="P25" s="123"/>
      <c r="Q25" s="123"/>
      <c r="R25" s="123"/>
      <c r="S25" s="123"/>
      <c r="T25" s="123"/>
      <c r="U25" s="123"/>
      <c r="V25" s="123"/>
      <c r="W25" s="123"/>
      <c r="X25" s="123"/>
      <c r="Y25" s="123"/>
      <c r="Z25" s="123"/>
    </row>
    <row r="26">
      <c r="A26" s="416"/>
      <c r="B26" s="134"/>
      <c r="C26" s="417"/>
      <c r="D26" s="418"/>
      <c r="E26" s="123"/>
      <c r="F26" s="123"/>
      <c r="G26" s="123"/>
      <c r="H26" s="123"/>
      <c r="I26" s="123"/>
      <c r="J26" s="123"/>
      <c r="K26" s="123"/>
      <c r="L26" s="123"/>
      <c r="M26" s="123"/>
      <c r="N26" s="123"/>
      <c r="O26" s="123"/>
      <c r="P26" s="123"/>
      <c r="Q26" s="123"/>
      <c r="R26" s="123"/>
      <c r="S26" s="123"/>
      <c r="T26" s="123"/>
      <c r="U26" s="123"/>
      <c r="V26" s="123"/>
      <c r="W26" s="123"/>
      <c r="X26" s="123"/>
      <c r="Y26" s="123"/>
      <c r="Z26" s="123"/>
    </row>
    <row r="27">
      <c r="A27" s="416"/>
      <c r="B27" s="134"/>
      <c r="C27" s="417"/>
      <c r="D27" s="418"/>
      <c r="E27" s="123"/>
      <c r="F27" s="123"/>
      <c r="G27" s="123"/>
      <c r="H27" s="123"/>
      <c r="I27" s="123"/>
      <c r="J27" s="123"/>
      <c r="K27" s="123"/>
      <c r="L27" s="123"/>
      <c r="M27" s="123"/>
      <c r="N27" s="123"/>
      <c r="O27" s="123"/>
      <c r="P27" s="123"/>
      <c r="Q27" s="123"/>
      <c r="R27" s="123"/>
      <c r="S27" s="123"/>
      <c r="T27" s="123"/>
      <c r="U27" s="123"/>
      <c r="V27" s="123"/>
      <c r="W27" s="123"/>
      <c r="X27" s="123"/>
      <c r="Y27" s="123"/>
      <c r="Z27" s="123"/>
    </row>
    <row r="28">
      <c r="A28" s="416"/>
      <c r="B28" s="134"/>
      <c r="C28" s="417"/>
      <c r="D28" s="418"/>
      <c r="E28" s="123"/>
      <c r="F28" s="123"/>
      <c r="G28" s="123"/>
      <c r="H28" s="123"/>
      <c r="I28" s="123"/>
      <c r="J28" s="123"/>
      <c r="K28" s="123"/>
      <c r="L28" s="123"/>
      <c r="M28" s="123"/>
      <c r="N28" s="123"/>
      <c r="O28" s="123"/>
      <c r="P28" s="123"/>
      <c r="Q28" s="123"/>
      <c r="R28" s="123"/>
      <c r="S28" s="123"/>
      <c r="T28" s="123"/>
      <c r="U28" s="123"/>
      <c r="V28" s="123"/>
      <c r="W28" s="123"/>
      <c r="X28" s="123"/>
      <c r="Y28" s="123"/>
      <c r="Z28" s="123"/>
    </row>
    <row r="29">
      <c r="A29" s="416"/>
      <c r="B29" s="134"/>
      <c r="C29" s="417"/>
      <c r="D29" s="418"/>
      <c r="E29" s="123"/>
      <c r="F29" s="123"/>
      <c r="G29" s="123"/>
      <c r="H29" s="123"/>
      <c r="I29" s="123"/>
      <c r="J29" s="123"/>
      <c r="K29" s="123"/>
      <c r="L29" s="123"/>
      <c r="M29" s="123"/>
      <c r="N29" s="123"/>
      <c r="O29" s="123"/>
      <c r="P29" s="123"/>
      <c r="Q29" s="123"/>
      <c r="R29" s="123"/>
      <c r="S29" s="123"/>
      <c r="T29" s="123"/>
      <c r="U29" s="123"/>
      <c r="V29" s="123"/>
      <c r="W29" s="123"/>
      <c r="X29" s="123"/>
      <c r="Y29" s="123"/>
      <c r="Z29" s="123"/>
    </row>
    <row r="30">
      <c r="A30" s="416"/>
      <c r="B30" s="134"/>
      <c r="C30" s="417"/>
      <c r="D30" s="418"/>
      <c r="E30" s="123"/>
      <c r="F30" s="123"/>
      <c r="G30" s="123"/>
      <c r="H30" s="123"/>
      <c r="I30" s="123"/>
      <c r="J30" s="123"/>
      <c r="K30" s="123"/>
      <c r="L30" s="123"/>
      <c r="M30" s="123"/>
      <c r="N30" s="123"/>
      <c r="O30" s="123"/>
      <c r="P30" s="123"/>
      <c r="Q30" s="123"/>
      <c r="R30" s="123"/>
      <c r="S30" s="123"/>
      <c r="T30" s="123"/>
      <c r="U30" s="123"/>
      <c r="V30" s="123"/>
      <c r="W30" s="123"/>
      <c r="X30" s="123"/>
      <c r="Y30" s="123"/>
      <c r="Z30" s="123"/>
    </row>
    <row r="31">
      <c r="A31" s="416"/>
      <c r="B31" s="134"/>
      <c r="C31" s="417"/>
      <c r="D31" s="418"/>
      <c r="E31" s="123"/>
      <c r="F31" s="123"/>
      <c r="G31" s="123"/>
      <c r="H31" s="123"/>
      <c r="I31" s="123"/>
      <c r="J31" s="123"/>
      <c r="K31" s="123"/>
      <c r="L31" s="123"/>
      <c r="M31" s="123"/>
      <c r="N31" s="123"/>
      <c r="O31" s="123"/>
      <c r="P31" s="123"/>
      <c r="Q31" s="123"/>
      <c r="R31" s="123"/>
      <c r="S31" s="123"/>
      <c r="T31" s="123"/>
      <c r="U31" s="123"/>
      <c r="V31" s="123"/>
      <c r="W31" s="123"/>
      <c r="X31" s="123"/>
      <c r="Y31" s="123"/>
      <c r="Z31" s="123"/>
    </row>
    <row r="32">
      <c r="A32" s="416"/>
      <c r="B32" s="134"/>
      <c r="C32" s="417"/>
      <c r="D32" s="418"/>
      <c r="E32" s="123"/>
      <c r="F32" s="123"/>
      <c r="G32" s="123"/>
      <c r="H32" s="123"/>
      <c r="I32" s="123"/>
      <c r="J32" s="123"/>
      <c r="K32" s="123"/>
      <c r="L32" s="123"/>
      <c r="M32" s="123"/>
      <c r="N32" s="123"/>
      <c r="O32" s="123"/>
      <c r="P32" s="123"/>
      <c r="Q32" s="123"/>
      <c r="R32" s="123"/>
      <c r="S32" s="123"/>
      <c r="T32" s="123"/>
      <c r="U32" s="123"/>
      <c r="V32" s="123"/>
      <c r="W32" s="123"/>
      <c r="X32" s="123"/>
      <c r="Y32" s="123"/>
      <c r="Z32" s="123"/>
    </row>
    <row r="33">
      <c r="A33" s="416"/>
      <c r="B33" s="134"/>
      <c r="C33" s="417"/>
      <c r="D33" s="418"/>
      <c r="E33" s="123"/>
      <c r="F33" s="123"/>
      <c r="G33" s="123"/>
      <c r="H33" s="123"/>
      <c r="I33" s="123"/>
      <c r="J33" s="123"/>
      <c r="K33" s="123"/>
      <c r="L33" s="123"/>
      <c r="M33" s="123"/>
      <c r="N33" s="123"/>
      <c r="O33" s="123"/>
      <c r="P33" s="123"/>
      <c r="Q33" s="123"/>
      <c r="R33" s="123"/>
      <c r="S33" s="123"/>
      <c r="T33" s="123"/>
      <c r="U33" s="123"/>
      <c r="V33" s="123"/>
      <c r="W33" s="123"/>
      <c r="X33" s="123"/>
      <c r="Y33" s="123"/>
      <c r="Z33" s="123"/>
    </row>
    <row r="34">
      <c r="A34" s="416"/>
      <c r="B34" s="134"/>
      <c r="C34" s="417"/>
      <c r="D34" s="418"/>
      <c r="E34" s="123"/>
      <c r="F34" s="123"/>
      <c r="G34" s="123"/>
      <c r="H34" s="123"/>
      <c r="I34" s="123"/>
      <c r="J34" s="123"/>
      <c r="K34" s="123"/>
      <c r="L34" s="123"/>
      <c r="M34" s="123"/>
      <c r="N34" s="123"/>
      <c r="O34" s="123"/>
      <c r="P34" s="123"/>
      <c r="Q34" s="123"/>
      <c r="R34" s="123"/>
      <c r="S34" s="123"/>
      <c r="T34" s="123"/>
      <c r="U34" s="123"/>
      <c r="V34" s="123"/>
      <c r="W34" s="123"/>
      <c r="X34" s="123"/>
      <c r="Y34" s="123"/>
      <c r="Z34" s="123"/>
    </row>
    <row r="35">
      <c r="A35" s="416"/>
      <c r="B35" s="134"/>
      <c r="C35" s="417"/>
      <c r="D35" s="418"/>
      <c r="E35" s="123"/>
      <c r="F35" s="123"/>
      <c r="G35" s="123"/>
      <c r="H35" s="123"/>
      <c r="I35" s="123"/>
      <c r="J35" s="123"/>
      <c r="K35" s="123"/>
      <c r="L35" s="123"/>
      <c r="M35" s="123"/>
      <c r="N35" s="123"/>
      <c r="O35" s="123"/>
      <c r="P35" s="123"/>
      <c r="Q35" s="123"/>
      <c r="R35" s="123"/>
      <c r="S35" s="123"/>
      <c r="T35" s="123"/>
      <c r="U35" s="123"/>
      <c r="V35" s="123"/>
      <c r="W35" s="123"/>
      <c r="X35" s="123"/>
      <c r="Y35" s="123"/>
      <c r="Z35" s="123"/>
    </row>
    <row r="36">
      <c r="A36" s="416"/>
      <c r="B36" s="134"/>
      <c r="C36" s="417"/>
      <c r="D36" s="418"/>
      <c r="E36" s="123"/>
      <c r="F36" s="123"/>
      <c r="G36" s="123"/>
      <c r="H36" s="123"/>
      <c r="I36" s="123"/>
      <c r="J36" s="123"/>
      <c r="K36" s="123"/>
      <c r="L36" s="123"/>
      <c r="M36" s="123"/>
      <c r="N36" s="123"/>
      <c r="O36" s="123"/>
      <c r="P36" s="123"/>
      <c r="Q36" s="123"/>
      <c r="R36" s="123"/>
      <c r="S36" s="123"/>
      <c r="T36" s="123"/>
      <c r="U36" s="123"/>
      <c r="V36" s="123"/>
      <c r="W36" s="123"/>
      <c r="X36" s="123"/>
      <c r="Y36" s="123"/>
      <c r="Z36" s="123"/>
    </row>
    <row r="37">
      <c r="A37" s="416"/>
      <c r="B37" s="134"/>
      <c r="C37" s="417"/>
      <c r="D37" s="418"/>
      <c r="E37" s="123"/>
      <c r="F37" s="123"/>
      <c r="G37" s="123"/>
      <c r="H37" s="123"/>
      <c r="I37" s="123"/>
      <c r="J37" s="123"/>
      <c r="K37" s="123"/>
      <c r="L37" s="123"/>
      <c r="M37" s="123"/>
      <c r="N37" s="123"/>
      <c r="O37" s="123"/>
      <c r="P37" s="123"/>
      <c r="Q37" s="123"/>
      <c r="R37" s="123"/>
      <c r="S37" s="123"/>
      <c r="T37" s="123"/>
      <c r="U37" s="123"/>
      <c r="V37" s="123"/>
      <c r="W37" s="123"/>
      <c r="X37" s="123"/>
      <c r="Y37" s="123"/>
      <c r="Z37" s="123"/>
    </row>
    <row r="38">
      <c r="A38" s="416"/>
      <c r="B38" s="134"/>
      <c r="C38" s="417"/>
      <c r="D38" s="418"/>
      <c r="E38" s="123"/>
      <c r="F38" s="123"/>
      <c r="G38" s="123"/>
      <c r="H38" s="123"/>
      <c r="I38" s="123"/>
      <c r="J38" s="123"/>
      <c r="K38" s="123"/>
      <c r="L38" s="123"/>
      <c r="M38" s="123"/>
      <c r="N38" s="123"/>
      <c r="O38" s="123"/>
      <c r="P38" s="123"/>
      <c r="Q38" s="123"/>
      <c r="R38" s="123"/>
      <c r="S38" s="123"/>
      <c r="T38" s="123"/>
      <c r="U38" s="123"/>
      <c r="V38" s="123"/>
      <c r="W38" s="123"/>
      <c r="X38" s="123"/>
      <c r="Y38" s="123"/>
      <c r="Z38" s="123"/>
    </row>
    <row r="39">
      <c r="A39" s="416"/>
      <c r="B39" s="134"/>
      <c r="C39" s="417"/>
      <c r="D39" s="418"/>
      <c r="E39" s="123"/>
      <c r="F39" s="123"/>
      <c r="G39" s="123"/>
      <c r="H39" s="123"/>
      <c r="I39" s="123"/>
      <c r="J39" s="123"/>
      <c r="K39" s="123"/>
      <c r="L39" s="123"/>
      <c r="M39" s="123"/>
      <c r="N39" s="123"/>
      <c r="O39" s="123"/>
      <c r="P39" s="123"/>
      <c r="Q39" s="123"/>
      <c r="R39" s="123"/>
      <c r="S39" s="123"/>
      <c r="T39" s="123"/>
      <c r="U39" s="123"/>
      <c r="V39" s="123"/>
      <c r="W39" s="123"/>
      <c r="X39" s="123"/>
      <c r="Y39" s="123"/>
      <c r="Z39" s="123"/>
    </row>
    <row r="40">
      <c r="A40" s="416"/>
      <c r="B40" s="134"/>
      <c r="C40" s="417"/>
      <c r="D40" s="418"/>
      <c r="E40" s="123"/>
      <c r="F40" s="123"/>
      <c r="G40" s="123"/>
      <c r="H40" s="123"/>
      <c r="I40" s="123"/>
      <c r="J40" s="123"/>
      <c r="K40" s="123"/>
      <c r="L40" s="123"/>
      <c r="M40" s="123"/>
      <c r="N40" s="123"/>
      <c r="O40" s="123"/>
      <c r="P40" s="123"/>
      <c r="Q40" s="123"/>
      <c r="R40" s="123"/>
      <c r="S40" s="123"/>
      <c r="T40" s="123"/>
      <c r="U40" s="123"/>
      <c r="V40" s="123"/>
      <c r="W40" s="123"/>
      <c r="X40" s="123"/>
      <c r="Y40" s="123"/>
      <c r="Z40" s="123"/>
    </row>
    <row r="41">
      <c r="A41" s="416"/>
      <c r="B41" s="134"/>
      <c r="C41" s="417"/>
      <c r="D41" s="418"/>
      <c r="E41" s="123"/>
      <c r="F41" s="123"/>
      <c r="G41" s="123"/>
      <c r="H41" s="123"/>
      <c r="I41" s="123"/>
      <c r="J41" s="123"/>
      <c r="K41" s="123"/>
      <c r="L41" s="123"/>
      <c r="M41" s="123"/>
      <c r="N41" s="123"/>
      <c r="O41" s="123"/>
      <c r="P41" s="123"/>
      <c r="Q41" s="123"/>
      <c r="R41" s="123"/>
      <c r="S41" s="123"/>
      <c r="T41" s="123"/>
      <c r="U41" s="123"/>
      <c r="V41" s="123"/>
      <c r="W41" s="123"/>
      <c r="X41" s="123"/>
      <c r="Y41" s="123"/>
      <c r="Z41" s="123"/>
    </row>
    <row r="42">
      <c r="A42" s="416"/>
      <c r="B42" s="134"/>
      <c r="C42" s="417"/>
      <c r="D42" s="418"/>
      <c r="E42" s="123"/>
      <c r="F42" s="123"/>
      <c r="G42" s="123"/>
      <c r="H42" s="123"/>
      <c r="I42" s="123"/>
      <c r="J42" s="123"/>
      <c r="K42" s="123"/>
      <c r="L42" s="123"/>
      <c r="M42" s="123"/>
      <c r="N42" s="123"/>
      <c r="O42" s="123"/>
      <c r="P42" s="123"/>
      <c r="Q42" s="123"/>
      <c r="R42" s="123"/>
      <c r="S42" s="123"/>
      <c r="T42" s="123"/>
      <c r="U42" s="123"/>
      <c r="V42" s="123"/>
      <c r="W42" s="123"/>
      <c r="X42" s="123"/>
      <c r="Y42" s="123"/>
      <c r="Z42" s="123"/>
    </row>
    <row r="43">
      <c r="A43" s="416"/>
      <c r="B43" s="134"/>
      <c r="C43" s="417"/>
      <c r="D43" s="418"/>
      <c r="E43" s="123"/>
      <c r="F43" s="123"/>
      <c r="G43" s="123"/>
      <c r="H43" s="123"/>
      <c r="I43" s="123"/>
      <c r="J43" s="123"/>
      <c r="K43" s="123"/>
      <c r="L43" s="123"/>
      <c r="M43" s="123"/>
      <c r="N43" s="123"/>
      <c r="O43" s="123"/>
      <c r="P43" s="123"/>
      <c r="Q43" s="123"/>
      <c r="R43" s="123"/>
      <c r="S43" s="123"/>
      <c r="T43" s="123"/>
      <c r="U43" s="123"/>
      <c r="V43" s="123"/>
      <c r="W43" s="123"/>
      <c r="X43" s="123"/>
      <c r="Y43" s="123"/>
      <c r="Z43" s="123"/>
    </row>
    <row r="44">
      <c r="A44" s="416"/>
      <c r="B44" s="134"/>
      <c r="C44" s="417"/>
      <c r="D44" s="418"/>
      <c r="E44" s="123"/>
      <c r="F44" s="123"/>
      <c r="G44" s="123"/>
      <c r="H44" s="123"/>
      <c r="I44" s="123"/>
      <c r="J44" s="123"/>
      <c r="K44" s="123"/>
      <c r="L44" s="123"/>
      <c r="M44" s="123"/>
      <c r="N44" s="123"/>
      <c r="O44" s="123"/>
      <c r="P44" s="123"/>
      <c r="Q44" s="123"/>
      <c r="R44" s="123"/>
      <c r="S44" s="123"/>
      <c r="T44" s="123"/>
      <c r="U44" s="123"/>
      <c r="V44" s="123"/>
      <c r="W44" s="123"/>
      <c r="X44" s="123"/>
      <c r="Y44" s="123"/>
      <c r="Z44" s="123"/>
    </row>
    <row r="45">
      <c r="A45" s="416"/>
      <c r="B45" s="134"/>
      <c r="C45" s="417"/>
      <c r="D45" s="418"/>
      <c r="E45" s="123"/>
      <c r="F45" s="123"/>
      <c r="G45" s="123"/>
      <c r="H45" s="123"/>
      <c r="I45" s="123"/>
      <c r="J45" s="123"/>
      <c r="K45" s="123"/>
      <c r="L45" s="123"/>
      <c r="M45" s="123"/>
      <c r="N45" s="123"/>
      <c r="O45" s="123"/>
      <c r="P45" s="123"/>
      <c r="Q45" s="123"/>
      <c r="R45" s="123"/>
      <c r="S45" s="123"/>
      <c r="T45" s="123"/>
      <c r="U45" s="123"/>
      <c r="V45" s="123"/>
      <c r="W45" s="123"/>
      <c r="X45" s="123"/>
      <c r="Y45" s="123"/>
      <c r="Z45" s="123"/>
    </row>
    <row r="46">
      <c r="A46" s="416"/>
      <c r="B46" s="134"/>
      <c r="C46" s="417"/>
      <c r="D46" s="418"/>
      <c r="E46" s="123"/>
      <c r="F46" s="123"/>
      <c r="G46" s="123"/>
      <c r="H46" s="123"/>
      <c r="I46" s="123"/>
      <c r="J46" s="123"/>
      <c r="K46" s="123"/>
      <c r="L46" s="123"/>
      <c r="M46" s="123"/>
      <c r="N46" s="123"/>
      <c r="O46" s="123"/>
      <c r="P46" s="123"/>
      <c r="Q46" s="123"/>
      <c r="R46" s="123"/>
      <c r="S46" s="123"/>
      <c r="T46" s="123"/>
      <c r="U46" s="123"/>
      <c r="V46" s="123"/>
      <c r="W46" s="123"/>
      <c r="X46" s="123"/>
      <c r="Y46" s="123"/>
      <c r="Z46" s="123"/>
    </row>
    <row r="47">
      <c r="A47" s="416"/>
      <c r="B47" s="134"/>
      <c r="C47" s="417"/>
      <c r="D47" s="418"/>
      <c r="E47" s="123"/>
      <c r="F47" s="123"/>
      <c r="G47" s="123"/>
      <c r="H47" s="123"/>
      <c r="I47" s="123"/>
      <c r="J47" s="123"/>
      <c r="K47" s="123"/>
      <c r="L47" s="123"/>
      <c r="M47" s="123"/>
      <c r="N47" s="123"/>
      <c r="O47" s="123"/>
      <c r="P47" s="123"/>
      <c r="Q47" s="123"/>
      <c r="R47" s="123"/>
      <c r="S47" s="123"/>
      <c r="T47" s="123"/>
      <c r="U47" s="123"/>
      <c r="V47" s="123"/>
      <c r="W47" s="123"/>
      <c r="X47" s="123"/>
      <c r="Y47" s="123"/>
      <c r="Z47" s="123"/>
    </row>
    <row r="48">
      <c r="A48" s="416"/>
      <c r="B48" s="134"/>
      <c r="C48" s="417"/>
      <c r="D48" s="418"/>
      <c r="E48" s="123"/>
      <c r="F48" s="123"/>
      <c r="G48" s="123"/>
      <c r="H48" s="123"/>
      <c r="I48" s="123"/>
      <c r="J48" s="123"/>
      <c r="K48" s="123"/>
      <c r="L48" s="123"/>
      <c r="M48" s="123"/>
      <c r="N48" s="123"/>
      <c r="O48" s="123"/>
      <c r="P48" s="123"/>
      <c r="Q48" s="123"/>
      <c r="R48" s="123"/>
      <c r="S48" s="123"/>
      <c r="T48" s="123"/>
      <c r="U48" s="123"/>
      <c r="V48" s="123"/>
      <c r="W48" s="123"/>
      <c r="X48" s="123"/>
      <c r="Y48" s="123"/>
      <c r="Z48" s="123"/>
    </row>
    <row r="49">
      <c r="A49" s="416"/>
      <c r="B49" s="134"/>
      <c r="C49" s="417"/>
      <c r="D49" s="418"/>
      <c r="E49" s="123"/>
      <c r="F49" s="123"/>
      <c r="G49" s="123"/>
      <c r="H49" s="123"/>
      <c r="I49" s="123"/>
      <c r="J49" s="123"/>
      <c r="K49" s="123"/>
      <c r="L49" s="123"/>
      <c r="M49" s="123"/>
      <c r="N49" s="123"/>
      <c r="O49" s="123"/>
      <c r="P49" s="123"/>
      <c r="Q49" s="123"/>
      <c r="R49" s="123"/>
      <c r="S49" s="123"/>
      <c r="T49" s="123"/>
      <c r="U49" s="123"/>
      <c r="V49" s="123"/>
      <c r="W49" s="123"/>
      <c r="X49" s="123"/>
      <c r="Y49" s="123"/>
      <c r="Z49" s="123"/>
    </row>
    <row r="50">
      <c r="A50" s="416"/>
      <c r="B50" s="134"/>
      <c r="C50" s="417"/>
      <c r="D50" s="418"/>
      <c r="E50" s="123"/>
      <c r="F50" s="123"/>
      <c r="G50" s="123"/>
      <c r="H50" s="123"/>
      <c r="I50" s="123"/>
      <c r="J50" s="123"/>
      <c r="K50" s="123"/>
      <c r="L50" s="123"/>
      <c r="M50" s="123"/>
      <c r="N50" s="123"/>
      <c r="O50" s="123"/>
      <c r="P50" s="123"/>
      <c r="Q50" s="123"/>
      <c r="R50" s="123"/>
      <c r="S50" s="123"/>
      <c r="T50" s="123"/>
      <c r="U50" s="123"/>
      <c r="V50" s="123"/>
      <c r="W50" s="123"/>
      <c r="X50" s="123"/>
      <c r="Y50" s="123"/>
      <c r="Z50" s="123"/>
    </row>
    <row r="51">
      <c r="A51" s="416"/>
      <c r="B51" s="134"/>
      <c r="C51" s="417"/>
      <c r="D51" s="418"/>
      <c r="E51" s="123"/>
      <c r="F51" s="123"/>
      <c r="G51" s="123"/>
      <c r="H51" s="123"/>
      <c r="I51" s="123"/>
      <c r="J51" s="123"/>
      <c r="K51" s="123"/>
      <c r="L51" s="123"/>
      <c r="M51" s="123"/>
      <c r="N51" s="123"/>
      <c r="O51" s="123"/>
      <c r="P51" s="123"/>
      <c r="Q51" s="123"/>
      <c r="R51" s="123"/>
      <c r="S51" s="123"/>
      <c r="T51" s="123"/>
      <c r="U51" s="123"/>
      <c r="V51" s="123"/>
      <c r="W51" s="123"/>
      <c r="X51" s="123"/>
      <c r="Y51" s="123"/>
      <c r="Z51" s="123"/>
    </row>
    <row r="52">
      <c r="A52" s="416"/>
      <c r="B52" s="134"/>
      <c r="C52" s="417"/>
      <c r="D52" s="418"/>
      <c r="E52" s="123"/>
      <c r="F52" s="123"/>
      <c r="G52" s="123"/>
      <c r="H52" s="123"/>
      <c r="I52" s="123"/>
      <c r="J52" s="123"/>
      <c r="K52" s="123"/>
      <c r="L52" s="123"/>
      <c r="M52" s="123"/>
      <c r="N52" s="123"/>
      <c r="O52" s="123"/>
      <c r="P52" s="123"/>
      <c r="Q52" s="123"/>
      <c r="R52" s="123"/>
      <c r="S52" s="123"/>
      <c r="T52" s="123"/>
      <c r="U52" s="123"/>
      <c r="V52" s="123"/>
      <c r="W52" s="123"/>
      <c r="X52" s="123"/>
      <c r="Y52" s="123"/>
      <c r="Z52" s="123"/>
    </row>
    <row r="53">
      <c r="A53" s="416"/>
      <c r="B53" s="134"/>
      <c r="C53" s="417"/>
      <c r="D53" s="418"/>
      <c r="E53" s="123"/>
      <c r="F53" s="123"/>
      <c r="G53" s="123"/>
      <c r="H53" s="123"/>
      <c r="I53" s="123"/>
      <c r="J53" s="123"/>
      <c r="K53" s="123"/>
      <c r="L53" s="123"/>
      <c r="M53" s="123"/>
      <c r="N53" s="123"/>
      <c r="O53" s="123"/>
      <c r="P53" s="123"/>
      <c r="Q53" s="123"/>
      <c r="R53" s="123"/>
      <c r="S53" s="123"/>
      <c r="T53" s="123"/>
      <c r="U53" s="123"/>
      <c r="V53" s="123"/>
      <c r="W53" s="123"/>
      <c r="X53" s="123"/>
      <c r="Y53" s="123"/>
      <c r="Z53" s="123"/>
    </row>
    <row r="54">
      <c r="A54" s="416"/>
      <c r="B54" s="134"/>
      <c r="C54" s="417"/>
      <c r="D54" s="418"/>
      <c r="E54" s="123"/>
      <c r="F54" s="123"/>
      <c r="G54" s="123"/>
      <c r="H54" s="123"/>
      <c r="I54" s="123"/>
      <c r="J54" s="123"/>
      <c r="K54" s="123"/>
      <c r="L54" s="123"/>
      <c r="M54" s="123"/>
      <c r="N54" s="123"/>
      <c r="O54" s="123"/>
      <c r="P54" s="123"/>
      <c r="Q54" s="123"/>
      <c r="R54" s="123"/>
      <c r="S54" s="123"/>
      <c r="T54" s="123"/>
      <c r="U54" s="123"/>
      <c r="V54" s="123"/>
      <c r="W54" s="123"/>
      <c r="X54" s="123"/>
      <c r="Y54" s="123"/>
      <c r="Z54" s="123"/>
    </row>
    <row r="55">
      <c r="A55" s="416"/>
      <c r="B55" s="134"/>
      <c r="C55" s="417"/>
      <c r="D55" s="418"/>
      <c r="E55" s="123"/>
      <c r="F55" s="123"/>
      <c r="G55" s="123"/>
      <c r="H55" s="123"/>
      <c r="I55" s="123"/>
      <c r="J55" s="123"/>
      <c r="K55" s="123"/>
      <c r="L55" s="123"/>
      <c r="M55" s="123"/>
      <c r="N55" s="123"/>
      <c r="O55" s="123"/>
      <c r="P55" s="123"/>
      <c r="Q55" s="123"/>
      <c r="R55" s="123"/>
      <c r="S55" s="123"/>
      <c r="T55" s="123"/>
      <c r="U55" s="123"/>
      <c r="V55" s="123"/>
      <c r="W55" s="123"/>
      <c r="X55" s="123"/>
      <c r="Y55" s="123"/>
      <c r="Z55" s="123"/>
    </row>
    <row r="56">
      <c r="A56" s="416"/>
      <c r="B56" s="134"/>
      <c r="C56" s="417"/>
      <c r="D56" s="418"/>
      <c r="E56" s="123"/>
      <c r="F56" s="123"/>
      <c r="G56" s="123"/>
      <c r="H56" s="123"/>
      <c r="I56" s="123"/>
      <c r="J56" s="123"/>
      <c r="K56" s="123"/>
      <c r="L56" s="123"/>
      <c r="M56" s="123"/>
      <c r="N56" s="123"/>
      <c r="O56" s="123"/>
      <c r="P56" s="123"/>
      <c r="Q56" s="123"/>
      <c r="R56" s="123"/>
      <c r="S56" s="123"/>
      <c r="T56" s="123"/>
      <c r="U56" s="123"/>
      <c r="V56" s="123"/>
      <c r="W56" s="123"/>
      <c r="X56" s="123"/>
      <c r="Y56" s="123"/>
      <c r="Z56" s="123"/>
    </row>
    <row r="57">
      <c r="A57" s="416"/>
      <c r="B57" s="134"/>
      <c r="C57" s="417"/>
      <c r="D57" s="418"/>
      <c r="E57" s="123"/>
      <c r="F57" s="123"/>
      <c r="G57" s="123"/>
      <c r="H57" s="123"/>
      <c r="I57" s="123"/>
      <c r="J57" s="123"/>
      <c r="K57" s="123"/>
      <c r="L57" s="123"/>
      <c r="M57" s="123"/>
      <c r="N57" s="123"/>
      <c r="O57" s="123"/>
      <c r="P57" s="123"/>
      <c r="Q57" s="123"/>
      <c r="R57" s="123"/>
      <c r="S57" s="123"/>
      <c r="T57" s="123"/>
      <c r="U57" s="123"/>
      <c r="V57" s="123"/>
      <c r="W57" s="123"/>
      <c r="X57" s="123"/>
      <c r="Y57" s="123"/>
      <c r="Z57" s="123"/>
    </row>
    <row r="58">
      <c r="A58" s="416"/>
      <c r="B58" s="134"/>
      <c r="C58" s="417"/>
      <c r="D58" s="418"/>
      <c r="E58" s="123"/>
      <c r="F58" s="123"/>
      <c r="G58" s="123"/>
      <c r="H58" s="123"/>
      <c r="I58" s="123"/>
      <c r="J58" s="123"/>
      <c r="K58" s="123"/>
      <c r="L58" s="123"/>
      <c r="M58" s="123"/>
      <c r="N58" s="123"/>
      <c r="O58" s="123"/>
      <c r="P58" s="123"/>
      <c r="Q58" s="123"/>
      <c r="R58" s="123"/>
      <c r="S58" s="123"/>
      <c r="T58" s="123"/>
      <c r="U58" s="123"/>
      <c r="V58" s="123"/>
      <c r="W58" s="123"/>
      <c r="X58" s="123"/>
      <c r="Y58" s="123"/>
      <c r="Z58" s="123"/>
    </row>
    <row r="59">
      <c r="A59" s="416"/>
      <c r="B59" s="134"/>
      <c r="C59" s="417"/>
      <c r="D59" s="418"/>
      <c r="E59" s="123"/>
      <c r="F59" s="123"/>
      <c r="G59" s="123"/>
      <c r="H59" s="123"/>
      <c r="I59" s="123"/>
      <c r="J59" s="123"/>
      <c r="K59" s="123"/>
      <c r="L59" s="123"/>
      <c r="M59" s="123"/>
      <c r="N59" s="123"/>
      <c r="O59" s="123"/>
      <c r="P59" s="123"/>
      <c r="Q59" s="123"/>
      <c r="R59" s="123"/>
      <c r="S59" s="123"/>
      <c r="T59" s="123"/>
      <c r="U59" s="123"/>
      <c r="V59" s="123"/>
      <c r="W59" s="123"/>
      <c r="X59" s="123"/>
      <c r="Y59" s="123"/>
      <c r="Z59" s="123"/>
    </row>
    <row r="60">
      <c r="A60" s="416"/>
      <c r="B60" s="134"/>
      <c r="C60" s="417"/>
      <c r="D60" s="418"/>
      <c r="E60" s="123"/>
      <c r="F60" s="123"/>
      <c r="G60" s="123"/>
      <c r="H60" s="123"/>
      <c r="I60" s="123"/>
      <c r="J60" s="123"/>
      <c r="K60" s="123"/>
      <c r="L60" s="123"/>
      <c r="M60" s="123"/>
      <c r="N60" s="123"/>
      <c r="O60" s="123"/>
      <c r="P60" s="123"/>
      <c r="Q60" s="123"/>
      <c r="R60" s="123"/>
      <c r="S60" s="123"/>
      <c r="T60" s="123"/>
      <c r="U60" s="123"/>
      <c r="V60" s="123"/>
      <c r="W60" s="123"/>
      <c r="X60" s="123"/>
      <c r="Y60" s="123"/>
      <c r="Z60" s="123"/>
    </row>
    <row r="61">
      <c r="A61" s="416"/>
      <c r="B61" s="134"/>
      <c r="C61" s="417"/>
      <c r="D61" s="418"/>
      <c r="E61" s="123"/>
      <c r="F61" s="123"/>
      <c r="G61" s="123"/>
      <c r="H61" s="123"/>
      <c r="I61" s="123"/>
      <c r="J61" s="123"/>
      <c r="K61" s="123"/>
      <c r="L61" s="123"/>
      <c r="M61" s="123"/>
      <c r="N61" s="123"/>
      <c r="O61" s="123"/>
      <c r="P61" s="123"/>
      <c r="Q61" s="123"/>
      <c r="R61" s="123"/>
      <c r="S61" s="123"/>
      <c r="T61" s="123"/>
      <c r="U61" s="123"/>
      <c r="V61" s="123"/>
      <c r="W61" s="123"/>
      <c r="X61" s="123"/>
      <c r="Y61" s="123"/>
      <c r="Z61" s="123"/>
    </row>
    <row r="62">
      <c r="A62" s="416"/>
      <c r="B62" s="134"/>
      <c r="C62" s="417"/>
      <c r="D62" s="418"/>
      <c r="E62" s="123"/>
      <c r="F62" s="123"/>
      <c r="G62" s="123"/>
      <c r="H62" s="123"/>
      <c r="I62" s="123"/>
      <c r="J62" s="123"/>
      <c r="K62" s="123"/>
      <c r="L62" s="123"/>
      <c r="M62" s="123"/>
      <c r="N62" s="123"/>
      <c r="O62" s="123"/>
      <c r="P62" s="123"/>
      <c r="Q62" s="123"/>
      <c r="R62" s="123"/>
      <c r="S62" s="123"/>
      <c r="T62" s="123"/>
      <c r="U62" s="123"/>
      <c r="V62" s="123"/>
      <c r="W62" s="123"/>
      <c r="X62" s="123"/>
      <c r="Y62" s="123"/>
      <c r="Z62" s="123"/>
    </row>
    <row r="63">
      <c r="A63" s="416"/>
      <c r="B63" s="134"/>
      <c r="C63" s="417"/>
      <c r="D63" s="418"/>
      <c r="E63" s="123"/>
      <c r="F63" s="123"/>
      <c r="G63" s="123"/>
      <c r="H63" s="123"/>
      <c r="I63" s="123"/>
      <c r="J63" s="123"/>
      <c r="K63" s="123"/>
      <c r="L63" s="123"/>
      <c r="M63" s="123"/>
      <c r="N63" s="123"/>
      <c r="O63" s="123"/>
      <c r="P63" s="123"/>
      <c r="Q63" s="123"/>
      <c r="R63" s="123"/>
      <c r="S63" s="123"/>
      <c r="T63" s="123"/>
      <c r="U63" s="123"/>
      <c r="V63" s="123"/>
      <c r="W63" s="123"/>
      <c r="X63" s="123"/>
      <c r="Y63" s="123"/>
      <c r="Z63" s="123"/>
    </row>
    <row r="64">
      <c r="A64" s="416"/>
      <c r="B64" s="134"/>
      <c r="C64" s="417"/>
      <c r="D64" s="418"/>
      <c r="E64" s="123"/>
      <c r="F64" s="123"/>
      <c r="G64" s="123"/>
      <c r="H64" s="123"/>
      <c r="I64" s="123"/>
      <c r="J64" s="123"/>
      <c r="K64" s="123"/>
      <c r="L64" s="123"/>
      <c r="M64" s="123"/>
      <c r="N64" s="123"/>
      <c r="O64" s="123"/>
      <c r="P64" s="123"/>
      <c r="Q64" s="123"/>
      <c r="R64" s="123"/>
      <c r="S64" s="123"/>
      <c r="T64" s="123"/>
      <c r="U64" s="123"/>
      <c r="V64" s="123"/>
      <c r="W64" s="123"/>
      <c r="X64" s="123"/>
      <c r="Y64" s="123"/>
      <c r="Z64" s="123"/>
    </row>
    <row r="65">
      <c r="A65" s="416"/>
      <c r="B65" s="134"/>
      <c r="C65" s="417"/>
      <c r="D65" s="418"/>
      <c r="E65" s="123"/>
      <c r="F65" s="123"/>
      <c r="G65" s="123"/>
      <c r="H65" s="123"/>
      <c r="I65" s="123"/>
      <c r="J65" s="123"/>
      <c r="K65" s="123"/>
      <c r="L65" s="123"/>
      <c r="M65" s="123"/>
      <c r="N65" s="123"/>
      <c r="O65" s="123"/>
      <c r="P65" s="123"/>
      <c r="Q65" s="123"/>
      <c r="R65" s="123"/>
      <c r="S65" s="123"/>
      <c r="T65" s="123"/>
      <c r="U65" s="123"/>
      <c r="V65" s="123"/>
      <c r="W65" s="123"/>
      <c r="X65" s="123"/>
      <c r="Y65" s="123"/>
      <c r="Z65" s="123"/>
    </row>
    <row r="66">
      <c r="A66" s="416"/>
      <c r="B66" s="134"/>
      <c r="C66" s="417"/>
      <c r="D66" s="418"/>
      <c r="E66" s="123"/>
      <c r="F66" s="123"/>
      <c r="G66" s="123"/>
      <c r="H66" s="123"/>
      <c r="I66" s="123"/>
      <c r="J66" s="123"/>
      <c r="K66" s="123"/>
      <c r="L66" s="123"/>
      <c r="M66" s="123"/>
      <c r="N66" s="123"/>
      <c r="O66" s="123"/>
      <c r="P66" s="123"/>
      <c r="Q66" s="123"/>
      <c r="R66" s="123"/>
      <c r="S66" s="123"/>
      <c r="T66" s="123"/>
      <c r="U66" s="123"/>
      <c r="V66" s="123"/>
      <c r="W66" s="123"/>
      <c r="X66" s="123"/>
      <c r="Y66" s="123"/>
      <c r="Z66" s="123"/>
    </row>
    <row r="67">
      <c r="A67" s="416"/>
      <c r="B67" s="134"/>
      <c r="C67" s="417"/>
      <c r="D67" s="418"/>
      <c r="E67" s="123"/>
      <c r="F67" s="123"/>
      <c r="G67" s="123"/>
      <c r="H67" s="123"/>
      <c r="I67" s="123"/>
      <c r="J67" s="123"/>
      <c r="K67" s="123"/>
      <c r="L67" s="123"/>
      <c r="M67" s="123"/>
      <c r="N67" s="123"/>
      <c r="O67" s="123"/>
      <c r="P67" s="123"/>
      <c r="Q67" s="123"/>
      <c r="R67" s="123"/>
      <c r="S67" s="123"/>
      <c r="T67" s="123"/>
      <c r="U67" s="123"/>
      <c r="V67" s="123"/>
      <c r="W67" s="123"/>
      <c r="X67" s="123"/>
      <c r="Y67" s="123"/>
      <c r="Z67" s="123"/>
    </row>
    <row r="68">
      <c r="A68" s="416"/>
      <c r="B68" s="134"/>
      <c r="C68" s="417"/>
      <c r="D68" s="418"/>
      <c r="E68" s="123"/>
      <c r="F68" s="123"/>
      <c r="G68" s="123"/>
      <c r="H68" s="123"/>
      <c r="I68" s="123"/>
      <c r="J68" s="123"/>
      <c r="K68" s="123"/>
      <c r="L68" s="123"/>
      <c r="M68" s="123"/>
      <c r="N68" s="123"/>
      <c r="O68" s="123"/>
      <c r="P68" s="123"/>
      <c r="Q68" s="123"/>
      <c r="R68" s="123"/>
      <c r="S68" s="123"/>
      <c r="T68" s="123"/>
      <c r="U68" s="123"/>
      <c r="V68" s="123"/>
      <c r="W68" s="123"/>
      <c r="X68" s="123"/>
      <c r="Y68" s="123"/>
      <c r="Z68" s="123"/>
    </row>
    <row r="69">
      <c r="A69" s="416"/>
      <c r="B69" s="134"/>
      <c r="C69" s="417"/>
      <c r="D69" s="418"/>
      <c r="E69" s="123"/>
      <c r="F69" s="123"/>
      <c r="G69" s="123"/>
      <c r="H69" s="123"/>
      <c r="I69" s="123"/>
      <c r="J69" s="123"/>
      <c r="K69" s="123"/>
      <c r="L69" s="123"/>
      <c r="M69" s="123"/>
      <c r="N69" s="123"/>
      <c r="O69" s="123"/>
      <c r="P69" s="123"/>
      <c r="Q69" s="123"/>
      <c r="R69" s="123"/>
      <c r="S69" s="123"/>
      <c r="T69" s="123"/>
      <c r="U69" s="123"/>
      <c r="V69" s="123"/>
      <c r="W69" s="123"/>
      <c r="X69" s="123"/>
      <c r="Y69" s="123"/>
      <c r="Z69" s="123"/>
    </row>
    <row r="70">
      <c r="A70" s="416"/>
      <c r="B70" s="134"/>
      <c r="C70" s="417"/>
      <c r="D70" s="418"/>
      <c r="E70" s="123"/>
      <c r="F70" s="123"/>
      <c r="G70" s="123"/>
      <c r="H70" s="123"/>
      <c r="I70" s="123"/>
      <c r="J70" s="123"/>
      <c r="K70" s="123"/>
      <c r="L70" s="123"/>
      <c r="M70" s="123"/>
      <c r="N70" s="123"/>
      <c r="O70" s="123"/>
      <c r="P70" s="123"/>
      <c r="Q70" s="123"/>
      <c r="R70" s="123"/>
      <c r="S70" s="123"/>
      <c r="T70" s="123"/>
      <c r="U70" s="123"/>
      <c r="V70" s="123"/>
      <c r="W70" s="123"/>
      <c r="X70" s="123"/>
      <c r="Y70" s="123"/>
      <c r="Z70" s="123"/>
    </row>
    <row r="71">
      <c r="A71" s="416"/>
      <c r="B71" s="134"/>
      <c r="C71" s="417"/>
      <c r="D71" s="418"/>
      <c r="E71" s="123"/>
      <c r="F71" s="123"/>
      <c r="G71" s="123"/>
      <c r="H71" s="123"/>
      <c r="I71" s="123"/>
      <c r="J71" s="123"/>
      <c r="K71" s="123"/>
      <c r="L71" s="123"/>
      <c r="M71" s="123"/>
      <c r="N71" s="123"/>
      <c r="O71" s="123"/>
      <c r="P71" s="123"/>
      <c r="Q71" s="123"/>
      <c r="R71" s="123"/>
      <c r="S71" s="123"/>
      <c r="T71" s="123"/>
      <c r="U71" s="123"/>
      <c r="V71" s="123"/>
      <c r="W71" s="123"/>
      <c r="X71" s="123"/>
      <c r="Y71" s="123"/>
      <c r="Z71" s="123"/>
    </row>
    <row r="72">
      <c r="A72" s="416"/>
      <c r="B72" s="134"/>
      <c r="C72" s="417"/>
      <c r="D72" s="418"/>
      <c r="E72" s="123"/>
      <c r="F72" s="123"/>
      <c r="G72" s="123"/>
      <c r="H72" s="123"/>
      <c r="I72" s="123"/>
      <c r="J72" s="123"/>
      <c r="K72" s="123"/>
      <c r="L72" s="123"/>
      <c r="M72" s="123"/>
      <c r="N72" s="123"/>
      <c r="O72" s="123"/>
      <c r="P72" s="123"/>
      <c r="Q72" s="123"/>
      <c r="R72" s="123"/>
      <c r="S72" s="123"/>
      <c r="T72" s="123"/>
      <c r="U72" s="123"/>
      <c r="V72" s="123"/>
      <c r="W72" s="123"/>
      <c r="X72" s="123"/>
      <c r="Y72" s="123"/>
      <c r="Z72" s="123"/>
    </row>
    <row r="73">
      <c r="A73" s="416"/>
      <c r="B73" s="134"/>
      <c r="C73" s="417"/>
      <c r="D73" s="418"/>
      <c r="E73" s="123"/>
      <c r="F73" s="123"/>
      <c r="G73" s="123"/>
      <c r="H73" s="123"/>
      <c r="I73" s="123"/>
      <c r="J73" s="123"/>
      <c r="K73" s="123"/>
      <c r="L73" s="123"/>
      <c r="M73" s="123"/>
      <c r="N73" s="123"/>
      <c r="O73" s="123"/>
      <c r="P73" s="123"/>
      <c r="Q73" s="123"/>
      <c r="R73" s="123"/>
      <c r="S73" s="123"/>
      <c r="T73" s="123"/>
      <c r="U73" s="123"/>
      <c r="V73" s="123"/>
      <c r="W73" s="123"/>
      <c r="X73" s="123"/>
      <c r="Y73" s="123"/>
      <c r="Z73" s="123"/>
    </row>
    <row r="74">
      <c r="A74" s="416"/>
      <c r="B74" s="134"/>
      <c r="C74" s="417"/>
      <c r="D74" s="418"/>
      <c r="E74" s="123"/>
      <c r="F74" s="123"/>
      <c r="G74" s="123"/>
      <c r="H74" s="123"/>
      <c r="I74" s="123"/>
      <c r="J74" s="123"/>
      <c r="K74" s="123"/>
      <c r="L74" s="123"/>
      <c r="M74" s="123"/>
      <c r="N74" s="123"/>
      <c r="O74" s="123"/>
      <c r="P74" s="123"/>
      <c r="Q74" s="123"/>
      <c r="R74" s="123"/>
      <c r="S74" s="123"/>
      <c r="T74" s="123"/>
      <c r="U74" s="123"/>
      <c r="V74" s="123"/>
      <c r="W74" s="123"/>
      <c r="X74" s="123"/>
      <c r="Y74" s="123"/>
      <c r="Z74" s="123"/>
    </row>
    <row r="75">
      <c r="A75" s="416"/>
      <c r="B75" s="134"/>
      <c r="C75" s="417"/>
      <c r="D75" s="418"/>
      <c r="E75" s="123"/>
      <c r="F75" s="123"/>
      <c r="G75" s="123"/>
      <c r="H75" s="123"/>
      <c r="I75" s="123"/>
      <c r="J75" s="123"/>
      <c r="K75" s="123"/>
      <c r="L75" s="123"/>
      <c r="M75" s="123"/>
      <c r="N75" s="123"/>
      <c r="O75" s="123"/>
      <c r="P75" s="123"/>
      <c r="Q75" s="123"/>
      <c r="R75" s="123"/>
      <c r="S75" s="123"/>
      <c r="T75" s="123"/>
      <c r="U75" s="123"/>
      <c r="V75" s="123"/>
      <c r="W75" s="123"/>
      <c r="X75" s="123"/>
      <c r="Y75" s="123"/>
      <c r="Z75" s="123"/>
    </row>
    <row r="76">
      <c r="A76" s="416"/>
      <c r="B76" s="134"/>
      <c r="C76" s="417"/>
      <c r="D76" s="418"/>
      <c r="E76" s="123"/>
      <c r="F76" s="123"/>
      <c r="G76" s="123"/>
      <c r="H76" s="123"/>
      <c r="I76" s="123"/>
      <c r="J76" s="123"/>
      <c r="K76" s="123"/>
      <c r="L76" s="123"/>
      <c r="M76" s="123"/>
      <c r="N76" s="123"/>
      <c r="O76" s="123"/>
      <c r="P76" s="123"/>
      <c r="Q76" s="123"/>
      <c r="R76" s="123"/>
      <c r="S76" s="123"/>
      <c r="T76" s="123"/>
      <c r="U76" s="123"/>
      <c r="V76" s="123"/>
      <c r="W76" s="123"/>
      <c r="X76" s="123"/>
      <c r="Y76" s="123"/>
      <c r="Z76" s="123"/>
    </row>
    <row r="77">
      <c r="A77" s="416"/>
      <c r="B77" s="134"/>
      <c r="C77" s="417"/>
      <c r="D77" s="418"/>
      <c r="E77" s="123"/>
      <c r="F77" s="123"/>
      <c r="G77" s="123"/>
      <c r="H77" s="123"/>
      <c r="I77" s="123"/>
      <c r="J77" s="123"/>
      <c r="K77" s="123"/>
      <c r="L77" s="123"/>
      <c r="M77" s="123"/>
      <c r="N77" s="123"/>
      <c r="O77" s="123"/>
      <c r="P77" s="123"/>
      <c r="Q77" s="123"/>
      <c r="R77" s="123"/>
      <c r="S77" s="123"/>
      <c r="T77" s="123"/>
      <c r="U77" s="123"/>
      <c r="V77" s="123"/>
      <c r="W77" s="123"/>
      <c r="X77" s="123"/>
      <c r="Y77" s="123"/>
      <c r="Z77" s="123"/>
    </row>
    <row r="78">
      <c r="A78" s="416"/>
      <c r="B78" s="134"/>
      <c r="C78" s="417"/>
      <c r="D78" s="418"/>
      <c r="E78" s="123"/>
      <c r="F78" s="123"/>
      <c r="G78" s="123"/>
      <c r="H78" s="123"/>
      <c r="I78" s="123"/>
      <c r="J78" s="123"/>
      <c r="K78" s="123"/>
      <c r="L78" s="123"/>
      <c r="M78" s="123"/>
      <c r="N78" s="123"/>
      <c r="O78" s="123"/>
      <c r="P78" s="123"/>
      <c r="Q78" s="123"/>
      <c r="R78" s="123"/>
      <c r="S78" s="123"/>
      <c r="T78" s="123"/>
      <c r="U78" s="123"/>
      <c r="V78" s="123"/>
      <c r="W78" s="123"/>
      <c r="X78" s="123"/>
      <c r="Y78" s="123"/>
      <c r="Z78" s="123"/>
    </row>
    <row r="79">
      <c r="A79" s="416"/>
      <c r="B79" s="134"/>
      <c r="C79" s="417"/>
      <c r="D79" s="418"/>
      <c r="E79" s="123"/>
      <c r="F79" s="123"/>
      <c r="G79" s="123"/>
      <c r="H79" s="123"/>
      <c r="I79" s="123"/>
      <c r="J79" s="123"/>
      <c r="K79" s="123"/>
      <c r="L79" s="123"/>
      <c r="M79" s="123"/>
      <c r="N79" s="123"/>
      <c r="O79" s="123"/>
      <c r="P79" s="123"/>
      <c r="Q79" s="123"/>
      <c r="R79" s="123"/>
      <c r="S79" s="123"/>
      <c r="T79" s="123"/>
      <c r="U79" s="123"/>
      <c r="V79" s="123"/>
      <c r="W79" s="123"/>
      <c r="X79" s="123"/>
      <c r="Y79" s="123"/>
      <c r="Z79" s="123"/>
    </row>
    <row r="80">
      <c r="A80" s="416"/>
      <c r="B80" s="134"/>
      <c r="C80" s="417"/>
      <c r="D80" s="418"/>
      <c r="E80" s="123"/>
      <c r="F80" s="123"/>
      <c r="G80" s="123"/>
      <c r="H80" s="123"/>
      <c r="I80" s="123"/>
      <c r="J80" s="123"/>
      <c r="K80" s="123"/>
      <c r="L80" s="123"/>
      <c r="M80" s="123"/>
      <c r="N80" s="123"/>
      <c r="O80" s="123"/>
      <c r="P80" s="123"/>
      <c r="Q80" s="123"/>
      <c r="R80" s="123"/>
      <c r="S80" s="123"/>
      <c r="T80" s="123"/>
      <c r="U80" s="123"/>
      <c r="V80" s="123"/>
      <c r="W80" s="123"/>
      <c r="X80" s="123"/>
      <c r="Y80" s="123"/>
      <c r="Z80" s="123"/>
    </row>
    <row r="81">
      <c r="A81" s="416"/>
      <c r="B81" s="134"/>
      <c r="C81" s="417"/>
      <c r="D81" s="418"/>
      <c r="E81" s="123"/>
      <c r="F81" s="123"/>
      <c r="G81" s="123"/>
      <c r="H81" s="123"/>
      <c r="I81" s="123"/>
      <c r="J81" s="123"/>
      <c r="K81" s="123"/>
      <c r="L81" s="123"/>
      <c r="M81" s="123"/>
      <c r="N81" s="123"/>
      <c r="O81" s="123"/>
      <c r="P81" s="123"/>
      <c r="Q81" s="123"/>
      <c r="R81" s="123"/>
      <c r="S81" s="123"/>
      <c r="T81" s="123"/>
      <c r="U81" s="123"/>
      <c r="V81" s="123"/>
      <c r="W81" s="123"/>
      <c r="X81" s="123"/>
      <c r="Y81" s="123"/>
      <c r="Z81" s="123"/>
    </row>
    <row r="82">
      <c r="A82" s="416"/>
      <c r="B82" s="134"/>
      <c r="C82" s="417"/>
      <c r="D82" s="418"/>
      <c r="E82" s="123"/>
      <c r="F82" s="123"/>
      <c r="G82" s="123"/>
      <c r="H82" s="123"/>
      <c r="I82" s="123"/>
      <c r="J82" s="123"/>
      <c r="K82" s="123"/>
      <c r="L82" s="123"/>
      <c r="M82" s="123"/>
      <c r="N82" s="123"/>
      <c r="O82" s="123"/>
      <c r="P82" s="123"/>
      <c r="Q82" s="123"/>
      <c r="R82" s="123"/>
      <c r="S82" s="123"/>
      <c r="T82" s="123"/>
      <c r="U82" s="123"/>
      <c r="V82" s="123"/>
      <c r="W82" s="123"/>
      <c r="X82" s="123"/>
      <c r="Y82" s="123"/>
      <c r="Z82" s="123"/>
    </row>
    <row r="83">
      <c r="A83" s="416"/>
      <c r="B83" s="134"/>
      <c r="C83" s="417"/>
      <c r="D83" s="418"/>
      <c r="E83" s="123"/>
      <c r="F83" s="123"/>
      <c r="G83" s="123"/>
      <c r="H83" s="123"/>
      <c r="I83" s="123"/>
      <c r="J83" s="123"/>
      <c r="K83" s="123"/>
      <c r="L83" s="123"/>
      <c r="M83" s="123"/>
      <c r="N83" s="123"/>
      <c r="O83" s="123"/>
      <c r="P83" s="123"/>
      <c r="Q83" s="123"/>
      <c r="R83" s="123"/>
      <c r="S83" s="123"/>
      <c r="T83" s="123"/>
      <c r="U83" s="123"/>
      <c r="V83" s="123"/>
      <c r="W83" s="123"/>
      <c r="X83" s="123"/>
      <c r="Y83" s="123"/>
      <c r="Z83" s="123"/>
    </row>
    <row r="84">
      <c r="A84" s="416"/>
      <c r="B84" s="134"/>
      <c r="C84" s="417"/>
      <c r="D84" s="418"/>
      <c r="E84" s="123"/>
      <c r="F84" s="123"/>
      <c r="G84" s="123"/>
      <c r="H84" s="123"/>
      <c r="I84" s="123"/>
      <c r="J84" s="123"/>
      <c r="K84" s="123"/>
      <c r="L84" s="123"/>
      <c r="M84" s="123"/>
      <c r="N84" s="123"/>
      <c r="O84" s="123"/>
      <c r="P84" s="123"/>
      <c r="Q84" s="123"/>
      <c r="R84" s="123"/>
      <c r="S84" s="123"/>
      <c r="T84" s="123"/>
      <c r="U84" s="123"/>
      <c r="V84" s="123"/>
      <c r="W84" s="123"/>
      <c r="X84" s="123"/>
      <c r="Y84" s="123"/>
      <c r="Z84" s="123"/>
    </row>
    <row r="85">
      <c r="A85" s="416"/>
      <c r="B85" s="134"/>
      <c r="C85" s="417"/>
      <c r="D85" s="418"/>
      <c r="E85" s="123"/>
      <c r="F85" s="123"/>
      <c r="G85" s="123"/>
      <c r="H85" s="123"/>
      <c r="I85" s="123"/>
      <c r="J85" s="123"/>
      <c r="K85" s="123"/>
      <c r="L85" s="123"/>
      <c r="M85" s="123"/>
      <c r="N85" s="123"/>
      <c r="O85" s="123"/>
      <c r="P85" s="123"/>
      <c r="Q85" s="123"/>
      <c r="R85" s="123"/>
      <c r="S85" s="123"/>
      <c r="T85" s="123"/>
      <c r="U85" s="123"/>
      <c r="V85" s="123"/>
      <c r="W85" s="123"/>
      <c r="X85" s="123"/>
      <c r="Y85" s="123"/>
      <c r="Z85" s="123"/>
    </row>
    <row r="86">
      <c r="A86" s="416"/>
      <c r="B86" s="134"/>
      <c r="C86" s="417"/>
      <c r="D86" s="418"/>
      <c r="E86" s="123"/>
      <c r="F86" s="123"/>
      <c r="G86" s="123"/>
      <c r="H86" s="123"/>
      <c r="I86" s="123"/>
      <c r="J86" s="123"/>
      <c r="K86" s="123"/>
      <c r="L86" s="123"/>
      <c r="M86" s="123"/>
      <c r="N86" s="123"/>
      <c r="O86" s="123"/>
      <c r="P86" s="123"/>
      <c r="Q86" s="123"/>
      <c r="R86" s="123"/>
      <c r="S86" s="123"/>
      <c r="T86" s="123"/>
      <c r="U86" s="123"/>
      <c r="V86" s="123"/>
      <c r="W86" s="123"/>
      <c r="X86" s="123"/>
      <c r="Y86" s="123"/>
      <c r="Z86" s="123"/>
    </row>
    <row r="87">
      <c r="A87" s="416"/>
      <c r="B87" s="134"/>
      <c r="C87" s="417"/>
      <c r="D87" s="418"/>
      <c r="E87" s="123"/>
      <c r="F87" s="123"/>
      <c r="G87" s="123"/>
      <c r="H87" s="123"/>
      <c r="I87" s="123"/>
      <c r="J87" s="123"/>
      <c r="K87" s="123"/>
      <c r="L87" s="123"/>
      <c r="M87" s="123"/>
      <c r="N87" s="123"/>
      <c r="O87" s="123"/>
      <c r="P87" s="123"/>
      <c r="Q87" s="123"/>
      <c r="R87" s="123"/>
      <c r="S87" s="123"/>
      <c r="T87" s="123"/>
      <c r="U87" s="123"/>
      <c r="V87" s="123"/>
      <c r="W87" s="123"/>
      <c r="X87" s="123"/>
      <c r="Y87" s="123"/>
      <c r="Z87" s="123"/>
    </row>
    <row r="88">
      <c r="A88" s="416"/>
      <c r="B88" s="134"/>
      <c r="C88" s="417"/>
      <c r="D88" s="418"/>
      <c r="E88" s="123"/>
      <c r="F88" s="123"/>
      <c r="G88" s="123"/>
      <c r="H88" s="123"/>
      <c r="I88" s="123"/>
      <c r="J88" s="123"/>
      <c r="K88" s="123"/>
      <c r="L88" s="123"/>
      <c r="M88" s="123"/>
      <c r="N88" s="123"/>
      <c r="O88" s="123"/>
      <c r="P88" s="123"/>
      <c r="Q88" s="123"/>
      <c r="R88" s="123"/>
      <c r="S88" s="123"/>
      <c r="T88" s="123"/>
      <c r="U88" s="123"/>
      <c r="V88" s="123"/>
      <c r="W88" s="123"/>
      <c r="X88" s="123"/>
      <c r="Y88" s="123"/>
      <c r="Z88" s="123"/>
    </row>
    <row r="89">
      <c r="A89" s="416"/>
      <c r="B89" s="134"/>
      <c r="C89" s="417"/>
      <c r="D89" s="418"/>
      <c r="E89" s="123"/>
      <c r="F89" s="123"/>
      <c r="G89" s="123"/>
      <c r="H89" s="123"/>
      <c r="I89" s="123"/>
      <c r="J89" s="123"/>
      <c r="K89" s="123"/>
      <c r="L89" s="123"/>
      <c r="M89" s="123"/>
      <c r="N89" s="123"/>
      <c r="O89" s="123"/>
      <c r="P89" s="123"/>
      <c r="Q89" s="123"/>
      <c r="R89" s="123"/>
      <c r="S89" s="123"/>
      <c r="T89" s="123"/>
      <c r="U89" s="123"/>
      <c r="V89" s="123"/>
      <c r="W89" s="123"/>
      <c r="X89" s="123"/>
      <c r="Y89" s="123"/>
      <c r="Z89" s="123"/>
    </row>
    <row r="90">
      <c r="A90" s="416"/>
      <c r="B90" s="134"/>
      <c r="C90" s="417"/>
      <c r="D90" s="418"/>
      <c r="E90" s="123"/>
      <c r="F90" s="123"/>
      <c r="G90" s="123"/>
      <c r="H90" s="123"/>
      <c r="I90" s="123"/>
      <c r="J90" s="123"/>
      <c r="K90" s="123"/>
      <c r="L90" s="123"/>
      <c r="M90" s="123"/>
      <c r="N90" s="123"/>
      <c r="O90" s="123"/>
      <c r="P90" s="123"/>
      <c r="Q90" s="123"/>
      <c r="R90" s="123"/>
      <c r="S90" s="123"/>
      <c r="T90" s="123"/>
      <c r="U90" s="123"/>
      <c r="V90" s="123"/>
      <c r="W90" s="123"/>
      <c r="X90" s="123"/>
      <c r="Y90" s="123"/>
      <c r="Z90" s="123"/>
    </row>
    <row r="91">
      <c r="A91" s="416"/>
      <c r="B91" s="134"/>
      <c r="C91" s="417"/>
      <c r="D91" s="418"/>
      <c r="E91" s="123"/>
      <c r="F91" s="123"/>
      <c r="G91" s="123"/>
      <c r="H91" s="123"/>
      <c r="I91" s="123"/>
      <c r="J91" s="123"/>
      <c r="K91" s="123"/>
      <c r="L91" s="123"/>
      <c r="M91" s="123"/>
      <c r="N91" s="123"/>
      <c r="O91" s="123"/>
      <c r="P91" s="123"/>
      <c r="Q91" s="123"/>
      <c r="R91" s="123"/>
      <c r="S91" s="123"/>
      <c r="T91" s="123"/>
      <c r="U91" s="123"/>
      <c r="V91" s="123"/>
      <c r="W91" s="123"/>
      <c r="X91" s="123"/>
      <c r="Y91" s="123"/>
      <c r="Z91" s="123"/>
    </row>
    <row r="92">
      <c r="A92" s="416"/>
      <c r="B92" s="134"/>
      <c r="C92" s="417"/>
      <c r="D92" s="418"/>
      <c r="E92" s="123"/>
      <c r="F92" s="123"/>
      <c r="G92" s="123"/>
      <c r="H92" s="123"/>
      <c r="I92" s="123"/>
      <c r="J92" s="123"/>
      <c r="K92" s="123"/>
      <c r="L92" s="123"/>
      <c r="M92" s="123"/>
      <c r="N92" s="123"/>
      <c r="O92" s="123"/>
      <c r="P92" s="123"/>
      <c r="Q92" s="123"/>
      <c r="R92" s="123"/>
      <c r="S92" s="123"/>
      <c r="T92" s="123"/>
      <c r="U92" s="123"/>
      <c r="V92" s="123"/>
      <c r="W92" s="123"/>
      <c r="X92" s="123"/>
      <c r="Y92" s="123"/>
      <c r="Z92" s="123"/>
    </row>
    <row r="93">
      <c r="A93" s="416"/>
      <c r="B93" s="134"/>
      <c r="C93" s="417"/>
      <c r="D93" s="418"/>
      <c r="E93" s="123"/>
      <c r="F93" s="123"/>
      <c r="G93" s="123"/>
      <c r="H93" s="123"/>
      <c r="I93" s="123"/>
      <c r="J93" s="123"/>
      <c r="K93" s="123"/>
      <c r="L93" s="123"/>
      <c r="M93" s="123"/>
      <c r="N93" s="123"/>
      <c r="O93" s="123"/>
      <c r="P93" s="123"/>
      <c r="Q93" s="123"/>
      <c r="R93" s="123"/>
      <c r="S93" s="123"/>
      <c r="T93" s="123"/>
      <c r="U93" s="123"/>
      <c r="V93" s="123"/>
      <c r="W93" s="123"/>
      <c r="X93" s="123"/>
      <c r="Y93" s="123"/>
      <c r="Z93" s="123"/>
    </row>
    <row r="94">
      <c r="A94" s="416"/>
      <c r="B94" s="134"/>
      <c r="C94" s="417"/>
      <c r="D94" s="418"/>
      <c r="E94" s="123"/>
      <c r="F94" s="123"/>
      <c r="G94" s="123"/>
      <c r="H94" s="123"/>
      <c r="I94" s="123"/>
      <c r="J94" s="123"/>
      <c r="K94" s="123"/>
      <c r="L94" s="123"/>
      <c r="M94" s="123"/>
      <c r="N94" s="123"/>
      <c r="O94" s="123"/>
      <c r="P94" s="123"/>
      <c r="Q94" s="123"/>
      <c r="R94" s="123"/>
      <c r="S94" s="123"/>
      <c r="T94" s="123"/>
      <c r="U94" s="123"/>
      <c r="V94" s="123"/>
      <c r="W94" s="123"/>
      <c r="X94" s="123"/>
      <c r="Y94" s="123"/>
      <c r="Z94" s="123"/>
    </row>
    <row r="95">
      <c r="A95" s="416"/>
      <c r="B95" s="134"/>
      <c r="C95" s="417"/>
      <c r="D95" s="418"/>
      <c r="E95" s="123"/>
      <c r="F95" s="123"/>
      <c r="G95" s="123"/>
      <c r="H95" s="123"/>
      <c r="I95" s="123"/>
      <c r="J95" s="123"/>
      <c r="K95" s="123"/>
      <c r="L95" s="123"/>
      <c r="M95" s="123"/>
      <c r="N95" s="123"/>
      <c r="O95" s="123"/>
      <c r="P95" s="123"/>
      <c r="Q95" s="123"/>
      <c r="R95" s="123"/>
      <c r="S95" s="123"/>
      <c r="T95" s="123"/>
      <c r="U95" s="123"/>
      <c r="V95" s="123"/>
      <c r="W95" s="123"/>
      <c r="X95" s="123"/>
      <c r="Y95" s="123"/>
      <c r="Z95" s="123"/>
    </row>
    <row r="96">
      <c r="A96" s="416"/>
      <c r="B96" s="134"/>
      <c r="C96" s="417"/>
      <c r="D96" s="418"/>
      <c r="E96" s="123"/>
      <c r="F96" s="123"/>
      <c r="G96" s="123"/>
      <c r="H96" s="123"/>
      <c r="I96" s="123"/>
      <c r="J96" s="123"/>
      <c r="K96" s="123"/>
      <c r="L96" s="123"/>
      <c r="M96" s="123"/>
      <c r="N96" s="123"/>
      <c r="O96" s="123"/>
      <c r="P96" s="123"/>
      <c r="Q96" s="123"/>
      <c r="R96" s="123"/>
      <c r="S96" s="123"/>
      <c r="T96" s="123"/>
      <c r="U96" s="123"/>
      <c r="V96" s="123"/>
      <c r="W96" s="123"/>
      <c r="X96" s="123"/>
      <c r="Y96" s="123"/>
      <c r="Z96" s="123"/>
    </row>
    <row r="97">
      <c r="A97" s="416"/>
      <c r="B97" s="134"/>
      <c r="C97" s="417"/>
      <c r="D97" s="418"/>
      <c r="E97" s="123"/>
      <c r="F97" s="123"/>
      <c r="G97" s="123"/>
      <c r="H97" s="123"/>
      <c r="I97" s="123"/>
      <c r="J97" s="123"/>
      <c r="K97" s="123"/>
      <c r="L97" s="123"/>
      <c r="M97" s="123"/>
      <c r="N97" s="123"/>
      <c r="O97" s="123"/>
      <c r="P97" s="123"/>
      <c r="Q97" s="123"/>
      <c r="R97" s="123"/>
      <c r="S97" s="123"/>
      <c r="T97" s="123"/>
      <c r="U97" s="123"/>
      <c r="V97" s="123"/>
      <c r="W97" s="123"/>
      <c r="X97" s="123"/>
      <c r="Y97" s="123"/>
      <c r="Z97" s="123"/>
    </row>
    <row r="98">
      <c r="A98" s="416"/>
      <c r="B98" s="134"/>
      <c r="C98" s="417"/>
      <c r="D98" s="418"/>
      <c r="E98" s="123"/>
      <c r="F98" s="123"/>
      <c r="G98" s="123"/>
      <c r="H98" s="123"/>
      <c r="I98" s="123"/>
      <c r="J98" s="123"/>
      <c r="K98" s="123"/>
      <c r="L98" s="123"/>
      <c r="M98" s="123"/>
      <c r="N98" s="123"/>
      <c r="O98" s="123"/>
      <c r="P98" s="123"/>
      <c r="Q98" s="123"/>
      <c r="R98" s="123"/>
      <c r="S98" s="123"/>
      <c r="T98" s="123"/>
      <c r="U98" s="123"/>
      <c r="V98" s="123"/>
      <c r="W98" s="123"/>
      <c r="X98" s="123"/>
      <c r="Y98" s="123"/>
      <c r="Z98" s="123"/>
    </row>
    <row r="99">
      <c r="A99" s="416"/>
      <c r="B99" s="134"/>
      <c r="C99" s="417"/>
      <c r="D99" s="418"/>
      <c r="E99" s="123"/>
      <c r="F99" s="123"/>
      <c r="G99" s="123"/>
      <c r="H99" s="123"/>
      <c r="I99" s="123"/>
      <c r="J99" s="123"/>
      <c r="K99" s="123"/>
      <c r="L99" s="123"/>
      <c r="M99" s="123"/>
      <c r="N99" s="123"/>
      <c r="O99" s="123"/>
      <c r="P99" s="123"/>
      <c r="Q99" s="123"/>
      <c r="R99" s="123"/>
      <c r="S99" s="123"/>
      <c r="T99" s="123"/>
      <c r="U99" s="123"/>
      <c r="V99" s="123"/>
      <c r="W99" s="123"/>
      <c r="X99" s="123"/>
      <c r="Y99" s="123"/>
      <c r="Z99" s="123"/>
    </row>
    <row r="100">
      <c r="A100" s="416"/>
      <c r="B100" s="134"/>
      <c r="C100" s="417"/>
      <c r="D100" s="418"/>
      <c r="E100" s="123"/>
      <c r="F100" s="123"/>
      <c r="G100" s="123"/>
      <c r="H100" s="123"/>
      <c r="I100" s="123"/>
      <c r="J100" s="123"/>
      <c r="K100" s="123"/>
      <c r="L100" s="123"/>
      <c r="M100" s="123"/>
      <c r="N100" s="123"/>
      <c r="O100" s="123"/>
      <c r="P100" s="123"/>
      <c r="Q100" s="123"/>
      <c r="R100" s="123"/>
      <c r="S100" s="123"/>
      <c r="T100" s="123"/>
      <c r="U100" s="123"/>
      <c r="V100" s="123"/>
      <c r="W100" s="123"/>
      <c r="X100" s="123"/>
      <c r="Y100" s="123"/>
      <c r="Z100" s="123"/>
    </row>
    <row r="101">
      <c r="A101" s="416"/>
      <c r="B101" s="134"/>
      <c r="C101" s="417"/>
      <c r="D101" s="418"/>
      <c r="E101" s="123"/>
      <c r="F101" s="123"/>
      <c r="G101" s="123"/>
      <c r="H101" s="123"/>
      <c r="I101" s="123"/>
      <c r="J101" s="123"/>
      <c r="K101" s="123"/>
      <c r="L101" s="123"/>
      <c r="M101" s="123"/>
      <c r="N101" s="123"/>
      <c r="O101" s="123"/>
      <c r="P101" s="123"/>
      <c r="Q101" s="123"/>
      <c r="R101" s="123"/>
      <c r="S101" s="123"/>
      <c r="T101" s="123"/>
      <c r="U101" s="123"/>
      <c r="V101" s="123"/>
      <c r="W101" s="123"/>
      <c r="X101" s="123"/>
      <c r="Y101" s="123"/>
      <c r="Z101" s="123"/>
    </row>
    <row r="102">
      <c r="A102" s="416"/>
      <c r="B102" s="134"/>
      <c r="C102" s="417"/>
      <c r="D102" s="418"/>
      <c r="E102" s="123"/>
      <c r="F102" s="123"/>
      <c r="G102" s="123"/>
      <c r="H102" s="123"/>
      <c r="I102" s="123"/>
      <c r="J102" s="123"/>
      <c r="K102" s="123"/>
      <c r="L102" s="123"/>
      <c r="M102" s="123"/>
      <c r="N102" s="123"/>
      <c r="O102" s="123"/>
      <c r="P102" s="123"/>
      <c r="Q102" s="123"/>
      <c r="R102" s="123"/>
      <c r="S102" s="123"/>
      <c r="T102" s="123"/>
      <c r="U102" s="123"/>
      <c r="V102" s="123"/>
      <c r="W102" s="123"/>
      <c r="X102" s="123"/>
      <c r="Y102" s="123"/>
      <c r="Z102" s="123"/>
    </row>
    <row r="103">
      <c r="A103" s="416"/>
      <c r="B103" s="134"/>
      <c r="C103" s="417"/>
      <c r="D103" s="418"/>
      <c r="E103" s="123"/>
      <c r="F103" s="123"/>
      <c r="G103" s="123"/>
      <c r="H103" s="123"/>
      <c r="I103" s="123"/>
      <c r="J103" s="123"/>
      <c r="K103" s="123"/>
      <c r="L103" s="123"/>
      <c r="M103" s="123"/>
      <c r="N103" s="123"/>
      <c r="O103" s="123"/>
      <c r="P103" s="123"/>
      <c r="Q103" s="123"/>
      <c r="R103" s="123"/>
      <c r="S103" s="123"/>
      <c r="T103" s="123"/>
      <c r="U103" s="123"/>
      <c r="V103" s="123"/>
      <c r="W103" s="123"/>
      <c r="X103" s="123"/>
      <c r="Y103" s="123"/>
      <c r="Z103" s="123"/>
    </row>
    <row r="104">
      <c r="A104" s="416"/>
      <c r="B104" s="134"/>
      <c r="C104" s="417"/>
      <c r="D104" s="418"/>
      <c r="E104" s="123"/>
      <c r="F104" s="123"/>
      <c r="G104" s="123"/>
      <c r="H104" s="123"/>
      <c r="I104" s="123"/>
      <c r="J104" s="123"/>
      <c r="K104" s="123"/>
      <c r="L104" s="123"/>
      <c r="M104" s="123"/>
      <c r="N104" s="123"/>
      <c r="O104" s="123"/>
      <c r="P104" s="123"/>
      <c r="Q104" s="123"/>
      <c r="R104" s="123"/>
      <c r="S104" s="123"/>
      <c r="T104" s="123"/>
      <c r="U104" s="123"/>
      <c r="V104" s="123"/>
      <c r="W104" s="123"/>
      <c r="X104" s="123"/>
      <c r="Y104" s="123"/>
      <c r="Z104" s="123"/>
    </row>
    <row r="105">
      <c r="A105" s="416"/>
      <c r="B105" s="134"/>
      <c r="C105" s="417"/>
      <c r="D105" s="418"/>
      <c r="E105" s="123"/>
      <c r="F105" s="123"/>
      <c r="G105" s="123"/>
      <c r="H105" s="123"/>
      <c r="I105" s="123"/>
      <c r="J105" s="123"/>
      <c r="K105" s="123"/>
      <c r="L105" s="123"/>
      <c r="M105" s="123"/>
      <c r="N105" s="123"/>
      <c r="O105" s="123"/>
      <c r="P105" s="123"/>
      <c r="Q105" s="123"/>
      <c r="R105" s="123"/>
      <c r="S105" s="123"/>
      <c r="T105" s="123"/>
      <c r="U105" s="123"/>
      <c r="V105" s="123"/>
      <c r="W105" s="123"/>
      <c r="X105" s="123"/>
      <c r="Y105" s="123"/>
      <c r="Z105" s="123"/>
    </row>
    <row r="106">
      <c r="A106" s="416"/>
      <c r="B106" s="134"/>
      <c r="C106" s="417"/>
      <c r="D106" s="418"/>
      <c r="E106" s="123"/>
      <c r="F106" s="123"/>
      <c r="G106" s="123"/>
      <c r="H106" s="123"/>
      <c r="I106" s="123"/>
      <c r="J106" s="123"/>
      <c r="K106" s="123"/>
      <c r="L106" s="123"/>
      <c r="M106" s="123"/>
      <c r="N106" s="123"/>
      <c r="O106" s="123"/>
      <c r="P106" s="123"/>
      <c r="Q106" s="123"/>
      <c r="R106" s="123"/>
      <c r="S106" s="123"/>
      <c r="T106" s="123"/>
      <c r="U106" s="123"/>
      <c r="V106" s="123"/>
      <c r="W106" s="123"/>
      <c r="X106" s="123"/>
      <c r="Y106" s="123"/>
      <c r="Z106" s="123"/>
    </row>
    <row r="107">
      <c r="A107" s="416"/>
      <c r="B107" s="134"/>
      <c r="C107" s="417"/>
      <c r="D107" s="418"/>
      <c r="E107" s="123"/>
      <c r="F107" s="123"/>
      <c r="G107" s="123"/>
      <c r="H107" s="123"/>
      <c r="I107" s="123"/>
      <c r="J107" s="123"/>
      <c r="K107" s="123"/>
      <c r="L107" s="123"/>
      <c r="M107" s="123"/>
      <c r="N107" s="123"/>
      <c r="O107" s="123"/>
      <c r="P107" s="123"/>
      <c r="Q107" s="123"/>
      <c r="R107" s="123"/>
      <c r="S107" s="123"/>
      <c r="T107" s="123"/>
      <c r="U107" s="123"/>
      <c r="V107" s="123"/>
      <c r="W107" s="123"/>
      <c r="X107" s="123"/>
      <c r="Y107" s="123"/>
      <c r="Z107" s="123"/>
    </row>
    <row r="108">
      <c r="A108" s="416"/>
      <c r="B108" s="134"/>
      <c r="C108" s="417"/>
      <c r="D108" s="418"/>
      <c r="E108" s="123"/>
      <c r="F108" s="123"/>
      <c r="G108" s="123"/>
      <c r="H108" s="123"/>
      <c r="I108" s="123"/>
      <c r="J108" s="123"/>
      <c r="K108" s="123"/>
      <c r="L108" s="123"/>
      <c r="M108" s="123"/>
      <c r="N108" s="123"/>
      <c r="O108" s="123"/>
      <c r="P108" s="123"/>
      <c r="Q108" s="123"/>
      <c r="R108" s="123"/>
      <c r="S108" s="123"/>
      <c r="T108" s="123"/>
      <c r="U108" s="123"/>
      <c r="V108" s="123"/>
      <c r="W108" s="123"/>
      <c r="X108" s="123"/>
      <c r="Y108" s="123"/>
      <c r="Z108" s="123"/>
    </row>
    <row r="109">
      <c r="A109" s="416"/>
      <c r="B109" s="134"/>
      <c r="C109" s="417"/>
      <c r="D109" s="418"/>
      <c r="E109" s="123"/>
      <c r="F109" s="123"/>
      <c r="G109" s="123"/>
      <c r="H109" s="123"/>
      <c r="I109" s="123"/>
      <c r="J109" s="123"/>
      <c r="K109" s="123"/>
      <c r="L109" s="123"/>
      <c r="M109" s="123"/>
      <c r="N109" s="123"/>
      <c r="O109" s="123"/>
      <c r="P109" s="123"/>
      <c r="Q109" s="123"/>
      <c r="R109" s="123"/>
      <c r="S109" s="123"/>
      <c r="T109" s="123"/>
      <c r="U109" s="123"/>
      <c r="V109" s="123"/>
      <c r="W109" s="123"/>
      <c r="X109" s="123"/>
      <c r="Y109" s="123"/>
      <c r="Z109" s="123"/>
    </row>
    <row r="110">
      <c r="A110" s="416"/>
      <c r="B110" s="134"/>
      <c r="C110" s="417"/>
      <c r="D110" s="418"/>
      <c r="E110" s="123"/>
      <c r="F110" s="123"/>
      <c r="G110" s="123"/>
      <c r="H110" s="123"/>
      <c r="I110" s="123"/>
      <c r="J110" s="123"/>
      <c r="K110" s="123"/>
      <c r="L110" s="123"/>
      <c r="M110" s="123"/>
      <c r="N110" s="123"/>
      <c r="O110" s="123"/>
      <c r="P110" s="123"/>
      <c r="Q110" s="123"/>
      <c r="R110" s="123"/>
      <c r="S110" s="123"/>
      <c r="T110" s="123"/>
      <c r="U110" s="123"/>
      <c r="V110" s="123"/>
      <c r="W110" s="123"/>
      <c r="X110" s="123"/>
      <c r="Y110" s="123"/>
      <c r="Z110" s="123"/>
    </row>
    <row r="111">
      <c r="A111" s="416"/>
      <c r="B111" s="134"/>
      <c r="C111" s="417"/>
      <c r="D111" s="418"/>
      <c r="E111" s="123"/>
      <c r="F111" s="123"/>
      <c r="G111" s="123"/>
      <c r="H111" s="123"/>
      <c r="I111" s="123"/>
      <c r="J111" s="123"/>
      <c r="K111" s="123"/>
      <c r="L111" s="123"/>
      <c r="M111" s="123"/>
      <c r="N111" s="123"/>
      <c r="O111" s="123"/>
      <c r="P111" s="123"/>
      <c r="Q111" s="123"/>
      <c r="R111" s="123"/>
      <c r="S111" s="123"/>
      <c r="T111" s="123"/>
      <c r="U111" s="123"/>
      <c r="V111" s="123"/>
      <c r="W111" s="123"/>
      <c r="X111" s="123"/>
      <c r="Y111" s="123"/>
      <c r="Z111" s="123"/>
    </row>
    <row r="112">
      <c r="A112" s="416"/>
      <c r="B112" s="134"/>
      <c r="C112" s="417"/>
      <c r="D112" s="418"/>
      <c r="E112" s="123"/>
      <c r="F112" s="123"/>
      <c r="G112" s="123"/>
      <c r="H112" s="123"/>
      <c r="I112" s="123"/>
      <c r="J112" s="123"/>
      <c r="K112" s="123"/>
      <c r="L112" s="123"/>
      <c r="M112" s="123"/>
      <c r="N112" s="123"/>
      <c r="O112" s="123"/>
      <c r="P112" s="123"/>
      <c r="Q112" s="123"/>
      <c r="R112" s="123"/>
      <c r="S112" s="123"/>
      <c r="T112" s="123"/>
      <c r="U112" s="123"/>
      <c r="V112" s="123"/>
      <c r="W112" s="123"/>
      <c r="X112" s="123"/>
      <c r="Y112" s="123"/>
      <c r="Z112" s="123"/>
    </row>
    <row r="113">
      <c r="A113" s="416"/>
      <c r="B113" s="134"/>
      <c r="C113" s="417"/>
      <c r="D113" s="418"/>
      <c r="E113" s="123"/>
      <c r="F113" s="123"/>
      <c r="G113" s="123"/>
      <c r="H113" s="123"/>
      <c r="I113" s="123"/>
      <c r="J113" s="123"/>
      <c r="K113" s="123"/>
      <c r="L113" s="123"/>
      <c r="M113" s="123"/>
      <c r="N113" s="123"/>
      <c r="O113" s="123"/>
      <c r="P113" s="123"/>
      <c r="Q113" s="123"/>
      <c r="R113" s="123"/>
      <c r="S113" s="123"/>
      <c r="T113" s="123"/>
      <c r="U113" s="123"/>
      <c r="V113" s="123"/>
      <c r="W113" s="123"/>
      <c r="X113" s="123"/>
      <c r="Y113" s="123"/>
      <c r="Z113" s="123"/>
    </row>
    <row r="114">
      <c r="A114" s="416"/>
      <c r="B114" s="134"/>
      <c r="C114" s="417"/>
      <c r="D114" s="418"/>
      <c r="E114" s="123"/>
      <c r="F114" s="123"/>
      <c r="G114" s="123"/>
      <c r="H114" s="123"/>
      <c r="I114" s="123"/>
      <c r="J114" s="123"/>
      <c r="K114" s="123"/>
      <c r="L114" s="123"/>
      <c r="M114" s="123"/>
      <c r="N114" s="123"/>
      <c r="O114" s="123"/>
      <c r="P114" s="123"/>
      <c r="Q114" s="123"/>
      <c r="R114" s="123"/>
      <c r="S114" s="123"/>
      <c r="T114" s="123"/>
      <c r="U114" s="123"/>
      <c r="V114" s="123"/>
      <c r="W114" s="123"/>
      <c r="X114" s="123"/>
      <c r="Y114" s="123"/>
      <c r="Z114" s="123"/>
    </row>
    <row r="115">
      <c r="A115" s="416"/>
      <c r="B115" s="134"/>
      <c r="C115" s="417"/>
      <c r="D115" s="418"/>
      <c r="E115" s="123"/>
      <c r="F115" s="123"/>
      <c r="G115" s="123"/>
      <c r="H115" s="123"/>
      <c r="I115" s="123"/>
      <c r="J115" s="123"/>
      <c r="K115" s="123"/>
      <c r="L115" s="123"/>
      <c r="M115" s="123"/>
      <c r="N115" s="123"/>
      <c r="O115" s="123"/>
      <c r="P115" s="123"/>
      <c r="Q115" s="123"/>
      <c r="R115" s="123"/>
      <c r="S115" s="123"/>
      <c r="T115" s="123"/>
      <c r="U115" s="123"/>
      <c r="V115" s="123"/>
      <c r="W115" s="123"/>
      <c r="X115" s="123"/>
      <c r="Y115" s="123"/>
      <c r="Z115" s="123"/>
    </row>
    <row r="116">
      <c r="A116" s="416"/>
      <c r="B116" s="134"/>
      <c r="C116" s="417"/>
      <c r="D116" s="418"/>
      <c r="E116" s="123"/>
      <c r="F116" s="123"/>
      <c r="G116" s="123"/>
      <c r="H116" s="123"/>
      <c r="I116" s="123"/>
      <c r="J116" s="123"/>
      <c r="K116" s="123"/>
      <c r="L116" s="123"/>
      <c r="M116" s="123"/>
      <c r="N116" s="123"/>
      <c r="O116" s="123"/>
      <c r="P116" s="123"/>
      <c r="Q116" s="123"/>
      <c r="R116" s="123"/>
      <c r="S116" s="123"/>
      <c r="T116" s="123"/>
      <c r="U116" s="123"/>
      <c r="V116" s="123"/>
      <c r="W116" s="123"/>
      <c r="X116" s="123"/>
      <c r="Y116" s="123"/>
      <c r="Z116" s="123"/>
    </row>
    <row r="117">
      <c r="A117" s="416"/>
      <c r="B117" s="134"/>
      <c r="C117" s="417"/>
      <c r="D117" s="418"/>
      <c r="E117" s="123"/>
      <c r="F117" s="123"/>
      <c r="G117" s="123"/>
      <c r="H117" s="123"/>
      <c r="I117" s="123"/>
      <c r="J117" s="123"/>
      <c r="K117" s="123"/>
      <c r="L117" s="123"/>
      <c r="M117" s="123"/>
      <c r="N117" s="123"/>
      <c r="O117" s="123"/>
      <c r="P117" s="123"/>
      <c r="Q117" s="123"/>
      <c r="R117" s="123"/>
      <c r="S117" s="123"/>
      <c r="T117" s="123"/>
      <c r="U117" s="123"/>
      <c r="V117" s="123"/>
      <c r="W117" s="123"/>
      <c r="X117" s="123"/>
      <c r="Y117" s="123"/>
      <c r="Z117" s="123"/>
    </row>
    <row r="118">
      <c r="A118" s="416"/>
      <c r="B118" s="134"/>
      <c r="C118" s="417"/>
      <c r="D118" s="418"/>
      <c r="E118" s="123"/>
      <c r="F118" s="123"/>
      <c r="G118" s="123"/>
      <c r="H118" s="123"/>
      <c r="I118" s="123"/>
      <c r="J118" s="123"/>
      <c r="K118" s="123"/>
      <c r="L118" s="123"/>
      <c r="M118" s="123"/>
      <c r="N118" s="123"/>
      <c r="O118" s="123"/>
      <c r="P118" s="123"/>
      <c r="Q118" s="123"/>
      <c r="R118" s="123"/>
      <c r="S118" s="123"/>
      <c r="T118" s="123"/>
      <c r="U118" s="123"/>
      <c r="V118" s="123"/>
      <c r="W118" s="123"/>
      <c r="X118" s="123"/>
      <c r="Y118" s="123"/>
      <c r="Z118" s="123"/>
    </row>
    <row r="119">
      <c r="A119" s="416"/>
      <c r="B119" s="134"/>
      <c r="C119" s="417"/>
      <c r="D119" s="418"/>
      <c r="E119" s="123"/>
      <c r="F119" s="123"/>
      <c r="G119" s="123"/>
      <c r="H119" s="123"/>
      <c r="I119" s="123"/>
      <c r="J119" s="123"/>
      <c r="K119" s="123"/>
      <c r="L119" s="123"/>
      <c r="M119" s="123"/>
      <c r="N119" s="123"/>
      <c r="O119" s="123"/>
      <c r="P119" s="123"/>
      <c r="Q119" s="123"/>
      <c r="R119" s="123"/>
      <c r="S119" s="123"/>
      <c r="T119" s="123"/>
      <c r="U119" s="123"/>
      <c r="V119" s="123"/>
      <c r="W119" s="123"/>
      <c r="X119" s="123"/>
      <c r="Y119" s="123"/>
      <c r="Z119" s="123"/>
    </row>
    <row r="120">
      <c r="A120" s="416"/>
      <c r="B120" s="134"/>
      <c r="C120" s="417"/>
      <c r="D120" s="418"/>
      <c r="E120" s="123"/>
      <c r="F120" s="123"/>
      <c r="G120" s="123"/>
      <c r="H120" s="123"/>
      <c r="I120" s="123"/>
      <c r="J120" s="123"/>
      <c r="K120" s="123"/>
      <c r="L120" s="123"/>
      <c r="M120" s="123"/>
      <c r="N120" s="123"/>
      <c r="O120" s="123"/>
      <c r="P120" s="123"/>
      <c r="Q120" s="123"/>
      <c r="R120" s="123"/>
      <c r="S120" s="123"/>
      <c r="T120" s="123"/>
      <c r="U120" s="123"/>
      <c r="V120" s="123"/>
      <c r="W120" s="123"/>
      <c r="X120" s="123"/>
      <c r="Y120" s="123"/>
      <c r="Z120" s="123"/>
    </row>
    <row r="121">
      <c r="A121" s="416"/>
      <c r="B121" s="134"/>
      <c r="C121" s="417"/>
      <c r="D121" s="418"/>
      <c r="E121" s="123"/>
      <c r="F121" s="123"/>
      <c r="G121" s="123"/>
      <c r="H121" s="123"/>
      <c r="I121" s="123"/>
      <c r="J121" s="123"/>
      <c r="K121" s="123"/>
      <c r="L121" s="123"/>
      <c r="M121" s="123"/>
      <c r="N121" s="123"/>
      <c r="O121" s="123"/>
      <c r="P121" s="123"/>
      <c r="Q121" s="123"/>
      <c r="R121" s="123"/>
      <c r="S121" s="123"/>
      <c r="T121" s="123"/>
      <c r="U121" s="123"/>
      <c r="V121" s="123"/>
      <c r="W121" s="123"/>
      <c r="X121" s="123"/>
      <c r="Y121" s="123"/>
      <c r="Z121" s="123"/>
    </row>
    <row r="122">
      <c r="A122" s="416"/>
      <c r="B122" s="134"/>
      <c r="C122" s="417"/>
      <c r="D122" s="418"/>
      <c r="E122" s="123"/>
      <c r="F122" s="123"/>
      <c r="G122" s="123"/>
      <c r="H122" s="123"/>
      <c r="I122" s="123"/>
      <c r="J122" s="123"/>
      <c r="K122" s="123"/>
      <c r="L122" s="123"/>
      <c r="M122" s="123"/>
      <c r="N122" s="123"/>
      <c r="O122" s="123"/>
      <c r="P122" s="123"/>
      <c r="Q122" s="123"/>
      <c r="R122" s="123"/>
      <c r="S122" s="123"/>
      <c r="T122" s="123"/>
      <c r="U122" s="123"/>
      <c r="V122" s="123"/>
      <c r="W122" s="123"/>
      <c r="X122" s="123"/>
      <c r="Y122" s="123"/>
      <c r="Z122" s="123"/>
    </row>
    <row r="123">
      <c r="A123" s="416"/>
      <c r="B123" s="134"/>
      <c r="C123" s="417"/>
      <c r="D123" s="418"/>
      <c r="E123" s="123"/>
      <c r="F123" s="123"/>
      <c r="G123" s="123"/>
      <c r="H123" s="123"/>
      <c r="I123" s="123"/>
      <c r="J123" s="123"/>
      <c r="K123" s="123"/>
      <c r="L123" s="123"/>
      <c r="M123" s="123"/>
      <c r="N123" s="123"/>
      <c r="O123" s="123"/>
      <c r="P123" s="123"/>
      <c r="Q123" s="123"/>
      <c r="R123" s="123"/>
      <c r="S123" s="123"/>
      <c r="T123" s="123"/>
      <c r="U123" s="123"/>
      <c r="V123" s="123"/>
      <c r="W123" s="123"/>
      <c r="X123" s="123"/>
      <c r="Y123" s="123"/>
      <c r="Z123" s="123"/>
    </row>
    <row r="124">
      <c r="A124" s="416"/>
      <c r="B124" s="134"/>
      <c r="C124" s="417"/>
      <c r="D124" s="418"/>
      <c r="E124" s="123"/>
      <c r="F124" s="123"/>
      <c r="G124" s="123"/>
      <c r="H124" s="123"/>
      <c r="I124" s="123"/>
      <c r="J124" s="123"/>
      <c r="K124" s="123"/>
      <c r="L124" s="123"/>
      <c r="M124" s="123"/>
      <c r="N124" s="123"/>
      <c r="O124" s="123"/>
      <c r="P124" s="123"/>
      <c r="Q124" s="123"/>
      <c r="R124" s="123"/>
      <c r="S124" s="123"/>
      <c r="T124" s="123"/>
      <c r="U124" s="123"/>
      <c r="V124" s="123"/>
      <c r="W124" s="123"/>
      <c r="X124" s="123"/>
      <c r="Y124" s="123"/>
      <c r="Z124" s="123"/>
    </row>
    <row r="125">
      <c r="A125" s="416"/>
      <c r="B125" s="134"/>
      <c r="C125" s="417"/>
      <c r="D125" s="418"/>
      <c r="E125" s="123"/>
      <c r="F125" s="123"/>
      <c r="G125" s="123"/>
      <c r="H125" s="123"/>
      <c r="I125" s="123"/>
      <c r="J125" s="123"/>
      <c r="K125" s="123"/>
      <c r="L125" s="123"/>
      <c r="M125" s="123"/>
      <c r="N125" s="123"/>
      <c r="O125" s="123"/>
      <c r="P125" s="123"/>
      <c r="Q125" s="123"/>
      <c r="R125" s="123"/>
      <c r="S125" s="123"/>
      <c r="T125" s="123"/>
      <c r="U125" s="123"/>
      <c r="V125" s="123"/>
      <c r="W125" s="123"/>
      <c r="X125" s="123"/>
      <c r="Y125" s="123"/>
      <c r="Z125" s="123"/>
    </row>
    <row r="126">
      <c r="A126" s="416"/>
      <c r="B126" s="134"/>
      <c r="C126" s="417"/>
      <c r="D126" s="418"/>
      <c r="E126" s="123"/>
      <c r="F126" s="123"/>
      <c r="G126" s="123"/>
      <c r="H126" s="123"/>
      <c r="I126" s="123"/>
      <c r="J126" s="123"/>
      <c r="K126" s="123"/>
      <c r="L126" s="123"/>
      <c r="M126" s="123"/>
      <c r="N126" s="123"/>
      <c r="O126" s="123"/>
      <c r="P126" s="123"/>
      <c r="Q126" s="123"/>
      <c r="R126" s="123"/>
      <c r="S126" s="123"/>
      <c r="T126" s="123"/>
      <c r="U126" s="123"/>
      <c r="V126" s="123"/>
      <c r="W126" s="123"/>
      <c r="X126" s="123"/>
      <c r="Y126" s="123"/>
      <c r="Z126" s="123"/>
    </row>
    <row r="127">
      <c r="A127" s="416"/>
      <c r="B127" s="134"/>
      <c r="C127" s="417"/>
      <c r="D127" s="418"/>
      <c r="E127" s="123"/>
      <c r="F127" s="123"/>
      <c r="G127" s="123"/>
      <c r="H127" s="123"/>
      <c r="I127" s="123"/>
      <c r="J127" s="123"/>
      <c r="K127" s="123"/>
      <c r="L127" s="123"/>
      <c r="M127" s="123"/>
      <c r="N127" s="123"/>
      <c r="O127" s="123"/>
      <c r="P127" s="123"/>
      <c r="Q127" s="123"/>
      <c r="R127" s="123"/>
      <c r="S127" s="123"/>
      <c r="T127" s="123"/>
      <c r="U127" s="123"/>
      <c r="V127" s="123"/>
      <c r="W127" s="123"/>
      <c r="X127" s="123"/>
      <c r="Y127" s="123"/>
      <c r="Z127" s="123"/>
    </row>
    <row r="128">
      <c r="A128" s="416"/>
      <c r="B128" s="134"/>
      <c r="C128" s="417"/>
      <c r="D128" s="418"/>
      <c r="E128" s="123"/>
      <c r="F128" s="123"/>
      <c r="G128" s="123"/>
      <c r="H128" s="123"/>
      <c r="I128" s="123"/>
      <c r="J128" s="123"/>
      <c r="K128" s="123"/>
      <c r="L128" s="123"/>
      <c r="M128" s="123"/>
      <c r="N128" s="123"/>
      <c r="O128" s="123"/>
      <c r="P128" s="123"/>
      <c r="Q128" s="123"/>
      <c r="R128" s="123"/>
      <c r="S128" s="123"/>
      <c r="T128" s="123"/>
      <c r="U128" s="123"/>
      <c r="V128" s="123"/>
      <c r="W128" s="123"/>
      <c r="X128" s="123"/>
      <c r="Y128" s="123"/>
      <c r="Z128" s="123"/>
    </row>
    <row r="129">
      <c r="A129" s="416"/>
      <c r="B129" s="134"/>
      <c r="C129" s="417"/>
      <c r="D129" s="418"/>
      <c r="E129" s="123"/>
      <c r="F129" s="123"/>
      <c r="G129" s="123"/>
      <c r="H129" s="123"/>
      <c r="I129" s="123"/>
      <c r="J129" s="123"/>
      <c r="K129" s="123"/>
      <c r="L129" s="123"/>
      <c r="M129" s="123"/>
      <c r="N129" s="123"/>
      <c r="O129" s="123"/>
      <c r="P129" s="123"/>
      <c r="Q129" s="123"/>
      <c r="R129" s="123"/>
      <c r="S129" s="123"/>
      <c r="T129" s="123"/>
      <c r="U129" s="123"/>
      <c r="V129" s="123"/>
      <c r="W129" s="123"/>
      <c r="X129" s="123"/>
      <c r="Y129" s="123"/>
      <c r="Z129" s="123"/>
    </row>
    <row r="130">
      <c r="A130" s="416"/>
      <c r="B130" s="134"/>
      <c r="C130" s="417"/>
      <c r="D130" s="418"/>
      <c r="E130" s="123"/>
      <c r="F130" s="123"/>
      <c r="G130" s="123"/>
      <c r="H130" s="123"/>
      <c r="I130" s="123"/>
      <c r="J130" s="123"/>
      <c r="K130" s="123"/>
      <c r="L130" s="123"/>
      <c r="M130" s="123"/>
      <c r="N130" s="123"/>
      <c r="O130" s="123"/>
      <c r="P130" s="123"/>
      <c r="Q130" s="123"/>
      <c r="R130" s="123"/>
      <c r="S130" s="123"/>
      <c r="T130" s="123"/>
      <c r="U130" s="123"/>
      <c r="V130" s="123"/>
      <c r="W130" s="123"/>
      <c r="X130" s="123"/>
      <c r="Y130" s="123"/>
      <c r="Z130" s="123"/>
    </row>
    <row r="131">
      <c r="A131" s="416"/>
      <c r="B131" s="134"/>
      <c r="C131" s="417"/>
      <c r="D131" s="418"/>
      <c r="E131" s="123"/>
      <c r="F131" s="123"/>
      <c r="G131" s="123"/>
      <c r="H131" s="123"/>
      <c r="I131" s="123"/>
      <c r="J131" s="123"/>
      <c r="K131" s="123"/>
      <c r="L131" s="123"/>
      <c r="M131" s="123"/>
      <c r="N131" s="123"/>
      <c r="O131" s="123"/>
      <c r="P131" s="123"/>
      <c r="Q131" s="123"/>
      <c r="R131" s="123"/>
      <c r="S131" s="123"/>
      <c r="T131" s="123"/>
      <c r="U131" s="123"/>
      <c r="V131" s="123"/>
      <c r="W131" s="123"/>
      <c r="X131" s="123"/>
      <c r="Y131" s="123"/>
      <c r="Z131" s="123"/>
    </row>
    <row r="132">
      <c r="A132" s="416"/>
      <c r="B132" s="134"/>
      <c r="C132" s="417"/>
      <c r="D132" s="418"/>
      <c r="E132" s="123"/>
      <c r="F132" s="123"/>
      <c r="G132" s="123"/>
      <c r="H132" s="123"/>
      <c r="I132" s="123"/>
      <c r="J132" s="123"/>
      <c r="K132" s="123"/>
      <c r="L132" s="123"/>
      <c r="M132" s="123"/>
      <c r="N132" s="123"/>
      <c r="O132" s="123"/>
      <c r="P132" s="123"/>
      <c r="Q132" s="123"/>
      <c r="R132" s="123"/>
      <c r="S132" s="123"/>
      <c r="T132" s="123"/>
      <c r="U132" s="123"/>
      <c r="V132" s="123"/>
      <c r="W132" s="123"/>
      <c r="X132" s="123"/>
      <c r="Y132" s="123"/>
      <c r="Z132" s="123"/>
    </row>
    <row r="133">
      <c r="A133" s="416"/>
      <c r="B133" s="134"/>
      <c r="C133" s="417"/>
      <c r="D133" s="418"/>
      <c r="E133" s="123"/>
      <c r="F133" s="123"/>
      <c r="G133" s="123"/>
      <c r="H133" s="123"/>
      <c r="I133" s="123"/>
      <c r="J133" s="123"/>
      <c r="K133" s="123"/>
      <c r="L133" s="123"/>
      <c r="M133" s="123"/>
      <c r="N133" s="123"/>
      <c r="O133" s="123"/>
      <c r="P133" s="123"/>
      <c r="Q133" s="123"/>
      <c r="R133" s="123"/>
      <c r="S133" s="123"/>
      <c r="T133" s="123"/>
      <c r="U133" s="123"/>
      <c r="V133" s="123"/>
      <c r="W133" s="123"/>
      <c r="X133" s="123"/>
      <c r="Y133" s="123"/>
      <c r="Z133" s="123"/>
    </row>
    <row r="134">
      <c r="A134" s="416"/>
      <c r="B134" s="134"/>
      <c r="C134" s="417"/>
      <c r="D134" s="418"/>
      <c r="E134" s="123"/>
      <c r="F134" s="123"/>
      <c r="G134" s="123"/>
      <c r="H134" s="123"/>
      <c r="I134" s="123"/>
      <c r="J134" s="123"/>
      <c r="K134" s="123"/>
      <c r="L134" s="123"/>
      <c r="M134" s="123"/>
      <c r="N134" s="123"/>
      <c r="O134" s="123"/>
      <c r="P134" s="123"/>
      <c r="Q134" s="123"/>
      <c r="R134" s="123"/>
      <c r="S134" s="123"/>
      <c r="T134" s="123"/>
      <c r="U134" s="123"/>
      <c r="V134" s="123"/>
      <c r="W134" s="123"/>
      <c r="X134" s="123"/>
      <c r="Y134" s="123"/>
      <c r="Z134" s="123"/>
    </row>
    <row r="135">
      <c r="A135" s="416"/>
      <c r="B135" s="134"/>
      <c r="C135" s="417"/>
      <c r="D135" s="418"/>
      <c r="E135" s="123"/>
      <c r="F135" s="123"/>
      <c r="G135" s="123"/>
      <c r="H135" s="123"/>
      <c r="I135" s="123"/>
      <c r="J135" s="123"/>
      <c r="K135" s="123"/>
      <c r="L135" s="123"/>
      <c r="M135" s="123"/>
      <c r="N135" s="123"/>
      <c r="O135" s="123"/>
      <c r="P135" s="123"/>
      <c r="Q135" s="123"/>
      <c r="R135" s="123"/>
      <c r="S135" s="123"/>
      <c r="T135" s="123"/>
      <c r="U135" s="123"/>
      <c r="V135" s="123"/>
      <c r="W135" s="123"/>
      <c r="X135" s="123"/>
      <c r="Y135" s="123"/>
      <c r="Z135" s="123"/>
    </row>
    <row r="136">
      <c r="A136" s="416"/>
      <c r="B136" s="134"/>
      <c r="C136" s="417"/>
      <c r="D136" s="418"/>
      <c r="E136" s="123"/>
      <c r="F136" s="123"/>
      <c r="G136" s="123"/>
      <c r="H136" s="123"/>
      <c r="I136" s="123"/>
      <c r="J136" s="123"/>
      <c r="K136" s="123"/>
      <c r="L136" s="123"/>
      <c r="M136" s="123"/>
      <c r="N136" s="123"/>
      <c r="O136" s="123"/>
      <c r="P136" s="123"/>
      <c r="Q136" s="123"/>
      <c r="R136" s="123"/>
      <c r="S136" s="123"/>
      <c r="T136" s="123"/>
      <c r="U136" s="123"/>
      <c r="V136" s="123"/>
      <c r="W136" s="123"/>
      <c r="X136" s="123"/>
      <c r="Y136" s="123"/>
      <c r="Z136" s="123"/>
    </row>
    <row r="137">
      <c r="A137" s="416"/>
      <c r="B137" s="134"/>
      <c r="C137" s="417"/>
      <c r="D137" s="418"/>
      <c r="E137" s="123"/>
      <c r="F137" s="123"/>
      <c r="G137" s="123"/>
      <c r="H137" s="123"/>
      <c r="I137" s="123"/>
      <c r="J137" s="123"/>
      <c r="K137" s="123"/>
      <c r="L137" s="123"/>
      <c r="M137" s="123"/>
      <c r="N137" s="123"/>
      <c r="O137" s="123"/>
      <c r="P137" s="123"/>
      <c r="Q137" s="123"/>
      <c r="R137" s="123"/>
      <c r="S137" s="123"/>
      <c r="T137" s="123"/>
      <c r="U137" s="123"/>
      <c r="V137" s="123"/>
      <c r="W137" s="123"/>
      <c r="X137" s="123"/>
      <c r="Y137" s="123"/>
      <c r="Z137" s="123"/>
    </row>
    <row r="138">
      <c r="A138" s="416"/>
      <c r="B138" s="134"/>
      <c r="C138" s="417"/>
      <c r="D138" s="418"/>
      <c r="E138" s="123"/>
      <c r="F138" s="123"/>
      <c r="G138" s="123"/>
      <c r="H138" s="123"/>
      <c r="I138" s="123"/>
      <c r="J138" s="123"/>
      <c r="K138" s="123"/>
      <c r="L138" s="123"/>
      <c r="M138" s="123"/>
      <c r="N138" s="123"/>
      <c r="O138" s="123"/>
      <c r="P138" s="123"/>
      <c r="Q138" s="123"/>
      <c r="R138" s="123"/>
      <c r="S138" s="123"/>
      <c r="T138" s="123"/>
      <c r="U138" s="123"/>
      <c r="V138" s="123"/>
      <c r="W138" s="123"/>
      <c r="X138" s="123"/>
      <c r="Y138" s="123"/>
      <c r="Z138" s="123"/>
    </row>
    <row r="139">
      <c r="A139" s="416"/>
      <c r="B139" s="134"/>
      <c r="C139" s="417"/>
      <c r="D139" s="418"/>
      <c r="E139" s="123"/>
      <c r="F139" s="123"/>
      <c r="G139" s="123"/>
      <c r="H139" s="123"/>
      <c r="I139" s="123"/>
      <c r="J139" s="123"/>
      <c r="K139" s="123"/>
      <c r="L139" s="123"/>
      <c r="M139" s="123"/>
      <c r="N139" s="123"/>
      <c r="O139" s="123"/>
      <c r="P139" s="123"/>
      <c r="Q139" s="123"/>
      <c r="R139" s="123"/>
      <c r="S139" s="123"/>
      <c r="T139" s="123"/>
      <c r="U139" s="123"/>
      <c r="V139" s="123"/>
      <c r="W139" s="123"/>
      <c r="X139" s="123"/>
      <c r="Y139" s="123"/>
      <c r="Z139" s="123"/>
    </row>
    <row r="140">
      <c r="A140" s="416"/>
      <c r="B140" s="134"/>
      <c r="C140" s="417"/>
      <c r="D140" s="418"/>
      <c r="E140" s="123"/>
      <c r="F140" s="123"/>
      <c r="G140" s="123"/>
      <c r="H140" s="123"/>
      <c r="I140" s="123"/>
      <c r="J140" s="123"/>
      <c r="K140" s="123"/>
      <c r="L140" s="123"/>
      <c r="M140" s="123"/>
      <c r="N140" s="123"/>
      <c r="O140" s="123"/>
      <c r="P140" s="123"/>
      <c r="Q140" s="123"/>
      <c r="R140" s="123"/>
      <c r="S140" s="123"/>
      <c r="T140" s="123"/>
      <c r="U140" s="123"/>
      <c r="V140" s="123"/>
      <c r="W140" s="123"/>
      <c r="X140" s="123"/>
      <c r="Y140" s="123"/>
      <c r="Z140" s="123"/>
    </row>
    <row r="141">
      <c r="A141" s="416"/>
      <c r="B141" s="134"/>
      <c r="C141" s="417"/>
      <c r="D141" s="418"/>
      <c r="E141" s="123"/>
      <c r="F141" s="123"/>
      <c r="G141" s="123"/>
      <c r="H141" s="123"/>
      <c r="I141" s="123"/>
      <c r="J141" s="123"/>
      <c r="K141" s="123"/>
      <c r="L141" s="123"/>
      <c r="M141" s="123"/>
      <c r="N141" s="123"/>
      <c r="O141" s="123"/>
      <c r="P141" s="123"/>
      <c r="Q141" s="123"/>
      <c r="R141" s="123"/>
      <c r="S141" s="123"/>
      <c r="T141" s="123"/>
      <c r="U141" s="123"/>
      <c r="V141" s="123"/>
      <c r="W141" s="123"/>
      <c r="X141" s="123"/>
      <c r="Y141" s="123"/>
      <c r="Z141" s="123"/>
    </row>
    <row r="142">
      <c r="A142" s="416"/>
      <c r="B142" s="134"/>
      <c r="C142" s="417"/>
      <c r="D142" s="418"/>
      <c r="E142" s="123"/>
      <c r="F142" s="123"/>
      <c r="G142" s="123"/>
      <c r="H142" s="123"/>
      <c r="I142" s="123"/>
      <c r="J142" s="123"/>
      <c r="K142" s="123"/>
      <c r="L142" s="123"/>
      <c r="M142" s="123"/>
      <c r="N142" s="123"/>
      <c r="O142" s="123"/>
      <c r="P142" s="123"/>
      <c r="Q142" s="123"/>
      <c r="R142" s="123"/>
      <c r="S142" s="123"/>
      <c r="T142" s="123"/>
      <c r="U142" s="123"/>
      <c r="V142" s="123"/>
      <c r="W142" s="123"/>
      <c r="X142" s="123"/>
      <c r="Y142" s="123"/>
      <c r="Z142" s="123"/>
    </row>
    <row r="143">
      <c r="A143" s="416"/>
      <c r="B143" s="134"/>
      <c r="C143" s="417"/>
      <c r="D143" s="418"/>
      <c r="E143" s="123"/>
      <c r="F143" s="123"/>
      <c r="G143" s="123"/>
      <c r="H143" s="123"/>
      <c r="I143" s="123"/>
      <c r="J143" s="123"/>
      <c r="K143" s="123"/>
      <c r="L143" s="123"/>
      <c r="M143" s="123"/>
      <c r="N143" s="123"/>
      <c r="O143" s="123"/>
      <c r="P143" s="123"/>
      <c r="Q143" s="123"/>
      <c r="R143" s="123"/>
      <c r="S143" s="123"/>
      <c r="T143" s="123"/>
      <c r="U143" s="123"/>
      <c r="V143" s="123"/>
      <c r="W143" s="123"/>
      <c r="X143" s="123"/>
      <c r="Y143" s="123"/>
      <c r="Z143" s="123"/>
    </row>
    <row r="144">
      <c r="A144" s="416"/>
      <c r="B144" s="134"/>
      <c r="C144" s="417"/>
      <c r="D144" s="418"/>
      <c r="E144" s="123"/>
      <c r="F144" s="123"/>
      <c r="G144" s="123"/>
      <c r="H144" s="123"/>
      <c r="I144" s="123"/>
      <c r="J144" s="123"/>
      <c r="K144" s="123"/>
      <c r="L144" s="123"/>
      <c r="M144" s="123"/>
      <c r="N144" s="123"/>
      <c r="O144" s="123"/>
      <c r="P144" s="123"/>
      <c r="Q144" s="123"/>
      <c r="R144" s="123"/>
      <c r="S144" s="123"/>
      <c r="T144" s="123"/>
      <c r="U144" s="123"/>
      <c r="V144" s="123"/>
      <c r="W144" s="123"/>
      <c r="X144" s="123"/>
      <c r="Y144" s="123"/>
      <c r="Z144" s="123"/>
    </row>
    <row r="145">
      <c r="A145" s="416"/>
      <c r="B145" s="134"/>
      <c r="C145" s="417"/>
      <c r="D145" s="418"/>
      <c r="E145" s="123"/>
      <c r="F145" s="123"/>
      <c r="G145" s="123"/>
      <c r="H145" s="123"/>
      <c r="I145" s="123"/>
      <c r="J145" s="123"/>
      <c r="K145" s="123"/>
      <c r="L145" s="123"/>
      <c r="M145" s="123"/>
      <c r="N145" s="123"/>
      <c r="O145" s="123"/>
      <c r="P145" s="123"/>
      <c r="Q145" s="123"/>
      <c r="R145" s="123"/>
      <c r="S145" s="123"/>
      <c r="T145" s="123"/>
      <c r="U145" s="123"/>
      <c r="V145" s="123"/>
      <c r="W145" s="123"/>
      <c r="X145" s="123"/>
      <c r="Y145" s="123"/>
      <c r="Z145" s="123"/>
    </row>
    <row r="146">
      <c r="A146" s="416"/>
      <c r="B146" s="134"/>
      <c r="C146" s="417"/>
      <c r="D146" s="418"/>
      <c r="E146" s="123"/>
      <c r="F146" s="123"/>
      <c r="G146" s="123"/>
      <c r="H146" s="123"/>
      <c r="I146" s="123"/>
      <c r="J146" s="123"/>
      <c r="K146" s="123"/>
      <c r="L146" s="123"/>
      <c r="M146" s="123"/>
      <c r="N146" s="123"/>
      <c r="O146" s="123"/>
      <c r="P146" s="123"/>
      <c r="Q146" s="123"/>
      <c r="R146" s="123"/>
      <c r="S146" s="123"/>
      <c r="T146" s="123"/>
      <c r="U146" s="123"/>
      <c r="V146" s="123"/>
      <c r="W146" s="123"/>
      <c r="X146" s="123"/>
      <c r="Y146" s="123"/>
      <c r="Z146" s="123"/>
    </row>
    <row r="147">
      <c r="A147" s="416"/>
      <c r="B147" s="134"/>
      <c r="C147" s="417"/>
      <c r="D147" s="418"/>
      <c r="E147" s="123"/>
      <c r="F147" s="123"/>
      <c r="G147" s="123"/>
      <c r="H147" s="123"/>
      <c r="I147" s="123"/>
      <c r="J147" s="123"/>
      <c r="K147" s="123"/>
      <c r="L147" s="123"/>
      <c r="M147" s="123"/>
      <c r="N147" s="123"/>
      <c r="O147" s="123"/>
      <c r="P147" s="123"/>
      <c r="Q147" s="123"/>
      <c r="R147" s="123"/>
      <c r="S147" s="123"/>
      <c r="T147" s="123"/>
      <c r="U147" s="123"/>
      <c r="V147" s="123"/>
      <c r="W147" s="123"/>
      <c r="X147" s="123"/>
      <c r="Y147" s="123"/>
      <c r="Z147" s="123"/>
    </row>
    <row r="148">
      <c r="A148" s="416"/>
      <c r="B148" s="134"/>
      <c r="C148" s="417"/>
      <c r="D148" s="418"/>
      <c r="E148" s="123"/>
      <c r="F148" s="123"/>
      <c r="G148" s="123"/>
      <c r="H148" s="123"/>
      <c r="I148" s="123"/>
      <c r="J148" s="123"/>
      <c r="K148" s="123"/>
      <c r="L148" s="123"/>
      <c r="M148" s="123"/>
      <c r="N148" s="123"/>
      <c r="O148" s="123"/>
      <c r="P148" s="123"/>
      <c r="Q148" s="123"/>
      <c r="R148" s="123"/>
      <c r="S148" s="123"/>
      <c r="T148" s="123"/>
      <c r="U148" s="123"/>
      <c r="V148" s="123"/>
      <c r="W148" s="123"/>
      <c r="X148" s="123"/>
      <c r="Y148" s="123"/>
      <c r="Z148" s="123"/>
    </row>
    <row r="149">
      <c r="A149" s="416"/>
      <c r="B149" s="134"/>
      <c r="C149" s="417"/>
      <c r="D149" s="418"/>
      <c r="E149" s="123"/>
      <c r="F149" s="123"/>
      <c r="G149" s="123"/>
      <c r="H149" s="123"/>
      <c r="I149" s="123"/>
      <c r="J149" s="123"/>
      <c r="K149" s="123"/>
      <c r="L149" s="123"/>
      <c r="M149" s="123"/>
      <c r="N149" s="123"/>
      <c r="O149" s="123"/>
      <c r="P149" s="123"/>
      <c r="Q149" s="123"/>
      <c r="R149" s="123"/>
      <c r="S149" s="123"/>
      <c r="T149" s="123"/>
      <c r="U149" s="123"/>
      <c r="V149" s="123"/>
      <c r="W149" s="123"/>
      <c r="X149" s="123"/>
      <c r="Y149" s="123"/>
      <c r="Z149" s="123"/>
    </row>
    <row r="150">
      <c r="A150" s="416"/>
      <c r="B150" s="134"/>
      <c r="C150" s="417"/>
      <c r="D150" s="418"/>
      <c r="E150" s="123"/>
      <c r="F150" s="123"/>
      <c r="G150" s="123"/>
      <c r="H150" s="123"/>
      <c r="I150" s="123"/>
      <c r="J150" s="123"/>
      <c r="K150" s="123"/>
      <c r="L150" s="123"/>
      <c r="M150" s="123"/>
      <c r="N150" s="123"/>
      <c r="O150" s="123"/>
      <c r="P150" s="123"/>
      <c r="Q150" s="123"/>
      <c r="R150" s="123"/>
      <c r="S150" s="123"/>
      <c r="T150" s="123"/>
      <c r="U150" s="123"/>
      <c r="V150" s="123"/>
      <c r="W150" s="123"/>
      <c r="X150" s="123"/>
      <c r="Y150" s="123"/>
      <c r="Z150" s="123"/>
    </row>
    <row r="151">
      <c r="A151" s="416"/>
      <c r="B151" s="134"/>
      <c r="C151" s="417"/>
      <c r="D151" s="418"/>
      <c r="E151" s="123"/>
      <c r="F151" s="123"/>
      <c r="G151" s="123"/>
      <c r="H151" s="123"/>
      <c r="I151" s="123"/>
      <c r="J151" s="123"/>
      <c r="K151" s="123"/>
      <c r="L151" s="123"/>
      <c r="M151" s="123"/>
      <c r="N151" s="123"/>
      <c r="O151" s="123"/>
      <c r="P151" s="123"/>
      <c r="Q151" s="123"/>
      <c r="R151" s="123"/>
      <c r="S151" s="123"/>
      <c r="T151" s="123"/>
      <c r="U151" s="123"/>
      <c r="V151" s="123"/>
      <c r="W151" s="123"/>
      <c r="X151" s="123"/>
      <c r="Y151" s="123"/>
      <c r="Z151" s="123"/>
    </row>
    <row r="152">
      <c r="A152" s="416"/>
      <c r="B152" s="134"/>
      <c r="C152" s="417"/>
      <c r="D152" s="418"/>
      <c r="E152" s="123"/>
      <c r="F152" s="123"/>
      <c r="G152" s="123"/>
      <c r="H152" s="123"/>
      <c r="I152" s="123"/>
      <c r="J152" s="123"/>
      <c r="K152" s="123"/>
      <c r="L152" s="123"/>
      <c r="M152" s="123"/>
      <c r="N152" s="123"/>
      <c r="O152" s="123"/>
      <c r="P152" s="123"/>
      <c r="Q152" s="123"/>
      <c r="R152" s="123"/>
      <c r="S152" s="123"/>
      <c r="T152" s="123"/>
      <c r="U152" s="123"/>
      <c r="V152" s="123"/>
      <c r="W152" s="123"/>
      <c r="X152" s="123"/>
      <c r="Y152" s="123"/>
      <c r="Z152" s="123"/>
    </row>
    <row r="153">
      <c r="A153" s="416"/>
      <c r="B153" s="134"/>
      <c r="C153" s="417"/>
      <c r="D153" s="418"/>
      <c r="E153" s="123"/>
      <c r="F153" s="123"/>
      <c r="G153" s="123"/>
      <c r="H153" s="123"/>
      <c r="I153" s="123"/>
      <c r="J153" s="123"/>
      <c r="K153" s="123"/>
      <c r="L153" s="123"/>
      <c r="M153" s="123"/>
      <c r="N153" s="123"/>
      <c r="O153" s="123"/>
      <c r="P153" s="123"/>
      <c r="Q153" s="123"/>
      <c r="R153" s="123"/>
      <c r="S153" s="123"/>
      <c r="T153" s="123"/>
      <c r="U153" s="123"/>
      <c r="V153" s="123"/>
      <c r="W153" s="123"/>
      <c r="X153" s="123"/>
      <c r="Y153" s="123"/>
      <c r="Z153" s="123"/>
    </row>
    <row r="154">
      <c r="A154" s="416"/>
      <c r="B154" s="134"/>
      <c r="C154" s="417"/>
      <c r="D154" s="418"/>
      <c r="E154" s="123"/>
      <c r="F154" s="123"/>
      <c r="G154" s="123"/>
      <c r="H154" s="123"/>
      <c r="I154" s="123"/>
      <c r="J154" s="123"/>
      <c r="K154" s="123"/>
      <c r="L154" s="123"/>
      <c r="M154" s="123"/>
      <c r="N154" s="123"/>
      <c r="O154" s="123"/>
      <c r="P154" s="123"/>
      <c r="Q154" s="123"/>
      <c r="R154" s="123"/>
      <c r="S154" s="123"/>
      <c r="T154" s="123"/>
      <c r="U154" s="123"/>
      <c r="V154" s="123"/>
      <c r="W154" s="123"/>
      <c r="X154" s="123"/>
      <c r="Y154" s="123"/>
      <c r="Z154" s="123"/>
    </row>
    <row r="155">
      <c r="A155" s="416"/>
      <c r="B155" s="134"/>
      <c r="C155" s="417"/>
      <c r="D155" s="418"/>
      <c r="E155" s="123"/>
      <c r="F155" s="123"/>
      <c r="G155" s="123"/>
      <c r="H155" s="123"/>
      <c r="I155" s="123"/>
      <c r="J155" s="123"/>
      <c r="K155" s="123"/>
      <c r="L155" s="123"/>
      <c r="M155" s="123"/>
      <c r="N155" s="123"/>
      <c r="O155" s="123"/>
      <c r="P155" s="123"/>
      <c r="Q155" s="123"/>
      <c r="R155" s="123"/>
      <c r="S155" s="123"/>
      <c r="T155" s="123"/>
      <c r="U155" s="123"/>
      <c r="V155" s="123"/>
      <c r="W155" s="123"/>
      <c r="X155" s="123"/>
      <c r="Y155" s="123"/>
      <c r="Z155" s="123"/>
    </row>
    <row r="156">
      <c r="A156" s="416"/>
      <c r="B156" s="134"/>
      <c r="C156" s="417"/>
      <c r="D156" s="418"/>
      <c r="E156" s="123"/>
      <c r="F156" s="123"/>
      <c r="G156" s="123"/>
      <c r="H156" s="123"/>
      <c r="I156" s="123"/>
      <c r="J156" s="123"/>
      <c r="K156" s="123"/>
      <c r="L156" s="123"/>
      <c r="M156" s="123"/>
      <c r="N156" s="123"/>
      <c r="O156" s="123"/>
      <c r="P156" s="123"/>
      <c r="Q156" s="123"/>
      <c r="R156" s="123"/>
      <c r="S156" s="123"/>
      <c r="T156" s="123"/>
      <c r="U156" s="123"/>
      <c r="V156" s="123"/>
      <c r="W156" s="123"/>
      <c r="X156" s="123"/>
      <c r="Y156" s="123"/>
      <c r="Z156" s="123"/>
    </row>
    <row r="157">
      <c r="A157" s="416"/>
      <c r="B157" s="134"/>
      <c r="C157" s="417"/>
      <c r="D157" s="418"/>
      <c r="E157" s="123"/>
      <c r="F157" s="123"/>
      <c r="G157" s="123"/>
      <c r="H157" s="123"/>
      <c r="I157" s="123"/>
      <c r="J157" s="123"/>
      <c r="K157" s="123"/>
      <c r="L157" s="123"/>
      <c r="M157" s="123"/>
      <c r="N157" s="123"/>
      <c r="O157" s="123"/>
      <c r="P157" s="123"/>
      <c r="Q157" s="123"/>
      <c r="R157" s="123"/>
      <c r="S157" s="123"/>
      <c r="T157" s="123"/>
      <c r="U157" s="123"/>
      <c r="V157" s="123"/>
      <c r="W157" s="123"/>
      <c r="X157" s="123"/>
      <c r="Y157" s="123"/>
      <c r="Z157" s="123"/>
    </row>
    <row r="158">
      <c r="A158" s="416"/>
      <c r="B158" s="134"/>
      <c r="C158" s="417"/>
      <c r="D158" s="418"/>
      <c r="E158" s="123"/>
      <c r="F158" s="123"/>
      <c r="G158" s="123"/>
      <c r="H158" s="123"/>
      <c r="I158" s="123"/>
      <c r="J158" s="123"/>
      <c r="K158" s="123"/>
      <c r="L158" s="123"/>
      <c r="M158" s="123"/>
      <c r="N158" s="123"/>
      <c r="O158" s="123"/>
      <c r="P158" s="123"/>
      <c r="Q158" s="123"/>
      <c r="R158" s="123"/>
      <c r="S158" s="123"/>
      <c r="T158" s="123"/>
      <c r="U158" s="123"/>
      <c r="V158" s="123"/>
      <c r="W158" s="123"/>
      <c r="X158" s="123"/>
      <c r="Y158" s="123"/>
      <c r="Z158" s="123"/>
    </row>
    <row r="159">
      <c r="A159" s="416"/>
      <c r="B159" s="134"/>
      <c r="C159" s="417"/>
      <c r="D159" s="418"/>
      <c r="E159" s="123"/>
      <c r="F159" s="123"/>
      <c r="G159" s="123"/>
      <c r="H159" s="123"/>
      <c r="I159" s="123"/>
      <c r="J159" s="123"/>
      <c r="K159" s="123"/>
      <c r="L159" s="123"/>
      <c r="M159" s="123"/>
      <c r="N159" s="123"/>
      <c r="O159" s="123"/>
      <c r="P159" s="123"/>
      <c r="Q159" s="123"/>
      <c r="R159" s="123"/>
      <c r="S159" s="123"/>
      <c r="T159" s="123"/>
      <c r="U159" s="123"/>
      <c r="V159" s="123"/>
      <c r="W159" s="123"/>
      <c r="X159" s="123"/>
      <c r="Y159" s="123"/>
      <c r="Z159" s="123"/>
    </row>
    <row r="160">
      <c r="A160" s="416"/>
      <c r="B160" s="134"/>
      <c r="C160" s="417"/>
      <c r="D160" s="418"/>
      <c r="E160" s="123"/>
      <c r="F160" s="123"/>
      <c r="G160" s="123"/>
      <c r="H160" s="123"/>
      <c r="I160" s="123"/>
      <c r="J160" s="123"/>
      <c r="K160" s="123"/>
      <c r="L160" s="123"/>
      <c r="M160" s="123"/>
      <c r="N160" s="123"/>
      <c r="O160" s="123"/>
      <c r="P160" s="123"/>
      <c r="Q160" s="123"/>
      <c r="R160" s="123"/>
      <c r="S160" s="123"/>
      <c r="T160" s="123"/>
      <c r="U160" s="123"/>
      <c r="V160" s="123"/>
      <c r="W160" s="123"/>
      <c r="X160" s="123"/>
      <c r="Y160" s="123"/>
      <c r="Z160" s="123"/>
    </row>
    <row r="161">
      <c r="A161" s="416"/>
      <c r="B161" s="134"/>
      <c r="C161" s="417"/>
      <c r="D161" s="418"/>
      <c r="E161" s="123"/>
      <c r="F161" s="123"/>
      <c r="G161" s="123"/>
      <c r="H161" s="123"/>
      <c r="I161" s="123"/>
      <c r="J161" s="123"/>
      <c r="K161" s="123"/>
      <c r="L161" s="123"/>
      <c r="M161" s="123"/>
      <c r="N161" s="123"/>
      <c r="O161" s="123"/>
      <c r="P161" s="123"/>
      <c r="Q161" s="123"/>
      <c r="R161" s="123"/>
      <c r="S161" s="123"/>
      <c r="T161" s="123"/>
      <c r="U161" s="123"/>
      <c r="V161" s="123"/>
      <c r="W161" s="123"/>
      <c r="X161" s="123"/>
      <c r="Y161" s="123"/>
      <c r="Z161" s="123"/>
    </row>
    <row r="162">
      <c r="A162" s="416"/>
      <c r="B162" s="134"/>
      <c r="C162" s="417"/>
      <c r="D162" s="418"/>
      <c r="E162" s="123"/>
      <c r="F162" s="123"/>
      <c r="G162" s="123"/>
      <c r="H162" s="123"/>
      <c r="I162" s="123"/>
      <c r="J162" s="123"/>
      <c r="K162" s="123"/>
      <c r="L162" s="123"/>
      <c r="M162" s="123"/>
      <c r="N162" s="123"/>
      <c r="O162" s="123"/>
      <c r="P162" s="123"/>
      <c r="Q162" s="123"/>
      <c r="R162" s="123"/>
      <c r="S162" s="123"/>
      <c r="T162" s="123"/>
      <c r="U162" s="123"/>
      <c r="V162" s="123"/>
      <c r="W162" s="123"/>
      <c r="X162" s="123"/>
      <c r="Y162" s="123"/>
      <c r="Z162" s="123"/>
    </row>
    <row r="163">
      <c r="A163" s="416"/>
      <c r="B163" s="134"/>
      <c r="C163" s="417"/>
      <c r="D163" s="418"/>
      <c r="E163" s="123"/>
      <c r="F163" s="123"/>
      <c r="G163" s="123"/>
      <c r="H163" s="123"/>
      <c r="I163" s="123"/>
      <c r="J163" s="123"/>
      <c r="K163" s="123"/>
      <c r="L163" s="123"/>
      <c r="M163" s="123"/>
      <c r="N163" s="123"/>
      <c r="O163" s="123"/>
      <c r="P163" s="123"/>
      <c r="Q163" s="123"/>
      <c r="R163" s="123"/>
      <c r="S163" s="123"/>
      <c r="T163" s="123"/>
      <c r="U163" s="123"/>
      <c r="V163" s="123"/>
      <c r="W163" s="123"/>
      <c r="X163" s="123"/>
      <c r="Y163" s="123"/>
      <c r="Z163" s="123"/>
    </row>
    <row r="164">
      <c r="A164" s="416"/>
      <c r="B164" s="134"/>
      <c r="C164" s="417"/>
      <c r="D164" s="418"/>
      <c r="E164" s="123"/>
      <c r="F164" s="123"/>
      <c r="G164" s="123"/>
      <c r="H164" s="123"/>
      <c r="I164" s="123"/>
      <c r="J164" s="123"/>
      <c r="K164" s="123"/>
      <c r="L164" s="123"/>
      <c r="M164" s="123"/>
      <c r="N164" s="123"/>
      <c r="O164" s="123"/>
      <c r="P164" s="123"/>
      <c r="Q164" s="123"/>
      <c r="R164" s="123"/>
      <c r="S164" s="123"/>
      <c r="T164" s="123"/>
      <c r="U164" s="123"/>
      <c r="V164" s="123"/>
      <c r="W164" s="123"/>
      <c r="X164" s="123"/>
      <c r="Y164" s="123"/>
      <c r="Z164" s="123"/>
    </row>
    <row r="165">
      <c r="A165" s="416"/>
      <c r="B165" s="134"/>
      <c r="C165" s="417"/>
      <c r="D165" s="418"/>
      <c r="E165" s="123"/>
      <c r="F165" s="123"/>
      <c r="G165" s="123"/>
      <c r="H165" s="123"/>
      <c r="I165" s="123"/>
      <c r="J165" s="123"/>
      <c r="K165" s="123"/>
      <c r="L165" s="123"/>
      <c r="M165" s="123"/>
      <c r="N165" s="123"/>
      <c r="O165" s="123"/>
      <c r="P165" s="123"/>
      <c r="Q165" s="123"/>
      <c r="R165" s="123"/>
      <c r="S165" s="123"/>
      <c r="T165" s="123"/>
      <c r="U165" s="123"/>
      <c r="V165" s="123"/>
      <c r="W165" s="123"/>
      <c r="X165" s="123"/>
      <c r="Y165" s="123"/>
      <c r="Z165" s="123"/>
    </row>
    <row r="166">
      <c r="A166" s="416"/>
      <c r="B166" s="134"/>
      <c r="C166" s="417"/>
      <c r="D166" s="418"/>
      <c r="E166" s="123"/>
      <c r="F166" s="123"/>
      <c r="G166" s="123"/>
      <c r="H166" s="123"/>
      <c r="I166" s="123"/>
      <c r="J166" s="123"/>
      <c r="K166" s="123"/>
      <c r="L166" s="123"/>
      <c r="M166" s="123"/>
      <c r="N166" s="123"/>
      <c r="O166" s="123"/>
      <c r="P166" s="123"/>
      <c r="Q166" s="123"/>
      <c r="R166" s="123"/>
      <c r="S166" s="123"/>
      <c r="T166" s="123"/>
      <c r="U166" s="123"/>
      <c r="V166" s="123"/>
      <c r="W166" s="123"/>
      <c r="X166" s="123"/>
      <c r="Y166" s="123"/>
      <c r="Z166" s="123"/>
    </row>
    <row r="167">
      <c r="A167" s="416"/>
      <c r="B167" s="134"/>
      <c r="C167" s="417"/>
      <c r="D167" s="418"/>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3"/>
    </row>
    <row r="168">
      <c r="A168" s="416"/>
      <c r="B168" s="134"/>
      <c r="C168" s="417"/>
      <c r="D168" s="418"/>
      <c r="E168" s="123"/>
      <c r="F168" s="123"/>
      <c r="G168" s="123"/>
      <c r="H168" s="123"/>
      <c r="I168" s="123"/>
      <c r="J168" s="123"/>
      <c r="K168" s="123"/>
      <c r="L168" s="123"/>
      <c r="M168" s="123"/>
      <c r="N168" s="123"/>
      <c r="O168" s="123"/>
      <c r="P168" s="123"/>
      <c r="Q168" s="123"/>
      <c r="R168" s="123"/>
      <c r="S168" s="123"/>
      <c r="T168" s="123"/>
      <c r="U168" s="123"/>
      <c r="V168" s="123"/>
      <c r="W168" s="123"/>
      <c r="X168" s="123"/>
      <c r="Y168" s="123"/>
      <c r="Z168" s="123"/>
    </row>
    <row r="169">
      <c r="A169" s="416"/>
      <c r="B169" s="134"/>
      <c r="C169" s="417"/>
      <c r="D169" s="418"/>
      <c r="E169" s="123"/>
      <c r="F169" s="123"/>
      <c r="G169" s="123"/>
      <c r="H169" s="123"/>
      <c r="I169" s="123"/>
      <c r="J169" s="123"/>
      <c r="K169" s="123"/>
      <c r="L169" s="123"/>
      <c r="M169" s="123"/>
      <c r="N169" s="123"/>
      <c r="O169" s="123"/>
      <c r="P169" s="123"/>
      <c r="Q169" s="123"/>
      <c r="R169" s="123"/>
      <c r="S169" s="123"/>
      <c r="T169" s="123"/>
      <c r="U169" s="123"/>
      <c r="V169" s="123"/>
      <c r="W169" s="123"/>
      <c r="X169" s="123"/>
      <c r="Y169" s="123"/>
      <c r="Z169" s="123"/>
    </row>
    <row r="170">
      <c r="A170" s="416"/>
      <c r="B170" s="134"/>
      <c r="C170" s="417"/>
      <c r="D170" s="418"/>
      <c r="E170" s="123"/>
      <c r="F170" s="123"/>
      <c r="G170" s="123"/>
      <c r="H170" s="123"/>
      <c r="I170" s="123"/>
      <c r="J170" s="123"/>
      <c r="K170" s="123"/>
      <c r="L170" s="123"/>
      <c r="M170" s="123"/>
      <c r="N170" s="123"/>
      <c r="O170" s="123"/>
      <c r="P170" s="123"/>
      <c r="Q170" s="123"/>
      <c r="R170" s="123"/>
      <c r="S170" s="123"/>
      <c r="T170" s="123"/>
      <c r="U170" s="123"/>
      <c r="V170" s="123"/>
      <c r="W170" s="123"/>
      <c r="X170" s="123"/>
      <c r="Y170" s="123"/>
      <c r="Z170" s="123"/>
    </row>
    <row r="171">
      <c r="A171" s="416"/>
      <c r="B171" s="134"/>
      <c r="C171" s="417"/>
      <c r="D171" s="418"/>
      <c r="E171" s="123"/>
      <c r="F171" s="123"/>
      <c r="G171" s="123"/>
      <c r="H171" s="123"/>
      <c r="I171" s="123"/>
      <c r="J171" s="123"/>
      <c r="K171" s="123"/>
      <c r="L171" s="123"/>
      <c r="M171" s="123"/>
      <c r="N171" s="123"/>
      <c r="O171" s="123"/>
      <c r="P171" s="123"/>
      <c r="Q171" s="123"/>
      <c r="R171" s="123"/>
      <c r="S171" s="123"/>
      <c r="T171" s="123"/>
      <c r="U171" s="123"/>
      <c r="V171" s="123"/>
      <c r="W171" s="123"/>
      <c r="X171" s="123"/>
      <c r="Y171" s="123"/>
      <c r="Z171" s="123"/>
    </row>
    <row r="172">
      <c r="A172" s="416"/>
      <c r="B172" s="134"/>
      <c r="C172" s="417"/>
      <c r="D172" s="418"/>
      <c r="E172" s="123"/>
      <c r="F172" s="123"/>
      <c r="G172" s="123"/>
      <c r="H172" s="123"/>
      <c r="I172" s="123"/>
      <c r="J172" s="123"/>
      <c r="K172" s="123"/>
      <c r="L172" s="123"/>
      <c r="M172" s="123"/>
      <c r="N172" s="123"/>
      <c r="O172" s="123"/>
      <c r="P172" s="123"/>
      <c r="Q172" s="123"/>
      <c r="R172" s="123"/>
      <c r="S172" s="123"/>
      <c r="T172" s="123"/>
      <c r="U172" s="123"/>
      <c r="V172" s="123"/>
      <c r="W172" s="123"/>
      <c r="X172" s="123"/>
      <c r="Y172" s="123"/>
      <c r="Z172" s="123"/>
    </row>
    <row r="173">
      <c r="A173" s="416"/>
      <c r="B173" s="134"/>
      <c r="C173" s="417"/>
      <c r="D173" s="418"/>
      <c r="E173" s="123"/>
      <c r="F173" s="123"/>
      <c r="G173" s="123"/>
      <c r="H173" s="123"/>
      <c r="I173" s="123"/>
      <c r="J173" s="123"/>
      <c r="K173" s="123"/>
      <c r="L173" s="123"/>
      <c r="M173" s="123"/>
      <c r="N173" s="123"/>
      <c r="O173" s="123"/>
      <c r="P173" s="123"/>
      <c r="Q173" s="123"/>
      <c r="R173" s="123"/>
      <c r="S173" s="123"/>
      <c r="T173" s="123"/>
      <c r="U173" s="123"/>
      <c r="V173" s="123"/>
      <c r="W173" s="123"/>
      <c r="X173" s="123"/>
      <c r="Y173" s="123"/>
      <c r="Z173" s="123"/>
    </row>
    <row r="174">
      <c r="A174" s="416"/>
      <c r="B174" s="134"/>
      <c r="C174" s="417"/>
      <c r="D174" s="418"/>
      <c r="E174" s="123"/>
      <c r="F174" s="123"/>
      <c r="G174" s="123"/>
      <c r="H174" s="123"/>
      <c r="I174" s="123"/>
      <c r="J174" s="123"/>
      <c r="K174" s="123"/>
      <c r="L174" s="123"/>
      <c r="M174" s="123"/>
      <c r="N174" s="123"/>
      <c r="O174" s="123"/>
      <c r="P174" s="123"/>
      <c r="Q174" s="123"/>
      <c r="R174" s="123"/>
      <c r="S174" s="123"/>
      <c r="T174" s="123"/>
      <c r="U174" s="123"/>
      <c r="V174" s="123"/>
      <c r="W174" s="123"/>
      <c r="X174" s="123"/>
      <c r="Y174" s="123"/>
      <c r="Z174" s="123"/>
    </row>
    <row r="175">
      <c r="A175" s="416"/>
      <c r="B175" s="134"/>
      <c r="C175" s="417"/>
      <c r="D175" s="418"/>
      <c r="E175" s="123"/>
      <c r="F175" s="123"/>
      <c r="G175" s="123"/>
      <c r="H175" s="123"/>
      <c r="I175" s="123"/>
      <c r="J175" s="123"/>
      <c r="K175" s="123"/>
      <c r="L175" s="123"/>
      <c r="M175" s="123"/>
      <c r="N175" s="123"/>
      <c r="O175" s="123"/>
      <c r="P175" s="123"/>
      <c r="Q175" s="123"/>
      <c r="R175" s="123"/>
      <c r="S175" s="123"/>
      <c r="T175" s="123"/>
      <c r="U175" s="123"/>
      <c r="V175" s="123"/>
      <c r="W175" s="123"/>
      <c r="X175" s="123"/>
      <c r="Y175" s="123"/>
      <c r="Z175" s="123"/>
    </row>
    <row r="176">
      <c r="A176" s="416"/>
      <c r="B176" s="134"/>
      <c r="C176" s="417"/>
      <c r="D176" s="418"/>
      <c r="E176" s="123"/>
      <c r="F176" s="123"/>
      <c r="G176" s="123"/>
      <c r="H176" s="123"/>
      <c r="I176" s="123"/>
      <c r="J176" s="123"/>
      <c r="K176" s="123"/>
      <c r="L176" s="123"/>
      <c r="M176" s="123"/>
      <c r="N176" s="123"/>
      <c r="O176" s="123"/>
      <c r="P176" s="123"/>
      <c r="Q176" s="123"/>
      <c r="R176" s="123"/>
      <c r="S176" s="123"/>
      <c r="T176" s="123"/>
      <c r="U176" s="123"/>
      <c r="V176" s="123"/>
      <c r="W176" s="123"/>
      <c r="X176" s="123"/>
      <c r="Y176" s="123"/>
      <c r="Z176" s="123"/>
    </row>
    <row r="177">
      <c r="A177" s="416"/>
      <c r="B177" s="134"/>
      <c r="C177" s="417"/>
      <c r="D177" s="418"/>
      <c r="E177" s="123"/>
      <c r="F177" s="123"/>
      <c r="G177" s="123"/>
      <c r="H177" s="123"/>
      <c r="I177" s="123"/>
      <c r="J177" s="123"/>
      <c r="K177" s="123"/>
      <c r="L177" s="123"/>
      <c r="M177" s="123"/>
      <c r="N177" s="123"/>
      <c r="O177" s="123"/>
      <c r="P177" s="123"/>
      <c r="Q177" s="123"/>
      <c r="R177" s="123"/>
      <c r="S177" s="123"/>
      <c r="T177" s="123"/>
      <c r="U177" s="123"/>
      <c r="V177" s="123"/>
      <c r="W177" s="123"/>
      <c r="X177" s="123"/>
      <c r="Y177" s="123"/>
      <c r="Z177" s="123"/>
    </row>
    <row r="178">
      <c r="A178" s="416"/>
      <c r="B178" s="134"/>
      <c r="C178" s="417"/>
      <c r="D178" s="418"/>
      <c r="E178" s="123"/>
      <c r="F178" s="123"/>
      <c r="G178" s="123"/>
      <c r="H178" s="123"/>
      <c r="I178" s="123"/>
      <c r="J178" s="123"/>
      <c r="K178" s="123"/>
      <c r="L178" s="123"/>
      <c r="M178" s="123"/>
      <c r="N178" s="123"/>
      <c r="O178" s="123"/>
      <c r="P178" s="123"/>
      <c r="Q178" s="123"/>
      <c r="R178" s="123"/>
      <c r="S178" s="123"/>
      <c r="T178" s="123"/>
      <c r="U178" s="123"/>
      <c r="V178" s="123"/>
      <c r="W178" s="123"/>
      <c r="X178" s="123"/>
      <c r="Y178" s="123"/>
      <c r="Z178" s="123"/>
    </row>
    <row r="179">
      <c r="A179" s="416"/>
      <c r="B179" s="134"/>
      <c r="C179" s="417"/>
      <c r="D179" s="418"/>
      <c r="E179" s="123"/>
      <c r="F179" s="123"/>
      <c r="G179" s="123"/>
      <c r="H179" s="123"/>
      <c r="I179" s="123"/>
      <c r="J179" s="123"/>
      <c r="K179" s="123"/>
      <c r="L179" s="123"/>
      <c r="M179" s="123"/>
      <c r="N179" s="123"/>
      <c r="O179" s="123"/>
      <c r="P179" s="123"/>
      <c r="Q179" s="123"/>
      <c r="R179" s="123"/>
      <c r="S179" s="123"/>
      <c r="T179" s="123"/>
      <c r="U179" s="123"/>
      <c r="V179" s="123"/>
      <c r="W179" s="123"/>
      <c r="X179" s="123"/>
      <c r="Y179" s="123"/>
      <c r="Z179" s="123"/>
    </row>
    <row r="180">
      <c r="A180" s="416"/>
      <c r="B180" s="134"/>
      <c r="C180" s="417"/>
      <c r="D180" s="418"/>
      <c r="E180" s="123"/>
      <c r="F180" s="123"/>
      <c r="G180" s="123"/>
      <c r="H180" s="123"/>
      <c r="I180" s="123"/>
      <c r="J180" s="123"/>
      <c r="K180" s="123"/>
      <c r="L180" s="123"/>
      <c r="M180" s="123"/>
      <c r="N180" s="123"/>
      <c r="O180" s="123"/>
      <c r="P180" s="123"/>
      <c r="Q180" s="123"/>
      <c r="R180" s="123"/>
      <c r="S180" s="123"/>
      <c r="T180" s="123"/>
      <c r="U180" s="123"/>
      <c r="V180" s="123"/>
      <c r="W180" s="123"/>
      <c r="X180" s="123"/>
      <c r="Y180" s="123"/>
      <c r="Z180" s="123"/>
    </row>
    <row r="181">
      <c r="A181" s="416"/>
      <c r="B181" s="134"/>
      <c r="C181" s="417"/>
      <c r="D181" s="418"/>
      <c r="E181" s="123"/>
      <c r="F181" s="123"/>
      <c r="G181" s="123"/>
      <c r="H181" s="123"/>
      <c r="I181" s="123"/>
      <c r="J181" s="123"/>
      <c r="K181" s="123"/>
      <c r="L181" s="123"/>
      <c r="M181" s="123"/>
      <c r="N181" s="123"/>
      <c r="O181" s="123"/>
      <c r="P181" s="123"/>
      <c r="Q181" s="123"/>
      <c r="R181" s="123"/>
      <c r="S181" s="123"/>
      <c r="T181" s="123"/>
      <c r="U181" s="123"/>
      <c r="V181" s="123"/>
      <c r="W181" s="123"/>
      <c r="X181" s="123"/>
      <c r="Y181" s="123"/>
      <c r="Z181" s="123"/>
    </row>
    <row r="182">
      <c r="A182" s="416"/>
      <c r="B182" s="134"/>
      <c r="C182" s="417"/>
      <c r="D182" s="418"/>
      <c r="E182" s="123"/>
      <c r="F182" s="123"/>
      <c r="G182" s="123"/>
      <c r="H182" s="123"/>
      <c r="I182" s="123"/>
      <c r="J182" s="123"/>
      <c r="K182" s="123"/>
      <c r="L182" s="123"/>
      <c r="M182" s="123"/>
      <c r="N182" s="123"/>
      <c r="O182" s="123"/>
      <c r="P182" s="123"/>
      <c r="Q182" s="123"/>
      <c r="R182" s="123"/>
      <c r="S182" s="123"/>
      <c r="T182" s="123"/>
      <c r="U182" s="123"/>
      <c r="V182" s="123"/>
      <c r="W182" s="123"/>
      <c r="X182" s="123"/>
      <c r="Y182" s="123"/>
      <c r="Z182" s="123"/>
    </row>
    <row r="183">
      <c r="A183" s="416"/>
      <c r="B183" s="134"/>
      <c r="C183" s="417"/>
      <c r="D183" s="418"/>
      <c r="E183" s="123"/>
      <c r="F183" s="123"/>
      <c r="G183" s="123"/>
      <c r="H183" s="123"/>
      <c r="I183" s="123"/>
      <c r="J183" s="123"/>
      <c r="K183" s="123"/>
      <c r="L183" s="123"/>
      <c r="M183" s="123"/>
      <c r="N183" s="123"/>
      <c r="O183" s="123"/>
      <c r="P183" s="123"/>
      <c r="Q183" s="123"/>
      <c r="R183" s="123"/>
      <c r="S183" s="123"/>
      <c r="T183" s="123"/>
      <c r="U183" s="123"/>
      <c r="V183" s="123"/>
      <c r="W183" s="123"/>
      <c r="X183" s="123"/>
      <c r="Y183" s="123"/>
      <c r="Z183" s="123"/>
    </row>
    <row r="184">
      <c r="A184" s="416"/>
      <c r="B184" s="134"/>
      <c r="C184" s="417"/>
      <c r="D184" s="418"/>
      <c r="E184" s="123"/>
      <c r="F184" s="123"/>
      <c r="G184" s="123"/>
      <c r="H184" s="123"/>
      <c r="I184" s="123"/>
      <c r="J184" s="123"/>
      <c r="K184" s="123"/>
      <c r="L184" s="123"/>
      <c r="M184" s="123"/>
      <c r="N184" s="123"/>
      <c r="O184" s="123"/>
      <c r="P184" s="123"/>
      <c r="Q184" s="123"/>
      <c r="R184" s="123"/>
      <c r="S184" s="123"/>
      <c r="T184" s="123"/>
      <c r="U184" s="123"/>
      <c r="V184" s="123"/>
      <c r="W184" s="123"/>
      <c r="X184" s="123"/>
      <c r="Y184" s="123"/>
      <c r="Z184" s="123"/>
    </row>
    <row r="185">
      <c r="A185" s="416"/>
      <c r="B185" s="134"/>
      <c r="C185" s="417"/>
      <c r="D185" s="418"/>
      <c r="E185" s="123"/>
      <c r="F185" s="123"/>
      <c r="G185" s="123"/>
      <c r="H185" s="123"/>
      <c r="I185" s="123"/>
      <c r="J185" s="123"/>
      <c r="K185" s="123"/>
      <c r="L185" s="123"/>
      <c r="M185" s="123"/>
      <c r="N185" s="123"/>
      <c r="O185" s="123"/>
      <c r="P185" s="123"/>
      <c r="Q185" s="123"/>
      <c r="R185" s="123"/>
      <c r="S185" s="123"/>
      <c r="T185" s="123"/>
      <c r="U185" s="123"/>
      <c r="V185" s="123"/>
      <c r="W185" s="123"/>
      <c r="X185" s="123"/>
      <c r="Y185" s="123"/>
      <c r="Z185" s="123"/>
    </row>
    <row r="186">
      <c r="A186" s="416"/>
      <c r="B186" s="134"/>
      <c r="C186" s="417"/>
      <c r="D186" s="418"/>
      <c r="E186" s="123"/>
      <c r="F186" s="123"/>
      <c r="G186" s="123"/>
      <c r="H186" s="123"/>
      <c r="I186" s="123"/>
      <c r="J186" s="123"/>
      <c r="K186" s="123"/>
      <c r="L186" s="123"/>
      <c r="M186" s="123"/>
      <c r="N186" s="123"/>
      <c r="O186" s="123"/>
      <c r="P186" s="123"/>
      <c r="Q186" s="123"/>
      <c r="R186" s="123"/>
      <c r="S186" s="123"/>
      <c r="T186" s="123"/>
      <c r="U186" s="123"/>
      <c r="V186" s="123"/>
      <c r="W186" s="123"/>
      <c r="X186" s="123"/>
      <c r="Y186" s="123"/>
      <c r="Z186" s="123"/>
    </row>
    <row r="187">
      <c r="A187" s="416"/>
      <c r="B187" s="134"/>
      <c r="C187" s="417"/>
      <c r="D187" s="418"/>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row>
    <row r="188">
      <c r="A188" s="416"/>
      <c r="B188" s="134"/>
      <c r="C188" s="417"/>
      <c r="D188" s="418"/>
      <c r="E188" s="123"/>
      <c r="F188" s="123"/>
      <c r="G188" s="123"/>
      <c r="H188" s="123"/>
      <c r="I188" s="123"/>
      <c r="J188" s="123"/>
      <c r="K188" s="123"/>
      <c r="L188" s="123"/>
      <c r="M188" s="123"/>
      <c r="N188" s="123"/>
      <c r="O188" s="123"/>
      <c r="P188" s="123"/>
      <c r="Q188" s="123"/>
      <c r="R188" s="123"/>
      <c r="S188" s="123"/>
      <c r="T188" s="123"/>
      <c r="U188" s="123"/>
      <c r="V188" s="123"/>
      <c r="W188" s="123"/>
      <c r="X188" s="123"/>
      <c r="Y188" s="123"/>
      <c r="Z188" s="123"/>
    </row>
    <row r="189">
      <c r="A189" s="416"/>
      <c r="B189" s="134"/>
      <c r="C189" s="417"/>
      <c r="D189" s="418"/>
      <c r="E189" s="123"/>
      <c r="F189" s="123"/>
      <c r="G189" s="123"/>
      <c r="H189" s="123"/>
      <c r="I189" s="123"/>
      <c r="J189" s="123"/>
      <c r="K189" s="123"/>
      <c r="L189" s="123"/>
      <c r="M189" s="123"/>
      <c r="N189" s="123"/>
      <c r="O189" s="123"/>
      <c r="P189" s="123"/>
      <c r="Q189" s="123"/>
      <c r="R189" s="123"/>
      <c r="S189" s="123"/>
      <c r="T189" s="123"/>
      <c r="U189" s="123"/>
      <c r="V189" s="123"/>
      <c r="W189" s="123"/>
      <c r="X189" s="123"/>
      <c r="Y189" s="123"/>
      <c r="Z189" s="123"/>
    </row>
    <row r="190">
      <c r="A190" s="416"/>
      <c r="B190" s="134"/>
      <c r="C190" s="417"/>
      <c r="D190" s="418"/>
      <c r="E190" s="123"/>
      <c r="F190" s="123"/>
      <c r="G190" s="123"/>
      <c r="H190" s="123"/>
      <c r="I190" s="123"/>
      <c r="J190" s="123"/>
      <c r="K190" s="123"/>
      <c r="L190" s="123"/>
      <c r="M190" s="123"/>
      <c r="N190" s="123"/>
      <c r="O190" s="123"/>
      <c r="P190" s="123"/>
      <c r="Q190" s="123"/>
      <c r="R190" s="123"/>
      <c r="S190" s="123"/>
      <c r="T190" s="123"/>
      <c r="U190" s="123"/>
      <c r="V190" s="123"/>
      <c r="W190" s="123"/>
      <c r="X190" s="123"/>
      <c r="Y190" s="123"/>
      <c r="Z190" s="123"/>
    </row>
    <row r="191">
      <c r="A191" s="416"/>
      <c r="B191" s="134"/>
      <c r="C191" s="417"/>
      <c r="D191" s="418"/>
      <c r="E191" s="123"/>
      <c r="F191" s="123"/>
      <c r="G191" s="123"/>
      <c r="H191" s="123"/>
      <c r="I191" s="123"/>
      <c r="J191" s="123"/>
      <c r="K191" s="123"/>
      <c r="L191" s="123"/>
      <c r="M191" s="123"/>
      <c r="N191" s="123"/>
      <c r="O191" s="123"/>
      <c r="P191" s="123"/>
      <c r="Q191" s="123"/>
      <c r="R191" s="123"/>
      <c r="S191" s="123"/>
      <c r="T191" s="123"/>
      <c r="U191" s="123"/>
      <c r="V191" s="123"/>
      <c r="W191" s="123"/>
      <c r="X191" s="123"/>
      <c r="Y191" s="123"/>
      <c r="Z191" s="123"/>
    </row>
    <row r="192">
      <c r="A192" s="416"/>
      <c r="B192" s="134"/>
      <c r="C192" s="417"/>
      <c r="D192" s="418"/>
      <c r="E192" s="123"/>
      <c r="F192" s="123"/>
      <c r="G192" s="123"/>
      <c r="H192" s="123"/>
      <c r="I192" s="123"/>
      <c r="J192" s="123"/>
      <c r="K192" s="123"/>
      <c r="L192" s="123"/>
      <c r="M192" s="123"/>
      <c r="N192" s="123"/>
      <c r="O192" s="123"/>
      <c r="P192" s="123"/>
      <c r="Q192" s="123"/>
      <c r="R192" s="123"/>
      <c r="S192" s="123"/>
      <c r="T192" s="123"/>
      <c r="U192" s="123"/>
      <c r="V192" s="123"/>
      <c r="W192" s="123"/>
      <c r="X192" s="123"/>
      <c r="Y192" s="123"/>
      <c r="Z192" s="123"/>
    </row>
    <row r="193">
      <c r="A193" s="416"/>
      <c r="B193" s="134"/>
      <c r="C193" s="417"/>
      <c r="D193" s="418"/>
      <c r="E193" s="123"/>
      <c r="F193" s="123"/>
      <c r="G193" s="123"/>
      <c r="H193" s="123"/>
      <c r="I193" s="123"/>
      <c r="J193" s="123"/>
      <c r="K193" s="123"/>
      <c r="L193" s="123"/>
      <c r="M193" s="123"/>
      <c r="N193" s="123"/>
      <c r="O193" s="123"/>
      <c r="P193" s="123"/>
      <c r="Q193" s="123"/>
      <c r="R193" s="123"/>
      <c r="S193" s="123"/>
      <c r="T193" s="123"/>
      <c r="U193" s="123"/>
      <c r="V193" s="123"/>
      <c r="W193" s="123"/>
      <c r="X193" s="123"/>
      <c r="Y193" s="123"/>
      <c r="Z193" s="123"/>
    </row>
    <row r="194">
      <c r="A194" s="416"/>
      <c r="B194" s="134"/>
      <c r="C194" s="417"/>
      <c r="D194" s="418"/>
      <c r="E194" s="123"/>
      <c r="F194" s="123"/>
      <c r="G194" s="123"/>
      <c r="H194" s="123"/>
      <c r="I194" s="123"/>
      <c r="J194" s="123"/>
      <c r="K194" s="123"/>
      <c r="L194" s="123"/>
      <c r="M194" s="123"/>
      <c r="N194" s="123"/>
      <c r="O194" s="123"/>
      <c r="P194" s="123"/>
      <c r="Q194" s="123"/>
      <c r="R194" s="123"/>
      <c r="S194" s="123"/>
      <c r="T194" s="123"/>
      <c r="U194" s="123"/>
      <c r="V194" s="123"/>
      <c r="W194" s="123"/>
      <c r="X194" s="123"/>
      <c r="Y194" s="123"/>
      <c r="Z194" s="123"/>
    </row>
    <row r="195">
      <c r="A195" s="416"/>
      <c r="B195" s="134"/>
      <c r="C195" s="417"/>
      <c r="D195" s="418"/>
      <c r="E195" s="123"/>
      <c r="F195" s="123"/>
      <c r="G195" s="123"/>
      <c r="H195" s="123"/>
      <c r="I195" s="123"/>
      <c r="J195" s="123"/>
      <c r="K195" s="123"/>
      <c r="L195" s="123"/>
      <c r="M195" s="123"/>
      <c r="N195" s="123"/>
      <c r="O195" s="123"/>
      <c r="P195" s="123"/>
      <c r="Q195" s="123"/>
      <c r="R195" s="123"/>
      <c r="S195" s="123"/>
      <c r="T195" s="123"/>
      <c r="U195" s="123"/>
      <c r="V195" s="123"/>
      <c r="W195" s="123"/>
      <c r="X195" s="123"/>
      <c r="Y195" s="123"/>
      <c r="Z195" s="123"/>
    </row>
    <row r="196">
      <c r="A196" s="416"/>
      <c r="B196" s="134"/>
      <c r="C196" s="417"/>
      <c r="D196" s="418"/>
      <c r="E196" s="123"/>
      <c r="F196" s="123"/>
      <c r="G196" s="123"/>
      <c r="H196" s="123"/>
      <c r="I196" s="123"/>
      <c r="J196" s="123"/>
      <c r="K196" s="123"/>
      <c r="L196" s="123"/>
      <c r="M196" s="123"/>
      <c r="N196" s="123"/>
      <c r="O196" s="123"/>
      <c r="P196" s="123"/>
      <c r="Q196" s="123"/>
      <c r="R196" s="123"/>
      <c r="S196" s="123"/>
      <c r="T196" s="123"/>
      <c r="U196" s="123"/>
      <c r="V196" s="123"/>
      <c r="W196" s="123"/>
      <c r="X196" s="123"/>
      <c r="Y196" s="123"/>
      <c r="Z196" s="123"/>
    </row>
    <row r="197">
      <c r="A197" s="416"/>
      <c r="B197" s="134"/>
      <c r="C197" s="417"/>
      <c r="D197" s="418"/>
      <c r="E197" s="123"/>
      <c r="F197" s="123"/>
      <c r="G197" s="123"/>
      <c r="H197" s="123"/>
      <c r="I197" s="123"/>
      <c r="J197" s="123"/>
      <c r="K197" s="123"/>
      <c r="L197" s="123"/>
      <c r="M197" s="123"/>
      <c r="N197" s="123"/>
      <c r="O197" s="123"/>
      <c r="P197" s="123"/>
      <c r="Q197" s="123"/>
      <c r="R197" s="123"/>
      <c r="S197" s="123"/>
      <c r="T197" s="123"/>
      <c r="U197" s="123"/>
      <c r="V197" s="123"/>
      <c r="W197" s="123"/>
      <c r="X197" s="123"/>
      <c r="Y197" s="123"/>
      <c r="Z197" s="123"/>
    </row>
    <row r="198">
      <c r="A198" s="416"/>
      <c r="B198" s="134"/>
      <c r="C198" s="417"/>
      <c r="D198" s="418"/>
      <c r="E198" s="123"/>
      <c r="F198" s="123"/>
      <c r="G198" s="123"/>
      <c r="H198" s="123"/>
      <c r="I198" s="123"/>
      <c r="J198" s="123"/>
      <c r="K198" s="123"/>
      <c r="L198" s="123"/>
      <c r="M198" s="123"/>
      <c r="N198" s="123"/>
      <c r="O198" s="123"/>
      <c r="P198" s="123"/>
      <c r="Q198" s="123"/>
      <c r="R198" s="123"/>
      <c r="S198" s="123"/>
      <c r="T198" s="123"/>
      <c r="U198" s="123"/>
      <c r="V198" s="123"/>
      <c r="W198" s="123"/>
      <c r="X198" s="123"/>
      <c r="Y198" s="123"/>
      <c r="Z198" s="123"/>
    </row>
    <row r="199">
      <c r="A199" s="416"/>
      <c r="B199" s="134"/>
      <c r="C199" s="417"/>
      <c r="D199" s="418"/>
      <c r="E199" s="123"/>
      <c r="F199" s="123"/>
      <c r="G199" s="123"/>
      <c r="H199" s="123"/>
      <c r="I199" s="123"/>
      <c r="J199" s="123"/>
      <c r="K199" s="123"/>
      <c r="L199" s="123"/>
      <c r="M199" s="123"/>
      <c r="N199" s="123"/>
      <c r="O199" s="123"/>
      <c r="P199" s="123"/>
      <c r="Q199" s="123"/>
      <c r="R199" s="123"/>
      <c r="S199" s="123"/>
      <c r="T199" s="123"/>
      <c r="U199" s="123"/>
      <c r="V199" s="123"/>
      <c r="W199" s="123"/>
      <c r="X199" s="123"/>
      <c r="Y199" s="123"/>
      <c r="Z199" s="123"/>
    </row>
    <row r="200">
      <c r="A200" s="416"/>
      <c r="B200" s="134"/>
      <c r="C200" s="417"/>
      <c r="D200" s="418"/>
      <c r="E200" s="123"/>
      <c r="F200" s="123"/>
      <c r="G200" s="123"/>
      <c r="H200" s="123"/>
      <c r="I200" s="123"/>
      <c r="J200" s="123"/>
      <c r="K200" s="123"/>
      <c r="L200" s="123"/>
      <c r="M200" s="123"/>
      <c r="N200" s="123"/>
      <c r="O200" s="123"/>
      <c r="P200" s="123"/>
      <c r="Q200" s="123"/>
      <c r="R200" s="123"/>
      <c r="S200" s="123"/>
      <c r="T200" s="123"/>
      <c r="U200" s="123"/>
      <c r="V200" s="123"/>
      <c r="W200" s="123"/>
      <c r="X200" s="123"/>
      <c r="Y200" s="123"/>
      <c r="Z200" s="123"/>
    </row>
    <row r="201">
      <c r="A201" s="416"/>
      <c r="B201" s="134"/>
      <c r="C201" s="417"/>
      <c r="D201" s="418"/>
      <c r="E201" s="123"/>
      <c r="F201" s="123"/>
      <c r="G201" s="123"/>
      <c r="H201" s="123"/>
      <c r="I201" s="123"/>
      <c r="J201" s="123"/>
      <c r="K201" s="123"/>
      <c r="L201" s="123"/>
      <c r="M201" s="123"/>
      <c r="N201" s="123"/>
      <c r="O201" s="123"/>
      <c r="P201" s="123"/>
      <c r="Q201" s="123"/>
      <c r="R201" s="123"/>
      <c r="S201" s="123"/>
      <c r="T201" s="123"/>
      <c r="U201" s="123"/>
      <c r="V201" s="123"/>
      <c r="W201" s="123"/>
      <c r="X201" s="123"/>
      <c r="Y201" s="123"/>
      <c r="Z201" s="123"/>
    </row>
    <row r="202">
      <c r="A202" s="416"/>
      <c r="B202" s="134"/>
      <c r="C202" s="417"/>
      <c r="D202" s="418"/>
      <c r="E202" s="123"/>
      <c r="F202" s="123"/>
      <c r="G202" s="123"/>
      <c r="H202" s="123"/>
      <c r="I202" s="123"/>
      <c r="J202" s="123"/>
      <c r="K202" s="123"/>
      <c r="L202" s="123"/>
      <c r="M202" s="123"/>
      <c r="N202" s="123"/>
      <c r="O202" s="123"/>
      <c r="P202" s="123"/>
      <c r="Q202" s="123"/>
      <c r="R202" s="123"/>
      <c r="S202" s="123"/>
      <c r="T202" s="123"/>
      <c r="U202" s="123"/>
      <c r="V202" s="123"/>
      <c r="W202" s="123"/>
      <c r="X202" s="123"/>
      <c r="Y202" s="123"/>
      <c r="Z202" s="123"/>
    </row>
    <row r="203">
      <c r="A203" s="416"/>
      <c r="B203" s="134"/>
      <c r="C203" s="417"/>
      <c r="D203" s="418"/>
      <c r="E203" s="123"/>
      <c r="F203" s="123"/>
      <c r="G203" s="123"/>
      <c r="H203" s="123"/>
      <c r="I203" s="123"/>
      <c r="J203" s="123"/>
      <c r="K203" s="123"/>
      <c r="L203" s="123"/>
      <c r="M203" s="123"/>
      <c r="N203" s="123"/>
      <c r="O203" s="123"/>
      <c r="P203" s="123"/>
      <c r="Q203" s="123"/>
      <c r="R203" s="123"/>
      <c r="S203" s="123"/>
      <c r="T203" s="123"/>
      <c r="U203" s="123"/>
      <c r="V203" s="123"/>
      <c r="W203" s="123"/>
      <c r="X203" s="123"/>
      <c r="Y203" s="123"/>
      <c r="Z203" s="123"/>
    </row>
    <row r="204">
      <c r="A204" s="416"/>
      <c r="B204" s="134"/>
      <c r="C204" s="417"/>
      <c r="D204" s="418"/>
      <c r="E204" s="123"/>
      <c r="F204" s="123"/>
      <c r="G204" s="123"/>
      <c r="H204" s="123"/>
      <c r="I204" s="123"/>
      <c r="J204" s="123"/>
      <c r="K204" s="123"/>
      <c r="L204" s="123"/>
      <c r="M204" s="123"/>
      <c r="N204" s="123"/>
      <c r="O204" s="123"/>
      <c r="P204" s="123"/>
      <c r="Q204" s="123"/>
      <c r="R204" s="123"/>
      <c r="S204" s="123"/>
      <c r="T204" s="123"/>
      <c r="U204" s="123"/>
      <c r="V204" s="123"/>
      <c r="W204" s="123"/>
      <c r="X204" s="123"/>
      <c r="Y204" s="123"/>
      <c r="Z204" s="123"/>
    </row>
    <row r="205">
      <c r="A205" s="416"/>
      <c r="B205" s="134"/>
      <c r="C205" s="417"/>
      <c r="D205" s="418"/>
      <c r="E205" s="123"/>
      <c r="F205" s="123"/>
      <c r="G205" s="123"/>
      <c r="H205" s="123"/>
      <c r="I205" s="123"/>
      <c r="J205" s="123"/>
      <c r="K205" s="123"/>
      <c r="L205" s="123"/>
      <c r="M205" s="123"/>
      <c r="N205" s="123"/>
      <c r="O205" s="123"/>
      <c r="P205" s="123"/>
      <c r="Q205" s="123"/>
      <c r="R205" s="123"/>
      <c r="S205" s="123"/>
      <c r="T205" s="123"/>
      <c r="U205" s="123"/>
      <c r="V205" s="123"/>
      <c r="W205" s="123"/>
      <c r="X205" s="123"/>
      <c r="Y205" s="123"/>
      <c r="Z205" s="123"/>
    </row>
    <row r="206">
      <c r="A206" s="416"/>
      <c r="B206" s="134"/>
      <c r="C206" s="417"/>
      <c r="D206" s="418"/>
      <c r="E206" s="123"/>
      <c r="F206" s="123"/>
      <c r="G206" s="123"/>
      <c r="H206" s="123"/>
      <c r="I206" s="123"/>
      <c r="J206" s="123"/>
      <c r="K206" s="123"/>
      <c r="L206" s="123"/>
      <c r="M206" s="123"/>
      <c r="N206" s="123"/>
      <c r="O206" s="123"/>
      <c r="P206" s="123"/>
      <c r="Q206" s="123"/>
      <c r="R206" s="123"/>
      <c r="S206" s="123"/>
      <c r="T206" s="123"/>
      <c r="U206" s="123"/>
      <c r="V206" s="123"/>
      <c r="W206" s="123"/>
      <c r="X206" s="123"/>
      <c r="Y206" s="123"/>
      <c r="Z206" s="123"/>
    </row>
    <row r="207">
      <c r="A207" s="416"/>
      <c r="B207" s="134"/>
      <c r="C207" s="417"/>
      <c r="D207" s="418"/>
      <c r="E207" s="123"/>
      <c r="F207" s="123"/>
      <c r="G207" s="123"/>
      <c r="H207" s="123"/>
      <c r="I207" s="123"/>
      <c r="J207" s="123"/>
      <c r="K207" s="123"/>
      <c r="L207" s="123"/>
      <c r="M207" s="123"/>
      <c r="N207" s="123"/>
      <c r="O207" s="123"/>
      <c r="P207" s="123"/>
      <c r="Q207" s="123"/>
      <c r="R207" s="123"/>
      <c r="S207" s="123"/>
      <c r="T207" s="123"/>
      <c r="U207" s="123"/>
      <c r="V207" s="123"/>
      <c r="W207" s="123"/>
      <c r="X207" s="123"/>
      <c r="Y207" s="123"/>
      <c r="Z207" s="123"/>
    </row>
    <row r="208">
      <c r="A208" s="416"/>
      <c r="B208" s="134"/>
      <c r="C208" s="417"/>
      <c r="D208" s="418"/>
      <c r="E208" s="123"/>
      <c r="F208" s="123"/>
      <c r="G208" s="123"/>
      <c r="H208" s="123"/>
      <c r="I208" s="123"/>
      <c r="J208" s="123"/>
      <c r="K208" s="123"/>
      <c r="L208" s="123"/>
      <c r="M208" s="123"/>
      <c r="N208" s="123"/>
      <c r="O208" s="123"/>
      <c r="P208" s="123"/>
      <c r="Q208" s="123"/>
      <c r="R208" s="123"/>
      <c r="S208" s="123"/>
      <c r="T208" s="123"/>
      <c r="U208" s="123"/>
      <c r="V208" s="123"/>
      <c r="W208" s="123"/>
      <c r="X208" s="123"/>
      <c r="Y208" s="123"/>
      <c r="Z208" s="123"/>
    </row>
    <row r="209">
      <c r="A209" s="416"/>
      <c r="B209" s="134"/>
      <c r="C209" s="417"/>
      <c r="D209" s="418"/>
      <c r="E209" s="123"/>
      <c r="F209" s="123"/>
      <c r="G209" s="123"/>
      <c r="H209" s="123"/>
      <c r="I209" s="123"/>
      <c r="J209" s="123"/>
      <c r="K209" s="123"/>
      <c r="L209" s="123"/>
      <c r="M209" s="123"/>
      <c r="N209" s="123"/>
      <c r="O209" s="123"/>
      <c r="P209" s="123"/>
      <c r="Q209" s="123"/>
      <c r="R209" s="123"/>
      <c r="S209" s="123"/>
      <c r="T209" s="123"/>
      <c r="U209" s="123"/>
      <c r="V209" s="123"/>
      <c r="W209" s="123"/>
      <c r="X209" s="123"/>
      <c r="Y209" s="123"/>
      <c r="Z209" s="123"/>
    </row>
    <row r="210">
      <c r="A210" s="416"/>
      <c r="B210" s="134"/>
      <c r="C210" s="417"/>
      <c r="D210" s="418"/>
      <c r="E210" s="123"/>
      <c r="F210" s="123"/>
      <c r="G210" s="123"/>
      <c r="H210" s="123"/>
      <c r="I210" s="123"/>
      <c r="J210" s="123"/>
      <c r="K210" s="123"/>
      <c r="L210" s="123"/>
      <c r="M210" s="123"/>
      <c r="N210" s="123"/>
      <c r="O210" s="123"/>
      <c r="P210" s="123"/>
      <c r="Q210" s="123"/>
      <c r="R210" s="123"/>
      <c r="S210" s="123"/>
      <c r="T210" s="123"/>
      <c r="U210" s="123"/>
      <c r="V210" s="123"/>
      <c r="W210" s="123"/>
      <c r="X210" s="123"/>
      <c r="Y210" s="123"/>
      <c r="Z210" s="123"/>
    </row>
    <row r="211">
      <c r="A211" s="416"/>
      <c r="B211" s="134"/>
      <c r="C211" s="417"/>
      <c r="D211" s="418"/>
      <c r="E211" s="123"/>
      <c r="F211" s="123"/>
      <c r="G211" s="123"/>
      <c r="H211" s="123"/>
      <c r="I211" s="123"/>
      <c r="J211" s="123"/>
      <c r="K211" s="123"/>
      <c r="L211" s="123"/>
      <c r="M211" s="123"/>
      <c r="N211" s="123"/>
      <c r="O211" s="123"/>
      <c r="P211" s="123"/>
      <c r="Q211" s="123"/>
      <c r="R211" s="123"/>
      <c r="S211" s="123"/>
      <c r="T211" s="123"/>
      <c r="U211" s="123"/>
      <c r="V211" s="123"/>
      <c r="W211" s="123"/>
      <c r="X211" s="123"/>
      <c r="Y211" s="123"/>
      <c r="Z211" s="123"/>
    </row>
    <row r="212">
      <c r="A212" s="416"/>
      <c r="B212" s="134"/>
      <c r="C212" s="417"/>
      <c r="D212" s="418"/>
      <c r="E212" s="123"/>
      <c r="F212" s="123"/>
      <c r="G212" s="123"/>
      <c r="H212" s="123"/>
      <c r="I212" s="123"/>
      <c r="J212" s="123"/>
      <c r="K212" s="123"/>
      <c r="L212" s="123"/>
      <c r="M212" s="123"/>
      <c r="N212" s="123"/>
      <c r="O212" s="123"/>
      <c r="P212" s="123"/>
      <c r="Q212" s="123"/>
      <c r="R212" s="123"/>
      <c r="S212" s="123"/>
      <c r="T212" s="123"/>
      <c r="U212" s="123"/>
      <c r="V212" s="123"/>
      <c r="W212" s="123"/>
      <c r="X212" s="123"/>
      <c r="Y212" s="123"/>
      <c r="Z212" s="123"/>
    </row>
    <row r="213">
      <c r="A213" s="416"/>
      <c r="B213" s="134"/>
      <c r="C213" s="417"/>
      <c r="D213" s="418"/>
      <c r="E213" s="123"/>
      <c r="F213" s="123"/>
      <c r="G213" s="123"/>
      <c r="H213" s="123"/>
      <c r="I213" s="123"/>
      <c r="J213" s="123"/>
      <c r="K213" s="123"/>
      <c r="L213" s="123"/>
      <c r="M213" s="123"/>
      <c r="N213" s="123"/>
      <c r="O213" s="123"/>
      <c r="P213" s="123"/>
      <c r="Q213" s="123"/>
      <c r="R213" s="123"/>
      <c r="S213" s="123"/>
      <c r="T213" s="123"/>
      <c r="U213" s="123"/>
      <c r="V213" s="123"/>
      <c r="W213" s="123"/>
      <c r="X213" s="123"/>
      <c r="Y213" s="123"/>
      <c r="Z213" s="123"/>
    </row>
    <row r="214">
      <c r="A214" s="416"/>
      <c r="B214" s="134"/>
      <c r="C214" s="417"/>
      <c r="D214" s="418"/>
      <c r="E214" s="123"/>
      <c r="F214" s="123"/>
      <c r="G214" s="123"/>
      <c r="H214" s="123"/>
      <c r="I214" s="123"/>
      <c r="J214" s="123"/>
      <c r="K214" s="123"/>
      <c r="L214" s="123"/>
      <c r="M214" s="123"/>
      <c r="N214" s="123"/>
      <c r="O214" s="123"/>
      <c r="P214" s="123"/>
      <c r="Q214" s="123"/>
      <c r="R214" s="123"/>
      <c r="S214" s="123"/>
      <c r="T214" s="123"/>
      <c r="U214" s="123"/>
      <c r="V214" s="123"/>
      <c r="W214" s="123"/>
      <c r="X214" s="123"/>
      <c r="Y214" s="123"/>
      <c r="Z214" s="123"/>
    </row>
    <row r="215">
      <c r="A215" s="416"/>
      <c r="B215" s="134"/>
      <c r="C215" s="417"/>
      <c r="D215" s="418"/>
      <c r="E215" s="123"/>
      <c r="F215" s="123"/>
      <c r="G215" s="123"/>
      <c r="H215" s="123"/>
      <c r="I215" s="123"/>
      <c r="J215" s="123"/>
      <c r="K215" s="123"/>
      <c r="L215" s="123"/>
      <c r="M215" s="123"/>
      <c r="N215" s="123"/>
      <c r="O215" s="123"/>
      <c r="P215" s="123"/>
      <c r="Q215" s="123"/>
      <c r="R215" s="123"/>
      <c r="S215" s="123"/>
      <c r="T215" s="123"/>
      <c r="U215" s="123"/>
      <c r="V215" s="123"/>
      <c r="W215" s="123"/>
      <c r="X215" s="123"/>
      <c r="Y215" s="123"/>
      <c r="Z215" s="123"/>
    </row>
    <row r="216">
      <c r="A216" s="416"/>
      <c r="B216" s="134"/>
      <c r="C216" s="417"/>
      <c r="D216" s="418"/>
      <c r="E216" s="123"/>
      <c r="F216" s="123"/>
      <c r="G216" s="123"/>
      <c r="H216" s="123"/>
      <c r="I216" s="123"/>
      <c r="J216" s="123"/>
      <c r="K216" s="123"/>
      <c r="L216" s="123"/>
      <c r="M216" s="123"/>
      <c r="N216" s="123"/>
      <c r="O216" s="123"/>
      <c r="P216" s="123"/>
      <c r="Q216" s="123"/>
      <c r="R216" s="123"/>
      <c r="S216" s="123"/>
      <c r="T216" s="123"/>
      <c r="U216" s="123"/>
      <c r="V216" s="123"/>
      <c r="W216" s="123"/>
      <c r="X216" s="123"/>
      <c r="Y216" s="123"/>
      <c r="Z216" s="123"/>
    </row>
    <row r="217">
      <c r="A217" s="416"/>
      <c r="B217" s="134"/>
      <c r="C217" s="417"/>
      <c r="D217" s="418"/>
      <c r="E217" s="123"/>
      <c r="F217" s="123"/>
      <c r="G217" s="123"/>
      <c r="H217" s="123"/>
      <c r="I217" s="123"/>
      <c r="J217" s="123"/>
      <c r="K217" s="123"/>
      <c r="L217" s="123"/>
      <c r="M217" s="123"/>
      <c r="N217" s="123"/>
      <c r="O217" s="123"/>
      <c r="P217" s="123"/>
      <c r="Q217" s="123"/>
      <c r="R217" s="123"/>
      <c r="S217" s="123"/>
      <c r="T217" s="123"/>
      <c r="U217" s="123"/>
      <c r="V217" s="123"/>
      <c r="W217" s="123"/>
      <c r="X217" s="123"/>
      <c r="Y217" s="123"/>
      <c r="Z217" s="123"/>
    </row>
    <row r="218">
      <c r="A218" s="416"/>
      <c r="B218" s="134"/>
      <c r="C218" s="417"/>
      <c r="D218" s="418"/>
      <c r="E218" s="123"/>
      <c r="F218" s="123"/>
      <c r="G218" s="123"/>
      <c r="H218" s="123"/>
      <c r="I218" s="123"/>
      <c r="J218" s="123"/>
      <c r="K218" s="123"/>
      <c r="L218" s="123"/>
      <c r="M218" s="123"/>
      <c r="N218" s="123"/>
      <c r="O218" s="123"/>
      <c r="P218" s="123"/>
      <c r="Q218" s="123"/>
      <c r="R218" s="123"/>
      <c r="S218" s="123"/>
      <c r="T218" s="123"/>
      <c r="U218" s="123"/>
      <c r="V218" s="123"/>
      <c r="W218" s="123"/>
      <c r="X218" s="123"/>
      <c r="Y218" s="123"/>
      <c r="Z218" s="123"/>
    </row>
    <row r="219">
      <c r="A219" s="416"/>
      <c r="B219" s="134"/>
      <c r="C219" s="417"/>
      <c r="D219" s="418"/>
      <c r="E219" s="123"/>
      <c r="F219" s="123"/>
      <c r="G219" s="123"/>
      <c r="H219" s="123"/>
      <c r="I219" s="123"/>
      <c r="J219" s="123"/>
      <c r="K219" s="123"/>
      <c r="L219" s="123"/>
      <c r="M219" s="123"/>
      <c r="N219" s="123"/>
      <c r="O219" s="123"/>
      <c r="P219" s="123"/>
      <c r="Q219" s="123"/>
      <c r="R219" s="123"/>
      <c r="S219" s="123"/>
      <c r="T219" s="123"/>
      <c r="U219" s="123"/>
      <c r="V219" s="123"/>
      <c r="W219" s="123"/>
      <c r="X219" s="123"/>
      <c r="Y219" s="123"/>
      <c r="Z219" s="123"/>
    </row>
    <row r="220">
      <c r="A220" s="416"/>
      <c r="B220" s="134"/>
      <c r="C220" s="417"/>
      <c r="D220" s="418"/>
      <c r="E220" s="123"/>
      <c r="F220" s="123"/>
      <c r="G220" s="123"/>
      <c r="H220" s="123"/>
      <c r="I220" s="123"/>
      <c r="J220" s="123"/>
      <c r="K220" s="123"/>
      <c r="L220" s="123"/>
      <c r="M220" s="123"/>
      <c r="N220" s="123"/>
      <c r="O220" s="123"/>
      <c r="P220" s="123"/>
      <c r="Q220" s="123"/>
      <c r="R220" s="123"/>
      <c r="S220" s="123"/>
      <c r="T220" s="123"/>
      <c r="U220" s="123"/>
      <c r="V220" s="123"/>
      <c r="W220" s="123"/>
      <c r="X220" s="123"/>
      <c r="Y220" s="123"/>
      <c r="Z220" s="123"/>
    </row>
    <row r="221">
      <c r="A221" s="416"/>
      <c r="B221" s="134"/>
      <c r="C221" s="417"/>
      <c r="D221" s="418"/>
      <c r="E221" s="123"/>
      <c r="F221" s="123"/>
      <c r="G221" s="123"/>
      <c r="H221" s="123"/>
      <c r="I221" s="123"/>
      <c r="J221" s="123"/>
      <c r="K221" s="123"/>
      <c r="L221" s="123"/>
      <c r="M221" s="123"/>
      <c r="N221" s="123"/>
      <c r="O221" s="123"/>
      <c r="P221" s="123"/>
      <c r="Q221" s="123"/>
      <c r="R221" s="123"/>
      <c r="S221" s="123"/>
      <c r="T221" s="123"/>
      <c r="U221" s="123"/>
      <c r="V221" s="123"/>
      <c r="W221" s="123"/>
      <c r="X221" s="123"/>
      <c r="Y221" s="123"/>
      <c r="Z221" s="123"/>
    </row>
    <row r="222">
      <c r="A222" s="416"/>
      <c r="B222" s="134"/>
      <c r="C222" s="417"/>
      <c r="D222" s="418"/>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row>
    <row r="223">
      <c r="A223" s="416"/>
      <c r="B223" s="134"/>
      <c r="C223" s="417"/>
      <c r="D223" s="418"/>
      <c r="E223" s="123"/>
      <c r="F223" s="123"/>
      <c r="G223" s="123"/>
      <c r="H223" s="123"/>
      <c r="I223" s="123"/>
      <c r="J223" s="123"/>
      <c r="K223" s="123"/>
      <c r="L223" s="123"/>
      <c r="M223" s="123"/>
      <c r="N223" s="123"/>
      <c r="O223" s="123"/>
      <c r="P223" s="123"/>
      <c r="Q223" s="123"/>
      <c r="R223" s="123"/>
      <c r="S223" s="123"/>
      <c r="T223" s="123"/>
      <c r="U223" s="123"/>
      <c r="V223" s="123"/>
      <c r="W223" s="123"/>
      <c r="X223" s="123"/>
      <c r="Y223" s="123"/>
      <c r="Z223" s="123"/>
    </row>
    <row r="224">
      <c r="A224" s="416"/>
      <c r="B224" s="134"/>
      <c r="C224" s="417"/>
      <c r="D224" s="418"/>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row>
    <row r="225">
      <c r="A225" s="416"/>
      <c r="B225" s="134"/>
      <c r="C225" s="417"/>
      <c r="D225" s="418"/>
      <c r="E225" s="123"/>
      <c r="F225" s="123"/>
      <c r="G225" s="123"/>
      <c r="H225" s="123"/>
      <c r="I225" s="123"/>
      <c r="J225" s="123"/>
      <c r="K225" s="123"/>
      <c r="L225" s="123"/>
      <c r="M225" s="123"/>
      <c r="N225" s="123"/>
      <c r="O225" s="123"/>
      <c r="P225" s="123"/>
      <c r="Q225" s="123"/>
      <c r="R225" s="123"/>
      <c r="S225" s="123"/>
      <c r="T225" s="123"/>
      <c r="U225" s="123"/>
      <c r="V225" s="123"/>
      <c r="W225" s="123"/>
      <c r="X225" s="123"/>
      <c r="Y225" s="123"/>
      <c r="Z225" s="123"/>
    </row>
    <row r="226">
      <c r="A226" s="416"/>
      <c r="B226" s="134"/>
      <c r="C226" s="417"/>
      <c r="D226" s="418"/>
      <c r="E226" s="123"/>
      <c r="F226" s="123"/>
      <c r="G226" s="123"/>
      <c r="H226" s="123"/>
      <c r="I226" s="123"/>
      <c r="J226" s="123"/>
      <c r="K226" s="123"/>
      <c r="L226" s="123"/>
      <c r="M226" s="123"/>
      <c r="N226" s="123"/>
      <c r="O226" s="123"/>
      <c r="P226" s="123"/>
      <c r="Q226" s="123"/>
      <c r="R226" s="123"/>
      <c r="S226" s="123"/>
      <c r="T226" s="123"/>
      <c r="U226" s="123"/>
      <c r="V226" s="123"/>
      <c r="W226" s="123"/>
      <c r="X226" s="123"/>
      <c r="Y226" s="123"/>
      <c r="Z226" s="123"/>
    </row>
    <row r="227">
      <c r="A227" s="416"/>
      <c r="B227" s="134"/>
      <c r="C227" s="417"/>
      <c r="D227" s="418"/>
      <c r="E227" s="123"/>
      <c r="F227" s="123"/>
      <c r="G227" s="123"/>
      <c r="H227" s="123"/>
      <c r="I227" s="123"/>
      <c r="J227" s="123"/>
      <c r="K227" s="123"/>
      <c r="L227" s="123"/>
      <c r="M227" s="123"/>
      <c r="N227" s="123"/>
      <c r="O227" s="123"/>
      <c r="P227" s="123"/>
      <c r="Q227" s="123"/>
      <c r="R227" s="123"/>
      <c r="S227" s="123"/>
      <c r="T227" s="123"/>
      <c r="U227" s="123"/>
      <c r="V227" s="123"/>
      <c r="W227" s="123"/>
      <c r="X227" s="123"/>
      <c r="Y227" s="123"/>
      <c r="Z227" s="123"/>
    </row>
    <row r="228">
      <c r="A228" s="416"/>
      <c r="B228" s="134"/>
      <c r="C228" s="417"/>
      <c r="D228" s="418"/>
      <c r="E228" s="123"/>
      <c r="F228" s="123"/>
      <c r="G228" s="123"/>
      <c r="H228" s="123"/>
      <c r="I228" s="123"/>
      <c r="J228" s="123"/>
      <c r="K228" s="123"/>
      <c r="L228" s="123"/>
      <c r="M228" s="123"/>
      <c r="N228" s="123"/>
      <c r="O228" s="123"/>
      <c r="P228" s="123"/>
      <c r="Q228" s="123"/>
      <c r="R228" s="123"/>
      <c r="S228" s="123"/>
      <c r="T228" s="123"/>
      <c r="U228" s="123"/>
      <c r="V228" s="123"/>
      <c r="W228" s="123"/>
      <c r="X228" s="123"/>
      <c r="Y228" s="123"/>
      <c r="Z228" s="123"/>
    </row>
    <row r="229">
      <c r="A229" s="416"/>
      <c r="B229" s="134"/>
      <c r="C229" s="417"/>
      <c r="D229" s="418"/>
      <c r="E229" s="123"/>
      <c r="F229" s="123"/>
      <c r="G229" s="123"/>
      <c r="H229" s="123"/>
      <c r="I229" s="123"/>
      <c r="J229" s="123"/>
      <c r="K229" s="123"/>
      <c r="L229" s="123"/>
      <c r="M229" s="123"/>
      <c r="N229" s="123"/>
      <c r="O229" s="123"/>
      <c r="P229" s="123"/>
      <c r="Q229" s="123"/>
      <c r="R229" s="123"/>
      <c r="S229" s="123"/>
      <c r="T229" s="123"/>
      <c r="U229" s="123"/>
      <c r="V229" s="123"/>
      <c r="W229" s="123"/>
      <c r="X229" s="123"/>
      <c r="Y229" s="123"/>
      <c r="Z229" s="123"/>
    </row>
    <row r="230">
      <c r="A230" s="416"/>
      <c r="B230" s="134"/>
      <c r="C230" s="417"/>
      <c r="D230" s="418"/>
      <c r="E230" s="123"/>
      <c r="F230" s="123"/>
      <c r="G230" s="123"/>
      <c r="H230" s="123"/>
      <c r="I230" s="123"/>
      <c r="J230" s="123"/>
      <c r="K230" s="123"/>
      <c r="L230" s="123"/>
      <c r="M230" s="123"/>
      <c r="N230" s="123"/>
      <c r="O230" s="123"/>
      <c r="P230" s="123"/>
      <c r="Q230" s="123"/>
      <c r="R230" s="123"/>
      <c r="S230" s="123"/>
      <c r="T230" s="123"/>
      <c r="U230" s="123"/>
      <c r="V230" s="123"/>
      <c r="W230" s="123"/>
      <c r="X230" s="123"/>
      <c r="Y230" s="123"/>
      <c r="Z230" s="123"/>
    </row>
    <row r="231">
      <c r="A231" s="416"/>
      <c r="B231" s="134"/>
      <c r="C231" s="417"/>
      <c r="D231" s="418"/>
      <c r="E231" s="123"/>
      <c r="F231" s="123"/>
      <c r="G231" s="123"/>
      <c r="H231" s="123"/>
      <c r="I231" s="123"/>
      <c r="J231" s="123"/>
      <c r="K231" s="123"/>
      <c r="L231" s="123"/>
      <c r="M231" s="123"/>
      <c r="N231" s="123"/>
      <c r="O231" s="123"/>
      <c r="P231" s="123"/>
      <c r="Q231" s="123"/>
      <c r="R231" s="123"/>
      <c r="S231" s="123"/>
      <c r="T231" s="123"/>
      <c r="U231" s="123"/>
      <c r="V231" s="123"/>
      <c r="W231" s="123"/>
      <c r="X231" s="123"/>
      <c r="Y231" s="123"/>
      <c r="Z231" s="123"/>
    </row>
    <row r="232">
      <c r="A232" s="416"/>
      <c r="B232" s="134"/>
      <c r="C232" s="417"/>
      <c r="D232" s="418"/>
      <c r="E232" s="123"/>
      <c r="F232" s="123"/>
      <c r="G232" s="123"/>
      <c r="H232" s="123"/>
      <c r="I232" s="123"/>
      <c r="J232" s="123"/>
      <c r="K232" s="123"/>
      <c r="L232" s="123"/>
      <c r="M232" s="123"/>
      <c r="N232" s="123"/>
      <c r="O232" s="123"/>
      <c r="P232" s="123"/>
      <c r="Q232" s="123"/>
      <c r="R232" s="123"/>
      <c r="S232" s="123"/>
      <c r="T232" s="123"/>
      <c r="U232" s="123"/>
      <c r="V232" s="123"/>
      <c r="W232" s="123"/>
      <c r="X232" s="123"/>
      <c r="Y232" s="123"/>
      <c r="Z232" s="123"/>
    </row>
    <row r="233">
      <c r="A233" s="416"/>
      <c r="B233" s="134"/>
      <c r="C233" s="417"/>
      <c r="D233" s="418"/>
      <c r="E233" s="123"/>
      <c r="F233" s="123"/>
      <c r="G233" s="123"/>
      <c r="H233" s="123"/>
      <c r="I233" s="123"/>
      <c r="J233" s="123"/>
      <c r="K233" s="123"/>
      <c r="L233" s="123"/>
      <c r="M233" s="123"/>
      <c r="N233" s="123"/>
      <c r="O233" s="123"/>
      <c r="P233" s="123"/>
      <c r="Q233" s="123"/>
      <c r="R233" s="123"/>
      <c r="S233" s="123"/>
      <c r="T233" s="123"/>
      <c r="U233" s="123"/>
      <c r="V233" s="123"/>
      <c r="W233" s="123"/>
      <c r="X233" s="123"/>
      <c r="Y233" s="123"/>
      <c r="Z233" s="123"/>
    </row>
    <row r="234">
      <c r="A234" s="416"/>
      <c r="B234" s="134"/>
      <c r="C234" s="417"/>
      <c r="D234" s="418"/>
      <c r="E234" s="123"/>
      <c r="F234" s="123"/>
      <c r="G234" s="123"/>
      <c r="H234" s="123"/>
      <c r="I234" s="123"/>
      <c r="J234" s="123"/>
      <c r="K234" s="123"/>
      <c r="L234" s="123"/>
      <c r="M234" s="123"/>
      <c r="N234" s="123"/>
      <c r="O234" s="123"/>
      <c r="P234" s="123"/>
      <c r="Q234" s="123"/>
      <c r="R234" s="123"/>
      <c r="S234" s="123"/>
      <c r="T234" s="123"/>
      <c r="U234" s="123"/>
      <c r="V234" s="123"/>
      <c r="W234" s="123"/>
      <c r="X234" s="123"/>
      <c r="Y234" s="123"/>
      <c r="Z234" s="123"/>
    </row>
    <row r="235">
      <c r="A235" s="416"/>
      <c r="B235" s="134"/>
      <c r="C235" s="417"/>
      <c r="D235" s="418"/>
      <c r="E235" s="123"/>
      <c r="F235" s="123"/>
      <c r="G235" s="123"/>
      <c r="H235" s="123"/>
      <c r="I235" s="123"/>
      <c r="J235" s="123"/>
      <c r="K235" s="123"/>
      <c r="L235" s="123"/>
      <c r="M235" s="123"/>
      <c r="N235" s="123"/>
      <c r="O235" s="123"/>
      <c r="P235" s="123"/>
      <c r="Q235" s="123"/>
      <c r="R235" s="123"/>
      <c r="S235" s="123"/>
      <c r="T235" s="123"/>
      <c r="U235" s="123"/>
      <c r="V235" s="123"/>
      <c r="W235" s="123"/>
      <c r="X235" s="123"/>
      <c r="Y235" s="123"/>
      <c r="Z235" s="123"/>
    </row>
    <row r="236">
      <c r="A236" s="416"/>
      <c r="B236" s="134"/>
      <c r="C236" s="417"/>
      <c r="D236" s="418"/>
      <c r="E236" s="123"/>
      <c r="F236" s="123"/>
      <c r="G236" s="123"/>
      <c r="H236" s="123"/>
      <c r="I236" s="123"/>
      <c r="J236" s="123"/>
      <c r="K236" s="123"/>
      <c r="L236" s="123"/>
      <c r="M236" s="123"/>
      <c r="N236" s="123"/>
      <c r="O236" s="123"/>
      <c r="P236" s="123"/>
      <c r="Q236" s="123"/>
      <c r="R236" s="123"/>
      <c r="S236" s="123"/>
      <c r="T236" s="123"/>
      <c r="U236" s="123"/>
      <c r="V236" s="123"/>
      <c r="W236" s="123"/>
      <c r="X236" s="123"/>
      <c r="Y236" s="123"/>
      <c r="Z236" s="123"/>
    </row>
    <row r="237">
      <c r="A237" s="416"/>
      <c r="B237" s="134"/>
      <c r="C237" s="417"/>
      <c r="D237" s="418"/>
      <c r="E237" s="123"/>
      <c r="F237" s="123"/>
      <c r="G237" s="123"/>
      <c r="H237" s="123"/>
      <c r="I237" s="123"/>
      <c r="J237" s="123"/>
      <c r="K237" s="123"/>
      <c r="L237" s="123"/>
      <c r="M237" s="123"/>
      <c r="N237" s="123"/>
      <c r="O237" s="123"/>
      <c r="P237" s="123"/>
      <c r="Q237" s="123"/>
      <c r="R237" s="123"/>
      <c r="S237" s="123"/>
      <c r="T237" s="123"/>
      <c r="U237" s="123"/>
      <c r="V237" s="123"/>
      <c r="W237" s="123"/>
      <c r="X237" s="123"/>
      <c r="Y237" s="123"/>
      <c r="Z237" s="123"/>
    </row>
    <row r="238">
      <c r="A238" s="416"/>
      <c r="B238" s="134"/>
      <c r="C238" s="417"/>
      <c r="D238" s="418"/>
      <c r="E238" s="123"/>
      <c r="F238" s="123"/>
      <c r="G238" s="123"/>
      <c r="H238" s="123"/>
      <c r="I238" s="123"/>
      <c r="J238" s="123"/>
      <c r="K238" s="123"/>
      <c r="L238" s="123"/>
      <c r="M238" s="123"/>
      <c r="N238" s="123"/>
      <c r="O238" s="123"/>
      <c r="P238" s="123"/>
      <c r="Q238" s="123"/>
      <c r="R238" s="123"/>
      <c r="S238" s="123"/>
      <c r="T238" s="123"/>
      <c r="U238" s="123"/>
      <c r="V238" s="123"/>
      <c r="W238" s="123"/>
      <c r="X238" s="123"/>
      <c r="Y238" s="123"/>
      <c r="Z238" s="123"/>
    </row>
    <row r="239">
      <c r="A239" s="416"/>
      <c r="B239" s="134"/>
      <c r="C239" s="417"/>
      <c r="D239" s="418"/>
      <c r="E239" s="123"/>
      <c r="F239" s="123"/>
      <c r="G239" s="123"/>
      <c r="H239" s="123"/>
      <c r="I239" s="123"/>
      <c r="J239" s="123"/>
      <c r="K239" s="123"/>
      <c r="L239" s="123"/>
      <c r="M239" s="123"/>
      <c r="N239" s="123"/>
      <c r="O239" s="123"/>
      <c r="P239" s="123"/>
      <c r="Q239" s="123"/>
      <c r="R239" s="123"/>
      <c r="S239" s="123"/>
      <c r="T239" s="123"/>
      <c r="U239" s="123"/>
      <c r="V239" s="123"/>
      <c r="W239" s="123"/>
      <c r="X239" s="123"/>
      <c r="Y239" s="123"/>
      <c r="Z239" s="123"/>
    </row>
    <row r="240">
      <c r="A240" s="416"/>
      <c r="B240" s="134"/>
      <c r="C240" s="417"/>
      <c r="D240" s="418"/>
      <c r="E240" s="123"/>
      <c r="F240" s="123"/>
      <c r="G240" s="123"/>
      <c r="H240" s="123"/>
      <c r="I240" s="123"/>
      <c r="J240" s="123"/>
      <c r="K240" s="123"/>
      <c r="L240" s="123"/>
      <c r="M240" s="123"/>
      <c r="N240" s="123"/>
      <c r="O240" s="123"/>
      <c r="P240" s="123"/>
      <c r="Q240" s="123"/>
      <c r="R240" s="123"/>
      <c r="S240" s="123"/>
      <c r="T240" s="123"/>
      <c r="U240" s="123"/>
      <c r="V240" s="123"/>
      <c r="W240" s="123"/>
      <c r="X240" s="123"/>
      <c r="Y240" s="123"/>
      <c r="Z240" s="123"/>
    </row>
    <row r="241">
      <c r="A241" s="416"/>
      <c r="B241" s="134"/>
      <c r="C241" s="417"/>
      <c r="D241" s="418"/>
      <c r="E241" s="123"/>
      <c r="F241" s="123"/>
      <c r="G241" s="123"/>
      <c r="H241" s="123"/>
      <c r="I241" s="123"/>
      <c r="J241" s="123"/>
      <c r="K241" s="123"/>
      <c r="L241" s="123"/>
      <c r="M241" s="123"/>
      <c r="N241" s="123"/>
      <c r="O241" s="123"/>
      <c r="P241" s="123"/>
      <c r="Q241" s="123"/>
      <c r="R241" s="123"/>
      <c r="S241" s="123"/>
      <c r="T241" s="123"/>
      <c r="U241" s="123"/>
      <c r="V241" s="123"/>
      <c r="W241" s="123"/>
      <c r="X241" s="123"/>
      <c r="Y241" s="123"/>
      <c r="Z241" s="123"/>
    </row>
    <row r="242">
      <c r="A242" s="416"/>
      <c r="B242" s="134"/>
      <c r="C242" s="417"/>
      <c r="D242" s="418"/>
      <c r="E242" s="123"/>
      <c r="F242" s="123"/>
      <c r="G242" s="123"/>
      <c r="H242" s="123"/>
      <c r="I242" s="123"/>
      <c r="J242" s="123"/>
      <c r="K242" s="123"/>
      <c r="L242" s="123"/>
      <c r="M242" s="123"/>
      <c r="N242" s="123"/>
      <c r="O242" s="123"/>
      <c r="P242" s="123"/>
      <c r="Q242" s="123"/>
      <c r="R242" s="123"/>
      <c r="S242" s="123"/>
      <c r="T242" s="123"/>
      <c r="U242" s="123"/>
      <c r="V242" s="123"/>
      <c r="W242" s="123"/>
      <c r="X242" s="123"/>
      <c r="Y242" s="123"/>
      <c r="Z242" s="123"/>
    </row>
    <row r="243">
      <c r="A243" s="416"/>
      <c r="B243" s="134"/>
      <c r="C243" s="417"/>
      <c r="D243" s="418"/>
      <c r="E243" s="123"/>
      <c r="F243" s="123"/>
      <c r="G243" s="123"/>
      <c r="H243" s="123"/>
      <c r="I243" s="123"/>
      <c r="J243" s="123"/>
      <c r="K243" s="123"/>
      <c r="L243" s="123"/>
      <c r="M243" s="123"/>
      <c r="N243" s="123"/>
      <c r="O243" s="123"/>
      <c r="P243" s="123"/>
      <c r="Q243" s="123"/>
      <c r="R243" s="123"/>
      <c r="S243" s="123"/>
      <c r="T243" s="123"/>
      <c r="U243" s="123"/>
      <c r="V243" s="123"/>
      <c r="W243" s="123"/>
      <c r="X243" s="123"/>
      <c r="Y243" s="123"/>
      <c r="Z243" s="123"/>
    </row>
    <row r="244">
      <c r="A244" s="416"/>
      <c r="B244" s="134"/>
      <c r="C244" s="417"/>
      <c r="D244" s="418"/>
      <c r="E244" s="123"/>
      <c r="F244" s="123"/>
      <c r="G244" s="123"/>
      <c r="H244" s="123"/>
      <c r="I244" s="123"/>
      <c r="J244" s="123"/>
      <c r="K244" s="123"/>
      <c r="L244" s="123"/>
      <c r="M244" s="123"/>
      <c r="N244" s="123"/>
      <c r="O244" s="123"/>
      <c r="P244" s="123"/>
      <c r="Q244" s="123"/>
      <c r="R244" s="123"/>
      <c r="S244" s="123"/>
      <c r="T244" s="123"/>
      <c r="U244" s="123"/>
      <c r="V244" s="123"/>
      <c r="W244" s="123"/>
      <c r="X244" s="123"/>
      <c r="Y244" s="123"/>
      <c r="Z244" s="123"/>
    </row>
    <row r="245">
      <c r="A245" s="416"/>
      <c r="B245" s="134"/>
      <c r="C245" s="417"/>
      <c r="D245" s="418"/>
      <c r="E245" s="123"/>
      <c r="F245" s="123"/>
      <c r="G245" s="123"/>
      <c r="H245" s="123"/>
      <c r="I245" s="123"/>
      <c r="J245" s="123"/>
      <c r="K245" s="123"/>
      <c r="L245" s="123"/>
      <c r="M245" s="123"/>
      <c r="N245" s="123"/>
      <c r="O245" s="123"/>
      <c r="P245" s="123"/>
      <c r="Q245" s="123"/>
      <c r="R245" s="123"/>
      <c r="S245" s="123"/>
      <c r="T245" s="123"/>
      <c r="U245" s="123"/>
      <c r="V245" s="123"/>
      <c r="W245" s="123"/>
      <c r="X245" s="123"/>
      <c r="Y245" s="123"/>
      <c r="Z245" s="123"/>
    </row>
    <row r="246">
      <c r="A246" s="416"/>
      <c r="B246" s="134"/>
      <c r="C246" s="417"/>
      <c r="D246" s="418"/>
      <c r="E246" s="123"/>
      <c r="F246" s="123"/>
      <c r="G246" s="123"/>
      <c r="H246" s="123"/>
      <c r="I246" s="123"/>
      <c r="J246" s="123"/>
      <c r="K246" s="123"/>
      <c r="L246" s="123"/>
      <c r="M246" s="123"/>
      <c r="N246" s="123"/>
      <c r="O246" s="123"/>
      <c r="P246" s="123"/>
      <c r="Q246" s="123"/>
      <c r="R246" s="123"/>
      <c r="S246" s="123"/>
      <c r="T246" s="123"/>
      <c r="U246" s="123"/>
      <c r="V246" s="123"/>
      <c r="W246" s="123"/>
      <c r="X246" s="123"/>
      <c r="Y246" s="123"/>
      <c r="Z246" s="123"/>
    </row>
    <row r="247">
      <c r="A247" s="416"/>
      <c r="B247" s="134"/>
      <c r="C247" s="417"/>
      <c r="D247" s="418"/>
      <c r="E247" s="123"/>
      <c r="F247" s="123"/>
      <c r="G247" s="123"/>
      <c r="H247" s="123"/>
      <c r="I247" s="123"/>
      <c r="J247" s="123"/>
      <c r="K247" s="123"/>
      <c r="L247" s="123"/>
      <c r="M247" s="123"/>
      <c r="N247" s="123"/>
      <c r="O247" s="123"/>
      <c r="P247" s="123"/>
      <c r="Q247" s="123"/>
      <c r="R247" s="123"/>
      <c r="S247" s="123"/>
      <c r="T247" s="123"/>
      <c r="U247" s="123"/>
      <c r="V247" s="123"/>
      <c r="W247" s="123"/>
      <c r="X247" s="123"/>
      <c r="Y247" s="123"/>
      <c r="Z247" s="123"/>
    </row>
    <row r="248">
      <c r="A248" s="416"/>
      <c r="B248" s="134"/>
      <c r="C248" s="417"/>
      <c r="D248" s="418"/>
      <c r="E248" s="123"/>
      <c r="F248" s="123"/>
      <c r="G248" s="123"/>
      <c r="H248" s="123"/>
      <c r="I248" s="123"/>
      <c r="J248" s="123"/>
      <c r="K248" s="123"/>
      <c r="L248" s="123"/>
      <c r="M248" s="123"/>
      <c r="N248" s="123"/>
      <c r="O248" s="123"/>
      <c r="P248" s="123"/>
      <c r="Q248" s="123"/>
      <c r="R248" s="123"/>
      <c r="S248" s="123"/>
      <c r="T248" s="123"/>
      <c r="U248" s="123"/>
      <c r="V248" s="123"/>
      <c r="W248" s="123"/>
      <c r="X248" s="123"/>
      <c r="Y248" s="123"/>
      <c r="Z248" s="123"/>
    </row>
    <row r="249">
      <c r="A249" s="416"/>
      <c r="B249" s="134"/>
      <c r="C249" s="417"/>
      <c r="D249" s="418"/>
      <c r="E249" s="123"/>
      <c r="F249" s="123"/>
      <c r="G249" s="123"/>
      <c r="H249" s="123"/>
      <c r="I249" s="123"/>
      <c r="J249" s="123"/>
      <c r="K249" s="123"/>
      <c r="L249" s="123"/>
      <c r="M249" s="123"/>
      <c r="N249" s="123"/>
      <c r="O249" s="123"/>
      <c r="P249" s="123"/>
      <c r="Q249" s="123"/>
      <c r="R249" s="123"/>
      <c r="S249" s="123"/>
      <c r="T249" s="123"/>
      <c r="U249" s="123"/>
      <c r="V249" s="123"/>
      <c r="W249" s="123"/>
      <c r="X249" s="123"/>
      <c r="Y249" s="123"/>
      <c r="Z249" s="123"/>
    </row>
    <row r="250">
      <c r="A250" s="416"/>
      <c r="B250" s="134"/>
      <c r="C250" s="417"/>
      <c r="D250" s="418"/>
      <c r="E250" s="123"/>
      <c r="F250" s="123"/>
      <c r="G250" s="123"/>
      <c r="H250" s="123"/>
      <c r="I250" s="123"/>
      <c r="J250" s="123"/>
      <c r="K250" s="123"/>
      <c r="L250" s="123"/>
      <c r="M250" s="123"/>
      <c r="N250" s="123"/>
      <c r="O250" s="123"/>
      <c r="P250" s="123"/>
      <c r="Q250" s="123"/>
      <c r="R250" s="123"/>
      <c r="S250" s="123"/>
      <c r="T250" s="123"/>
      <c r="U250" s="123"/>
      <c r="V250" s="123"/>
      <c r="W250" s="123"/>
      <c r="X250" s="123"/>
      <c r="Y250" s="123"/>
      <c r="Z250" s="123"/>
    </row>
    <row r="251">
      <c r="A251" s="416"/>
      <c r="B251" s="134"/>
      <c r="C251" s="417"/>
      <c r="D251" s="418"/>
      <c r="E251" s="123"/>
      <c r="F251" s="123"/>
      <c r="G251" s="123"/>
      <c r="H251" s="123"/>
      <c r="I251" s="123"/>
      <c r="J251" s="123"/>
      <c r="K251" s="123"/>
      <c r="L251" s="123"/>
      <c r="M251" s="123"/>
      <c r="N251" s="123"/>
      <c r="O251" s="123"/>
      <c r="P251" s="123"/>
      <c r="Q251" s="123"/>
      <c r="R251" s="123"/>
      <c r="S251" s="123"/>
      <c r="T251" s="123"/>
      <c r="U251" s="123"/>
      <c r="V251" s="123"/>
      <c r="W251" s="123"/>
      <c r="X251" s="123"/>
      <c r="Y251" s="123"/>
      <c r="Z251" s="123"/>
    </row>
    <row r="252">
      <c r="A252" s="416"/>
      <c r="B252" s="134"/>
      <c r="C252" s="417"/>
      <c r="D252" s="418"/>
      <c r="E252" s="123"/>
      <c r="F252" s="123"/>
      <c r="G252" s="123"/>
      <c r="H252" s="123"/>
      <c r="I252" s="123"/>
      <c r="J252" s="123"/>
      <c r="K252" s="123"/>
      <c r="L252" s="123"/>
      <c r="M252" s="123"/>
      <c r="N252" s="123"/>
      <c r="O252" s="123"/>
      <c r="P252" s="123"/>
      <c r="Q252" s="123"/>
      <c r="R252" s="123"/>
      <c r="S252" s="123"/>
      <c r="T252" s="123"/>
      <c r="U252" s="123"/>
      <c r="V252" s="123"/>
      <c r="W252" s="123"/>
      <c r="X252" s="123"/>
      <c r="Y252" s="123"/>
      <c r="Z252" s="123"/>
    </row>
    <row r="253">
      <c r="A253" s="416"/>
      <c r="B253" s="134"/>
      <c r="C253" s="417"/>
      <c r="D253" s="418"/>
      <c r="E253" s="123"/>
      <c r="F253" s="123"/>
      <c r="G253" s="123"/>
      <c r="H253" s="123"/>
      <c r="I253" s="123"/>
      <c r="J253" s="123"/>
      <c r="K253" s="123"/>
      <c r="L253" s="123"/>
      <c r="M253" s="123"/>
      <c r="N253" s="123"/>
      <c r="O253" s="123"/>
      <c r="P253" s="123"/>
      <c r="Q253" s="123"/>
      <c r="R253" s="123"/>
      <c r="S253" s="123"/>
      <c r="T253" s="123"/>
      <c r="U253" s="123"/>
      <c r="V253" s="123"/>
      <c r="W253" s="123"/>
      <c r="X253" s="123"/>
      <c r="Y253" s="123"/>
      <c r="Z253" s="123"/>
    </row>
    <row r="254">
      <c r="A254" s="416"/>
      <c r="B254" s="134"/>
      <c r="C254" s="417"/>
      <c r="D254" s="418"/>
      <c r="E254" s="123"/>
      <c r="F254" s="123"/>
      <c r="G254" s="123"/>
      <c r="H254" s="123"/>
      <c r="I254" s="123"/>
      <c r="J254" s="123"/>
      <c r="K254" s="123"/>
      <c r="L254" s="123"/>
      <c r="M254" s="123"/>
      <c r="N254" s="123"/>
      <c r="O254" s="123"/>
      <c r="P254" s="123"/>
      <c r="Q254" s="123"/>
      <c r="R254" s="123"/>
      <c r="S254" s="123"/>
      <c r="T254" s="123"/>
      <c r="U254" s="123"/>
      <c r="V254" s="123"/>
      <c r="W254" s="123"/>
      <c r="X254" s="123"/>
      <c r="Y254" s="123"/>
      <c r="Z254" s="123"/>
    </row>
    <row r="255">
      <c r="A255" s="416"/>
      <c r="B255" s="134"/>
      <c r="C255" s="417"/>
      <c r="D255" s="418"/>
      <c r="E255" s="123"/>
      <c r="F255" s="123"/>
      <c r="G255" s="123"/>
      <c r="H255" s="123"/>
      <c r="I255" s="123"/>
      <c r="J255" s="123"/>
      <c r="K255" s="123"/>
      <c r="L255" s="123"/>
      <c r="M255" s="123"/>
      <c r="N255" s="123"/>
      <c r="O255" s="123"/>
      <c r="P255" s="123"/>
      <c r="Q255" s="123"/>
      <c r="R255" s="123"/>
      <c r="S255" s="123"/>
      <c r="T255" s="123"/>
      <c r="U255" s="123"/>
      <c r="V255" s="123"/>
      <c r="W255" s="123"/>
      <c r="X255" s="123"/>
      <c r="Y255" s="123"/>
      <c r="Z255" s="123"/>
    </row>
    <row r="256">
      <c r="A256" s="416"/>
      <c r="B256" s="134"/>
      <c r="C256" s="417"/>
      <c r="D256" s="418"/>
      <c r="E256" s="123"/>
      <c r="F256" s="123"/>
      <c r="G256" s="123"/>
      <c r="H256" s="123"/>
      <c r="I256" s="123"/>
      <c r="J256" s="123"/>
      <c r="K256" s="123"/>
      <c r="L256" s="123"/>
      <c r="M256" s="123"/>
      <c r="N256" s="123"/>
      <c r="O256" s="123"/>
      <c r="P256" s="123"/>
      <c r="Q256" s="123"/>
      <c r="R256" s="123"/>
      <c r="S256" s="123"/>
      <c r="T256" s="123"/>
      <c r="U256" s="123"/>
      <c r="V256" s="123"/>
      <c r="W256" s="123"/>
      <c r="X256" s="123"/>
      <c r="Y256" s="123"/>
      <c r="Z256" s="123"/>
    </row>
    <row r="257">
      <c r="A257" s="416"/>
      <c r="B257" s="134"/>
      <c r="C257" s="417"/>
      <c r="D257" s="418"/>
      <c r="E257" s="123"/>
      <c r="F257" s="123"/>
      <c r="G257" s="123"/>
      <c r="H257" s="123"/>
      <c r="I257" s="123"/>
      <c r="J257" s="123"/>
      <c r="K257" s="123"/>
      <c r="L257" s="123"/>
      <c r="M257" s="123"/>
      <c r="N257" s="123"/>
      <c r="O257" s="123"/>
      <c r="P257" s="123"/>
      <c r="Q257" s="123"/>
      <c r="R257" s="123"/>
      <c r="S257" s="123"/>
      <c r="T257" s="123"/>
      <c r="U257" s="123"/>
      <c r="V257" s="123"/>
      <c r="W257" s="123"/>
      <c r="X257" s="123"/>
      <c r="Y257" s="123"/>
      <c r="Z257" s="123"/>
    </row>
    <row r="258">
      <c r="A258" s="416"/>
      <c r="B258" s="134"/>
      <c r="C258" s="417"/>
      <c r="D258" s="418"/>
      <c r="E258" s="123"/>
      <c r="F258" s="123"/>
      <c r="G258" s="123"/>
      <c r="H258" s="123"/>
      <c r="I258" s="123"/>
      <c r="J258" s="123"/>
      <c r="K258" s="123"/>
      <c r="L258" s="123"/>
      <c r="M258" s="123"/>
      <c r="N258" s="123"/>
      <c r="O258" s="123"/>
      <c r="P258" s="123"/>
      <c r="Q258" s="123"/>
      <c r="R258" s="123"/>
      <c r="S258" s="123"/>
      <c r="T258" s="123"/>
      <c r="U258" s="123"/>
      <c r="V258" s="123"/>
      <c r="W258" s="123"/>
      <c r="X258" s="123"/>
      <c r="Y258" s="123"/>
      <c r="Z258" s="123"/>
    </row>
    <row r="259">
      <c r="A259" s="416"/>
      <c r="B259" s="134"/>
      <c r="C259" s="417"/>
      <c r="D259" s="418"/>
      <c r="E259" s="123"/>
      <c r="F259" s="123"/>
      <c r="G259" s="123"/>
      <c r="H259" s="123"/>
      <c r="I259" s="123"/>
      <c r="J259" s="123"/>
      <c r="K259" s="123"/>
      <c r="L259" s="123"/>
      <c r="M259" s="123"/>
      <c r="N259" s="123"/>
      <c r="O259" s="123"/>
      <c r="P259" s="123"/>
      <c r="Q259" s="123"/>
      <c r="R259" s="123"/>
      <c r="S259" s="123"/>
      <c r="T259" s="123"/>
      <c r="U259" s="123"/>
      <c r="V259" s="123"/>
      <c r="W259" s="123"/>
      <c r="X259" s="123"/>
      <c r="Y259" s="123"/>
      <c r="Z259" s="123"/>
    </row>
    <row r="260">
      <c r="A260" s="416"/>
      <c r="B260" s="134"/>
      <c r="C260" s="417"/>
      <c r="D260" s="418"/>
      <c r="E260" s="123"/>
      <c r="F260" s="123"/>
      <c r="G260" s="123"/>
      <c r="H260" s="123"/>
      <c r="I260" s="123"/>
      <c r="J260" s="123"/>
      <c r="K260" s="123"/>
      <c r="L260" s="123"/>
      <c r="M260" s="123"/>
      <c r="N260" s="123"/>
      <c r="O260" s="123"/>
      <c r="P260" s="123"/>
      <c r="Q260" s="123"/>
      <c r="R260" s="123"/>
      <c r="S260" s="123"/>
      <c r="T260" s="123"/>
      <c r="U260" s="123"/>
      <c r="V260" s="123"/>
      <c r="W260" s="123"/>
      <c r="X260" s="123"/>
      <c r="Y260" s="123"/>
      <c r="Z260" s="123"/>
    </row>
    <row r="261">
      <c r="A261" s="416"/>
      <c r="B261" s="134"/>
      <c r="C261" s="417"/>
      <c r="D261" s="418"/>
      <c r="E261" s="123"/>
      <c r="F261" s="123"/>
      <c r="G261" s="123"/>
      <c r="H261" s="123"/>
      <c r="I261" s="123"/>
      <c r="J261" s="123"/>
      <c r="K261" s="123"/>
      <c r="L261" s="123"/>
      <c r="M261" s="123"/>
      <c r="N261" s="123"/>
      <c r="O261" s="123"/>
      <c r="P261" s="123"/>
      <c r="Q261" s="123"/>
      <c r="R261" s="123"/>
      <c r="S261" s="123"/>
      <c r="T261" s="123"/>
      <c r="U261" s="123"/>
      <c r="V261" s="123"/>
      <c r="W261" s="123"/>
      <c r="X261" s="123"/>
      <c r="Y261" s="123"/>
      <c r="Z261" s="123"/>
    </row>
    <row r="262">
      <c r="A262" s="416"/>
      <c r="B262" s="134"/>
      <c r="C262" s="417"/>
      <c r="D262" s="418"/>
      <c r="E262" s="123"/>
      <c r="F262" s="123"/>
      <c r="G262" s="123"/>
      <c r="H262" s="123"/>
      <c r="I262" s="123"/>
      <c r="J262" s="123"/>
      <c r="K262" s="123"/>
      <c r="L262" s="123"/>
      <c r="M262" s="123"/>
      <c r="N262" s="123"/>
      <c r="O262" s="123"/>
      <c r="P262" s="123"/>
      <c r="Q262" s="123"/>
      <c r="R262" s="123"/>
      <c r="S262" s="123"/>
      <c r="T262" s="123"/>
      <c r="U262" s="123"/>
      <c r="V262" s="123"/>
      <c r="W262" s="123"/>
      <c r="X262" s="123"/>
      <c r="Y262" s="123"/>
      <c r="Z262" s="123"/>
    </row>
    <row r="263">
      <c r="A263" s="416"/>
      <c r="B263" s="134"/>
      <c r="C263" s="417"/>
      <c r="D263" s="418"/>
      <c r="E263" s="123"/>
      <c r="F263" s="123"/>
      <c r="G263" s="123"/>
      <c r="H263" s="123"/>
      <c r="I263" s="123"/>
      <c r="J263" s="123"/>
      <c r="K263" s="123"/>
      <c r="L263" s="123"/>
      <c r="M263" s="123"/>
      <c r="N263" s="123"/>
      <c r="O263" s="123"/>
      <c r="P263" s="123"/>
      <c r="Q263" s="123"/>
      <c r="R263" s="123"/>
      <c r="S263" s="123"/>
      <c r="T263" s="123"/>
      <c r="U263" s="123"/>
      <c r="V263" s="123"/>
      <c r="W263" s="123"/>
      <c r="X263" s="123"/>
      <c r="Y263" s="123"/>
      <c r="Z263" s="123"/>
    </row>
    <row r="264">
      <c r="A264" s="416"/>
      <c r="B264" s="134"/>
      <c r="C264" s="417"/>
      <c r="D264" s="418"/>
      <c r="E264" s="123"/>
      <c r="F264" s="123"/>
      <c r="G264" s="123"/>
      <c r="H264" s="123"/>
      <c r="I264" s="123"/>
      <c r="J264" s="123"/>
      <c r="K264" s="123"/>
      <c r="L264" s="123"/>
      <c r="M264" s="123"/>
      <c r="N264" s="123"/>
      <c r="O264" s="123"/>
      <c r="P264" s="123"/>
      <c r="Q264" s="123"/>
      <c r="R264" s="123"/>
      <c r="S264" s="123"/>
      <c r="T264" s="123"/>
      <c r="U264" s="123"/>
      <c r="V264" s="123"/>
      <c r="W264" s="123"/>
      <c r="X264" s="123"/>
      <c r="Y264" s="123"/>
      <c r="Z264" s="123"/>
    </row>
    <row r="265">
      <c r="A265" s="416"/>
      <c r="B265" s="134"/>
      <c r="C265" s="417"/>
      <c r="D265" s="418"/>
      <c r="E265" s="123"/>
      <c r="F265" s="123"/>
      <c r="G265" s="123"/>
      <c r="H265" s="123"/>
      <c r="I265" s="123"/>
      <c r="J265" s="123"/>
      <c r="K265" s="123"/>
      <c r="L265" s="123"/>
      <c r="M265" s="123"/>
      <c r="N265" s="123"/>
      <c r="O265" s="123"/>
      <c r="P265" s="123"/>
      <c r="Q265" s="123"/>
      <c r="R265" s="123"/>
      <c r="S265" s="123"/>
      <c r="T265" s="123"/>
      <c r="U265" s="123"/>
      <c r="V265" s="123"/>
      <c r="W265" s="123"/>
      <c r="X265" s="123"/>
      <c r="Y265" s="123"/>
      <c r="Z265" s="123"/>
    </row>
    <row r="266">
      <c r="A266" s="416"/>
      <c r="B266" s="134"/>
      <c r="C266" s="417"/>
      <c r="D266" s="418"/>
      <c r="E266" s="123"/>
      <c r="F266" s="123"/>
      <c r="G266" s="123"/>
      <c r="H266" s="123"/>
      <c r="I266" s="123"/>
      <c r="J266" s="123"/>
      <c r="K266" s="123"/>
      <c r="L266" s="123"/>
      <c r="M266" s="123"/>
      <c r="N266" s="123"/>
      <c r="O266" s="123"/>
      <c r="P266" s="123"/>
      <c r="Q266" s="123"/>
      <c r="R266" s="123"/>
      <c r="S266" s="123"/>
      <c r="T266" s="123"/>
      <c r="U266" s="123"/>
      <c r="V266" s="123"/>
      <c r="W266" s="123"/>
      <c r="X266" s="123"/>
      <c r="Y266" s="123"/>
      <c r="Z266" s="123"/>
    </row>
    <row r="267">
      <c r="A267" s="416"/>
      <c r="B267" s="134"/>
      <c r="C267" s="417"/>
      <c r="D267" s="418"/>
      <c r="E267" s="123"/>
      <c r="F267" s="123"/>
      <c r="G267" s="123"/>
      <c r="H267" s="123"/>
      <c r="I267" s="123"/>
      <c r="J267" s="123"/>
      <c r="K267" s="123"/>
      <c r="L267" s="123"/>
      <c r="M267" s="123"/>
      <c r="N267" s="123"/>
      <c r="O267" s="123"/>
      <c r="P267" s="123"/>
      <c r="Q267" s="123"/>
      <c r="R267" s="123"/>
      <c r="S267" s="123"/>
      <c r="T267" s="123"/>
      <c r="U267" s="123"/>
      <c r="V267" s="123"/>
      <c r="W267" s="123"/>
      <c r="X267" s="123"/>
      <c r="Y267" s="123"/>
      <c r="Z267" s="123"/>
    </row>
    <row r="268">
      <c r="A268" s="416"/>
      <c r="B268" s="134"/>
      <c r="C268" s="417"/>
      <c r="D268" s="418"/>
      <c r="E268" s="123"/>
      <c r="F268" s="123"/>
      <c r="G268" s="123"/>
      <c r="H268" s="123"/>
      <c r="I268" s="123"/>
      <c r="J268" s="123"/>
      <c r="K268" s="123"/>
      <c r="L268" s="123"/>
      <c r="M268" s="123"/>
      <c r="N268" s="123"/>
      <c r="O268" s="123"/>
      <c r="P268" s="123"/>
      <c r="Q268" s="123"/>
      <c r="R268" s="123"/>
      <c r="S268" s="123"/>
      <c r="T268" s="123"/>
      <c r="U268" s="123"/>
      <c r="V268" s="123"/>
      <c r="W268" s="123"/>
      <c r="X268" s="123"/>
      <c r="Y268" s="123"/>
      <c r="Z268" s="123"/>
    </row>
    <row r="269">
      <c r="A269" s="416"/>
      <c r="B269" s="134"/>
      <c r="C269" s="417"/>
      <c r="D269" s="418"/>
      <c r="E269" s="123"/>
      <c r="F269" s="123"/>
      <c r="G269" s="123"/>
      <c r="H269" s="123"/>
      <c r="I269" s="123"/>
      <c r="J269" s="123"/>
      <c r="K269" s="123"/>
      <c r="L269" s="123"/>
      <c r="M269" s="123"/>
      <c r="N269" s="123"/>
      <c r="O269" s="123"/>
      <c r="P269" s="123"/>
      <c r="Q269" s="123"/>
      <c r="R269" s="123"/>
      <c r="S269" s="123"/>
      <c r="T269" s="123"/>
      <c r="U269" s="123"/>
      <c r="V269" s="123"/>
      <c r="W269" s="123"/>
      <c r="X269" s="123"/>
      <c r="Y269" s="123"/>
      <c r="Z269" s="123"/>
    </row>
    <row r="270">
      <c r="A270" s="416"/>
      <c r="B270" s="134"/>
      <c r="C270" s="417"/>
      <c r="D270" s="418"/>
      <c r="E270" s="123"/>
      <c r="F270" s="123"/>
      <c r="G270" s="123"/>
      <c r="H270" s="123"/>
      <c r="I270" s="123"/>
      <c r="J270" s="123"/>
      <c r="K270" s="123"/>
      <c r="L270" s="123"/>
      <c r="M270" s="123"/>
      <c r="N270" s="123"/>
      <c r="O270" s="123"/>
      <c r="P270" s="123"/>
      <c r="Q270" s="123"/>
      <c r="R270" s="123"/>
      <c r="S270" s="123"/>
      <c r="T270" s="123"/>
      <c r="U270" s="123"/>
      <c r="V270" s="123"/>
      <c r="W270" s="123"/>
      <c r="X270" s="123"/>
      <c r="Y270" s="123"/>
      <c r="Z270" s="123"/>
    </row>
    <row r="271">
      <c r="A271" s="416"/>
      <c r="B271" s="134"/>
      <c r="C271" s="417"/>
      <c r="D271" s="418"/>
      <c r="E271" s="123"/>
      <c r="F271" s="123"/>
      <c r="G271" s="123"/>
      <c r="H271" s="123"/>
      <c r="I271" s="123"/>
      <c r="J271" s="123"/>
      <c r="K271" s="123"/>
      <c r="L271" s="123"/>
      <c r="M271" s="123"/>
      <c r="N271" s="123"/>
      <c r="O271" s="123"/>
      <c r="P271" s="123"/>
      <c r="Q271" s="123"/>
      <c r="R271" s="123"/>
      <c r="S271" s="123"/>
      <c r="T271" s="123"/>
      <c r="U271" s="123"/>
      <c r="V271" s="123"/>
      <c r="W271" s="123"/>
      <c r="X271" s="123"/>
      <c r="Y271" s="123"/>
      <c r="Z271" s="123"/>
    </row>
    <row r="272">
      <c r="A272" s="416"/>
      <c r="B272" s="134"/>
      <c r="C272" s="417"/>
      <c r="D272" s="418"/>
      <c r="E272" s="123"/>
      <c r="F272" s="123"/>
      <c r="G272" s="123"/>
      <c r="H272" s="123"/>
      <c r="I272" s="123"/>
      <c r="J272" s="123"/>
      <c r="K272" s="123"/>
      <c r="L272" s="123"/>
      <c r="M272" s="123"/>
      <c r="N272" s="123"/>
      <c r="O272" s="123"/>
      <c r="P272" s="123"/>
      <c r="Q272" s="123"/>
      <c r="R272" s="123"/>
      <c r="S272" s="123"/>
      <c r="T272" s="123"/>
      <c r="U272" s="123"/>
      <c r="V272" s="123"/>
      <c r="W272" s="123"/>
      <c r="X272" s="123"/>
      <c r="Y272" s="123"/>
      <c r="Z272" s="123"/>
    </row>
    <row r="273">
      <c r="A273" s="416"/>
      <c r="B273" s="134"/>
      <c r="C273" s="417"/>
      <c r="D273" s="418"/>
      <c r="E273" s="123"/>
      <c r="F273" s="123"/>
      <c r="G273" s="123"/>
      <c r="H273" s="123"/>
      <c r="I273" s="123"/>
      <c r="J273" s="123"/>
      <c r="K273" s="123"/>
      <c r="L273" s="123"/>
      <c r="M273" s="123"/>
      <c r="N273" s="123"/>
      <c r="O273" s="123"/>
      <c r="P273" s="123"/>
      <c r="Q273" s="123"/>
      <c r="R273" s="123"/>
      <c r="S273" s="123"/>
      <c r="T273" s="123"/>
      <c r="U273" s="123"/>
      <c r="V273" s="123"/>
      <c r="W273" s="123"/>
      <c r="X273" s="123"/>
      <c r="Y273" s="123"/>
      <c r="Z273" s="123"/>
    </row>
    <row r="274">
      <c r="A274" s="416"/>
      <c r="B274" s="134"/>
      <c r="C274" s="417"/>
      <c r="D274" s="418"/>
      <c r="E274" s="123"/>
      <c r="F274" s="123"/>
      <c r="G274" s="123"/>
      <c r="H274" s="123"/>
      <c r="I274" s="123"/>
      <c r="J274" s="123"/>
      <c r="K274" s="123"/>
      <c r="L274" s="123"/>
      <c r="M274" s="123"/>
      <c r="N274" s="123"/>
      <c r="O274" s="123"/>
      <c r="P274" s="123"/>
      <c r="Q274" s="123"/>
      <c r="R274" s="123"/>
      <c r="S274" s="123"/>
      <c r="T274" s="123"/>
      <c r="U274" s="123"/>
      <c r="V274" s="123"/>
      <c r="W274" s="123"/>
      <c r="X274" s="123"/>
      <c r="Y274" s="123"/>
      <c r="Z274" s="123"/>
    </row>
    <row r="275">
      <c r="A275" s="416"/>
      <c r="B275" s="134"/>
      <c r="C275" s="417"/>
      <c r="D275" s="418"/>
      <c r="E275" s="123"/>
      <c r="F275" s="123"/>
      <c r="G275" s="123"/>
      <c r="H275" s="123"/>
      <c r="I275" s="123"/>
      <c r="J275" s="123"/>
      <c r="K275" s="123"/>
      <c r="L275" s="123"/>
      <c r="M275" s="123"/>
      <c r="N275" s="123"/>
      <c r="O275" s="123"/>
      <c r="P275" s="123"/>
      <c r="Q275" s="123"/>
      <c r="R275" s="123"/>
      <c r="S275" s="123"/>
      <c r="T275" s="123"/>
      <c r="U275" s="123"/>
      <c r="V275" s="123"/>
      <c r="W275" s="123"/>
      <c r="X275" s="123"/>
      <c r="Y275" s="123"/>
      <c r="Z275" s="123"/>
    </row>
    <row r="276">
      <c r="A276" s="416"/>
      <c r="B276" s="134"/>
      <c r="C276" s="417"/>
      <c r="D276" s="418"/>
      <c r="E276" s="123"/>
      <c r="F276" s="123"/>
      <c r="G276" s="123"/>
      <c r="H276" s="123"/>
      <c r="I276" s="123"/>
      <c r="J276" s="123"/>
      <c r="K276" s="123"/>
      <c r="L276" s="123"/>
      <c r="M276" s="123"/>
      <c r="N276" s="123"/>
      <c r="O276" s="123"/>
      <c r="P276" s="123"/>
      <c r="Q276" s="123"/>
      <c r="R276" s="123"/>
      <c r="S276" s="123"/>
      <c r="T276" s="123"/>
      <c r="U276" s="123"/>
      <c r="V276" s="123"/>
      <c r="W276" s="123"/>
      <c r="X276" s="123"/>
      <c r="Y276" s="123"/>
      <c r="Z276" s="123"/>
    </row>
    <row r="277">
      <c r="A277" s="416"/>
      <c r="B277" s="134"/>
      <c r="C277" s="417"/>
      <c r="D277" s="418"/>
      <c r="E277" s="123"/>
      <c r="F277" s="123"/>
      <c r="G277" s="123"/>
      <c r="H277" s="123"/>
      <c r="I277" s="123"/>
      <c r="J277" s="123"/>
      <c r="K277" s="123"/>
      <c r="L277" s="123"/>
      <c r="M277" s="123"/>
      <c r="N277" s="123"/>
      <c r="O277" s="123"/>
      <c r="P277" s="123"/>
      <c r="Q277" s="123"/>
      <c r="R277" s="123"/>
      <c r="S277" s="123"/>
      <c r="T277" s="123"/>
      <c r="U277" s="123"/>
      <c r="V277" s="123"/>
      <c r="W277" s="123"/>
      <c r="X277" s="123"/>
      <c r="Y277" s="123"/>
      <c r="Z277" s="123"/>
    </row>
    <row r="278">
      <c r="A278" s="416"/>
      <c r="B278" s="134"/>
      <c r="C278" s="417"/>
      <c r="D278" s="418"/>
      <c r="E278" s="123"/>
      <c r="F278" s="123"/>
      <c r="G278" s="123"/>
      <c r="H278" s="123"/>
      <c r="I278" s="123"/>
      <c r="J278" s="123"/>
      <c r="K278" s="123"/>
      <c r="L278" s="123"/>
      <c r="M278" s="123"/>
      <c r="N278" s="123"/>
      <c r="O278" s="123"/>
      <c r="P278" s="123"/>
      <c r="Q278" s="123"/>
      <c r="R278" s="123"/>
      <c r="S278" s="123"/>
      <c r="T278" s="123"/>
      <c r="U278" s="123"/>
      <c r="V278" s="123"/>
      <c r="W278" s="123"/>
      <c r="X278" s="123"/>
      <c r="Y278" s="123"/>
      <c r="Z278" s="123"/>
    </row>
    <row r="279">
      <c r="A279" s="416"/>
      <c r="B279" s="134"/>
      <c r="C279" s="417"/>
      <c r="D279" s="418"/>
      <c r="E279" s="123"/>
      <c r="F279" s="123"/>
      <c r="G279" s="123"/>
      <c r="H279" s="123"/>
      <c r="I279" s="123"/>
      <c r="J279" s="123"/>
      <c r="K279" s="123"/>
      <c r="L279" s="123"/>
      <c r="M279" s="123"/>
      <c r="N279" s="123"/>
      <c r="O279" s="123"/>
      <c r="P279" s="123"/>
      <c r="Q279" s="123"/>
      <c r="R279" s="123"/>
      <c r="S279" s="123"/>
      <c r="T279" s="123"/>
      <c r="U279" s="123"/>
      <c r="V279" s="123"/>
      <c r="W279" s="123"/>
      <c r="X279" s="123"/>
      <c r="Y279" s="123"/>
      <c r="Z279" s="123"/>
    </row>
    <row r="280">
      <c r="A280" s="416"/>
      <c r="B280" s="134"/>
      <c r="C280" s="417"/>
      <c r="D280" s="418"/>
      <c r="E280" s="123"/>
      <c r="F280" s="123"/>
      <c r="G280" s="123"/>
      <c r="H280" s="123"/>
      <c r="I280" s="123"/>
      <c r="J280" s="123"/>
      <c r="K280" s="123"/>
      <c r="L280" s="123"/>
      <c r="M280" s="123"/>
      <c r="N280" s="123"/>
      <c r="O280" s="123"/>
      <c r="P280" s="123"/>
      <c r="Q280" s="123"/>
      <c r="R280" s="123"/>
      <c r="S280" s="123"/>
      <c r="T280" s="123"/>
      <c r="U280" s="123"/>
      <c r="V280" s="123"/>
      <c r="W280" s="123"/>
      <c r="X280" s="123"/>
      <c r="Y280" s="123"/>
      <c r="Z280" s="123"/>
    </row>
    <row r="281">
      <c r="A281" s="416"/>
      <c r="B281" s="134"/>
      <c r="C281" s="417"/>
      <c r="D281" s="418"/>
      <c r="E281" s="123"/>
      <c r="F281" s="123"/>
      <c r="G281" s="123"/>
      <c r="H281" s="123"/>
      <c r="I281" s="123"/>
      <c r="J281" s="123"/>
      <c r="K281" s="123"/>
      <c r="L281" s="123"/>
      <c r="M281" s="123"/>
      <c r="N281" s="123"/>
      <c r="O281" s="123"/>
      <c r="P281" s="123"/>
      <c r="Q281" s="123"/>
      <c r="R281" s="123"/>
      <c r="S281" s="123"/>
      <c r="T281" s="123"/>
      <c r="U281" s="123"/>
      <c r="V281" s="123"/>
      <c r="W281" s="123"/>
      <c r="X281" s="123"/>
      <c r="Y281" s="123"/>
      <c r="Z281" s="123"/>
    </row>
    <row r="282">
      <c r="A282" s="416"/>
      <c r="B282" s="134"/>
      <c r="C282" s="417"/>
      <c r="D282" s="418"/>
      <c r="E282" s="123"/>
      <c r="F282" s="123"/>
      <c r="G282" s="123"/>
      <c r="H282" s="123"/>
      <c r="I282" s="123"/>
      <c r="J282" s="123"/>
      <c r="K282" s="123"/>
      <c r="L282" s="123"/>
      <c r="M282" s="123"/>
      <c r="N282" s="123"/>
      <c r="O282" s="123"/>
      <c r="P282" s="123"/>
      <c r="Q282" s="123"/>
      <c r="R282" s="123"/>
      <c r="S282" s="123"/>
      <c r="T282" s="123"/>
      <c r="U282" s="123"/>
      <c r="V282" s="123"/>
      <c r="W282" s="123"/>
      <c r="X282" s="123"/>
      <c r="Y282" s="123"/>
      <c r="Z282" s="123"/>
    </row>
    <row r="283">
      <c r="A283" s="416"/>
      <c r="B283" s="134"/>
      <c r="C283" s="417"/>
      <c r="D283" s="418"/>
      <c r="E283" s="123"/>
      <c r="F283" s="123"/>
      <c r="G283" s="123"/>
      <c r="H283" s="123"/>
      <c r="I283" s="123"/>
      <c r="J283" s="123"/>
      <c r="K283" s="123"/>
      <c r="L283" s="123"/>
      <c r="M283" s="123"/>
      <c r="N283" s="123"/>
      <c r="O283" s="123"/>
      <c r="P283" s="123"/>
      <c r="Q283" s="123"/>
      <c r="R283" s="123"/>
      <c r="S283" s="123"/>
      <c r="T283" s="123"/>
      <c r="U283" s="123"/>
      <c r="V283" s="123"/>
      <c r="W283" s="123"/>
      <c r="X283" s="123"/>
      <c r="Y283" s="123"/>
      <c r="Z283" s="123"/>
    </row>
    <row r="284">
      <c r="A284" s="416"/>
      <c r="B284" s="134"/>
      <c r="C284" s="417"/>
      <c r="D284" s="418"/>
      <c r="E284" s="123"/>
      <c r="F284" s="123"/>
      <c r="G284" s="123"/>
      <c r="H284" s="123"/>
      <c r="I284" s="123"/>
      <c r="J284" s="123"/>
      <c r="K284" s="123"/>
      <c r="L284" s="123"/>
      <c r="M284" s="123"/>
      <c r="N284" s="123"/>
      <c r="O284" s="123"/>
      <c r="P284" s="123"/>
      <c r="Q284" s="123"/>
      <c r="R284" s="123"/>
      <c r="S284" s="123"/>
      <c r="T284" s="123"/>
      <c r="U284" s="123"/>
      <c r="V284" s="123"/>
      <c r="W284" s="123"/>
      <c r="X284" s="123"/>
      <c r="Y284" s="123"/>
      <c r="Z284" s="123"/>
    </row>
    <row r="285">
      <c r="A285" s="416"/>
      <c r="B285" s="134"/>
      <c r="C285" s="417"/>
      <c r="D285" s="418"/>
      <c r="E285" s="123"/>
      <c r="F285" s="123"/>
      <c r="G285" s="123"/>
      <c r="H285" s="123"/>
      <c r="I285" s="123"/>
      <c r="J285" s="123"/>
      <c r="K285" s="123"/>
      <c r="L285" s="123"/>
      <c r="M285" s="123"/>
      <c r="N285" s="123"/>
      <c r="O285" s="123"/>
      <c r="P285" s="123"/>
      <c r="Q285" s="123"/>
      <c r="R285" s="123"/>
      <c r="S285" s="123"/>
      <c r="T285" s="123"/>
      <c r="U285" s="123"/>
      <c r="V285" s="123"/>
      <c r="W285" s="123"/>
      <c r="X285" s="123"/>
      <c r="Y285" s="123"/>
      <c r="Z285" s="123"/>
    </row>
    <row r="286">
      <c r="A286" s="416"/>
      <c r="B286" s="134"/>
      <c r="C286" s="417"/>
      <c r="D286" s="418"/>
      <c r="E286" s="123"/>
      <c r="F286" s="123"/>
      <c r="G286" s="123"/>
      <c r="H286" s="123"/>
      <c r="I286" s="123"/>
      <c r="J286" s="123"/>
      <c r="K286" s="123"/>
      <c r="L286" s="123"/>
      <c r="M286" s="123"/>
      <c r="N286" s="123"/>
      <c r="O286" s="123"/>
      <c r="P286" s="123"/>
      <c r="Q286" s="123"/>
      <c r="R286" s="123"/>
      <c r="S286" s="123"/>
      <c r="T286" s="123"/>
      <c r="U286" s="123"/>
      <c r="V286" s="123"/>
      <c r="W286" s="123"/>
      <c r="X286" s="123"/>
      <c r="Y286" s="123"/>
      <c r="Z286" s="123"/>
    </row>
    <row r="287">
      <c r="A287" s="416"/>
      <c r="B287" s="134"/>
      <c r="C287" s="417"/>
      <c r="D287" s="418"/>
      <c r="E287" s="123"/>
      <c r="F287" s="123"/>
      <c r="G287" s="123"/>
      <c r="H287" s="123"/>
      <c r="I287" s="123"/>
      <c r="J287" s="123"/>
      <c r="K287" s="123"/>
      <c r="L287" s="123"/>
      <c r="M287" s="123"/>
      <c r="N287" s="123"/>
      <c r="O287" s="123"/>
      <c r="P287" s="123"/>
      <c r="Q287" s="123"/>
      <c r="R287" s="123"/>
      <c r="S287" s="123"/>
      <c r="T287" s="123"/>
      <c r="U287" s="123"/>
      <c r="V287" s="123"/>
      <c r="W287" s="123"/>
      <c r="X287" s="123"/>
      <c r="Y287" s="123"/>
      <c r="Z287" s="123"/>
    </row>
    <row r="288">
      <c r="A288" s="416"/>
      <c r="B288" s="134"/>
      <c r="C288" s="417"/>
      <c r="D288" s="418"/>
      <c r="E288" s="123"/>
      <c r="F288" s="123"/>
      <c r="G288" s="123"/>
      <c r="H288" s="123"/>
      <c r="I288" s="123"/>
      <c r="J288" s="123"/>
      <c r="K288" s="123"/>
      <c r="L288" s="123"/>
      <c r="M288" s="123"/>
      <c r="N288" s="123"/>
      <c r="O288" s="123"/>
      <c r="P288" s="123"/>
      <c r="Q288" s="123"/>
      <c r="R288" s="123"/>
      <c r="S288" s="123"/>
      <c r="T288" s="123"/>
      <c r="U288" s="123"/>
      <c r="V288" s="123"/>
      <c r="W288" s="123"/>
      <c r="X288" s="123"/>
      <c r="Y288" s="123"/>
      <c r="Z288" s="123"/>
    </row>
    <row r="289">
      <c r="A289" s="416"/>
      <c r="B289" s="134"/>
      <c r="C289" s="417"/>
      <c r="D289" s="418"/>
      <c r="E289" s="123"/>
      <c r="F289" s="123"/>
      <c r="G289" s="123"/>
      <c r="H289" s="123"/>
      <c r="I289" s="123"/>
      <c r="J289" s="123"/>
      <c r="K289" s="123"/>
      <c r="L289" s="123"/>
      <c r="M289" s="123"/>
      <c r="N289" s="123"/>
      <c r="O289" s="123"/>
      <c r="P289" s="123"/>
      <c r="Q289" s="123"/>
      <c r="R289" s="123"/>
      <c r="S289" s="123"/>
      <c r="T289" s="123"/>
      <c r="U289" s="123"/>
      <c r="V289" s="123"/>
      <c r="W289" s="123"/>
      <c r="X289" s="123"/>
      <c r="Y289" s="123"/>
      <c r="Z289" s="123"/>
    </row>
    <row r="290">
      <c r="A290" s="416"/>
      <c r="B290" s="134"/>
      <c r="C290" s="417"/>
      <c r="D290" s="418"/>
      <c r="E290" s="123"/>
      <c r="F290" s="123"/>
      <c r="G290" s="123"/>
      <c r="H290" s="123"/>
      <c r="I290" s="123"/>
      <c r="J290" s="123"/>
      <c r="K290" s="123"/>
      <c r="L290" s="123"/>
      <c r="M290" s="123"/>
      <c r="N290" s="123"/>
      <c r="O290" s="123"/>
      <c r="P290" s="123"/>
      <c r="Q290" s="123"/>
      <c r="R290" s="123"/>
      <c r="S290" s="123"/>
      <c r="T290" s="123"/>
      <c r="U290" s="123"/>
      <c r="V290" s="123"/>
      <c r="W290" s="123"/>
      <c r="X290" s="123"/>
      <c r="Y290" s="123"/>
      <c r="Z290" s="123"/>
    </row>
    <row r="291">
      <c r="A291" s="416"/>
      <c r="B291" s="134"/>
      <c r="C291" s="417"/>
      <c r="D291" s="418"/>
      <c r="E291" s="123"/>
      <c r="F291" s="123"/>
      <c r="G291" s="123"/>
      <c r="H291" s="123"/>
      <c r="I291" s="123"/>
      <c r="J291" s="123"/>
      <c r="K291" s="123"/>
      <c r="L291" s="123"/>
      <c r="M291" s="123"/>
      <c r="N291" s="123"/>
      <c r="O291" s="123"/>
      <c r="P291" s="123"/>
      <c r="Q291" s="123"/>
      <c r="R291" s="123"/>
      <c r="S291" s="123"/>
      <c r="T291" s="123"/>
      <c r="U291" s="123"/>
      <c r="V291" s="123"/>
      <c r="W291" s="123"/>
      <c r="X291" s="123"/>
      <c r="Y291" s="123"/>
      <c r="Z291" s="123"/>
    </row>
    <row r="292">
      <c r="A292" s="416"/>
      <c r="B292" s="134"/>
      <c r="C292" s="417"/>
      <c r="D292" s="418"/>
      <c r="E292" s="123"/>
      <c r="F292" s="123"/>
      <c r="G292" s="123"/>
      <c r="H292" s="123"/>
      <c r="I292" s="123"/>
      <c r="J292" s="123"/>
      <c r="K292" s="123"/>
      <c r="L292" s="123"/>
      <c r="M292" s="123"/>
      <c r="N292" s="123"/>
      <c r="O292" s="123"/>
      <c r="P292" s="123"/>
      <c r="Q292" s="123"/>
      <c r="R292" s="123"/>
      <c r="S292" s="123"/>
      <c r="T292" s="123"/>
      <c r="U292" s="123"/>
      <c r="V292" s="123"/>
      <c r="W292" s="123"/>
      <c r="X292" s="123"/>
      <c r="Y292" s="123"/>
      <c r="Z292" s="123"/>
    </row>
    <row r="293">
      <c r="A293" s="416"/>
      <c r="B293" s="134"/>
      <c r="C293" s="417"/>
      <c r="D293" s="418"/>
      <c r="E293" s="123"/>
      <c r="F293" s="123"/>
      <c r="G293" s="123"/>
      <c r="H293" s="123"/>
      <c r="I293" s="123"/>
      <c r="J293" s="123"/>
      <c r="K293" s="123"/>
      <c r="L293" s="123"/>
      <c r="M293" s="123"/>
      <c r="N293" s="123"/>
      <c r="O293" s="123"/>
      <c r="P293" s="123"/>
      <c r="Q293" s="123"/>
      <c r="R293" s="123"/>
      <c r="S293" s="123"/>
      <c r="T293" s="123"/>
      <c r="U293" s="123"/>
      <c r="V293" s="123"/>
      <c r="W293" s="123"/>
      <c r="X293" s="123"/>
      <c r="Y293" s="123"/>
      <c r="Z293" s="123"/>
    </row>
    <row r="294">
      <c r="A294" s="416"/>
      <c r="B294" s="134"/>
      <c r="C294" s="417"/>
      <c r="D294" s="418"/>
      <c r="E294" s="123"/>
      <c r="F294" s="123"/>
      <c r="G294" s="123"/>
      <c r="H294" s="123"/>
      <c r="I294" s="123"/>
      <c r="J294" s="123"/>
      <c r="K294" s="123"/>
      <c r="L294" s="123"/>
      <c r="M294" s="123"/>
      <c r="N294" s="123"/>
      <c r="O294" s="123"/>
      <c r="P294" s="123"/>
      <c r="Q294" s="123"/>
      <c r="R294" s="123"/>
      <c r="S294" s="123"/>
      <c r="T294" s="123"/>
      <c r="U294" s="123"/>
      <c r="V294" s="123"/>
      <c r="W294" s="123"/>
      <c r="X294" s="123"/>
      <c r="Y294" s="123"/>
      <c r="Z294" s="123"/>
    </row>
    <row r="295">
      <c r="A295" s="416"/>
      <c r="B295" s="134"/>
      <c r="C295" s="417"/>
      <c r="D295" s="418"/>
      <c r="E295" s="123"/>
      <c r="F295" s="123"/>
      <c r="G295" s="123"/>
      <c r="H295" s="123"/>
      <c r="I295" s="123"/>
      <c r="J295" s="123"/>
      <c r="K295" s="123"/>
      <c r="L295" s="123"/>
      <c r="M295" s="123"/>
      <c r="N295" s="123"/>
      <c r="O295" s="123"/>
      <c r="P295" s="123"/>
      <c r="Q295" s="123"/>
      <c r="R295" s="123"/>
      <c r="S295" s="123"/>
      <c r="T295" s="123"/>
      <c r="U295" s="123"/>
      <c r="V295" s="123"/>
      <c r="W295" s="123"/>
      <c r="X295" s="123"/>
      <c r="Y295" s="123"/>
      <c r="Z295" s="123"/>
    </row>
    <row r="296">
      <c r="A296" s="416"/>
      <c r="B296" s="134"/>
      <c r="C296" s="417"/>
      <c r="D296" s="418"/>
      <c r="E296" s="123"/>
      <c r="F296" s="123"/>
      <c r="G296" s="123"/>
      <c r="H296" s="123"/>
      <c r="I296" s="123"/>
      <c r="J296" s="123"/>
      <c r="K296" s="123"/>
      <c r="L296" s="123"/>
      <c r="M296" s="123"/>
      <c r="N296" s="123"/>
      <c r="O296" s="123"/>
      <c r="P296" s="123"/>
      <c r="Q296" s="123"/>
      <c r="R296" s="123"/>
      <c r="S296" s="123"/>
      <c r="T296" s="123"/>
      <c r="U296" s="123"/>
      <c r="V296" s="123"/>
      <c r="W296" s="123"/>
      <c r="X296" s="123"/>
      <c r="Y296" s="123"/>
      <c r="Z296" s="123"/>
    </row>
    <row r="297">
      <c r="A297" s="416"/>
      <c r="B297" s="134"/>
      <c r="C297" s="417"/>
      <c r="D297" s="418"/>
      <c r="E297" s="123"/>
      <c r="F297" s="123"/>
      <c r="G297" s="123"/>
      <c r="H297" s="123"/>
      <c r="I297" s="123"/>
      <c r="J297" s="123"/>
      <c r="K297" s="123"/>
      <c r="L297" s="123"/>
      <c r="M297" s="123"/>
      <c r="N297" s="123"/>
      <c r="O297" s="123"/>
      <c r="P297" s="123"/>
      <c r="Q297" s="123"/>
      <c r="R297" s="123"/>
      <c r="S297" s="123"/>
      <c r="T297" s="123"/>
      <c r="U297" s="123"/>
      <c r="V297" s="123"/>
      <c r="W297" s="123"/>
      <c r="X297" s="123"/>
      <c r="Y297" s="123"/>
      <c r="Z297" s="123"/>
    </row>
    <row r="298">
      <c r="A298" s="416"/>
      <c r="B298" s="134"/>
      <c r="C298" s="417"/>
      <c r="D298" s="418"/>
      <c r="E298" s="123"/>
      <c r="F298" s="123"/>
      <c r="G298" s="123"/>
      <c r="H298" s="123"/>
      <c r="I298" s="123"/>
      <c r="J298" s="123"/>
      <c r="K298" s="123"/>
      <c r="L298" s="123"/>
      <c r="M298" s="123"/>
      <c r="N298" s="123"/>
      <c r="O298" s="123"/>
      <c r="P298" s="123"/>
      <c r="Q298" s="123"/>
      <c r="R298" s="123"/>
      <c r="S298" s="123"/>
      <c r="T298" s="123"/>
      <c r="U298" s="123"/>
      <c r="V298" s="123"/>
      <c r="W298" s="123"/>
      <c r="X298" s="123"/>
      <c r="Y298" s="123"/>
      <c r="Z298" s="123"/>
    </row>
    <row r="299">
      <c r="A299" s="416"/>
      <c r="B299" s="134"/>
      <c r="C299" s="417"/>
      <c r="D299" s="418"/>
      <c r="E299" s="123"/>
      <c r="F299" s="123"/>
      <c r="G299" s="123"/>
      <c r="H299" s="123"/>
      <c r="I299" s="123"/>
      <c r="J299" s="123"/>
      <c r="K299" s="123"/>
      <c r="L299" s="123"/>
      <c r="M299" s="123"/>
      <c r="N299" s="123"/>
      <c r="O299" s="123"/>
      <c r="P299" s="123"/>
      <c r="Q299" s="123"/>
      <c r="R299" s="123"/>
      <c r="S299" s="123"/>
      <c r="T299" s="123"/>
      <c r="U299" s="123"/>
      <c r="V299" s="123"/>
      <c r="W299" s="123"/>
      <c r="X299" s="123"/>
      <c r="Y299" s="123"/>
      <c r="Z299" s="123"/>
    </row>
    <row r="300">
      <c r="A300" s="416"/>
      <c r="B300" s="134"/>
      <c r="C300" s="417"/>
      <c r="D300" s="418"/>
      <c r="E300" s="123"/>
      <c r="F300" s="123"/>
      <c r="G300" s="123"/>
      <c r="H300" s="123"/>
      <c r="I300" s="123"/>
      <c r="J300" s="123"/>
      <c r="K300" s="123"/>
      <c r="L300" s="123"/>
      <c r="M300" s="123"/>
      <c r="N300" s="123"/>
      <c r="O300" s="123"/>
      <c r="P300" s="123"/>
      <c r="Q300" s="123"/>
      <c r="R300" s="123"/>
      <c r="S300" s="123"/>
      <c r="T300" s="123"/>
      <c r="U300" s="123"/>
      <c r="V300" s="123"/>
      <c r="W300" s="123"/>
      <c r="X300" s="123"/>
      <c r="Y300" s="123"/>
      <c r="Z300" s="123"/>
    </row>
    <row r="301">
      <c r="A301" s="416"/>
      <c r="B301" s="134"/>
      <c r="C301" s="417"/>
      <c r="D301" s="418"/>
      <c r="E301" s="123"/>
      <c r="F301" s="123"/>
      <c r="G301" s="123"/>
      <c r="H301" s="123"/>
      <c r="I301" s="123"/>
      <c r="J301" s="123"/>
      <c r="K301" s="123"/>
      <c r="L301" s="123"/>
      <c r="M301" s="123"/>
      <c r="N301" s="123"/>
      <c r="O301" s="123"/>
      <c r="P301" s="123"/>
      <c r="Q301" s="123"/>
      <c r="R301" s="123"/>
      <c r="S301" s="123"/>
      <c r="T301" s="123"/>
      <c r="U301" s="123"/>
      <c r="V301" s="123"/>
      <c r="W301" s="123"/>
      <c r="X301" s="123"/>
      <c r="Y301" s="123"/>
      <c r="Z301" s="123"/>
    </row>
    <row r="302">
      <c r="A302" s="416"/>
      <c r="B302" s="134"/>
      <c r="C302" s="417"/>
      <c r="D302" s="418"/>
      <c r="E302" s="123"/>
      <c r="F302" s="123"/>
      <c r="G302" s="123"/>
      <c r="H302" s="123"/>
      <c r="I302" s="123"/>
      <c r="J302" s="123"/>
      <c r="K302" s="123"/>
      <c r="L302" s="123"/>
      <c r="M302" s="123"/>
      <c r="N302" s="123"/>
      <c r="O302" s="123"/>
      <c r="P302" s="123"/>
      <c r="Q302" s="123"/>
      <c r="R302" s="123"/>
      <c r="S302" s="123"/>
      <c r="T302" s="123"/>
      <c r="U302" s="123"/>
      <c r="V302" s="123"/>
      <c r="W302" s="123"/>
      <c r="X302" s="123"/>
      <c r="Y302" s="123"/>
      <c r="Z302" s="123"/>
    </row>
    <row r="303">
      <c r="A303" s="416"/>
      <c r="B303" s="134"/>
      <c r="C303" s="417"/>
      <c r="D303" s="418"/>
      <c r="E303" s="123"/>
      <c r="F303" s="123"/>
      <c r="G303" s="123"/>
      <c r="H303" s="123"/>
      <c r="I303" s="123"/>
      <c r="J303" s="123"/>
      <c r="K303" s="123"/>
      <c r="L303" s="123"/>
      <c r="M303" s="123"/>
      <c r="N303" s="123"/>
      <c r="O303" s="123"/>
      <c r="P303" s="123"/>
      <c r="Q303" s="123"/>
      <c r="R303" s="123"/>
      <c r="S303" s="123"/>
      <c r="T303" s="123"/>
      <c r="U303" s="123"/>
      <c r="V303" s="123"/>
      <c r="W303" s="123"/>
      <c r="X303" s="123"/>
      <c r="Y303" s="123"/>
      <c r="Z303" s="123"/>
    </row>
    <row r="304">
      <c r="A304" s="416"/>
      <c r="B304" s="134"/>
      <c r="C304" s="417"/>
      <c r="D304" s="418"/>
      <c r="E304" s="123"/>
      <c r="F304" s="123"/>
      <c r="G304" s="123"/>
      <c r="H304" s="123"/>
      <c r="I304" s="123"/>
      <c r="J304" s="123"/>
      <c r="K304" s="123"/>
      <c r="L304" s="123"/>
      <c r="M304" s="123"/>
      <c r="N304" s="123"/>
      <c r="O304" s="123"/>
      <c r="P304" s="123"/>
      <c r="Q304" s="123"/>
      <c r="R304" s="123"/>
      <c r="S304" s="123"/>
      <c r="T304" s="123"/>
      <c r="U304" s="123"/>
      <c r="V304" s="123"/>
      <c r="W304" s="123"/>
      <c r="X304" s="123"/>
      <c r="Y304" s="123"/>
      <c r="Z304" s="123"/>
    </row>
    <row r="305">
      <c r="A305" s="416"/>
      <c r="B305" s="134"/>
      <c r="C305" s="417"/>
      <c r="D305" s="418"/>
      <c r="E305" s="123"/>
      <c r="F305" s="123"/>
      <c r="G305" s="123"/>
      <c r="H305" s="123"/>
      <c r="I305" s="123"/>
      <c r="J305" s="123"/>
      <c r="K305" s="123"/>
      <c r="L305" s="123"/>
      <c r="M305" s="123"/>
      <c r="N305" s="123"/>
      <c r="O305" s="123"/>
      <c r="P305" s="123"/>
      <c r="Q305" s="123"/>
      <c r="R305" s="123"/>
      <c r="S305" s="123"/>
      <c r="T305" s="123"/>
      <c r="U305" s="123"/>
      <c r="V305" s="123"/>
      <c r="W305" s="123"/>
      <c r="X305" s="123"/>
      <c r="Y305" s="123"/>
      <c r="Z305" s="123"/>
    </row>
    <row r="306">
      <c r="A306" s="416"/>
      <c r="B306" s="134"/>
      <c r="C306" s="417"/>
      <c r="D306" s="418"/>
      <c r="E306" s="123"/>
      <c r="F306" s="123"/>
      <c r="G306" s="123"/>
      <c r="H306" s="123"/>
      <c r="I306" s="123"/>
      <c r="J306" s="123"/>
      <c r="K306" s="123"/>
      <c r="L306" s="123"/>
      <c r="M306" s="123"/>
      <c r="N306" s="123"/>
      <c r="O306" s="123"/>
      <c r="P306" s="123"/>
      <c r="Q306" s="123"/>
      <c r="R306" s="123"/>
      <c r="S306" s="123"/>
      <c r="T306" s="123"/>
      <c r="U306" s="123"/>
      <c r="V306" s="123"/>
      <c r="W306" s="123"/>
      <c r="X306" s="123"/>
      <c r="Y306" s="123"/>
      <c r="Z306" s="123"/>
    </row>
    <row r="307">
      <c r="A307" s="416"/>
      <c r="B307" s="134"/>
      <c r="C307" s="417"/>
      <c r="D307" s="418"/>
      <c r="E307" s="123"/>
      <c r="F307" s="123"/>
      <c r="G307" s="123"/>
      <c r="H307" s="123"/>
      <c r="I307" s="123"/>
      <c r="J307" s="123"/>
      <c r="K307" s="123"/>
      <c r="L307" s="123"/>
      <c r="M307" s="123"/>
      <c r="N307" s="123"/>
      <c r="O307" s="123"/>
      <c r="P307" s="123"/>
      <c r="Q307" s="123"/>
      <c r="R307" s="123"/>
      <c r="S307" s="123"/>
      <c r="T307" s="123"/>
      <c r="U307" s="123"/>
      <c r="V307" s="123"/>
      <c r="W307" s="123"/>
      <c r="X307" s="123"/>
      <c r="Y307" s="123"/>
      <c r="Z307" s="123"/>
    </row>
    <row r="308">
      <c r="A308" s="416"/>
      <c r="B308" s="134"/>
      <c r="C308" s="417"/>
      <c r="D308" s="418"/>
      <c r="E308" s="123"/>
      <c r="F308" s="123"/>
      <c r="G308" s="123"/>
      <c r="H308" s="123"/>
      <c r="I308" s="123"/>
      <c r="J308" s="123"/>
      <c r="K308" s="123"/>
      <c r="L308" s="123"/>
      <c r="M308" s="123"/>
      <c r="N308" s="123"/>
      <c r="O308" s="123"/>
      <c r="P308" s="123"/>
      <c r="Q308" s="123"/>
      <c r="R308" s="123"/>
      <c r="S308" s="123"/>
      <c r="T308" s="123"/>
      <c r="U308" s="123"/>
      <c r="V308" s="123"/>
      <c r="W308" s="123"/>
      <c r="X308" s="123"/>
      <c r="Y308" s="123"/>
      <c r="Z308" s="123"/>
    </row>
    <row r="309">
      <c r="A309" s="416"/>
      <c r="B309" s="134"/>
      <c r="C309" s="417"/>
      <c r="D309" s="418"/>
      <c r="E309" s="123"/>
      <c r="F309" s="123"/>
      <c r="G309" s="123"/>
      <c r="H309" s="123"/>
      <c r="I309" s="123"/>
      <c r="J309" s="123"/>
      <c r="K309" s="123"/>
      <c r="L309" s="123"/>
      <c r="M309" s="123"/>
      <c r="N309" s="123"/>
      <c r="O309" s="123"/>
      <c r="P309" s="123"/>
      <c r="Q309" s="123"/>
      <c r="R309" s="123"/>
      <c r="S309" s="123"/>
      <c r="T309" s="123"/>
      <c r="U309" s="123"/>
      <c r="V309" s="123"/>
      <c r="W309" s="123"/>
      <c r="X309" s="123"/>
      <c r="Y309" s="123"/>
      <c r="Z309" s="123"/>
    </row>
    <row r="310">
      <c r="A310" s="416"/>
      <c r="B310" s="134"/>
      <c r="C310" s="417"/>
      <c r="D310" s="418"/>
      <c r="E310" s="123"/>
      <c r="F310" s="123"/>
      <c r="G310" s="123"/>
      <c r="H310" s="123"/>
      <c r="I310" s="123"/>
      <c r="J310" s="123"/>
      <c r="K310" s="123"/>
      <c r="L310" s="123"/>
      <c r="M310" s="123"/>
      <c r="N310" s="123"/>
      <c r="O310" s="123"/>
      <c r="P310" s="123"/>
      <c r="Q310" s="123"/>
      <c r="R310" s="123"/>
      <c r="S310" s="123"/>
      <c r="T310" s="123"/>
      <c r="U310" s="123"/>
      <c r="V310" s="123"/>
      <c r="W310" s="123"/>
      <c r="X310" s="123"/>
      <c r="Y310" s="123"/>
      <c r="Z310" s="123"/>
    </row>
    <row r="311">
      <c r="A311" s="416"/>
      <c r="B311" s="134"/>
      <c r="C311" s="417"/>
      <c r="D311" s="418"/>
      <c r="E311" s="123"/>
      <c r="F311" s="123"/>
      <c r="G311" s="123"/>
      <c r="H311" s="123"/>
      <c r="I311" s="123"/>
      <c r="J311" s="123"/>
      <c r="K311" s="123"/>
      <c r="L311" s="123"/>
      <c r="M311" s="123"/>
      <c r="N311" s="123"/>
      <c r="O311" s="123"/>
      <c r="P311" s="123"/>
      <c r="Q311" s="123"/>
      <c r="R311" s="123"/>
      <c r="S311" s="123"/>
      <c r="T311" s="123"/>
      <c r="U311" s="123"/>
      <c r="V311" s="123"/>
      <c r="W311" s="123"/>
      <c r="X311" s="123"/>
      <c r="Y311" s="123"/>
      <c r="Z311" s="123"/>
    </row>
    <row r="312">
      <c r="A312" s="416"/>
      <c r="B312" s="134"/>
      <c r="C312" s="417"/>
      <c r="D312" s="418"/>
      <c r="E312" s="123"/>
      <c r="F312" s="123"/>
      <c r="G312" s="123"/>
      <c r="H312" s="123"/>
      <c r="I312" s="123"/>
      <c r="J312" s="123"/>
      <c r="K312" s="123"/>
      <c r="L312" s="123"/>
      <c r="M312" s="123"/>
      <c r="N312" s="123"/>
      <c r="O312" s="123"/>
      <c r="P312" s="123"/>
      <c r="Q312" s="123"/>
      <c r="R312" s="123"/>
      <c r="S312" s="123"/>
      <c r="T312" s="123"/>
      <c r="U312" s="123"/>
      <c r="V312" s="123"/>
      <c r="W312" s="123"/>
      <c r="X312" s="123"/>
      <c r="Y312" s="123"/>
      <c r="Z312" s="123"/>
    </row>
    <row r="313">
      <c r="A313" s="416"/>
      <c r="B313" s="134"/>
      <c r="C313" s="417"/>
      <c r="D313" s="418"/>
      <c r="E313" s="123"/>
      <c r="F313" s="123"/>
      <c r="G313" s="123"/>
      <c r="H313" s="123"/>
      <c r="I313" s="123"/>
      <c r="J313" s="123"/>
      <c r="K313" s="123"/>
      <c r="L313" s="123"/>
      <c r="M313" s="123"/>
      <c r="N313" s="123"/>
      <c r="O313" s="123"/>
      <c r="P313" s="123"/>
      <c r="Q313" s="123"/>
      <c r="R313" s="123"/>
      <c r="S313" s="123"/>
      <c r="T313" s="123"/>
      <c r="U313" s="123"/>
      <c r="V313" s="123"/>
      <c r="W313" s="123"/>
      <c r="X313" s="123"/>
      <c r="Y313" s="123"/>
      <c r="Z313" s="123"/>
    </row>
    <row r="314">
      <c r="A314" s="416"/>
      <c r="B314" s="134"/>
      <c r="C314" s="417"/>
      <c r="D314" s="418"/>
      <c r="E314" s="123"/>
      <c r="F314" s="123"/>
      <c r="G314" s="123"/>
      <c r="H314" s="123"/>
      <c r="I314" s="123"/>
      <c r="J314" s="123"/>
      <c r="K314" s="123"/>
      <c r="L314" s="123"/>
      <c r="M314" s="123"/>
      <c r="N314" s="123"/>
      <c r="O314" s="123"/>
      <c r="P314" s="123"/>
      <c r="Q314" s="123"/>
      <c r="R314" s="123"/>
      <c r="S314" s="123"/>
      <c r="T314" s="123"/>
      <c r="U314" s="123"/>
      <c r="V314" s="123"/>
      <c r="W314" s="123"/>
      <c r="X314" s="123"/>
      <c r="Y314" s="123"/>
      <c r="Z314" s="123"/>
    </row>
    <row r="315">
      <c r="A315" s="416"/>
      <c r="B315" s="134"/>
      <c r="C315" s="417"/>
      <c r="D315" s="418"/>
      <c r="E315" s="123"/>
      <c r="F315" s="123"/>
      <c r="G315" s="123"/>
      <c r="H315" s="123"/>
      <c r="I315" s="123"/>
      <c r="J315" s="123"/>
      <c r="K315" s="123"/>
      <c r="L315" s="123"/>
      <c r="M315" s="123"/>
      <c r="N315" s="123"/>
      <c r="O315" s="123"/>
      <c r="P315" s="123"/>
      <c r="Q315" s="123"/>
      <c r="R315" s="123"/>
      <c r="S315" s="123"/>
      <c r="T315" s="123"/>
      <c r="U315" s="123"/>
      <c r="V315" s="123"/>
      <c r="W315" s="123"/>
      <c r="X315" s="123"/>
      <c r="Y315" s="123"/>
      <c r="Z315" s="123"/>
    </row>
    <row r="316">
      <c r="A316" s="416"/>
      <c r="B316" s="134"/>
      <c r="C316" s="417"/>
      <c r="D316" s="418"/>
      <c r="E316" s="123"/>
      <c r="F316" s="123"/>
      <c r="G316" s="123"/>
      <c r="H316" s="123"/>
      <c r="I316" s="123"/>
      <c r="J316" s="123"/>
      <c r="K316" s="123"/>
      <c r="L316" s="123"/>
      <c r="M316" s="123"/>
      <c r="N316" s="123"/>
      <c r="O316" s="123"/>
      <c r="P316" s="123"/>
      <c r="Q316" s="123"/>
      <c r="R316" s="123"/>
      <c r="S316" s="123"/>
      <c r="T316" s="123"/>
      <c r="U316" s="123"/>
      <c r="V316" s="123"/>
      <c r="W316" s="123"/>
      <c r="X316" s="123"/>
      <c r="Y316" s="123"/>
      <c r="Z316" s="123"/>
    </row>
    <row r="317">
      <c r="A317" s="416"/>
      <c r="B317" s="134"/>
      <c r="C317" s="417"/>
      <c r="D317" s="418"/>
      <c r="E317" s="123"/>
      <c r="F317" s="123"/>
      <c r="G317" s="123"/>
      <c r="H317" s="123"/>
      <c r="I317" s="123"/>
      <c r="J317" s="123"/>
      <c r="K317" s="123"/>
      <c r="L317" s="123"/>
      <c r="M317" s="123"/>
      <c r="N317" s="123"/>
      <c r="O317" s="123"/>
      <c r="P317" s="123"/>
      <c r="Q317" s="123"/>
      <c r="R317" s="123"/>
      <c r="S317" s="123"/>
      <c r="T317" s="123"/>
      <c r="U317" s="123"/>
      <c r="V317" s="123"/>
      <c r="W317" s="123"/>
      <c r="X317" s="123"/>
      <c r="Y317" s="123"/>
      <c r="Z317" s="123"/>
    </row>
    <row r="318">
      <c r="A318" s="416"/>
      <c r="B318" s="134"/>
      <c r="C318" s="417"/>
      <c r="D318" s="418"/>
      <c r="E318" s="123"/>
      <c r="F318" s="123"/>
      <c r="G318" s="123"/>
      <c r="H318" s="123"/>
      <c r="I318" s="123"/>
      <c r="J318" s="123"/>
      <c r="K318" s="123"/>
      <c r="L318" s="123"/>
      <c r="M318" s="123"/>
      <c r="N318" s="123"/>
      <c r="O318" s="123"/>
      <c r="P318" s="123"/>
      <c r="Q318" s="123"/>
      <c r="R318" s="123"/>
      <c r="S318" s="123"/>
      <c r="T318" s="123"/>
      <c r="U318" s="123"/>
      <c r="V318" s="123"/>
      <c r="W318" s="123"/>
      <c r="X318" s="123"/>
      <c r="Y318" s="123"/>
      <c r="Z318" s="123"/>
    </row>
    <row r="319">
      <c r="A319" s="416"/>
      <c r="B319" s="134"/>
      <c r="C319" s="417"/>
      <c r="D319" s="418"/>
      <c r="E319" s="123"/>
      <c r="F319" s="123"/>
      <c r="G319" s="123"/>
      <c r="H319" s="123"/>
      <c r="I319" s="123"/>
      <c r="J319" s="123"/>
      <c r="K319" s="123"/>
      <c r="L319" s="123"/>
      <c r="M319" s="123"/>
      <c r="N319" s="123"/>
      <c r="O319" s="123"/>
      <c r="P319" s="123"/>
      <c r="Q319" s="123"/>
      <c r="R319" s="123"/>
      <c r="S319" s="123"/>
      <c r="T319" s="123"/>
      <c r="U319" s="123"/>
      <c r="V319" s="123"/>
      <c r="W319" s="123"/>
      <c r="X319" s="123"/>
      <c r="Y319" s="123"/>
      <c r="Z319" s="123"/>
    </row>
    <row r="320">
      <c r="A320" s="416"/>
      <c r="B320" s="134"/>
      <c r="C320" s="417"/>
      <c r="D320" s="418"/>
      <c r="E320" s="123"/>
      <c r="F320" s="123"/>
      <c r="G320" s="123"/>
      <c r="H320" s="123"/>
      <c r="I320" s="123"/>
      <c r="J320" s="123"/>
      <c r="K320" s="123"/>
      <c r="L320" s="123"/>
      <c r="M320" s="123"/>
      <c r="N320" s="123"/>
      <c r="O320" s="123"/>
      <c r="P320" s="123"/>
      <c r="Q320" s="123"/>
      <c r="R320" s="123"/>
      <c r="S320" s="123"/>
      <c r="T320" s="123"/>
      <c r="U320" s="123"/>
      <c r="V320" s="123"/>
      <c r="W320" s="123"/>
      <c r="X320" s="123"/>
      <c r="Y320" s="123"/>
      <c r="Z320" s="123"/>
    </row>
    <row r="321">
      <c r="A321" s="416"/>
      <c r="B321" s="134"/>
      <c r="C321" s="417"/>
      <c r="D321" s="418"/>
      <c r="E321" s="123"/>
      <c r="F321" s="123"/>
      <c r="G321" s="123"/>
      <c r="H321" s="123"/>
      <c r="I321" s="123"/>
      <c r="J321" s="123"/>
      <c r="K321" s="123"/>
      <c r="L321" s="123"/>
      <c r="M321" s="123"/>
      <c r="N321" s="123"/>
      <c r="O321" s="123"/>
      <c r="P321" s="123"/>
      <c r="Q321" s="123"/>
      <c r="R321" s="123"/>
      <c r="S321" s="123"/>
      <c r="T321" s="123"/>
      <c r="U321" s="123"/>
      <c r="V321" s="123"/>
      <c r="W321" s="123"/>
      <c r="X321" s="123"/>
      <c r="Y321" s="123"/>
      <c r="Z321" s="123"/>
    </row>
    <row r="322">
      <c r="A322" s="416"/>
      <c r="B322" s="134"/>
      <c r="C322" s="417"/>
      <c r="D322" s="418"/>
      <c r="E322" s="123"/>
      <c r="F322" s="123"/>
      <c r="G322" s="123"/>
      <c r="H322" s="123"/>
      <c r="I322" s="123"/>
      <c r="J322" s="123"/>
      <c r="K322" s="123"/>
      <c r="L322" s="123"/>
      <c r="M322" s="123"/>
      <c r="N322" s="123"/>
      <c r="O322" s="123"/>
      <c r="P322" s="123"/>
      <c r="Q322" s="123"/>
      <c r="R322" s="123"/>
      <c r="S322" s="123"/>
      <c r="T322" s="123"/>
      <c r="U322" s="123"/>
      <c r="V322" s="123"/>
      <c r="W322" s="123"/>
      <c r="X322" s="123"/>
      <c r="Y322" s="123"/>
      <c r="Z322" s="123"/>
    </row>
    <row r="323">
      <c r="A323" s="416"/>
      <c r="B323" s="134"/>
      <c r="C323" s="417"/>
      <c r="D323" s="418"/>
      <c r="E323" s="123"/>
      <c r="F323" s="123"/>
      <c r="G323" s="123"/>
      <c r="H323" s="123"/>
      <c r="I323" s="123"/>
      <c r="J323" s="123"/>
      <c r="K323" s="123"/>
      <c r="L323" s="123"/>
      <c r="M323" s="123"/>
      <c r="N323" s="123"/>
      <c r="O323" s="123"/>
      <c r="P323" s="123"/>
      <c r="Q323" s="123"/>
      <c r="R323" s="123"/>
      <c r="S323" s="123"/>
      <c r="T323" s="123"/>
      <c r="U323" s="123"/>
      <c r="V323" s="123"/>
      <c r="W323" s="123"/>
      <c r="X323" s="123"/>
      <c r="Y323" s="123"/>
      <c r="Z323" s="123"/>
    </row>
    <row r="324">
      <c r="A324" s="416"/>
      <c r="B324" s="134"/>
      <c r="C324" s="417"/>
      <c r="D324" s="418"/>
      <c r="E324" s="123"/>
      <c r="F324" s="123"/>
      <c r="G324" s="123"/>
      <c r="H324" s="123"/>
      <c r="I324" s="123"/>
      <c r="J324" s="123"/>
      <c r="K324" s="123"/>
      <c r="L324" s="123"/>
      <c r="M324" s="123"/>
      <c r="N324" s="123"/>
      <c r="O324" s="123"/>
      <c r="P324" s="123"/>
      <c r="Q324" s="123"/>
      <c r="R324" s="123"/>
      <c r="S324" s="123"/>
      <c r="T324" s="123"/>
      <c r="U324" s="123"/>
      <c r="V324" s="123"/>
      <c r="W324" s="123"/>
      <c r="X324" s="123"/>
      <c r="Y324" s="123"/>
      <c r="Z324" s="123"/>
    </row>
    <row r="325">
      <c r="A325" s="416"/>
      <c r="B325" s="134"/>
      <c r="C325" s="417"/>
      <c r="D325" s="418"/>
      <c r="E325" s="123"/>
      <c r="F325" s="123"/>
      <c r="G325" s="123"/>
      <c r="H325" s="123"/>
      <c r="I325" s="123"/>
      <c r="J325" s="123"/>
      <c r="K325" s="123"/>
      <c r="L325" s="123"/>
      <c r="M325" s="123"/>
      <c r="N325" s="123"/>
      <c r="O325" s="123"/>
      <c r="P325" s="123"/>
      <c r="Q325" s="123"/>
      <c r="R325" s="123"/>
      <c r="S325" s="123"/>
      <c r="T325" s="123"/>
      <c r="U325" s="123"/>
      <c r="V325" s="123"/>
      <c r="W325" s="123"/>
      <c r="X325" s="123"/>
      <c r="Y325" s="123"/>
      <c r="Z325" s="123"/>
    </row>
    <row r="326">
      <c r="A326" s="416"/>
      <c r="B326" s="134"/>
      <c r="C326" s="417"/>
      <c r="D326" s="418"/>
      <c r="E326" s="123"/>
      <c r="F326" s="123"/>
      <c r="G326" s="123"/>
      <c r="H326" s="123"/>
      <c r="I326" s="123"/>
      <c r="J326" s="123"/>
      <c r="K326" s="123"/>
      <c r="L326" s="123"/>
      <c r="M326" s="123"/>
      <c r="N326" s="123"/>
      <c r="O326" s="123"/>
      <c r="P326" s="123"/>
      <c r="Q326" s="123"/>
      <c r="R326" s="123"/>
      <c r="S326" s="123"/>
      <c r="T326" s="123"/>
      <c r="U326" s="123"/>
      <c r="V326" s="123"/>
      <c r="W326" s="123"/>
      <c r="X326" s="123"/>
      <c r="Y326" s="123"/>
      <c r="Z326" s="123"/>
    </row>
    <row r="327">
      <c r="A327" s="416"/>
      <c r="B327" s="134"/>
      <c r="C327" s="417"/>
      <c r="D327" s="418"/>
      <c r="E327" s="123"/>
      <c r="F327" s="123"/>
      <c r="G327" s="123"/>
      <c r="H327" s="123"/>
      <c r="I327" s="123"/>
      <c r="J327" s="123"/>
      <c r="K327" s="123"/>
      <c r="L327" s="123"/>
      <c r="M327" s="123"/>
      <c r="N327" s="123"/>
      <c r="O327" s="123"/>
      <c r="P327" s="123"/>
      <c r="Q327" s="123"/>
      <c r="R327" s="123"/>
      <c r="S327" s="123"/>
      <c r="T327" s="123"/>
      <c r="U327" s="123"/>
      <c r="V327" s="123"/>
      <c r="W327" s="123"/>
      <c r="X327" s="123"/>
      <c r="Y327" s="123"/>
      <c r="Z327" s="123"/>
    </row>
    <row r="328">
      <c r="A328" s="416"/>
      <c r="B328" s="134"/>
      <c r="C328" s="417"/>
      <c r="D328" s="418"/>
      <c r="E328" s="123"/>
      <c r="F328" s="123"/>
      <c r="G328" s="123"/>
      <c r="H328" s="123"/>
      <c r="I328" s="123"/>
      <c r="J328" s="123"/>
      <c r="K328" s="123"/>
      <c r="L328" s="123"/>
      <c r="M328" s="123"/>
      <c r="N328" s="123"/>
      <c r="O328" s="123"/>
      <c r="P328" s="123"/>
      <c r="Q328" s="123"/>
      <c r="R328" s="123"/>
      <c r="S328" s="123"/>
      <c r="T328" s="123"/>
      <c r="U328" s="123"/>
      <c r="V328" s="123"/>
      <c r="W328" s="123"/>
      <c r="X328" s="123"/>
      <c r="Y328" s="123"/>
      <c r="Z328" s="123"/>
    </row>
    <row r="329">
      <c r="A329" s="416"/>
      <c r="B329" s="134"/>
      <c r="C329" s="417"/>
      <c r="D329" s="418"/>
      <c r="E329" s="123"/>
      <c r="F329" s="123"/>
      <c r="G329" s="123"/>
      <c r="H329" s="123"/>
      <c r="I329" s="123"/>
      <c r="J329" s="123"/>
      <c r="K329" s="123"/>
      <c r="L329" s="123"/>
      <c r="M329" s="123"/>
      <c r="N329" s="123"/>
      <c r="O329" s="123"/>
      <c r="P329" s="123"/>
      <c r="Q329" s="123"/>
      <c r="R329" s="123"/>
      <c r="S329" s="123"/>
      <c r="T329" s="123"/>
      <c r="U329" s="123"/>
      <c r="V329" s="123"/>
      <c r="W329" s="123"/>
      <c r="X329" s="123"/>
      <c r="Y329" s="123"/>
      <c r="Z329" s="123"/>
    </row>
    <row r="330">
      <c r="A330" s="416"/>
      <c r="B330" s="134"/>
      <c r="C330" s="417"/>
      <c r="D330" s="418"/>
      <c r="E330" s="123"/>
      <c r="F330" s="123"/>
      <c r="G330" s="123"/>
      <c r="H330" s="123"/>
      <c r="I330" s="123"/>
      <c r="J330" s="123"/>
      <c r="K330" s="123"/>
      <c r="L330" s="123"/>
      <c r="M330" s="123"/>
      <c r="N330" s="123"/>
      <c r="O330" s="123"/>
      <c r="P330" s="123"/>
      <c r="Q330" s="123"/>
      <c r="R330" s="123"/>
      <c r="S330" s="123"/>
      <c r="T330" s="123"/>
      <c r="U330" s="123"/>
      <c r="V330" s="123"/>
      <c r="W330" s="123"/>
      <c r="X330" s="123"/>
      <c r="Y330" s="123"/>
      <c r="Z330" s="123"/>
    </row>
    <row r="331">
      <c r="A331" s="416"/>
      <c r="B331" s="134"/>
      <c r="C331" s="417"/>
      <c r="D331" s="418"/>
      <c r="E331" s="123"/>
      <c r="F331" s="123"/>
      <c r="G331" s="123"/>
      <c r="H331" s="123"/>
      <c r="I331" s="123"/>
      <c r="J331" s="123"/>
      <c r="K331" s="123"/>
      <c r="L331" s="123"/>
      <c r="M331" s="123"/>
      <c r="N331" s="123"/>
      <c r="O331" s="123"/>
      <c r="P331" s="123"/>
      <c r="Q331" s="123"/>
      <c r="R331" s="123"/>
      <c r="S331" s="123"/>
      <c r="T331" s="123"/>
      <c r="U331" s="123"/>
      <c r="V331" s="123"/>
      <c r="W331" s="123"/>
      <c r="X331" s="123"/>
      <c r="Y331" s="123"/>
      <c r="Z331" s="123"/>
    </row>
    <row r="332">
      <c r="A332" s="416"/>
      <c r="B332" s="134"/>
      <c r="C332" s="417"/>
      <c r="D332" s="418"/>
      <c r="E332" s="123"/>
      <c r="F332" s="123"/>
      <c r="G332" s="123"/>
      <c r="H332" s="123"/>
      <c r="I332" s="123"/>
      <c r="J332" s="123"/>
      <c r="K332" s="123"/>
      <c r="L332" s="123"/>
      <c r="M332" s="123"/>
      <c r="N332" s="123"/>
      <c r="O332" s="123"/>
      <c r="P332" s="123"/>
      <c r="Q332" s="123"/>
      <c r="R332" s="123"/>
      <c r="S332" s="123"/>
      <c r="T332" s="123"/>
      <c r="U332" s="123"/>
      <c r="V332" s="123"/>
      <c r="W332" s="123"/>
      <c r="X332" s="123"/>
      <c r="Y332" s="123"/>
      <c r="Z332" s="123"/>
    </row>
    <row r="333">
      <c r="A333" s="416"/>
      <c r="B333" s="134"/>
      <c r="C333" s="417"/>
      <c r="D333" s="418"/>
      <c r="E333" s="123"/>
      <c r="F333" s="123"/>
      <c r="G333" s="123"/>
      <c r="H333" s="123"/>
      <c r="I333" s="123"/>
      <c r="J333" s="123"/>
      <c r="K333" s="123"/>
      <c r="L333" s="123"/>
      <c r="M333" s="123"/>
      <c r="N333" s="123"/>
      <c r="O333" s="123"/>
      <c r="P333" s="123"/>
      <c r="Q333" s="123"/>
      <c r="R333" s="123"/>
      <c r="S333" s="123"/>
      <c r="T333" s="123"/>
      <c r="U333" s="123"/>
      <c r="V333" s="123"/>
      <c r="W333" s="123"/>
      <c r="X333" s="123"/>
      <c r="Y333" s="123"/>
      <c r="Z333" s="123"/>
    </row>
    <row r="334">
      <c r="A334" s="416"/>
      <c r="B334" s="134"/>
      <c r="C334" s="417"/>
      <c r="D334" s="418"/>
      <c r="E334" s="123"/>
      <c r="F334" s="123"/>
      <c r="G334" s="123"/>
      <c r="H334" s="123"/>
      <c r="I334" s="123"/>
      <c r="J334" s="123"/>
      <c r="K334" s="123"/>
      <c r="L334" s="123"/>
      <c r="M334" s="123"/>
      <c r="N334" s="123"/>
      <c r="O334" s="123"/>
      <c r="P334" s="123"/>
      <c r="Q334" s="123"/>
      <c r="R334" s="123"/>
      <c r="S334" s="123"/>
      <c r="T334" s="123"/>
      <c r="U334" s="123"/>
      <c r="V334" s="123"/>
      <c r="W334" s="123"/>
      <c r="X334" s="123"/>
      <c r="Y334" s="123"/>
      <c r="Z334" s="123"/>
    </row>
    <row r="335">
      <c r="A335" s="416"/>
      <c r="B335" s="134"/>
      <c r="C335" s="417"/>
      <c r="D335" s="418"/>
      <c r="E335" s="123"/>
      <c r="F335" s="123"/>
      <c r="G335" s="123"/>
      <c r="H335" s="123"/>
      <c r="I335" s="123"/>
      <c r="J335" s="123"/>
      <c r="K335" s="123"/>
      <c r="L335" s="123"/>
      <c r="M335" s="123"/>
      <c r="N335" s="123"/>
      <c r="O335" s="123"/>
      <c r="P335" s="123"/>
      <c r="Q335" s="123"/>
      <c r="R335" s="123"/>
      <c r="S335" s="123"/>
      <c r="T335" s="123"/>
      <c r="U335" s="123"/>
      <c r="V335" s="123"/>
      <c r="W335" s="123"/>
      <c r="X335" s="123"/>
      <c r="Y335" s="123"/>
      <c r="Z335" s="123"/>
    </row>
    <row r="336">
      <c r="A336" s="416"/>
      <c r="B336" s="134"/>
      <c r="C336" s="417"/>
      <c r="D336" s="418"/>
      <c r="E336" s="123"/>
      <c r="F336" s="123"/>
      <c r="G336" s="123"/>
      <c r="H336" s="123"/>
      <c r="I336" s="123"/>
      <c r="J336" s="123"/>
      <c r="K336" s="123"/>
      <c r="L336" s="123"/>
      <c r="M336" s="123"/>
      <c r="N336" s="123"/>
      <c r="O336" s="123"/>
      <c r="P336" s="123"/>
      <c r="Q336" s="123"/>
      <c r="R336" s="123"/>
      <c r="S336" s="123"/>
      <c r="T336" s="123"/>
      <c r="U336" s="123"/>
      <c r="V336" s="123"/>
      <c r="W336" s="123"/>
      <c r="X336" s="123"/>
      <c r="Y336" s="123"/>
      <c r="Z336" s="123"/>
    </row>
    <row r="337">
      <c r="A337" s="416"/>
      <c r="B337" s="134"/>
      <c r="C337" s="417"/>
      <c r="D337" s="418"/>
      <c r="E337" s="123"/>
      <c r="F337" s="123"/>
      <c r="G337" s="123"/>
      <c r="H337" s="123"/>
      <c r="I337" s="123"/>
      <c r="J337" s="123"/>
      <c r="K337" s="123"/>
      <c r="L337" s="123"/>
      <c r="M337" s="123"/>
      <c r="N337" s="123"/>
      <c r="O337" s="123"/>
      <c r="P337" s="123"/>
      <c r="Q337" s="123"/>
      <c r="R337" s="123"/>
      <c r="S337" s="123"/>
      <c r="T337" s="123"/>
      <c r="U337" s="123"/>
      <c r="V337" s="123"/>
      <c r="W337" s="123"/>
      <c r="X337" s="123"/>
      <c r="Y337" s="123"/>
      <c r="Z337" s="123"/>
    </row>
    <row r="338">
      <c r="A338" s="416"/>
      <c r="B338" s="134"/>
      <c r="C338" s="417"/>
      <c r="D338" s="418"/>
      <c r="E338" s="123"/>
      <c r="F338" s="123"/>
      <c r="G338" s="123"/>
      <c r="H338" s="123"/>
      <c r="I338" s="123"/>
      <c r="J338" s="123"/>
      <c r="K338" s="123"/>
      <c r="L338" s="123"/>
      <c r="M338" s="123"/>
      <c r="N338" s="123"/>
      <c r="O338" s="123"/>
      <c r="P338" s="123"/>
      <c r="Q338" s="123"/>
      <c r="R338" s="123"/>
      <c r="S338" s="123"/>
      <c r="T338" s="123"/>
      <c r="U338" s="123"/>
      <c r="V338" s="123"/>
      <c r="W338" s="123"/>
      <c r="X338" s="123"/>
      <c r="Y338" s="123"/>
      <c r="Z338" s="123"/>
    </row>
    <row r="339">
      <c r="A339" s="416"/>
      <c r="B339" s="134"/>
      <c r="C339" s="417"/>
      <c r="D339" s="418"/>
      <c r="E339" s="123"/>
      <c r="F339" s="123"/>
      <c r="G339" s="123"/>
      <c r="H339" s="123"/>
      <c r="I339" s="123"/>
      <c r="J339" s="123"/>
      <c r="K339" s="123"/>
      <c r="L339" s="123"/>
      <c r="M339" s="123"/>
      <c r="N339" s="123"/>
      <c r="O339" s="123"/>
      <c r="P339" s="123"/>
      <c r="Q339" s="123"/>
      <c r="R339" s="123"/>
      <c r="S339" s="123"/>
      <c r="T339" s="123"/>
      <c r="U339" s="123"/>
      <c r="V339" s="123"/>
      <c r="W339" s="123"/>
      <c r="X339" s="123"/>
      <c r="Y339" s="123"/>
      <c r="Z339" s="123"/>
    </row>
    <row r="340">
      <c r="A340" s="416"/>
      <c r="B340" s="134"/>
      <c r="C340" s="417"/>
      <c r="D340" s="418"/>
      <c r="E340" s="123"/>
      <c r="F340" s="123"/>
      <c r="G340" s="123"/>
      <c r="H340" s="123"/>
      <c r="I340" s="123"/>
      <c r="J340" s="123"/>
      <c r="K340" s="123"/>
      <c r="L340" s="123"/>
      <c r="M340" s="123"/>
      <c r="N340" s="123"/>
      <c r="O340" s="123"/>
      <c r="P340" s="123"/>
      <c r="Q340" s="123"/>
      <c r="R340" s="123"/>
      <c r="S340" s="123"/>
      <c r="T340" s="123"/>
      <c r="U340" s="123"/>
      <c r="V340" s="123"/>
      <c r="W340" s="123"/>
      <c r="X340" s="123"/>
      <c r="Y340" s="123"/>
      <c r="Z340" s="123"/>
    </row>
    <row r="341">
      <c r="A341" s="416"/>
      <c r="B341" s="134"/>
      <c r="C341" s="417"/>
      <c r="D341" s="418"/>
      <c r="E341" s="123"/>
      <c r="F341" s="123"/>
      <c r="G341" s="123"/>
      <c r="H341" s="123"/>
      <c r="I341" s="123"/>
      <c r="J341" s="123"/>
      <c r="K341" s="123"/>
      <c r="L341" s="123"/>
      <c r="M341" s="123"/>
      <c r="N341" s="123"/>
      <c r="O341" s="123"/>
      <c r="P341" s="123"/>
      <c r="Q341" s="123"/>
      <c r="R341" s="123"/>
      <c r="S341" s="123"/>
      <c r="T341" s="123"/>
      <c r="U341" s="123"/>
      <c r="V341" s="123"/>
      <c r="W341" s="123"/>
      <c r="X341" s="123"/>
      <c r="Y341" s="123"/>
      <c r="Z341" s="123"/>
    </row>
    <row r="342">
      <c r="A342" s="416"/>
      <c r="B342" s="134"/>
      <c r="C342" s="417"/>
      <c r="D342" s="418"/>
      <c r="E342" s="123"/>
      <c r="F342" s="123"/>
      <c r="G342" s="123"/>
      <c r="H342" s="123"/>
      <c r="I342" s="123"/>
      <c r="J342" s="123"/>
      <c r="K342" s="123"/>
      <c r="L342" s="123"/>
      <c r="M342" s="123"/>
      <c r="N342" s="123"/>
      <c r="O342" s="123"/>
      <c r="P342" s="123"/>
      <c r="Q342" s="123"/>
      <c r="R342" s="123"/>
      <c r="S342" s="123"/>
      <c r="T342" s="123"/>
      <c r="U342" s="123"/>
      <c r="V342" s="123"/>
      <c r="W342" s="123"/>
      <c r="X342" s="123"/>
      <c r="Y342" s="123"/>
      <c r="Z342" s="123"/>
    </row>
    <row r="343">
      <c r="A343" s="416"/>
      <c r="B343" s="134"/>
      <c r="C343" s="417"/>
      <c r="D343" s="418"/>
      <c r="E343" s="123"/>
      <c r="F343" s="123"/>
      <c r="G343" s="123"/>
      <c r="H343" s="123"/>
      <c r="I343" s="123"/>
      <c r="J343" s="123"/>
      <c r="K343" s="123"/>
      <c r="L343" s="123"/>
      <c r="M343" s="123"/>
      <c r="N343" s="123"/>
      <c r="O343" s="123"/>
      <c r="P343" s="123"/>
      <c r="Q343" s="123"/>
      <c r="R343" s="123"/>
      <c r="S343" s="123"/>
      <c r="T343" s="123"/>
      <c r="U343" s="123"/>
      <c r="V343" s="123"/>
      <c r="W343" s="123"/>
      <c r="X343" s="123"/>
      <c r="Y343" s="123"/>
      <c r="Z343" s="123"/>
    </row>
    <row r="344">
      <c r="A344" s="416"/>
      <c r="B344" s="134"/>
      <c r="C344" s="417"/>
      <c r="D344" s="418"/>
      <c r="E344" s="123"/>
      <c r="F344" s="123"/>
      <c r="G344" s="123"/>
      <c r="H344" s="123"/>
      <c r="I344" s="123"/>
      <c r="J344" s="123"/>
      <c r="K344" s="123"/>
      <c r="L344" s="123"/>
      <c r="M344" s="123"/>
      <c r="N344" s="123"/>
      <c r="O344" s="123"/>
      <c r="P344" s="123"/>
      <c r="Q344" s="123"/>
      <c r="R344" s="123"/>
      <c r="S344" s="123"/>
      <c r="T344" s="123"/>
      <c r="U344" s="123"/>
      <c r="V344" s="123"/>
      <c r="W344" s="123"/>
      <c r="X344" s="123"/>
      <c r="Y344" s="123"/>
      <c r="Z344" s="123"/>
    </row>
    <row r="345">
      <c r="A345" s="416"/>
      <c r="B345" s="134"/>
      <c r="C345" s="417"/>
      <c r="D345" s="418"/>
      <c r="E345" s="123"/>
      <c r="F345" s="123"/>
      <c r="G345" s="123"/>
      <c r="H345" s="123"/>
      <c r="I345" s="123"/>
      <c r="J345" s="123"/>
      <c r="K345" s="123"/>
      <c r="L345" s="123"/>
      <c r="M345" s="123"/>
      <c r="N345" s="123"/>
      <c r="O345" s="123"/>
      <c r="P345" s="123"/>
      <c r="Q345" s="123"/>
      <c r="R345" s="123"/>
      <c r="S345" s="123"/>
      <c r="T345" s="123"/>
      <c r="U345" s="123"/>
      <c r="V345" s="123"/>
      <c r="W345" s="123"/>
      <c r="X345" s="123"/>
      <c r="Y345" s="123"/>
      <c r="Z345" s="123"/>
    </row>
    <row r="346">
      <c r="A346" s="416"/>
      <c r="B346" s="134"/>
      <c r="C346" s="417"/>
      <c r="D346" s="418"/>
      <c r="E346" s="123"/>
      <c r="F346" s="123"/>
      <c r="G346" s="123"/>
      <c r="H346" s="123"/>
      <c r="I346" s="123"/>
      <c r="J346" s="123"/>
      <c r="K346" s="123"/>
      <c r="L346" s="123"/>
      <c r="M346" s="123"/>
      <c r="N346" s="123"/>
      <c r="O346" s="123"/>
      <c r="P346" s="123"/>
      <c r="Q346" s="123"/>
      <c r="R346" s="123"/>
      <c r="S346" s="123"/>
      <c r="T346" s="123"/>
      <c r="U346" s="123"/>
      <c r="V346" s="123"/>
      <c r="W346" s="123"/>
      <c r="X346" s="123"/>
      <c r="Y346" s="123"/>
      <c r="Z346" s="123"/>
    </row>
    <row r="347">
      <c r="A347" s="416"/>
      <c r="B347" s="134"/>
      <c r="C347" s="417"/>
      <c r="D347" s="418"/>
      <c r="E347" s="123"/>
      <c r="F347" s="123"/>
      <c r="G347" s="123"/>
      <c r="H347" s="123"/>
      <c r="I347" s="123"/>
      <c r="J347" s="123"/>
      <c r="K347" s="123"/>
      <c r="L347" s="123"/>
      <c r="M347" s="123"/>
      <c r="N347" s="123"/>
      <c r="O347" s="123"/>
      <c r="P347" s="123"/>
      <c r="Q347" s="123"/>
      <c r="R347" s="123"/>
      <c r="S347" s="123"/>
      <c r="T347" s="123"/>
      <c r="U347" s="123"/>
      <c r="V347" s="123"/>
      <c r="W347" s="123"/>
      <c r="X347" s="123"/>
      <c r="Y347" s="123"/>
      <c r="Z347" s="123"/>
    </row>
    <row r="348">
      <c r="A348" s="416"/>
      <c r="B348" s="134"/>
      <c r="C348" s="417"/>
      <c r="D348" s="418"/>
      <c r="E348" s="123"/>
      <c r="F348" s="123"/>
      <c r="G348" s="123"/>
      <c r="H348" s="123"/>
      <c r="I348" s="123"/>
      <c r="J348" s="123"/>
      <c r="K348" s="123"/>
      <c r="L348" s="123"/>
      <c r="M348" s="123"/>
      <c r="N348" s="123"/>
      <c r="O348" s="123"/>
      <c r="P348" s="123"/>
      <c r="Q348" s="123"/>
      <c r="R348" s="123"/>
      <c r="S348" s="123"/>
      <c r="T348" s="123"/>
      <c r="U348" s="123"/>
      <c r="V348" s="123"/>
      <c r="W348" s="123"/>
      <c r="X348" s="123"/>
      <c r="Y348" s="123"/>
      <c r="Z348" s="123"/>
    </row>
    <row r="349">
      <c r="A349" s="416"/>
      <c r="B349" s="134"/>
      <c r="C349" s="417"/>
      <c r="D349" s="418"/>
      <c r="E349" s="123"/>
      <c r="F349" s="123"/>
      <c r="G349" s="123"/>
      <c r="H349" s="123"/>
      <c r="I349" s="123"/>
      <c r="J349" s="123"/>
      <c r="K349" s="123"/>
      <c r="L349" s="123"/>
      <c r="M349" s="123"/>
      <c r="N349" s="123"/>
      <c r="O349" s="123"/>
      <c r="P349" s="123"/>
      <c r="Q349" s="123"/>
      <c r="R349" s="123"/>
      <c r="S349" s="123"/>
      <c r="T349" s="123"/>
      <c r="U349" s="123"/>
      <c r="V349" s="123"/>
      <c r="W349" s="123"/>
      <c r="X349" s="123"/>
      <c r="Y349" s="123"/>
      <c r="Z349" s="123"/>
    </row>
    <row r="350">
      <c r="A350" s="416"/>
      <c r="B350" s="134"/>
      <c r="C350" s="417"/>
      <c r="D350" s="418"/>
      <c r="E350" s="123"/>
      <c r="F350" s="123"/>
      <c r="G350" s="123"/>
      <c r="H350" s="123"/>
      <c r="I350" s="123"/>
      <c r="J350" s="123"/>
      <c r="K350" s="123"/>
      <c r="L350" s="123"/>
      <c r="M350" s="123"/>
      <c r="N350" s="123"/>
      <c r="O350" s="123"/>
      <c r="P350" s="123"/>
      <c r="Q350" s="123"/>
      <c r="R350" s="123"/>
      <c r="S350" s="123"/>
      <c r="T350" s="123"/>
      <c r="U350" s="123"/>
      <c r="V350" s="123"/>
      <c r="W350" s="123"/>
      <c r="X350" s="123"/>
      <c r="Y350" s="123"/>
      <c r="Z350" s="123"/>
    </row>
    <row r="351">
      <c r="A351" s="416"/>
      <c r="B351" s="134"/>
      <c r="C351" s="417"/>
      <c r="D351" s="418"/>
      <c r="E351" s="123"/>
      <c r="F351" s="123"/>
      <c r="G351" s="123"/>
      <c r="H351" s="123"/>
      <c r="I351" s="123"/>
      <c r="J351" s="123"/>
      <c r="K351" s="123"/>
      <c r="L351" s="123"/>
      <c r="M351" s="123"/>
      <c r="N351" s="123"/>
      <c r="O351" s="123"/>
      <c r="P351" s="123"/>
      <c r="Q351" s="123"/>
      <c r="R351" s="123"/>
      <c r="S351" s="123"/>
      <c r="T351" s="123"/>
      <c r="U351" s="123"/>
      <c r="V351" s="123"/>
      <c r="W351" s="123"/>
      <c r="X351" s="123"/>
      <c r="Y351" s="123"/>
      <c r="Z351" s="123"/>
    </row>
    <row r="352">
      <c r="A352" s="416"/>
      <c r="B352" s="134"/>
      <c r="C352" s="417"/>
      <c r="D352" s="418"/>
      <c r="E352" s="123"/>
      <c r="F352" s="123"/>
      <c r="G352" s="123"/>
      <c r="H352" s="123"/>
      <c r="I352" s="123"/>
      <c r="J352" s="123"/>
      <c r="K352" s="123"/>
      <c r="L352" s="123"/>
      <c r="M352" s="123"/>
      <c r="N352" s="123"/>
      <c r="O352" s="123"/>
      <c r="P352" s="123"/>
      <c r="Q352" s="123"/>
      <c r="R352" s="123"/>
      <c r="S352" s="123"/>
      <c r="T352" s="123"/>
      <c r="U352" s="123"/>
      <c r="V352" s="123"/>
      <c r="W352" s="123"/>
      <c r="X352" s="123"/>
      <c r="Y352" s="123"/>
      <c r="Z352" s="123"/>
    </row>
    <row r="353">
      <c r="A353" s="416"/>
      <c r="B353" s="134"/>
      <c r="C353" s="417"/>
      <c r="D353" s="418"/>
      <c r="E353" s="123"/>
      <c r="F353" s="123"/>
      <c r="G353" s="123"/>
      <c r="H353" s="123"/>
      <c r="I353" s="123"/>
      <c r="J353" s="123"/>
      <c r="K353" s="123"/>
      <c r="L353" s="123"/>
      <c r="M353" s="123"/>
      <c r="N353" s="123"/>
      <c r="O353" s="123"/>
      <c r="P353" s="123"/>
      <c r="Q353" s="123"/>
      <c r="R353" s="123"/>
      <c r="S353" s="123"/>
      <c r="T353" s="123"/>
      <c r="U353" s="123"/>
      <c r="V353" s="123"/>
      <c r="W353" s="123"/>
      <c r="X353" s="123"/>
      <c r="Y353" s="123"/>
      <c r="Z353" s="123"/>
    </row>
    <row r="354">
      <c r="A354" s="416"/>
      <c r="B354" s="134"/>
      <c r="C354" s="417"/>
      <c r="D354" s="418"/>
      <c r="E354" s="123"/>
      <c r="F354" s="123"/>
      <c r="G354" s="123"/>
      <c r="H354" s="123"/>
      <c r="I354" s="123"/>
      <c r="J354" s="123"/>
      <c r="K354" s="123"/>
      <c r="L354" s="123"/>
      <c r="M354" s="123"/>
      <c r="N354" s="123"/>
      <c r="O354" s="123"/>
      <c r="P354" s="123"/>
      <c r="Q354" s="123"/>
      <c r="R354" s="123"/>
      <c r="S354" s="123"/>
      <c r="T354" s="123"/>
      <c r="U354" s="123"/>
      <c r="V354" s="123"/>
      <c r="W354" s="123"/>
      <c r="X354" s="123"/>
      <c r="Y354" s="123"/>
      <c r="Z354" s="123"/>
    </row>
    <row r="355">
      <c r="A355" s="416"/>
      <c r="B355" s="134"/>
      <c r="C355" s="417"/>
      <c r="D355" s="418"/>
      <c r="E355" s="123"/>
      <c r="F355" s="123"/>
      <c r="G355" s="123"/>
      <c r="H355" s="123"/>
      <c r="I355" s="123"/>
      <c r="J355" s="123"/>
      <c r="K355" s="123"/>
      <c r="L355" s="123"/>
      <c r="M355" s="123"/>
      <c r="N355" s="123"/>
      <c r="O355" s="123"/>
      <c r="P355" s="123"/>
      <c r="Q355" s="123"/>
      <c r="R355" s="123"/>
      <c r="S355" s="123"/>
      <c r="T355" s="123"/>
      <c r="U355" s="123"/>
      <c r="V355" s="123"/>
      <c r="W355" s="123"/>
      <c r="X355" s="123"/>
      <c r="Y355" s="123"/>
      <c r="Z355" s="123"/>
    </row>
    <row r="356">
      <c r="A356" s="416"/>
      <c r="B356" s="134"/>
      <c r="C356" s="417"/>
      <c r="D356" s="418"/>
      <c r="E356" s="123"/>
      <c r="F356" s="123"/>
      <c r="G356" s="123"/>
      <c r="H356" s="123"/>
      <c r="I356" s="123"/>
      <c r="J356" s="123"/>
      <c r="K356" s="123"/>
      <c r="L356" s="123"/>
      <c r="M356" s="123"/>
      <c r="N356" s="123"/>
      <c r="O356" s="123"/>
      <c r="P356" s="123"/>
      <c r="Q356" s="123"/>
      <c r="R356" s="123"/>
      <c r="S356" s="123"/>
      <c r="T356" s="123"/>
      <c r="U356" s="123"/>
      <c r="V356" s="123"/>
      <c r="W356" s="123"/>
      <c r="X356" s="123"/>
      <c r="Y356" s="123"/>
      <c r="Z356" s="123"/>
    </row>
    <row r="357">
      <c r="A357" s="416"/>
      <c r="B357" s="134"/>
      <c r="C357" s="417"/>
      <c r="D357" s="418"/>
      <c r="E357" s="123"/>
      <c r="F357" s="123"/>
      <c r="G357" s="123"/>
      <c r="H357" s="123"/>
      <c r="I357" s="123"/>
      <c r="J357" s="123"/>
      <c r="K357" s="123"/>
      <c r="L357" s="123"/>
      <c r="M357" s="123"/>
      <c r="N357" s="123"/>
      <c r="O357" s="123"/>
      <c r="P357" s="123"/>
      <c r="Q357" s="123"/>
      <c r="R357" s="123"/>
      <c r="S357" s="123"/>
      <c r="T357" s="123"/>
      <c r="U357" s="123"/>
      <c r="V357" s="123"/>
      <c r="W357" s="123"/>
      <c r="X357" s="123"/>
      <c r="Y357" s="123"/>
      <c r="Z357" s="123"/>
    </row>
    <row r="358">
      <c r="A358" s="416"/>
      <c r="B358" s="134"/>
      <c r="C358" s="417"/>
      <c r="D358" s="418"/>
      <c r="E358" s="123"/>
      <c r="F358" s="123"/>
      <c r="G358" s="123"/>
      <c r="H358" s="123"/>
      <c r="I358" s="123"/>
      <c r="J358" s="123"/>
      <c r="K358" s="123"/>
      <c r="L358" s="123"/>
      <c r="M358" s="123"/>
      <c r="N358" s="123"/>
      <c r="O358" s="123"/>
      <c r="P358" s="123"/>
      <c r="Q358" s="123"/>
      <c r="R358" s="123"/>
      <c r="S358" s="123"/>
      <c r="T358" s="123"/>
      <c r="U358" s="123"/>
      <c r="V358" s="123"/>
      <c r="W358" s="123"/>
      <c r="X358" s="123"/>
      <c r="Y358" s="123"/>
      <c r="Z358" s="123"/>
    </row>
    <row r="359">
      <c r="A359" s="416"/>
      <c r="B359" s="134"/>
      <c r="C359" s="417"/>
      <c r="D359" s="418"/>
      <c r="E359" s="123"/>
      <c r="F359" s="123"/>
      <c r="G359" s="123"/>
      <c r="H359" s="123"/>
      <c r="I359" s="123"/>
      <c r="J359" s="123"/>
      <c r="K359" s="123"/>
      <c r="L359" s="123"/>
      <c r="M359" s="123"/>
      <c r="N359" s="123"/>
      <c r="O359" s="123"/>
      <c r="P359" s="123"/>
      <c r="Q359" s="123"/>
      <c r="R359" s="123"/>
      <c r="S359" s="123"/>
      <c r="T359" s="123"/>
      <c r="U359" s="123"/>
      <c r="V359" s="123"/>
      <c r="W359" s="123"/>
      <c r="X359" s="123"/>
      <c r="Y359" s="123"/>
      <c r="Z359" s="123"/>
    </row>
    <row r="360">
      <c r="A360" s="416"/>
      <c r="B360" s="134"/>
      <c r="C360" s="417"/>
      <c r="D360" s="418"/>
      <c r="E360" s="123"/>
      <c r="F360" s="123"/>
      <c r="G360" s="123"/>
      <c r="H360" s="123"/>
      <c r="I360" s="123"/>
      <c r="J360" s="123"/>
      <c r="K360" s="123"/>
      <c r="L360" s="123"/>
      <c r="M360" s="123"/>
      <c r="N360" s="123"/>
      <c r="O360" s="123"/>
      <c r="P360" s="123"/>
      <c r="Q360" s="123"/>
      <c r="R360" s="123"/>
      <c r="S360" s="123"/>
      <c r="T360" s="123"/>
      <c r="U360" s="123"/>
      <c r="V360" s="123"/>
      <c r="W360" s="123"/>
      <c r="X360" s="123"/>
      <c r="Y360" s="123"/>
      <c r="Z360" s="123"/>
    </row>
    <row r="361">
      <c r="A361" s="416"/>
      <c r="B361" s="134"/>
      <c r="C361" s="417"/>
      <c r="D361" s="418"/>
      <c r="E361" s="123"/>
      <c r="F361" s="123"/>
      <c r="G361" s="123"/>
      <c r="H361" s="123"/>
      <c r="I361" s="123"/>
      <c r="J361" s="123"/>
      <c r="K361" s="123"/>
      <c r="L361" s="123"/>
      <c r="M361" s="123"/>
      <c r="N361" s="123"/>
      <c r="O361" s="123"/>
      <c r="P361" s="123"/>
      <c r="Q361" s="123"/>
      <c r="R361" s="123"/>
      <c r="S361" s="123"/>
      <c r="T361" s="123"/>
      <c r="U361" s="123"/>
      <c r="V361" s="123"/>
      <c r="W361" s="123"/>
      <c r="X361" s="123"/>
      <c r="Y361" s="123"/>
      <c r="Z361" s="123"/>
    </row>
    <row r="362">
      <c r="A362" s="416"/>
      <c r="B362" s="134"/>
      <c r="C362" s="417"/>
      <c r="D362" s="418"/>
      <c r="E362" s="123"/>
      <c r="F362" s="123"/>
      <c r="G362" s="123"/>
      <c r="H362" s="123"/>
      <c r="I362" s="123"/>
      <c r="J362" s="123"/>
      <c r="K362" s="123"/>
      <c r="L362" s="123"/>
      <c r="M362" s="123"/>
      <c r="N362" s="123"/>
      <c r="O362" s="123"/>
      <c r="P362" s="123"/>
      <c r="Q362" s="123"/>
      <c r="R362" s="123"/>
      <c r="S362" s="123"/>
      <c r="T362" s="123"/>
      <c r="U362" s="123"/>
      <c r="V362" s="123"/>
      <c r="W362" s="123"/>
      <c r="X362" s="123"/>
      <c r="Y362" s="123"/>
      <c r="Z362" s="123"/>
    </row>
    <row r="363">
      <c r="A363" s="416"/>
      <c r="B363" s="134"/>
      <c r="C363" s="417"/>
      <c r="D363" s="418"/>
      <c r="E363" s="123"/>
      <c r="F363" s="123"/>
      <c r="G363" s="123"/>
      <c r="H363" s="123"/>
      <c r="I363" s="123"/>
      <c r="J363" s="123"/>
      <c r="K363" s="123"/>
      <c r="L363" s="123"/>
      <c r="M363" s="123"/>
      <c r="N363" s="123"/>
      <c r="O363" s="123"/>
      <c r="P363" s="123"/>
      <c r="Q363" s="123"/>
      <c r="R363" s="123"/>
      <c r="S363" s="123"/>
      <c r="T363" s="123"/>
      <c r="U363" s="123"/>
      <c r="V363" s="123"/>
      <c r="W363" s="123"/>
      <c r="X363" s="123"/>
      <c r="Y363" s="123"/>
      <c r="Z363" s="123"/>
    </row>
    <row r="364">
      <c r="A364" s="416"/>
      <c r="B364" s="134"/>
      <c r="C364" s="417"/>
      <c r="D364" s="418"/>
      <c r="E364" s="123"/>
      <c r="F364" s="123"/>
      <c r="G364" s="123"/>
      <c r="H364" s="123"/>
      <c r="I364" s="123"/>
      <c r="J364" s="123"/>
      <c r="K364" s="123"/>
      <c r="L364" s="123"/>
      <c r="M364" s="123"/>
      <c r="N364" s="123"/>
      <c r="O364" s="123"/>
      <c r="P364" s="123"/>
      <c r="Q364" s="123"/>
      <c r="R364" s="123"/>
      <c r="S364" s="123"/>
      <c r="T364" s="123"/>
      <c r="U364" s="123"/>
      <c r="V364" s="123"/>
      <c r="W364" s="123"/>
      <c r="X364" s="123"/>
      <c r="Y364" s="123"/>
      <c r="Z364" s="123"/>
    </row>
    <row r="365">
      <c r="A365" s="416"/>
      <c r="B365" s="134"/>
      <c r="C365" s="417"/>
      <c r="D365" s="418"/>
      <c r="E365" s="123"/>
      <c r="F365" s="123"/>
      <c r="G365" s="123"/>
      <c r="H365" s="123"/>
      <c r="I365" s="123"/>
      <c r="J365" s="123"/>
      <c r="K365" s="123"/>
      <c r="L365" s="123"/>
      <c r="M365" s="123"/>
      <c r="N365" s="123"/>
      <c r="O365" s="123"/>
      <c r="P365" s="123"/>
      <c r="Q365" s="123"/>
      <c r="R365" s="123"/>
      <c r="S365" s="123"/>
      <c r="T365" s="123"/>
      <c r="U365" s="123"/>
      <c r="V365" s="123"/>
      <c r="W365" s="123"/>
      <c r="X365" s="123"/>
      <c r="Y365" s="123"/>
      <c r="Z365" s="123"/>
    </row>
    <row r="366">
      <c r="A366" s="416"/>
      <c r="B366" s="134"/>
      <c r="C366" s="417"/>
      <c r="D366" s="418"/>
      <c r="E366" s="123"/>
      <c r="F366" s="123"/>
      <c r="G366" s="123"/>
      <c r="H366" s="123"/>
      <c r="I366" s="123"/>
      <c r="J366" s="123"/>
      <c r="K366" s="123"/>
      <c r="L366" s="123"/>
      <c r="M366" s="123"/>
      <c r="N366" s="123"/>
      <c r="O366" s="123"/>
      <c r="P366" s="123"/>
      <c r="Q366" s="123"/>
      <c r="R366" s="123"/>
      <c r="S366" s="123"/>
      <c r="T366" s="123"/>
      <c r="U366" s="123"/>
      <c r="V366" s="123"/>
      <c r="W366" s="123"/>
      <c r="X366" s="123"/>
      <c r="Y366" s="123"/>
      <c r="Z366" s="123"/>
    </row>
    <row r="367">
      <c r="A367" s="416"/>
      <c r="B367" s="134"/>
      <c r="C367" s="417"/>
      <c r="D367" s="418"/>
      <c r="E367" s="123"/>
      <c r="F367" s="123"/>
      <c r="G367" s="123"/>
      <c r="H367" s="123"/>
      <c r="I367" s="123"/>
      <c r="J367" s="123"/>
      <c r="K367" s="123"/>
      <c r="L367" s="123"/>
      <c r="M367" s="123"/>
      <c r="N367" s="123"/>
      <c r="O367" s="123"/>
      <c r="P367" s="123"/>
      <c r="Q367" s="123"/>
      <c r="R367" s="123"/>
      <c r="S367" s="123"/>
      <c r="T367" s="123"/>
      <c r="U367" s="123"/>
      <c r="V367" s="123"/>
      <c r="W367" s="123"/>
      <c r="X367" s="123"/>
      <c r="Y367" s="123"/>
      <c r="Z367" s="123"/>
    </row>
    <row r="368">
      <c r="A368" s="416"/>
      <c r="B368" s="134"/>
      <c r="C368" s="417"/>
      <c r="D368" s="418"/>
      <c r="E368" s="123"/>
      <c r="F368" s="123"/>
      <c r="G368" s="123"/>
      <c r="H368" s="123"/>
      <c r="I368" s="123"/>
      <c r="J368" s="123"/>
      <c r="K368" s="123"/>
      <c r="L368" s="123"/>
      <c r="M368" s="123"/>
      <c r="N368" s="123"/>
      <c r="O368" s="123"/>
      <c r="P368" s="123"/>
      <c r="Q368" s="123"/>
      <c r="R368" s="123"/>
      <c r="S368" s="123"/>
      <c r="T368" s="123"/>
      <c r="U368" s="123"/>
      <c r="V368" s="123"/>
      <c r="W368" s="123"/>
      <c r="X368" s="123"/>
      <c r="Y368" s="123"/>
      <c r="Z368" s="123"/>
    </row>
    <row r="369">
      <c r="A369" s="416"/>
      <c r="B369" s="134"/>
      <c r="C369" s="417"/>
      <c r="D369" s="418"/>
      <c r="E369" s="123"/>
      <c r="F369" s="123"/>
      <c r="G369" s="123"/>
      <c r="H369" s="123"/>
      <c r="I369" s="123"/>
      <c r="J369" s="123"/>
      <c r="K369" s="123"/>
      <c r="L369" s="123"/>
      <c r="M369" s="123"/>
      <c r="N369" s="123"/>
      <c r="O369" s="123"/>
      <c r="P369" s="123"/>
      <c r="Q369" s="123"/>
      <c r="R369" s="123"/>
      <c r="S369" s="123"/>
      <c r="T369" s="123"/>
      <c r="U369" s="123"/>
      <c r="V369" s="123"/>
      <c r="W369" s="123"/>
      <c r="X369" s="123"/>
      <c r="Y369" s="123"/>
      <c r="Z369" s="123"/>
    </row>
    <row r="370">
      <c r="A370" s="416"/>
      <c r="B370" s="134"/>
      <c r="C370" s="417"/>
      <c r="D370" s="418"/>
      <c r="E370" s="123"/>
      <c r="F370" s="123"/>
      <c r="G370" s="123"/>
      <c r="H370" s="123"/>
      <c r="I370" s="123"/>
      <c r="J370" s="123"/>
      <c r="K370" s="123"/>
      <c r="L370" s="123"/>
      <c r="M370" s="123"/>
      <c r="N370" s="123"/>
      <c r="O370" s="123"/>
      <c r="P370" s="123"/>
      <c r="Q370" s="123"/>
      <c r="R370" s="123"/>
      <c r="S370" s="123"/>
      <c r="T370" s="123"/>
      <c r="U370" s="123"/>
      <c r="V370" s="123"/>
      <c r="W370" s="123"/>
      <c r="X370" s="123"/>
      <c r="Y370" s="123"/>
      <c r="Z370" s="123"/>
    </row>
    <row r="371">
      <c r="A371" s="416"/>
      <c r="B371" s="134"/>
      <c r="C371" s="417"/>
      <c r="D371" s="418"/>
      <c r="E371" s="123"/>
      <c r="F371" s="123"/>
      <c r="G371" s="123"/>
      <c r="H371" s="123"/>
      <c r="I371" s="123"/>
      <c r="J371" s="123"/>
      <c r="K371" s="123"/>
      <c r="L371" s="123"/>
      <c r="M371" s="123"/>
      <c r="N371" s="123"/>
      <c r="O371" s="123"/>
      <c r="P371" s="123"/>
      <c r="Q371" s="123"/>
      <c r="R371" s="123"/>
      <c r="S371" s="123"/>
      <c r="T371" s="123"/>
      <c r="U371" s="123"/>
      <c r="V371" s="123"/>
      <c r="W371" s="123"/>
      <c r="X371" s="123"/>
      <c r="Y371" s="123"/>
      <c r="Z371" s="123"/>
    </row>
    <row r="372">
      <c r="A372" s="416"/>
      <c r="B372" s="134"/>
      <c r="C372" s="417"/>
      <c r="D372" s="418"/>
      <c r="E372" s="123"/>
      <c r="F372" s="123"/>
      <c r="G372" s="123"/>
      <c r="H372" s="123"/>
      <c r="I372" s="123"/>
      <c r="J372" s="123"/>
      <c r="K372" s="123"/>
      <c r="L372" s="123"/>
      <c r="M372" s="123"/>
      <c r="N372" s="123"/>
      <c r="O372" s="123"/>
      <c r="P372" s="123"/>
      <c r="Q372" s="123"/>
      <c r="R372" s="123"/>
      <c r="S372" s="123"/>
      <c r="T372" s="123"/>
      <c r="U372" s="123"/>
      <c r="V372" s="123"/>
      <c r="W372" s="123"/>
      <c r="X372" s="123"/>
      <c r="Y372" s="123"/>
      <c r="Z372" s="123"/>
    </row>
    <row r="373">
      <c r="A373" s="416"/>
      <c r="B373" s="134"/>
      <c r="C373" s="417"/>
      <c r="D373" s="418"/>
      <c r="E373" s="123"/>
      <c r="F373" s="123"/>
      <c r="G373" s="123"/>
      <c r="H373" s="123"/>
      <c r="I373" s="123"/>
      <c r="J373" s="123"/>
      <c r="K373" s="123"/>
      <c r="L373" s="123"/>
      <c r="M373" s="123"/>
      <c r="N373" s="123"/>
      <c r="O373" s="123"/>
      <c r="P373" s="123"/>
      <c r="Q373" s="123"/>
      <c r="R373" s="123"/>
      <c r="S373" s="123"/>
      <c r="T373" s="123"/>
      <c r="U373" s="123"/>
      <c r="V373" s="123"/>
      <c r="W373" s="123"/>
      <c r="X373" s="123"/>
      <c r="Y373" s="123"/>
      <c r="Z373" s="123"/>
    </row>
    <row r="374">
      <c r="A374" s="416"/>
      <c r="B374" s="134"/>
      <c r="C374" s="417"/>
      <c r="D374" s="418"/>
      <c r="E374" s="123"/>
      <c r="F374" s="123"/>
      <c r="G374" s="123"/>
      <c r="H374" s="123"/>
      <c r="I374" s="123"/>
      <c r="J374" s="123"/>
      <c r="K374" s="123"/>
      <c r="L374" s="123"/>
      <c r="M374" s="123"/>
      <c r="N374" s="123"/>
      <c r="O374" s="123"/>
      <c r="P374" s="123"/>
      <c r="Q374" s="123"/>
      <c r="R374" s="123"/>
      <c r="S374" s="123"/>
      <c r="T374" s="123"/>
      <c r="U374" s="123"/>
      <c r="V374" s="123"/>
      <c r="W374" s="123"/>
      <c r="X374" s="123"/>
      <c r="Y374" s="123"/>
      <c r="Z374" s="123"/>
    </row>
    <row r="375">
      <c r="A375" s="416"/>
      <c r="B375" s="134"/>
      <c r="C375" s="417"/>
      <c r="D375" s="418"/>
      <c r="E375" s="123"/>
      <c r="F375" s="123"/>
      <c r="G375" s="123"/>
      <c r="H375" s="123"/>
      <c r="I375" s="123"/>
      <c r="J375" s="123"/>
      <c r="K375" s="123"/>
      <c r="L375" s="123"/>
      <c r="M375" s="123"/>
      <c r="N375" s="123"/>
      <c r="O375" s="123"/>
      <c r="P375" s="123"/>
      <c r="Q375" s="123"/>
      <c r="R375" s="123"/>
      <c r="S375" s="123"/>
      <c r="T375" s="123"/>
      <c r="U375" s="123"/>
      <c r="V375" s="123"/>
      <c r="W375" s="123"/>
      <c r="X375" s="123"/>
      <c r="Y375" s="123"/>
      <c r="Z375" s="123"/>
    </row>
    <row r="376">
      <c r="A376" s="416"/>
      <c r="B376" s="134"/>
      <c r="C376" s="417"/>
      <c r="D376" s="418"/>
      <c r="E376" s="123"/>
      <c r="F376" s="123"/>
      <c r="G376" s="123"/>
      <c r="H376" s="123"/>
      <c r="I376" s="123"/>
      <c r="J376" s="123"/>
      <c r="K376" s="123"/>
      <c r="L376" s="123"/>
      <c r="M376" s="123"/>
      <c r="N376" s="123"/>
      <c r="O376" s="123"/>
      <c r="P376" s="123"/>
      <c r="Q376" s="123"/>
      <c r="R376" s="123"/>
      <c r="S376" s="123"/>
      <c r="T376" s="123"/>
      <c r="U376" s="123"/>
      <c r="V376" s="123"/>
      <c r="W376" s="123"/>
      <c r="X376" s="123"/>
      <c r="Y376" s="123"/>
      <c r="Z376" s="123"/>
    </row>
    <row r="377">
      <c r="A377" s="416"/>
      <c r="B377" s="134"/>
      <c r="C377" s="417"/>
      <c r="D377" s="418"/>
      <c r="E377" s="123"/>
      <c r="F377" s="123"/>
      <c r="G377" s="123"/>
      <c r="H377" s="123"/>
      <c r="I377" s="123"/>
      <c r="J377" s="123"/>
      <c r="K377" s="123"/>
      <c r="L377" s="123"/>
      <c r="M377" s="123"/>
      <c r="N377" s="123"/>
      <c r="O377" s="123"/>
      <c r="P377" s="123"/>
      <c r="Q377" s="123"/>
      <c r="R377" s="123"/>
      <c r="S377" s="123"/>
      <c r="T377" s="123"/>
      <c r="U377" s="123"/>
      <c r="V377" s="123"/>
      <c r="W377" s="123"/>
      <c r="X377" s="123"/>
      <c r="Y377" s="123"/>
      <c r="Z377" s="123"/>
    </row>
    <row r="378">
      <c r="A378" s="416"/>
      <c r="B378" s="134"/>
      <c r="C378" s="417"/>
      <c r="D378" s="418"/>
      <c r="E378" s="123"/>
      <c r="F378" s="123"/>
      <c r="G378" s="123"/>
      <c r="H378" s="123"/>
      <c r="I378" s="123"/>
      <c r="J378" s="123"/>
      <c r="K378" s="123"/>
      <c r="L378" s="123"/>
      <c r="M378" s="123"/>
      <c r="N378" s="123"/>
      <c r="O378" s="123"/>
      <c r="P378" s="123"/>
      <c r="Q378" s="123"/>
      <c r="R378" s="123"/>
      <c r="S378" s="123"/>
      <c r="T378" s="123"/>
      <c r="U378" s="123"/>
      <c r="V378" s="123"/>
      <c r="W378" s="123"/>
      <c r="X378" s="123"/>
      <c r="Y378" s="123"/>
      <c r="Z378" s="123"/>
    </row>
    <row r="379">
      <c r="A379" s="416"/>
      <c r="B379" s="134"/>
      <c r="C379" s="417"/>
      <c r="D379" s="418"/>
      <c r="E379" s="123"/>
      <c r="F379" s="123"/>
      <c r="G379" s="123"/>
      <c r="H379" s="123"/>
      <c r="I379" s="123"/>
      <c r="J379" s="123"/>
      <c r="K379" s="123"/>
      <c r="L379" s="123"/>
      <c r="M379" s="123"/>
      <c r="N379" s="123"/>
      <c r="O379" s="123"/>
      <c r="P379" s="123"/>
      <c r="Q379" s="123"/>
      <c r="R379" s="123"/>
      <c r="S379" s="123"/>
      <c r="T379" s="123"/>
      <c r="U379" s="123"/>
      <c r="V379" s="123"/>
      <c r="W379" s="123"/>
      <c r="X379" s="123"/>
      <c r="Y379" s="123"/>
      <c r="Z379" s="123"/>
    </row>
    <row r="380">
      <c r="A380" s="416"/>
      <c r="B380" s="134"/>
      <c r="C380" s="417"/>
      <c r="D380" s="418"/>
      <c r="E380" s="123"/>
      <c r="F380" s="123"/>
      <c r="G380" s="123"/>
      <c r="H380" s="123"/>
      <c r="I380" s="123"/>
      <c r="J380" s="123"/>
      <c r="K380" s="123"/>
      <c r="L380" s="123"/>
      <c r="M380" s="123"/>
      <c r="N380" s="123"/>
      <c r="O380" s="123"/>
      <c r="P380" s="123"/>
      <c r="Q380" s="123"/>
      <c r="R380" s="123"/>
      <c r="S380" s="123"/>
      <c r="T380" s="123"/>
      <c r="U380" s="123"/>
      <c r="V380" s="123"/>
      <c r="W380" s="123"/>
      <c r="X380" s="123"/>
      <c r="Y380" s="123"/>
      <c r="Z380" s="123"/>
    </row>
    <row r="381">
      <c r="A381" s="416"/>
      <c r="B381" s="134"/>
      <c r="C381" s="417"/>
      <c r="D381" s="418"/>
      <c r="E381" s="123"/>
      <c r="F381" s="123"/>
      <c r="G381" s="123"/>
      <c r="H381" s="123"/>
      <c r="I381" s="123"/>
      <c r="J381" s="123"/>
      <c r="K381" s="123"/>
      <c r="L381" s="123"/>
      <c r="M381" s="123"/>
      <c r="N381" s="123"/>
      <c r="O381" s="123"/>
      <c r="P381" s="123"/>
      <c r="Q381" s="123"/>
      <c r="R381" s="123"/>
      <c r="S381" s="123"/>
      <c r="T381" s="123"/>
      <c r="U381" s="123"/>
      <c r="V381" s="123"/>
      <c r="W381" s="123"/>
      <c r="X381" s="123"/>
      <c r="Y381" s="123"/>
      <c r="Z381" s="123"/>
    </row>
    <row r="382">
      <c r="A382" s="416"/>
      <c r="B382" s="134"/>
      <c r="C382" s="417"/>
      <c r="D382" s="418"/>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row>
    <row r="383">
      <c r="A383" s="416"/>
      <c r="B383" s="134"/>
      <c r="C383" s="417"/>
      <c r="D383" s="418"/>
      <c r="E383" s="123"/>
      <c r="F383" s="123"/>
      <c r="G383" s="123"/>
      <c r="H383" s="123"/>
      <c r="I383" s="123"/>
      <c r="J383" s="123"/>
      <c r="K383" s="123"/>
      <c r="L383" s="123"/>
      <c r="M383" s="123"/>
      <c r="N383" s="123"/>
      <c r="O383" s="123"/>
      <c r="P383" s="123"/>
      <c r="Q383" s="123"/>
      <c r="R383" s="123"/>
      <c r="S383" s="123"/>
      <c r="T383" s="123"/>
      <c r="U383" s="123"/>
      <c r="V383" s="123"/>
      <c r="W383" s="123"/>
      <c r="X383" s="123"/>
      <c r="Y383" s="123"/>
      <c r="Z383" s="123"/>
    </row>
    <row r="384">
      <c r="A384" s="416"/>
      <c r="B384" s="134"/>
      <c r="C384" s="417"/>
      <c r="D384" s="418"/>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row>
    <row r="385">
      <c r="A385" s="416"/>
      <c r="B385" s="134"/>
      <c r="C385" s="417"/>
      <c r="D385" s="418"/>
      <c r="E385" s="123"/>
      <c r="F385" s="123"/>
      <c r="G385" s="123"/>
      <c r="H385" s="123"/>
      <c r="I385" s="123"/>
      <c r="J385" s="123"/>
      <c r="K385" s="123"/>
      <c r="L385" s="123"/>
      <c r="M385" s="123"/>
      <c r="N385" s="123"/>
      <c r="O385" s="123"/>
      <c r="P385" s="123"/>
      <c r="Q385" s="123"/>
      <c r="R385" s="123"/>
      <c r="S385" s="123"/>
      <c r="T385" s="123"/>
      <c r="U385" s="123"/>
      <c r="V385" s="123"/>
      <c r="W385" s="123"/>
      <c r="X385" s="123"/>
      <c r="Y385" s="123"/>
      <c r="Z385" s="123"/>
    </row>
    <row r="386">
      <c r="A386" s="416"/>
      <c r="B386" s="134"/>
      <c r="C386" s="417"/>
      <c r="D386" s="418"/>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row>
    <row r="387">
      <c r="A387" s="416"/>
      <c r="B387" s="134"/>
      <c r="C387" s="417"/>
      <c r="D387" s="418"/>
      <c r="E387" s="123"/>
      <c r="F387" s="123"/>
      <c r="G387" s="123"/>
      <c r="H387" s="123"/>
      <c r="I387" s="123"/>
      <c r="J387" s="123"/>
      <c r="K387" s="123"/>
      <c r="L387" s="123"/>
      <c r="M387" s="123"/>
      <c r="N387" s="123"/>
      <c r="O387" s="123"/>
      <c r="P387" s="123"/>
      <c r="Q387" s="123"/>
      <c r="R387" s="123"/>
      <c r="S387" s="123"/>
      <c r="T387" s="123"/>
      <c r="U387" s="123"/>
      <c r="V387" s="123"/>
      <c r="W387" s="123"/>
      <c r="X387" s="123"/>
      <c r="Y387" s="123"/>
      <c r="Z387" s="123"/>
    </row>
    <row r="388">
      <c r="A388" s="416"/>
      <c r="B388" s="134"/>
      <c r="C388" s="417"/>
      <c r="D388" s="418"/>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row>
    <row r="389">
      <c r="A389" s="416"/>
      <c r="B389" s="134"/>
      <c r="C389" s="417"/>
      <c r="D389" s="418"/>
      <c r="E389" s="123"/>
      <c r="F389" s="123"/>
      <c r="G389" s="123"/>
      <c r="H389" s="123"/>
      <c r="I389" s="123"/>
      <c r="J389" s="123"/>
      <c r="K389" s="123"/>
      <c r="L389" s="123"/>
      <c r="M389" s="123"/>
      <c r="N389" s="123"/>
      <c r="O389" s="123"/>
      <c r="P389" s="123"/>
      <c r="Q389" s="123"/>
      <c r="R389" s="123"/>
      <c r="S389" s="123"/>
      <c r="T389" s="123"/>
      <c r="U389" s="123"/>
      <c r="V389" s="123"/>
      <c r="W389" s="123"/>
      <c r="X389" s="123"/>
      <c r="Y389" s="123"/>
      <c r="Z389" s="123"/>
    </row>
    <row r="390">
      <c r="A390" s="416"/>
      <c r="B390" s="134"/>
      <c r="C390" s="417"/>
      <c r="D390" s="418"/>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row>
    <row r="391">
      <c r="A391" s="416"/>
      <c r="B391" s="134"/>
      <c r="C391" s="417"/>
      <c r="D391" s="418"/>
      <c r="E391" s="123"/>
      <c r="F391" s="123"/>
      <c r="G391" s="123"/>
      <c r="H391" s="123"/>
      <c r="I391" s="123"/>
      <c r="J391" s="123"/>
      <c r="K391" s="123"/>
      <c r="L391" s="123"/>
      <c r="M391" s="123"/>
      <c r="N391" s="123"/>
      <c r="O391" s="123"/>
      <c r="P391" s="123"/>
      <c r="Q391" s="123"/>
      <c r="R391" s="123"/>
      <c r="S391" s="123"/>
      <c r="T391" s="123"/>
      <c r="U391" s="123"/>
      <c r="V391" s="123"/>
      <c r="W391" s="123"/>
      <c r="X391" s="123"/>
      <c r="Y391" s="123"/>
      <c r="Z391" s="123"/>
    </row>
    <row r="392">
      <c r="A392" s="416"/>
      <c r="B392" s="134"/>
      <c r="C392" s="417"/>
      <c r="D392" s="418"/>
      <c r="E392" s="123"/>
      <c r="F392" s="123"/>
      <c r="G392" s="123"/>
      <c r="H392" s="123"/>
      <c r="I392" s="123"/>
      <c r="J392" s="123"/>
      <c r="K392" s="123"/>
      <c r="L392" s="123"/>
      <c r="M392" s="123"/>
      <c r="N392" s="123"/>
      <c r="O392" s="123"/>
      <c r="P392" s="123"/>
      <c r="Q392" s="123"/>
      <c r="R392" s="123"/>
      <c r="S392" s="123"/>
      <c r="T392" s="123"/>
      <c r="U392" s="123"/>
      <c r="V392" s="123"/>
      <c r="W392" s="123"/>
      <c r="X392" s="123"/>
      <c r="Y392" s="123"/>
      <c r="Z392" s="123"/>
    </row>
    <row r="393">
      <c r="A393" s="416"/>
      <c r="B393" s="134"/>
      <c r="C393" s="417"/>
      <c r="D393" s="418"/>
      <c r="E393" s="123"/>
      <c r="F393" s="123"/>
      <c r="G393" s="123"/>
      <c r="H393" s="123"/>
      <c r="I393" s="123"/>
      <c r="J393" s="123"/>
      <c r="K393" s="123"/>
      <c r="L393" s="123"/>
      <c r="M393" s="123"/>
      <c r="N393" s="123"/>
      <c r="O393" s="123"/>
      <c r="P393" s="123"/>
      <c r="Q393" s="123"/>
      <c r="R393" s="123"/>
      <c r="S393" s="123"/>
      <c r="T393" s="123"/>
      <c r="U393" s="123"/>
      <c r="V393" s="123"/>
      <c r="W393" s="123"/>
      <c r="X393" s="123"/>
      <c r="Y393" s="123"/>
      <c r="Z393" s="123"/>
    </row>
    <row r="394">
      <c r="A394" s="416"/>
      <c r="B394" s="134"/>
      <c r="C394" s="417"/>
      <c r="D394" s="418"/>
      <c r="E394" s="123"/>
      <c r="F394" s="123"/>
      <c r="G394" s="123"/>
      <c r="H394" s="123"/>
      <c r="I394" s="123"/>
      <c r="J394" s="123"/>
      <c r="K394" s="123"/>
      <c r="L394" s="123"/>
      <c r="M394" s="123"/>
      <c r="N394" s="123"/>
      <c r="O394" s="123"/>
      <c r="P394" s="123"/>
      <c r="Q394" s="123"/>
      <c r="R394" s="123"/>
      <c r="S394" s="123"/>
      <c r="T394" s="123"/>
      <c r="U394" s="123"/>
      <c r="V394" s="123"/>
      <c r="W394" s="123"/>
      <c r="X394" s="123"/>
      <c r="Y394" s="123"/>
      <c r="Z394" s="123"/>
    </row>
    <row r="395">
      <c r="A395" s="416"/>
      <c r="B395" s="134"/>
      <c r="C395" s="417"/>
      <c r="D395" s="418"/>
      <c r="E395" s="123"/>
      <c r="F395" s="123"/>
      <c r="G395" s="123"/>
      <c r="H395" s="123"/>
      <c r="I395" s="123"/>
      <c r="J395" s="123"/>
      <c r="K395" s="123"/>
      <c r="L395" s="123"/>
      <c r="M395" s="123"/>
      <c r="N395" s="123"/>
      <c r="O395" s="123"/>
      <c r="P395" s="123"/>
      <c r="Q395" s="123"/>
      <c r="R395" s="123"/>
      <c r="S395" s="123"/>
      <c r="T395" s="123"/>
      <c r="U395" s="123"/>
      <c r="V395" s="123"/>
      <c r="W395" s="123"/>
      <c r="X395" s="123"/>
      <c r="Y395" s="123"/>
      <c r="Z395" s="123"/>
    </row>
    <row r="396">
      <c r="A396" s="416"/>
      <c r="B396" s="134"/>
      <c r="C396" s="417"/>
      <c r="D396" s="418"/>
      <c r="E396" s="123"/>
      <c r="F396" s="123"/>
      <c r="G396" s="123"/>
      <c r="H396" s="123"/>
      <c r="I396" s="123"/>
      <c r="J396" s="123"/>
      <c r="K396" s="123"/>
      <c r="L396" s="123"/>
      <c r="M396" s="123"/>
      <c r="N396" s="123"/>
      <c r="O396" s="123"/>
      <c r="P396" s="123"/>
      <c r="Q396" s="123"/>
      <c r="R396" s="123"/>
      <c r="S396" s="123"/>
      <c r="T396" s="123"/>
      <c r="U396" s="123"/>
      <c r="V396" s="123"/>
      <c r="W396" s="123"/>
      <c r="X396" s="123"/>
      <c r="Y396" s="123"/>
      <c r="Z396" s="123"/>
    </row>
    <row r="397">
      <c r="A397" s="416"/>
      <c r="B397" s="134"/>
      <c r="C397" s="417"/>
      <c r="D397" s="418"/>
      <c r="E397" s="123"/>
      <c r="F397" s="123"/>
      <c r="G397" s="123"/>
      <c r="H397" s="123"/>
      <c r="I397" s="123"/>
      <c r="J397" s="123"/>
      <c r="K397" s="123"/>
      <c r="L397" s="123"/>
      <c r="M397" s="123"/>
      <c r="N397" s="123"/>
      <c r="O397" s="123"/>
      <c r="P397" s="123"/>
      <c r="Q397" s="123"/>
      <c r="R397" s="123"/>
      <c r="S397" s="123"/>
      <c r="T397" s="123"/>
      <c r="U397" s="123"/>
      <c r="V397" s="123"/>
      <c r="W397" s="123"/>
      <c r="X397" s="123"/>
      <c r="Y397" s="123"/>
      <c r="Z397" s="123"/>
    </row>
    <row r="398">
      <c r="A398" s="416"/>
      <c r="B398" s="134"/>
      <c r="C398" s="417"/>
      <c r="D398" s="418"/>
      <c r="E398" s="123"/>
      <c r="F398" s="123"/>
      <c r="G398" s="123"/>
      <c r="H398" s="123"/>
      <c r="I398" s="123"/>
      <c r="J398" s="123"/>
      <c r="K398" s="123"/>
      <c r="L398" s="123"/>
      <c r="M398" s="123"/>
      <c r="N398" s="123"/>
      <c r="O398" s="123"/>
      <c r="P398" s="123"/>
      <c r="Q398" s="123"/>
      <c r="R398" s="123"/>
      <c r="S398" s="123"/>
      <c r="T398" s="123"/>
      <c r="U398" s="123"/>
      <c r="V398" s="123"/>
      <c r="W398" s="123"/>
      <c r="X398" s="123"/>
      <c r="Y398" s="123"/>
      <c r="Z398" s="123"/>
    </row>
    <row r="399">
      <c r="A399" s="416"/>
      <c r="B399" s="134"/>
      <c r="C399" s="417"/>
      <c r="D399" s="418"/>
      <c r="E399" s="123"/>
      <c r="F399" s="123"/>
      <c r="G399" s="123"/>
      <c r="H399" s="123"/>
      <c r="I399" s="123"/>
      <c r="J399" s="123"/>
      <c r="K399" s="123"/>
      <c r="L399" s="123"/>
      <c r="M399" s="123"/>
      <c r="N399" s="123"/>
      <c r="O399" s="123"/>
      <c r="P399" s="123"/>
      <c r="Q399" s="123"/>
      <c r="R399" s="123"/>
      <c r="S399" s="123"/>
      <c r="T399" s="123"/>
      <c r="U399" s="123"/>
      <c r="V399" s="123"/>
      <c r="W399" s="123"/>
      <c r="X399" s="123"/>
      <c r="Y399" s="123"/>
      <c r="Z399" s="123"/>
    </row>
    <row r="400">
      <c r="A400" s="416"/>
      <c r="B400" s="134"/>
      <c r="C400" s="417"/>
      <c r="D400" s="418"/>
      <c r="E400" s="123"/>
      <c r="F400" s="123"/>
      <c r="G400" s="123"/>
      <c r="H400" s="123"/>
      <c r="I400" s="123"/>
      <c r="J400" s="123"/>
      <c r="K400" s="123"/>
      <c r="L400" s="123"/>
      <c r="M400" s="123"/>
      <c r="N400" s="123"/>
      <c r="O400" s="123"/>
      <c r="P400" s="123"/>
      <c r="Q400" s="123"/>
      <c r="R400" s="123"/>
      <c r="S400" s="123"/>
      <c r="T400" s="123"/>
      <c r="U400" s="123"/>
      <c r="V400" s="123"/>
      <c r="W400" s="123"/>
      <c r="X400" s="123"/>
      <c r="Y400" s="123"/>
      <c r="Z400" s="123"/>
    </row>
    <row r="401">
      <c r="A401" s="416"/>
      <c r="B401" s="134"/>
      <c r="C401" s="417"/>
      <c r="D401" s="418"/>
      <c r="E401" s="123"/>
      <c r="F401" s="123"/>
      <c r="G401" s="123"/>
      <c r="H401" s="123"/>
      <c r="I401" s="123"/>
      <c r="J401" s="123"/>
      <c r="K401" s="123"/>
      <c r="L401" s="123"/>
      <c r="M401" s="123"/>
      <c r="N401" s="123"/>
      <c r="O401" s="123"/>
      <c r="P401" s="123"/>
      <c r="Q401" s="123"/>
      <c r="R401" s="123"/>
      <c r="S401" s="123"/>
      <c r="T401" s="123"/>
      <c r="U401" s="123"/>
      <c r="V401" s="123"/>
      <c r="W401" s="123"/>
      <c r="X401" s="123"/>
      <c r="Y401" s="123"/>
      <c r="Z401" s="123"/>
    </row>
    <row r="402">
      <c r="A402" s="416"/>
      <c r="B402" s="134"/>
      <c r="C402" s="417"/>
      <c r="D402" s="418"/>
      <c r="E402" s="123"/>
      <c r="F402" s="123"/>
      <c r="G402" s="123"/>
      <c r="H402" s="123"/>
      <c r="I402" s="123"/>
      <c r="J402" s="123"/>
      <c r="K402" s="123"/>
      <c r="L402" s="123"/>
      <c r="M402" s="123"/>
      <c r="N402" s="123"/>
      <c r="O402" s="123"/>
      <c r="P402" s="123"/>
      <c r="Q402" s="123"/>
      <c r="R402" s="123"/>
      <c r="S402" s="123"/>
      <c r="T402" s="123"/>
      <c r="U402" s="123"/>
      <c r="V402" s="123"/>
      <c r="W402" s="123"/>
      <c r="X402" s="123"/>
      <c r="Y402" s="123"/>
      <c r="Z402" s="123"/>
    </row>
    <row r="403">
      <c r="A403" s="416"/>
      <c r="B403" s="134"/>
      <c r="C403" s="417"/>
      <c r="D403" s="418"/>
      <c r="E403" s="123"/>
      <c r="F403" s="123"/>
      <c r="G403" s="123"/>
      <c r="H403" s="123"/>
      <c r="I403" s="123"/>
      <c r="J403" s="123"/>
      <c r="K403" s="123"/>
      <c r="L403" s="123"/>
      <c r="M403" s="123"/>
      <c r="N403" s="123"/>
      <c r="O403" s="123"/>
      <c r="P403" s="123"/>
      <c r="Q403" s="123"/>
      <c r="R403" s="123"/>
      <c r="S403" s="123"/>
      <c r="T403" s="123"/>
      <c r="U403" s="123"/>
      <c r="V403" s="123"/>
      <c r="W403" s="123"/>
      <c r="X403" s="123"/>
      <c r="Y403" s="123"/>
      <c r="Z403" s="123"/>
    </row>
    <row r="404">
      <c r="A404" s="416"/>
      <c r="B404" s="134"/>
      <c r="C404" s="417"/>
      <c r="D404" s="418"/>
      <c r="E404" s="123"/>
      <c r="F404" s="123"/>
      <c r="G404" s="123"/>
      <c r="H404" s="123"/>
      <c r="I404" s="123"/>
      <c r="J404" s="123"/>
      <c r="K404" s="123"/>
      <c r="L404" s="123"/>
      <c r="M404" s="123"/>
      <c r="N404" s="123"/>
      <c r="O404" s="123"/>
      <c r="P404" s="123"/>
      <c r="Q404" s="123"/>
      <c r="R404" s="123"/>
      <c r="S404" s="123"/>
      <c r="T404" s="123"/>
      <c r="U404" s="123"/>
      <c r="V404" s="123"/>
      <c r="W404" s="123"/>
      <c r="X404" s="123"/>
      <c r="Y404" s="123"/>
      <c r="Z404" s="123"/>
    </row>
    <row r="405">
      <c r="A405" s="416"/>
      <c r="B405" s="134"/>
      <c r="C405" s="417"/>
      <c r="D405" s="418"/>
      <c r="E405" s="123"/>
      <c r="F405" s="123"/>
      <c r="G405" s="123"/>
      <c r="H405" s="123"/>
      <c r="I405" s="123"/>
      <c r="J405" s="123"/>
      <c r="K405" s="123"/>
      <c r="L405" s="123"/>
      <c r="M405" s="123"/>
      <c r="N405" s="123"/>
      <c r="O405" s="123"/>
      <c r="P405" s="123"/>
      <c r="Q405" s="123"/>
      <c r="R405" s="123"/>
      <c r="S405" s="123"/>
      <c r="T405" s="123"/>
      <c r="U405" s="123"/>
      <c r="V405" s="123"/>
      <c r="W405" s="123"/>
      <c r="X405" s="123"/>
      <c r="Y405" s="123"/>
      <c r="Z405" s="123"/>
    </row>
    <row r="406">
      <c r="A406" s="416"/>
      <c r="B406" s="134"/>
      <c r="C406" s="417"/>
      <c r="D406" s="418"/>
      <c r="E406" s="123"/>
      <c r="F406" s="123"/>
      <c r="G406" s="123"/>
      <c r="H406" s="123"/>
      <c r="I406" s="123"/>
      <c r="J406" s="123"/>
      <c r="K406" s="123"/>
      <c r="L406" s="123"/>
      <c r="M406" s="123"/>
      <c r="N406" s="123"/>
      <c r="O406" s="123"/>
      <c r="P406" s="123"/>
      <c r="Q406" s="123"/>
      <c r="R406" s="123"/>
      <c r="S406" s="123"/>
      <c r="T406" s="123"/>
      <c r="U406" s="123"/>
      <c r="V406" s="123"/>
      <c r="W406" s="123"/>
      <c r="X406" s="123"/>
      <c r="Y406" s="123"/>
      <c r="Z406" s="123"/>
    </row>
    <row r="407">
      <c r="A407" s="416"/>
      <c r="B407" s="134"/>
      <c r="C407" s="417"/>
      <c r="D407" s="418"/>
      <c r="E407" s="123"/>
      <c r="F407" s="123"/>
      <c r="G407" s="123"/>
      <c r="H407" s="123"/>
      <c r="I407" s="123"/>
      <c r="J407" s="123"/>
      <c r="K407" s="123"/>
      <c r="L407" s="123"/>
      <c r="M407" s="123"/>
      <c r="N407" s="123"/>
      <c r="O407" s="123"/>
      <c r="P407" s="123"/>
      <c r="Q407" s="123"/>
      <c r="R407" s="123"/>
      <c r="S407" s="123"/>
      <c r="T407" s="123"/>
      <c r="U407" s="123"/>
      <c r="V407" s="123"/>
      <c r="W407" s="123"/>
      <c r="X407" s="123"/>
      <c r="Y407" s="123"/>
      <c r="Z407" s="123"/>
    </row>
    <row r="408">
      <c r="A408" s="416"/>
      <c r="B408" s="134"/>
      <c r="C408" s="417"/>
      <c r="D408" s="418"/>
      <c r="E408" s="123"/>
      <c r="F408" s="123"/>
      <c r="G408" s="123"/>
      <c r="H408" s="123"/>
      <c r="I408" s="123"/>
      <c r="J408" s="123"/>
      <c r="K408" s="123"/>
      <c r="L408" s="123"/>
      <c r="M408" s="123"/>
      <c r="N408" s="123"/>
      <c r="O408" s="123"/>
      <c r="P408" s="123"/>
      <c r="Q408" s="123"/>
      <c r="R408" s="123"/>
      <c r="S408" s="123"/>
      <c r="T408" s="123"/>
      <c r="U408" s="123"/>
      <c r="V408" s="123"/>
      <c r="W408" s="123"/>
      <c r="X408" s="123"/>
      <c r="Y408" s="123"/>
      <c r="Z408" s="123"/>
    </row>
    <row r="409">
      <c r="A409" s="416"/>
      <c r="B409" s="134"/>
      <c r="C409" s="417"/>
      <c r="D409" s="418"/>
      <c r="E409" s="123"/>
      <c r="F409" s="123"/>
      <c r="G409" s="123"/>
      <c r="H409" s="123"/>
      <c r="I409" s="123"/>
      <c r="J409" s="123"/>
      <c r="K409" s="123"/>
      <c r="L409" s="123"/>
      <c r="M409" s="123"/>
      <c r="N409" s="123"/>
      <c r="O409" s="123"/>
      <c r="P409" s="123"/>
      <c r="Q409" s="123"/>
      <c r="R409" s="123"/>
      <c r="S409" s="123"/>
      <c r="T409" s="123"/>
      <c r="U409" s="123"/>
      <c r="V409" s="123"/>
      <c r="W409" s="123"/>
      <c r="X409" s="123"/>
      <c r="Y409" s="123"/>
      <c r="Z409" s="123"/>
    </row>
    <row r="410">
      <c r="A410" s="416"/>
      <c r="B410" s="134"/>
      <c r="C410" s="417"/>
      <c r="D410" s="418"/>
      <c r="E410" s="123"/>
      <c r="F410" s="123"/>
      <c r="G410" s="123"/>
      <c r="H410" s="123"/>
      <c r="I410" s="123"/>
      <c r="J410" s="123"/>
      <c r="K410" s="123"/>
      <c r="L410" s="123"/>
      <c r="M410" s="123"/>
      <c r="N410" s="123"/>
      <c r="O410" s="123"/>
      <c r="P410" s="123"/>
      <c r="Q410" s="123"/>
      <c r="R410" s="123"/>
      <c r="S410" s="123"/>
      <c r="T410" s="123"/>
      <c r="U410" s="123"/>
      <c r="V410" s="123"/>
      <c r="W410" s="123"/>
      <c r="X410" s="123"/>
      <c r="Y410" s="123"/>
      <c r="Z410" s="123"/>
    </row>
    <row r="411">
      <c r="A411" s="416"/>
      <c r="B411" s="134"/>
      <c r="C411" s="417"/>
      <c r="D411" s="418"/>
      <c r="E411" s="123"/>
      <c r="F411" s="123"/>
      <c r="G411" s="123"/>
      <c r="H411" s="123"/>
      <c r="I411" s="123"/>
      <c r="J411" s="123"/>
      <c r="K411" s="123"/>
      <c r="L411" s="123"/>
      <c r="M411" s="123"/>
      <c r="N411" s="123"/>
      <c r="O411" s="123"/>
      <c r="P411" s="123"/>
      <c r="Q411" s="123"/>
      <c r="R411" s="123"/>
      <c r="S411" s="123"/>
      <c r="T411" s="123"/>
      <c r="U411" s="123"/>
      <c r="V411" s="123"/>
      <c r="W411" s="123"/>
      <c r="X411" s="123"/>
      <c r="Y411" s="123"/>
      <c r="Z411" s="123"/>
    </row>
    <row r="412">
      <c r="A412" s="416"/>
      <c r="B412" s="134"/>
      <c r="C412" s="417"/>
      <c r="D412" s="418"/>
      <c r="E412" s="123"/>
      <c r="F412" s="123"/>
      <c r="G412" s="123"/>
      <c r="H412" s="123"/>
      <c r="I412" s="123"/>
      <c r="J412" s="123"/>
      <c r="K412" s="123"/>
      <c r="L412" s="123"/>
      <c r="M412" s="123"/>
      <c r="N412" s="123"/>
      <c r="O412" s="123"/>
      <c r="P412" s="123"/>
      <c r="Q412" s="123"/>
      <c r="R412" s="123"/>
      <c r="S412" s="123"/>
      <c r="T412" s="123"/>
      <c r="U412" s="123"/>
      <c r="V412" s="123"/>
      <c r="W412" s="123"/>
      <c r="X412" s="123"/>
      <c r="Y412" s="123"/>
      <c r="Z412" s="123"/>
    </row>
    <row r="413">
      <c r="A413" s="416"/>
      <c r="B413" s="134"/>
      <c r="C413" s="417"/>
      <c r="D413" s="418"/>
      <c r="E413" s="123"/>
      <c r="F413" s="123"/>
      <c r="G413" s="123"/>
      <c r="H413" s="123"/>
      <c r="I413" s="123"/>
      <c r="J413" s="123"/>
      <c r="K413" s="123"/>
      <c r="L413" s="123"/>
      <c r="M413" s="123"/>
      <c r="N413" s="123"/>
      <c r="O413" s="123"/>
      <c r="P413" s="123"/>
      <c r="Q413" s="123"/>
      <c r="R413" s="123"/>
      <c r="S413" s="123"/>
      <c r="T413" s="123"/>
      <c r="U413" s="123"/>
      <c r="V413" s="123"/>
      <c r="W413" s="123"/>
      <c r="X413" s="123"/>
      <c r="Y413" s="123"/>
      <c r="Z413" s="123"/>
    </row>
    <row r="414">
      <c r="A414" s="416"/>
      <c r="B414" s="134"/>
      <c r="C414" s="417"/>
      <c r="D414" s="418"/>
      <c r="E414" s="123"/>
      <c r="F414" s="123"/>
      <c r="G414" s="123"/>
      <c r="H414" s="123"/>
      <c r="I414" s="123"/>
      <c r="J414" s="123"/>
      <c r="K414" s="123"/>
      <c r="L414" s="123"/>
      <c r="M414" s="123"/>
      <c r="N414" s="123"/>
      <c r="O414" s="123"/>
      <c r="P414" s="123"/>
      <c r="Q414" s="123"/>
      <c r="R414" s="123"/>
      <c r="S414" s="123"/>
      <c r="T414" s="123"/>
      <c r="U414" s="123"/>
      <c r="V414" s="123"/>
      <c r="W414" s="123"/>
      <c r="X414" s="123"/>
      <c r="Y414" s="123"/>
      <c r="Z414" s="123"/>
    </row>
    <row r="415">
      <c r="A415" s="416"/>
      <c r="B415" s="134"/>
      <c r="C415" s="417"/>
      <c r="D415" s="418"/>
      <c r="E415" s="123"/>
      <c r="F415" s="123"/>
      <c r="G415" s="123"/>
      <c r="H415" s="123"/>
      <c r="I415" s="123"/>
      <c r="J415" s="123"/>
      <c r="K415" s="123"/>
      <c r="L415" s="123"/>
      <c r="M415" s="123"/>
      <c r="N415" s="123"/>
      <c r="O415" s="123"/>
      <c r="P415" s="123"/>
      <c r="Q415" s="123"/>
      <c r="R415" s="123"/>
      <c r="S415" s="123"/>
      <c r="T415" s="123"/>
      <c r="U415" s="123"/>
      <c r="V415" s="123"/>
      <c r="W415" s="123"/>
      <c r="X415" s="123"/>
      <c r="Y415" s="123"/>
      <c r="Z415" s="123"/>
    </row>
    <row r="416">
      <c r="A416" s="416"/>
      <c r="B416" s="134"/>
      <c r="C416" s="417"/>
      <c r="D416" s="418"/>
      <c r="E416" s="123"/>
      <c r="F416" s="123"/>
      <c r="G416" s="123"/>
      <c r="H416" s="123"/>
      <c r="I416" s="123"/>
      <c r="J416" s="123"/>
      <c r="K416" s="123"/>
      <c r="L416" s="123"/>
      <c r="M416" s="123"/>
      <c r="N416" s="123"/>
      <c r="O416" s="123"/>
      <c r="P416" s="123"/>
      <c r="Q416" s="123"/>
      <c r="R416" s="123"/>
      <c r="S416" s="123"/>
      <c r="T416" s="123"/>
      <c r="U416" s="123"/>
      <c r="V416" s="123"/>
      <c r="W416" s="123"/>
      <c r="X416" s="123"/>
      <c r="Y416" s="123"/>
      <c r="Z416" s="123"/>
    </row>
    <row r="417">
      <c r="A417" s="416"/>
      <c r="B417" s="134"/>
      <c r="C417" s="417"/>
      <c r="D417" s="418"/>
      <c r="E417" s="123"/>
      <c r="F417" s="123"/>
      <c r="G417" s="123"/>
      <c r="H417" s="123"/>
      <c r="I417" s="123"/>
      <c r="J417" s="123"/>
      <c r="K417" s="123"/>
      <c r="L417" s="123"/>
      <c r="M417" s="123"/>
      <c r="N417" s="123"/>
      <c r="O417" s="123"/>
      <c r="P417" s="123"/>
      <c r="Q417" s="123"/>
      <c r="R417" s="123"/>
      <c r="S417" s="123"/>
      <c r="T417" s="123"/>
      <c r="U417" s="123"/>
      <c r="V417" s="123"/>
      <c r="W417" s="123"/>
      <c r="X417" s="123"/>
      <c r="Y417" s="123"/>
      <c r="Z417" s="123"/>
    </row>
    <row r="418">
      <c r="A418" s="416"/>
      <c r="B418" s="134"/>
      <c r="C418" s="417"/>
      <c r="D418" s="418"/>
      <c r="E418" s="123"/>
      <c r="F418" s="123"/>
      <c r="G418" s="123"/>
      <c r="H418" s="123"/>
      <c r="I418" s="123"/>
      <c r="J418" s="123"/>
      <c r="K418" s="123"/>
      <c r="L418" s="123"/>
      <c r="M418" s="123"/>
      <c r="N418" s="123"/>
      <c r="O418" s="123"/>
      <c r="P418" s="123"/>
      <c r="Q418" s="123"/>
      <c r="R418" s="123"/>
      <c r="S418" s="123"/>
      <c r="T418" s="123"/>
      <c r="U418" s="123"/>
      <c r="V418" s="123"/>
      <c r="W418" s="123"/>
      <c r="X418" s="123"/>
      <c r="Y418" s="123"/>
      <c r="Z418" s="123"/>
    </row>
    <row r="419">
      <c r="A419" s="416"/>
      <c r="B419" s="134"/>
      <c r="C419" s="417"/>
      <c r="D419" s="418"/>
      <c r="E419" s="123"/>
      <c r="F419" s="123"/>
      <c r="G419" s="123"/>
      <c r="H419" s="123"/>
      <c r="I419" s="123"/>
      <c r="J419" s="123"/>
      <c r="K419" s="123"/>
      <c r="L419" s="123"/>
      <c r="M419" s="123"/>
      <c r="N419" s="123"/>
      <c r="O419" s="123"/>
      <c r="P419" s="123"/>
      <c r="Q419" s="123"/>
      <c r="R419" s="123"/>
      <c r="S419" s="123"/>
      <c r="T419" s="123"/>
      <c r="U419" s="123"/>
      <c r="V419" s="123"/>
      <c r="W419" s="123"/>
      <c r="X419" s="123"/>
      <c r="Y419" s="123"/>
      <c r="Z419" s="123"/>
    </row>
    <row r="420">
      <c r="A420" s="416"/>
      <c r="B420" s="134"/>
      <c r="C420" s="417"/>
      <c r="D420" s="418"/>
      <c r="E420" s="123"/>
      <c r="F420" s="123"/>
      <c r="G420" s="123"/>
      <c r="H420" s="123"/>
      <c r="I420" s="123"/>
      <c r="J420" s="123"/>
      <c r="K420" s="123"/>
      <c r="L420" s="123"/>
      <c r="M420" s="123"/>
      <c r="N420" s="123"/>
      <c r="O420" s="123"/>
      <c r="P420" s="123"/>
      <c r="Q420" s="123"/>
      <c r="R420" s="123"/>
      <c r="S420" s="123"/>
      <c r="T420" s="123"/>
      <c r="U420" s="123"/>
      <c r="V420" s="123"/>
      <c r="W420" s="123"/>
      <c r="X420" s="123"/>
      <c r="Y420" s="123"/>
      <c r="Z420" s="123"/>
    </row>
    <row r="421">
      <c r="A421" s="416"/>
      <c r="B421" s="134"/>
      <c r="C421" s="417"/>
      <c r="D421" s="418"/>
      <c r="E421" s="123"/>
      <c r="F421" s="123"/>
      <c r="G421" s="123"/>
      <c r="H421" s="123"/>
      <c r="I421" s="123"/>
      <c r="J421" s="123"/>
      <c r="K421" s="123"/>
      <c r="L421" s="123"/>
      <c r="M421" s="123"/>
      <c r="N421" s="123"/>
      <c r="O421" s="123"/>
      <c r="P421" s="123"/>
      <c r="Q421" s="123"/>
      <c r="R421" s="123"/>
      <c r="S421" s="123"/>
      <c r="T421" s="123"/>
      <c r="U421" s="123"/>
      <c r="V421" s="123"/>
      <c r="W421" s="123"/>
      <c r="X421" s="123"/>
      <c r="Y421" s="123"/>
      <c r="Z421" s="123"/>
    </row>
    <row r="422">
      <c r="A422" s="416"/>
      <c r="B422" s="134"/>
      <c r="C422" s="417"/>
      <c r="D422" s="418"/>
      <c r="E422" s="123"/>
      <c r="F422" s="123"/>
      <c r="G422" s="123"/>
      <c r="H422" s="123"/>
      <c r="I422" s="123"/>
      <c r="J422" s="123"/>
      <c r="K422" s="123"/>
      <c r="L422" s="123"/>
      <c r="M422" s="123"/>
      <c r="N422" s="123"/>
      <c r="O422" s="123"/>
      <c r="P422" s="123"/>
      <c r="Q422" s="123"/>
      <c r="R422" s="123"/>
      <c r="S422" s="123"/>
      <c r="T422" s="123"/>
      <c r="U422" s="123"/>
      <c r="V422" s="123"/>
      <c r="W422" s="123"/>
      <c r="X422" s="123"/>
      <c r="Y422" s="123"/>
      <c r="Z422" s="123"/>
    </row>
    <row r="423">
      <c r="A423" s="416"/>
      <c r="B423" s="134"/>
      <c r="C423" s="417"/>
      <c r="D423" s="418"/>
      <c r="E423" s="123"/>
      <c r="F423" s="123"/>
      <c r="G423" s="123"/>
      <c r="H423" s="123"/>
      <c r="I423" s="123"/>
      <c r="J423" s="123"/>
      <c r="K423" s="123"/>
      <c r="L423" s="123"/>
      <c r="M423" s="123"/>
      <c r="N423" s="123"/>
      <c r="O423" s="123"/>
      <c r="P423" s="123"/>
      <c r="Q423" s="123"/>
      <c r="R423" s="123"/>
      <c r="S423" s="123"/>
      <c r="T423" s="123"/>
      <c r="U423" s="123"/>
      <c r="V423" s="123"/>
      <c r="W423" s="123"/>
      <c r="X423" s="123"/>
      <c r="Y423" s="123"/>
      <c r="Z423" s="123"/>
    </row>
    <row r="424">
      <c r="A424" s="416"/>
      <c r="B424" s="134"/>
      <c r="C424" s="417"/>
      <c r="D424" s="418"/>
      <c r="E424" s="123"/>
      <c r="F424" s="123"/>
      <c r="G424" s="123"/>
      <c r="H424" s="123"/>
      <c r="I424" s="123"/>
      <c r="J424" s="123"/>
      <c r="K424" s="123"/>
      <c r="L424" s="123"/>
      <c r="M424" s="123"/>
      <c r="N424" s="123"/>
      <c r="O424" s="123"/>
      <c r="P424" s="123"/>
      <c r="Q424" s="123"/>
      <c r="R424" s="123"/>
      <c r="S424" s="123"/>
      <c r="T424" s="123"/>
      <c r="U424" s="123"/>
      <c r="V424" s="123"/>
      <c r="W424" s="123"/>
      <c r="X424" s="123"/>
      <c r="Y424" s="123"/>
      <c r="Z424" s="123"/>
    </row>
    <row r="425">
      <c r="A425" s="416"/>
      <c r="B425" s="134"/>
      <c r="C425" s="417"/>
      <c r="D425" s="418"/>
      <c r="E425" s="123"/>
      <c r="F425" s="123"/>
      <c r="G425" s="123"/>
      <c r="H425" s="123"/>
      <c r="I425" s="123"/>
      <c r="J425" s="123"/>
      <c r="K425" s="123"/>
      <c r="L425" s="123"/>
      <c r="M425" s="123"/>
      <c r="N425" s="123"/>
      <c r="O425" s="123"/>
      <c r="P425" s="123"/>
      <c r="Q425" s="123"/>
      <c r="R425" s="123"/>
      <c r="S425" s="123"/>
      <c r="T425" s="123"/>
      <c r="U425" s="123"/>
      <c r="V425" s="123"/>
      <c r="W425" s="123"/>
      <c r="X425" s="123"/>
      <c r="Y425" s="123"/>
      <c r="Z425" s="123"/>
    </row>
    <row r="426">
      <c r="A426" s="416"/>
      <c r="B426" s="134"/>
      <c r="C426" s="417"/>
      <c r="D426" s="418"/>
      <c r="E426" s="123"/>
      <c r="F426" s="123"/>
      <c r="G426" s="123"/>
      <c r="H426" s="123"/>
      <c r="I426" s="123"/>
      <c r="J426" s="123"/>
      <c r="K426" s="123"/>
      <c r="L426" s="123"/>
      <c r="M426" s="123"/>
      <c r="N426" s="123"/>
      <c r="O426" s="123"/>
      <c r="P426" s="123"/>
      <c r="Q426" s="123"/>
      <c r="R426" s="123"/>
      <c r="S426" s="123"/>
      <c r="T426" s="123"/>
      <c r="U426" s="123"/>
      <c r="V426" s="123"/>
      <c r="W426" s="123"/>
      <c r="X426" s="123"/>
      <c r="Y426" s="123"/>
      <c r="Z426" s="123"/>
    </row>
    <row r="427">
      <c r="A427" s="416"/>
      <c r="B427" s="134"/>
      <c r="C427" s="417"/>
      <c r="D427" s="418"/>
      <c r="E427" s="123"/>
      <c r="F427" s="123"/>
      <c r="G427" s="123"/>
      <c r="H427" s="123"/>
      <c r="I427" s="123"/>
      <c r="J427" s="123"/>
      <c r="K427" s="123"/>
      <c r="L427" s="123"/>
      <c r="M427" s="123"/>
      <c r="N427" s="123"/>
      <c r="O427" s="123"/>
      <c r="P427" s="123"/>
      <c r="Q427" s="123"/>
      <c r="R427" s="123"/>
      <c r="S427" s="123"/>
      <c r="T427" s="123"/>
      <c r="U427" s="123"/>
      <c r="V427" s="123"/>
      <c r="W427" s="123"/>
      <c r="X427" s="123"/>
      <c r="Y427" s="123"/>
      <c r="Z427" s="123"/>
    </row>
    <row r="428">
      <c r="A428" s="416"/>
      <c r="B428" s="134"/>
      <c r="C428" s="417"/>
      <c r="D428" s="418"/>
      <c r="E428" s="123"/>
      <c r="F428" s="123"/>
      <c r="G428" s="123"/>
      <c r="H428" s="123"/>
      <c r="I428" s="123"/>
      <c r="J428" s="123"/>
      <c r="K428" s="123"/>
      <c r="L428" s="123"/>
      <c r="M428" s="123"/>
      <c r="N428" s="123"/>
      <c r="O428" s="123"/>
      <c r="P428" s="123"/>
      <c r="Q428" s="123"/>
      <c r="R428" s="123"/>
      <c r="S428" s="123"/>
      <c r="T428" s="123"/>
      <c r="U428" s="123"/>
      <c r="V428" s="123"/>
      <c r="W428" s="123"/>
      <c r="X428" s="123"/>
      <c r="Y428" s="123"/>
      <c r="Z428" s="123"/>
    </row>
    <row r="429">
      <c r="A429" s="416"/>
      <c r="B429" s="134"/>
      <c r="C429" s="417"/>
      <c r="D429" s="418"/>
      <c r="E429" s="123"/>
      <c r="F429" s="123"/>
      <c r="G429" s="123"/>
      <c r="H429" s="123"/>
      <c r="I429" s="123"/>
      <c r="J429" s="123"/>
      <c r="K429" s="123"/>
      <c r="L429" s="123"/>
      <c r="M429" s="123"/>
      <c r="N429" s="123"/>
      <c r="O429" s="123"/>
      <c r="P429" s="123"/>
      <c r="Q429" s="123"/>
      <c r="R429" s="123"/>
      <c r="S429" s="123"/>
      <c r="T429" s="123"/>
      <c r="U429" s="123"/>
      <c r="V429" s="123"/>
      <c r="W429" s="123"/>
      <c r="X429" s="123"/>
      <c r="Y429" s="123"/>
      <c r="Z429" s="123"/>
    </row>
    <row r="430">
      <c r="A430" s="416"/>
      <c r="B430" s="134"/>
      <c r="C430" s="417"/>
      <c r="D430" s="418"/>
      <c r="E430" s="123"/>
      <c r="F430" s="123"/>
      <c r="G430" s="123"/>
      <c r="H430" s="123"/>
      <c r="I430" s="123"/>
      <c r="J430" s="123"/>
      <c r="K430" s="123"/>
      <c r="L430" s="123"/>
      <c r="M430" s="123"/>
      <c r="N430" s="123"/>
      <c r="O430" s="123"/>
      <c r="P430" s="123"/>
      <c r="Q430" s="123"/>
      <c r="R430" s="123"/>
      <c r="S430" s="123"/>
      <c r="T430" s="123"/>
      <c r="U430" s="123"/>
      <c r="V430" s="123"/>
      <c r="W430" s="123"/>
      <c r="X430" s="123"/>
      <c r="Y430" s="123"/>
      <c r="Z430" s="123"/>
    </row>
    <row r="431">
      <c r="A431" s="416"/>
      <c r="B431" s="134"/>
      <c r="C431" s="417"/>
      <c r="D431" s="418"/>
      <c r="E431" s="123"/>
      <c r="F431" s="123"/>
      <c r="G431" s="123"/>
      <c r="H431" s="123"/>
      <c r="I431" s="123"/>
      <c r="J431" s="123"/>
      <c r="K431" s="123"/>
      <c r="L431" s="123"/>
      <c r="M431" s="123"/>
      <c r="N431" s="123"/>
      <c r="O431" s="123"/>
      <c r="P431" s="123"/>
      <c r="Q431" s="123"/>
      <c r="R431" s="123"/>
      <c r="S431" s="123"/>
      <c r="T431" s="123"/>
      <c r="U431" s="123"/>
      <c r="V431" s="123"/>
      <c r="W431" s="123"/>
      <c r="X431" s="123"/>
      <c r="Y431" s="123"/>
      <c r="Z431" s="123"/>
    </row>
    <row r="432">
      <c r="A432" s="416"/>
      <c r="B432" s="134"/>
      <c r="C432" s="417"/>
      <c r="D432" s="418"/>
      <c r="E432" s="123"/>
      <c r="F432" s="123"/>
      <c r="G432" s="123"/>
      <c r="H432" s="123"/>
      <c r="I432" s="123"/>
      <c r="J432" s="123"/>
      <c r="K432" s="123"/>
      <c r="L432" s="123"/>
      <c r="M432" s="123"/>
      <c r="N432" s="123"/>
      <c r="O432" s="123"/>
      <c r="P432" s="123"/>
      <c r="Q432" s="123"/>
      <c r="R432" s="123"/>
      <c r="S432" s="123"/>
      <c r="T432" s="123"/>
      <c r="U432" s="123"/>
      <c r="V432" s="123"/>
      <c r="W432" s="123"/>
      <c r="X432" s="123"/>
      <c r="Y432" s="123"/>
      <c r="Z432" s="123"/>
    </row>
    <row r="433">
      <c r="A433" s="416"/>
      <c r="B433" s="134"/>
      <c r="C433" s="417"/>
      <c r="D433" s="418"/>
      <c r="E433" s="123"/>
      <c r="F433" s="123"/>
      <c r="G433" s="123"/>
      <c r="H433" s="123"/>
      <c r="I433" s="123"/>
      <c r="J433" s="123"/>
      <c r="K433" s="123"/>
      <c r="L433" s="123"/>
      <c r="M433" s="123"/>
      <c r="N433" s="123"/>
      <c r="O433" s="123"/>
      <c r="P433" s="123"/>
      <c r="Q433" s="123"/>
      <c r="R433" s="123"/>
      <c r="S433" s="123"/>
      <c r="T433" s="123"/>
      <c r="U433" s="123"/>
      <c r="V433" s="123"/>
      <c r="W433" s="123"/>
      <c r="X433" s="123"/>
      <c r="Y433" s="123"/>
      <c r="Z433" s="123"/>
    </row>
    <row r="434">
      <c r="A434" s="416"/>
      <c r="B434" s="134"/>
      <c r="C434" s="417"/>
      <c r="D434" s="418"/>
      <c r="E434" s="123"/>
      <c r="F434" s="123"/>
      <c r="G434" s="123"/>
      <c r="H434" s="123"/>
      <c r="I434" s="123"/>
      <c r="J434" s="123"/>
      <c r="K434" s="123"/>
      <c r="L434" s="123"/>
      <c r="M434" s="123"/>
      <c r="N434" s="123"/>
      <c r="O434" s="123"/>
      <c r="P434" s="123"/>
      <c r="Q434" s="123"/>
      <c r="R434" s="123"/>
      <c r="S434" s="123"/>
      <c r="T434" s="123"/>
      <c r="U434" s="123"/>
      <c r="V434" s="123"/>
      <c r="W434" s="123"/>
      <c r="X434" s="123"/>
      <c r="Y434" s="123"/>
      <c r="Z434" s="123"/>
    </row>
    <row r="435">
      <c r="A435" s="416"/>
      <c r="B435" s="134"/>
      <c r="C435" s="417"/>
      <c r="D435" s="418"/>
      <c r="E435" s="123"/>
      <c r="F435" s="123"/>
      <c r="G435" s="123"/>
      <c r="H435" s="123"/>
      <c r="I435" s="123"/>
      <c r="J435" s="123"/>
      <c r="K435" s="123"/>
      <c r="L435" s="123"/>
      <c r="M435" s="123"/>
      <c r="N435" s="123"/>
      <c r="O435" s="123"/>
      <c r="P435" s="123"/>
      <c r="Q435" s="123"/>
      <c r="R435" s="123"/>
      <c r="S435" s="123"/>
      <c r="T435" s="123"/>
      <c r="U435" s="123"/>
      <c r="V435" s="123"/>
      <c r="W435" s="123"/>
      <c r="X435" s="123"/>
      <c r="Y435" s="123"/>
      <c r="Z435" s="123"/>
    </row>
    <row r="436">
      <c r="A436" s="416"/>
      <c r="B436" s="134"/>
      <c r="C436" s="417"/>
      <c r="D436" s="418"/>
      <c r="E436" s="123"/>
      <c r="F436" s="123"/>
      <c r="G436" s="123"/>
      <c r="H436" s="123"/>
      <c r="I436" s="123"/>
      <c r="J436" s="123"/>
      <c r="K436" s="123"/>
      <c r="L436" s="123"/>
      <c r="M436" s="123"/>
      <c r="N436" s="123"/>
      <c r="O436" s="123"/>
      <c r="P436" s="123"/>
      <c r="Q436" s="123"/>
      <c r="R436" s="123"/>
      <c r="S436" s="123"/>
      <c r="T436" s="123"/>
      <c r="U436" s="123"/>
      <c r="V436" s="123"/>
      <c r="W436" s="123"/>
      <c r="X436" s="123"/>
      <c r="Y436" s="123"/>
      <c r="Z436" s="123"/>
    </row>
    <row r="437">
      <c r="A437" s="416"/>
      <c r="B437" s="134"/>
      <c r="C437" s="417"/>
      <c r="D437" s="418"/>
      <c r="E437" s="123"/>
      <c r="F437" s="123"/>
      <c r="G437" s="123"/>
      <c r="H437" s="123"/>
      <c r="I437" s="123"/>
      <c r="J437" s="123"/>
      <c r="K437" s="123"/>
      <c r="L437" s="123"/>
      <c r="M437" s="123"/>
      <c r="N437" s="123"/>
      <c r="O437" s="123"/>
      <c r="P437" s="123"/>
      <c r="Q437" s="123"/>
      <c r="R437" s="123"/>
      <c r="S437" s="123"/>
      <c r="T437" s="123"/>
      <c r="U437" s="123"/>
      <c r="V437" s="123"/>
      <c r="W437" s="123"/>
      <c r="X437" s="123"/>
      <c r="Y437" s="123"/>
      <c r="Z437" s="123"/>
    </row>
    <row r="438">
      <c r="A438" s="416"/>
      <c r="B438" s="134"/>
      <c r="C438" s="417"/>
      <c r="D438" s="418"/>
      <c r="E438" s="123"/>
      <c r="F438" s="123"/>
      <c r="G438" s="123"/>
      <c r="H438" s="123"/>
      <c r="I438" s="123"/>
      <c r="J438" s="123"/>
      <c r="K438" s="123"/>
      <c r="L438" s="123"/>
      <c r="M438" s="123"/>
      <c r="N438" s="123"/>
      <c r="O438" s="123"/>
      <c r="P438" s="123"/>
      <c r="Q438" s="123"/>
      <c r="R438" s="123"/>
      <c r="S438" s="123"/>
      <c r="T438" s="123"/>
      <c r="U438" s="123"/>
      <c r="V438" s="123"/>
      <c r="W438" s="123"/>
      <c r="X438" s="123"/>
      <c r="Y438" s="123"/>
      <c r="Z438" s="123"/>
    </row>
    <row r="439">
      <c r="A439" s="416"/>
      <c r="B439" s="134"/>
      <c r="C439" s="417"/>
      <c r="D439" s="418"/>
      <c r="E439" s="123"/>
      <c r="F439" s="123"/>
      <c r="G439" s="123"/>
      <c r="H439" s="123"/>
      <c r="I439" s="123"/>
      <c r="J439" s="123"/>
      <c r="K439" s="123"/>
      <c r="L439" s="123"/>
      <c r="M439" s="123"/>
      <c r="N439" s="123"/>
      <c r="O439" s="123"/>
      <c r="P439" s="123"/>
      <c r="Q439" s="123"/>
      <c r="R439" s="123"/>
      <c r="S439" s="123"/>
      <c r="T439" s="123"/>
      <c r="U439" s="123"/>
      <c r="V439" s="123"/>
      <c r="W439" s="123"/>
      <c r="X439" s="123"/>
      <c r="Y439" s="123"/>
      <c r="Z439" s="123"/>
    </row>
    <row r="440">
      <c r="A440" s="416"/>
      <c r="B440" s="134"/>
      <c r="C440" s="417"/>
      <c r="D440" s="418"/>
      <c r="E440" s="123"/>
      <c r="F440" s="123"/>
      <c r="G440" s="123"/>
      <c r="H440" s="123"/>
      <c r="I440" s="123"/>
      <c r="J440" s="123"/>
      <c r="K440" s="123"/>
      <c r="L440" s="123"/>
      <c r="M440" s="123"/>
      <c r="N440" s="123"/>
      <c r="O440" s="123"/>
      <c r="P440" s="123"/>
      <c r="Q440" s="123"/>
      <c r="R440" s="123"/>
      <c r="S440" s="123"/>
      <c r="T440" s="123"/>
      <c r="U440" s="123"/>
      <c r="V440" s="123"/>
      <c r="W440" s="123"/>
      <c r="X440" s="123"/>
      <c r="Y440" s="123"/>
      <c r="Z440" s="123"/>
    </row>
    <row r="441">
      <c r="A441" s="416"/>
      <c r="B441" s="134"/>
      <c r="C441" s="417"/>
      <c r="D441" s="418"/>
      <c r="E441" s="123"/>
      <c r="F441" s="123"/>
      <c r="G441" s="123"/>
      <c r="H441" s="123"/>
      <c r="I441" s="123"/>
      <c r="J441" s="123"/>
      <c r="K441" s="123"/>
      <c r="L441" s="123"/>
      <c r="M441" s="123"/>
      <c r="N441" s="123"/>
      <c r="O441" s="123"/>
      <c r="P441" s="123"/>
      <c r="Q441" s="123"/>
      <c r="R441" s="123"/>
      <c r="S441" s="123"/>
      <c r="T441" s="123"/>
      <c r="U441" s="123"/>
      <c r="V441" s="123"/>
      <c r="W441" s="123"/>
      <c r="X441" s="123"/>
      <c r="Y441" s="123"/>
      <c r="Z441" s="123"/>
    </row>
    <row r="442">
      <c r="A442" s="416"/>
      <c r="B442" s="134"/>
      <c r="C442" s="417"/>
      <c r="D442" s="418"/>
      <c r="E442" s="123"/>
      <c r="F442" s="123"/>
      <c r="G442" s="123"/>
      <c r="H442" s="123"/>
      <c r="I442" s="123"/>
      <c r="J442" s="123"/>
      <c r="K442" s="123"/>
      <c r="L442" s="123"/>
      <c r="M442" s="123"/>
      <c r="N442" s="123"/>
      <c r="O442" s="123"/>
      <c r="P442" s="123"/>
      <c r="Q442" s="123"/>
      <c r="R442" s="123"/>
      <c r="S442" s="123"/>
      <c r="T442" s="123"/>
      <c r="U442" s="123"/>
      <c r="V442" s="123"/>
      <c r="W442" s="123"/>
      <c r="X442" s="123"/>
      <c r="Y442" s="123"/>
      <c r="Z442" s="123"/>
    </row>
    <row r="443">
      <c r="A443" s="416"/>
      <c r="B443" s="134"/>
      <c r="C443" s="417"/>
      <c r="D443" s="418"/>
      <c r="E443" s="123"/>
      <c r="F443" s="123"/>
      <c r="G443" s="123"/>
      <c r="H443" s="123"/>
      <c r="I443" s="123"/>
      <c r="J443" s="123"/>
      <c r="K443" s="123"/>
      <c r="L443" s="123"/>
      <c r="M443" s="123"/>
      <c r="N443" s="123"/>
      <c r="O443" s="123"/>
      <c r="P443" s="123"/>
      <c r="Q443" s="123"/>
      <c r="R443" s="123"/>
      <c r="S443" s="123"/>
      <c r="T443" s="123"/>
      <c r="U443" s="123"/>
      <c r="V443" s="123"/>
      <c r="W443" s="123"/>
      <c r="X443" s="123"/>
      <c r="Y443" s="123"/>
      <c r="Z443" s="123"/>
    </row>
    <row r="444">
      <c r="A444" s="416"/>
      <c r="B444" s="134"/>
      <c r="C444" s="417"/>
      <c r="D444" s="418"/>
      <c r="E444" s="123"/>
      <c r="F444" s="123"/>
      <c r="G444" s="123"/>
      <c r="H444" s="123"/>
      <c r="I444" s="123"/>
      <c r="J444" s="123"/>
      <c r="K444" s="123"/>
      <c r="L444" s="123"/>
      <c r="M444" s="123"/>
      <c r="N444" s="123"/>
      <c r="O444" s="123"/>
      <c r="P444" s="123"/>
      <c r="Q444" s="123"/>
      <c r="R444" s="123"/>
      <c r="S444" s="123"/>
      <c r="T444" s="123"/>
      <c r="U444" s="123"/>
      <c r="V444" s="123"/>
      <c r="W444" s="123"/>
      <c r="X444" s="123"/>
      <c r="Y444" s="123"/>
      <c r="Z444" s="123"/>
    </row>
    <row r="445">
      <c r="A445" s="416"/>
      <c r="B445" s="134"/>
      <c r="C445" s="417"/>
      <c r="D445" s="418"/>
      <c r="E445" s="123"/>
      <c r="F445" s="123"/>
      <c r="G445" s="123"/>
      <c r="H445" s="123"/>
      <c r="I445" s="123"/>
      <c r="J445" s="123"/>
      <c r="K445" s="123"/>
      <c r="L445" s="123"/>
      <c r="M445" s="123"/>
      <c r="N445" s="123"/>
      <c r="O445" s="123"/>
      <c r="P445" s="123"/>
      <c r="Q445" s="123"/>
      <c r="R445" s="123"/>
      <c r="S445" s="123"/>
      <c r="T445" s="123"/>
      <c r="U445" s="123"/>
      <c r="V445" s="123"/>
      <c r="W445" s="123"/>
      <c r="X445" s="123"/>
      <c r="Y445" s="123"/>
      <c r="Z445" s="123"/>
    </row>
    <row r="446">
      <c r="A446" s="416"/>
      <c r="B446" s="134"/>
      <c r="C446" s="417"/>
      <c r="D446" s="418"/>
      <c r="E446" s="123"/>
      <c r="F446" s="123"/>
      <c r="G446" s="123"/>
      <c r="H446" s="123"/>
      <c r="I446" s="123"/>
      <c r="J446" s="123"/>
      <c r="K446" s="123"/>
      <c r="L446" s="123"/>
      <c r="M446" s="123"/>
      <c r="N446" s="123"/>
      <c r="O446" s="123"/>
      <c r="P446" s="123"/>
      <c r="Q446" s="123"/>
      <c r="R446" s="123"/>
      <c r="S446" s="123"/>
      <c r="T446" s="123"/>
      <c r="U446" s="123"/>
      <c r="V446" s="123"/>
      <c r="W446" s="123"/>
      <c r="X446" s="123"/>
      <c r="Y446" s="123"/>
      <c r="Z446" s="123"/>
    </row>
    <row r="447">
      <c r="A447" s="416"/>
      <c r="B447" s="134"/>
      <c r="C447" s="417"/>
      <c r="D447" s="418"/>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row>
    <row r="448">
      <c r="A448" s="416"/>
      <c r="B448" s="134"/>
      <c r="C448" s="417"/>
      <c r="D448" s="418"/>
      <c r="E448" s="123"/>
      <c r="F448" s="123"/>
      <c r="G448" s="123"/>
      <c r="H448" s="123"/>
      <c r="I448" s="123"/>
      <c r="J448" s="123"/>
      <c r="K448" s="123"/>
      <c r="L448" s="123"/>
      <c r="M448" s="123"/>
      <c r="N448" s="123"/>
      <c r="O448" s="123"/>
      <c r="P448" s="123"/>
      <c r="Q448" s="123"/>
      <c r="R448" s="123"/>
      <c r="S448" s="123"/>
      <c r="T448" s="123"/>
      <c r="U448" s="123"/>
      <c r="V448" s="123"/>
      <c r="W448" s="123"/>
      <c r="X448" s="123"/>
      <c r="Y448" s="123"/>
      <c r="Z448" s="123"/>
    </row>
    <row r="449">
      <c r="A449" s="416"/>
      <c r="B449" s="134"/>
      <c r="C449" s="417"/>
      <c r="D449" s="418"/>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row>
    <row r="450">
      <c r="A450" s="416"/>
      <c r="B450" s="134"/>
      <c r="C450" s="417"/>
      <c r="D450" s="418"/>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row>
    <row r="451">
      <c r="A451" s="416"/>
      <c r="B451" s="134"/>
      <c r="C451" s="417"/>
      <c r="D451" s="418"/>
      <c r="E451" s="123"/>
      <c r="F451" s="123"/>
      <c r="G451" s="123"/>
      <c r="H451" s="123"/>
      <c r="I451" s="123"/>
      <c r="J451" s="123"/>
      <c r="K451" s="123"/>
      <c r="L451" s="123"/>
      <c r="M451" s="123"/>
      <c r="N451" s="123"/>
      <c r="O451" s="123"/>
      <c r="P451" s="123"/>
      <c r="Q451" s="123"/>
      <c r="R451" s="123"/>
      <c r="S451" s="123"/>
      <c r="T451" s="123"/>
      <c r="U451" s="123"/>
      <c r="V451" s="123"/>
      <c r="W451" s="123"/>
      <c r="X451" s="123"/>
      <c r="Y451" s="123"/>
      <c r="Z451" s="123"/>
    </row>
    <row r="452">
      <c r="A452" s="416"/>
      <c r="B452" s="134"/>
      <c r="C452" s="417"/>
      <c r="D452" s="418"/>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row>
    <row r="453">
      <c r="A453" s="416"/>
      <c r="B453" s="134"/>
      <c r="C453" s="417"/>
      <c r="D453" s="418"/>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row>
    <row r="454">
      <c r="A454" s="416"/>
      <c r="B454" s="134"/>
      <c r="C454" s="417"/>
      <c r="D454" s="418"/>
      <c r="E454" s="123"/>
      <c r="F454" s="123"/>
      <c r="G454" s="123"/>
      <c r="H454" s="123"/>
      <c r="I454" s="123"/>
      <c r="J454" s="123"/>
      <c r="K454" s="123"/>
      <c r="L454" s="123"/>
      <c r="M454" s="123"/>
      <c r="N454" s="123"/>
      <c r="O454" s="123"/>
      <c r="P454" s="123"/>
      <c r="Q454" s="123"/>
      <c r="R454" s="123"/>
      <c r="S454" s="123"/>
      <c r="T454" s="123"/>
      <c r="U454" s="123"/>
      <c r="V454" s="123"/>
      <c r="W454" s="123"/>
      <c r="X454" s="123"/>
      <c r="Y454" s="123"/>
      <c r="Z454" s="123"/>
    </row>
    <row r="455">
      <c r="A455" s="416"/>
      <c r="B455" s="134"/>
      <c r="C455" s="417"/>
      <c r="D455" s="418"/>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row>
    <row r="456">
      <c r="A456" s="416"/>
      <c r="B456" s="134"/>
      <c r="C456" s="417"/>
      <c r="D456" s="418"/>
      <c r="E456" s="123"/>
      <c r="F456" s="123"/>
      <c r="G456" s="123"/>
      <c r="H456" s="123"/>
      <c r="I456" s="123"/>
      <c r="J456" s="123"/>
      <c r="K456" s="123"/>
      <c r="L456" s="123"/>
      <c r="M456" s="123"/>
      <c r="N456" s="123"/>
      <c r="O456" s="123"/>
      <c r="P456" s="123"/>
      <c r="Q456" s="123"/>
      <c r="R456" s="123"/>
      <c r="S456" s="123"/>
      <c r="T456" s="123"/>
      <c r="U456" s="123"/>
      <c r="V456" s="123"/>
      <c r="W456" s="123"/>
      <c r="X456" s="123"/>
      <c r="Y456" s="123"/>
      <c r="Z456" s="123"/>
    </row>
    <row r="457">
      <c r="A457" s="416"/>
      <c r="B457" s="134"/>
      <c r="C457" s="417"/>
      <c r="D457" s="418"/>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row>
    <row r="458">
      <c r="A458" s="416"/>
      <c r="B458" s="134"/>
      <c r="C458" s="417"/>
      <c r="D458" s="418"/>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row>
    <row r="459">
      <c r="A459" s="416"/>
      <c r="B459" s="134"/>
      <c r="C459" s="417"/>
      <c r="D459" s="418"/>
      <c r="E459" s="123"/>
      <c r="F459" s="123"/>
      <c r="G459" s="123"/>
      <c r="H459" s="123"/>
      <c r="I459" s="123"/>
      <c r="J459" s="123"/>
      <c r="K459" s="123"/>
      <c r="L459" s="123"/>
      <c r="M459" s="123"/>
      <c r="N459" s="123"/>
      <c r="O459" s="123"/>
      <c r="P459" s="123"/>
      <c r="Q459" s="123"/>
      <c r="R459" s="123"/>
      <c r="S459" s="123"/>
      <c r="T459" s="123"/>
      <c r="U459" s="123"/>
      <c r="V459" s="123"/>
      <c r="W459" s="123"/>
      <c r="X459" s="123"/>
      <c r="Y459" s="123"/>
      <c r="Z459" s="123"/>
    </row>
    <row r="460">
      <c r="A460" s="416"/>
      <c r="B460" s="134"/>
      <c r="C460" s="417"/>
      <c r="D460" s="418"/>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row>
    <row r="461">
      <c r="A461" s="416"/>
      <c r="B461" s="134"/>
      <c r="C461" s="417"/>
      <c r="D461" s="418"/>
      <c r="E461" s="123"/>
      <c r="F461" s="123"/>
      <c r="G461" s="123"/>
      <c r="H461" s="123"/>
      <c r="I461" s="123"/>
      <c r="J461" s="123"/>
      <c r="K461" s="123"/>
      <c r="L461" s="123"/>
      <c r="M461" s="123"/>
      <c r="N461" s="123"/>
      <c r="O461" s="123"/>
      <c r="P461" s="123"/>
      <c r="Q461" s="123"/>
      <c r="R461" s="123"/>
      <c r="S461" s="123"/>
      <c r="T461" s="123"/>
      <c r="U461" s="123"/>
      <c r="V461" s="123"/>
      <c r="W461" s="123"/>
      <c r="X461" s="123"/>
      <c r="Y461" s="123"/>
      <c r="Z461" s="123"/>
    </row>
    <row r="462">
      <c r="A462" s="416"/>
      <c r="B462" s="134"/>
      <c r="C462" s="417"/>
      <c r="D462" s="418"/>
      <c r="E462" s="123"/>
      <c r="F462" s="123"/>
      <c r="G462" s="123"/>
      <c r="H462" s="123"/>
      <c r="I462" s="123"/>
      <c r="J462" s="123"/>
      <c r="K462" s="123"/>
      <c r="L462" s="123"/>
      <c r="M462" s="123"/>
      <c r="N462" s="123"/>
      <c r="O462" s="123"/>
      <c r="P462" s="123"/>
      <c r="Q462" s="123"/>
      <c r="R462" s="123"/>
      <c r="S462" s="123"/>
      <c r="T462" s="123"/>
      <c r="U462" s="123"/>
      <c r="V462" s="123"/>
      <c r="W462" s="123"/>
      <c r="X462" s="123"/>
      <c r="Y462" s="123"/>
      <c r="Z462" s="123"/>
    </row>
    <row r="463">
      <c r="A463" s="416"/>
      <c r="B463" s="134"/>
      <c r="C463" s="417"/>
      <c r="D463" s="418"/>
      <c r="E463" s="123"/>
      <c r="F463" s="123"/>
      <c r="G463" s="123"/>
      <c r="H463" s="123"/>
      <c r="I463" s="123"/>
      <c r="J463" s="123"/>
      <c r="K463" s="123"/>
      <c r="L463" s="123"/>
      <c r="M463" s="123"/>
      <c r="N463" s="123"/>
      <c r="O463" s="123"/>
      <c r="P463" s="123"/>
      <c r="Q463" s="123"/>
      <c r="R463" s="123"/>
      <c r="S463" s="123"/>
      <c r="T463" s="123"/>
      <c r="U463" s="123"/>
      <c r="V463" s="123"/>
      <c r="W463" s="123"/>
      <c r="X463" s="123"/>
      <c r="Y463" s="123"/>
      <c r="Z463" s="123"/>
    </row>
    <row r="464">
      <c r="A464" s="416"/>
      <c r="B464" s="134"/>
      <c r="C464" s="417"/>
      <c r="D464" s="418"/>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row>
    <row r="465">
      <c r="A465" s="416"/>
      <c r="B465" s="134"/>
      <c r="C465" s="417"/>
      <c r="D465" s="418"/>
      <c r="E465" s="123"/>
      <c r="F465" s="123"/>
      <c r="G465" s="123"/>
      <c r="H465" s="123"/>
      <c r="I465" s="123"/>
      <c r="J465" s="123"/>
      <c r="K465" s="123"/>
      <c r="L465" s="123"/>
      <c r="M465" s="123"/>
      <c r="N465" s="123"/>
      <c r="O465" s="123"/>
      <c r="P465" s="123"/>
      <c r="Q465" s="123"/>
      <c r="R465" s="123"/>
      <c r="S465" s="123"/>
      <c r="T465" s="123"/>
      <c r="U465" s="123"/>
      <c r="V465" s="123"/>
      <c r="W465" s="123"/>
      <c r="X465" s="123"/>
      <c r="Y465" s="123"/>
      <c r="Z465" s="123"/>
    </row>
    <row r="466">
      <c r="A466" s="416"/>
      <c r="B466" s="134"/>
      <c r="C466" s="417"/>
      <c r="D466" s="418"/>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row>
    <row r="467">
      <c r="A467" s="416"/>
      <c r="B467" s="134"/>
      <c r="C467" s="417"/>
      <c r="D467" s="418"/>
      <c r="E467" s="123"/>
      <c r="F467" s="123"/>
      <c r="G467" s="123"/>
      <c r="H467" s="123"/>
      <c r="I467" s="123"/>
      <c r="J467" s="123"/>
      <c r="K467" s="123"/>
      <c r="L467" s="123"/>
      <c r="M467" s="123"/>
      <c r="N467" s="123"/>
      <c r="O467" s="123"/>
      <c r="P467" s="123"/>
      <c r="Q467" s="123"/>
      <c r="R467" s="123"/>
      <c r="S467" s="123"/>
      <c r="T467" s="123"/>
      <c r="U467" s="123"/>
      <c r="V467" s="123"/>
      <c r="W467" s="123"/>
      <c r="X467" s="123"/>
      <c r="Y467" s="123"/>
      <c r="Z467" s="123"/>
    </row>
    <row r="468">
      <c r="A468" s="416"/>
      <c r="B468" s="134"/>
      <c r="C468" s="417"/>
      <c r="D468" s="418"/>
      <c r="E468" s="123"/>
      <c r="F468" s="123"/>
      <c r="G468" s="123"/>
      <c r="H468" s="123"/>
      <c r="I468" s="123"/>
      <c r="J468" s="123"/>
      <c r="K468" s="123"/>
      <c r="L468" s="123"/>
      <c r="M468" s="123"/>
      <c r="N468" s="123"/>
      <c r="O468" s="123"/>
      <c r="P468" s="123"/>
      <c r="Q468" s="123"/>
      <c r="R468" s="123"/>
      <c r="S468" s="123"/>
      <c r="T468" s="123"/>
      <c r="U468" s="123"/>
      <c r="V468" s="123"/>
      <c r="W468" s="123"/>
      <c r="X468" s="123"/>
      <c r="Y468" s="123"/>
      <c r="Z468" s="123"/>
    </row>
    <row r="469">
      <c r="A469" s="416"/>
      <c r="B469" s="134"/>
      <c r="C469" s="417"/>
      <c r="D469" s="418"/>
      <c r="E469" s="123"/>
      <c r="F469" s="123"/>
      <c r="G469" s="123"/>
      <c r="H469" s="123"/>
      <c r="I469" s="123"/>
      <c r="J469" s="123"/>
      <c r="K469" s="123"/>
      <c r="L469" s="123"/>
      <c r="M469" s="123"/>
      <c r="N469" s="123"/>
      <c r="O469" s="123"/>
      <c r="P469" s="123"/>
      <c r="Q469" s="123"/>
      <c r="R469" s="123"/>
      <c r="S469" s="123"/>
      <c r="T469" s="123"/>
      <c r="U469" s="123"/>
      <c r="V469" s="123"/>
      <c r="W469" s="123"/>
      <c r="X469" s="123"/>
      <c r="Y469" s="123"/>
      <c r="Z469" s="123"/>
    </row>
    <row r="470">
      <c r="A470" s="416"/>
      <c r="B470" s="134"/>
      <c r="C470" s="417"/>
      <c r="D470" s="418"/>
      <c r="E470" s="123"/>
      <c r="F470" s="123"/>
      <c r="G470" s="123"/>
      <c r="H470" s="123"/>
      <c r="I470" s="123"/>
      <c r="J470" s="123"/>
      <c r="K470" s="123"/>
      <c r="L470" s="123"/>
      <c r="M470" s="123"/>
      <c r="N470" s="123"/>
      <c r="O470" s="123"/>
      <c r="P470" s="123"/>
      <c r="Q470" s="123"/>
      <c r="R470" s="123"/>
      <c r="S470" s="123"/>
      <c r="T470" s="123"/>
      <c r="U470" s="123"/>
      <c r="V470" s="123"/>
      <c r="W470" s="123"/>
      <c r="X470" s="123"/>
      <c r="Y470" s="123"/>
      <c r="Z470" s="123"/>
    </row>
    <row r="471">
      <c r="A471" s="416"/>
      <c r="B471" s="134"/>
      <c r="C471" s="417"/>
      <c r="D471" s="418"/>
      <c r="E471" s="123"/>
      <c r="F471" s="123"/>
      <c r="G471" s="123"/>
      <c r="H471" s="123"/>
      <c r="I471" s="123"/>
      <c r="J471" s="123"/>
      <c r="K471" s="123"/>
      <c r="L471" s="123"/>
      <c r="M471" s="123"/>
      <c r="N471" s="123"/>
      <c r="O471" s="123"/>
      <c r="P471" s="123"/>
      <c r="Q471" s="123"/>
      <c r="R471" s="123"/>
      <c r="S471" s="123"/>
      <c r="T471" s="123"/>
      <c r="U471" s="123"/>
      <c r="V471" s="123"/>
      <c r="W471" s="123"/>
      <c r="X471" s="123"/>
      <c r="Y471" s="123"/>
      <c r="Z471" s="123"/>
    </row>
    <row r="472">
      <c r="A472" s="416"/>
      <c r="B472" s="134"/>
      <c r="C472" s="417"/>
      <c r="D472" s="418"/>
      <c r="E472" s="123"/>
      <c r="F472" s="123"/>
      <c r="G472" s="123"/>
      <c r="H472" s="123"/>
      <c r="I472" s="123"/>
      <c r="J472" s="123"/>
      <c r="K472" s="123"/>
      <c r="L472" s="123"/>
      <c r="M472" s="123"/>
      <c r="N472" s="123"/>
      <c r="O472" s="123"/>
      <c r="P472" s="123"/>
      <c r="Q472" s="123"/>
      <c r="R472" s="123"/>
      <c r="S472" s="123"/>
      <c r="T472" s="123"/>
      <c r="U472" s="123"/>
      <c r="V472" s="123"/>
      <c r="W472" s="123"/>
      <c r="X472" s="123"/>
      <c r="Y472" s="123"/>
      <c r="Z472" s="123"/>
    </row>
    <row r="473">
      <c r="A473" s="416"/>
      <c r="B473" s="134"/>
      <c r="C473" s="417"/>
      <c r="D473" s="418"/>
      <c r="E473" s="123"/>
      <c r="F473" s="123"/>
      <c r="G473" s="123"/>
      <c r="H473" s="123"/>
      <c r="I473" s="123"/>
      <c r="J473" s="123"/>
      <c r="K473" s="123"/>
      <c r="L473" s="123"/>
      <c r="M473" s="123"/>
      <c r="N473" s="123"/>
      <c r="O473" s="123"/>
      <c r="P473" s="123"/>
      <c r="Q473" s="123"/>
      <c r="R473" s="123"/>
      <c r="S473" s="123"/>
      <c r="T473" s="123"/>
      <c r="U473" s="123"/>
      <c r="V473" s="123"/>
      <c r="W473" s="123"/>
      <c r="X473" s="123"/>
      <c r="Y473" s="123"/>
      <c r="Z473" s="123"/>
    </row>
    <row r="474">
      <c r="A474" s="416"/>
      <c r="B474" s="134"/>
      <c r="C474" s="417"/>
      <c r="D474" s="418"/>
      <c r="E474" s="123"/>
      <c r="F474" s="123"/>
      <c r="G474" s="123"/>
      <c r="H474" s="123"/>
      <c r="I474" s="123"/>
      <c r="J474" s="123"/>
      <c r="K474" s="123"/>
      <c r="L474" s="123"/>
      <c r="M474" s="123"/>
      <c r="N474" s="123"/>
      <c r="O474" s="123"/>
      <c r="P474" s="123"/>
      <c r="Q474" s="123"/>
      <c r="R474" s="123"/>
      <c r="S474" s="123"/>
      <c r="T474" s="123"/>
      <c r="U474" s="123"/>
      <c r="V474" s="123"/>
      <c r="W474" s="123"/>
      <c r="X474" s="123"/>
      <c r="Y474" s="123"/>
      <c r="Z474" s="123"/>
    </row>
    <row r="475">
      <c r="A475" s="416"/>
      <c r="B475" s="134"/>
      <c r="C475" s="417"/>
      <c r="D475" s="418"/>
      <c r="E475" s="123"/>
      <c r="F475" s="123"/>
      <c r="G475" s="123"/>
      <c r="H475" s="123"/>
      <c r="I475" s="123"/>
      <c r="J475" s="123"/>
      <c r="K475" s="123"/>
      <c r="L475" s="123"/>
      <c r="M475" s="123"/>
      <c r="N475" s="123"/>
      <c r="O475" s="123"/>
      <c r="P475" s="123"/>
      <c r="Q475" s="123"/>
      <c r="R475" s="123"/>
      <c r="S475" s="123"/>
      <c r="T475" s="123"/>
      <c r="U475" s="123"/>
      <c r="V475" s="123"/>
      <c r="W475" s="123"/>
      <c r="X475" s="123"/>
      <c r="Y475" s="123"/>
      <c r="Z475" s="123"/>
    </row>
    <row r="476">
      <c r="A476" s="416"/>
      <c r="B476" s="134"/>
      <c r="C476" s="417"/>
      <c r="D476" s="418"/>
      <c r="E476" s="123"/>
      <c r="F476" s="123"/>
      <c r="G476" s="123"/>
      <c r="H476" s="123"/>
      <c r="I476" s="123"/>
      <c r="J476" s="123"/>
      <c r="K476" s="123"/>
      <c r="L476" s="123"/>
      <c r="M476" s="123"/>
      <c r="N476" s="123"/>
      <c r="O476" s="123"/>
      <c r="P476" s="123"/>
      <c r="Q476" s="123"/>
      <c r="R476" s="123"/>
      <c r="S476" s="123"/>
      <c r="T476" s="123"/>
      <c r="U476" s="123"/>
      <c r="V476" s="123"/>
      <c r="W476" s="123"/>
      <c r="X476" s="123"/>
      <c r="Y476" s="123"/>
      <c r="Z476" s="123"/>
    </row>
    <row r="477">
      <c r="A477" s="416"/>
      <c r="B477" s="134"/>
      <c r="C477" s="417"/>
      <c r="D477" s="418"/>
      <c r="E477" s="123"/>
      <c r="F477" s="123"/>
      <c r="G477" s="123"/>
      <c r="H477" s="123"/>
      <c r="I477" s="123"/>
      <c r="J477" s="123"/>
      <c r="K477" s="123"/>
      <c r="L477" s="123"/>
      <c r="M477" s="123"/>
      <c r="N477" s="123"/>
      <c r="O477" s="123"/>
      <c r="P477" s="123"/>
      <c r="Q477" s="123"/>
      <c r="R477" s="123"/>
      <c r="S477" s="123"/>
      <c r="T477" s="123"/>
      <c r="U477" s="123"/>
      <c r="V477" s="123"/>
      <c r="W477" s="123"/>
      <c r="X477" s="123"/>
      <c r="Y477" s="123"/>
      <c r="Z477" s="123"/>
    </row>
    <row r="478">
      <c r="A478" s="416"/>
      <c r="B478" s="134"/>
      <c r="C478" s="417"/>
      <c r="D478" s="418"/>
      <c r="E478" s="123"/>
      <c r="F478" s="123"/>
      <c r="G478" s="123"/>
      <c r="H478" s="123"/>
      <c r="I478" s="123"/>
      <c r="J478" s="123"/>
      <c r="K478" s="123"/>
      <c r="L478" s="123"/>
      <c r="M478" s="123"/>
      <c r="N478" s="123"/>
      <c r="O478" s="123"/>
      <c r="P478" s="123"/>
      <c r="Q478" s="123"/>
      <c r="R478" s="123"/>
      <c r="S478" s="123"/>
      <c r="T478" s="123"/>
      <c r="U478" s="123"/>
      <c r="V478" s="123"/>
      <c r="W478" s="123"/>
      <c r="X478" s="123"/>
      <c r="Y478" s="123"/>
      <c r="Z478" s="123"/>
    </row>
    <row r="479">
      <c r="A479" s="416"/>
      <c r="B479" s="134"/>
      <c r="C479" s="417"/>
      <c r="D479" s="418"/>
      <c r="E479" s="123"/>
      <c r="F479" s="123"/>
      <c r="G479" s="123"/>
      <c r="H479" s="123"/>
      <c r="I479" s="123"/>
      <c r="J479" s="123"/>
      <c r="K479" s="123"/>
      <c r="L479" s="123"/>
      <c r="M479" s="123"/>
      <c r="N479" s="123"/>
      <c r="O479" s="123"/>
      <c r="P479" s="123"/>
      <c r="Q479" s="123"/>
      <c r="R479" s="123"/>
      <c r="S479" s="123"/>
      <c r="T479" s="123"/>
      <c r="U479" s="123"/>
      <c r="V479" s="123"/>
      <c r="W479" s="123"/>
      <c r="X479" s="123"/>
      <c r="Y479" s="123"/>
      <c r="Z479" s="123"/>
    </row>
    <row r="480">
      <c r="A480" s="416"/>
      <c r="B480" s="134"/>
      <c r="C480" s="417"/>
      <c r="D480" s="418"/>
      <c r="E480" s="123"/>
      <c r="F480" s="123"/>
      <c r="G480" s="123"/>
      <c r="H480" s="123"/>
      <c r="I480" s="123"/>
      <c r="J480" s="123"/>
      <c r="K480" s="123"/>
      <c r="L480" s="123"/>
      <c r="M480" s="123"/>
      <c r="N480" s="123"/>
      <c r="O480" s="123"/>
      <c r="P480" s="123"/>
      <c r="Q480" s="123"/>
      <c r="R480" s="123"/>
      <c r="S480" s="123"/>
      <c r="T480" s="123"/>
      <c r="U480" s="123"/>
      <c r="V480" s="123"/>
      <c r="W480" s="123"/>
      <c r="X480" s="123"/>
      <c r="Y480" s="123"/>
      <c r="Z480" s="123"/>
    </row>
    <row r="481">
      <c r="A481" s="416"/>
      <c r="B481" s="134"/>
      <c r="C481" s="417"/>
      <c r="D481" s="418"/>
      <c r="E481" s="123"/>
      <c r="F481" s="123"/>
      <c r="G481" s="123"/>
      <c r="H481" s="123"/>
      <c r="I481" s="123"/>
      <c r="J481" s="123"/>
      <c r="K481" s="123"/>
      <c r="L481" s="123"/>
      <c r="M481" s="123"/>
      <c r="N481" s="123"/>
      <c r="O481" s="123"/>
      <c r="P481" s="123"/>
      <c r="Q481" s="123"/>
      <c r="R481" s="123"/>
      <c r="S481" s="123"/>
      <c r="T481" s="123"/>
      <c r="U481" s="123"/>
      <c r="V481" s="123"/>
      <c r="W481" s="123"/>
      <c r="X481" s="123"/>
      <c r="Y481" s="123"/>
      <c r="Z481" s="123"/>
    </row>
    <row r="482">
      <c r="A482" s="416"/>
      <c r="B482" s="134"/>
      <c r="C482" s="417"/>
      <c r="D482" s="418"/>
      <c r="E482" s="123"/>
      <c r="F482" s="123"/>
      <c r="G482" s="123"/>
      <c r="H482" s="123"/>
      <c r="I482" s="123"/>
      <c r="J482" s="123"/>
      <c r="K482" s="123"/>
      <c r="L482" s="123"/>
      <c r="M482" s="123"/>
      <c r="N482" s="123"/>
      <c r="O482" s="123"/>
      <c r="P482" s="123"/>
      <c r="Q482" s="123"/>
      <c r="R482" s="123"/>
      <c r="S482" s="123"/>
      <c r="T482" s="123"/>
      <c r="U482" s="123"/>
      <c r="V482" s="123"/>
      <c r="W482" s="123"/>
      <c r="X482" s="123"/>
      <c r="Y482" s="123"/>
      <c r="Z482" s="123"/>
    </row>
    <row r="483">
      <c r="A483" s="416"/>
      <c r="B483" s="134"/>
      <c r="C483" s="417"/>
      <c r="D483" s="418"/>
      <c r="E483" s="123"/>
      <c r="F483" s="123"/>
      <c r="G483" s="123"/>
      <c r="H483" s="123"/>
      <c r="I483" s="123"/>
      <c r="J483" s="123"/>
      <c r="K483" s="123"/>
      <c r="L483" s="123"/>
      <c r="M483" s="123"/>
      <c r="N483" s="123"/>
      <c r="O483" s="123"/>
      <c r="P483" s="123"/>
      <c r="Q483" s="123"/>
      <c r="R483" s="123"/>
      <c r="S483" s="123"/>
      <c r="T483" s="123"/>
      <c r="U483" s="123"/>
      <c r="V483" s="123"/>
      <c r="W483" s="123"/>
      <c r="X483" s="123"/>
      <c r="Y483" s="123"/>
      <c r="Z483" s="123"/>
    </row>
    <row r="484">
      <c r="A484" s="416"/>
      <c r="B484" s="134"/>
      <c r="C484" s="417"/>
      <c r="D484" s="418"/>
      <c r="E484" s="123"/>
      <c r="F484" s="123"/>
      <c r="G484" s="123"/>
      <c r="H484" s="123"/>
      <c r="I484" s="123"/>
      <c r="J484" s="123"/>
      <c r="K484" s="123"/>
      <c r="L484" s="123"/>
      <c r="M484" s="123"/>
      <c r="N484" s="123"/>
      <c r="O484" s="123"/>
      <c r="P484" s="123"/>
      <c r="Q484" s="123"/>
      <c r="R484" s="123"/>
      <c r="S484" s="123"/>
      <c r="T484" s="123"/>
      <c r="U484" s="123"/>
      <c r="V484" s="123"/>
      <c r="W484" s="123"/>
      <c r="X484" s="123"/>
      <c r="Y484" s="123"/>
      <c r="Z484" s="123"/>
    </row>
    <row r="485">
      <c r="A485" s="416"/>
      <c r="B485" s="134"/>
      <c r="C485" s="417"/>
      <c r="D485" s="418"/>
      <c r="E485" s="123"/>
      <c r="F485" s="123"/>
      <c r="G485" s="123"/>
      <c r="H485" s="123"/>
      <c r="I485" s="123"/>
      <c r="J485" s="123"/>
      <c r="K485" s="123"/>
      <c r="L485" s="123"/>
      <c r="M485" s="123"/>
      <c r="N485" s="123"/>
      <c r="O485" s="123"/>
      <c r="P485" s="123"/>
      <c r="Q485" s="123"/>
      <c r="R485" s="123"/>
      <c r="S485" s="123"/>
      <c r="T485" s="123"/>
      <c r="U485" s="123"/>
      <c r="V485" s="123"/>
      <c r="W485" s="123"/>
      <c r="X485" s="123"/>
      <c r="Y485" s="123"/>
      <c r="Z485" s="123"/>
    </row>
    <row r="486">
      <c r="A486" s="416"/>
      <c r="B486" s="134"/>
      <c r="C486" s="417"/>
      <c r="D486" s="418"/>
      <c r="E486" s="123"/>
      <c r="F486" s="123"/>
      <c r="G486" s="123"/>
      <c r="H486" s="123"/>
      <c r="I486" s="123"/>
      <c r="J486" s="123"/>
      <c r="K486" s="123"/>
      <c r="L486" s="123"/>
      <c r="M486" s="123"/>
      <c r="N486" s="123"/>
      <c r="O486" s="123"/>
      <c r="P486" s="123"/>
      <c r="Q486" s="123"/>
      <c r="R486" s="123"/>
      <c r="S486" s="123"/>
      <c r="T486" s="123"/>
      <c r="U486" s="123"/>
      <c r="V486" s="123"/>
      <c r="W486" s="123"/>
      <c r="X486" s="123"/>
      <c r="Y486" s="123"/>
      <c r="Z486" s="123"/>
    </row>
    <row r="487">
      <c r="A487" s="416"/>
      <c r="B487" s="134"/>
      <c r="C487" s="417"/>
      <c r="D487" s="418"/>
      <c r="E487" s="123"/>
      <c r="F487" s="123"/>
      <c r="G487" s="123"/>
      <c r="H487" s="123"/>
      <c r="I487" s="123"/>
      <c r="J487" s="123"/>
      <c r="K487" s="123"/>
      <c r="L487" s="123"/>
      <c r="M487" s="123"/>
      <c r="N487" s="123"/>
      <c r="O487" s="123"/>
      <c r="P487" s="123"/>
      <c r="Q487" s="123"/>
      <c r="R487" s="123"/>
      <c r="S487" s="123"/>
      <c r="T487" s="123"/>
      <c r="U487" s="123"/>
      <c r="V487" s="123"/>
      <c r="W487" s="123"/>
      <c r="X487" s="123"/>
      <c r="Y487" s="123"/>
      <c r="Z487" s="123"/>
    </row>
    <row r="488">
      <c r="A488" s="416"/>
      <c r="B488" s="134"/>
      <c r="C488" s="417"/>
      <c r="D488" s="418"/>
      <c r="E488" s="123"/>
      <c r="F488" s="123"/>
      <c r="G488" s="123"/>
      <c r="H488" s="123"/>
      <c r="I488" s="123"/>
      <c r="J488" s="123"/>
      <c r="K488" s="123"/>
      <c r="L488" s="123"/>
      <c r="M488" s="123"/>
      <c r="N488" s="123"/>
      <c r="O488" s="123"/>
      <c r="P488" s="123"/>
      <c r="Q488" s="123"/>
      <c r="R488" s="123"/>
      <c r="S488" s="123"/>
      <c r="T488" s="123"/>
      <c r="U488" s="123"/>
      <c r="V488" s="123"/>
      <c r="W488" s="123"/>
      <c r="X488" s="123"/>
      <c r="Y488" s="123"/>
      <c r="Z488" s="123"/>
    </row>
    <row r="489">
      <c r="A489" s="416"/>
      <c r="B489" s="134"/>
      <c r="C489" s="417"/>
      <c r="D489" s="418"/>
      <c r="E489" s="123"/>
      <c r="F489" s="123"/>
      <c r="G489" s="123"/>
      <c r="H489" s="123"/>
      <c r="I489" s="123"/>
      <c r="J489" s="123"/>
      <c r="K489" s="123"/>
      <c r="L489" s="123"/>
      <c r="M489" s="123"/>
      <c r="N489" s="123"/>
      <c r="O489" s="123"/>
      <c r="P489" s="123"/>
      <c r="Q489" s="123"/>
      <c r="R489" s="123"/>
      <c r="S489" s="123"/>
      <c r="T489" s="123"/>
      <c r="U489" s="123"/>
      <c r="V489" s="123"/>
      <c r="W489" s="123"/>
      <c r="X489" s="123"/>
      <c r="Y489" s="123"/>
      <c r="Z489" s="123"/>
    </row>
    <row r="490">
      <c r="A490" s="416"/>
      <c r="B490" s="134"/>
      <c r="C490" s="417"/>
      <c r="D490" s="418"/>
      <c r="E490" s="123"/>
      <c r="F490" s="123"/>
      <c r="G490" s="123"/>
      <c r="H490" s="123"/>
      <c r="I490" s="123"/>
      <c r="J490" s="123"/>
      <c r="K490" s="123"/>
      <c r="L490" s="123"/>
      <c r="M490" s="123"/>
      <c r="N490" s="123"/>
      <c r="O490" s="123"/>
      <c r="P490" s="123"/>
      <c r="Q490" s="123"/>
      <c r="R490" s="123"/>
      <c r="S490" s="123"/>
      <c r="T490" s="123"/>
      <c r="U490" s="123"/>
      <c r="V490" s="123"/>
      <c r="W490" s="123"/>
      <c r="X490" s="123"/>
      <c r="Y490" s="123"/>
      <c r="Z490" s="123"/>
    </row>
    <row r="491">
      <c r="A491" s="416"/>
      <c r="B491" s="134"/>
      <c r="C491" s="417"/>
      <c r="D491" s="418"/>
      <c r="E491" s="123"/>
      <c r="F491" s="123"/>
      <c r="G491" s="123"/>
      <c r="H491" s="123"/>
      <c r="I491" s="123"/>
      <c r="J491" s="123"/>
      <c r="K491" s="123"/>
      <c r="L491" s="123"/>
      <c r="M491" s="123"/>
      <c r="N491" s="123"/>
      <c r="O491" s="123"/>
      <c r="P491" s="123"/>
      <c r="Q491" s="123"/>
      <c r="R491" s="123"/>
      <c r="S491" s="123"/>
      <c r="T491" s="123"/>
      <c r="U491" s="123"/>
      <c r="V491" s="123"/>
      <c r="W491" s="123"/>
      <c r="X491" s="123"/>
      <c r="Y491" s="123"/>
      <c r="Z491" s="123"/>
    </row>
    <row r="492">
      <c r="A492" s="416"/>
      <c r="B492" s="134"/>
      <c r="C492" s="417"/>
      <c r="D492" s="418"/>
      <c r="E492" s="123"/>
      <c r="F492" s="123"/>
      <c r="G492" s="123"/>
      <c r="H492" s="123"/>
      <c r="I492" s="123"/>
      <c r="J492" s="123"/>
      <c r="K492" s="123"/>
      <c r="L492" s="123"/>
      <c r="M492" s="123"/>
      <c r="N492" s="123"/>
      <c r="O492" s="123"/>
      <c r="P492" s="123"/>
      <c r="Q492" s="123"/>
      <c r="R492" s="123"/>
      <c r="S492" s="123"/>
      <c r="T492" s="123"/>
      <c r="U492" s="123"/>
      <c r="V492" s="123"/>
      <c r="W492" s="123"/>
      <c r="X492" s="123"/>
      <c r="Y492" s="123"/>
      <c r="Z492" s="123"/>
    </row>
    <row r="493">
      <c r="A493" s="416"/>
      <c r="B493" s="134"/>
      <c r="C493" s="417"/>
      <c r="D493" s="418"/>
      <c r="E493" s="123"/>
      <c r="F493" s="123"/>
      <c r="G493" s="123"/>
      <c r="H493" s="123"/>
      <c r="I493" s="123"/>
      <c r="J493" s="123"/>
      <c r="K493" s="123"/>
      <c r="L493" s="123"/>
      <c r="M493" s="123"/>
      <c r="N493" s="123"/>
      <c r="O493" s="123"/>
      <c r="P493" s="123"/>
      <c r="Q493" s="123"/>
      <c r="R493" s="123"/>
      <c r="S493" s="123"/>
      <c r="T493" s="123"/>
      <c r="U493" s="123"/>
      <c r="V493" s="123"/>
      <c r="W493" s="123"/>
      <c r="X493" s="123"/>
      <c r="Y493" s="123"/>
      <c r="Z493" s="123"/>
    </row>
    <row r="494">
      <c r="A494" s="416"/>
      <c r="B494" s="134"/>
      <c r="C494" s="417"/>
      <c r="D494" s="418"/>
      <c r="E494" s="123"/>
      <c r="F494" s="123"/>
      <c r="G494" s="123"/>
      <c r="H494" s="123"/>
      <c r="I494" s="123"/>
      <c r="J494" s="123"/>
      <c r="K494" s="123"/>
      <c r="L494" s="123"/>
      <c r="M494" s="123"/>
      <c r="N494" s="123"/>
      <c r="O494" s="123"/>
      <c r="P494" s="123"/>
      <c r="Q494" s="123"/>
      <c r="R494" s="123"/>
      <c r="S494" s="123"/>
      <c r="T494" s="123"/>
      <c r="U494" s="123"/>
      <c r="V494" s="123"/>
      <c r="W494" s="123"/>
      <c r="X494" s="123"/>
      <c r="Y494" s="123"/>
      <c r="Z494" s="123"/>
    </row>
    <row r="495">
      <c r="A495" s="416"/>
      <c r="B495" s="134"/>
      <c r="C495" s="417"/>
      <c r="D495" s="418"/>
      <c r="E495" s="123"/>
      <c r="F495" s="123"/>
      <c r="G495" s="123"/>
      <c r="H495" s="123"/>
      <c r="I495" s="123"/>
      <c r="J495" s="123"/>
      <c r="K495" s="123"/>
      <c r="L495" s="123"/>
      <c r="M495" s="123"/>
      <c r="N495" s="123"/>
      <c r="O495" s="123"/>
      <c r="P495" s="123"/>
      <c r="Q495" s="123"/>
      <c r="R495" s="123"/>
      <c r="S495" s="123"/>
      <c r="T495" s="123"/>
      <c r="U495" s="123"/>
      <c r="V495" s="123"/>
      <c r="W495" s="123"/>
      <c r="X495" s="123"/>
      <c r="Y495" s="123"/>
      <c r="Z495" s="123"/>
    </row>
    <row r="496">
      <c r="A496" s="416"/>
      <c r="B496" s="134"/>
      <c r="C496" s="417"/>
      <c r="D496" s="418"/>
      <c r="E496" s="123"/>
      <c r="F496" s="123"/>
      <c r="G496" s="123"/>
      <c r="H496" s="123"/>
      <c r="I496" s="123"/>
      <c r="J496" s="123"/>
      <c r="K496" s="123"/>
      <c r="L496" s="123"/>
      <c r="M496" s="123"/>
      <c r="N496" s="123"/>
      <c r="O496" s="123"/>
      <c r="P496" s="123"/>
      <c r="Q496" s="123"/>
      <c r="R496" s="123"/>
      <c r="S496" s="123"/>
      <c r="T496" s="123"/>
      <c r="U496" s="123"/>
      <c r="V496" s="123"/>
      <c r="W496" s="123"/>
      <c r="X496" s="123"/>
      <c r="Y496" s="123"/>
      <c r="Z496" s="123"/>
    </row>
    <row r="497">
      <c r="A497" s="416"/>
      <c r="B497" s="134"/>
      <c r="C497" s="417"/>
      <c r="D497" s="418"/>
      <c r="E497" s="123"/>
      <c r="F497" s="123"/>
      <c r="G497" s="123"/>
      <c r="H497" s="123"/>
      <c r="I497" s="123"/>
      <c r="J497" s="123"/>
      <c r="K497" s="123"/>
      <c r="L497" s="123"/>
      <c r="M497" s="123"/>
      <c r="N497" s="123"/>
      <c r="O497" s="123"/>
      <c r="P497" s="123"/>
      <c r="Q497" s="123"/>
      <c r="R497" s="123"/>
      <c r="S497" s="123"/>
      <c r="T497" s="123"/>
      <c r="U497" s="123"/>
      <c r="V497" s="123"/>
      <c r="W497" s="123"/>
      <c r="X497" s="123"/>
      <c r="Y497" s="123"/>
      <c r="Z497" s="123"/>
    </row>
    <row r="498">
      <c r="A498" s="416"/>
      <c r="B498" s="134"/>
      <c r="C498" s="417"/>
      <c r="D498" s="418"/>
      <c r="E498" s="123"/>
      <c r="F498" s="123"/>
      <c r="G498" s="123"/>
      <c r="H498" s="123"/>
      <c r="I498" s="123"/>
      <c r="J498" s="123"/>
      <c r="K498" s="123"/>
      <c r="L498" s="123"/>
      <c r="M498" s="123"/>
      <c r="N498" s="123"/>
      <c r="O498" s="123"/>
      <c r="P498" s="123"/>
      <c r="Q498" s="123"/>
      <c r="R498" s="123"/>
      <c r="S498" s="123"/>
      <c r="T498" s="123"/>
      <c r="U498" s="123"/>
      <c r="V498" s="123"/>
      <c r="W498" s="123"/>
      <c r="X498" s="123"/>
      <c r="Y498" s="123"/>
      <c r="Z498" s="123"/>
    </row>
    <row r="499">
      <c r="A499" s="416"/>
      <c r="B499" s="134"/>
      <c r="C499" s="417"/>
      <c r="D499" s="418"/>
      <c r="E499" s="123"/>
      <c r="F499" s="123"/>
      <c r="G499" s="123"/>
      <c r="H499" s="123"/>
      <c r="I499" s="123"/>
      <c r="J499" s="123"/>
      <c r="K499" s="123"/>
      <c r="L499" s="123"/>
      <c r="M499" s="123"/>
      <c r="N499" s="123"/>
      <c r="O499" s="123"/>
      <c r="P499" s="123"/>
      <c r="Q499" s="123"/>
      <c r="R499" s="123"/>
      <c r="S499" s="123"/>
      <c r="T499" s="123"/>
      <c r="U499" s="123"/>
      <c r="V499" s="123"/>
      <c r="W499" s="123"/>
      <c r="X499" s="123"/>
      <c r="Y499" s="123"/>
      <c r="Z499" s="123"/>
    </row>
    <row r="500">
      <c r="A500" s="416"/>
      <c r="B500" s="134"/>
      <c r="C500" s="417"/>
      <c r="D500" s="418"/>
      <c r="E500" s="123"/>
      <c r="F500" s="123"/>
      <c r="G500" s="123"/>
      <c r="H500" s="123"/>
      <c r="I500" s="123"/>
      <c r="J500" s="123"/>
      <c r="K500" s="123"/>
      <c r="L500" s="123"/>
      <c r="M500" s="123"/>
      <c r="N500" s="123"/>
      <c r="O500" s="123"/>
      <c r="P500" s="123"/>
      <c r="Q500" s="123"/>
      <c r="R500" s="123"/>
      <c r="S500" s="123"/>
      <c r="T500" s="123"/>
      <c r="U500" s="123"/>
      <c r="V500" s="123"/>
      <c r="W500" s="123"/>
      <c r="X500" s="123"/>
      <c r="Y500" s="123"/>
      <c r="Z500" s="123"/>
    </row>
    <row r="501">
      <c r="A501" s="416"/>
      <c r="B501" s="134"/>
      <c r="C501" s="417"/>
      <c r="D501" s="418"/>
      <c r="E501" s="123"/>
      <c r="F501" s="123"/>
      <c r="G501" s="123"/>
      <c r="H501" s="123"/>
      <c r="I501" s="123"/>
      <c r="J501" s="123"/>
      <c r="K501" s="123"/>
      <c r="L501" s="123"/>
      <c r="M501" s="123"/>
      <c r="N501" s="123"/>
      <c r="O501" s="123"/>
      <c r="P501" s="123"/>
      <c r="Q501" s="123"/>
      <c r="R501" s="123"/>
      <c r="S501" s="123"/>
      <c r="T501" s="123"/>
      <c r="U501" s="123"/>
      <c r="V501" s="123"/>
      <c r="W501" s="123"/>
      <c r="X501" s="123"/>
      <c r="Y501" s="123"/>
      <c r="Z501" s="123"/>
    </row>
    <row r="502">
      <c r="A502" s="416"/>
      <c r="B502" s="134"/>
      <c r="C502" s="417"/>
      <c r="D502" s="418"/>
      <c r="E502" s="123"/>
      <c r="F502" s="123"/>
      <c r="G502" s="123"/>
      <c r="H502" s="123"/>
      <c r="I502" s="123"/>
      <c r="J502" s="123"/>
      <c r="K502" s="123"/>
      <c r="L502" s="123"/>
      <c r="M502" s="123"/>
      <c r="N502" s="123"/>
      <c r="O502" s="123"/>
      <c r="P502" s="123"/>
      <c r="Q502" s="123"/>
      <c r="R502" s="123"/>
      <c r="S502" s="123"/>
      <c r="T502" s="123"/>
      <c r="U502" s="123"/>
      <c r="V502" s="123"/>
      <c r="W502" s="123"/>
      <c r="X502" s="123"/>
      <c r="Y502" s="123"/>
      <c r="Z502" s="123"/>
    </row>
    <row r="503">
      <c r="A503" s="416"/>
      <c r="B503" s="134"/>
      <c r="C503" s="417"/>
      <c r="D503" s="418"/>
      <c r="E503" s="123"/>
      <c r="F503" s="123"/>
      <c r="G503" s="123"/>
      <c r="H503" s="123"/>
      <c r="I503" s="123"/>
      <c r="J503" s="123"/>
      <c r="K503" s="123"/>
      <c r="L503" s="123"/>
      <c r="M503" s="123"/>
      <c r="N503" s="123"/>
      <c r="O503" s="123"/>
      <c r="P503" s="123"/>
      <c r="Q503" s="123"/>
      <c r="R503" s="123"/>
      <c r="S503" s="123"/>
      <c r="T503" s="123"/>
      <c r="U503" s="123"/>
      <c r="V503" s="123"/>
      <c r="W503" s="123"/>
      <c r="X503" s="123"/>
      <c r="Y503" s="123"/>
      <c r="Z503" s="123"/>
    </row>
    <row r="504">
      <c r="A504" s="416"/>
      <c r="B504" s="134"/>
      <c r="C504" s="417"/>
      <c r="D504" s="418"/>
      <c r="E504" s="123"/>
      <c r="F504" s="123"/>
      <c r="G504" s="123"/>
      <c r="H504" s="123"/>
      <c r="I504" s="123"/>
      <c r="J504" s="123"/>
      <c r="K504" s="123"/>
      <c r="L504" s="123"/>
      <c r="M504" s="123"/>
      <c r="N504" s="123"/>
      <c r="O504" s="123"/>
      <c r="P504" s="123"/>
      <c r="Q504" s="123"/>
      <c r="R504" s="123"/>
      <c r="S504" s="123"/>
      <c r="T504" s="123"/>
      <c r="U504" s="123"/>
      <c r="V504" s="123"/>
      <c r="W504" s="123"/>
      <c r="X504" s="123"/>
      <c r="Y504" s="123"/>
      <c r="Z504" s="123"/>
    </row>
    <row r="505">
      <c r="A505" s="416"/>
      <c r="B505" s="134"/>
      <c r="C505" s="417"/>
      <c r="D505" s="418"/>
      <c r="E505" s="123"/>
      <c r="F505" s="123"/>
      <c r="G505" s="123"/>
      <c r="H505" s="123"/>
      <c r="I505" s="123"/>
      <c r="J505" s="123"/>
      <c r="K505" s="123"/>
      <c r="L505" s="123"/>
      <c r="M505" s="123"/>
      <c r="N505" s="123"/>
      <c r="O505" s="123"/>
      <c r="P505" s="123"/>
      <c r="Q505" s="123"/>
      <c r="R505" s="123"/>
      <c r="S505" s="123"/>
      <c r="T505" s="123"/>
      <c r="U505" s="123"/>
      <c r="V505" s="123"/>
      <c r="W505" s="123"/>
      <c r="X505" s="123"/>
      <c r="Y505" s="123"/>
      <c r="Z505" s="123"/>
    </row>
    <row r="506">
      <c r="A506" s="416"/>
      <c r="B506" s="134"/>
      <c r="C506" s="417"/>
      <c r="D506" s="418"/>
      <c r="E506" s="123"/>
      <c r="F506" s="123"/>
      <c r="G506" s="123"/>
      <c r="H506" s="123"/>
      <c r="I506" s="123"/>
      <c r="J506" s="123"/>
      <c r="K506" s="123"/>
      <c r="L506" s="123"/>
      <c r="M506" s="123"/>
      <c r="N506" s="123"/>
      <c r="O506" s="123"/>
      <c r="P506" s="123"/>
      <c r="Q506" s="123"/>
      <c r="R506" s="123"/>
      <c r="S506" s="123"/>
      <c r="T506" s="123"/>
      <c r="U506" s="123"/>
      <c r="V506" s="123"/>
      <c r="W506" s="123"/>
      <c r="X506" s="123"/>
      <c r="Y506" s="123"/>
      <c r="Z506" s="123"/>
    </row>
    <row r="507">
      <c r="A507" s="416"/>
      <c r="B507" s="134"/>
      <c r="C507" s="417"/>
      <c r="D507" s="418"/>
      <c r="E507" s="123"/>
      <c r="F507" s="123"/>
      <c r="G507" s="123"/>
      <c r="H507" s="123"/>
      <c r="I507" s="123"/>
      <c r="J507" s="123"/>
      <c r="K507" s="123"/>
      <c r="L507" s="123"/>
      <c r="M507" s="123"/>
      <c r="N507" s="123"/>
      <c r="O507" s="123"/>
      <c r="P507" s="123"/>
      <c r="Q507" s="123"/>
      <c r="R507" s="123"/>
      <c r="S507" s="123"/>
      <c r="T507" s="123"/>
      <c r="U507" s="123"/>
      <c r="V507" s="123"/>
      <c r="W507" s="123"/>
      <c r="X507" s="123"/>
      <c r="Y507" s="123"/>
      <c r="Z507" s="123"/>
    </row>
    <row r="508">
      <c r="A508" s="416"/>
      <c r="B508" s="134"/>
      <c r="C508" s="417"/>
      <c r="D508" s="418"/>
      <c r="E508" s="123"/>
      <c r="F508" s="123"/>
      <c r="G508" s="123"/>
      <c r="H508" s="123"/>
      <c r="I508" s="123"/>
      <c r="J508" s="123"/>
      <c r="K508" s="123"/>
      <c r="L508" s="123"/>
      <c r="M508" s="123"/>
      <c r="N508" s="123"/>
      <c r="O508" s="123"/>
      <c r="P508" s="123"/>
      <c r="Q508" s="123"/>
      <c r="R508" s="123"/>
      <c r="S508" s="123"/>
      <c r="T508" s="123"/>
      <c r="U508" s="123"/>
      <c r="V508" s="123"/>
      <c r="W508" s="123"/>
      <c r="X508" s="123"/>
      <c r="Y508" s="123"/>
      <c r="Z508" s="123"/>
    </row>
    <row r="509">
      <c r="A509" s="416"/>
      <c r="B509" s="134"/>
      <c r="C509" s="417"/>
      <c r="D509" s="418"/>
      <c r="E509" s="123"/>
      <c r="F509" s="123"/>
      <c r="G509" s="123"/>
      <c r="H509" s="123"/>
      <c r="I509" s="123"/>
      <c r="J509" s="123"/>
      <c r="K509" s="123"/>
      <c r="L509" s="123"/>
      <c r="M509" s="123"/>
      <c r="N509" s="123"/>
      <c r="O509" s="123"/>
      <c r="P509" s="123"/>
      <c r="Q509" s="123"/>
      <c r="R509" s="123"/>
      <c r="S509" s="123"/>
      <c r="T509" s="123"/>
      <c r="U509" s="123"/>
      <c r="V509" s="123"/>
      <c r="W509" s="123"/>
      <c r="X509" s="123"/>
      <c r="Y509" s="123"/>
      <c r="Z509" s="123"/>
    </row>
    <row r="510">
      <c r="A510" s="416"/>
      <c r="B510" s="134"/>
      <c r="C510" s="417"/>
      <c r="D510" s="418"/>
      <c r="E510" s="123"/>
      <c r="F510" s="123"/>
      <c r="G510" s="123"/>
      <c r="H510" s="123"/>
      <c r="I510" s="123"/>
      <c r="J510" s="123"/>
      <c r="K510" s="123"/>
      <c r="L510" s="123"/>
      <c r="M510" s="123"/>
      <c r="N510" s="123"/>
      <c r="O510" s="123"/>
      <c r="P510" s="123"/>
      <c r="Q510" s="123"/>
      <c r="R510" s="123"/>
      <c r="S510" s="123"/>
      <c r="T510" s="123"/>
      <c r="U510" s="123"/>
      <c r="V510" s="123"/>
      <c r="W510" s="123"/>
      <c r="X510" s="123"/>
      <c r="Y510" s="123"/>
      <c r="Z510" s="123"/>
    </row>
    <row r="511">
      <c r="A511" s="416"/>
      <c r="B511" s="134"/>
      <c r="C511" s="417"/>
      <c r="D511" s="418"/>
      <c r="E511" s="123"/>
      <c r="F511" s="123"/>
      <c r="G511" s="123"/>
      <c r="H511" s="123"/>
      <c r="I511" s="123"/>
      <c r="J511" s="123"/>
      <c r="K511" s="123"/>
      <c r="L511" s="123"/>
      <c r="M511" s="123"/>
      <c r="N511" s="123"/>
      <c r="O511" s="123"/>
      <c r="P511" s="123"/>
      <c r="Q511" s="123"/>
      <c r="R511" s="123"/>
      <c r="S511" s="123"/>
      <c r="T511" s="123"/>
      <c r="U511" s="123"/>
      <c r="V511" s="123"/>
      <c r="W511" s="123"/>
      <c r="X511" s="123"/>
      <c r="Y511" s="123"/>
      <c r="Z511" s="123"/>
    </row>
    <row r="512">
      <c r="A512" s="416"/>
      <c r="B512" s="134"/>
      <c r="C512" s="417"/>
      <c r="D512" s="418"/>
      <c r="E512" s="123"/>
      <c r="F512" s="123"/>
      <c r="G512" s="123"/>
      <c r="H512" s="123"/>
      <c r="I512" s="123"/>
      <c r="J512" s="123"/>
      <c r="K512" s="123"/>
      <c r="L512" s="123"/>
      <c r="M512" s="123"/>
      <c r="N512" s="123"/>
      <c r="O512" s="123"/>
      <c r="P512" s="123"/>
      <c r="Q512" s="123"/>
      <c r="R512" s="123"/>
      <c r="S512" s="123"/>
      <c r="T512" s="123"/>
      <c r="U512" s="123"/>
      <c r="V512" s="123"/>
      <c r="W512" s="123"/>
      <c r="X512" s="123"/>
      <c r="Y512" s="123"/>
      <c r="Z512" s="123"/>
    </row>
    <row r="513">
      <c r="A513" s="416"/>
      <c r="B513" s="134"/>
      <c r="C513" s="417"/>
      <c r="D513" s="418"/>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row>
    <row r="514">
      <c r="A514" s="416"/>
      <c r="B514" s="134"/>
      <c r="C514" s="417"/>
      <c r="D514" s="418"/>
      <c r="E514" s="123"/>
      <c r="F514" s="123"/>
      <c r="G514" s="123"/>
      <c r="H514" s="123"/>
      <c r="I514" s="123"/>
      <c r="J514" s="123"/>
      <c r="K514" s="123"/>
      <c r="L514" s="123"/>
      <c r="M514" s="123"/>
      <c r="N514" s="123"/>
      <c r="O514" s="123"/>
      <c r="P514" s="123"/>
      <c r="Q514" s="123"/>
      <c r="R514" s="123"/>
      <c r="S514" s="123"/>
      <c r="T514" s="123"/>
      <c r="U514" s="123"/>
      <c r="V514" s="123"/>
      <c r="W514" s="123"/>
      <c r="X514" s="123"/>
      <c r="Y514" s="123"/>
      <c r="Z514" s="123"/>
    </row>
    <row r="515">
      <c r="A515" s="416"/>
      <c r="B515" s="134"/>
      <c r="C515" s="417"/>
      <c r="D515" s="418"/>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row>
    <row r="516">
      <c r="A516" s="416"/>
      <c r="B516" s="134"/>
      <c r="C516" s="417"/>
      <c r="D516" s="418"/>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row>
    <row r="517">
      <c r="A517" s="416"/>
      <c r="B517" s="134"/>
      <c r="C517" s="417"/>
      <c r="D517" s="418"/>
      <c r="E517" s="123"/>
      <c r="F517" s="123"/>
      <c r="G517" s="123"/>
      <c r="H517" s="123"/>
      <c r="I517" s="123"/>
      <c r="J517" s="123"/>
      <c r="K517" s="123"/>
      <c r="L517" s="123"/>
      <c r="M517" s="123"/>
      <c r="N517" s="123"/>
      <c r="O517" s="123"/>
      <c r="P517" s="123"/>
      <c r="Q517" s="123"/>
      <c r="R517" s="123"/>
      <c r="S517" s="123"/>
      <c r="T517" s="123"/>
      <c r="U517" s="123"/>
      <c r="V517" s="123"/>
      <c r="W517" s="123"/>
      <c r="X517" s="123"/>
      <c r="Y517" s="123"/>
      <c r="Z517" s="123"/>
    </row>
    <row r="518">
      <c r="A518" s="416"/>
      <c r="B518" s="134"/>
      <c r="C518" s="417"/>
      <c r="D518" s="418"/>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row>
    <row r="519">
      <c r="A519" s="416"/>
      <c r="B519" s="134"/>
      <c r="C519" s="417"/>
      <c r="D519" s="418"/>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row>
    <row r="520">
      <c r="A520" s="416"/>
      <c r="B520" s="134"/>
      <c r="C520" s="417"/>
      <c r="D520" s="418"/>
      <c r="E520" s="123"/>
      <c r="F520" s="123"/>
      <c r="G520" s="123"/>
      <c r="H520" s="123"/>
      <c r="I520" s="123"/>
      <c r="J520" s="123"/>
      <c r="K520" s="123"/>
      <c r="L520" s="123"/>
      <c r="M520" s="123"/>
      <c r="N520" s="123"/>
      <c r="O520" s="123"/>
      <c r="P520" s="123"/>
      <c r="Q520" s="123"/>
      <c r="R520" s="123"/>
      <c r="S520" s="123"/>
      <c r="T520" s="123"/>
      <c r="U520" s="123"/>
      <c r="V520" s="123"/>
      <c r="W520" s="123"/>
      <c r="X520" s="123"/>
      <c r="Y520" s="123"/>
      <c r="Z520" s="123"/>
    </row>
    <row r="521">
      <c r="A521" s="416"/>
      <c r="B521" s="134"/>
      <c r="C521" s="417"/>
      <c r="D521" s="418"/>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row>
    <row r="522">
      <c r="A522" s="416"/>
      <c r="B522" s="134"/>
      <c r="C522" s="417"/>
      <c r="D522" s="418"/>
      <c r="E522" s="123"/>
      <c r="F522" s="123"/>
      <c r="G522" s="123"/>
      <c r="H522" s="123"/>
      <c r="I522" s="123"/>
      <c r="J522" s="123"/>
      <c r="K522" s="123"/>
      <c r="L522" s="123"/>
      <c r="M522" s="123"/>
      <c r="N522" s="123"/>
      <c r="O522" s="123"/>
      <c r="P522" s="123"/>
      <c r="Q522" s="123"/>
      <c r="R522" s="123"/>
      <c r="S522" s="123"/>
      <c r="T522" s="123"/>
      <c r="U522" s="123"/>
      <c r="V522" s="123"/>
      <c r="W522" s="123"/>
      <c r="X522" s="123"/>
      <c r="Y522" s="123"/>
      <c r="Z522" s="123"/>
    </row>
    <row r="523">
      <c r="A523" s="416"/>
      <c r="B523" s="134"/>
      <c r="C523" s="417"/>
      <c r="D523" s="418"/>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row>
    <row r="524">
      <c r="A524" s="416"/>
      <c r="B524" s="134"/>
      <c r="C524" s="417"/>
      <c r="D524" s="418"/>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row>
    <row r="525">
      <c r="A525" s="416"/>
      <c r="B525" s="134"/>
      <c r="C525" s="417"/>
      <c r="D525" s="418"/>
      <c r="E525" s="123"/>
      <c r="F525" s="123"/>
      <c r="G525" s="123"/>
      <c r="H525" s="123"/>
      <c r="I525" s="123"/>
      <c r="J525" s="123"/>
      <c r="K525" s="123"/>
      <c r="L525" s="123"/>
      <c r="M525" s="123"/>
      <c r="N525" s="123"/>
      <c r="O525" s="123"/>
      <c r="P525" s="123"/>
      <c r="Q525" s="123"/>
      <c r="R525" s="123"/>
      <c r="S525" s="123"/>
      <c r="T525" s="123"/>
      <c r="U525" s="123"/>
      <c r="V525" s="123"/>
      <c r="W525" s="123"/>
      <c r="X525" s="123"/>
      <c r="Y525" s="123"/>
      <c r="Z525" s="123"/>
    </row>
    <row r="526">
      <c r="A526" s="416"/>
      <c r="B526" s="134"/>
      <c r="C526" s="417"/>
      <c r="D526" s="418"/>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row>
    <row r="527">
      <c r="A527" s="416"/>
      <c r="B527" s="134"/>
      <c r="C527" s="417"/>
      <c r="D527" s="418"/>
      <c r="E527" s="123"/>
      <c r="F527" s="123"/>
      <c r="G527" s="123"/>
      <c r="H527" s="123"/>
      <c r="I527" s="123"/>
      <c r="J527" s="123"/>
      <c r="K527" s="123"/>
      <c r="L527" s="123"/>
      <c r="M527" s="123"/>
      <c r="N527" s="123"/>
      <c r="O527" s="123"/>
      <c r="P527" s="123"/>
      <c r="Q527" s="123"/>
      <c r="R527" s="123"/>
      <c r="S527" s="123"/>
      <c r="T527" s="123"/>
      <c r="U527" s="123"/>
      <c r="V527" s="123"/>
      <c r="W527" s="123"/>
      <c r="X527" s="123"/>
      <c r="Y527" s="123"/>
      <c r="Z527" s="123"/>
    </row>
    <row r="528">
      <c r="A528" s="416"/>
      <c r="B528" s="134"/>
      <c r="C528" s="417"/>
      <c r="D528" s="418"/>
      <c r="E528" s="123"/>
      <c r="F528" s="123"/>
      <c r="G528" s="123"/>
      <c r="H528" s="123"/>
      <c r="I528" s="123"/>
      <c r="J528" s="123"/>
      <c r="K528" s="123"/>
      <c r="L528" s="123"/>
      <c r="M528" s="123"/>
      <c r="N528" s="123"/>
      <c r="O528" s="123"/>
      <c r="P528" s="123"/>
      <c r="Q528" s="123"/>
      <c r="R528" s="123"/>
      <c r="S528" s="123"/>
      <c r="T528" s="123"/>
      <c r="U528" s="123"/>
      <c r="V528" s="123"/>
      <c r="W528" s="123"/>
      <c r="X528" s="123"/>
      <c r="Y528" s="123"/>
      <c r="Z528" s="123"/>
    </row>
    <row r="529">
      <c r="A529" s="416"/>
      <c r="B529" s="134"/>
      <c r="C529" s="417"/>
      <c r="D529" s="418"/>
      <c r="E529" s="123"/>
      <c r="F529" s="123"/>
      <c r="G529" s="123"/>
      <c r="H529" s="123"/>
      <c r="I529" s="123"/>
      <c r="J529" s="123"/>
      <c r="K529" s="123"/>
      <c r="L529" s="123"/>
      <c r="M529" s="123"/>
      <c r="N529" s="123"/>
      <c r="O529" s="123"/>
      <c r="P529" s="123"/>
      <c r="Q529" s="123"/>
      <c r="R529" s="123"/>
      <c r="S529" s="123"/>
      <c r="T529" s="123"/>
      <c r="U529" s="123"/>
      <c r="V529" s="123"/>
      <c r="W529" s="123"/>
      <c r="X529" s="123"/>
      <c r="Y529" s="123"/>
      <c r="Z529" s="123"/>
    </row>
    <row r="530">
      <c r="A530" s="416"/>
      <c r="B530" s="134"/>
      <c r="C530" s="417"/>
      <c r="D530" s="418"/>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row>
    <row r="531">
      <c r="A531" s="416"/>
      <c r="B531" s="134"/>
      <c r="C531" s="417"/>
      <c r="D531" s="418"/>
      <c r="E531" s="123"/>
      <c r="F531" s="123"/>
      <c r="G531" s="123"/>
      <c r="H531" s="123"/>
      <c r="I531" s="123"/>
      <c r="J531" s="123"/>
      <c r="K531" s="123"/>
      <c r="L531" s="123"/>
      <c r="M531" s="123"/>
      <c r="N531" s="123"/>
      <c r="O531" s="123"/>
      <c r="P531" s="123"/>
      <c r="Q531" s="123"/>
      <c r="R531" s="123"/>
      <c r="S531" s="123"/>
      <c r="T531" s="123"/>
      <c r="U531" s="123"/>
      <c r="V531" s="123"/>
      <c r="W531" s="123"/>
      <c r="X531" s="123"/>
      <c r="Y531" s="123"/>
      <c r="Z531" s="123"/>
    </row>
    <row r="532">
      <c r="A532" s="416"/>
      <c r="B532" s="134"/>
      <c r="C532" s="417"/>
      <c r="D532" s="418"/>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row>
    <row r="533">
      <c r="A533" s="416"/>
      <c r="B533" s="134"/>
      <c r="C533" s="417"/>
      <c r="D533" s="418"/>
      <c r="E533" s="123"/>
      <c r="F533" s="123"/>
      <c r="G533" s="123"/>
      <c r="H533" s="123"/>
      <c r="I533" s="123"/>
      <c r="J533" s="123"/>
      <c r="K533" s="123"/>
      <c r="L533" s="123"/>
      <c r="M533" s="123"/>
      <c r="N533" s="123"/>
      <c r="O533" s="123"/>
      <c r="P533" s="123"/>
      <c r="Q533" s="123"/>
      <c r="R533" s="123"/>
      <c r="S533" s="123"/>
      <c r="T533" s="123"/>
      <c r="U533" s="123"/>
      <c r="V533" s="123"/>
      <c r="W533" s="123"/>
      <c r="X533" s="123"/>
      <c r="Y533" s="123"/>
      <c r="Z533" s="123"/>
    </row>
    <row r="534">
      <c r="A534" s="416"/>
      <c r="B534" s="134"/>
      <c r="C534" s="417"/>
      <c r="D534" s="418"/>
      <c r="E534" s="123"/>
      <c r="F534" s="123"/>
      <c r="G534" s="123"/>
      <c r="H534" s="123"/>
      <c r="I534" s="123"/>
      <c r="J534" s="123"/>
      <c r="K534" s="123"/>
      <c r="L534" s="123"/>
      <c r="M534" s="123"/>
      <c r="N534" s="123"/>
      <c r="O534" s="123"/>
      <c r="P534" s="123"/>
      <c r="Q534" s="123"/>
      <c r="R534" s="123"/>
      <c r="S534" s="123"/>
      <c r="T534" s="123"/>
      <c r="U534" s="123"/>
      <c r="V534" s="123"/>
      <c r="W534" s="123"/>
      <c r="X534" s="123"/>
      <c r="Y534" s="123"/>
      <c r="Z534" s="123"/>
    </row>
    <row r="535">
      <c r="A535" s="416"/>
      <c r="B535" s="134"/>
      <c r="C535" s="417"/>
      <c r="D535" s="418"/>
      <c r="E535" s="123"/>
      <c r="F535" s="123"/>
      <c r="G535" s="123"/>
      <c r="H535" s="123"/>
      <c r="I535" s="123"/>
      <c r="J535" s="123"/>
      <c r="K535" s="123"/>
      <c r="L535" s="123"/>
      <c r="M535" s="123"/>
      <c r="N535" s="123"/>
      <c r="O535" s="123"/>
      <c r="P535" s="123"/>
      <c r="Q535" s="123"/>
      <c r="R535" s="123"/>
      <c r="S535" s="123"/>
      <c r="T535" s="123"/>
      <c r="U535" s="123"/>
      <c r="V535" s="123"/>
      <c r="W535" s="123"/>
      <c r="X535" s="123"/>
      <c r="Y535" s="123"/>
      <c r="Z535" s="123"/>
    </row>
    <row r="536">
      <c r="A536" s="416"/>
      <c r="B536" s="134"/>
      <c r="C536" s="417"/>
      <c r="D536" s="418"/>
      <c r="E536" s="123"/>
      <c r="F536" s="123"/>
      <c r="G536" s="123"/>
      <c r="H536" s="123"/>
      <c r="I536" s="123"/>
      <c r="J536" s="123"/>
      <c r="K536" s="123"/>
      <c r="L536" s="123"/>
      <c r="M536" s="123"/>
      <c r="N536" s="123"/>
      <c r="O536" s="123"/>
      <c r="P536" s="123"/>
      <c r="Q536" s="123"/>
      <c r="R536" s="123"/>
      <c r="S536" s="123"/>
      <c r="T536" s="123"/>
      <c r="U536" s="123"/>
      <c r="V536" s="123"/>
      <c r="W536" s="123"/>
      <c r="X536" s="123"/>
      <c r="Y536" s="123"/>
      <c r="Z536" s="123"/>
    </row>
    <row r="537">
      <c r="A537" s="416"/>
      <c r="B537" s="134"/>
      <c r="C537" s="417"/>
      <c r="D537" s="418"/>
      <c r="E537" s="123"/>
      <c r="F537" s="123"/>
      <c r="G537" s="123"/>
      <c r="H537" s="123"/>
      <c r="I537" s="123"/>
      <c r="J537" s="123"/>
      <c r="K537" s="123"/>
      <c r="L537" s="123"/>
      <c r="M537" s="123"/>
      <c r="N537" s="123"/>
      <c r="O537" s="123"/>
      <c r="P537" s="123"/>
      <c r="Q537" s="123"/>
      <c r="R537" s="123"/>
      <c r="S537" s="123"/>
      <c r="T537" s="123"/>
      <c r="U537" s="123"/>
      <c r="V537" s="123"/>
      <c r="W537" s="123"/>
      <c r="X537" s="123"/>
      <c r="Y537" s="123"/>
      <c r="Z537" s="123"/>
    </row>
    <row r="538">
      <c r="A538" s="416"/>
      <c r="B538" s="134"/>
      <c r="C538" s="417"/>
      <c r="D538" s="418"/>
      <c r="E538" s="123"/>
      <c r="F538" s="123"/>
      <c r="G538" s="123"/>
      <c r="H538" s="123"/>
      <c r="I538" s="123"/>
      <c r="J538" s="123"/>
      <c r="K538" s="123"/>
      <c r="L538" s="123"/>
      <c r="M538" s="123"/>
      <c r="N538" s="123"/>
      <c r="O538" s="123"/>
      <c r="P538" s="123"/>
      <c r="Q538" s="123"/>
      <c r="R538" s="123"/>
      <c r="S538" s="123"/>
      <c r="T538" s="123"/>
      <c r="U538" s="123"/>
      <c r="V538" s="123"/>
      <c r="W538" s="123"/>
      <c r="X538" s="123"/>
      <c r="Y538" s="123"/>
      <c r="Z538" s="123"/>
    </row>
    <row r="539">
      <c r="A539" s="416"/>
      <c r="B539" s="134"/>
      <c r="C539" s="417"/>
      <c r="D539" s="418"/>
      <c r="E539" s="123"/>
      <c r="F539" s="123"/>
      <c r="G539" s="123"/>
      <c r="H539" s="123"/>
      <c r="I539" s="123"/>
      <c r="J539" s="123"/>
      <c r="K539" s="123"/>
      <c r="L539" s="123"/>
      <c r="M539" s="123"/>
      <c r="N539" s="123"/>
      <c r="O539" s="123"/>
      <c r="P539" s="123"/>
      <c r="Q539" s="123"/>
      <c r="R539" s="123"/>
      <c r="S539" s="123"/>
      <c r="T539" s="123"/>
      <c r="U539" s="123"/>
      <c r="V539" s="123"/>
      <c r="W539" s="123"/>
      <c r="X539" s="123"/>
      <c r="Y539" s="123"/>
      <c r="Z539" s="123"/>
    </row>
    <row r="540">
      <c r="A540" s="416"/>
      <c r="B540" s="134"/>
      <c r="C540" s="417"/>
      <c r="D540" s="418"/>
      <c r="E540" s="123"/>
      <c r="F540" s="123"/>
      <c r="G540" s="123"/>
      <c r="H540" s="123"/>
      <c r="I540" s="123"/>
      <c r="J540" s="123"/>
      <c r="K540" s="123"/>
      <c r="L540" s="123"/>
      <c r="M540" s="123"/>
      <c r="N540" s="123"/>
      <c r="O540" s="123"/>
      <c r="P540" s="123"/>
      <c r="Q540" s="123"/>
      <c r="R540" s="123"/>
      <c r="S540" s="123"/>
      <c r="T540" s="123"/>
      <c r="U540" s="123"/>
      <c r="V540" s="123"/>
      <c r="W540" s="123"/>
      <c r="X540" s="123"/>
      <c r="Y540" s="123"/>
      <c r="Z540" s="123"/>
    </row>
    <row r="541">
      <c r="A541" s="416"/>
      <c r="B541" s="134"/>
      <c r="C541" s="417"/>
      <c r="D541" s="418"/>
      <c r="E541" s="123"/>
      <c r="F541" s="123"/>
      <c r="G541" s="123"/>
      <c r="H541" s="123"/>
      <c r="I541" s="123"/>
      <c r="J541" s="123"/>
      <c r="K541" s="123"/>
      <c r="L541" s="123"/>
      <c r="M541" s="123"/>
      <c r="N541" s="123"/>
      <c r="O541" s="123"/>
      <c r="P541" s="123"/>
      <c r="Q541" s="123"/>
      <c r="R541" s="123"/>
      <c r="S541" s="123"/>
      <c r="T541" s="123"/>
      <c r="U541" s="123"/>
      <c r="V541" s="123"/>
      <c r="W541" s="123"/>
      <c r="X541" s="123"/>
      <c r="Y541" s="123"/>
      <c r="Z541" s="123"/>
    </row>
    <row r="542">
      <c r="A542" s="416"/>
      <c r="B542" s="134"/>
      <c r="C542" s="417"/>
      <c r="D542" s="418"/>
      <c r="E542" s="123"/>
      <c r="F542" s="123"/>
      <c r="G542" s="123"/>
      <c r="H542" s="123"/>
      <c r="I542" s="123"/>
      <c r="J542" s="123"/>
      <c r="K542" s="123"/>
      <c r="L542" s="123"/>
      <c r="M542" s="123"/>
      <c r="N542" s="123"/>
      <c r="O542" s="123"/>
      <c r="P542" s="123"/>
      <c r="Q542" s="123"/>
      <c r="R542" s="123"/>
      <c r="S542" s="123"/>
      <c r="T542" s="123"/>
      <c r="U542" s="123"/>
      <c r="V542" s="123"/>
      <c r="W542" s="123"/>
      <c r="X542" s="123"/>
      <c r="Y542" s="123"/>
      <c r="Z542" s="123"/>
    </row>
    <row r="543">
      <c r="A543" s="416"/>
      <c r="B543" s="134"/>
      <c r="C543" s="417"/>
      <c r="D543" s="418"/>
      <c r="E543" s="123"/>
      <c r="F543" s="123"/>
      <c r="G543" s="123"/>
      <c r="H543" s="123"/>
      <c r="I543" s="123"/>
      <c r="J543" s="123"/>
      <c r="K543" s="123"/>
      <c r="L543" s="123"/>
      <c r="M543" s="123"/>
      <c r="N543" s="123"/>
      <c r="O543" s="123"/>
      <c r="P543" s="123"/>
      <c r="Q543" s="123"/>
      <c r="R543" s="123"/>
      <c r="S543" s="123"/>
      <c r="T543" s="123"/>
      <c r="U543" s="123"/>
      <c r="V543" s="123"/>
      <c r="W543" s="123"/>
      <c r="X543" s="123"/>
      <c r="Y543" s="123"/>
      <c r="Z543" s="123"/>
    </row>
    <row r="544">
      <c r="A544" s="416"/>
      <c r="B544" s="134"/>
      <c r="C544" s="417"/>
      <c r="D544" s="418"/>
      <c r="E544" s="123"/>
      <c r="F544" s="123"/>
      <c r="G544" s="123"/>
      <c r="H544" s="123"/>
      <c r="I544" s="123"/>
      <c r="J544" s="123"/>
      <c r="K544" s="123"/>
      <c r="L544" s="123"/>
      <c r="M544" s="123"/>
      <c r="N544" s="123"/>
      <c r="O544" s="123"/>
      <c r="P544" s="123"/>
      <c r="Q544" s="123"/>
      <c r="R544" s="123"/>
      <c r="S544" s="123"/>
      <c r="T544" s="123"/>
      <c r="U544" s="123"/>
      <c r="V544" s="123"/>
      <c r="W544" s="123"/>
      <c r="X544" s="123"/>
      <c r="Y544" s="123"/>
      <c r="Z544" s="123"/>
    </row>
    <row r="545">
      <c r="A545" s="416"/>
      <c r="B545" s="134"/>
      <c r="C545" s="417"/>
      <c r="D545" s="418"/>
      <c r="E545" s="123"/>
      <c r="F545" s="123"/>
      <c r="G545" s="123"/>
      <c r="H545" s="123"/>
      <c r="I545" s="123"/>
      <c r="J545" s="123"/>
      <c r="K545" s="123"/>
      <c r="L545" s="123"/>
      <c r="M545" s="123"/>
      <c r="N545" s="123"/>
      <c r="O545" s="123"/>
      <c r="P545" s="123"/>
      <c r="Q545" s="123"/>
      <c r="R545" s="123"/>
      <c r="S545" s="123"/>
      <c r="T545" s="123"/>
      <c r="U545" s="123"/>
      <c r="V545" s="123"/>
      <c r="W545" s="123"/>
      <c r="X545" s="123"/>
      <c r="Y545" s="123"/>
      <c r="Z545" s="123"/>
    </row>
    <row r="546">
      <c r="A546" s="416"/>
      <c r="B546" s="134"/>
      <c r="C546" s="417"/>
      <c r="D546" s="418"/>
      <c r="E546" s="123"/>
      <c r="F546" s="123"/>
      <c r="G546" s="123"/>
      <c r="H546" s="123"/>
      <c r="I546" s="123"/>
      <c r="J546" s="123"/>
      <c r="K546" s="123"/>
      <c r="L546" s="123"/>
      <c r="M546" s="123"/>
      <c r="N546" s="123"/>
      <c r="O546" s="123"/>
      <c r="P546" s="123"/>
      <c r="Q546" s="123"/>
      <c r="R546" s="123"/>
      <c r="S546" s="123"/>
      <c r="T546" s="123"/>
      <c r="U546" s="123"/>
      <c r="V546" s="123"/>
      <c r="W546" s="123"/>
      <c r="X546" s="123"/>
      <c r="Y546" s="123"/>
      <c r="Z546" s="123"/>
    </row>
    <row r="547">
      <c r="A547" s="416"/>
      <c r="B547" s="134"/>
      <c r="C547" s="417"/>
      <c r="D547" s="418"/>
      <c r="E547" s="123"/>
      <c r="F547" s="123"/>
      <c r="G547" s="123"/>
      <c r="H547" s="123"/>
      <c r="I547" s="123"/>
      <c r="J547" s="123"/>
      <c r="K547" s="123"/>
      <c r="L547" s="123"/>
      <c r="M547" s="123"/>
      <c r="N547" s="123"/>
      <c r="O547" s="123"/>
      <c r="P547" s="123"/>
      <c r="Q547" s="123"/>
      <c r="R547" s="123"/>
      <c r="S547" s="123"/>
      <c r="T547" s="123"/>
      <c r="U547" s="123"/>
      <c r="V547" s="123"/>
      <c r="W547" s="123"/>
      <c r="X547" s="123"/>
      <c r="Y547" s="123"/>
      <c r="Z547" s="123"/>
    </row>
    <row r="548">
      <c r="A548" s="416"/>
      <c r="B548" s="134"/>
      <c r="C548" s="417"/>
      <c r="D548" s="418"/>
      <c r="E548" s="123"/>
      <c r="F548" s="123"/>
      <c r="G548" s="123"/>
      <c r="H548" s="123"/>
      <c r="I548" s="123"/>
      <c r="J548" s="123"/>
      <c r="K548" s="123"/>
      <c r="L548" s="123"/>
      <c r="M548" s="123"/>
      <c r="N548" s="123"/>
      <c r="O548" s="123"/>
      <c r="P548" s="123"/>
      <c r="Q548" s="123"/>
      <c r="R548" s="123"/>
      <c r="S548" s="123"/>
      <c r="T548" s="123"/>
      <c r="U548" s="123"/>
      <c r="V548" s="123"/>
      <c r="W548" s="123"/>
      <c r="X548" s="123"/>
      <c r="Y548" s="123"/>
      <c r="Z548" s="123"/>
    </row>
    <row r="549">
      <c r="A549" s="416"/>
      <c r="B549" s="134"/>
      <c r="C549" s="417"/>
      <c r="D549" s="418"/>
      <c r="E549" s="123"/>
      <c r="F549" s="123"/>
      <c r="G549" s="123"/>
      <c r="H549" s="123"/>
      <c r="I549" s="123"/>
      <c r="J549" s="123"/>
      <c r="K549" s="123"/>
      <c r="L549" s="123"/>
      <c r="M549" s="123"/>
      <c r="N549" s="123"/>
      <c r="O549" s="123"/>
      <c r="P549" s="123"/>
      <c r="Q549" s="123"/>
      <c r="R549" s="123"/>
      <c r="S549" s="123"/>
      <c r="T549" s="123"/>
      <c r="U549" s="123"/>
      <c r="V549" s="123"/>
      <c r="W549" s="123"/>
      <c r="X549" s="123"/>
      <c r="Y549" s="123"/>
      <c r="Z549" s="123"/>
    </row>
    <row r="550">
      <c r="A550" s="416"/>
      <c r="B550" s="134"/>
      <c r="C550" s="417"/>
      <c r="D550" s="418"/>
      <c r="E550" s="123"/>
      <c r="F550" s="123"/>
      <c r="G550" s="123"/>
      <c r="H550" s="123"/>
      <c r="I550" s="123"/>
      <c r="J550" s="123"/>
      <c r="K550" s="123"/>
      <c r="L550" s="123"/>
      <c r="M550" s="123"/>
      <c r="N550" s="123"/>
      <c r="O550" s="123"/>
      <c r="P550" s="123"/>
      <c r="Q550" s="123"/>
      <c r="R550" s="123"/>
      <c r="S550" s="123"/>
      <c r="T550" s="123"/>
      <c r="U550" s="123"/>
      <c r="V550" s="123"/>
      <c r="W550" s="123"/>
      <c r="X550" s="123"/>
      <c r="Y550" s="123"/>
      <c r="Z550" s="123"/>
    </row>
    <row r="551">
      <c r="A551" s="416"/>
      <c r="B551" s="134"/>
      <c r="C551" s="417"/>
      <c r="D551" s="418"/>
      <c r="E551" s="123"/>
      <c r="F551" s="123"/>
      <c r="G551" s="123"/>
      <c r="H551" s="123"/>
      <c r="I551" s="123"/>
      <c r="J551" s="123"/>
      <c r="K551" s="123"/>
      <c r="L551" s="123"/>
      <c r="M551" s="123"/>
      <c r="N551" s="123"/>
      <c r="O551" s="123"/>
      <c r="P551" s="123"/>
      <c r="Q551" s="123"/>
      <c r="R551" s="123"/>
      <c r="S551" s="123"/>
      <c r="T551" s="123"/>
      <c r="U551" s="123"/>
      <c r="V551" s="123"/>
      <c r="W551" s="123"/>
      <c r="X551" s="123"/>
      <c r="Y551" s="123"/>
      <c r="Z551" s="123"/>
    </row>
    <row r="552">
      <c r="A552" s="416"/>
      <c r="B552" s="134"/>
      <c r="C552" s="417"/>
      <c r="D552" s="418"/>
      <c r="E552" s="123"/>
      <c r="F552" s="123"/>
      <c r="G552" s="123"/>
      <c r="H552" s="123"/>
      <c r="I552" s="123"/>
      <c r="J552" s="123"/>
      <c r="K552" s="123"/>
      <c r="L552" s="123"/>
      <c r="M552" s="123"/>
      <c r="N552" s="123"/>
      <c r="O552" s="123"/>
      <c r="P552" s="123"/>
      <c r="Q552" s="123"/>
      <c r="R552" s="123"/>
      <c r="S552" s="123"/>
      <c r="T552" s="123"/>
      <c r="U552" s="123"/>
      <c r="V552" s="123"/>
      <c r="W552" s="123"/>
      <c r="X552" s="123"/>
      <c r="Y552" s="123"/>
      <c r="Z552" s="123"/>
    </row>
    <row r="553">
      <c r="A553" s="416"/>
      <c r="B553" s="134"/>
      <c r="C553" s="417"/>
      <c r="D553" s="418"/>
      <c r="E553" s="123"/>
      <c r="F553" s="123"/>
      <c r="G553" s="123"/>
      <c r="H553" s="123"/>
      <c r="I553" s="123"/>
      <c r="J553" s="123"/>
      <c r="K553" s="123"/>
      <c r="L553" s="123"/>
      <c r="M553" s="123"/>
      <c r="N553" s="123"/>
      <c r="O553" s="123"/>
      <c r="P553" s="123"/>
      <c r="Q553" s="123"/>
      <c r="R553" s="123"/>
      <c r="S553" s="123"/>
      <c r="T553" s="123"/>
      <c r="U553" s="123"/>
      <c r="V553" s="123"/>
      <c r="W553" s="123"/>
      <c r="X553" s="123"/>
      <c r="Y553" s="123"/>
      <c r="Z553" s="123"/>
    </row>
    <row r="554">
      <c r="A554" s="416"/>
      <c r="B554" s="134"/>
      <c r="C554" s="417"/>
      <c r="D554" s="418"/>
      <c r="E554" s="123"/>
      <c r="F554" s="123"/>
      <c r="G554" s="123"/>
      <c r="H554" s="123"/>
      <c r="I554" s="123"/>
      <c r="J554" s="123"/>
      <c r="K554" s="123"/>
      <c r="L554" s="123"/>
      <c r="M554" s="123"/>
      <c r="N554" s="123"/>
      <c r="O554" s="123"/>
      <c r="P554" s="123"/>
      <c r="Q554" s="123"/>
      <c r="R554" s="123"/>
      <c r="S554" s="123"/>
      <c r="T554" s="123"/>
      <c r="U554" s="123"/>
      <c r="V554" s="123"/>
      <c r="W554" s="123"/>
      <c r="X554" s="123"/>
      <c r="Y554" s="123"/>
      <c r="Z554" s="123"/>
    </row>
    <row r="555">
      <c r="A555" s="416"/>
      <c r="B555" s="134"/>
      <c r="C555" s="417"/>
      <c r="D555" s="418"/>
      <c r="E555" s="123"/>
      <c r="F555" s="123"/>
      <c r="G555" s="123"/>
      <c r="H555" s="123"/>
      <c r="I555" s="123"/>
      <c r="J555" s="123"/>
      <c r="K555" s="123"/>
      <c r="L555" s="123"/>
      <c r="M555" s="123"/>
      <c r="N555" s="123"/>
      <c r="O555" s="123"/>
      <c r="P555" s="123"/>
      <c r="Q555" s="123"/>
      <c r="R555" s="123"/>
      <c r="S555" s="123"/>
      <c r="T555" s="123"/>
      <c r="U555" s="123"/>
      <c r="V555" s="123"/>
      <c r="W555" s="123"/>
      <c r="X555" s="123"/>
      <c r="Y555" s="123"/>
      <c r="Z555" s="123"/>
    </row>
    <row r="556">
      <c r="A556" s="416"/>
      <c r="B556" s="134"/>
      <c r="C556" s="417"/>
      <c r="D556" s="418"/>
      <c r="E556" s="123"/>
      <c r="F556" s="123"/>
      <c r="G556" s="123"/>
      <c r="H556" s="123"/>
      <c r="I556" s="123"/>
      <c r="J556" s="123"/>
      <c r="K556" s="123"/>
      <c r="L556" s="123"/>
      <c r="M556" s="123"/>
      <c r="N556" s="123"/>
      <c r="O556" s="123"/>
      <c r="P556" s="123"/>
      <c r="Q556" s="123"/>
      <c r="R556" s="123"/>
      <c r="S556" s="123"/>
      <c r="T556" s="123"/>
      <c r="U556" s="123"/>
      <c r="V556" s="123"/>
      <c r="W556" s="123"/>
      <c r="X556" s="123"/>
      <c r="Y556" s="123"/>
      <c r="Z556" s="123"/>
    </row>
    <row r="557">
      <c r="A557" s="416"/>
      <c r="B557" s="134"/>
      <c r="C557" s="417"/>
      <c r="D557" s="418"/>
      <c r="E557" s="123"/>
      <c r="F557" s="123"/>
      <c r="G557" s="123"/>
      <c r="H557" s="123"/>
      <c r="I557" s="123"/>
      <c r="J557" s="123"/>
      <c r="K557" s="123"/>
      <c r="L557" s="123"/>
      <c r="M557" s="123"/>
      <c r="N557" s="123"/>
      <c r="O557" s="123"/>
      <c r="P557" s="123"/>
      <c r="Q557" s="123"/>
      <c r="R557" s="123"/>
      <c r="S557" s="123"/>
      <c r="T557" s="123"/>
      <c r="U557" s="123"/>
      <c r="V557" s="123"/>
      <c r="W557" s="123"/>
      <c r="X557" s="123"/>
      <c r="Y557" s="123"/>
      <c r="Z557" s="123"/>
    </row>
    <row r="558">
      <c r="A558" s="416"/>
      <c r="B558" s="134"/>
      <c r="C558" s="417"/>
      <c r="D558" s="418"/>
      <c r="E558" s="123"/>
      <c r="F558" s="123"/>
      <c r="G558" s="123"/>
      <c r="H558" s="123"/>
      <c r="I558" s="123"/>
      <c r="J558" s="123"/>
      <c r="K558" s="123"/>
      <c r="L558" s="123"/>
      <c r="M558" s="123"/>
      <c r="N558" s="123"/>
      <c r="O558" s="123"/>
      <c r="P558" s="123"/>
      <c r="Q558" s="123"/>
      <c r="R558" s="123"/>
      <c r="S558" s="123"/>
      <c r="T558" s="123"/>
      <c r="U558" s="123"/>
      <c r="V558" s="123"/>
      <c r="W558" s="123"/>
      <c r="X558" s="123"/>
      <c r="Y558" s="123"/>
      <c r="Z558" s="123"/>
    </row>
    <row r="559">
      <c r="A559" s="416"/>
      <c r="B559" s="134"/>
      <c r="C559" s="417"/>
      <c r="D559" s="418"/>
      <c r="E559" s="123"/>
      <c r="F559" s="123"/>
      <c r="G559" s="123"/>
      <c r="H559" s="123"/>
      <c r="I559" s="123"/>
      <c r="J559" s="123"/>
      <c r="K559" s="123"/>
      <c r="L559" s="123"/>
      <c r="M559" s="123"/>
      <c r="N559" s="123"/>
      <c r="O559" s="123"/>
      <c r="P559" s="123"/>
      <c r="Q559" s="123"/>
      <c r="R559" s="123"/>
      <c r="S559" s="123"/>
      <c r="T559" s="123"/>
      <c r="U559" s="123"/>
      <c r="V559" s="123"/>
      <c r="W559" s="123"/>
      <c r="X559" s="123"/>
      <c r="Y559" s="123"/>
      <c r="Z559" s="123"/>
    </row>
    <row r="560">
      <c r="A560" s="416"/>
      <c r="B560" s="134"/>
      <c r="C560" s="417"/>
      <c r="D560" s="418"/>
      <c r="E560" s="123"/>
      <c r="F560" s="123"/>
      <c r="G560" s="123"/>
      <c r="H560" s="123"/>
      <c r="I560" s="123"/>
      <c r="J560" s="123"/>
      <c r="K560" s="123"/>
      <c r="L560" s="123"/>
      <c r="M560" s="123"/>
      <c r="N560" s="123"/>
      <c r="O560" s="123"/>
      <c r="P560" s="123"/>
      <c r="Q560" s="123"/>
      <c r="R560" s="123"/>
      <c r="S560" s="123"/>
      <c r="T560" s="123"/>
      <c r="U560" s="123"/>
      <c r="V560" s="123"/>
      <c r="W560" s="123"/>
      <c r="X560" s="123"/>
      <c r="Y560" s="123"/>
      <c r="Z560" s="123"/>
    </row>
    <row r="561">
      <c r="A561" s="416"/>
      <c r="B561" s="134"/>
      <c r="C561" s="417"/>
      <c r="D561" s="418"/>
      <c r="E561" s="123"/>
      <c r="F561" s="123"/>
      <c r="G561" s="123"/>
      <c r="H561" s="123"/>
      <c r="I561" s="123"/>
      <c r="J561" s="123"/>
      <c r="K561" s="123"/>
      <c r="L561" s="123"/>
      <c r="M561" s="123"/>
      <c r="N561" s="123"/>
      <c r="O561" s="123"/>
      <c r="P561" s="123"/>
      <c r="Q561" s="123"/>
      <c r="R561" s="123"/>
      <c r="S561" s="123"/>
      <c r="T561" s="123"/>
      <c r="U561" s="123"/>
      <c r="V561" s="123"/>
      <c r="W561" s="123"/>
      <c r="X561" s="123"/>
      <c r="Y561" s="123"/>
      <c r="Z561" s="123"/>
    </row>
    <row r="562">
      <c r="A562" s="416"/>
      <c r="B562" s="134"/>
      <c r="C562" s="417"/>
      <c r="D562" s="418"/>
      <c r="E562" s="123"/>
      <c r="F562" s="123"/>
      <c r="G562" s="123"/>
      <c r="H562" s="123"/>
      <c r="I562" s="123"/>
      <c r="J562" s="123"/>
      <c r="K562" s="123"/>
      <c r="L562" s="123"/>
      <c r="M562" s="123"/>
      <c r="N562" s="123"/>
      <c r="O562" s="123"/>
      <c r="P562" s="123"/>
      <c r="Q562" s="123"/>
      <c r="R562" s="123"/>
      <c r="S562" s="123"/>
      <c r="T562" s="123"/>
      <c r="U562" s="123"/>
      <c r="V562" s="123"/>
      <c r="W562" s="123"/>
      <c r="X562" s="123"/>
      <c r="Y562" s="123"/>
      <c r="Z562" s="123"/>
    </row>
    <row r="563">
      <c r="A563" s="416"/>
      <c r="B563" s="134"/>
      <c r="C563" s="417"/>
      <c r="D563" s="418"/>
      <c r="E563" s="123"/>
      <c r="F563" s="123"/>
      <c r="G563" s="123"/>
      <c r="H563" s="123"/>
      <c r="I563" s="123"/>
      <c r="J563" s="123"/>
      <c r="K563" s="123"/>
      <c r="L563" s="123"/>
      <c r="M563" s="123"/>
      <c r="N563" s="123"/>
      <c r="O563" s="123"/>
      <c r="P563" s="123"/>
      <c r="Q563" s="123"/>
      <c r="R563" s="123"/>
      <c r="S563" s="123"/>
      <c r="T563" s="123"/>
      <c r="U563" s="123"/>
      <c r="V563" s="123"/>
      <c r="W563" s="123"/>
      <c r="X563" s="123"/>
      <c r="Y563" s="123"/>
      <c r="Z563" s="123"/>
    </row>
    <row r="564">
      <c r="A564" s="416"/>
      <c r="B564" s="134"/>
      <c r="C564" s="417"/>
      <c r="D564" s="418"/>
      <c r="E564" s="123"/>
      <c r="F564" s="123"/>
      <c r="G564" s="123"/>
      <c r="H564" s="123"/>
      <c r="I564" s="123"/>
      <c r="J564" s="123"/>
      <c r="K564" s="123"/>
      <c r="L564" s="123"/>
      <c r="M564" s="123"/>
      <c r="N564" s="123"/>
      <c r="O564" s="123"/>
      <c r="P564" s="123"/>
      <c r="Q564" s="123"/>
      <c r="R564" s="123"/>
      <c r="S564" s="123"/>
      <c r="T564" s="123"/>
      <c r="U564" s="123"/>
      <c r="V564" s="123"/>
      <c r="W564" s="123"/>
      <c r="X564" s="123"/>
      <c r="Y564" s="123"/>
      <c r="Z564" s="123"/>
    </row>
    <row r="565">
      <c r="A565" s="416"/>
      <c r="B565" s="134"/>
      <c r="C565" s="417"/>
      <c r="D565" s="418"/>
      <c r="E565" s="123"/>
      <c r="F565" s="123"/>
      <c r="G565" s="123"/>
      <c r="H565" s="123"/>
      <c r="I565" s="123"/>
      <c r="J565" s="123"/>
      <c r="K565" s="123"/>
      <c r="L565" s="123"/>
      <c r="M565" s="123"/>
      <c r="N565" s="123"/>
      <c r="O565" s="123"/>
      <c r="P565" s="123"/>
      <c r="Q565" s="123"/>
      <c r="R565" s="123"/>
      <c r="S565" s="123"/>
      <c r="T565" s="123"/>
      <c r="U565" s="123"/>
      <c r="V565" s="123"/>
      <c r="W565" s="123"/>
      <c r="X565" s="123"/>
      <c r="Y565" s="123"/>
      <c r="Z565" s="123"/>
    </row>
    <row r="566">
      <c r="A566" s="416"/>
      <c r="B566" s="134"/>
      <c r="C566" s="417"/>
      <c r="D566" s="418"/>
      <c r="E566" s="123"/>
      <c r="F566" s="123"/>
      <c r="G566" s="123"/>
      <c r="H566" s="123"/>
      <c r="I566" s="123"/>
      <c r="J566" s="123"/>
      <c r="K566" s="123"/>
      <c r="L566" s="123"/>
      <c r="M566" s="123"/>
      <c r="N566" s="123"/>
      <c r="O566" s="123"/>
      <c r="P566" s="123"/>
      <c r="Q566" s="123"/>
      <c r="R566" s="123"/>
      <c r="S566" s="123"/>
      <c r="T566" s="123"/>
      <c r="U566" s="123"/>
      <c r="V566" s="123"/>
      <c r="W566" s="123"/>
      <c r="X566" s="123"/>
      <c r="Y566" s="123"/>
      <c r="Z566" s="123"/>
    </row>
    <row r="567">
      <c r="A567" s="416"/>
      <c r="B567" s="134"/>
      <c r="C567" s="417"/>
      <c r="D567" s="418"/>
      <c r="E567" s="123"/>
      <c r="F567" s="123"/>
      <c r="G567" s="123"/>
      <c r="H567" s="123"/>
      <c r="I567" s="123"/>
      <c r="J567" s="123"/>
      <c r="K567" s="123"/>
      <c r="L567" s="123"/>
      <c r="M567" s="123"/>
      <c r="N567" s="123"/>
      <c r="O567" s="123"/>
      <c r="P567" s="123"/>
      <c r="Q567" s="123"/>
      <c r="R567" s="123"/>
      <c r="S567" s="123"/>
      <c r="T567" s="123"/>
      <c r="U567" s="123"/>
      <c r="V567" s="123"/>
      <c r="W567" s="123"/>
      <c r="X567" s="123"/>
      <c r="Y567" s="123"/>
      <c r="Z567" s="123"/>
    </row>
    <row r="568">
      <c r="A568" s="416"/>
      <c r="B568" s="134"/>
      <c r="C568" s="417"/>
      <c r="D568" s="418"/>
      <c r="E568" s="123"/>
      <c r="F568" s="123"/>
      <c r="G568" s="123"/>
      <c r="H568" s="123"/>
      <c r="I568" s="123"/>
      <c r="J568" s="123"/>
      <c r="K568" s="123"/>
      <c r="L568" s="123"/>
      <c r="M568" s="123"/>
      <c r="N568" s="123"/>
      <c r="O568" s="123"/>
      <c r="P568" s="123"/>
      <c r="Q568" s="123"/>
      <c r="R568" s="123"/>
      <c r="S568" s="123"/>
      <c r="T568" s="123"/>
      <c r="U568" s="123"/>
      <c r="V568" s="123"/>
      <c r="W568" s="123"/>
      <c r="X568" s="123"/>
      <c r="Y568" s="123"/>
      <c r="Z568" s="123"/>
    </row>
    <row r="569">
      <c r="A569" s="416"/>
      <c r="B569" s="134"/>
      <c r="C569" s="417"/>
      <c r="D569" s="418"/>
      <c r="E569" s="123"/>
      <c r="F569" s="123"/>
      <c r="G569" s="123"/>
      <c r="H569" s="123"/>
      <c r="I569" s="123"/>
      <c r="J569" s="123"/>
      <c r="K569" s="123"/>
      <c r="L569" s="123"/>
      <c r="M569" s="123"/>
      <c r="N569" s="123"/>
      <c r="O569" s="123"/>
      <c r="P569" s="123"/>
      <c r="Q569" s="123"/>
      <c r="R569" s="123"/>
      <c r="S569" s="123"/>
      <c r="T569" s="123"/>
      <c r="U569" s="123"/>
      <c r="V569" s="123"/>
      <c r="W569" s="123"/>
      <c r="X569" s="123"/>
      <c r="Y569" s="123"/>
      <c r="Z569" s="123"/>
    </row>
    <row r="570">
      <c r="A570" s="416"/>
      <c r="B570" s="134"/>
      <c r="C570" s="417"/>
      <c r="D570" s="418"/>
      <c r="E570" s="123"/>
      <c r="F570" s="123"/>
      <c r="G570" s="123"/>
      <c r="H570" s="123"/>
      <c r="I570" s="123"/>
      <c r="J570" s="123"/>
      <c r="K570" s="123"/>
      <c r="L570" s="123"/>
      <c r="M570" s="123"/>
      <c r="N570" s="123"/>
      <c r="O570" s="123"/>
      <c r="P570" s="123"/>
      <c r="Q570" s="123"/>
      <c r="R570" s="123"/>
      <c r="S570" s="123"/>
      <c r="T570" s="123"/>
      <c r="U570" s="123"/>
      <c r="V570" s="123"/>
      <c r="W570" s="123"/>
      <c r="X570" s="123"/>
      <c r="Y570" s="123"/>
      <c r="Z570" s="123"/>
    </row>
    <row r="571">
      <c r="A571" s="416"/>
      <c r="B571" s="134"/>
      <c r="C571" s="417"/>
      <c r="D571" s="418"/>
      <c r="E571" s="123"/>
      <c r="F571" s="123"/>
      <c r="G571" s="123"/>
      <c r="H571" s="123"/>
      <c r="I571" s="123"/>
      <c r="J571" s="123"/>
      <c r="K571" s="123"/>
      <c r="L571" s="123"/>
      <c r="M571" s="123"/>
      <c r="N571" s="123"/>
      <c r="O571" s="123"/>
      <c r="P571" s="123"/>
      <c r="Q571" s="123"/>
      <c r="R571" s="123"/>
      <c r="S571" s="123"/>
      <c r="T571" s="123"/>
      <c r="U571" s="123"/>
      <c r="V571" s="123"/>
      <c r="W571" s="123"/>
      <c r="X571" s="123"/>
      <c r="Y571" s="123"/>
      <c r="Z571" s="123"/>
    </row>
    <row r="572">
      <c r="A572" s="416"/>
      <c r="B572" s="134"/>
      <c r="C572" s="417"/>
      <c r="D572" s="418"/>
      <c r="E572" s="123"/>
      <c r="F572" s="123"/>
      <c r="G572" s="123"/>
      <c r="H572" s="123"/>
      <c r="I572" s="123"/>
      <c r="J572" s="123"/>
      <c r="K572" s="123"/>
      <c r="L572" s="123"/>
      <c r="M572" s="123"/>
      <c r="N572" s="123"/>
      <c r="O572" s="123"/>
      <c r="P572" s="123"/>
      <c r="Q572" s="123"/>
      <c r="R572" s="123"/>
      <c r="S572" s="123"/>
      <c r="T572" s="123"/>
      <c r="U572" s="123"/>
      <c r="V572" s="123"/>
      <c r="W572" s="123"/>
      <c r="X572" s="123"/>
      <c r="Y572" s="123"/>
      <c r="Z572" s="123"/>
    </row>
    <row r="573">
      <c r="A573" s="416"/>
      <c r="B573" s="134"/>
      <c r="C573" s="417"/>
      <c r="D573" s="418"/>
      <c r="E573" s="123"/>
      <c r="F573" s="123"/>
      <c r="G573" s="123"/>
      <c r="H573" s="123"/>
      <c r="I573" s="123"/>
      <c r="J573" s="123"/>
      <c r="K573" s="123"/>
      <c r="L573" s="123"/>
      <c r="M573" s="123"/>
      <c r="N573" s="123"/>
      <c r="O573" s="123"/>
      <c r="P573" s="123"/>
      <c r="Q573" s="123"/>
      <c r="R573" s="123"/>
      <c r="S573" s="123"/>
      <c r="T573" s="123"/>
      <c r="U573" s="123"/>
      <c r="V573" s="123"/>
      <c r="W573" s="123"/>
      <c r="X573" s="123"/>
      <c r="Y573" s="123"/>
      <c r="Z573" s="123"/>
    </row>
    <row r="574">
      <c r="A574" s="416"/>
      <c r="B574" s="134"/>
      <c r="C574" s="417"/>
      <c r="D574" s="418"/>
      <c r="E574" s="123"/>
      <c r="F574" s="123"/>
      <c r="G574" s="123"/>
      <c r="H574" s="123"/>
      <c r="I574" s="123"/>
      <c r="J574" s="123"/>
      <c r="K574" s="123"/>
      <c r="L574" s="123"/>
      <c r="M574" s="123"/>
      <c r="N574" s="123"/>
      <c r="O574" s="123"/>
      <c r="P574" s="123"/>
      <c r="Q574" s="123"/>
      <c r="R574" s="123"/>
      <c r="S574" s="123"/>
      <c r="T574" s="123"/>
      <c r="U574" s="123"/>
      <c r="V574" s="123"/>
      <c r="W574" s="123"/>
      <c r="X574" s="123"/>
      <c r="Y574" s="123"/>
      <c r="Z574" s="123"/>
    </row>
    <row r="575">
      <c r="A575" s="416"/>
      <c r="B575" s="134"/>
      <c r="C575" s="417"/>
      <c r="D575" s="418"/>
      <c r="E575" s="123"/>
      <c r="F575" s="123"/>
      <c r="G575" s="123"/>
      <c r="H575" s="123"/>
      <c r="I575" s="123"/>
      <c r="J575" s="123"/>
      <c r="K575" s="123"/>
      <c r="L575" s="123"/>
      <c r="M575" s="123"/>
      <c r="N575" s="123"/>
      <c r="O575" s="123"/>
      <c r="P575" s="123"/>
      <c r="Q575" s="123"/>
      <c r="R575" s="123"/>
      <c r="S575" s="123"/>
      <c r="T575" s="123"/>
      <c r="U575" s="123"/>
      <c r="V575" s="123"/>
      <c r="W575" s="123"/>
      <c r="X575" s="123"/>
      <c r="Y575" s="123"/>
      <c r="Z575" s="123"/>
    </row>
    <row r="576">
      <c r="A576" s="416"/>
      <c r="B576" s="134"/>
      <c r="C576" s="417"/>
      <c r="D576" s="418"/>
      <c r="E576" s="123"/>
      <c r="F576" s="123"/>
      <c r="G576" s="123"/>
      <c r="H576" s="123"/>
      <c r="I576" s="123"/>
      <c r="J576" s="123"/>
      <c r="K576" s="123"/>
      <c r="L576" s="123"/>
      <c r="M576" s="123"/>
      <c r="N576" s="123"/>
      <c r="O576" s="123"/>
      <c r="P576" s="123"/>
      <c r="Q576" s="123"/>
      <c r="R576" s="123"/>
      <c r="S576" s="123"/>
      <c r="T576" s="123"/>
      <c r="U576" s="123"/>
      <c r="V576" s="123"/>
      <c r="W576" s="123"/>
      <c r="X576" s="123"/>
      <c r="Y576" s="123"/>
      <c r="Z576" s="123"/>
    </row>
    <row r="577">
      <c r="A577" s="416"/>
      <c r="B577" s="134"/>
      <c r="C577" s="417"/>
      <c r="D577" s="418"/>
      <c r="E577" s="123"/>
      <c r="F577" s="123"/>
      <c r="G577" s="123"/>
      <c r="H577" s="123"/>
      <c r="I577" s="123"/>
      <c r="J577" s="123"/>
      <c r="K577" s="123"/>
      <c r="L577" s="123"/>
      <c r="M577" s="123"/>
      <c r="N577" s="123"/>
      <c r="O577" s="123"/>
      <c r="P577" s="123"/>
      <c r="Q577" s="123"/>
      <c r="R577" s="123"/>
      <c r="S577" s="123"/>
      <c r="T577" s="123"/>
      <c r="U577" s="123"/>
      <c r="V577" s="123"/>
      <c r="W577" s="123"/>
      <c r="X577" s="123"/>
      <c r="Y577" s="123"/>
      <c r="Z577" s="123"/>
    </row>
    <row r="578">
      <c r="A578" s="416"/>
      <c r="B578" s="134"/>
      <c r="C578" s="417"/>
      <c r="D578" s="418"/>
      <c r="E578" s="123"/>
      <c r="F578" s="123"/>
      <c r="G578" s="123"/>
      <c r="H578" s="123"/>
      <c r="I578" s="123"/>
      <c r="J578" s="123"/>
      <c r="K578" s="123"/>
      <c r="L578" s="123"/>
      <c r="M578" s="123"/>
      <c r="N578" s="123"/>
      <c r="O578" s="123"/>
      <c r="P578" s="123"/>
      <c r="Q578" s="123"/>
      <c r="R578" s="123"/>
      <c r="S578" s="123"/>
      <c r="T578" s="123"/>
      <c r="U578" s="123"/>
      <c r="V578" s="123"/>
      <c r="W578" s="123"/>
      <c r="X578" s="123"/>
      <c r="Y578" s="123"/>
      <c r="Z578" s="123"/>
    </row>
    <row r="579">
      <c r="A579" s="416"/>
      <c r="B579" s="134"/>
      <c r="C579" s="417"/>
      <c r="D579" s="418"/>
      <c r="E579" s="123"/>
      <c r="F579" s="123"/>
      <c r="G579" s="123"/>
      <c r="H579" s="123"/>
      <c r="I579" s="123"/>
      <c r="J579" s="123"/>
      <c r="K579" s="123"/>
      <c r="L579" s="123"/>
      <c r="M579" s="123"/>
      <c r="N579" s="123"/>
      <c r="O579" s="123"/>
      <c r="P579" s="123"/>
      <c r="Q579" s="123"/>
      <c r="R579" s="123"/>
      <c r="S579" s="123"/>
      <c r="T579" s="123"/>
      <c r="U579" s="123"/>
      <c r="V579" s="123"/>
      <c r="W579" s="123"/>
      <c r="X579" s="123"/>
      <c r="Y579" s="123"/>
      <c r="Z579" s="123"/>
    </row>
    <row r="580">
      <c r="A580" s="416"/>
      <c r="B580" s="134"/>
      <c r="C580" s="417"/>
      <c r="D580" s="418"/>
      <c r="E580" s="123"/>
      <c r="F580" s="123"/>
      <c r="G580" s="123"/>
      <c r="H580" s="123"/>
      <c r="I580" s="123"/>
      <c r="J580" s="123"/>
      <c r="K580" s="123"/>
      <c r="L580" s="123"/>
      <c r="M580" s="123"/>
      <c r="N580" s="123"/>
      <c r="O580" s="123"/>
      <c r="P580" s="123"/>
      <c r="Q580" s="123"/>
      <c r="R580" s="123"/>
      <c r="S580" s="123"/>
      <c r="T580" s="123"/>
      <c r="U580" s="123"/>
      <c r="V580" s="123"/>
      <c r="W580" s="123"/>
      <c r="X580" s="123"/>
      <c r="Y580" s="123"/>
      <c r="Z580" s="123"/>
    </row>
    <row r="581">
      <c r="A581" s="416"/>
      <c r="B581" s="134"/>
      <c r="C581" s="417"/>
      <c r="D581" s="418"/>
      <c r="E581" s="123"/>
      <c r="F581" s="123"/>
      <c r="G581" s="123"/>
      <c r="H581" s="123"/>
      <c r="I581" s="123"/>
      <c r="J581" s="123"/>
      <c r="K581" s="123"/>
      <c r="L581" s="123"/>
      <c r="M581" s="123"/>
      <c r="N581" s="123"/>
      <c r="O581" s="123"/>
      <c r="P581" s="123"/>
      <c r="Q581" s="123"/>
      <c r="R581" s="123"/>
      <c r="S581" s="123"/>
      <c r="T581" s="123"/>
      <c r="U581" s="123"/>
      <c r="V581" s="123"/>
      <c r="W581" s="123"/>
      <c r="X581" s="123"/>
      <c r="Y581" s="123"/>
      <c r="Z581" s="123"/>
    </row>
    <row r="582">
      <c r="A582" s="416"/>
      <c r="B582" s="134"/>
      <c r="C582" s="417"/>
      <c r="D582" s="418"/>
      <c r="E582" s="123"/>
      <c r="F582" s="123"/>
      <c r="G582" s="123"/>
      <c r="H582" s="123"/>
      <c r="I582" s="123"/>
      <c r="J582" s="123"/>
      <c r="K582" s="123"/>
      <c r="L582" s="123"/>
      <c r="M582" s="123"/>
      <c r="N582" s="123"/>
      <c r="O582" s="123"/>
      <c r="P582" s="123"/>
      <c r="Q582" s="123"/>
      <c r="R582" s="123"/>
      <c r="S582" s="123"/>
      <c r="T582" s="123"/>
      <c r="U582" s="123"/>
      <c r="V582" s="123"/>
      <c r="W582" s="123"/>
      <c r="X582" s="123"/>
      <c r="Y582" s="123"/>
      <c r="Z582" s="123"/>
    </row>
    <row r="583">
      <c r="A583" s="416"/>
      <c r="B583" s="134"/>
      <c r="C583" s="417"/>
      <c r="D583" s="418"/>
      <c r="E583" s="123"/>
      <c r="F583" s="123"/>
      <c r="G583" s="123"/>
      <c r="H583" s="123"/>
      <c r="I583" s="123"/>
      <c r="J583" s="123"/>
      <c r="K583" s="123"/>
      <c r="L583" s="123"/>
      <c r="M583" s="123"/>
      <c r="N583" s="123"/>
      <c r="O583" s="123"/>
      <c r="P583" s="123"/>
      <c r="Q583" s="123"/>
      <c r="R583" s="123"/>
      <c r="S583" s="123"/>
      <c r="T583" s="123"/>
      <c r="U583" s="123"/>
      <c r="V583" s="123"/>
      <c r="W583" s="123"/>
      <c r="X583" s="123"/>
      <c r="Y583" s="123"/>
      <c r="Z583" s="123"/>
    </row>
    <row r="584">
      <c r="A584" s="416"/>
      <c r="B584" s="134"/>
      <c r="C584" s="417"/>
      <c r="D584" s="418"/>
      <c r="E584" s="123"/>
      <c r="F584" s="123"/>
      <c r="G584" s="123"/>
      <c r="H584" s="123"/>
      <c r="I584" s="123"/>
      <c r="J584" s="123"/>
      <c r="K584" s="123"/>
      <c r="L584" s="123"/>
      <c r="M584" s="123"/>
      <c r="N584" s="123"/>
      <c r="O584" s="123"/>
      <c r="P584" s="123"/>
      <c r="Q584" s="123"/>
      <c r="R584" s="123"/>
      <c r="S584" s="123"/>
      <c r="T584" s="123"/>
      <c r="U584" s="123"/>
      <c r="V584" s="123"/>
      <c r="W584" s="123"/>
      <c r="X584" s="123"/>
      <c r="Y584" s="123"/>
      <c r="Z584" s="123"/>
    </row>
    <row r="585">
      <c r="A585" s="416"/>
      <c r="B585" s="134"/>
      <c r="C585" s="417"/>
      <c r="D585" s="418"/>
      <c r="E585" s="123"/>
      <c r="F585" s="123"/>
      <c r="G585" s="123"/>
      <c r="H585" s="123"/>
      <c r="I585" s="123"/>
      <c r="J585" s="123"/>
      <c r="K585" s="123"/>
      <c r="L585" s="123"/>
      <c r="M585" s="123"/>
      <c r="N585" s="123"/>
      <c r="O585" s="123"/>
      <c r="P585" s="123"/>
      <c r="Q585" s="123"/>
      <c r="R585" s="123"/>
      <c r="S585" s="123"/>
      <c r="T585" s="123"/>
      <c r="U585" s="123"/>
      <c r="V585" s="123"/>
      <c r="W585" s="123"/>
      <c r="X585" s="123"/>
      <c r="Y585" s="123"/>
      <c r="Z585" s="123"/>
    </row>
    <row r="586">
      <c r="A586" s="416"/>
      <c r="B586" s="134"/>
      <c r="C586" s="417"/>
      <c r="D586" s="418"/>
      <c r="E586" s="123"/>
      <c r="F586" s="123"/>
      <c r="G586" s="123"/>
      <c r="H586" s="123"/>
      <c r="I586" s="123"/>
      <c r="J586" s="123"/>
      <c r="K586" s="123"/>
      <c r="L586" s="123"/>
      <c r="M586" s="123"/>
      <c r="N586" s="123"/>
      <c r="O586" s="123"/>
      <c r="P586" s="123"/>
      <c r="Q586" s="123"/>
      <c r="R586" s="123"/>
      <c r="S586" s="123"/>
      <c r="T586" s="123"/>
      <c r="U586" s="123"/>
      <c r="V586" s="123"/>
      <c r="W586" s="123"/>
      <c r="X586" s="123"/>
      <c r="Y586" s="123"/>
      <c r="Z586" s="123"/>
    </row>
    <row r="587">
      <c r="A587" s="416"/>
      <c r="B587" s="134"/>
      <c r="C587" s="417"/>
      <c r="D587" s="418"/>
      <c r="E587" s="123"/>
      <c r="F587" s="123"/>
      <c r="G587" s="123"/>
      <c r="H587" s="123"/>
      <c r="I587" s="123"/>
      <c r="J587" s="123"/>
      <c r="K587" s="123"/>
      <c r="L587" s="123"/>
      <c r="M587" s="123"/>
      <c r="N587" s="123"/>
      <c r="O587" s="123"/>
      <c r="P587" s="123"/>
      <c r="Q587" s="123"/>
      <c r="R587" s="123"/>
      <c r="S587" s="123"/>
      <c r="T587" s="123"/>
      <c r="U587" s="123"/>
      <c r="V587" s="123"/>
      <c r="W587" s="123"/>
      <c r="X587" s="123"/>
      <c r="Y587" s="123"/>
      <c r="Z587" s="123"/>
    </row>
    <row r="588">
      <c r="A588" s="416"/>
      <c r="B588" s="134"/>
      <c r="C588" s="417"/>
      <c r="D588" s="418"/>
      <c r="E588" s="123"/>
      <c r="F588" s="123"/>
      <c r="G588" s="123"/>
      <c r="H588" s="123"/>
      <c r="I588" s="123"/>
      <c r="J588" s="123"/>
      <c r="K588" s="123"/>
      <c r="L588" s="123"/>
      <c r="M588" s="123"/>
      <c r="N588" s="123"/>
      <c r="O588" s="123"/>
      <c r="P588" s="123"/>
      <c r="Q588" s="123"/>
      <c r="R588" s="123"/>
      <c r="S588" s="123"/>
      <c r="T588" s="123"/>
      <c r="U588" s="123"/>
      <c r="V588" s="123"/>
      <c r="W588" s="123"/>
      <c r="X588" s="123"/>
      <c r="Y588" s="123"/>
      <c r="Z588" s="123"/>
    </row>
    <row r="589">
      <c r="A589" s="416"/>
      <c r="B589" s="134"/>
      <c r="C589" s="417"/>
      <c r="D589" s="418"/>
      <c r="E589" s="123"/>
      <c r="F589" s="123"/>
      <c r="G589" s="123"/>
      <c r="H589" s="123"/>
      <c r="I589" s="123"/>
      <c r="J589" s="123"/>
      <c r="K589" s="123"/>
      <c r="L589" s="123"/>
      <c r="M589" s="123"/>
      <c r="N589" s="123"/>
      <c r="O589" s="123"/>
      <c r="P589" s="123"/>
      <c r="Q589" s="123"/>
      <c r="R589" s="123"/>
      <c r="S589" s="123"/>
      <c r="T589" s="123"/>
      <c r="U589" s="123"/>
      <c r="V589" s="123"/>
      <c r="W589" s="123"/>
      <c r="X589" s="123"/>
      <c r="Y589" s="123"/>
      <c r="Z589" s="123"/>
    </row>
    <row r="590">
      <c r="A590" s="416"/>
      <c r="B590" s="134"/>
      <c r="C590" s="417"/>
      <c r="D590" s="418"/>
      <c r="E590" s="123"/>
      <c r="F590" s="123"/>
      <c r="G590" s="123"/>
      <c r="H590" s="123"/>
      <c r="I590" s="123"/>
      <c r="J590" s="123"/>
      <c r="K590" s="123"/>
      <c r="L590" s="123"/>
      <c r="M590" s="123"/>
      <c r="N590" s="123"/>
      <c r="O590" s="123"/>
      <c r="P590" s="123"/>
      <c r="Q590" s="123"/>
      <c r="R590" s="123"/>
      <c r="S590" s="123"/>
      <c r="T590" s="123"/>
      <c r="U590" s="123"/>
      <c r="V590" s="123"/>
      <c r="W590" s="123"/>
      <c r="X590" s="123"/>
      <c r="Y590" s="123"/>
      <c r="Z590" s="123"/>
    </row>
    <row r="591">
      <c r="A591" s="416"/>
      <c r="B591" s="134"/>
      <c r="C591" s="417"/>
      <c r="D591" s="418"/>
      <c r="E591" s="123"/>
      <c r="F591" s="123"/>
      <c r="G591" s="123"/>
      <c r="H591" s="123"/>
      <c r="I591" s="123"/>
      <c r="J591" s="123"/>
      <c r="K591" s="123"/>
      <c r="L591" s="123"/>
      <c r="M591" s="123"/>
      <c r="N591" s="123"/>
      <c r="O591" s="123"/>
      <c r="P591" s="123"/>
      <c r="Q591" s="123"/>
      <c r="R591" s="123"/>
      <c r="S591" s="123"/>
      <c r="T591" s="123"/>
      <c r="U591" s="123"/>
      <c r="V591" s="123"/>
      <c r="W591" s="123"/>
      <c r="X591" s="123"/>
      <c r="Y591" s="123"/>
      <c r="Z591" s="123"/>
    </row>
    <row r="592">
      <c r="A592" s="416"/>
      <c r="B592" s="134"/>
      <c r="C592" s="417"/>
      <c r="D592" s="418"/>
      <c r="E592" s="123"/>
      <c r="F592" s="123"/>
      <c r="G592" s="123"/>
      <c r="H592" s="123"/>
      <c r="I592" s="123"/>
      <c r="J592" s="123"/>
      <c r="K592" s="123"/>
      <c r="L592" s="123"/>
      <c r="M592" s="123"/>
      <c r="N592" s="123"/>
      <c r="O592" s="123"/>
      <c r="P592" s="123"/>
      <c r="Q592" s="123"/>
      <c r="R592" s="123"/>
      <c r="S592" s="123"/>
      <c r="T592" s="123"/>
      <c r="U592" s="123"/>
      <c r="V592" s="123"/>
      <c r="W592" s="123"/>
      <c r="X592" s="123"/>
      <c r="Y592" s="123"/>
      <c r="Z592" s="123"/>
    </row>
    <row r="593">
      <c r="A593" s="416"/>
      <c r="B593" s="134"/>
      <c r="C593" s="417"/>
      <c r="D593" s="418"/>
      <c r="E593" s="123"/>
      <c r="F593" s="123"/>
      <c r="G593" s="123"/>
      <c r="H593" s="123"/>
      <c r="I593" s="123"/>
      <c r="J593" s="123"/>
      <c r="K593" s="123"/>
      <c r="L593" s="123"/>
      <c r="M593" s="123"/>
      <c r="N593" s="123"/>
      <c r="O593" s="123"/>
      <c r="P593" s="123"/>
      <c r="Q593" s="123"/>
      <c r="R593" s="123"/>
      <c r="S593" s="123"/>
      <c r="T593" s="123"/>
      <c r="U593" s="123"/>
      <c r="V593" s="123"/>
      <c r="W593" s="123"/>
      <c r="X593" s="123"/>
      <c r="Y593" s="123"/>
      <c r="Z593" s="123"/>
    </row>
    <row r="594">
      <c r="A594" s="416"/>
      <c r="B594" s="134"/>
      <c r="C594" s="417"/>
      <c r="D594" s="418"/>
      <c r="E594" s="123"/>
      <c r="F594" s="123"/>
      <c r="G594" s="123"/>
      <c r="H594" s="123"/>
      <c r="I594" s="123"/>
      <c r="J594" s="123"/>
      <c r="K594" s="123"/>
      <c r="L594" s="123"/>
      <c r="M594" s="123"/>
      <c r="N594" s="123"/>
      <c r="O594" s="123"/>
      <c r="P594" s="123"/>
      <c r="Q594" s="123"/>
      <c r="R594" s="123"/>
      <c r="S594" s="123"/>
      <c r="T594" s="123"/>
      <c r="U594" s="123"/>
      <c r="V594" s="123"/>
      <c r="W594" s="123"/>
      <c r="X594" s="123"/>
      <c r="Y594" s="123"/>
      <c r="Z594" s="123"/>
    </row>
    <row r="595">
      <c r="A595" s="416"/>
      <c r="B595" s="134"/>
      <c r="C595" s="417"/>
      <c r="D595" s="418"/>
      <c r="E595" s="123"/>
      <c r="F595" s="123"/>
      <c r="G595" s="123"/>
      <c r="H595" s="123"/>
      <c r="I595" s="123"/>
      <c r="J595" s="123"/>
      <c r="K595" s="123"/>
      <c r="L595" s="123"/>
      <c r="M595" s="123"/>
      <c r="N595" s="123"/>
      <c r="O595" s="123"/>
      <c r="P595" s="123"/>
      <c r="Q595" s="123"/>
      <c r="R595" s="123"/>
      <c r="S595" s="123"/>
      <c r="T595" s="123"/>
      <c r="U595" s="123"/>
      <c r="V595" s="123"/>
      <c r="W595" s="123"/>
      <c r="X595" s="123"/>
      <c r="Y595" s="123"/>
      <c r="Z595" s="123"/>
    </row>
    <row r="596">
      <c r="A596" s="416"/>
      <c r="B596" s="134"/>
      <c r="C596" s="417"/>
      <c r="D596" s="418"/>
      <c r="E596" s="123"/>
      <c r="F596" s="123"/>
      <c r="G596" s="123"/>
      <c r="H596" s="123"/>
      <c r="I596" s="123"/>
      <c r="J596" s="123"/>
      <c r="K596" s="123"/>
      <c r="L596" s="123"/>
      <c r="M596" s="123"/>
      <c r="N596" s="123"/>
      <c r="O596" s="123"/>
      <c r="P596" s="123"/>
      <c r="Q596" s="123"/>
      <c r="R596" s="123"/>
      <c r="S596" s="123"/>
      <c r="T596" s="123"/>
      <c r="U596" s="123"/>
      <c r="V596" s="123"/>
      <c r="W596" s="123"/>
      <c r="X596" s="123"/>
      <c r="Y596" s="123"/>
      <c r="Z596" s="123"/>
    </row>
    <row r="597">
      <c r="A597" s="416"/>
      <c r="B597" s="134"/>
      <c r="C597" s="417"/>
      <c r="D597" s="418"/>
      <c r="E597" s="123"/>
      <c r="F597" s="123"/>
      <c r="G597" s="123"/>
      <c r="H597" s="123"/>
      <c r="I597" s="123"/>
      <c r="J597" s="123"/>
      <c r="K597" s="123"/>
      <c r="L597" s="123"/>
      <c r="M597" s="123"/>
      <c r="N597" s="123"/>
      <c r="O597" s="123"/>
      <c r="P597" s="123"/>
      <c r="Q597" s="123"/>
      <c r="R597" s="123"/>
      <c r="S597" s="123"/>
      <c r="T597" s="123"/>
      <c r="U597" s="123"/>
      <c r="V597" s="123"/>
      <c r="W597" s="123"/>
      <c r="X597" s="123"/>
      <c r="Y597" s="123"/>
      <c r="Z597" s="123"/>
    </row>
    <row r="598">
      <c r="A598" s="416"/>
      <c r="B598" s="134"/>
      <c r="C598" s="417"/>
      <c r="D598" s="418"/>
      <c r="E598" s="123"/>
      <c r="F598" s="123"/>
      <c r="G598" s="123"/>
      <c r="H598" s="123"/>
      <c r="I598" s="123"/>
      <c r="J598" s="123"/>
      <c r="K598" s="123"/>
      <c r="L598" s="123"/>
      <c r="M598" s="123"/>
      <c r="N598" s="123"/>
      <c r="O598" s="123"/>
      <c r="P598" s="123"/>
      <c r="Q598" s="123"/>
      <c r="R598" s="123"/>
      <c r="S598" s="123"/>
      <c r="T598" s="123"/>
      <c r="U598" s="123"/>
      <c r="V598" s="123"/>
      <c r="W598" s="123"/>
      <c r="X598" s="123"/>
      <c r="Y598" s="123"/>
      <c r="Z598" s="123"/>
    </row>
    <row r="599">
      <c r="A599" s="416"/>
      <c r="B599" s="134"/>
      <c r="C599" s="417"/>
      <c r="D599" s="418"/>
      <c r="E599" s="123"/>
      <c r="F599" s="123"/>
      <c r="G599" s="123"/>
      <c r="H599" s="123"/>
      <c r="I599" s="123"/>
      <c r="J599" s="123"/>
      <c r="K599" s="123"/>
      <c r="L599" s="123"/>
      <c r="M599" s="123"/>
      <c r="N599" s="123"/>
      <c r="O599" s="123"/>
      <c r="P599" s="123"/>
      <c r="Q599" s="123"/>
      <c r="R599" s="123"/>
      <c r="S599" s="123"/>
      <c r="T599" s="123"/>
      <c r="U599" s="123"/>
      <c r="V599" s="123"/>
      <c r="W599" s="123"/>
      <c r="X599" s="123"/>
      <c r="Y599" s="123"/>
      <c r="Z599" s="123"/>
    </row>
    <row r="600">
      <c r="A600" s="416"/>
      <c r="B600" s="134"/>
      <c r="C600" s="417"/>
      <c r="D600" s="418"/>
      <c r="E600" s="123"/>
      <c r="F600" s="123"/>
      <c r="G600" s="123"/>
      <c r="H600" s="123"/>
      <c r="I600" s="123"/>
      <c r="J600" s="123"/>
      <c r="K600" s="123"/>
      <c r="L600" s="123"/>
      <c r="M600" s="123"/>
      <c r="N600" s="123"/>
      <c r="O600" s="123"/>
      <c r="P600" s="123"/>
      <c r="Q600" s="123"/>
      <c r="R600" s="123"/>
      <c r="S600" s="123"/>
      <c r="T600" s="123"/>
      <c r="U600" s="123"/>
      <c r="V600" s="123"/>
      <c r="W600" s="123"/>
      <c r="X600" s="123"/>
      <c r="Y600" s="123"/>
      <c r="Z600" s="123"/>
    </row>
    <row r="601">
      <c r="A601" s="416"/>
      <c r="B601" s="134"/>
      <c r="C601" s="417"/>
      <c r="D601" s="418"/>
      <c r="E601" s="123"/>
      <c r="F601" s="123"/>
      <c r="G601" s="123"/>
      <c r="H601" s="123"/>
      <c r="I601" s="123"/>
      <c r="J601" s="123"/>
      <c r="K601" s="123"/>
      <c r="L601" s="123"/>
      <c r="M601" s="123"/>
      <c r="N601" s="123"/>
      <c r="O601" s="123"/>
      <c r="P601" s="123"/>
      <c r="Q601" s="123"/>
      <c r="R601" s="123"/>
      <c r="S601" s="123"/>
      <c r="T601" s="123"/>
      <c r="U601" s="123"/>
      <c r="V601" s="123"/>
      <c r="W601" s="123"/>
      <c r="X601" s="123"/>
      <c r="Y601" s="123"/>
      <c r="Z601" s="123"/>
    </row>
    <row r="602">
      <c r="A602" s="416"/>
      <c r="B602" s="134"/>
      <c r="C602" s="417"/>
      <c r="D602" s="418"/>
      <c r="E602" s="123"/>
      <c r="F602" s="123"/>
      <c r="G602" s="123"/>
      <c r="H602" s="123"/>
      <c r="I602" s="123"/>
      <c r="J602" s="123"/>
      <c r="K602" s="123"/>
      <c r="L602" s="123"/>
      <c r="M602" s="123"/>
      <c r="N602" s="123"/>
      <c r="O602" s="123"/>
      <c r="P602" s="123"/>
      <c r="Q602" s="123"/>
      <c r="R602" s="123"/>
      <c r="S602" s="123"/>
      <c r="T602" s="123"/>
      <c r="U602" s="123"/>
      <c r="V602" s="123"/>
      <c r="W602" s="123"/>
      <c r="X602" s="123"/>
      <c r="Y602" s="123"/>
      <c r="Z602" s="123"/>
    </row>
    <row r="603">
      <c r="A603" s="416"/>
      <c r="B603" s="134"/>
      <c r="C603" s="417"/>
      <c r="D603" s="418"/>
      <c r="E603" s="123"/>
      <c r="F603" s="123"/>
      <c r="G603" s="123"/>
      <c r="H603" s="123"/>
      <c r="I603" s="123"/>
      <c r="J603" s="123"/>
      <c r="K603" s="123"/>
      <c r="L603" s="123"/>
      <c r="M603" s="123"/>
      <c r="N603" s="123"/>
      <c r="O603" s="123"/>
      <c r="P603" s="123"/>
      <c r="Q603" s="123"/>
      <c r="R603" s="123"/>
      <c r="S603" s="123"/>
      <c r="T603" s="123"/>
      <c r="U603" s="123"/>
      <c r="V603" s="123"/>
      <c r="W603" s="123"/>
      <c r="X603" s="123"/>
      <c r="Y603" s="123"/>
      <c r="Z603" s="123"/>
    </row>
    <row r="604">
      <c r="A604" s="416"/>
      <c r="B604" s="134"/>
      <c r="C604" s="417"/>
      <c r="D604" s="418"/>
      <c r="E604" s="123"/>
      <c r="F604" s="123"/>
      <c r="G604" s="123"/>
      <c r="H604" s="123"/>
      <c r="I604" s="123"/>
      <c r="J604" s="123"/>
      <c r="K604" s="123"/>
      <c r="L604" s="123"/>
      <c r="M604" s="123"/>
      <c r="N604" s="123"/>
      <c r="O604" s="123"/>
      <c r="P604" s="123"/>
      <c r="Q604" s="123"/>
      <c r="R604" s="123"/>
      <c r="S604" s="123"/>
      <c r="T604" s="123"/>
      <c r="U604" s="123"/>
      <c r="V604" s="123"/>
      <c r="W604" s="123"/>
      <c r="X604" s="123"/>
      <c r="Y604" s="123"/>
      <c r="Z604" s="123"/>
    </row>
    <row r="605">
      <c r="A605" s="416"/>
      <c r="B605" s="134"/>
      <c r="C605" s="417"/>
      <c r="D605" s="418"/>
      <c r="E605" s="123"/>
      <c r="F605" s="123"/>
      <c r="G605" s="123"/>
      <c r="H605" s="123"/>
      <c r="I605" s="123"/>
      <c r="J605" s="123"/>
      <c r="K605" s="123"/>
      <c r="L605" s="123"/>
      <c r="M605" s="123"/>
      <c r="N605" s="123"/>
      <c r="O605" s="123"/>
      <c r="P605" s="123"/>
      <c r="Q605" s="123"/>
      <c r="R605" s="123"/>
      <c r="S605" s="123"/>
      <c r="T605" s="123"/>
      <c r="U605" s="123"/>
      <c r="V605" s="123"/>
      <c r="W605" s="123"/>
      <c r="X605" s="123"/>
      <c r="Y605" s="123"/>
      <c r="Z605" s="123"/>
    </row>
    <row r="606">
      <c r="A606" s="416"/>
      <c r="B606" s="134"/>
      <c r="C606" s="417"/>
      <c r="D606" s="418"/>
      <c r="E606" s="123"/>
      <c r="F606" s="123"/>
      <c r="G606" s="123"/>
      <c r="H606" s="123"/>
      <c r="I606" s="123"/>
      <c r="J606" s="123"/>
      <c r="K606" s="123"/>
      <c r="L606" s="123"/>
      <c r="M606" s="123"/>
      <c r="N606" s="123"/>
      <c r="O606" s="123"/>
      <c r="P606" s="123"/>
      <c r="Q606" s="123"/>
      <c r="R606" s="123"/>
      <c r="S606" s="123"/>
      <c r="T606" s="123"/>
      <c r="U606" s="123"/>
      <c r="V606" s="123"/>
      <c r="W606" s="123"/>
      <c r="X606" s="123"/>
      <c r="Y606" s="123"/>
      <c r="Z606" s="123"/>
    </row>
    <row r="607">
      <c r="A607" s="416"/>
      <c r="B607" s="134"/>
      <c r="C607" s="417"/>
      <c r="D607" s="418"/>
      <c r="E607" s="123"/>
      <c r="F607" s="123"/>
      <c r="G607" s="123"/>
      <c r="H607" s="123"/>
      <c r="I607" s="123"/>
      <c r="J607" s="123"/>
      <c r="K607" s="123"/>
      <c r="L607" s="123"/>
      <c r="M607" s="123"/>
      <c r="N607" s="123"/>
      <c r="O607" s="123"/>
      <c r="P607" s="123"/>
      <c r="Q607" s="123"/>
      <c r="R607" s="123"/>
      <c r="S607" s="123"/>
      <c r="T607" s="123"/>
      <c r="U607" s="123"/>
      <c r="V607" s="123"/>
      <c r="W607" s="123"/>
      <c r="X607" s="123"/>
      <c r="Y607" s="123"/>
      <c r="Z607" s="123"/>
    </row>
    <row r="608">
      <c r="A608" s="416"/>
      <c r="B608" s="134"/>
      <c r="C608" s="417"/>
      <c r="D608" s="418"/>
      <c r="E608" s="123"/>
      <c r="F608" s="123"/>
      <c r="G608" s="123"/>
      <c r="H608" s="123"/>
      <c r="I608" s="123"/>
      <c r="J608" s="123"/>
      <c r="K608" s="123"/>
      <c r="L608" s="123"/>
      <c r="M608" s="123"/>
      <c r="N608" s="123"/>
      <c r="O608" s="123"/>
      <c r="P608" s="123"/>
      <c r="Q608" s="123"/>
      <c r="R608" s="123"/>
      <c r="S608" s="123"/>
      <c r="T608" s="123"/>
      <c r="U608" s="123"/>
      <c r="V608" s="123"/>
      <c r="W608" s="123"/>
      <c r="X608" s="123"/>
      <c r="Y608" s="123"/>
      <c r="Z608" s="123"/>
    </row>
    <row r="609">
      <c r="A609" s="416"/>
      <c r="B609" s="134"/>
      <c r="C609" s="417"/>
      <c r="D609" s="418"/>
      <c r="E609" s="123"/>
      <c r="F609" s="123"/>
      <c r="G609" s="123"/>
      <c r="H609" s="123"/>
      <c r="I609" s="123"/>
      <c r="J609" s="123"/>
      <c r="K609" s="123"/>
      <c r="L609" s="123"/>
      <c r="M609" s="123"/>
      <c r="N609" s="123"/>
      <c r="O609" s="123"/>
      <c r="P609" s="123"/>
      <c r="Q609" s="123"/>
      <c r="R609" s="123"/>
      <c r="S609" s="123"/>
      <c r="T609" s="123"/>
      <c r="U609" s="123"/>
      <c r="V609" s="123"/>
      <c r="W609" s="123"/>
      <c r="X609" s="123"/>
      <c r="Y609" s="123"/>
      <c r="Z609" s="123"/>
    </row>
    <row r="610">
      <c r="A610" s="416"/>
      <c r="B610" s="134"/>
      <c r="C610" s="417"/>
      <c r="D610" s="418"/>
      <c r="E610" s="123"/>
      <c r="F610" s="123"/>
      <c r="G610" s="123"/>
      <c r="H610" s="123"/>
      <c r="I610" s="123"/>
      <c r="J610" s="123"/>
      <c r="K610" s="123"/>
      <c r="L610" s="123"/>
      <c r="M610" s="123"/>
      <c r="N610" s="123"/>
      <c r="O610" s="123"/>
      <c r="P610" s="123"/>
      <c r="Q610" s="123"/>
      <c r="R610" s="123"/>
      <c r="S610" s="123"/>
      <c r="T610" s="123"/>
      <c r="U610" s="123"/>
      <c r="V610" s="123"/>
      <c r="W610" s="123"/>
      <c r="X610" s="123"/>
      <c r="Y610" s="123"/>
      <c r="Z610" s="123"/>
    </row>
    <row r="611">
      <c r="A611" s="416"/>
      <c r="B611" s="134"/>
      <c r="C611" s="417"/>
      <c r="D611" s="418"/>
      <c r="E611" s="123"/>
      <c r="F611" s="123"/>
      <c r="G611" s="123"/>
      <c r="H611" s="123"/>
      <c r="I611" s="123"/>
      <c r="J611" s="123"/>
      <c r="K611" s="123"/>
      <c r="L611" s="123"/>
      <c r="M611" s="123"/>
      <c r="N611" s="123"/>
      <c r="O611" s="123"/>
      <c r="P611" s="123"/>
      <c r="Q611" s="123"/>
      <c r="R611" s="123"/>
      <c r="S611" s="123"/>
      <c r="T611" s="123"/>
      <c r="U611" s="123"/>
      <c r="V611" s="123"/>
      <c r="W611" s="123"/>
      <c r="X611" s="123"/>
      <c r="Y611" s="123"/>
      <c r="Z611" s="123"/>
    </row>
    <row r="612">
      <c r="A612" s="416"/>
      <c r="B612" s="134"/>
      <c r="C612" s="417"/>
      <c r="D612" s="418"/>
      <c r="E612" s="123"/>
      <c r="F612" s="123"/>
      <c r="G612" s="123"/>
      <c r="H612" s="123"/>
      <c r="I612" s="123"/>
      <c r="J612" s="123"/>
      <c r="K612" s="123"/>
      <c r="L612" s="123"/>
      <c r="M612" s="123"/>
      <c r="N612" s="123"/>
      <c r="O612" s="123"/>
      <c r="P612" s="123"/>
      <c r="Q612" s="123"/>
      <c r="R612" s="123"/>
      <c r="S612" s="123"/>
      <c r="T612" s="123"/>
      <c r="U612" s="123"/>
      <c r="V612" s="123"/>
      <c r="W612" s="123"/>
      <c r="X612" s="123"/>
      <c r="Y612" s="123"/>
      <c r="Z612" s="123"/>
    </row>
    <row r="613">
      <c r="A613" s="416"/>
      <c r="B613" s="134"/>
      <c r="C613" s="417"/>
      <c r="D613" s="418"/>
      <c r="E613" s="123"/>
      <c r="F613" s="123"/>
      <c r="G613" s="123"/>
      <c r="H613" s="123"/>
      <c r="I613" s="123"/>
      <c r="J613" s="123"/>
      <c r="K613" s="123"/>
      <c r="L613" s="123"/>
      <c r="M613" s="123"/>
      <c r="N613" s="123"/>
      <c r="O613" s="123"/>
      <c r="P613" s="123"/>
      <c r="Q613" s="123"/>
      <c r="R613" s="123"/>
      <c r="S613" s="123"/>
      <c r="T613" s="123"/>
      <c r="U613" s="123"/>
      <c r="V613" s="123"/>
      <c r="W613" s="123"/>
      <c r="X613" s="123"/>
      <c r="Y613" s="123"/>
      <c r="Z613" s="123"/>
    </row>
    <row r="614">
      <c r="A614" s="416"/>
      <c r="B614" s="134"/>
      <c r="C614" s="417"/>
      <c r="D614" s="418"/>
      <c r="E614" s="123"/>
      <c r="F614" s="123"/>
      <c r="G614" s="123"/>
      <c r="H614" s="123"/>
      <c r="I614" s="123"/>
      <c r="J614" s="123"/>
      <c r="K614" s="123"/>
      <c r="L614" s="123"/>
      <c r="M614" s="123"/>
      <c r="N614" s="123"/>
      <c r="O614" s="123"/>
      <c r="P614" s="123"/>
      <c r="Q614" s="123"/>
      <c r="R614" s="123"/>
      <c r="S614" s="123"/>
      <c r="T614" s="123"/>
      <c r="U614" s="123"/>
      <c r="V614" s="123"/>
      <c r="W614" s="123"/>
      <c r="X614" s="123"/>
      <c r="Y614" s="123"/>
      <c r="Z614" s="123"/>
    </row>
    <row r="615">
      <c r="A615" s="416"/>
      <c r="B615" s="134"/>
      <c r="C615" s="417"/>
      <c r="D615" s="418"/>
      <c r="E615" s="123"/>
      <c r="F615" s="123"/>
      <c r="G615" s="123"/>
      <c r="H615" s="123"/>
      <c r="I615" s="123"/>
      <c r="J615" s="123"/>
      <c r="K615" s="123"/>
      <c r="L615" s="123"/>
      <c r="M615" s="123"/>
      <c r="N615" s="123"/>
      <c r="O615" s="123"/>
      <c r="P615" s="123"/>
      <c r="Q615" s="123"/>
      <c r="R615" s="123"/>
      <c r="S615" s="123"/>
      <c r="T615" s="123"/>
      <c r="U615" s="123"/>
      <c r="V615" s="123"/>
      <c r="W615" s="123"/>
      <c r="X615" s="123"/>
      <c r="Y615" s="123"/>
      <c r="Z615" s="123"/>
    </row>
    <row r="616">
      <c r="A616" s="416"/>
      <c r="B616" s="134"/>
      <c r="C616" s="417"/>
      <c r="D616" s="418"/>
      <c r="E616" s="123"/>
      <c r="F616" s="123"/>
      <c r="G616" s="123"/>
      <c r="H616" s="123"/>
      <c r="I616" s="123"/>
      <c r="J616" s="123"/>
      <c r="K616" s="123"/>
      <c r="L616" s="123"/>
      <c r="M616" s="123"/>
      <c r="N616" s="123"/>
      <c r="O616" s="123"/>
      <c r="P616" s="123"/>
      <c r="Q616" s="123"/>
      <c r="R616" s="123"/>
      <c r="S616" s="123"/>
      <c r="T616" s="123"/>
      <c r="U616" s="123"/>
      <c r="V616" s="123"/>
      <c r="W616" s="123"/>
      <c r="X616" s="123"/>
      <c r="Y616" s="123"/>
      <c r="Z616" s="123"/>
    </row>
    <row r="617">
      <c r="A617" s="416"/>
      <c r="B617" s="134"/>
      <c r="C617" s="417"/>
      <c r="D617" s="418"/>
      <c r="E617" s="123"/>
      <c r="F617" s="123"/>
      <c r="G617" s="123"/>
      <c r="H617" s="123"/>
      <c r="I617" s="123"/>
      <c r="J617" s="123"/>
      <c r="K617" s="123"/>
      <c r="L617" s="123"/>
      <c r="M617" s="123"/>
      <c r="N617" s="123"/>
      <c r="O617" s="123"/>
      <c r="P617" s="123"/>
      <c r="Q617" s="123"/>
      <c r="R617" s="123"/>
      <c r="S617" s="123"/>
      <c r="T617" s="123"/>
      <c r="U617" s="123"/>
      <c r="V617" s="123"/>
      <c r="W617" s="123"/>
      <c r="X617" s="123"/>
      <c r="Y617" s="123"/>
      <c r="Z617" s="123"/>
    </row>
    <row r="618">
      <c r="A618" s="416"/>
      <c r="B618" s="134"/>
      <c r="C618" s="417"/>
      <c r="D618" s="418"/>
      <c r="E618" s="123"/>
      <c r="F618" s="123"/>
      <c r="G618" s="123"/>
      <c r="H618" s="123"/>
      <c r="I618" s="123"/>
      <c r="J618" s="123"/>
      <c r="K618" s="123"/>
      <c r="L618" s="123"/>
      <c r="M618" s="123"/>
      <c r="N618" s="123"/>
      <c r="O618" s="123"/>
      <c r="P618" s="123"/>
      <c r="Q618" s="123"/>
      <c r="R618" s="123"/>
      <c r="S618" s="123"/>
      <c r="T618" s="123"/>
      <c r="U618" s="123"/>
      <c r="V618" s="123"/>
      <c r="W618" s="123"/>
      <c r="X618" s="123"/>
      <c r="Y618" s="123"/>
      <c r="Z618" s="123"/>
    </row>
    <row r="619">
      <c r="A619" s="416"/>
      <c r="B619" s="134"/>
      <c r="C619" s="417"/>
      <c r="D619" s="418"/>
      <c r="E619" s="123"/>
      <c r="F619" s="123"/>
      <c r="G619" s="123"/>
      <c r="H619" s="123"/>
      <c r="I619" s="123"/>
      <c r="J619" s="123"/>
      <c r="K619" s="123"/>
      <c r="L619" s="123"/>
      <c r="M619" s="123"/>
      <c r="N619" s="123"/>
      <c r="O619" s="123"/>
      <c r="P619" s="123"/>
      <c r="Q619" s="123"/>
      <c r="R619" s="123"/>
      <c r="S619" s="123"/>
      <c r="T619" s="123"/>
      <c r="U619" s="123"/>
      <c r="V619" s="123"/>
      <c r="W619" s="123"/>
      <c r="X619" s="123"/>
      <c r="Y619" s="123"/>
      <c r="Z619" s="123"/>
    </row>
    <row r="620">
      <c r="A620" s="416"/>
      <c r="B620" s="134"/>
      <c r="C620" s="417"/>
      <c r="D620" s="418"/>
      <c r="E620" s="123"/>
      <c r="F620" s="123"/>
      <c r="G620" s="123"/>
      <c r="H620" s="123"/>
      <c r="I620" s="123"/>
      <c r="J620" s="123"/>
      <c r="K620" s="123"/>
      <c r="L620" s="123"/>
      <c r="M620" s="123"/>
      <c r="N620" s="123"/>
      <c r="O620" s="123"/>
      <c r="P620" s="123"/>
      <c r="Q620" s="123"/>
      <c r="R620" s="123"/>
      <c r="S620" s="123"/>
      <c r="T620" s="123"/>
      <c r="U620" s="123"/>
      <c r="V620" s="123"/>
      <c r="W620" s="123"/>
      <c r="X620" s="123"/>
      <c r="Y620" s="123"/>
      <c r="Z620" s="123"/>
    </row>
    <row r="621">
      <c r="A621" s="416"/>
      <c r="B621" s="134"/>
      <c r="C621" s="417"/>
      <c r="D621" s="418"/>
      <c r="E621" s="123"/>
      <c r="F621" s="123"/>
      <c r="G621" s="123"/>
      <c r="H621" s="123"/>
      <c r="I621" s="123"/>
      <c r="J621" s="123"/>
      <c r="K621" s="123"/>
      <c r="L621" s="123"/>
      <c r="M621" s="123"/>
      <c r="N621" s="123"/>
      <c r="O621" s="123"/>
      <c r="P621" s="123"/>
      <c r="Q621" s="123"/>
      <c r="R621" s="123"/>
      <c r="S621" s="123"/>
      <c r="T621" s="123"/>
      <c r="U621" s="123"/>
      <c r="V621" s="123"/>
      <c r="W621" s="123"/>
      <c r="X621" s="123"/>
      <c r="Y621" s="123"/>
      <c r="Z621" s="123"/>
    </row>
    <row r="622">
      <c r="A622" s="416"/>
      <c r="B622" s="134"/>
      <c r="C622" s="417"/>
      <c r="D622" s="418"/>
      <c r="E622" s="123"/>
      <c r="F622" s="123"/>
      <c r="G622" s="123"/>
      <c r="H622" s="123"/>
      <c r="I622" s="123"/>
      <c r="J622" s="123"/>
      <c r="K622" s="123"/>
      <c r="L622" s="123"/>
      <c r="M622" s="123"/>
      <c r="N622" s="123"/>
      <c r="O622" s="123"/>
      <c r="P622" s="123"/>
      <c r="Q622" s="123"/>
      <c r="R622" s="123"/>
      <c r="S622" s="123"/>
      <c r="T622" s="123"/>
      <c r="U622" s="123"/>
      <c r="V622" s="123"/>
      <c r="W622" s="123"/>
      <c r="X622" s="123"/>
      <c r="Y622" s="123"/>
      <c r="Z622" s="123"/>
    </row>
    <row r="623">
      <c r="A623" s="416"/>
      <c r="B623" s="134"/>
      <c r="C623" s="417"/>
      <c r="D623" s="418"/>
      <c r="E623" s="123"/>
      <c r="F623" s="123"/>
      <c r="G623" s="123"/>
      <c r="H623" s="123"/>
      <c r="I623" s="123"/>
      <c r="J623" s="123"/>
      <c r="K623" s="123"/>
      <c r="L623" s="123"/>
      <c r="M623" s="123"/>
      <c r="N623" s="123"/>
      <c r="O623" s="123"/>
      <c r="P623" s="123"/>
      <c r="Q623" s="123"/>
      <c r="R623" s="123"/>
      <c r="S623" s="123"/>
      <c r="T623" s="123"/>
      <c r="U623" s="123"/>
      <c r="V623" s="123"/>
      <c r="W623" s="123"/>
      <c r="X623" s="123"/>
      <c r="Y623" s="123"/>
      <c r="Z623" s="123"/>
    </row>
    <row r="624">
      <c r="A624" s="416"/>
      <c r="B624" s="134"/>
      <c r="C624" s="417"/>
      <c r="D624" s="418"/>
      <c r="E624" s="123"/>
      <c r="F624" s="123"/>
      <c r="G624" s="123"/>
      <c r="H624" s="123"/>
      <c r="I624" s="123"/>
      <c r="J624" s="123"/>
      <c r="K624" s="123"/>
      <c r="L624" s="123"/>
      <c r="M624" s="123"/>
      <c r="N624" s="123"/>
      <c r="O624" s="123"/>
      <c r="P624" s="123"/>
      <c r="Q624" s="123"/>
      <c r="R624" s="123"/>
      <c r="S624" s="123"/>
      <c r="T624" s="123"/>
      <c r="U624" s="123"/>
      <c r="V624" s="123"/>
      <c r="W624" s="123"/>
      <c r="X624" s="123"/>
      <c r="Y624" s="123"/>
      <c r="Z624" s="123"/>
    </row>
    <row r="625">
      <c r="A625" s="416"/>
      <c r="B625" s="134"/>
      <c r="C625" s="417"/>
      <c r="D625" s="418"/>
      <c r="E625" s="123"/>
      <c r="F625" s="123"/>
      <c r="G625" s="123"/>
      <c r="H625" s="123"/>
      <c r="I625" s="123"/>
      <c r="J625" s="123"/>
      <c r="K625" s="123"/>
      <c r="L625" s="123"/>
      <c r="M625" s="123"/>
      <c r="N625" s="123"/>
      <c r="O625" s="123"/>
      <c r="P625" s="123"/>
      <c r="Q625" s="123"/>
      <c r="R625" s="123"/>
      <c r="S625" s="123"/>
      <c r="T625" s="123"/>
      <c r="U625" s="123"/>
      <c r="V625" s="123"/>
      <c r="W625" s="123"/>
      <c r="X625" s="123"/>
      <c r="Y625" s="123"/>
      <c r="Z625" s="123"/>
    </row>
    <row r="626">
      <c r="A626" s="416"/>
      <c r="B626" s="134"/>
      <c r="C626" s="417"/>
      <c r="D626" s="418"/>
      <c r="E626" s="123"/>
      <c r="F626" s="123"/>
      <c r="G626" s="123"/>
      <c r="H626" s="123"/>
      <c r="I626" s="123"/>
      <c r="J626" s="123"/>
      <c r="K626" s="123"/>
      <c r="L626" s="123"/>
      <c r="M626" s="123"/>
      <c r="N626" s="123"/>
      <c r="O626" s="123"/>
      <c r="P626" s="123"/>
      <c r="Q626" s="123"/>
      <c r="R626" s="123"/>
      <c r="S626" s="123"/>
      <c r="T626" s="123"/>
      <c r="U626" s="123"/>
      <c r="V626" s="123"/>
      <c r="W626" s="123"/>
      <c r="X626" s="123"/>
      <c r="Y626" s="123"/>
      <c r="Z626" s="123"/>
    </row>
    <row r="627">
      <c r="A627" s="416"/>
      <c r="B627" s="134"/>
      <c r="C627" s="417"/>
      <c r="D627" s="418"/>
      <c r="E627" s="123"/>
      <c r="F627" s="123"/>
      <c r="G627" s="123"/>
      <c r="H627" s="123"/>
      <c r="I627" s="123"/>
      <c r="J627" s="123"/>
      <c r="K627" s="123"/>
      <c r="L627" s="123"/>
      <c r="M627" s="123"/>
      <c r="N627" s="123"/>
      <c r="O627" s="123"/>
      <c r="P627" s="123"/>
      <c r="Q627" s="123"/>
      <c r="R627" s="123"/>
      <c r="S627" s="123"/>
      <c r="T627" s="123"/>
      <c r="U627" s="123"/>
      <c r="V627" s="123"/>
      <c r="W627" s="123"/>
      <c r="X627" s="123"/>
      <c r="Y627" s="123"/>
      <c r="Z627" s="123"/>
    </row>
    <row r="628">
      <c r="A628" s="416"/>
      <c r="B628" s="134"/>
      <c r="C628" s="417"/>
      <c r="D628" s="418"/>
      <c r="E628" s="123"/>
      <c r="F628" s="123"/>
      <c r="G628" s="123"/>
      <c r="H628" s="123"/>
      <c r="I628" s="123"/>
      <c r="J628" s="123"/>
      <c r="K628" s="123"/>
      <c r="L628" s="123"/>
      <c r="M628" s="123"/>
      <c r="N628" s="123"/>
      <c r="O628" s="123"/>
      <c r="P628" s="123"/>
      <c r="Q628" s="123"/>
      <c r="R628" s="123"/>
      <c r="S628" s="123"/>
      <c r="T628" s="123"/>
      <c r="U628" s="123"/>
      <c r="V628" s="123"/>
      <c r="W628" s="123"/>
      <c r="X628" s="123"/>
      <c r="Y628" s="123"/>
      <c r="Z628" s="123"/>
    </row>
    <row r="629">
      <c r="A629" s="416"/>
      <c r="B629" s="134"/>
      <c r="C629" s="417"/>
      <c r="D629" s="418"/>
      <c r="E629" s="123"/>
      <c r="F629" s="123"/>
      <c r="G629" s="123"/>
      <c r="H629" s="123"/>
      <c r="I629" s="123"/>
      <c r="J629" s="123"/>
      <c r="K629" s="123"/>
      <c r="L629" s="123"/>
      <c r="M629" s="123"/>
      <c r="N629" s="123"/>
      <c r="O629" s="123"/>
      <c r="P629" s="123"/>
      <c r="Q629" s="123"/>
      <c r="R629" s="123"/>
      <c r="S629" s="123"/>
      <c r="T629" s="123"/>
      <c r="U629" s="123"/>
      <c r="V629" s="123"/>
      <c r="W629" s="123"/>
      <c r="X629" s="123"/>
      <c r="Y629" s="123"/>
      <c r="Z629" s="123"/>
    </row>
    <row r="630">
      <c r="A630" s="416"/>
      <c r="B630" s="134"/>
      <c r="C630" s="417"/>
      <c r="D630" s="418"/>
      <c r="E630" s="123"/>
      <c r="F630" s="123"/>
      <c r="G630" s="123"/>
      <c r="H630" s="123"/>
      <c r="I630" s="123"/>
      <c r="J630" s="123"/>
      <c r="K630" s="123"/>
      <c r="L630" s="123"/>
      <c r="M630" s="123"/>
      <c r="N630" s="123"/>
      <c r="O630" s="123"/>
      <c r="P630" s="123"/>
      <c r="Q630" s="123"/>
      <c r="R630" s="123"/>
      <c r="S630" s="123"/>
      <c r="T630" s="123"/>
      <c r="U630" s="123"/>
      <c r="V630" s="123"/>
      <c r="W630" s="123"/>
      <c r="X630" s="123"/>
      <c r="Y630" s="123"/>
      <c r="Z630" s="123"/>
    </row>
    <row r="631">
      <c r="A631" s="416"/>
      <c r="B631" s="134"/>
      <c r="C631" s="417"/>
      <c r="D631" s="418"/>
      <c r="E631" s="123"/>
      <c r="F631" s="123"/>
      <c r="G631" s="123"/>
      <c r="H631" s="123"/>
      <c r="I631" s="123"/>
      <c r="J631" s="123"/>
      <c r="K631" s="123"/>
      <c r="L631" s="123"/>
      <c r="M631" s="123"/>
      <c r="N631" s="123"/>
      <c r="O631" s="123"/>
      <c r="P631" s="123"/>
      <c r="Q631" s="123"/>
      <c r="R631" s="123"/>
      <c r="S631" s="123"/>
      <c r="T631" s="123"/>
      <c r="U631" s="123"/>
      <c r="V631" s="123"/>
      <c r="W631" s="123"/>
      <c r="X631" s="123"/>
      <c r="Y631" s="123"/>
      <c r="Z631" s="123"/>
    </row>
    <row r="632">
      <c r="A632" s="416"/>
      <c r="B632" s="134"/>
      <c r="C632" s="417"/>
      <c r="D632" s="418"/>
      <c r="E632" s="123"/>
      <c r="F632" s="123"/>
      <c r="G632" s="123"/>
      <c r="H632" s="123"/>
      <c r="I632" s="123"/>
      <c r="J632" s="123"/>
      <c r="K632" s="123"/>
      <c r="L632" s="123"/>
      <c r="M632" s="123"/>
      <c r="N632" s="123"/>
      <c r="O632" s="123"/>
      <c r="P632" s="123"/>
      <c r="Q632" s="123"/>
      <c r="R632" s="123"/>
      <c r="S632" s="123"/>
      <c r="T632" s="123"/>
      <c r="U632" s="123"/>
      <c r="V632" s="123"/>
      <c r="W632" s="123"/>
      <c r="X632" s="123"/>
      <c r="Y632" s="123"/>
      <c r="Z632" s="123"/>
    </row>
    <row r="633">
      <c r="A633" s="416"/>
      <c r="B633" s="134"/>
      <c r="C633" s="417"/>
      <c r="D633" s="418"/>
      <c r="E633" s="123"/>
      <c r="F633" s="123"/>
      <c r="G633" s="123"/>
      <c r="H633" s="123"/>
      <c r="I633" s="123"/>
      <c r="J633" s="123"/>
      <c r="K633" s="123"/>
      <c r="L633" s="123"/>
      <c r="M633" s="123"/>
      <c r="N633" s="123"/>
      <c r="O633" s="123"/>
      <c r="P633" s="123"/>
      <c r="Q633" s="123"/>
      <c r="R633" s="123"/>
      <c r="S633" s="123"/>
      <c r="T633" s="123"/>
      <c r="U633" s="123"/>
      <c r="V633" s="123"/>
      <c r="W633" s="123"/>
      <c r="X633" s="123"/>
      <c r="Y633" s="123"/>
      <c r="Z633" s="123"/>
    </row>
    <row r="634">
      <c r="A634" s="416"/>
      <c r="B634" s="134"/>
      <c r="C634" s="417"/>
      <c r="D634" s="418"/>
      <c r="E634" s="123"/>
      <c r="F634" s="123"/>
      <c r="G634" s="123"/>
      <c r="H634" s="123"/>
      <c r="I634" s="123"/>
      <c r="J634" s="123"/>
      <c r="K634" s="123"/>
      <c r="L634" s="123"/>
      <c r="M634" s="123"/>
      <c r="N634" s="123"/>
      <c r="O634" s="123"/>
      <c r="P634" s="123"/>
      <c r="Q634" s="123"/>
      <c r="R634" s="123"/>
      <c r="S634" s="123"/>
      <c r="T634" s="123"/>
      <c r="U634" s="123"/>
      <c r="V634" s="123"/>
      <c r="W634" s="123"/>
      <c r="X634" s="123"/>
      <c r="Y634" s="123"/>
      <c r="Z634" s="123"/>
    </row>
    <row r="635">
      <c r="A635" s="416"/>
      <c r="B635" s="134"/>
      <c r="C635" s="417"/>
      <c r="D635" s="418"/>
      <c r="E635" s="123"/>
      <c r="F635" s="123"/>
      <c r="G635" s="123"/>
      <c r="H635" s="123"/>
      <c r="I635" s="123"/>
      <c r="J635" s="123"/>
      <c r="K635" s="123"/>
      <c r="L635" s="123"/>
      <c r="M635" s="123"/>
      <c r="N635" s="123"/>
      <c r="O635" s="123"/>
      <c r="P635" s="123"/>
      <c r="Q635" s="123"/>
      <c r="R635" s="123"/>
      <c r="S635" s="123"/>
      <c r="T635" s="123"/>
      <c r="U635" s="123"/>
      <c r="V635" s="123"/>
      <c r="W635" s="123"/>
      <c r="X635" s="123"/>
      <c r="Y635" s="123"/>
      <c r="Z635" s="123"/>
    </row>
    <row r="636">
      <c r="A636" s="416"/>
      <c r="B636" s="134"/>
      <c r="C636" s="417"/>
      <c r="D636" s="418"/>
      <c r="E636" s="123"/>
      <c r="F636" s="123"/>
      <c r="G636" s="123"/>
      <c r="H636" s="123"/>
      <c r="I636" s="123"/>
      <c r="J636" s="123"/>
      <c r="K636" s="123"/>
      <c r="L636" s="123"/>
      <c r="M636" s="123"/>
      <c r="N636" s="123"/>
      <c r="O636" s="123"/>
      <c r="P636" s="123"/>
      <c r="Q636" s="123"/>
      <c r="R636" s="123"/>
      <c r="S636" s="123"/>
      <c r="T636" s="123"/>
      <c r="U636" s="123"/>
      <c r="V636" s="123"/>
      <c r="W636" s="123"/>
      <c r="X636" s="123"/>
      <c r="Y636" s="123"/>
      <c r="Z636" s="123"/>
    </row>
    <row r="637">
      <c r="A637" s="416"/>
      <c r="B637" s="134"/>
      <c r="C637" s="417"/>
      <c r="D637" s="418"/>
      <c r="E637" s="123"/>
      <c r="F637" s="123"/>
      <c r="G637" s="123"/>
      <c r="H637" s="123"/>
      <c r="I637" s="123"/>
      <c r="J637" s="123"/>
      <c r="K637" s="123"/>
      <c r="L637" s="123"/>
      <c r="M637" s="123"/>
      <c r="N637" s="123"/>
      <c r="O637" s="123"/>
      <c r="P637" s="123"/>
      <c r="Q637" s="123"/>
      <c r="R637" s="123"/>
      <c r="S637" s="123"/>
      <c r="T637" s="123"/>
      <c r="U637" s="123"/>
      <c r="V637" s="123"/>
      <c r="W637" s="123"/>
      <c r="X637" s="123"/>
      <c r="Y637" s="123"/>
      <c r="Z637" s="123"/>
    </row>
    <row r="638">
      <c r="A638" s="416"/>
      <c r="B638" s="134"/>
      <c r="C638" s="417"/>
      <c r="D638" s="418"/>
      <c r="E638" s="123"/>
      <c r="F638" s="123"/>
      <c r="G638" s="123"/>
      <c r="H638" s="123"/>
      <c r="I638" s="123"/>
      <c r="J638" s="123"/>
      <c r="K638" s="123"/>
      <c r="L638" s="123"/>
      <c r="M638" s="123"/>
      <c r="N638" s="123"/>
      <c r="O638" s="123"/>
      <c r="P638" s="123"/>
      <c r="Q638" s="123"/>
      <c r="R638" s="123"/>
      <c r="S638" s="123"/>
      <c r="T638" s="123"/>
      <c r="U638" s="123"/>
      <c r="V638" s="123"/>
      <c r="W638" s="123"/>
      <c r="X638" s="123"/>
      <c r="Y638" s="123"/>
      <c r="Z638" s="123"/>
    </row>
    <row r="639">
      <c r="A639" s="416"/>
      <c r="B639" s="134"/>
      <c r="C639" s="417"/>
      <c r="D639" s="418"/>
      <c r="E639" s="123"/>
      <c r="F639" s="123"/>
      <c r="G639" s="123"/>
      <c r="H639" s="123"/>
      <c r="I639" s="123"/>
      <c r="J639" s="123"/>
      <c r="K639" s="123"/>
      <c r="L639" s="123"/>
      <c r="M639" s="123"/>
      <c r="N639" s="123"/>
      <c r="O639" s="123"/>
      <c r="P639" s="123"/>
      <c r="Q639" s="123"/>
      <c r="R639" s="123"/>
      <c r="S639" s="123"/>
      <c r="T639" s="123"/>
      <c r="U639" s="123"/>
      <c r="V639" s="123"/>
      <c r="W639" s="123"/>
      <c r="X639" s="123"/>
      <c r="Y639" s="123"/>
      <c r="Z639" s="123"/>
    </row>
    <row r="640">
      <c r="A640" s="416"/>
      <c r="B640" s="134"/>
      <c r="C640" s="417"/>
      <c r="D640" s="418"/>
      <c r="E640" s="123"/>
      <c r="F640" s="123"/>
      <c r="G640" s="123"/>
      <c r="H640" s="123"/>
      <c r="I640" s="123"/>
      <c r="J640" s="123"/>
      <c r="K640" s="123"/>
      <c r="L640" s="123"/>
      <c r="M640" s="123"/>
      <c r="N640" s="123"/>
      <c r="O640" s="123"/>
      <c r="P640" s="123"/>
      <c r="Q640" s="123"/>
      <c r="R640" s="123"/>
      <c r="S640" s="123"/>
      <c r="T640" s="123"/>
      <c r="U640" s="123"/>
      <c r="V640" s="123"/>
      <c r="W640" s="123"/>
      <c r="X640" s="123"/>
      <c r="Y640" s="123"/>
      <c r="Z640" s="123"/>
    </row>
    <row r="641">
      <c r="A641" s="416"/>
      <c r="B641" s="134"/>
      <c r="C641" s="417"/>
      <c r="D641" s="418"/>
      <c r="E641" s="123"/>
      <c r="F641" s="123"/>
      <c r="G641" s="123"/>
      <c r="H641" s="123"/>
      <c r="I641" s="123"/>
      <c r="J641" s="123"/>
      <c r="K641" s="123"/>
      <c r="L641" s="123"/>
      <c r="M641" s="123"/>
      <c r="N641" s="123"/>
      <c r="O641" s="123"/>
      <c r="P641" s="123"/>
      <c r="Q641" s="123"/>
      <c r="R641" s="123"/>
      <c r="S641" s="123"/>
      <c r="T641" s="123"/>
      <c r="U641" s="123"/>
      <c r="V641" s="123"/>
      <c r="W641" s="123"/>
      <c r="X641" s="123"/>
      <c r="Y641" s="123"/>
      <c r="Z641" s="123"/>
    </row>
    <row r="642">
      <c r="A642" s="416"/>
      <c r="B642" s="134"/>
      <c r="C642" s="417"/>
      <c r="D642" s="418"/>
      <c r="E642" s="123"/>
      <c r="F642" s="123"/>
      <c r="G642" s="123"/>
      <c r="H642" s="123"/>
      <c r="I642" s="123"/>
      <c r="J642" s="123"/>
      <c r="K642" s="123"/>
      <c r="L642" s="123"/>
      <c r="M642" s="123"/>
      <c r="N642" s="123"/>
      <c r="O642" s="123"/>
      <c r="P642" s="123"/>
      <c r="Q642" s="123"/>
      <c r="R642" s="123"/>
      <c r="S642" s="123"/>
      <c r="T642" s="123"/>
      <c r="U642" s="123"/>
      <c r="V642" s="123"/>
      <c r="W642" s="123"/>
      <c r="X642" s="123"/>
      <c r="Y642" s="123"/>
      <c r="Z642" s="123"/>
    </row>
    <row r="643">
      <c r="A643" s="416"/>
      <c r="B643" s="134"/>
      <c r="C643" s="417"/>
      <c r="D643" s="418"/>
      <c r="E643" s="123"/>
      <c r="F643" s="123"/>
      <c r="G643" s="123"/>
      <c r="H643" s="123"/>
      <c r="I643" s="123"/>
      <c r="J643" s="123"/>
      <c r="K643" s="123"/>
      <c r="L643" s="123"/>
      <c r="M643" s="123"/>
      <c r="N643" s="123"/>
      <c r="O643" s="123"/>
      <c r="P643" s="123"/>
      <c r="Q643" s="123"/>
      <c r="R643" s="123"/>
      <c r="S643" s="123"/>
      <c r="T643" s="123"/>
      <c r="U643" s="123"/>
      <c r="V643" s="123"/>
      <c r="W643" s="123"/>
      <c r="X643" s="123"/>
      <c r="Y643" s="123"/>
      <c r="Z643" s="123"/>
    </row>
    <row r="644">
      <c r="A644" s="416"/>
      <c r="B644" s="134"/>
      <c r="C644" s="417"/>
      <c r="D644" s="418"/>
      <c r="E644" s="123"/>
      <c r="F644" s="123"/>
      <c r="G644" s="123"/>
      <c r="H644" s="123"/>
      <c r="I644" s="123"/>
      <c r="J644" s="123"/>
      <c r="K644" s="123"/>
      <c r="L644" s="123"/>
      <c r="M644" s="123"/>
      <c r="N644" s="123"/>
      <c r="O644" s="123"/>
      <c r="P644" s="123"/>
      <c r="Q644" s="123"/>
      <c r="R644" s="123"/>
      <c r="S644" s="123"/>
      <c r="T644" s="123"/>
      <c r="U644" s="123"/>
      <c r="V644" s="123"/>
      <c r="W644" s="123"/>
      <c r="X644" s="123"/>
      <c r="Y644" s="123"/>
      <c r="Z644" s="123"/>
    </row>
    <row r="645">
      <c r="A645" s="416"/>
      <c r="B645" s="134"/>
      <c r="C645" s="417"/>
      <c r="D645" s="418"/>
      <c r="E645" s="123"/>
      <c r="F645" s="123"/>
      <c r="G645" s="123"/>
      <c r="H645" s="123"/>
      <c r="I645" s="123"/>
      <c r="J645" s="123"/>
      <c r="K645" s="123"/>
      <c r="L645" s="123"/>
      <c r="M645" s="123"/>
      <c r="N645" s="123"/>
      <c r="O645" s="123"/>
      <c r="P645" s="123"/>
      <c r="Q645" s="123"/>
      <c r="R645" s="123"/>
      <c r="S645" s="123"/>
      <c r="T645" s="123"/>
      <c r="U645" s="123"/>
      <c r="V645" s="123"/>
      <c r="W645" s="123"/>
      <c r="X645" s="123"/>
      <c r="Y645" s="123"/>
      <c r="Z645" s="123"/>
    </row>
    <row r="646">
      <c r="A646" s="416"/>
      <c r="B646" s="134"/>
      <c r="C646" s="417"/>
      <c r="D646" s="418"/>
      <c r="E646" s="123"/>
      <c r="F646" s="123"/>
      <c r="G646" s="123"/>
      <c r="H646" s="123"/>
      <c r="I646" s="123"/>
      <c r="J646" s="123"/>
      <c r="K646" s="123"/>
      <c r="L646" s="123"/>
      <c r="M646" s="123"/>
      <c r="N646" s="123"/>
      <c r="O646" s="123"/>
      <c r="P646" s="123"/>
      <c r="Q646" s="123"/>
      <c r="R646" s="123"/>
      <c r="S646" s="123"/>
      <c r="T646" s="123"/>
      <c r="U646" s="123"/>
      <c r="V646" s="123"/>
      <c r="W646" s="123"/>
      <c r="X646" s="123"/>
      <c r="Y646" s="123"/>
      <c r="Z646" s="123"/>
    </row>
    <row r="647">
      <c r="A647" s="416"/>
      <c r="B647" s="134"/>
      <c r="C647" s="417"/>
      <c r="D647" s="418"/>
      <c r="E647" s="123"/>
      <c r="F647" s="123"/>
      <c r="G647" s="123"/>
      <c r="H647" s="123"/>
      <c r="I647" s="123"/>
      <c r="J647" s="123"/>
      <c r="K647" s="123"/>
      <c r="L647" s="123"/>
      <c r="M647" s="123"/>
      <c r="N647" s="123"/>
      <c r="O647" s="123"/>
      <c r="P647" s="123"/>
      <c r="Q647" s="123"/>
      <c r="R647" s="123"/>
      <c r="S647" s="123"/>
      <c r="T647" s="123"/>
      <c r="U647" s="123"/>
      <c r="V647" s="123"/>
      <c r="W647" s="123"/>
      <c r="X647" s="123"/>
      <c r="Y647" s="123"/>
      <c r="Z647" s="123"/>
    </row>
    <row r="648">
      <c r="A648" s="416"/>
      <c r="B648" s="134"/>
      <c r="C648" s="417"/>
      <c r="D648" s="418"/>
      <c r="E648" s="123"/>
      <c r="F648" s="123"/>
      <c r="G648" s="123"/>
      <c r="H648" s="123"/>
      <c r="I648" s="123"/>
      <c r="J648" s="123"/>
      <c r="K648" s="123"/>
      <c r="L648" s="123"/>
      <c r="M648" s="123"/>
      <c r="N648" s="123"/>
      <c r="O648" s="123"/>
      <c r="P648" s="123"/>
      <c r="Q648" s="123"/>
      <c r="R648" s="123"/>
      <c r="S648" s="123"/>
      <c r="T648" s="123"/>
      <c r="U648" s="123"/>
      <c r="V648" s="123"/>
      <c r="W648" s="123"/>
      <c r="X648" s="123"/>
      <c r="Y648" s="123"/>
      <c r="Z648" s="123"/>
    </row>
    <row r="649">
      <c r="A649" s="416"/>
      <c r="B649" s="134"/>
      <c r="C649" s="417"/>
      <c r="D649" s="418"/>
      <c r="E649" s="123"/>
      <c r="F649" s="123"/>
      <c r="G649" s="123"/>
      <c r="H649" s="123"/>
      <c r="I649" s="123"/>
      <c r="J649" s="123"/>
      <c r="K649" s="123"/>
      <c r="L649" s="123"/>
      <c r="M649" s="123"/>
      <c r="N649" s="123"/>
      <c r="O649" s="123"/>
      <c r="P649" s="123"/>
      <c r="Q649" s="123"/>
      <c r="R649" s="123"/>
      <c r="S649" s="123"/>
      <c r="T649" s="123"/>
      <c r="U649" s="123"/>
      <c r="V649" s="123"/>
      <c r="W649" s="123"/>
      <c r="X649" s="123"/>
      <c r="Y649" s="123"/>
      <c r="Z649" s="123"/>
    </row>
    <row r="650">
      <c r="A650" s="416"/>
      <c r="B650" s="134"/>
      <c r="C650" s="417"/>
      <c r="D650" s="418"/>
      <c r="E650" s="123"/>
      <c r="F650" s="123"/>
      <c r="G650" s="123"/>
      <c r="H650" s="123"/>
      <c r="I650" s="123"/>
      <c r="J650" s="123"/>
      <c r="K650" s="123"/>
      <c r="L650" s="123"/>
      <c r="M650" s="123"/>
      <c r="N650" s="123"/>
      <c r="O650" s="123"/>
      <c r="P650" s="123"/>
      <c r="Q650" s="123"/>
      <c r="R650" s="123"/>
      <c r="S650" s="123"/>
      <c r="T650" s="123"/>
      <c r="U650" s="123"/>
      <c r="V650" s="123"/>
      <c r="W650" s="123"/>
      <c r="X650" s="123"/>
      <c r="Y650" s="123"/>
      <c r="Z650" s="123"/>
    </row>
    <row r="651">
      <c r="A651" s="416"/>
      <c r="B651" s="134"/>
      <c r="C651" s="417"/>
      <c r="D651" s="418"/>
      <c r="E651" s="123"/>
      <c r="F651" s="123"/>
      <c r="G651" s="123"/>
      <c r="H651" s="123"/>
      <c r="I651" s="123"/>
      <c r="J651" s="123"/>
      <c r="K651" s="123"/>
      <c r="L651" s="123"/>
      <c r="M651" s="123"/>
      <c r="N651" s="123"/>
      <c r="O651" s="123"/>
      <c r="P651" s="123"/>
      <c r="Q651" s="123"/>
      <c r="R651" s="123"/>
      <c r="S651" s="123"/>
      <c r="T651" s="123"/>
      <c r="U651" s="123"/>
      <c r="V651" s="123"/>
      <c r="W651" s="123"/>
      <c r="X651" s="123"/>
      <c r="Y651" s="123"/>
      <c r="Z651" s="123"/>
    </row>
    <row r="652">
      <c r="A652" s="416"/>
      <c r="B652" s="134"/>
      <c r="C652" s="417"/>
      <c r="D652" s="418"/>
      <c r="E652" s="123"/>
      <c r="F652" s="123"/>
      <c r="G652" s="123"/>
      <c r="H652" s="123"/>
      <c r="I652" s="123"/>
      <c r="J652" s="123"/>
      <c r="K652" s="123"/>
      <c r="L652" s="123"/>
      <c r="M652" s="123"/>
      <c r="N652" s="123"/>
      <c r="O652" s="123"/>
      <c r="P652" s="123"/>
      <c r="Q652" s="123"/>
      <c r="R652" s="123"/>
      <c r="S652" s="123"/>
      <c r="T652" s="123"/>
      <c r="U652" s="123"/>
      <c r="V652" s="123"/>
      <c r="W652" s="123"/>
      <c r="X652" s="123"/>
      <c r="Y652" s="123"/>
      <c r="Z652" s="123"/>
    </row>
    <row r="653">
      <c r="A653" s="416"/>
      <c r="B653" s="134"/>
      <c r="C653" s="417"/>
      <c r="D653" s="418"/>
      <c r="E653" s="123"/>
      <c r="F653" s="123"/>
      <c r="G653" s="123"/>
      <c r="H653" s="123"/>
      <c r="I653" s="123"/>
      <c r="J653" s="123"/>
      <c r="K653" s="123"/>
      <c r="L653" s="123"/>
      <c r="M653" s="123"/>
      <c r="N653" s="123"/>
      <c r="O653" s="123"/>
      <c r="P653" s="123"/>
      <c r="Q653" s="123"/>
      <c r="R653" s="123"/>
      <c r="S653" s="123"/>
      <c r="T653" s="123"/>
      <c r="U653" s="123"/>
      <c r="V653" s="123"/>
      <c r="W653" s="123"/>
      <c r="X653" s="123"/>
      <c r="Y653" s="123"/>
      <c r="Z653" s="123"/>
    </row>
    <row r="654">
      <c r="A654" s="416"/>
      <c r="B654" s="134"/>
      <c r="C654" s="417"/>
      <c r="D654" s="418"/>
      <c r="E654" s="123"/>
      <c r="F654" s="123"/>
      <c r="G654" s="123"/>
      <c r="H654" s="123"/>
      <c r="I654" s="123"/>
      <c r="J654" s="123"/>
      <c r="K654" s="123"/>
      <c r="L654" s="123"/>
      <c r="M654" s="123"/>
      <c r="N654" s="123"/>
      <c r="O654" s="123"/>
      <c r="P654" s="123"/>
      <c r="Q654" s="123"/>
      <c r="R654" s="123"/>
      <c r="S654" s="123"/>
      <c r="T654" s="123"/>
      <c r="U654" s="123"/>
      <c r="V654" s="123"/>
      <c r="W654" s="123"/>
      <c r="X654" s="123"/>
      <c r="Y654" s="123"/>
      <c r="Z654" s="123"/>
    </row>
    <row r="655">
      <c r="A655" s="416"/>
      <c r="B655" s="134"/>
      <c r="C655" s="417"/>
      <c r="D655" s="418"/>
      <c r="E655" s="123"/>
      <c r="F655" s="123"/>
      <c r="G655" s="123"/>
      <c r="H655" s="123"/>
      <c r="I655" s="123"/>
      <c r="J655" s="123"/>
      <c r="K655" s="123"/>
      <c r="L655" s="123"/>
      <c r="M655" s="123"/>
      <c r="N655" s="123"/>
      <c r="O655" s="123"/>
      <c r="P655" s="123"/>
      <c r="Q655" s="123"/>
      <c r="R655" s="123"/>
      <c r="S655" s="123"/>
      <c r="T655" s="123"/>
      <c r="U655" s="123"/>
      <c r="V655" s="123"/>
      <c r="W655" s="123"/>
      <c r="X655" s="123"/>
      <c r="Y655" s="123"/>
      <c r="Z655" s="123"/>
    </row>
    <row r="656">
      <c r="A656" s="416"/>
      <c r="B656" s="134"/>
      <c r="C656" s="417"/>
      <c r="D656" s="418"/>
      <c r="E656" s="123"/>
      <c r="F656" s="123"/>
      <c r="G656" s="123"/>
      <c r="H656" s="123"/>
      <c r="I656" s="123"/>
      <c r="J656" s="123"/>
      <c r="K656" s="123"/>
      <c r="L656" s="123"/>
      <c r="M656" s="123"/>
      <c r="N656" s="123"/>
      <c r="O656" s="123"/>
      <c r="P656" s="123"/>
      <c r="Q656" s="123"/>
      <c r="R656" s="123"/>
      <c r="S656" s="123"/>
      <c r="T656" s="123"/>
      <c r="U656" s="123"/>
      <c r="V656" s="123"/>
      <c r="W656" s="123"/>
      <c r="X656" s="123"/>
      <c r="Y656" s="123"/>
      <c r="Z656" s="123"/>
    </row>
    <row r="657">
      <c r="A657" s="416"/>
      <c r="B657" s="134"/>
      <c r="C657" s="417"/>
      <c r="D657" s="418"/>
      <c r="E657" s="123"/>
      <c r="F657" s="123"/>
      <c r="G657" s="123"/>
      <c r="H657" s="123"/>
      <c r="I657" s="123"/>
      <c r="J657" s="123"/>
      <c r="K657" s="123"/>
      <c r="L657" s="123"/>
      <c r="M657" s="123"/>
      <c r="N657" s="123"/>
      <c r="O657" s="123"/>
      <c r="P657" s="123"/>
      <c r="Q657" s="123"/>
      <c r="R657" s="123"/>
      <c r="S657" s="123"/>
      <c r="T657" s="123"/>
      <c r="U657" s="123"/>
      <c r="V657" s="123"/>
      <c r="W657" s="123"/>
      <c r="X657" s="123"/>
      <c r="Y657" s="123"/>
      <c r="Z657" s="123"/>
    </row>
    <row r="658">
      <c r="A658" s="416"/>
      <c r="B658" s="134"/>
      <c r="C658" s="417"/>
      <c r="D658" s="418"/>
      <c r="E658" s="123"/>
      <c r="F658" s="123"/>
      <c r="G658" s="123"/>
      <c r="H658" s="123"/>
      <c r="I658" s="123"/>
      <c r="J658" s="123"/>
      <c r="K658" s="123"/>
      <c r="L658" s="123"/>
      <c r="M658" s="123"/>
      <c r="N658" s="123"/>
      <c r="O658" s="123"/>
      <c r="P658" s="123"/>
      <c r="Q658" s="123"/>
      <c r="R658" s="123"/>
      <c r="S658" s="123"/>
      <c r="T658" s="123"/>
      <c r="U658" s="123"/>
      <c r="V658" s="123"/>
      <c r="W658" s="123"/>
      <c r="X658" s="123"/>
      <c r="Y658" s="123"/>
      <c r="Z658" s="123"/>
    </row>
    <row r="659">
      <c r="A659" s="416"/>
      <c r="B659" s="134"/>
      <c r="C659" s="417"/>
      <c r="D659" s="418"/>
      <c r="E659" s="123"/>
      <c r="F659" s="123"/>
      <c r="G659" s="123"/>
      <c r="H659" s="123"/>
      <c r="I659" s="123"/>
      <c r="J659" s="123"/>
      <c r="K659" s="123"/>
      <c r="L659" s="123"/>
      <c r="M659" s="123"/>
      <c r="N659" s="123"/>
      <c r="O659" s="123"/>
      <c r="P659" s="123"/>
      <c r="Q659" s="123"/>
      <c r="R659" s="123"/>
      <c r="S659" s="123"/>
      <c r="T659" s="123"/>
      <c r="U659" s="123"/>
      <c r="V659" s="123"/>
      <c r="W659" s="123"/>
      <c r="X659" s="123"/>
      <c r="Y659" s="123"/>
      <c r="Z659" s="123"/>
    </row>
    <row r="660">
      <c r="A660" s="416"/>
      <c r="B660" s="134"/>
      <c r="C660" s="417"/>
      <c r="D660" s="418"/>
      <c r="E660" s="123"/>
      <c r="F660" s="123"/>
      <c r="G660" s="123"/>
      <c r="H660" s="123"/>
      <c r="I660" s="123"/>
      <c r="J660" s="123"/>
      <c r="K660" s="123"/>
      <c r="L660" s="123"/>
      <c r="M660" s="123"/>
      <c r="N660" s="123"/>
      <c r="O660" s="123"/>
      <c r="P660" s="123"/>
      <c r="Q660" s="123"/>
      <c r="R660" s="123"/>
      <c r="S660" s="123"/>
      <c r="T660" s="123"/>
      <c r="U660" s="123"/>
      <c r="V660" s="123"/>
      <c r="W660" s="123"/>
      <c r="X660" s="123"/>
      <c r="Y660" s="123"/>
      <c r="Z660" s="123"/>
    </row>
    <row r="661">
      <c r="A661" s="416"/>
      <c r="B661" s="134"/>
      <c r="C661" s="417"/>
      <c r="D661" s="418"/>
      <c r="E661" s="123"/>
      <c r="F661" s="123"/>
      <c r="G661" s="123"/>
      <c r="H661" s="123"/>
      <c r="I661" s="123"/>
      <c r="J661" s="123"/>
      <c r="K661" s="123"/>
      <c r="L661" s="123"/>
      <c r="M661" s="123"/>
      <c r="N661" s="123"/>
      <c r="O661" s="123"/>
      <c r="P661" s="123"/>
      <c r="Q661" s="123"/>
      <c r="R661" s="123"/>
      <c r="S661" s="123"/>
      <c r="T661" s="123"/>
      <c r="U661" s="123"/>
      <c r="V661" s="123"/>
      <c r="W661" s="123"/>
      <c r="X661" s="123"/>
      <c r="Y661" s="123"/>
      <c r="Z661" s="123"/>
    </row>
    <row r="662">
      <c r="A662" s="416"/>
      <c r="B662" s="134"/>
      <c r="C662" s="417"/>
      <c r="D662" s="418"/>
      <c r="E662" s="123"/>
      <c r="F662" s="123"/>
      <c r="G662" s="123"/>
      <c r="H662" s="123"/>
      <c r="I662" s="123"/>
      <c r="J662" s="123"/>
      <c r="K662" s="123"/>
      <c r="L662" s="123"/>
      <c r="M662" s="123"/>
      <c r="N662" s="123"/>
      <c r="O662" s="123"/>
      <c r="P662" s="123"/>
      <c r="Q662" s="123"/>
      <c r="R662" s="123"/>
      <c r="S662" s="123"/>
      <c r="T662" s="123"/>
      <c r="U662" s="123"/>
      <c r="V662" s="123"/>
      <c r="W662" s="123"/>
      <c r="X662" s="123"/>
      <c r="Y662" s="123"/>
      <c r="Z662" s="123"/>
    </row>
    <row r="663">
      <c r="A663" s="416"/>
      <c r="B663" s="134"/>
      <c r="C663" s="417"/>
      <c r="D663" s="418"/>
      <c r="E663" s="123"/>
      <c r="F663" s="123"/>
      <c r="G663" s="123"/>
      <c r="H663" s="123"/>
      <c r="I663" s="123"/>
      <c r="J663" s="123"/>
      <c r="K663" s="123"/>
      <c r="L663" s="123"/>
      <c r="M663" s="123"/>
      <c r="N663" s="123"/>
      <c r="O663" s="123"/>
      <c r="P663" s="123"/>
      <c r="Q663" s="123"/>
      <c r="R663" s="123"/>
      <c r="S663" s="123"/>
      <c r="T663" s="123"/>
      <c r="U663" s="123"/>
      <c r="V663" s="123"/>
      <c r="W663" s="123"/>
      <c r="X663" s="123"/>
      <c r="Y663" s="123"/>
      <c r="Z663" s="123"/>
    </row>
    <row r="664">
      <c r="A664" s="416"/>
      <c r="B664" s="134"/>
      <c r="C664" s="417"/>
      <c r="D664" s="418"/>
      <c r="E664" s="123"/>
      <c r="F664" s="123"/>
      <c r="G664" s="123"/>
      <c r="H664" s="123"/>
      <c r="I664" s="123"/>
      <c r="J664" s="123"/>
      <c r="K664" s="123"/>
      <c r="L664" s="123"/>
      <c r="M664" s="123"/>
      <c r="N664" s="123"/>
      <c r="O664" s="123"/>
      <c r="P664" s="123"/>
      <c r="Q664" s="123"/>
      <c r="R664" s="123"/>
      <c r="S664" s="123"/>
      <c r="T664" s="123"/>
      <c r="U664" s="123"/>
      <c r="V664" s="123"/>
      <c r="W664" s="123"/>
      <c r="X664" s="123"/>
      <c r="Y664" s="123"/>
      <c r="Z664" s="123"/>
    </row>
    <row r="665">
      <c r="A665" s="416"/>
      <c r="B665" s="134"/>
      <c r="C665" s="417"/>
      <c r="D665" s="418"/>
      <c r="E665" s="123"/>
      <c r="F665" s="123"/>
      <c r="G665" s="123"/>
      <c r="H665" s="123"/>
      <c r="I665" s="123"/>
      <c r="J665" s="123"/>
      <c r="K665" s="123"/>
      <c r="L665" s="123"/>
      <c r="M665" s="123"/>
      <c r="N665" s="123"/>
      <c r="O665" s="123"/>
      <c r="P665" s="123"/>
      <c r="Q665" s="123"/>
      <c r="R665" s="123"/>
      <c r="S665" s="123"/>
      <c r="T665" s="123"/>
      <c r="U665" s="123"/>
      <c r="V665" s="123"/>
      <c r="W665" s="123"/>
      <c r="X665" s="123"/>
      <c r="Y665" s="123"/>
      <c r="Z665" s="123"/>
    </row>
    <row r="666">
      <c r="A666" s="416"/>
      <c r="B666" s="134"/>
      <c r="C666" s="417"/>
      <c r="D666" s="418"/>
      <c r="E666" s="123"/>
      <c r="F666" s="123"/>
      <c r="G666" s="123"/>
      <c r="H666" s="123"/>
      <c r="I666" s="123"/>
      <c r="J666" s="123"/>
      <c r="K666" s="123"/>
      <c r="L666" s="123"/>
      <c r="M666" s="123"/>
      <c r="N666" s="123"/>
      <c r="O666" s="123"/>
      <c r="P666" s="123"/>
      <c r="Q666" s="123"/>
      <c r="R666" s="123"/>
      <c r="S666" s="123"/>
      <c r="T666" s="123"/>
      <c r="U666" s="123"/>
      <c r="V666" s="123"/>
      <c r="W666" s="123"/>
      <c r="X666" s="123"/>
      <c r="Y666" s="123"/>
      <c r="Z666" s="123"/>
    </row>
    <row r="667">
      <c r="A667" s="416"/>
      <c r="B667" s="134"/>
      <c r="C667" s="417"/>
      <c r="D667" s="418"/>
      <c r="E667" s="123"/>
      <c r="F667" s="123"/>
      <c r="G667" s="123"/>
      <c r="H667" s="123"/>
      <c r="I667" s="123"/>
      <c r="J667" s="123"/>
      <c r="K667" s="123"/>
      <c r="L667" s="123"/>
      <c r="M667" s="123"/>
      <c r="N667" s="123"/>
      <c r="O667" s="123"/>
      <c r="P667" s="123"/>
      <c r="Q667" s="123"/>
      <c r="R667" s="123"/>
      <c r="S667" s="123"/>
      <c r="T667" s="123"/>
      <c r="U667" s="123"/>
      <c r="V667" s="123"/>
      <c r="W667" s="123"/>
      <c r="X667" s="123"/>
      <c r="Y667" s="123"/>
      <c r="Z667" s="123"/>
    </row>
    <row r="668">
      <c r="A668" s="416"/>
      <c r="B668" s="134"/>
      <c r="C668" s="417"/>
      <c r="D668" s="418"/>
      <c r="E668" s="123"/>
      <c r="F668" s="123"/>
      <c r="G668" s="123"/>
      <c r="H668" s="123"/>
      <c r="I668" s="123"/>
      <c r="J668" s="123"/>
      <c r="K668" s="123"/>
      <c r="L668" s="123"/>
      <c r="M668" s="123"/>
      <c r="N668" s="123"/>
      <c r="O668" s="123"/>
      <c r="P668" s="123"/>
      <c r="Q668" s="123"/>
      <c r="R668" s="123"/>
      <c r="S668" s="123"/>
      <c r="T668" s="123"/>
      <c r="U668" s="123"/>
      <c r="V668" s="123"/>
      <c r="W668" s="123"/>
      <c r="X668" s="123"/>
      <c r="Y668" s="123"/>
      <c r="Z668" s="123"/>
    </row>
    <row r="669">
      <c r="A669" s="416"/>
      <c r="B669" s="134"/>
      <c r="C669" s="417"/>
      <c r="D669" s="418"/>
      <c r="E669" s="123"/>
      <c r="F669" s="123"/>
      <c r="G669" s="123"/>
      <c r="H669" s="123"/>
      <c r="I669" s="123"/>
      <c r="J669" s="123"/>
      <c r="K669" s="123"/>
      <c r="L669" s="123"/>
      <c r="M669" s="123"/>
      <c r="N669" s="123"/>
      <c r="O669" s="123"/>
      <c r="P669" s="123"/>
      <c r="Q669" s="123"/>
      <c r="R669" s="123"/>
      <c r="S669" s="123"/>
      <c r="T669" s="123"/>
      <c r="U669" s="123"/>
      <c r="V669" s="123"/>
      <c r="W669" s="123"/>
      <c r="X669" s="123"/>
      <c r="Y669" s="123"/>
      <c r="Z669" s="123"/>
    </row>
    <row r="670">
      <c r="A670" s="416"/>
      <c r="B670" s="134"/>
      <c r="C670" s="417"/>
      <c r="D670" s="418"/>
      <c r="E670" s="123"/>
      <c r="F670" s="123"/>
      <c r="G670" s="123"/>
      <c r="H670" s="123"/>
      <c r="I670" s="123"/>
      <c r="J670" s="123"/>
      <c r="K670" s="123"/>
      <c r="L670" s="123"/>
      <c r="M670" s="123"/>
      <c r="N670" s="123"/>
      <c r="O670" s="123"/>
      <c r="P670" s="123"/>
      <c r="Q670" s="123"/>
      <c r="R670" s="123"/>
      <c r="S670" s="123"/>
      <c r="T670" s="123"/>
      <c r="U670" s="123"/>
      <c r="V670" s="123"/>
      <c r="W670" s="123"/>
      <c r="X670" s="123"/>
      <c r="Y670" s="123"/>
      <c r="Z670" s="123"/>
    </row>
    <row r="671">
      <c r="A671" s="416"/>
      <c r="B671" s="134"/>
      <c r="C671" s="417"/>
      <c r="D671" s="418"/>
      <c r="E671" s="123"/>
      <c r="F671" s="123"/>
      <c r="G671" s="123"/>
      <c r="H671" s="123"/>
      <c r="I671" s="123"/>
      <c r="J671" s="123"/>
      <c r="K671" s="123"/>
      <c r="L671" s="123"/>
      <c r="M671" s="123"/>
      <c r="N671" s="123"/>
      <c r="O671" s="123"/>
      <c r="P671" s="123"/>
      <c r="Q671" s="123"/>
      <c r="R671" s="123"/>
      <c r="S671" s="123"/>
      <c r="T671" s="123"/>
      <c r="U671" s="123"/>
      <c r="V671" s="123"/>
      <c r="W671" s="123"/>
      <c r="X671" s="123"/>
      <c r="Y671" s="123"/>
      <c r="Z671" s="123"/>
    </row>
    <row r="672">
      <c r="A672" s="416"/>
      <c r="B672" s="134"/>
      <c r="C672" s="417"/>
      <c r="D672" s="418"/>
      <c r="E672" s="123"/>
      <c r="F672" s="123"/>
      <c r="G672" s="123"/>
      <c r="H672" s="123"/>
      <c r="I672" s="123"/>
      <c r="J672" s="123"/>
      <c r="K672" s="123"/>
      <c r="L672" s="123"/>
      <c r="M672" s="123"/>
      <c r="N672" s="123"/>
      <c r="O672" s="123"/>
      <c r="P672" s="123"/>
      <c r="Q672" s="123"/>
      <c r="R672" s="123"/>
      <c r="S672" s="123"/>
      <c r="T672" s="123"/>
      <c r="U672" s="123"/>
      <c r="V672" s="123"/>
      <c r="W672" s="123"/>
      <c r="X672" s="123"/>
      <c r="Y672" s="123"/>
      <c r="Z672" s="123"/>
    </row>
    <row r="673">
      <c r="A673" s="416"/>
      <c r="B673" s="134"/>
      <c r="C673" s="417"/>
      <c r="D673" s="418"/>
      <c r="E673" s="123"/>
      <c r="F673" s="123"/>
      <c r="G673" s="123"/>
      <c r="H673" s="123"/>
      <c r="I673" s="123"/>
      <c r="J673" s="123"/>
      <c r="K673" s="123"/>
      <c r="L673" s="123"/>
      <c r="M673" s="123"/>
      <c r="N673" s="123"/>
      <c r="O673" s="123"/>
      <c r="P673" s="123"/>
      <c r="Q673" s="123"/>
      <c r="R673" s="123"/>
      <c r="S673" s="123"/>
      <c r="T673" s="123"/>
      <c r="U673" s="123"/>
      <c r="V673" s="123"/>
      <c r="W673" s="123"/>
      <c r="X673" s="123"/>
      <c r="Y673" s="123"/>
      <c r="Z673" s="123"/>
    </row>
    <row r="674">
      <c r="A674" s="416"/>
      <c r="B674" s="134"/>
      <c r="C674" s="417"/>
      <c r="D674" s="418"/>
      <c r="E674" s="123"/>
      <c r="F674" s="123"/>
      <c r="G674" s="123"/>
      <c r="H674" s="123"/>
      <c r="I674" s="123"/>
      <c r="J674" s="123"/>
      <c r="K674" s="123"/>
      <c r="L674" s="123"/>
      <c r="M674" s="123"/>
      <c r="N674" s="123"/>
      <c r="O674" s="123"/>
      <c r="P674" s="123"/>
      <c r="Q674" s="123"/>
      <c r="R674" s="123"/>
      <c r="S674" s="123"/>
      <c r="T674" s="123"/>
      <c r="U674" s="123"/>
      <c r="V674" s="123"/>
      <c r="W674" s="123"/>
      <c r="X674" s="123"/>
      <c r="Y674" s="123"/>
      <c r="Z674" s="123"/>
    </row>
    <row r="675">
      <c r="A675" s="416"/>
      <c r="B675" s="134"/>
      <c r="C675" s="417"/>
      <c r="D675" s="418"/>
      <c r="E675" s="123"/>
      <c r="F675" s="123"/>
      <c r="G675" s="123"/>
      <c r="H675" s="123"/>
      <c r="I675" s="123"/>
      <c r="J675" s="123"/>
      <c r="K675" s="123"/>
      <c r="L675" s="123"/>
      <c r="M675" s="123"/>
      <c r="N675" s="123"/>
      <c r="O675" s="123"/>
      <c r="P675" s="123"/>
      <c r="Q675" s="123"/>
      <c r="R675" s="123"/>
      <c r="S675" s="123"/>
      <c r="T675" s="123"/>
      <c r="U675" s="123"/>
      <c r="V675" s="123"/>
      <c r="W675" s="123"/>
      <c r="X675" s="123"/>
      <c r="Y675" s="123"/>
      <c r="Z675" s="123"/>
    </row>
    <row r="676">
      <c r="A676" s="416"/>
      <c r="B676" s="134"/>
      <c r="C676" s="417"/>
      <c r="D676" s="418"/>
      <c r="E676" s="123"/>
      <c r="F676" s="123"/>
      <c r="G676" s="123"/>
      <c r="H676" s="123"/>
      <c r="I676" s="123"/>
      <c r="J676" s="123"/>
      <c r="K676" s="123"/>
      <c r="L676" s="123"/>
      <c r="M676" s="123"/>
      <c r="N676" s="123"/>
      <c r="O676" s="123"/>
      <c r="P676" s="123"/>
      <c r="Q676" s="123"/>
      <c r="R676" s="123"/>
      <c r="S676" s="123"/>
      <c r="T676" s="123"/>
      <c r="U676" s="123"/>
      <c r="V676" s="123"/>
      <c r="W676" s="123"/>
      <c r="X676" s="123"/>
      <c r="Y676" s="123"/>
      <c r="Z676" s="123"/>
    </row>
    <row r="677">
      <c r="A677" s="416"/>
      <c r="B677" s="134"/>
      <c r="C677" s="417"/>
      <c r="D677" s="418"/>
      <c r="E677" s="123"/>
      <c r="F677" s="123"/>
      <c r="G677" s="123"/>
      <c r="H677" s="123"/>
      <c r="I677" s="123"/>
      <c r="J677" s="123"/>
      <c r="K677" s="123"/>
      <c r="L677" s="123"/>
      <c r="M677" s="123"/>
      <c r="N677" s="123"/>
      <c r="O677" s="123"/>
      <c r="P677" s="123"/>
      <c r="Q677" s="123"/>
      <c r="R677" s="123"/>
      <c r="S677" s="123"/>
      <c r="T677" s="123"/>
      <c r="U677" s="123"/>
      <c r="V677" s="123"/>
      <c r="W677" s="123"/>
      <c r="X677" s="123"/>
      <c r="Y677" s="123"/>
      <c r="Z677" s="123"/>
    </row>
    <row r="678">
      <c r="A678" s="416"/>
      <c r="B678" s="134"/>
      <c r="C678" s="417"/>
      <c r="D678" s="418"/>
      <c r="E678" s="123"/>
      <c r="F678" s="123"/>
      <c r="G678" s="123"/>
      <c r="H678" s="123"/>
      <c r="I678" s="123"/>
      <c r="J678" s="123"/>
      <c r="K678" s="123"/>
      <c r="L678" s="123"/>
      <c r="M678" s="123"/>
      <c r="N678" s="123"/>
      <c r="O678" s="123"/>
      <c r="P678" s="123"/>
      <c r="Q678" s="123"/>
      <c r="R678" s="123"/>
      <c r="S678" s="123"/>
      <c r="T678" s="123"/>
      <c r="U678" s="123"/>
      <c r="V678" s="123"/>
      <c r="W678" s="123"/>
      <c r="X678" s="123"/>
      <c r="Y678" s="123"/>
      <c r="Z678" s="123"/>
    </row>
    <row r="679">
      <c r="A679" s="416"/>
      <c r="B679" s="134"/>
      <c r="C679" s="417"/>
      <c r="D679" s="418"/>
      <c r="E679" s="123"/>
      <c r="F679" s="123"/>
      <c r="G679" s="123"/>
      <c r="H679" s="123"/>
      <c r="I679" s="123"/>
      <c r="J679" s="123"/>
      <c r="K679" s="123"/>
      <c r="L679" s="123"/>
      <c r="M679" s="123"/>
      <c r="N679" s="123"/>
      <c r="O679" s="123"/>
      <c r="P679" s="123"/>
      <c r="Q679" s="123"/>
      <c r="R679" s="123"/>
      <c r="S679" s="123"/>
      <c r="T679" s="123"/>
      <c r="U679" s="123"/>
      <c r="V679" s="123"/>
      <c r="W679" s="123"/>
      <c r="X679" s="123"/>
      <c r="Y679" s="123"/>
      <c r="Z679" s="123"/>
    </row>
    <row r="680">
      <c r="A680" s="416"/>
      <c r="B680" s="134"/>
      <c r="C680" s="417"/>
      <c r="D680" s="418"/>
      <c r="E680" s="123"/>
      <c r="F680" s="123"/>
      <c r="G680" s="123"/>
      <c r="H680" s="123"/>
      <c r="I680" s="123"/>
      <c r="J680" s="123"/>
      <c r="K680" s="123"/>
      <c r="L680" s="123"/>
      <c r="M680" s="123"/>
      <c r="N680" s="123"/>
      <c r="O680" s="123"/>
      <c r="P680" s="123"/>
      <c r="Q680" s="123"/>
      <c r="R680" s="123"/>
      <c r="S680" s="123"/>
      <c r="T680" s="123"/>
      <c r="U680" s="123"/>
      <c r="V680" s="123"/>
      <c r="W680" s="123"/>
      <c r="X680" s="123"/>
      <c r="Y680" s="123"/>
      <c r="Z680" s="123"/>
    </row>
    <row r="681">
      <c r="A681" s="416"/>
      <c r="B681" s="134"/>
      <c r="C681" s="417"/>
      <c r="D681" s="418"/>
      <c r="E681" s="123"/>
      <c r="F681" s="123"/>
      <c r="G681" s="123"/>
      <c r="H681" s="123"/>
      <c r="I681" s="123"/>
      <c r="J681" s="123"/>
      <c r="K681" s="123"/>
      <c r="L681" s="123"/>
      <c r="M681" s="123"/>
      <c r="N681" s="123"/>
      <c r="O681" s="123"/>
      <c r="P681" s="123"/>
      <c r="Q681" s="123"/>
      <c r="R681" s="123"/>
      <c r="S681" s="123"/>
      <c r="T681" s="123"/>
      <c r="U681" s="123"/>
      <c r="V681" s="123"/>
      <c r="W681" s="123"/>
      <c r="X681" s="123"/>
      <c r="Y681" s="123"/>
      <c r="Z681" s="123"/>
    </row>
    <row r="682">
      <c r="A682" s="416"/>
      <c r="B682" s="134"/>
      <c r="C682" s="417"/>
      <c r="D682" s="418"/>
      <c r="E682" s="123"/>
      <c r="F682" s="123"/>
      <c r="G682" s="123"/>
      <c r="H682" s="123"/>
      <c r="I682" s="123"/>
      <c r="J682" s="123"/>
      <c r="K682" s="123"/>
      <c r="L682" s="123"/>
      <c r="M682" s="123"/>
      <c r="N682" s="123"/>
      <c r="O682" s="123"/>
      <c r="P682" s="123"/>
      <c r="Q682" s="123"/>
      <c r="R682" s="123"/>
      <c r="S682" s="123"/>
      <c r="T682" s="123"/>
      <c r="U682" s="123"/>
      <c r="V682" s="123"/>
      <c r="W682" s="123"/>
      <c r="X682" s="123"/>
      <c r="Y682" s="123"/>
      <c r="Z682" s="123"/>
    </row>
    <row r="683">
      <c r="A683" s="416"/>
      <c r="B683" s="134"/>
      <c r="C683" s="417"/>
      <c r="D683" s="418"/>
      <c r="E683" s="123"/>
      <c r="F683" s="123"/>
      <c r="G683" s="123"/>
      <c r="H683" s="123"/>
      <c r="I683" s="123"/>
      <c r="J683" s="123"/>
      <c r="K683" s="123"/>
      <c r="L683" s="123"/>
      <c r="M683" s="123"/>
      <c r="N683" s="123"/>
      <c r="O683" s="123"/>
      <c r="P683" s="123"/>
      <c r="Q683" s="123"/>
      <c r="R683" s="123"/>
      <c r="S683" s="123"/>
      <c r="T683" s="123"/>
      <c r="U683" s="123"/>
      <c r="V683" s="123"/>
      <c r="W683" s="123"/>
      <c r="X683" s="123"/>
      <c r="Y683" s="123"/>
      <c r="Z683" s="123"/>
    </row>
    <row r="684">
      <c r="A684" s="416"/>
      <c r="B684" s="134"/>
      <c r="C684" s="417"/>
      <c r="D684" s="418"/>
      <c r="E684" s="123"/>
      <c r="F684" s="123"/>
      <c r="G684" s="123"/>
      <c r="H684" s="123"/>
      <c r="I684" s="123"/>
      <c r="J684" s="123"/>
      <c r="K684" s="123"/>
      <c r="L684" s="123"/>
      <c r="M684" s="123"/>
      <c r="N684" s="123"/>
      <c r="O684" s="123"/>
      <c r="P684" s="123"/>
      <c r="Q684" s="123"/>
      <c r="R684" s="123"/>
      <c r="S684" s="123"/>
      <c r="T684" s="123"/>
      <c r="U684" s="123"/>
      <c r="V684" s="123"/>
      <c r="W684" s="123"/>
      <c r="X684" s="123"/>
      <c r="Y684" s="123"/>
      <c r="Z684" s="123"/>
    </row>
    <row r="685">
      <c r="A685" s="416"/>
      <c r="B685" s="134"/>
      <c r="C685" s="417"/>
      <c r="D685" s="418"/>
      <c r="E685" s="123"/>
      <c r="F685" s="123"/>
      <c r="G685" s="123"/>
      <c r="H685" s="123"/>
      <c r="I685" s="123"/>
      <c r="J685" s="123"/>
      <c r="K685" s="123"/>
      <c r="L685" s="123"/>
      <c r="M685" s="123"/>
      <c r="N685" s="123"/>
      <c r="O685" s="123"/>
      <c r="P685" s="123"/>
      <c r="Q685" s="123"/>
      <c r="R685" s="123"/>
      <c r="S685" s="123"/>
      <c r="T685" s="123"/>
      <c r="U685" s="123"/>
      <c r="V685" s="123"/>
      <c r="W685" s="123"/>
      <c r="X685" s="123"/>
      <c r="Y685" s="123"/>
      <c r="Z685" s="123"/>
    </row>
    <row r="686">
      <c r="A686" s="416"/>
      <c r="B686" s="134"/>
      <c r="C686" s="417"/>
      <c r="D686" s="418"/>
      <c r="E686" s="123"/>
      <c r="F686" s="123"/>
      <c r="G686" s="123"/>
      <c r="H686" s="123"/>
      <c r="I686" s="123"/>
      <c r="J686" s="123"/>
      <c r="K686" s="123"/>
      <c r="L686" s="123"/>
      <c r="M686" s="123"/>
      <c r="N686" s="123"/>
      <c r="O686" s="123"/>
      <c r="P686" s="123"/>
      <c r="Q686" s="123"/>
      <c r="R686" s="123"/>
      <c r="S686" s="123"/>
      <c r="T686" s="123"/>
      <c r="U686" s="123"/>
      <c r="V686" s="123"/>
      <c r="W686" s="123"/>
      <c r="X686" s="123"/>
      <c r="Y686" s="123"/>
      <c r="Z686" s="123"/>
    </row>
    <row r="687">
      <c r="A687" s="416"/>
      <c r="B687" s="134"/>
      <c r="C687" s="417"/>
      <c r="D687" s="418"/>
      <c r="E687" s="123"/>
      <c r="F687" s="123"/>
      <c r="G687" s="123"/>
      <c r="H687" s="123"/>
      <c r="I687" s="123"/>
      <c r="J687" s="123"/>
      <c r="K687" s="123"/>
      <c r="L687" s="123"/>
      <c r="M687" s="123"/>
      <c r="N687" s="123"/>
      <c r="O687" s="123"/>
      <c r="P687" s="123"/>
      <c r="Q687" s="123"/>
      <c r="R687" s="123"/>
      <c r="S687" s="123"/>
      <c r="T687" s="123"/>
      <c r="U687" s="123"/>
      <c r="V687" s="123"/>
      <c r="W687" s="123"/>
      <c r="X687" s="123"/>
      <c r="Y687" s="123"/>
      <c r="Z687" s="123"/>
    </row>
    <row r="688">
      <c r="A688" s="416"/>
      <c r="B688" s="134"/>
      <c r="C688" s="417"/>
      <c r="D688" s="418"/>
      <c r="E688" s="123"/>
      <c r="F688" s="123"/>
      <c r="G688" s="123"/>
      <c r="H688" s="123"/>
      <c r="I688" s="123"/>
      <c r="J688" s="123"/>
      <c r="K688" s="123"/>
      <c r="L688" s="123"/>
      <c r="M688" s="123"/>
      <c r="N688" s="123"/>
      <c r="O688" s="123"/>
      <c r="P688" s="123"/>
      <c r="Q688" s="123"/>
      <c r="R688" s="123"/>
      <c r="S688" s="123"/>
      <c r="T688" s="123"/>
      <c r="U688" s="123"/>
      <c r="V688" s="123"/>
      <c r="W688" s="123"/>
      <c r="X688" s="123"/>
      <c r="Y688" s="123"/>
      <c r="Z688" s="123"/>
    </row>
    <row r="689">
      <c r="A689" s="416"/>
      <c r="B689" s="134"/>
      <c r="C689" s="417"/>
      <c r="D689" s="418"/>
      <c r="E689" s="123"/>
      <c r="F689" s="123"/>
      <c r="G689" s="123"/>
      <c r="H689" s="123"/>
      <c r="I689" s="123"/>
      <c r="J689" s="123"/>
      <c r="K689" s="123"/>
      <c r="L689" s="123"/>
      <c r="M689" s="123"/>
      <c r="N689" s="123"/>
      <c r="O689" s="123"/>
      <c r="P689" s="123"/>
      <c r="Q689" s="123"/>
      <c r="R689" s="123"/>
      <c r="S689" s="123"/>
      <c r="T689" s="123"/>
      <c r="U689" s="123"/>
      <c r="V689" s="123"/>
      <c r="W689" s="123"/>
      <c r="X689" s="123"/>
      <c r="Y689" s="123"/>
      <c r="Z689" s="123"/>
    </row>
    <row r="690">
      <c r="A690" s="416"/>
      <c r="B690" s="134"/>
      <c r="C690" s="417"/>
      <c r="D690" s="418"/>
      <c r="E690" s="123"/>
      <c r="F690" s="123"/>
      <c r="G690" s="123"/>
      <c r="H690" s="123"/>
      <c r="I690" s="123"/>
      <c r="J690" s="123"/>
      <c r="K690" s="123"/>
      <c r="L690" s="123"/>
      <c r="M690" s="123"/>
      <c r="N690" s="123"/>
      <c r="O690" s="123"/>
      <c r="P690" s="123"/>
      <c r="Q690" s="123"/>
      <c r="R690" s="123"/>
      <c r="S690" s="123"/>
      <c r="T690" s="123"/>
      <c r="U690" s="123"/>
      <c r="V690" s="123"/>
      <c r="W690" s="123"/>
      <c r="X690" s="123"/>
      <c r="Y690" s="123"/>
      <c r="Z690" s="123"/>
    </row>
    <row r="691">
      <c r="A691" s="416"/>
      <c r="B691" s="134"/>
      <c r="C691" s="417"/>
      <c r="D691" s="418"/>
      <c r="E691" s="123"/>
      <c r="F691" s="123"/>
      <c r="G691" s="123"/>
      <c r="H691" s="123"/>
      <c r="I691" s="123"/>
      <c r="J691" s="123"/>
      <c r="K691" s="123"/>
      <c r="L691" s="123"/>
      <c r="M691" s="123"/>
      <c r="N691" s="123"/>
      <c r="O691" s="123"/>
      <c r="P691" s="123"/>
      <c r="Q691" s="123"/>
      <c r="R691" s="123"/>
      <c r="S691" s="123"/>
      <c r="T691" s="123"/>
      <c r="U691" s="123"/>
      <c r="V691" s="123"/>
      <c r="W691" s="123"/>
      <c r="X691" s="123"/>
      <c r="Y691" s="123"/>
      <c r="Z691" s="123"/>
    </row>
    <row r="692">
      <c r="A692" s="416"/>
      <c r="B692" s="134"/>
      <c r="C692" s="417"/>
      <c r="D692" s="418"/>
      <c r="E692" s="123"/>
      <c r="F692" s="123"/>
      <c r="G692" s="123"/>
      <c r="H692" s="123"/>
      <c r="I692" s="123"/>
      <c r="J692" s="123"/>
      <c r="K692" s="123"/>
      <c r="L692" s="123"/>
      <c r="M692" s="123"/>
      <c r="N692" s="123"/>
      <c r="O692" s="123"/>
      <c r="P692" s="123"/>
      <c r="Q692" s="123"/>
      <c r="R692" s="123"/>
      <c r="S692" s="123"/>
      <c r="T692" s="123"/>
      <c r="U692" s="123"/>
      <c r="V692" s="123"/>
      <c r="W692" s="123"/>
      <c r="X692" s="123"/>
      <c r="Y692" s="123"/>
      <c r="Z692" s="123"/>
    </row>
    <row r="693">
      <c r="A693" s="416"/>
      <c r="B693" s="134"/>
      <c r="C693" s="417"/>
      <c r="D693" s="418"/>
      <c r="E693" s="123"/>
      <c r="F693" s="123"/>
      <c r="G693" s="123"/>
      <c r="H693" s="123"/>
      <c r="I693" s="123"/>
      <c r="J693" s="123"/>
      <c r="K693" s="123"/>
      <c r="L693" s="123"/>
      <c r="M693" s="123"/>
      <c r="N693" s="123"/>
      <c r="O693" s="123"/>
      <c r="P693" s="123"/>
      <c r="Q693" s="123"/>
      <c r="R693" s="123"/>
      <c r="S693" s="123"/>
      <c r="T693" s="123"/>
      <c r="U693" s="123"/>
      <c r="V693" s="123"/>
      <c r="W693" s="123"/>
      <c r="X693" s="123"/>
      <c r="Y693" s="123"/>
      <c r="Z693" s="123"/>
    </row>
    <row r="694">
      <c r="A694" s="416"/>
      <c r="B694" s="134"/>
      <c r="C694" s="417"/>
      <c r="D694" s="418"/>
      <c r="E694" s="123"/>
      <c r="F694" s="123"/>
      <c r="G694" s="123"/>
      <c r="H694" s="123"/>
      <c r="I694" s="123"/>
      <c r="J694" s="123"/>
      <c r="K694" s="123"/>
      <c r="L694" s="123"/>
      <c r="M694" s="123"/>
      <c r="N694" s="123"/>
      <c r="O694" s="123"/>
      <c r="P694" s="123"/>
      <c r="Q694" s="123"/>
      <c r="R694" s="123"/>
      <c r="S694" s="123"/>
      <c r="T694" s="123"/>
      <c r="U694" s="123"/>
      <c r="V694" s="123"/>
      <c r="W694" s="123"/>
      <c r="X694" s="123"/>
      <c r="Y694" s="123"/>
      <c r="Z694" s="123"/>
    </row>
    <row r="695">
      <c r="A695" s="416"/>
      <c r="B695" s="134"/>
      <c r="C695" s="417"/>
      <c r="D695" s="418"/>
      <c r="E695" s="123"/>
      <c r="F695" s="123"/>
      <c r="G695" s="123"/>
      <c r="H695" s="123"/>
      <c r="I695" s="123"/>
      <c r="J695" s="123"/>
      <c r="K695" s="123"/>
      <c r="L695" s="123"/>
      <c r="M695" s="123"/>
      <c r="N695" s="123"/>
      <c r="O695" s="123"/>
      <c r="P695" s="123"/>
      <c r="Q695" s="123"/>
      <c r="R695" s="123"/>
      <c r="S695" s="123"/>
      <c r="T695" s="123"/>
      <c r="U695" s="123"/>
      <c r="V695" s="123"/>
      <c r="W695" s="123"/>
      <c r="X695" s="123"/>
      <c r="Y695" s="123"/>
      <c r="Z695" s="123"/>
    </row>
    <row r="696">
      <c r="A696" s="416"/>
      <c r="B696" s="134"/>
      <c r="C696" s="417"/>
      <c r="D696" s="418"/>
      <c r="E696" s="123"/>
      <c r="F696" s="123"/>
      <c r="G696" s="123"/>
      <c r="H696" s="123"/>
      <c r="I696" s="123"/>
      <c r="J696" s="123"/>
      <c r="K696" s="123"/>
      <c r="L696" s="123"/>
      <c r="M696" s="123"/>
      <c r="N696" s="123"/>
      <c r="O696" s="123"/>
      <c r="P696" s="123"/>
      <c r="Q696" s="123"/>
      <c r="R696" s="123"/>
      <c r="S696" s="123"/>
      <c r="T696" s="123"/>
      <c r="U696" s="123"/>
      <c r="V696" s="123"/>
      <c r="W696" s="123"/>
      <c r="X696" s="123"/>
      <c r="Y696" s="123"/>
      <c r="Z696" s="123"/>
    </row>
    <row r="697">
      <c r="A697" s="416"/>
      <c r="B697" s="134"/>
      <c r="C697" s="417"/>
      <c r="D697" s="418"/>
      <c r="E697" s="123"/>
      <c r="F697" s="123"/>
      <c r="G697" s="123"/>
      <c r="H697" s="123"/>
      <c r="I697" s="123"/>
      <c r="J697" s="123"/>
      <c r="K697" s="123"/>
      <c r="L697" s="123"/>
      <c r="M697" s="123"/>
      <c r="N697" s="123"/>
      <c r="O697" s="123"/>
      <c r="P697" s="123"/>
      <c r="Q697" s="123"/>
      <c r="R697" s="123"/>
      <c r="S697" s="123"/>
      <c r="T697" s="123"/>
      <c r="U697" s="123"/>
      <c r="V697" s="123"/>
      <c r="W697" s="123"/>
      <c r="X697" s="123"/>
      <c r="Y697" s="123"/>
      <c r="Z697" s="123"/>
    </row>
    <row r="698">
      <c r="A698" s="416"/>
      <c r="B698" s="134"/>
      <c r="C698" s="417"/>
      <c r="D698" s="418"/>
      <c r="E698" s="123"/>
      <c r="F698" s="123"/>
      <c r="G698" s="123"/>
      <c r="H698" s="123"/>
      <c r="I698" s="123"/>
      <c r="J698" s="123"/>
      <c r="K698" s="123"/>
      <c r="L698" s="123"/>
      <c r="M698" s="123"/>
      <c r="N698" s="123"/>
      <c r="O698" s="123"/>
      <c r="P698" s="123"/>
      <c r="Q698" s="123"/>
      <c r="R698" s="123"/>
      <c r="S698" s="123"/>
      <c r="T698" s="123"/>
      <c r="U698" s="123"/>
      <c r="V698" s="123"/>
      <c r="W698" s="123"/>
      <c r="X698" s="123"/>
      <c r="Y698" s="123"/>
      <c r="Z698" s="123"/>
    </row>
    <row r="699">
      <c r="A699" s="416"/>
      <c r="B699" s="134"/>
      <c r="C699" s="417"/>
      <c r="D699" s="418"/>
      <c r="E699" s="123"/>
      <c r="F699" s="123"/>
      <c r="G699" s="123"/>
      <c r="H699" s="123"/>
      <c r="I699" s="123"/>
      <c r="J699" s="123"/>
      <c r="K699" s="123"/>
      <c r="L699" s="123"/>
      <c r="M699" s="123"/>
      <c r="N699" s="123"/>
      <c r="O699" s="123"/>
      <c r="P699" s="123"/>
      <c r="Q699" s="123"/>
      <c r="R699" s="123"/>
      <c r="S699" s="123"/>
      <c r="T699" s="123"/>
      <c r="U699" s="123"/>
      <c r="V699" s="123"/>
      <c r="W699" s="123"/>
      <c r="X699" s="123"/>
      <c r="Y699" s="123"/>
      <c r="Z699" s="123"/>
    </row>
    <row r="700">
      <c r="A700" s="416"/>
      <c r="B700" s="134"/>
      <c r="C700" s="417"/>
      <c r="D700" s="418"/>
      <c r="E700" s="123"/>
      <c r="F700" s="123"/>
      <c r="G700" s="123"/>
      <c r="H700" s="123"/>
      <c r="I700" s="123"/>
      <c r="J700" s="123"/>
      <c r="K700" s="123"/>
      <c r="L700" s="123"/>
      <c r="M700" s="123"/>
      <c r="N700" s="123"/>
      <c r="O700" s="123"/>
      <c r="P700" s="123"/>
      <c r="Q700" s="123"/>
      <c r="R700" s="123"/>
      <c r="S700" s="123"/>
      <c r="T700" s="123"/>
      <c r="U700" s="123"/>
      <c r="V700" s="123"/>
      <c r="W700" s="123"/>
      <c r="X700" s="123"/>
      <c r="Y700" s="123"/>
      <c r="Z700" s="123"/>
    </row>
    <row r="701">
      <c r="A701" s="416"/>
      <c r="B701" s="134"/>
      <c r="C701" s="417"/>
      <c r="D701" s="418"/>
      <c r="E701" s="123"/>
      <c r="F701" s="123"/>
      <c r="G701" s="123"/>
      <c r="H701" s="123"/>
      <c r="I701" s="123"/>
      <c r="J701" s="123"/>
      <c r="K701" s="123"/>
      <c r="L701" s="123"/>
      <c r="M701" s="123"/>
      <c r="N701" s="123"/>
      <c r="O701" s="123"/>
      <c r="P701" s="123"/>
      <c r="Q701" s="123"/>
      <c r="R701" s="123"/>
      <c r="S701" s="123"/>
      <c r="T701" s="123"/>
      <c r="U701" s="123"/>
      <c r="V701" s="123"/>
      <c r="W701" s="123"/>
      <c r="X701" s="123"/>
      <c r="Y701" s="123"/>
      <c r="Z701" s="123"/>
    </row>
    <row r="702">
      <c r="A702" s="416"/>
      <c r="B702" s="134"/>
      <c r="C702" s="417"/>
      <c r="D702" s="418"/>
      <c r="E702" s="123"/>
      <c r="F702" s="123"/>
      <c r="G702" s="123"/>
      <c r="H702" s="123"/>
      <c r="I702" s="123"/>
      <c r="J702" s="123"/>
      <c r="K702" s="123"/>
      <c r="L702" s="123"/>
      <c r="M702" s="123"/>
      <c r="N702" s="123"/>
      <c r="O702" s="123"/>
      <c r="P702" s="123"/>
      <c r="Q702" s="123"/>
      <c r="R702" s="123"/>
      <c r="S702" s="123"/>
      <c r="T702" s="123"/>
      <c r="U702" s="123"/>
      <c r="V702" s="123"/>
      <c r="W702" s="123"/>
      <c r="X702" s="123"/>
      <c r="Y702" s="123"/>
      <c r="Z702" s="123"/>
    </row>
    <row r="703">
      <c r="A703" s="416"/>
      <c r="B703" s="134"/>
      <c r="C703" s="417"/>
      <c r="D703" s="418"/>
      <c r="E703" s="123"/>
      <c r="F703" s="123"/>
      <c r="G703" s="123"/>
      <c r="H703" s="123"/>
      <c r="I703" s="123"/>
      <c r="J703" s="123"/>
      <c r="K703" s="123"/>
      <c r="L703" s="123"/>
      <c r="M703" s="123"/>
      <c r="N703" s="123"/>
      <c r="O703" s="123"/>
      <c r="P703" s="123"/>
      <c r="Q703" s="123"/>
      <c r="R703" s="123"/>
      <c r="S703" s="123"/>
      <c r="T703" s="123"/>
      <c r="U703" s="123"/>
      <c r="V703" s="123"/>
      <c r="W703" s="123"/>
      <c r="X703" s="123"/>
      <c r="Y703" s="123"/>
      <c r="Z703" s="123"/>
    </row>
    <row r="704">
      <c r="A704" s="416"/>
      <c r="B704" s="134"/>
      <c r="C704" s="417"/>
      <c r="D704" s="418"/>
      <c r="E704" s="123"/>
      <c r="F704" s="123"/>
      <c r="G704" s="123"/>
      <c r="H704" s="123"/>
      <c r="I704" s="123"/>
      <c r="J704" s="123"/>
      <c r="K704" s="123"/>
      <c r="L704" s="123"/>
      <c r="M704" s="123"/>
      <c r="N704" s="123"/>
      <c r="O704" s="123"/>
      <c r="P704" s="123"/>
      <c r="Q704" s="123"/>
      <c r="R704" s="123"/>
      <c r="S704" s="123"/>
      <c r="T704" s="123"/>
      <c r="U704" s="123"/>
      <c r="V704" s="123"/>
      <c r="W704" s="123"/>
      <c r="X704" s="123"/>
      <c r="Y704" s="123"/>
      <c r="Z704" s="123"/>
    </row>
    <row r="705">
      <c r="A705" s="416"/>
      <c r="B705" s="134"/>
      <c r="C705" s="417"/>
      <c r="D705" s="418"/>
      <c r="E705" s="123"/>
      <c r="F705" s="123"/>
      <c r="G705" s="123"/>
      <c r="H705" s="123"/>
      <c r="I705" s="123"/>
      <c r="J705" s="123"/>
      <c r="K705" s="123"/>
      <c r="L705" s="123"/>
      <c r="M705" s="123"/>
      <c r="N705" s="123"/>
      <c r="O705" s="123"/>
      <c r="P705" s="123"/>
      <c r="Q705" s="123"/>
      <c r="R705" s="123"/>
      <c r="S705" s="123"/>
      <c r="T705" s="123"/>
      <c r="U705" s="123"/>
      <c r="V705" s="123"/>
      <c r="W705" s="123"/>
      <c r="X705" s="123"/>
      <c r="Y705" s="123"/>
      <c r="Z705" s="123"/>
    </row>
    <row r="706">
      <c r="A706" s="416"/>
      <c r="B706" s="134"/>
      <c r="C706" s="417"/>
      <c r="D706" s="418"/>
      <c r="E706" s="123"/>
      <c r="F706" s="123"/>
      <c r="G706" s="123"/>
      <c r="H706" s="123"/>
      <c r="I706" s="123"/>
      <c r="J706" s="123"/>
      <c r="K706" s="123"/>
      <c r="L706" s="123"/>
      <c r="M706" s="123"/>
      <c r="N706" s="123"/>
      <c r="O706" s="123"/>
      <c r="P706" s="123"/>
      <c r="Q706" s="123"/>
      <c r="R706" s="123"/>
      <c r="S706" s="123"/>
      <c r="T706" s="123"/>
      <c r="U706" s="123"/>
      <c r="V706" s="123"/>
      <c r="W706" s="123"/>
      <c r="X706" s="123"/>
      <c r="Y706" s="123"/>
      <c r="Z706" s="123"/>
    </row>
    <row r="707">
      <c r="A707" s="416"/>
      <c r="B707" s="134"/>
      <c r="C707" s="417"/>
      <c r="D707" s="418"/>
      <c r="E707" s="123"/>
      <c r="F707" s="123"/>
      <c r="G707" s="123"/>
      <c r="H707" s="123"/>
      <c r="I707" s="123"/>
      <c r="J707" s="123"/>
      <c r="K707" s="123"/>
      <c r="L707" s="123"/>
      <c r="M707" s="123"/>
      <c r="N707" s="123"/>
      <c r="O707" s="123"/>
      <c r="P707" s="123"/>
      <c r="Q707" s="123"/>
      <c r="R707" s="123"/>
      <c r="S707" s="123"/>
      <c r="T707" s="123"/>
      <c r="U707" s="123"/>
      <c r="V707" s="123"/>
      <c r="W707" s="123"/>
      <c r="X707" s="123"/>
      <c r="Y707" s="123"/>
      <c r="Z707" s="123"/>
    </row>
    <row r="708">
      <c r="A708" s="416"/>
      <c r="B708" s="134"/>
      <c r="C708" s="417"/>
      <c r="D708" s="418"/>
      <c r="E708" s="123"/>
      <c r="F708" s="123"/>
      <c r="G708" s="123"/>
      <c r="H708" s="123"/>
      <c r="I708" s="123"/>
      <c r="J708" s="123"/>
      <c r="K708" s="123"/>
      <c r="L708" s="123"/>
      <c r="M708" s="123"/>
      <c r="N708" s="123"/>
      <c r="O708" s="123"/>
      <c r="P708" s="123"/>
      <c r="Q708" s="123"/>
      <c r="R708" s="123"/>
      <c r="S708" s="123"/>
      <c r="T708" s="123"/>
      <c r="U708" s="123"/>
      <c r="V708" s="123"/>
      <c r="W708" s="123"/>
      <c r="X708" s="123"/>
      <c r="Y708" s="123"/>
      <c r="Z708" s="123"/>
    </row>
    <row r="709">
      <c r="A709" s="416"/>
      <c r="B709" s="134"/>
      <c r="C709" s="417"/>
      <c r="D709" s="418"/>
      <c r="E709" s="123"/>
      <c r="F709" s="123"/>
      <c r="G709" s="123"/>
      <c r="H709" s="123"/>
      <c r="I709" s="123"/>
      <c r="J709" s="123"/>
      <c r="K709" s="123"/>
      <c r="L709" s="123"/>
      <c r="M709" s="123"/>
      <c r="N709" s="123"/>
      <c r="O709" s="123"/>
      <c r="P709" s="123"/>
      <c r="Q709" s="123"/>
      <c r="R709" s="123"/>
      <c r="S709" s="123"/>
      <c r="T709" s="123"/>
      <c r="U709" s="123"/>
      <c r="V709" s="123"/>
      <c r="W709" s="123"/>
      <c r="X709" s="123"/>
      <c r="Y709" s="123"/>
      <c r="Z709" s="123"/>
    </row>
    <row r="710">
      <c r="A710" s="416"/>
      <c r="B710" s="134"/>
      <c r="C710" s="417"/>
      <c r="D710" s="418"/>
      <c r="E710" s="123"/>
      <c r="F710" s="123"/>
      <c r="G710" s="123"/>
      <c r="H710" s="123"/>
      <c r="I710" s="123"/>
      <c r="J710" s="123"/>
      <c r="K710" s="123"/>
      <c r="L710" s="123"/>
      <c r="M710" s="123"/>
      <c r="N710" s="123"/>
      <c r="O710" s="123"/>
      <c r="P710" s="123"/>
      <c r="Q710" s="123"/>
      <c r="R710" s="123"/>
      <c r="S710" s="123"/>
      <c r="T710" s="123"/>
      <c r="U710" s="123"/>
      <c r="V710" s="123"/>
      <c r="W710" s="123"/>
      <c r="X710" s="123"/>
      <c r="Y710" s="123"/>
      <c r="Z710" s="123"/>
    </row>
    <row r="711">
      <c r="A711" s="416"/>
      <c r="B711" s="134"/>
      <c r="C711" s="417"/>
      <c r="D711" s="418"/>
      <c r="E711" s="123"/>
      <c r="F711" s="123"/>
      <c r="G711" s="123"/>
      <c r="H711" s="123"/>
      <c r="I711" s="123"/>
      <c r="J711" s="123"/>
      <c r="K711" s="123"/>
      <c r="L711" s="123"/>
      <c r="M711" s="123"/>
      <c r="N711" s="123"/>
      <c r="O711" s="123"/>
      <c r="P711" s="123"/>
      <c r="Q711" s="123"/>
      <c r="R711" s="123"/>
      <c r="S711" s="123"/>
      <c r="T711" s="123"/>
      <c r="U711" s="123"/>
      <c r="V711" s="123"/>
      <c r="W711" s="123"/>
      <c r="X711" s="123"/>
      <c r="Y711" s="123"/>
      <c r="Z711" s="123"/>
    </row>
    <row r="712">
      <c r="A712" s="416"/>
      <c r="B712" s="134"/>
      <c r="C712" s="417"/>
      <c r="D712" s="418"/>
      <c r="E712" s="123"/>
      <c r="F712" s="123"/>
      <c r="G712" s="123"/>
      <c r="H712" s="123"/>
      <c r="I712" s="123"/>
      <c r="J712" s="123"/>
      <c r="K712" s="123"/>
      <c r="L712" s="123"/>
      <c r="M712" s="123"/>
      <c r="N712" s="123"/>
      <c r="O712" s="123"/>
      <c r="P712" s="123"/>
      <c r="Q712" s="123"/>
      <c r="R712" s="123"/>
      <c r="S712" s="123"/>
      <c r="T712" s="123"/>
      <c r="U712" s="123"/>
      <c r="V712" s="123"/>
      <c r="W712" s="123"/>
      <c r="X712" s="123"/>
      <c r="Y712" s="123"/>
      <c r="Z712" s="123"/>
    </row>
    <row r="713">
      <c r="A713" s="416"/>
      <c r="B713" s="134"/>
      <c r="C713" s="417"/>
      <c r="D713" s="418"/>
      <c r="E713" s="123"/>
      <c r="F713" s="123"/>
      <c r="G713" s="123"/>
      <c r="H713" s="123"/>
      <c r="I713" s="123"/>
      <c r="J713" s="123"/>
      <c r="K713" s="123"/>
      <c r="L713" s="123"/>
      <c r="M713" s="123"/>
      <c r="N713" s="123"/>
      <c r="O713" s="123"/>
      <c r="P713" s="123"/>
      <c r="Q713" s="123"/>
      <c r="R713" s="123"/>
      <c r="S713" s="123"/>
      <c r="T713" s="123"/>
      <c r="U713" s="123"/>
      <c r="V713" s="123"/>
      <c r="W713" s="123"/>
      <c r="X713" s="123"/>
      <c r="Y713" s="123"/>
      <c r="Z713" s="123"/>
    </row>
    <row r="714">
      <c r="A714" s="416"/>
      <c r="B714" s="134"/>
      <c r="C714" s="417"/>
      <c r="D714" s="418"/>
      <c r="E714" s="123"/>
      <c r="F714" s="123"/>
      <c r="G714" s="123"/>
      <c r="H714" s="123"/>
      <c r="I714" s="123"/>
      <c r="J714" s="123"/>
      <c r="K714" s="123"/>
      <c r="L714" s="123"/>
      <c r="M714" s="123"/>
      <c r="N714" s="123"/>
      <c r="O714" s="123"/>
      <c r="P714" s="123"/>
      <c r="Q714" s="123"/>
      <c r="R714" s="123"/>
      <c r="S714" s="123"/>
      <c r="T714" s="123"/>
      <c r="U714" s="123"/>
      <c r="V714" s="123"/>
      <c r="W714" s="123"/>
      <c r="X714" s="123"/>
      <c r="Y714" s="123"/>
      <c r="Z714" s="123"/>
    </row>
    <row r="715">
      <c r="A715" s="416"/>
      <c r="B715" s="134"/>
      <c r="C715" s="417"/>
      <c r="D715" s="418"/>
      <c r="E715" s="123"/>
      <c r="F715" s="123"/>
      <c r="G715" s="123"/>
      <c r="H715" s="123"/>
      <c r="I715" s="123"/>
      <c r="J715" s="123"/>
      <c r="K715" s="123"/>
      <c r="L715" s="123"/>
      <c r="M715" s="123"/>
      <c r="N715" s="123"/>
      <c r="O715" s="123"/>
      <c r="P715" s="123"/>
      <c r="Q715" s="123"/>
      <c r="R715" s="123"/>
      <c r="S715" s="123"/>
      <c r="T715" s="123"/>
      <c r="U715" s="123"/>
      <c r="V715" s="123"/>
      <c r="W715" s="123"/>
      <c r="X715" s="123"/>
      <c r="Y715" s="123"/>
      <c r="Z715" s="123"/>
    </row>
    <row r="716">
      <c r="A716" s="416"/>
      <c r="B716" s="134"/>
      <c r="C716" s="417"/>
      <c r="D716" s="418"/>
      <c r="E716" s="123"/>
      <c r="F716" s="123"/>
      <c r="G716" s="123"/>
      <c r="H716" s="123"/>
      <c r="I716" s="123"/>
      <c r="J716" s="123"/>
      <c r="K716" s="123"/>
      <c r="L716" s="123"/>
      <c r="M716" s="123"/>
      <c r="N716" s="123"/>
      <c r="O716" s="123"/>
      <c r="P716" s="123"/>
      <c r="Q716" s="123"/>
      <c r="R716" s="123"/>
      <c r="S716" s="123"/>
      <c r="T716" s="123"/>
      <c r="U716" s="123"/>
      <c r="V716" s="123"/>
      <c r="W716" s="123"/>
      <c r="X716" s="123"/>
      <c r="Y716" s="123"/>
      <c r="Z716" s="123"/>
    </row>
    <row r="717">
      <c r="A717" s="416"/>
      <c r="B717" s="134"/>
      <c r="C717" s="417"/>
      <c r="D717" s="418"/>
      <c r="E717" s="123"/>
      <c r="F717" s="123"/>
      <c r="G717" s="123"/>
      <c r="H717" s="123"/>
      <c r="I717" s="123"/>
      <c r="J717" s="123"/>
      <c r="K717" s="123"/>
      <c r="L717" s="123"/>
      <c r="M717" s="123"/>
      <c r="N717" s="123"/>
      <c r="O717" s="123"/>
      <c r="P717" s="123"/>
      <c r="Q717" s="123"/>
      <c r="R717" s="123"/>
      <c r="S717" s="123"/>
      <c r="T717" s="123"/>
      <c r="U717" s="123"/>
      <c r="V717" s="123"/>
      <c r="W717" s="123"/>
      <c r="X717" s="123"/>
      <c r="Y717" s="123"/>
      <c r="Z717" s="123"/>
    </row>
    <row r="718">
      <c r="A718" s="416"/>
      <c r="B718" s="134"/>
      <c r="C718" s="417"/>
      <c r="D718" s="418"/>
      <c r="E718" s="123"/>
      <c r="F718" s="123"/>
      <c r="G718" s="123"/>
      <c r="H718" s="123"/>
      <c r="I718" s="123"/>
      <c r="J718" s="123"/>
      <c r="K718" s="123"/>
      <c r="L718" s="123"/>
      <c r="M718" s="123"/>
      <c r="N718" s="123"/>
      <c r="O718" s="123"/>
      <c r="P718" s="123"/>
      <c r="Q718" s="123"/>
      <c r="R718" s="123"/>
      <c r="S718" s="123"/>
      <c r="T718" s="123"/>
      <c r="U718" s="123"/>
      <c r="V718" s="123"/>
      <c r="W718" s="123"/>
      <c r="X718" s="123"/>
      <c r="Y718" s="123"/>
      <c r="Z718" s="123"/>
    </row>
    <row r="719">
      <c r="A719" s="416"/>
      <c r="B719" s="134"/>
      <c r="C719" s="417"/>
      <c r="D719" s="418"/>
      <c r="E719" s="123"/>
      <c r="F719" s="123"/>
      <c r="G719" s="123"/>
      <c r="H719" s="123"/>
      <c r="I719" s="123"/>
      <c r="J719" s="123"/>
      <c r="K719" s="123"/>
      <c r="L719" s="123"/>
      <c r="M719" s="123"/>
      <c r="N719" s="123"/>
      <c r="O719" s="123"/>
      <c r="P719" s="123"/>
      <c r="Q719" s="123"/>
      <c r="R719" s="123"/>
      <c r="S719" s="123"/>
      <c r="T719" s="123"/>
      <c r="U719" s="123"/>
      <c r="V719" s="123"/>
      <c r="W719" s="123"/>
      <c r="X719" s="123"/>
      <c r="Y719" s="123"/>
      <c r="Z719" s="123"/>
    </row>
    <row r="720">
      <c r="A720" s="416"/>
      <c r="B720" s="134"/>
      <c r="C720" s="417"/>
      <c r="D720" s="418"/>
      <c r="E720" s="123"/>
      <c r="F720" s="123"/>
      <c r="G720" s="123"/>
      <c r="H720" s="123"/>
      <c r="I720" s="123"/>
      <c r="J720" s="123"/>
      <c r="K720" s="123"/>
      <c r="L720" s="123"/>
      <c r="M720" s="123"/>
      <c r="N720" s="123"/>
      <c r="O720" s="123"/>
      <c r="P720" s="123"/>
      <c r="Q720" s="123"/>
      <c r="R720" s="123"/>
      <c r="S720" s="123"/>
      <c r="T720" s="123"/>
      <c r="U720" s="123"/>
      <c r="V720" s="123"/>
      <c r="W720" s="123"/>
      <c r="X720" s="123"/>
      <c r="Y720" s="123"/>
      <c r="Z720" s="123"/>
    </row>
    <row r="721">
      <c r="A721" s="416"/>
      <c r="B721" s="134"/>
      <c r="C721" s="417"/>
      <c r="D721" s="418"/>
      <c r="E721" s="123"/>
      <c r="F721" s="123"/>
      <c r="G721" s="123"/>
      <c r="H721" s="123"/>
      <c r="I721" s="123"/>
      <c r="J721" s="123"/>
      <c r="K721" s="123"/>
      <c r="L721" s="123"/>
      <c r="M721" s="123"/>
      <c r="N721" s="123"/>
      <c r="O721" s="123"/>
      <c r="P721" s="123"/>
      <c r="Q721" s="123"/>
      <c r="R721" s="123"/>
      <c r="S721" s="123"/>
      <c r="T721" s="123"/>
      <c r="U721" s="123"/>
      <c r="V721" s="123"/>
      <c r="W721" s="123"/>
      <c r="X721" s="123"/>
      <c r="Y721" s="123"/>
      <c r="Z721" s="123"/>
    </row>
    <row r="722">
      <c r="A722" s="416"/>
      <c r="B722" s="134"/>
      <c r="C722" s="417"/>
      <c r="D722" s="418"/>
      <c r="E722" s="123"/>
      <c r="F722" s="123"/>
      <c r="G722" s="123"/>
      <c r="H722" s="123"/>
      <c r="I722" s="123"/>
      <c r="J722" s="123"/>
      <c r="K722" s="123"/>
      <c r="L722" s="123"/>
      <c r="M722" s="123"/>
      <c r="N722" s="123"/>
      <c r="O722" s="123"/>
      <c r="P722" s="123"/>
      <c r="Q722" s="123"/>
      <c r="R722" s="123"/>
      <c r="S722" s="123"/>
      <c r="T722" s="123"/>
      <c r="U722" s="123"/>
      <c r="V722" s="123"/>
      <c r="W722" s="123"/>
      <c r="X722" s="123"/>
      <c r="Y722" s="123"/>
      <c r="Z722" s="123"/>
    </row>
    <row r="723">
      <c r="A723" s="416"/>
      <c r="B723" s="134"/>
      <c r="C723" s="417"/>
      <c r="D723" s="418"/>
      <c r="E723" s="123"/>
      <c r="F723" s="123"/>
      <c r="G723" s="123"/>
      <c r="H723" s="123"/>
      <c r="I723" s="123"/>
      <c r="J723" s="123"/>
      <c r="K723" s="123"/>
      <c r="L723" s="123"/>
      <c r="M723" s="123"/>
      <c r="N723" s="123"/>
      <c r="O723" s="123"/>
      <c r="P723" s="123"/>
      <c r="Q723" s="123"/>
      <c r="R723" s="123"/>
      <c r="S723" s="123"/>
      <c r="T723" s="123"/>
      <c r="U723" s="123"/>
      <c r="V723" s="123"/>
      <c r="W723" s="123"/>
      <c r="X723" s="123"/>
      <c r="Y723" s="123"/>
      <c r="Z723" s="123"/>
    </row>
    <row r="724">
      <c r="A724" s="416"/>
      <c r="B724" s="134"/>
      <c r="C724" s="417"/>
      <c r="D724" s="418"/>
      <c r="E724" s="123"/>
      <c r="F724" s="123"/>
      <c r="G724" s="123"/>
      <c r="H724" s="123"/>
      <c r="I724" s="123"/>
      <c r="J724" s="123"/>
      <c r="K724" s="123"/>
      <c r="L724" s="123"/>
      <c r="M724" s="123"/>
      <c r="N724" s="123"/>
      <c r="O724" s="123"/>
      <c r="P724" s="123"/>
      <c r="Q724" s="123"/>
      <c r="R724" s="123"/>
      <c r="S724" s="123"/>
      <c r="T724" s="123"/>
      <c r="U724" s="123"/>
      <c r="V724" s="123"/>
      <c r="W724" s="123"/>
      <c r="X724" s="123"/>
      <c r="Y724" s="123"/>
      <c r="Z724" s="123"/>
    </row>
    <row r="725">
      <c r="A725" s="416"/>
      <c r="B725" s="134"/>
      <c r="C725" s="417"/>
      <c r="D725" s="418"/>
      <c r="E725" s="123"/>
      <c r="F725" s="123"/>
      <c r="G725" s="123"/>
      <c r="H725" s="123"/>
      <c r="I725" s="123"/>
      <c r="J725" s="123"/>
      <c r="K725" s="123"/>
      <c r="L725" s="123"/>
      <c r="M725" s="123"/>
      <c r="N725" s="123"/>
      <c r="O725" s="123"/>
      <c r="P725" s="123"/>
      <c r="Q725" s="123"/>
      <c r="R725" s="123"/>
      <c r="S725" s="123"/>
      <c r="T725" s="123"/>
      <c r="U725" s="123"/>
      <c r="V725" s="123"/>
      <c r="W725" s="123"/>
      <c r="X725" s="123"/>
      <c r="Y725" s="123"/>
      <c r="Z725" s="123"/>
    </row>
    <row r="726">
      <c r="A726" s="416"/>
      <c r="B726" s="134"/>
      <c r="C726" s="417"/>
      <c r="D726" s="418"/>
      <c r="E726" s="123"/>
      <c r="F726" s="123"/>
      <c r="G726" s="123"/>
      <c r="H726" s="123"/>
      <c r="I726" s="123"/>
      <c r="J726" s="123"/>
      <c r="K726" s="123"/>
      <c r="L726" s="123"/>
      <c r="M726" s="123"/>
      <c r="N726" s="123"/>
      <c r="O726" s="123"/>
      <c r="P726" s="123"/>
      <c r="Q726" s="123"/>
      <c r="R726" s="123"/>
      <c r="S726" s="123"/>
      <c r="T726" s="123"/>
      <c r="U726" s="123"/>
      <c r="V726" s="123"/>
      <c r="W726" s="123"/>
      <c r="X726" s="123"/>
      <c r="Y726" s="123"/>
      <c r="Z726" s="123"/>
    </row>
    <row r="727">
      <c r="A727" s="416"/>
      <c r="B727" s="134"/>
      <c r="C727" s="417"/>
      <c r="D727" s="418"/>
      <c r="E727" s="123"/>
      <c r="F727" s="123"/>
      <c r="G727" s="123"/>
      <c r="H727" s="123"/>
      <c r="I727" s="123"/>
      <c r="J727" s="123"/>
      <c r="K727" s="123"/>
      <c r="L727" s="123"/>
      <c r="M727" s="123"/>
      <c r="N727" s="123"/>
      <c r="O727" s="123"/>
      <c r="P727" s="123"/>
      <c r="Q727" s="123"/>
      <c r="R727" s="123"/>
      <c r="S727" s="123"/>
      <c r="T727" s="123"/>
      <c r="U727" s="123"/>
      <c r="V727" s="123"/>
      <c r="W727" s="123"/>
      <c r="X727" s="123"/>
      <c r="Y727" s="123"/>
      <c r="Z727" s="123"/>
    </row>
    <row r="728">
      <c r="A728" s="416"/>
      <c r="B728" s="134"/>
      <c r="C728" s="417"/>
      <c r="D728" s="418"/>
      <c r="E728" s="123"/>
      <c r="F728" s="123"/>
      <c r="G728" s="123"/>
      <c r="H728" s="123"/>
      <c r="I728" s="123"/>
      <c r="J728" s="123"/>
      <c r="K728" s="123"/>
      <c r="L728" s="123"/>
      <c r="M728" s="123"/>
      <c r="N728" s="123"/>
      <c r="O728" s="123"/>
      <c r="P728" s="123"/>
      <c r="Q728" s="123"/>
      <c r="R728" s="123"/>
      <c r="S728" s="123"/>
      <c r="T728" s="123"/>
      <c r="U728" s="123"/>
      <c r="V728" s="123"/>
      <c r="W728" s="123"/>
      <c r="X728" s="123"/>
      <c r="Y728" s="123"/>
      <c r="Z728" s="123"/>
    </row>
    <row r="729">
      <c r="A729" s="416"/>
      <c r="B729" s="134"/>
      <c r="C729" s="417"/>
      <c r="D729" s="418"/>
      <c r="E729" s="123"/>
      <c r="F729" s="123"/>
      <c r="G729" s="123"/>
      <c r="H729" s="123"/>
      <c r="I729" s="123"/>
      <c r="J729" s="123"/>
      <c r="K729" s="123"/>
      <c r="L729" s="123"/>
      <c r="M729" s="123"/>
      <c r="N729" s="123"/>
      <c r="O729" s="123"/>
      <c r="P729" s="123"/>
      <c r="Q729" s="123"/>
      <c r="R729" s="123"/>
      <c r="S729" s="123"/>
      <c r="T729" s="123"/>
      <c r="U729" s="123"/>
      <c r="V729" s="123"/>
      <c r="W729" s="123"/>
      <c r="X729" s="123"/>
      <c r="Y729" s="123"/>
      <c r="Z729" s="123"/>
    </row>
    <row r="730">
      <c r="A730" s="416"/>
      <c r="B730" s="134"/>
      <c r="C730" s="417"/>
      <c r="D730" s="418"/>
      <c r="E730" s="123"/>
      <c r="F730" s="123"/>
      <c r="G730" s="123"/>
      <c r="H730" s="123"/>
      <c r="I730" s="123"/>
      <c r="J730" s="123"/>
      <c r="K730" s="123"/>
      <c r="L730" s="123"/>
      <c r="M730" s="123"/>
      <c r="N730" s="123"/>
      <c r="O730" s="123"/>
      <c r="P730" s="123"/>
      <c r="Q730" s="123"/>
      <c r="R730" s="123"/>
      <c r="S730" s="123"/>
      <c r="T730" s="123"/>
      <c r="U730" s="123"/>
      <c r="V730" s="123"/>
      <c r="W730" s="123"/>
      <c r="X730" s="123"/>
      <c r="Y730" s="123"/>
      <c r="Z730" s="123"/>
    </row>
    <row r="731">
      <c r="A731" s="416"/>
      <c r="B731" s="134"/>
      <c r="C731" s="417"/>
      <c r="D731" s="418"/>
      <c r="E731" s="123"/>
      <c r="F731" s="123"/>
      <c r="G731" s="123"/>
      <c r="H731" s="123"/>
      <c r="I731" s="123"/>
      <c r="J731" s="123"/>
      <c r="K731" s="123"/>
      <c r="L731" s="123"/>
      <c r="M731" s="123"/>
      <c r="N731" s="123"/>
      <c r="O731" s="123"/>
      <c r="P731" s="123"/>
      <c r="Q731" s="123"/>
      <c r="R731" s="123"/>
      <c r="S731" s="123"/>
      <c r="T731" s="123"/>
      <c r="U731" s="123"/>
      <c r="V731" s="123"/>
      <c r="W731" s="123"/>
      <c r="X731" s="123"/>
      <c r="Y731" s="123"/>
      <c r="Z731" s="123"/>
    </row>
    <row r="732">
      <c r="A732" s="416"/>
      <c r="B732" s="134"/>
      <c r="C732" s="417"/>
      <c r="D732" s="418"/>
      <c r="E732" s="123"/>
      <c r="F732" s="123"/>
      <c r="G732" s="123"/>
      <c r="H732" s="123"/>
      <c r="I732" s="123"/>
      <c r="J732" s="123"/>
      <c r="K732" s="123"/>
      <c r="L732" s="123"/>
      <c r="M732" s="123"/>
      <c r="N732" s="123"/>
      <c r="O732" s="123"/>
      <c r="P732" s="123"/>
      <c r="Q732" s="123"/>
      <c r="R732" s="123"/>
      <c r="S732" s="123"/>
      <c r="T732" s="123"/>
      <c r="U732" s="123"/>
      <c r="V732" s="123"/>
      <c r="W732" s="123"/>
      <c r="X732" s="123"/>
      <c r="Y732" s="123"/>
      <c r="Z732" s="123"/>
    </row>
    <row r="733">
      <c r="A733" s="416"/>
      <c r="B733" s="134"/>
      <c r="C733" s="417"/>
      <c r="D733" s="418"/>
      <c r="E733" s="123"/>
      <c r="F733" s="123"/>
      <c r="G733" s="123"/>
      <c r="H733" s="123"/>
      <c r="I733" s="123"/>
      <c r="J733" s="123"/>
      <c r="K733" s="123"/>
      <c r="L733" s="123"/>
      <c r="M733" s="123"/>
      <c r="N733" s="123"/>
      <c r="O733" s="123"/>
      <c r="P733" s="123"/>
      <c r="Q733" s="123"/>
      <c r="R733" s="123"/>
      <c r="S733" s="123"/>
      <c r="T733" s="123"/>
      <c r="U733" s="123"/>
      <c r="V733" s="123"/>
      <c r="W733" s="123"/>
      <c r="X733" s="123"/>
      <c r="Y733" s="123"/>
      <c r="Z733" s="123"/>
    </row>
    <row r="734">
      <c r="A734" s="416"/>
      <c r="B734" s="134"/>
      <c r="C734" s="417"/>
      <c r="D734" s="418"/>
      <c r="E734" s="123"/>
      <c r="F734" s="123"/>
      <c r="G734" s="123"/>
      <c r="H734" s="123"/>
      <c r="I734" s="123"/>
      <c r="J734" s="123"/>
      <c r="K734" s="123"/>
      <c r="L734" s="123"/>
      <c r="M734" s="123"/>
      <c r="N734" s="123"/>
      <c r="O734" s="123"/>
      <c r="P734" s="123"/>
      <c r="Q734" s="123"/>
      <c r="R734" s="123"/>
      <c r="S734" s="123"/>
      <c r="T734" s="123"/>
      <c r="U734" s="123"/>
      <c r="V734" s="123"/>
      <c r="W734" s="123"/>
      <c r="X734" s="123"/>
      <c r="Y734" s="123"/>
      <c r="Z734" s="123"/>
    </row>
    <row r="735">
      <c r="A735" s="416"/>
      <c r="B735" s="134"/>
      <c r="C735" s="417"/>
      <c r="D735" s="418"/>
      <c r="E735" s="123"/>
      <c r="F735" s="123"/>
      <c r="G735" s="123"/>
      <c r="H735" s="123"/>
      <c r="I735" s="123"/>
      <c r="J735" s="123"/>
      <c r="K735" s="123"/>
      <c r="L735" s="123"/>
      <c r="M735" s="123"/>
      <c r="N735" s="123"/>
      <c r="O735" s="123"/>
      <c r="P735" s="123"/>
      <c r="Q735" s="123"/>
      <c r="R735" s="123"/>
      <c r="S735" s="123"/>
      <c r="T735" s="123"/>
      <c r="U735" s="123"/>
      <c r="V735" s="123"/>
      <c r="W735" s="123"/>
      <c r="X735" s="123"/>
      <c r="Y735" s="123"/>
      <c r="Z735" s="123"/>
    </row>
    <row r="736">
      <c r="A736" s="416"/>
      <c r="B736" s="134"/>
      <c r="C736" s="417"/>
      <c r="D736" s="418"/>
      <c r="E736" s="123"/>
      <c r="F736" s="123"/>
      <c r="G736" s="123"/>
      <c r="H736" s="123"/>
      <c r="I736" s="123"/>
      <c r="J736" s="123"/>
      <c r="K736" s="123"/>
      <c r="L736" s="123"/>
      <c r="M736" s="123"/>
      <c r="N736" s="123"/>
      <c r="O736" s="123"/>
      <c r="P736" s="123"/>
      <c r="Q736" s="123"/>
      <c r="R736" s="123"/>
      <c r="S736" s="123"/>
      <c r="T736" s="123"/>
      <c r="U736" s="123"/>
      <c r="V736" s="123"/>
      <c r="W736" s="123"/>
      <c r="X736" s="123"/>
      <c r="Y736" s="123"/>
      <c r="Z736" s="123"/>
    </row>
    <row r="737">
      <c r="A737" s="416"/>
      <c r="B737" s="134"/>
      <c r="C737" s="417"/>
      <c r="D737" s="418"/>
      <c r="E737" s="123"/>
      <c r="F737" s="123"/>
      <c r="G737" s="123"/>
      <c r="H737" s="123"/>
      <c r="I737" s="123"/>
      <c r="J737" s="123"/>
      <c r="K737" s="123"/>
      <c r="L737" s="123"/>
      <c r="M737" s="123"/>
      <c r="N737" s="123"/>
      <c r="O737" s="123"/>
      <c r="P737" s="123"/>
      <c r="Q737" s="123"/>
      <c r="R737" s="123"/>
      <c r="S737" s="123"/>
      <c r="T737" s="123"/>
      <c r="U737" s="123"/>
      <c r="V737" s="123"/>
      <c r="W737" s="123"/>
      <c r="X737" s="123"/>
      <c r="Y737" s="123"/>
      <c r="Z737" s="123"/>
    </row>
    <row r="738">
      <c r="A738" s="416"/>
      <c r="B738" s="134"/>
      <c r="C738" s="417"/>
      <c r="D738" s="418"/>
      <c r="E738" s="123"/>
      <c r="F738" s="123"/>
      <c r="G738" s="123"/>
      <c r="H738" s="123"/>
      <c r="I738" s="123"/>
      <c r="J738" s="123"/>
      <c r="K738" s="123"/>
      <c r="L738" s="123"/>
      <c r="M738" s="123"/>
      <c r="N738" s="123"/>
      <c r="O738" s="123"/>
      <c r="P738" s="123"/>
      <c r="Q738" s="123"/>
      <c r="R738" s="123"/>
      <c r="S738" s="123"/>
      <c r="T738" s="123"/>
      <c r="U738" s="123"/>
      <c r="V738" s="123"/>
      <c r="W738" s="123"/>
      <c r="X738" s="123"/>
      <c r="Y738" s="123"/>
      <c r="Z738" s="123"/>
    </row>
    <row r="739">
      <c r="A739" s="416"/>
      <c r="B739" s="134"/>
      <c r="C739" s="417"/>
      <c r="D739" s="418"/>
      <c r="E739" s="123"/>
      <c r="F739" s="123"/>
      <c r="G739" s="123"/>
      <c r="H739" s="123"/>
      <c r="I739" s="123"/>
      <c r="J739" s="123"/>
      <c r="K739" s="123"/>
      <c r="L739" s="123"/>
      <c r="M739" s="123"/>
      <c r="N739" s="123"/>
      <c r="O739" s="123"/>
      <c r="P739" s="123"/>
      <c r="Q739" s="123"/>
      <c r="R739" s="123"/>
      <c r="S739" s="123"/>
      <c r="T739" s="123"/>
      <c r="U739" s="123"/>
      <c r="V739" s="123"/>
      <c r="W739" s="123"/>
      <c r="X739" s="123"/>
      <c r="Y739" s="123"/>
      <c r="Z739" s="123"/>
    </row>
    <row r="740">
      <c r="A740" s="416"/>
      <c r="B740" s="134"/>
      <c r="C740" s="417"/>
      <c r="D740" s="418"/>
      <c r="E740" s="123"/>
      <c r="F740" s="123"/>
      <c r="G740" s="123"/>
      <c r="H740" s="123"/>
      <c r="I740" s="123"/>
      <c r="J740" s="123"/>
      <c r="K740" s="123"/>
      <c r="L740" s="123"/>
      <c r="M740" s="123"/>
      <c r="N740" s="123"/>
      <c r="O740" s="123"/>
      <c r="P740" s="123"/>
      <c r="Q740" s="123"/>
      <c r="R740" s="123"/>
      <c r="S740" s="123"/>
      <c r="T740" s="123"/>
      <c r="U740" s="123"/>
      <c r="V740" s="123"/>
      <c r="W740" s="123"/>
      <c r="X740" s="123"/>
      <c r="Y740" s="123"/>
      <c r="Z740" s="123"/>
    </row>
    <row r="741">
      <c r="A741" s="416"/>
      <c r="B741" s="134"/>
      <c r="C741" s="417"/>
      <c r="D741" s="418"/>
      <c r="E741" s="123"/>
      <c r="F741" s="123"/>
      <c r="G741" s="123"/>
      <c r="H741" s="123"/>
      <c r="I741" s="123"/>
      <c r="J741" s="123"/>
      <c r="K741" s="123"/>
      <c r="L741" s="123"/>
      <c r="M741" s="123"/>
      <c r="N741" s="123"/>
      <c r="O741" s="123"/>
      <c r="P741" s="123"/>
      <c r="Q741" s="123"/>
      <c r="R741" s="123"/>
      <c r="S741" s="123"/>
      <c r="T741" s="123"/>
      <c r="U741" s="123"/>
      <c r="V741" s="123"/>
      <c r="W741" s="123"/>
      <c r="X741" s="123"/>
      <c r="Y741" s="123"/>
      <c r="Z741" s="123"/>
    </row>
    <row r="742">
      <c r="A742" s="416"/>
      <c r="B742" s="134"/>
      <c r="C742" s="417"/>
      <c r="D742" s="418"/>
      <c r="E742" s="123"/>
      <c r="F742" s="123"/>
      <c r="G742" s="123"/>
      <c r="H742" s="123"/>
      <c r="I742" s="123"/>
      <c r="J742" s="123"/>
      <c r="K742" s="123"/>
      <c r="L742" s="123"/>
      <c r="M742" s="123"/>
      <c r="N742" s="123"/>
      <c r="O742" s="123"/>
      <c r="P742" s="123"/>
      <c r="Q742" s="123"/>
      <c r="R742" s="123"/>
      <c r="S742" s="123"/>
      <c r="T742" s="123"/>
      <c r="U742" s="123"/>
      <c r="V742" s="123"/>
      <c r="W742" s="123"/>
      <c r="X742" s="123"/>
      <c r="Y742" s="123"/>
      <c r="Z742" s="123"/>
    </row>
    <row r="743">
      <c r="A743" s="416"/>
      <c r="B743" s="134"/>
      <c r="C743" s="417"/>
      <c r="D743" s="418"/>
      <c r="E743" s="123"/>
      <c r="F743" s="123"/>
      <c r="G743" s="123"/>
      <c r="H743" s="123"/>
      <c r="I743" s="123"/>
      <c r="J743" s="123"/>
      <c r="K743" s="123"/>
      <c r="L743" s="123"/>
      <c r="M743" s="123"/>
      <c r="N743" s="123"/>
      <c r="O743" s="123"/>
      <c r="P743" s="123"/>
      <c r="Q743" s="123"/>
      <c r="R743" s="123"/>
      <c r="S743" s="123"/>
      <c r="T743" s="123"/>
      <c r="U743" s="123"/>
      <c r="V743" s="123"/>
      <c r="W743" s="123"/>
      <c r="X743" s="123"/>
      <c r="Y743" s="123"/>
      <c r="Z743" s="123"/>
    </row>
    <row r="744">
      <c r="A744" s="416"/>
      <c r="B744" s="134"/>
      <c r="C744" s="417"/>
      <c r="D744" s="418"/>
      <c r="E744" s="123"/>
      <c r="F744" s="123"/>
      <c r="G744" s="123"/>
      <c r="H744" s="123"/>
      <c r="I744" s="123"/>
      <c r="J744" s="123"/>
      <c r="K744" s="123"/>
      <c r="L744" s="123"/>
      <c r="M744" s="123"/>
      <c r="N744" s="123"/>
      <c r="O744" s="123"/>
      <c r="P744" s="123"/>
      <c r="Q744" s="123"/>
      <c r="R744" s="123"/>
      <c r="S744" s="123"/>
      <c r="T744" s="123"/>
      <c r="U744" s="123"/>
      <c r="V744" s="123"/>
      <c r="W744" s="123"/>
      <c r="X744" s="123"/>
      <c r="Y744" s="123"/>
      <c r="Z744" s="123"/>
    </row>
    <row r="745">
      <c r="A745" s="416"/>
      <c r="B745" s="134"/>
      <c r="C745" s="417"/>
      <c r="D745" s="418"/>
      <c r="E745" s="123"/>
      <c r="F745" s="123"/>
      <c r="G745" s="123"/>
      <c r="H745" s="123"/>
      <c r="I745" s="123"/>
      <c r="J745" s="123"/>
      <c r="K745" s="123"/>
      <c r="L745" s="123"/>
      <c r="M745" s="123"/>
      <c r="N745" s="123"/>
      <c r="O745" s="123"/>
      <c r="P745" s="123"/>
      <c r="Q745" s="123"/>
      <c r="R745" s="123"/>
      <c r="S745" s="123"/>
      <c r="T745" s="123"/>
      <c r="U745" s="123"/>
      <c r="V745" s="123"/>
      <c r="W745" s="123"/>
      <c r="X745" s="123"/>
      <c r="Y745" s="123"/>
      <c r="Z745" s="123"/>
    </row>
    <row r="746">
      <c r="A746" s="416"/>
      <c r="B746" s="134"/>
      <c r="C746" s="417"/>
      <c r="D746" s="418"/>
      <c r="E746" s="123"/>
      <c r="F746" s="123"/>
      <c r="G746" s="123"/>
      <c r="H746" s="123"/>
      <c r="I746" s="123"/>
      <c r="J746" s="123"/>
      <c r="K746" s="123"/>
      <c r="L746" s="123"/>
      <c r="M746" s="123"/>
      <c r="N746" s="123"/>
      <c r="O746" s="123"/>
      <c r="P746" s="123"/>
      <c r="Q746" s="123"/>
      <c r="R746" s="123"/>
      <c r="S746" s="123"/>
      <c r="T746" s="123"/>
      <c r="U746" s="123"/>
      <c r="V746" s="123"/>
      <c r="W746" s="123"/>
      <c r="X746" s="123"/>
      <c r="Y746" s="123"/>
      <c r="Z746" s="123"/>
    </row>
    <row r="747">
      <c r="A747" s="416"/>
      <c r="B747" s="134"/>
      <c r="C747" s="417"/>
      <c r="D747" s="418"/>
      <c r="E747" s="123"/>
      <c r="F747" s="123"/>
      <c r="G747" s="123"/>
      <c r="H747" s="123"/>
      <c r="I747" s="123"/>
      <c r="J747" s="123"/>
      <c r="K747" s="123"/>
      <c r="L747" s="123"/>
      <c r="M747" s="123"/>
      <c r="N747" s="123"/>
      <c r="O747" s="123"/>
      <c r="P747" s="123"/>
      <c r="Q747" s="123"/>
      <c r="R747" s="123"/>
      <c r="S747" s="123"/>
      <c r="T747" s="123"/>
      <c r="U747" s="123"/>
      <c r="V747" s="123"/>
      <c r="W747" s="123"/>
      <c r="X747" s="123"/>
      <c r="Y747" s="123"/>
      <c r="Z747" s="123"/>
    </row>
    <row r="748">
      <c r="A748" s="416"/>
      <c r="B748" s="134"/>
      <c r="C748" s="417"/>
      <c r="D748" s="418"/>
      <c r="E748" s="123"/>
      <c r="F748" s="123"/>
      <c r="G748" s="123"/>
      <c r="H748" s="123"/>
      <c r="I748" s="123"/>
      <c r="J748" s="123"/>
      <c r="K748" s="123"/>
      <c r="L748" s="123"/>
      <c r="M748" s="123"/>
      <c r="N748" s="123"/>
      <c r="O748" s="123"/>
      <c r="P748" s="123"/>
      <c r="Q748" s="123"/>
      <c r="R748" s="123"/>
      <c r="S748" s="123"/>
      <c r="T748" s="123"/>
      <c r="U748" s="123"/>
      <c r="V748" s="123"/>
      <c r="W748" s="123"/>
      <c r="X748" s="123"/>
      <c r="Y748" s="123"/>
      <c r="Z748" s="123"/>
    </row>
    <row r="749">
      <c r="A749" s="416"/>
      <c r="B749" s="134"/>
      <c r="C749" s="417"/>
      <c r="D749" s="418"/>
      <c r="E749" s="123"/>
      <c r="F749" s="123"/>
      <c r="G749" s="123"/>
      <c r="H749" s="123"/>
      <c r="I749" s="123"/>
      <c r="J749" s="123"/>
      <c r="K749" s="123"/>
      <c r="L749" s="123"/>
      <c r="M749" s="123"/>
      <c r="N749" s="123"/>
      <c r="O749" s="123"/>
      <c r="P749" s="123"/>
      <c r="Q749" s="123"/>
      <c r="R749" s="123"/>
      <c r="S749" s="123"/>
      <c r="T749" s="123"/>
      <c r="U749" s="123"/>
      <c r="V749" s="123"/>
      <c r="W749" s="123"/>
      <c r="X749" s="123"/>
      <c r="Y749" s="123"/>
      <c r="Z749" s="123"/>
    </row>
    <row r="750">
      <c r="A750" s="416"/>
      <c r="B750" s="134"/>
      <c r="C750" s="417"/>
      <c r="D750" s="418"/>
      <c r="E750" s="123"/>
      <c r="F750" s="123"/>
      <c r="G750" s="123"/>
      <c r="H750" s="123"/>
      <c r="I750" s="123"/>
      <c r="J750" s="123"/>
      <c r="K750" s="123"/>
      <c r="L750" s="123"/>
      <c r="M750" s="123"/>
      <c r="N750" s="123"/>
      <c r="O750" s="123"/>
      <c r="P750" s="123"/>
      <c r="Q750" s="123"/>
      <c r="R750" s="123"/>
      <c r="S750" s="123"/>
      <c r="T750" s="123"/>
      <c r="U750" s="123"/>
      <c r="V750" s="123"/>
      <c r="W750" s="123"/>
      <c r="X750" s="123"/>
      <c r="Y750" s="123"/>
      <c r="Z750" s="123"/>
    </row>
    <row r="751">
      <c r="A751" s="416"/>
      <c r="B751" s="134"/>
      <c r="C751" s="417"/>
      <c r="D751" s="418"/>
      <c r="E751" s="123"/>
      <c r="F751" s="123"/>
      <c r="G751" s="123"/>
      <c r="H751" s="123"/>
      <c r="I751" s="123"/>
      <c r="J751" s="123"/>
      <c r="K751" s="123"/>
      <c r="L751" s="123"/>
      <c r="M751" s="123"/>
      <c r="N751" s="123"/>
      <c r="O751" s="123"/>
      <c r="P751" s="123"/>
      <c r="Q751" s="123"/>
      <c r="R751" s="123"/>
      <c r="S751" s="123"/>
      <c r="T751" s="123"/>
      <c r="U751" s="123"/>
      <c r="V751" s="123"/>
      <c r="W751" s="123"/>
      <c r="X751" s="123"/>
      <c r="Y751" s="123"/>
      <c r="Z751" s="123"/>
    </row>
    <row r="752">
      <c r="A752" s="416"/>
      <c r="B752" s="134"/>
      <c r="C752" s="417"/>
      <c r="D752" s="418"/>
      <c r="E752" s="123"/>
      <c r="F752" s="123"/>
      <c r="G752" s="123"/>
      <c r="H752" s="123"/>
      <c r="I752" s="123"/>
      <c r="J752" s="123"/>
      <c r="K752" s="123"/>
      <c r="L752" s="123"/>
      <c r="M752" s="123"/>
      <c r="N752" s="123"/>
      <c r="O752" s="123"/>
      <c r="P752" s="123"/>
      <c r="Q752" s="123"/>
      <c r="R752" s="123"/>
      <c r="S752" s="123"/>
      <c r="T752" s="123"/>
      <c r="U752" s="123"/>
      <c r="V752" s="123"/>
      <c r="W752" s="123"/>
      <c r="X752" s="123"/>
      <c r="Y752" s="123"/>
      <c r="Z752" s="123"/>
    </row>
    <row r="753">
      <c r="A753" s="416"/>
      <c r="B753" s="134"/>
      <c r="C753" s="417"/>
      <c r="D753" s="418"/>
      <c r="E753" s="123"/>
      <c r="F753" s="123"/>
      <c r="G753" s="123"/>
      <c r="H753" s="123"/>
      <c r="I753" s="123"/>
      <c r="J753" s="123"/>
      <c r="K753" s="123"/>
      <c r="L753" s="123"/>
      <c r="M753" s="123"/>
      <c r="N753" s="123"/>
      <c r="O753" s="123"/>
      <c r="P753" s="123"/>
      <c r="Q753" s="123"/>
      <c r="R753" s="123"/>
      <c r="S753" s="123"/>
      <c r="T753" s="123"/>
      <c r="U753" s="123"/>
      <c r="V753" s="123"/>
      <c r="W753" s="123"/>
      <c r="X753" s="123"/>
      <c r="Y753" s="123"/>
      <c r="Z753" s="123"/>
    </row>
    <row r="754">
      <c r="A754" s="416"/>
      <c r="B754" s="134"/>
      <c r="C754" s="417"/>
      <c r="D754" s="418"/>
      <c r="E754" s="123"/>
      <c r="F754" s="123"/>
      <c r="G754" s="123"/>
      <c r="H754" s="123"/>
      <c r="I754" s="123"/>
      <c r="J754" s="123"/>
      <c r="K754" s="123"/>
      <c r="L754" s="123"/>
      <c r="M754" s="123"/>
      <c r="N754" s="123"/>
      <c r="O754" s="123"/>
      <c r="P754" s="123"/>
      <c r="Q754" s="123"/>
      <c r="R754" s="123"/>
      <c r="S754" s="123"/>
      <c r="T754" s="123"/>
      <c r="U754" s="123"/>
      <c r="V754" s="123"/>
      <c r="W754" s="123"/>
      <c r="X754" s="123"/>
      <c r="Y754" s="123"/>
      <c r="Z754" s="123"/>
    </row>
    <row r="755">
      <c r="A755" s="416"/>
      <c r="B755" s="134"/>
      <c r="C755" s="417"/>
      <c r="D755" s="418"/>
      <c r="E755" s="123"/>
      <c r="F755" s="123"/>
      <c r="G755" s="123"/>
      <c r="H755" s="123"/>
      <c r="I755" s="123"/>
      <c r="J755" s="123"/>
      <c r="K755" s="123"/>
      <c r="L755" s="123"/>
      <c r="M755" s="123"/>
      <c r="N755" s="123"/>
      <c r="O755" s="123"/>
      <c r="P755" s="123"/>
      <c r="Q755" s="123"/>
      <c r="R755" s="123"/>
      <c r="S755" s="123"/>
      <c r="T755" s="123"/>
      <c r="U755" s="123"/>
      <c r="V755" s="123"/>
      <c r="W755" s="123"/>
      <c r="X755" s="123"/>
      <c r="Y755" s="123"/>
      <c r="Z755" s="123"/>
    </row>
    <row r="756">
      <c r="A756" s="416"/>
      <c r="B756" s="134"/>
      <c r="C756" s="417"/>
      <c r="D756" s="418"/>
      <c r="E756" s="123"/>
      <c r="F756" s="123"/>
      <c r="G756" s="123"/>
      <c r="H756" s="123"/>
      <c r="I756" s="123"/>
      <c r="J756" s="123"/>
      <c r="K756" s="123"/>
      <c r="L756" s="123"/>
      <c r="M756" s="123"/>
      <c r="N756" s="123"/>
      <c r="O756" s="123"/>
      <c r="P756" s="123"/>
      <c r="Q756" s="123"/>
      <c r="R756" s="123"/>
      <c r="S756" s="123"/>
      <c r="T756" s="123"/>
      <c r="U756" s="123"/>
      <c r="V756" s="123"/>
      <c r="W756" s="123"/>
      <c r="X756" s="123"/>
      <c r="Y756" s="123"/>
      <c r="Z756" s="123"/>
    </row>
    <row r="757">
      <c r="A757" s="416"/>
      <c r="B757" s="134"/>
      <c r="C757" s="417"/>
      <c r="D757" s="418"/>
      <c r="E757" s="123"/>
      <c r="F757" s="123"/>
      <c r="G757" s="123"/>
      <c r="H757" s="123"/>
      <c r="I757" s="123"/>
      <c r="J757" s="123"/>
      <c r="K757" s="123"/>
      <c r="L757" s="123"/>
      <c r="M757" s="123"/>
      <c r="N757" s="123"/>
      <c r="O757" s="123"/>
      <c r="P757" s="123"/>
      <c r="Q757" s="123"/>
      <c r="R757" s="123"/>
      <c r="S757" s="123"/>
      <c r="T757" s="123"/>
      <c r="U757" s="123"/>
      <c r="V757" s="123"/>
      <c r="W757" s="123"/>
      <c r="X757" s="123"/>
      <c r="Y757" s="123"/>
      <c r="Z757" s="123"/>
    </row>
    <row r="758">
      <c r="A758" s="416"/>
      <c r="B758" s="134"/>
      <c r="C758" s="417"/>
      <c r="D758" s="418"/>
      <c r="E758" s="123"/>
      <c r="F758" s="123"/>
      <c r="G758" s="123"/>
      <c r="H758" s="123"/>
      <c r="I758" s="123"/>
      <c r="J758" s="123"/>
      <c r="K758" s="123"/>
      <c r="L758" s="123"/>
      <c r="M758" s="123"/>
      <c r="N758" s="123"/>
      <c r="O758" s="123"/>
      <c r="P758" s="123"/>
      <c r="Q758" s="123"/>
      <c r="R758" s="123"/>
      <c r="S758" s="123"/>
      <c r="T758" s="123"/>
      <c r="U758" s="123"/>
      <c r="V758" s="123"/>
      <c r="W758" s="123"/>
      <c r="X758" s="123"/>
      <c r="Y758" s="123"/>
      <c r="Z758" s="123"/>
    </row>
    <row r="759">
      <c r="A759" s="416"/>
      <c r="B759" s="134"/>
      <c r="C759" s="417"/>
      <c r="D759" s="418"/>
      <c r="E759" s="123"/>
      <c r="F759" s="123"/>
      <c r="G759" s="123"/>
      <c r="H759" s="123"/>
      <c r="I759" s="123"/>
      <c r="J759" s="123"/>
      <c r="K759" s="123"/>
      <c r="L759" s="123"/>
      <c r="M759" s="123"/>
      <c r="N759" s="123"/>
      <c r="O759" s="123"/>
      <c r="P759" s="123"/>
      <c r="Q759" s="123"/>
      <c r="R759" s="123"/>
      <c r="S759" s="123"/>
      <c r="T759" s="123"/>
      <c r="U759" s="123"/>
      <c r="V759" s="123"/>
      <c r="W759" s="123"/>
      <c r="X759" s="123"/>
      <c r="Y759" s="123"/>
      <c r="Z759" s="123"/>
    </row>
    <row r="760">
      <c r="A760" s="416"/>
      <c r="B760" s="134"/>
      <c r="C760" s="417"/>
      <c r="D760" s="418"/>
      <c r="E760" s="123"/>
      <c r="F760" s="123"/>
      <c r="G760" s="123"/>
      <c r="H760" s="123"/>
      <c r="I760" s="123"/>
      <c r="J760" s="123"/>
      <c r="K760" s="123"/>
      <c r="L760" s="123"/>
      <c r="M760" s="123"/>
      <c r="N760" s="123"/>
      <c r="O760" s="123"/>
      <c r="P760" s="123"/>
      <c r="Q760" s="123"/>
      <c r="R760" s="123"/>
      <c r="S760" s="123"/>
      <c r="T760" s="123"/>
      <c r="U760" s="123"/>
      <c r="V760" s="123"/>
      <c r="W760" s="123"/>
      <c r="X760" s="123"/>
      <c r="Y760" s="123"/>
      <c r="Z760" s="123"/>
    </row>
    <row r="761">
      <c r="A761" s="416"/>
      <c r="B761" s="134"/>
      <c r="C761" s="417"/>
      <c r="D761" s="418"/>
      <c r="E761" s="123"/>
      <c r="F761" s="123"/>
      <c r="G761" s="123"/>
      <c r="H761" s="123"/>
      <c r="I761" s="123"/>
      <c r="J761" s="123"/>
      <c r="K761" s="123"/>
      <c r="L761" s="123"/>
      <c r="M761" s="123"/>
      <c r="N761" s="123"/>
      <c r="O761" s="123"/>
      <c r="P761" s="123"/>
      <c r="Q761" s="123"/>
      <c r="R761" s="123"/>
      <c r="S761" s="123"/>
      <c r="T761" s="123"/>
      <c r="U761" s="123"/>
      <c r="V761" s="123"/>
      <c r="W761" s="123"/>
      <c r="X761" s="123"/>
      <c r="Y761" s="123"/>
      <c r="Z761" s="123"/>
    </row>
    <row r="762">
      <c r="A762" s="416"/>
      <c r="B762" s="134"/>
      <c r="C762" s="417"/>
      <c r="D762" s="418"/>
      <c r="E762" s="123"/>
      <c r="F762" s="123"/>
      <c r="G762" s="123"/>
      <c r="H762" s="123"/>
      <c r="I762" s="123"/>
      <c r="J762" s="123"/>
      <c r="K762" s="123"/>
      <c r="L762" s="123"/>
      <c r="M762" s="123"/>
      <c r="N762" s="123"/>
      <c r="O762" s="123"/>
      <c r="P762" s="123"/>
      <c r="Q762" s="123"/>
      <c r="R762" s="123"/>
      <c r="S762" s="123"/>
      <c r="T762" s="123"/>
      <c r="U762" s="123"/>
      <c r="V762" s="123"/>
      <c r="W762" s="123"/>
      <c r="X762" s="123"/>
      <c r="Y762" s="123"/>
      <c r="Z762" s="123"/>
    </row>
    <row r="763">
      <c r="A763" s="416"/>
      <c r="B763" s="134"/>
      <c r="C763" s="417"/>
      <c r="D763" s="418"/>
      <c r="E763" s="123"/>
      <c r="F763" s="123"/>
      <c r="G763" s="123"/>
      <c r="H763" s="123"/>
      <c r="I763" s="123"/>
      <c r="J763" s="123"/>
      <c r="K763" s="123"/>
      <c r="L763" s="123"/>
      <c r="M763" s="123"/>
      <c r="N763" s="123"/>
      <c r="O763" s="123"/>
      <c r="P763" s="123"/>
      <c r="Q763" s="123"/>
      <c r="R763" s="123"/>
      <c r="S763" s="123"/>
      <c r="T763" s="123"/>
      <c r="U763" s="123"/>
      <c r="V763" s="123"/>
      <c r="W763" s="123"/>
      <c r="X763" s="123"/>
      <c r="Y763" s="123"/>
      <c r="Z763" s="123"/>
    </row>
    <row r="764">
      <c r="A764" s="416"/>
      <c r="B764" s="134"/>
      <c r="C764" s="417"/>
      <c r="D764" s="418"/>
      <c r="E764" s="123"/>
      <c r="F764" s="123"/>
      <c r="G764" s="123"/>
      <c r="H764" s="123"/>
      <c r="I764" s="123"/>
      <c r="J764" s="123"/>
      <c r="K764" s="123"/>
      <c r="L764" s="123"/>
      <c r="M764" s="123"/>
      <c r="N764" s="123"/>
      <c r="O764" s="123"/>
      <c r="P764" s="123"/>
      <c r="Q764" s="123"/>
      <c r="R764" s="123"/>
      <c r="S764" s="123"/>
      <c r="T764" s="123"/>
      <c r="U764" s="123"/>
      <c r="V764" s="123"/>
      <c r="W764" s="123"/>
      <c r="X764" s="123"/>
      <c r="Y764" s="123"/>
      <c r="Z764" s="123"/>
    </row>
    <row r="765">
      <c r="A765" s="416"/>
      <c r="B765" s="134"/>
      <c r="C765" s="417"/>
      <c r="D765" s="418"/>
      <c r="E765" s="123"/>
      <c r="F765" s="123"/>
      <c r="G765" s="123"/>
      <c r="H765" s="123"/>
      <c r="I765" s="123"/>
      <c r="J765" s="123"/>
      <c r="K765" s="123"/>
      <c r="L765" s="123"/>
      <c r="M765" s="123"/>
      <c r="N765" s="123"/>
      <c r="O765" s="123"/>
      <c r="P765" s="123"/>
      <c r="Q765" s="123"/>
      <c r="R765" s="123"/>
      <c r="S765" s="123"/>
      <c r="T765" s="123"/>
      <c r="U765" s="123"/>
      <c r="V765" s="123"/>
      <c r="W765" s="123"/>
      <c r="X765" s="123"/>
      <c r="Y765" s="123"/>
      <c r="Z765" s="123"/>
    </row>
    <row r="766">
      <c r="A766" s="416"/>
      <c r="B766" s="134"/>
      <c r="C766" s="417"/>
      <c r="D766" s="418"/>
      <c r="E766" s="123"/>
      <c r="F766" s="123"/>
      <c r="G766" s="123"/>
      <c r="H766" s="123"/>
      <c r="I766" s="123"/>
      <c r="J766" s="123"/>
      <c r="K766" s="123"/>
      <c r="L766" s="123"/>
      <c r="M766" s="123"/>
      <c r="N766" s="123"/>
      <c r="O766" s="123"/>
      <c r="P766" s="123"/>
      <c r="Q766" s="123"/>
      <c r="R766" s="123"/>
      <c r="S766" s="123"/>
      <c r="T766" s="123"/>
      <c r="U766" s="123"/>
      <c r="V766" s="123"/>
      <c r="W766" s="123"/>
      <c r="X766" s="123"/>
      <c r="Y766" s="123"/>
      <c r="Z766" s="123"/>
    </row>
    <row r="767">
      <c r="A767" s="416"/>
      <c r="B767" s="134"/>
      <c r="C767" s="417"/>
      <c r="D767" s="418"/>
      <c r="E767" s="123"/>
      <c r="F767" s="123"/>
      <c r="G767" s="123"/>
      <c r="H767" s="123"/>
      <c r="I767" s="123"/>
      <c r="J767" s="123"/>
      <c r="K767" s="123"/>
      <c r="L767" s="123"/>
      <c r="M767" s="123"/>
      <c r="N767" s="123"/>
      <c r="O767" s="123"/>
      <c r="P767" s="123"/>
      <c r="Q767" s="123"/>
      <c r="R767" s="123"/>
      <c r="S767" s="123"/>
      <c r="T767" s="123"/>
      <c r="U767" s="123"/>
      <c r="V767" s="123"/>
      <c r="W767" s="123"/>
      <c r="X767" s="123"/>
      <c r="Y767" s="123"/>
      <c r="Z767" s="123"/>
    </row>
    <row r="768">
      <c r="A768" s="416"/>
      <c r="B768" s="134"/>
      <c r="C768" s="417"/>
      <c r="D768" s="418"/>
      <c r="E768" s="123"/>
      <c r="F768" s="123"/>
      <c r="G768" s="123"/>
      <c r="H768" s="123"/>
      <c r="I768" s="123"/>
      <c r="J768" s="123"/>
      <c r="K768" s="123"/>
      <c r="L768" s="123"/>
      <c r="M768" s="123"/>
      <c r="N768" s="123"/>
      <c r="O768" s="123"/>
      <c r="P768" s="123"/>
      <c r="Q768" s="123"/>
      <c r="R768" s="123"/>
      <c r="S768" s="123"/>
      <c r="T768" s="123"/>
      <c r="U768" s="123"/>
      <c r="V768" s="123"/>
      <c r="W768" s="123"/>
      <c r="X768" s="123"/>
      <c r="Y768" s="123"/>
      <c r="Z768" s="123"/>
    </row>
    <row r="769">
      <c r="A769" s="416"/>
      <c r="B769" s="134"/>
      <c r="C769" s="417"/>
      <c r="D769" s="418"/>
      <c r="E769" s="123"/>
      <c r="F769" s="123"/>
      <c r="G769" s="123"/>
      <c r="H769" s="123"/>
      <c r="I769" s="123"/>
      <c r="J769" s="123"/>
      <c r="K769" s="123"/>
      <c r="L769" s="123"/>
      <c r="M769" s="123"/>
      <c r="N769" s="123"/>
      <c r="O769" s="123"/>
      <c r="P769" s="123"/>
      <c r="Q769" s="123"/>
      <c r="R769" s="123"/>
      <c r="S769" s="123"/>
      <c r="T769" s="123"/>
      <c r="U769" s="123"/>
      <c r="V769" s="123"/>
      <c r="W769" s="123"/>
      <c r="X769" s="123"/>
      <c r="Y769" s="123"/>
      <c r="Z769" s="123"/>
    </row>
    <row r="770">
      <c r="A770" s="416"/>
      <c r="B770" s="134"/>
      <c r="C770" s="417"/>
      <c r="D770" s="418"/>
      <c r="E770" s="123"/>
      <c r="F770" s="123"/>
      <c r="G770" s="123"/>
      <c r="H770" s="123"/>
      <c r="I770" s="123"/>
      <c r="J770" s="123"/>
      <c r="K770" s="123"/>
      <c r="L770" s="123"/>
      <c r="M770" s="123"/>
      <c r="N770" s="123"/>
      <c r="O770" s="123"/>
      <c r="P770" s="123"/>
      <c r="Q770" s="123"/>
      <c r="R770" s="123"/>
      <c r="S770" s="123"/>
      <c r="T770" s="123"/>
      <c r="U770" s="123"/>
      <c r="V770" s="123"/>
      <c r="W770" s="123"/>
      <c r="X770" s="123"/>
      <c r="Y770" s="123"/>
      <c r="Z770" s="123"/>
    </row>
    <row r="771">
      <c r="A771" s="416"/>
      <c r="B771" s="134"/>
      <c r="C771" s="417"/>
      <c r="D771" s="418"/>
      <c r="E771" s="123"/>
      <c r="F771" s="123"/>
      <c r="G771" s="123"/>
      <c r="H771" s="123"/>
      <c r="I771" s="123"/>
      <c r="J771" s="123"/>
      <c r="K771" s="123"/>
      <c r="L771" s="123"/>
      <c r="M771" s="123"/>
      <c r="N771" s="123"/>
      <c r="O771" s="123"/>
      <c r="P771" s="123"/>
      <c r="Q771" s="123"/>
      <c r="R771" s="123"/>
      <c r="S771" s="123"/>
      <c r="T771" s="123"/>
      <c r="U771" s="123"/>
      <c r="V771" s="123"/>
      <c r="W771" s="123"/>
      <c r="X771" s="123"/>
      <c r="Y771" s="123"/>
      <c r="Z771" s="123"/>
    </row>
    <row r="772">
      <c r="A772" s="416"/>
      <c r="B772" s="134"/>
      <c r="C772" s="417"/>
      <c r="D772" s="418"/>
      <c r="E772" s="123"/>
      <c r="F772" s="123"/>
      <c r="G772" s="123"/>
      <c r="H772" s="123"/>
      <c r="I772" s="123"/>
      <c r="J772" s="123"/>
      <c r="K772" s="123"/>
      <c r="L772" s="123"/>
      <c r="M772" s="123"/>
      <c r="N772" s="123"/>
      <c r="O772" s="123"/>
      <c r="P772" s="123"/>
      <c r="Q772" s="123"/>
      <c r="R772" s="123"/>
      <c r="S772" s="123"/>
      <c r="T772" s="123"/>
      <c r="U772" s="123"/>
      <c r="V772" s="123"/>
      <c r="W772" s="123"/>
      <c r="X772" s="123"/>
      <c r="Y772" s="123"/>
      <c r="Z772" s="123"/>
    </row>
    <row r="773">
      <c r="A773" s="416"/>
      <c r="B773" s="134"/>
      <c r="C773" s="417"/>
      <c r="D773" s="418"/>
      <c r="E773" s="123"/>
      <c r="F773" s="123"/>
      <c r="G773" s="123"/>
      <c r="H773" s="123"/>
      <c r="I773" s="123"/>
      <c r="J773" s="123"/>
      <c r="K773" s="123"/>
      <c r="L773" s="123"/>
      <c r="M773" s="123"/>
      <c r="N773" s="123"/>
      <c r="O773" s="123"/>
      <c r="P773" s="123"/>
      <c r="Q773" s="123"/>
      <c r="R773" s="123"/>
      <c r="S773" s="123"/>
      <c r="T773" s="123"/>
      <c r="U773" s="123"/>
      <c r="V773" s="123"/>
      <c r="W773" s="123"/>
      <c r="X773" s="123"/>
      <c r="Y773" s="123"/>
      <c r="Z773" s="123"/>
    </row>
    <row r="774">
      <c r="A774" s="416"/>
      <c r="B774" s="134"/>
      <c r="C774" s="417"/>
      <c r="D774" s="418"/>
      <c r="E774" s="123"/>
      <c r="F774" s="123"/>
      <c r="G774" s="123"/>
      <c r="H774" s="123"/>
      <c r="I774" s="123"/>
      <c r="J774" s="123"/>
      <c r="K774" s="123"/>
      <c r="L774" s="123"/>
      <c r="M774" s="123"/>
      <c r="N774" s="123"/>
      <c r="O774" s="123"/>
      <c r="P774" s="123"/>
      <c r="Q774" s="123"/>
      <c r="R774" s="123"/>
      <c r="S774" s="123"/>
      <c r="T774" s="123"/>
      <c r="U774" s="123"/>
      <c r="V774" s="123"/>
      <c r="W774" s="123"/>
      <c r="X774" s="123"/>
      <c r="Y774" s="123"/>
      <c r="Z774" s="123"/>
    </row>
    <row r="775">
      <c r="A775" s="416"/>
      <c r="B775" s="134"/>
      <c r="C775" s="417"/>
      <c r="D775" s="418"/>
      <c r="E775" s="123"/>
      <c r="F775" s="123"/>
      <c r="G775" s="123"/>
      <c r="H775" s="123"/>
      <c r="I775" s="123"/>
      <c r="J775" s="123"/>
      <c r="K775" s="123"/>
      <c r="L775" s="123"/>
      <c r="M775" s="123"/>
      <c r="N775" s="123"/>
      <c r="O775" s="123"/>
      <c r="P775" s="123"/>
      <c r="Q775" s="123"/>
      <c r="R775" s="123"/>
      <c r="S775" s="123"/>
      <c r="T775" s="123"/>
      <c r="U775" s="123"/>
      <c r="V775" s="123"/>
      <c r="W775" s="123"/>
      <c r="X775" s="123"/>
      <c r="Y775" s="123"/>
      <c r="Z775" s="123"/>
    </row>
    <row r="776">
      <c r="A776" s="416"/>
      <c r="B776" s="134"/>
      <c r="C776" s="417"/>
      <c r="D776" s="418"/>
      <c r="E776" s="123"/>
      <c r="F776" s="123"/>
      <c r="G776" s="123"/>
      <c r="H776" s="123"/>
      <c r="I776" s="123"/>
      <c r="J776" s="123"/>
      <c r="K776" s="123"/>
      <c r="L776" s="123"/>
      <c r="M776" s="123"/>
      <c r="N776" s="123"/>
      <c r="O776" s="123"/>
      <c r="P776" s="123"/>
      <c r="Q776" s="123"/>
      <c r="R776" s="123"/>
      <c r="S776" s="123"/>
      <c r="T776" s="123"/>
      <c r="U776" s="123"/>
      <c r="V776" s="123"/>
      <c r="W776" s="123"/>
      <c r="X776" s="123"/>
      <c r="Y776" s="123"/>
      <c r="Z776" s="123"/>
    </row>
    <row r="777">
      <c r="A777" s="416"/>
      <c r="B777" s="134"/>
      <c r="C777" s="417"/>
      <c r="D777" s="418"/>
      <c r="E777" s="123"/>
      <c r="F777" s="123"/>
      <c r="G777" s="123"/>
      <c r="H777" s="123"/>
      <c r="I777" s="123"/>
      <c r="J777" s="123"/>
      <c r="K777" s="123"/>
      <c r="L777" s="123"/>
      <c r="M777" s="123"/>
      <c r="N777" s="123"/>
      <c r="O777" s="123"/>
      <c r="P777" s="123"/>
      <c r="Q777" s="123"/>
      <c r="R777" s="123"/>
      <c r="S777" s="123"/>
      <c r="T777" s="123"/>
      <c r="U777" s="123"/>
      <c r="V777" s="123"/>
      <c r="W777" s="123"/>
      <c r="X777" s="123"/>
      <c r="Y777" s="123"/>
      <c r="Z777" s="123"/>
    </row>
    <row r="778">
      <c r="A778" s="416"/>
      <c r="B778" s="134"/>
      <c r="C778" s="417"/>
      <c r="D778" s="418"/>
      <c r="E778" s="123"/>
      <c r="F778" s="123"/>
      <c r="G778" s="123"/>
      <c r="H778" s="123"/>
      <c r="I778" s="123"/>
      <c r="J778" s="123"/>
      <c r="K778" s="123"/>
      <c r="L778" s="123"/>
      <c r="M778" s="123"/>
      <c r="N778" s="123"/>
      <c r="O778" s="123"/>
      <c r="P778" s="123"/>
      <c r="Q778" s="123"/>
      <c r="R778" s="123"/>
      <c r="S778" s="123"/>
      <c r="T778" s="123"/>
      <c r="U778" s="123"/>
      <c r="V778" s="123"/>
      <c r="W778" s="123"/>
      <c r="X778" s="123"/>
      <c r="Y778" s="123"/>
      <c r="Z778" s="123"/>
    </row>
    <row r="779">
      <c r="A779" s="416"/>
      <c r="B779" s="134"/>
      <c r="C779" s="417"/>
      <c r="D779" s="418"/>
      <c r="E779" s="123"/>
      <c r="F779" s="123"/>
      <c r="G779" s="123"/>
      <c r="H779" s="123"/>
      <c r="I779" s="123"/>
      <c r="J779" s="123"/>
      <c r="K779" s="123"/>
      <c r="L779" s="123"/>
      <c r="M779" s="123"/>
      <c r="N779" s="123"/>
      <c r="O779" s="123"/>
      <c r="P779" s="123"/>
      <c r="Q779" s="123"/>
      <c r="R779" s="123"/>
      <c r="S779" s="123"/>
      <c r="T779" s="123"/>
      <c r="U779" s="123"/>
      <c r="V779" s="123"/>
      <c r="W779" s="123"/>
      <c r="X779" s="123"/>
      <c r="Y779" s="123"/>
      <c r="Z779" s="123"/>
    </row>
    <row r="780">
      <c r="A780" s="416"/>
      <c r="B780" s="134"/>
      <c r="C780" s="417"/>
      <c r="D780" s="418"/>
      <c r="E780" s="123"/>
      <c r="F780" s="123"/>
      <c r="G780" s="123"/>
      <c r="H780" s="123"/>
      <c r="I780" s="123"/>
      <c r="J780" s="123"/>
      <c r="K780" s="123"/>
      <c r="L780" s="123"/>
      <c r="M780" s="123"/>
      <c r="N780" s="123"/>
      <c r="O780" s="123"/>
      <c r="P780" s="123"/>
      <c r="Q780" s="123"/>
      <c r="R780" s="123"/>
      <c r="S780" s="123"/>
      <c r="T780" s="123"/>
      <c r="U780" s="123"/>
      <c r="V780" s="123"/>
      <c r="W780" s="123"/>
      <c r="X780" s="123"/>
      <c r="Y780" s="123"/>
      <c r="Z780" s="123"/>
    </row>
    <row r="781">
      <c r="A781" s="416"/>
      <c r="B781" s="134"/>
      <c r="C781" s="417"/>
      <c r="D781" s="418"/>
      <c r="E781" s="123"/>
      <c r="F781" s="123"/>
      <c r="G781" s="123"/>
      <c r="H781" s="123"/>
      <c r="I781" s="123"/>
      <c r="J781" s="123"/>
      <c r="K781" s="123"/>
      <c r="L781" s="123"/>
      <c r="M781" s="123"/>
      <c r="N781" s="123"/>
      <c r="O781" s="123"/>
      <c r="P781" s="123"/>
      <c r="Q781" s="123"/>
      <c r="R781" s="123"/>
      <c r="S781" s="123"/>
      <c r="T781" s="123"/>
      <c r="U781" s="123"/>
      <c r="V781" s="123"/>
      <c r="W781" s="123"/>
      <c r="X781" s="123"/>
      <c r="Y781" s="123"/>
      <c r="Z781" s="123"/>
    </row>
    <row r="782">
      <c r="A782" s="416"/>
      <c r="B782" s="134"/>
      <c r="C782" s="417"/>
      <c r="D782" s="418"/>
      <c r="E782" s="123"/>
      <c r="F782" s="123"/>
      <c r="G782" s="123"/>
      <c r="H782" s="123"/>
      <c r="I782" s="123"/>
      <c r="J782" s="123"/>
      <c r="K782" s="123"/>
      <c r="L782" s="123"/>
      <c r="M782" s="123"/>
      <c r="N782" s="123"/>
      <c r="O782" s="123"/>
      <c r="P782" s="123"/>
      <c r="Q782" s="123"/>
      <c r="R782" s="123"/>
      <c r="S782" s="123"/>
      <c r="T782" s="123"/>
      <c r="U782" s="123"/>
      <c r="V782" s="123"/>
      <c r="W782" s="123"/>
      <c r="X782" s="123"/>
      <c r="Y782" s="123"/>
      <c r="Z782" s="123"/>
    </row>
    <row r="783">
      <c r="A783" s="416"/>
      <c r="B783" s="134"/>
      <c r="C783" s="417"/>
      <c r="D783" s="418"/>
      <c r="E783" s="123"/>
      <c r="F783" s="123"/>
      <c r="G783" s="123"/>
      <c r="H783" s="123"/>
      <c r="I783" s="123"/>
      <c r="J783" s="123"/>
      <c r="K783" s="123"/>
      <c r="L783" s="123"/>
      <c r="M783" s="123"/>
      <c r="N783" s="123"/>
      <c r="O783" s="123"/>
      <c r="P783" s="123"/>
      <c r="Q783" s="123"/>
      <c r="R783" s="123"/>
      <c r="S783" s="123"/>
      <c r="T783" s="123"/>
      <c r="U783" s="123"/>
      <c r="V783" s="123"/>
      <c r="W783" s="123"/>
      <c r="X783" s="123"/>
      <c r="Y783" s="123"/>
      <c r="Z783" s="123"/>
    </row>
    <row r="784">
      <c r="A784" s="416"/>
      <c r="B784" s="134"/>
      <c r="C784" s="417"/>
      <c r="D784" s="418"/>
      <c r="E784" s="123"/>
      <c r="F784" s="123"/>
      <c r="G784" s="123"/>
      <c r="H784" s="123"/>
      <c r="I784" s="123"/>
      <c r="J784" s="123"/>
      <c r="K784" s="123"/>
      <c r="L784" s="123"/>
      <c r="M784" s="123"/>
      <c r="N784" s="123"/>
      <c r="O784" s="123"/>
      <c r="P784" s="123"/>
      <c r="Q784" s="123"/>
      <c r="R784" s="123"/>
      <c r="S784" s="123"/>
      <c r="T784" s="123"/>
      <c r="U784" s="123"/>
      <c r="V784" s="123"/>
      <c r="W784" s="123"/>
      <c r="X784" s="123"/>
      <c r="Y784" s="123"/>
      <c r="Z784" s="123"/>
    </row>
    <row r="785">
      <c r="A785" s="416"/>
      <c r="B785" s="134"/>
      <c r="C785" s="417"/>
      <c r="D785" s="418"/>
      <c r="E785" s="123"/>
      <c r="F785" s="123"/>
      <c r="G785" s="123"/>
      <c r="H785" s="123"/>
      <c r="I785" s="123"/>
      <c r="J785" s="123"/>
      <c r="K785" s="123"/>
      <c r="L785" s="123"/>
      <c r="M785" s="123"/>
      <c r="N785" s="123"/>
      <c r="O785" s="123"/>
      <c r="P785" s="123"/>
      <c r="Q785" s="123"/>
      <c r="R785" s="123"/>
      <c r="S785" s="123"/>
      <c r="T785" s="123"/>
      <c r="U785" s="123"/>
      <c r="V785" s="123"/>
      <c r="W785" s="123"/>
      <c r="X785" s="123"/>
      <c r="Y785" s="123"/>
      <c r="Z785" s="123"/>
    </row>
    <row r="786">
      <c r="A786" s="416"/>
      <c r="B786" s="134"/>
      <c r="C786" s="417"/>
      <c r="D786" s="418"/>
      <c r="E786" s="123"/>
      <c r="F786" s="123"/>
      <c r="G786" s="123"/>
      <c r="H786" s="123"/>
      <c r="I786" s="123"/>
      <c r="J786" s="123"/>
      <c r="K786" s="123"/>
      <c r="L786" s="123"/>
      <c r="M786" s="123"/>
      <c r="N786" s="123"/>
      <c r="O786" s="123"/>
      <c r="P786" s="123"/>
      <c r="Q786" s="123"/>
      <c r="R786" s="123"/>
      <c r="S786" s="123"/>
      <c r="T786" s="123"/>
      <c r="U786" s="123"/>
      <c r="V786" s="123"/>
      <c r="W786" s="123"/>
      <c r="X786" s="123"/>
      <c r="Y786" s="123"/>
      <c r="Z786" s="123"/>
    </row>
    <row r="787">
      <c r="A787" s="416"/>
      <c r="B787" s="134"/>
      <c r="C787" s="417"/>
      <c r="D787" s="418"/>
      <c r="E787" s="123"/>
      <c r="F787" s="123"/>
      <c r="G787" s="123"/>
      <c r="H787" s="123"/>
      <c r="I787" s="123"/>
      <c r="J787" s="123"/>
      <c r="K787" s="123"/>
      <c r="L787" s="123"/>
      <c r="M787" s="123"/>
      <c r="N787" s="123"/>
      <c r="O787" s="123"/>
      <c r="P787" s="123"/>
      <c r="Q787" s="123"/>
      <c r="R787" s="123"/>
      <c r="S787" s="123"/>
      <c r="T787" s="123"/>
      <c r="U787" s="123"/>
      <c r="V787" s="123"/>
      <c r="W787" s="123"/>
      <c r="X787" s="123"/>
      <c r="Y787" s="123"/>
      <c r="Z787" s="123"/>
    </row>
    <row r="788">
      <c r="A788" s="416"/>
      <c r="B788" s="134"/>
      <c r="C788" s="417"/>
      <c r="D788" s="418"/>
      <c r="E788" s="123"/>
      <c r="F788" s="123"/>
      <c r="G788" s="123"/>
      <c r="H788" s="123"/>
      <c r="I788" s="123"/>
      <c r="J788" s="123"/>
      <c r="K788" s="123"/>
      <c r="L788" s="123"/>
      <c r="M788" s="123"/>
      <c r="N788" s="123"/>
      <c r="O788" s="123"/>
      <c r="P788" s="123"/>
      <c r="Q788" s="123"/>
      <c r="R788" s="123"/>
      <c r="S788" s="123"/>
      <c r="T788" s="123"/>
      <c r="U788" s="123"/>
      <c r="V788" s="123"/>
      <c r="W788" s="123"/>
      <c r="X788" s="123"/>
      <c r="Y788" s="123"/>
      <c r="Z788" s="123"/>
    </row>
    <row r="789">
      <c r="A789" s="416"/>
      <c r="B789" s="134"/>
      <c r="C789" s="417"/>
      <c r="D789" s="418"/>
      <c r="E789" s="123"/>
      <c r="F789" s="123"/>
      <c r="G789" s="123"/>
      <c r="H789" s="123"/>
      <c r="I789" s="123"/>
      <c r="J789" s="123"/>
      <c r="K789" s="123"/>
      <c r="L789" s="123"/>
      <c r="M789" s="123"/>
      <c r="N789" s="123"/>
      <c r="O789" s="123"/>
      <c r="P789" s="123"/>
      <c r="Q789" s="123"/>
      <c r="R789" s="123"/>
      <c r="S789" s="123"/>
      <c r="T789" s="123"/>
      <c r="U789" s="123"/>
      <c r="V789" s="123"/>
      <c r="W789" s="123"/>
      <c r="X789" s="123"/>
      <c r="Y789" s="123"/>
      <c r="Z789" s="123"/>
    </row>
    <row r="790">
      <c r="A790" s="416"/>
      <c r="B790" s="134"/>
      <c r="C790" s="417"/>
      <c r="D790" s="418"/>
      <c r="E790" s="123"/>
      <c r="F790" s="123"/>
      <c r="G790" s="123"/>
      <c r="H790" s="123"/>
      <c r="I790" s="123"/>
      <c r="J790" s="123"/>
      <c r="K790" s="123"/>
      <c r="L790" s="123"/>
      <c r="M790" s="123"/>
      <c r="N790" s="123"/>
      <c r="O790" s="123"/>
      <c r="P790" s="123"/>
      <c r="Q790" s="123"/>
      <c r="R790" s="123"/>
      <c r="S790" s="123"/>
      <c r="T790" s="123"/>
      <c r="U790" s="123"/>
      <c r="V790" s="123"/>
      <c r="W790" s="123"/>
      <c r="X790" s="123"/>
      <c r="Y790" s="123"/>
      <c r="Z790" s="123"/>
    </row>
    <row r="791">
      <c r="A791" s="416"/>
      <c r="B791" s="134"/>
      <c r="C791" s="417"/>
      <c r="D791" s="418"/>
      <c r="E791" s="123"/>
      <c r="F791" s="123"/>
      <c r="G791" s="123"/>
      <c r="H791" s="123"/>
      <c r="I791" s="123"/>
      <c r="J791" s="123"/>
      <c r="K791" s="123"/>
      <c r="L791" s="123"/>
      <c r="M791" s="123"/>
      <c r="N791" s="123"/>
      <c r="O791" s="123"/>
      <c r="P791" s="123"/>
      <c r="Q791" s="123"/>
      <c r="R791" s="123"/>
      <c r="S791" s="123"/>
      <c r="T791" s="123"/>
      <c r="U791" s="123"/>
      <c r="V791" s="123"/>
      <c r="W791" s="123"/>
      <c r="X791" s="123"/>
      <c r="Y791" s="123"/>
      <c r="Z791" s="123"/>
    </row>
    <row r="792">
      <c r="A792" s="416"/>
      <c r="B792" s="134"/>
      <c r="C792" s="417"/>
      <c r="D792" s="418"/>
      <c r="E792" s="123"/>
      <c r="F792" s="123"/>
      <c r="G792" s="123"/>
      <c r="H792" s="123"/>
      <c r="I792" s="123"/>
      <c r="J792" s="123"/>
      <c r="K792" s="123"/>
      <c r="L792" s="123"/>
      <c r="M792" s="123"/>
      <c r="N792" s="123"/>
      <c r="O792" s="123"/>
      <c r="P792" s="123"/>
      <c r="Q792" s="123"/>
      <c r="R792" s="123"/>
      <c r="S792" s="123"/>
      <c r="T792" s="123"/>
      <c r="U792" s="123"/>
      <c r="V792" s="123"/>
      <c r="W792" s="123"/>
      <c r="X792" s="123"/>
      <c r="Y792" s="123"/>
      <c r="Z792" s="123"/>
    </row>
    <row r="793">
      <c r="A793" s="416"/>
      <c r="B793" s="134"/>
      <c r="C793" s="417"/>
      <c r="D793" s="418"/>
      <c r="E793" s="123"/>
      <c r="F793" s="123"/>
      <c r="G793" s="123"/>
      <c r="H793" s="123"/>
      <c r="I793" s="123"/>
      <c r="J793" s="123"/>
      <c r="K793" s="123"/>
      <c r="L793" s="123"/>
      <c r="M793" s="123"/>
      <c r="N793" s="123"/>
      <c r="O793" s="123"/>
      <c r="P793" s="123"/>
      <c r="Q793" s="123"/>
      <c r="R793" s="123"/>
      <c r="S793" s="123"/>
      <c r="T793" s="123"/>
      <c r="U793" s="123"/>
      <c r="V793" s="123"/>
      <c r="W793" s="123"/>
      <c r="X793" s="123"/>
      <c r="Y793" s="123"/>
      <c r="Z793" s="123"/>
    </row>
    <row r="794">
      <c r="A794" s="416"/>
      <c r="B794" s="134"/>
      <c r="C794" s="417"/>
      <c r="D794" s="418"/>
      <c r="E794" s="123"/>
      <c r="F794" s="123"/>
      <c r="G794" s="123"/>
      <c r="H794" s="123"/>
      <c r="I794" s="123"/>
      <c r="J794" s="123"/>
      <c r="K794" s="123"/>
      <c r="L794" s="123"/>
      <c r="M794" s="123"/>
      <c r="N794" s="123"/>
      <c r="O794" s="123"/>
      <c r="P794" s="123"/>
      <c r="Q794" s="123"/>
      <c r="R794" s="123"/>
      <c r="S794" s="123"/>
      <c r="T794" s="123"/>
      <c r="U794" s="123"/>
      <c r="V794" s="123"/>
      <c r="W794" s="123"/>
      <c r="X794" s="123"/>
      <c r="Y794" s="123"/>
      <c r="Z794" s="123"/>
    </row>
    <row r="795">
      <c r="A795" s="416"/>
      <c r="B795" s="134"/>
      <c r="C795" s="417"/>
      <c r="D795" s="418"/>
      <c r="E795" s="123"/>
      <c r="F795" s="123"/>
      <c r="G795" s="123"/>
      <c r="H795" s="123"/>
      <c r="I795" s="123"/>
      <c r="J795" s="123"/>
      <c r="K795" s="123"/>
      <c r="L795" s="123"/>
      <c r="M795" s="123"/>
      <c r="N795" s="123"/>
      <c r="O795" s="123"/>
      <c r="P795" s="123"/>
      <c r="Q795" s="123"/>
      <c r="R795" s="123"/>
      <c r="S795" s="123"/>
      <c r="T795" s="123"/>
      <c r="U795" s="123"/>
      <c r="V795" s="123"/>
      <c r="W795" s="123"/>
      <c r="X795" s="123"/>
      <c r="Y795" s="123"/>
      <c r="Z795" s="123"/>
    </row>
    <row r="796">
      <c r="A796" s="416"/>
      <c r="B796" s="134"/>
      <c r="C796" s="417"/>
      <c r="D796" s="418"/>
      <c r="E796" s="123"/>
      <c r="F796" s="123"/>
      <c r="G796" s="123"/>
      <c r="H796" s="123"/>
      <c r="I796" s="123"/>
      <c r="J796" s="123"/>
      <c r="K796" s="123"/>
      <c r="L796" s="123"/>
      <c r="M796" s="123"/>
      <c r="N796" s="123"/>
      <c r="O796" s="123"/>
      <c r="P796" s="123"/>
      <c r="Q796" s="123"/>
      <c r="R796" s="123"/>
      <c r="S796" s="123"/>
      <c r="T796" s="123"/>
      <c r="U796" s="123"/>
      <c r="V796" s="123"/>
      <c r="W796" s="123"/>
      <c r="X796" s="123"/>
      <c r="Y796" s="123"/>
      <c r="Z796" s="123"/>
    </row>
    <row r="797">
      <c r="A797" s="416"/>
      <c r="B797" s="134"/>
      <c r="C797" s="417"/>
      <c r="D797" s="418"/>
      <c r="E797" s="123"/>
      <c r="F797" s="123"/>
      <c r="G797" s="123"/>
      <c r="H797" s="123"/>
      <c r="I797" s="123"/>
      <c r="J797" s="123"/>
      <c r="K797" s="123"/>
      <c r="L797" s="123"/>
      <c r="M797" s="123"/>
      <c r="N797" s="123"/>
      <c r="O797" s="123"/>
      <c r="P797" s="123"/>
      <c r="Q797" s="123"/>
      <c r="R797" s="123"/>
      <c r="S797" s="123"/>
      <c r="T797" s="123"/>
      <c r="U797" s="123"/>
      <c r="V797" s="123"/>
      <c r="W797" s="123"/>
      <c r="X797" s="123"/>
      <c r="Y797" s="123"/>
      <c r="Z797" s="123"/>
    </row>
    <row r="798">
      <c r="A798" s="416"/>
      <c r="B798" s="134"/>
      <c r="C798" s="417"/>
      <c r="D798" s="418"/>
      <c r="E798" s="123"/>
      <c r="F798" s="123"/>
      <c r="G798" s="123"/>
      <c r="H798" s="123"/>
      <c r="I798" s="123"/>
      <c r="J798" s="123"/>
      <c r="K798" s="123"/>
      <c r="L798" s="123"/>
      <c r="M798" s="123"/>
      <c r="N798" s="123"/>
      <c r="O798" s="123"/>
      <c r="P798" s="123"/>
      <c r="Q798" s="123"/>
      <c r="R798" s="123"/>
      <c r="S798" s="123"/>
      <c r="T798" s="123"/>
      <c r="U798" s="123"/>
      <c r="V798" s="123"/>
      <c r="W798" s="123"/>
      <c r="X798" s="123"/>
      <c r="Y798" s="123"/>
      <c r="Z798" s="123"/>
    </row>
    <row r="799">
      <c r="A799" s="416"/>
      <c r="B799" s="134"/>
      <c r="C799" s="417"/>
      <c r="D799" s="418"/>
      <c r="E799" s="123"/>
      <c r="F799" s="123"/>
      <c r="G799" s="123"/>
      <c r="H799" s="123"/>
      <c r="I799" s="123"/>
      <c r="J799" s="123"/>
      <c r="K799" s="123"/>
      <c r="L799" s="123"/>
      <c r="M799" s="123"/>
      <c r="N799" s="123"/>
      <c r="O799" s="123"/>
      <c r="P799" s="123"/>
      <c r="Q799" s="123"/>
      <c r="R799" s="123"/>
      <c r="S799" s="123"/>
      <c r="T799" s="123"/>
      <c r="U799" s="123"/>
      <c r="V799" s="123"/>
      <c r="W799" s="123"/>
      <c r="X799" s="123"/>
      <c r="Y799" s="123"/>
      <c r="Z799" s="123"/>
    </row>
    <row r="800">
      <c r="A800" s="416"/>
      <c r="B800" s="134"/>
      <c r="C800" s="417"/>
      <c r="D800" s="418"/>
      <c r="E800" s="123"/>
      <c r="F800" s="123"/>
      <c r="G800" s="123"/>
      <c r="H800" s="123"/>
      <c r="I800" s="123"/>
      <c r="J800" s="123"/>
      <c r="K800" s="123"/>
      <c r="L800" s="123"/>
      <c r="M800" s="123"/>
      <c r="N800" s="123"/>
      <c r="O800" s="123"/>
      <c r="P800" s="123"/>
      <c r="Q800" s="123"/>
      <c r="R800" s="123"/>
      <c r="S800" s="123"/>
      <c r="T800" s="123"/>
      <c r="U800" s="123"/>
      <c r="V800" s="123"/>
      <c r="W800" s="123"/>
      <c r="X800" s="123"/>
      <c r="Y800" s="123"/>
      <c r="Z800" s="123"/>
    </row>
    <row r="801">
      <c r="A801" s="416"/>
      <c r="B801" s="134"/>
      <c r="C801" s="417"/>
      <c r="D801" s="418"/>
      <c r="E801" s="123"/>
      <c r="F801" s="123"/>
      <c r="G801" s="123"/>
      <c r="H801" s="123"/>
      <c r="I801" s="123"/>
      <c r="J801" s="123"/>
      <c r="K801" s="123"/>
      <c r="L801" s="123"/>
      <c r="M801" s="123"/>
      <c r="N801" s="123"/>
      <c r="O801" s="123"/>
      <c r="P801" s="123"/>
      <c r="Q801" s="123"/>
      <c r="R801" s="123"/>
      <c r="S801" s="123"/>
      <c r="T801" s="123"/>
      <c r="U801" s="123"/>
      <c r="V801" s="123"/>
      <c r="W801" s="123"/>
      <c r="X801" s="123"/>
      <c r="Y801" s="123"/>
      <c r="Z801" s="123"/>
    </row>
    <row r="802">
      <c r="A802" s="416"/>
      <c r="B802" s="134"/>
      <c r="C802" s="417"/>
      <c r="D802" s="418"/>
      <c r="E802" s="123"/>
      <c r="F802" s="123"/>
      <c r="G802" s="123"/>
      <c r="H802" s="123"/>
      <c r="I802" s="123"/>
      <c r="J802" s="123"/>
      <c r="K802" s="123"/>
      <c r="L802" s="123"/>
      <c r="M802" s="123"/>
      <c r="N802" s="123"/>
      <c r="O802" s="123"/>
      <c r="P802" s="123"/>
      <c r="Q802" s="123"/>
      <c r="R802" s="123"/>
      <c r="S802" s="123"/>
      <c r="T802" s="123"/>
      <c r="U802" s="123"/>
      <c r="V802" s="123"/>
      <c r="W802" s="123"/>
      <c r="X802" s="123"/>
      <c r="Y802" s="123"/>
      <c r="Z802" s="123"/>
    </row>
    <row r="803">
      <c r="A803" s="416"/>
      <c r="B803" s="134"/>
      <c r="C803" s="417"/>
      <c r="D803" s="418"/>
      <c r="E803" s="123"/>
      <c r="F803" s="123"/>
      <c r="G803" s="123"/>
      <c r="H803" s="123"/>
      <c r="I803" s="123"/>
      <c r="J803" s="123"/>
      <c r="K803" s="123"/>
      <c r="L803" s="123"/>
      <c r="M803" s="123"/>
      <c r="N803" s="123"/>
      <c r="O803" s="123"/>
      <c r="P803" s="123"/>
      <c r="Q803" s="123"/>
      <c r="R803" s="123"/>
      <c r="S803" s="123"/>
      <c r="T803" s="123"/>
      <c r="U803" s="123"/>
      <c r="V803" s="123"/>
      <c r="W803" s="123"/>
      <c r="X803" s="123"/>
      <c r="Y803" s="123"/>
      <c r="Z803" s="123"/>
    </row>
    <row r="804">
      <c r="A804" s="416"/>
      <c r="B804" s="134"/>
      <c r="C804" s="417"/>
      <c r="D804" s="418"/>
      <c r="E804" s="123"/>
      <c r="F804" s="123"/>
      <c r="G804" s="123"/>
      <c r="H804" s="123"/>
      <c r="I804" s="123"/>
      <c r="J804" s="123"/>
      <c r="K804" s="123"/>
      <c r="L804" s="123"/>
      <c r="M804" s="123"/>
      <c r="N804" s="123"/>
      <c r="O804" s="123"/>
      <c r="P804" s="123"/>
      <c r="Q804" s="123"/>
      <c r="R804" s="123"/>
      <c r="S804" s="123"/>
      <c r="T804" s="123"/>
      <c r="U804" s="123"/>
      <c r="V804" s="123"/>
      <c r="W804" s="123"/>
      <c r="X804" s="123"/>
      <c r="Y804" s="123"/>
      <c r="Z804" s="123"/>
    </row>
    <row r="805">
      <c r="A805" s="416"/>
      <c r="B805" s="134"/>
      <c r="C805" s="417"/>
      <c r="D805" s="418"/>
      <c r="E805" s="123"/>
      <c r="F805" s="123"/>
      <c r="G805" s="123"/>
      <c r="H805" s="123"/>
      <c r="I805" s="123"/>
      <c r="J805" s="123"/>
      <c r="K805" s="123"/>
      <c r="L805" s="123"/>
      <c r="M805" s="123"/>
      <c r="N805" s="123"/>
      <c r="O805" s="123"/>
      <c r="P805" s="123"/>
      <c r="Q805" s="123"/>
      <c r="R805" s="123"/>
      <c r="S805" s="123"/>
      <c r="T805" s="123"/>
      <c r="U805" s="123"/>
      <c r="V805" s="123"/>
      <c r="W805" s="123"/>
      <c r="X805" s="123"/>
      <c r="Y805" s="123"/>
      <c r="Z805" s="123"/>
    </row>
    <row r="806">
      <c r="A806" s="416"/>
      <c r="B806" s="134"/>
      <c r="C806" s="417"/>
      <c r="D806" s="418"/>
      <c r="E806" s="123"/>
      <c r="F806" s="123"/>
      <c r="G806" s="123"/>
      <c r="H806" s="123"/>
      <c r="I806" s="123"/>
      <c r="J806" s="123"/>
      <c r="K806" s="123"/>
      <c r="L806" s="123"/>
      <c r="M806" s="123"/>
      <c r="N806" s="123"/>
      <c r="O806" s="123"/>
      <c r="P806" s="123"/>
      <c r="Q806" s="123"/>
      <c r="R806" s="123"/>
      <c r="S806" s="123"/>
      <c r="T806" s="123"/>
      <c r="U806" s="123"/>
      <c r="V806" s="123"/>
      <c r="W806" s="123"/>
      <c r="X806" s="123"/>
      <c r="Y806" s="123"/>
      <c r="Z806" s="123"/>
    </row>
    <row r="807">
      <c r="A807" s="416"/>
      <c r="B807" s="134"/>
      <c r="C807" s="417"/>
      <c r="D807" s="418"/>
      <c r="E807" s="123"/>
      <c r="F807" s="123"/>
      <c r="G807" s="123"/>
      <c r="H807" s="123"/>
      <c r="I807" s="123"/>
      <c r="J807" s="123"/>
      <c r="K807" s="123"/>
      <c r="L807" s="123"/>
      <c r="M807" s="123"/>
      <c r="N807" s="123"/>
      <c r="O807" s="123"/>
      <c r="P807" s="123"/>
      <c r="Q807" s="123"/>
      <c r="R807" s="123"/>
      <c r="S807" s="123"/>
      <c r="T807" s="123"/>
      <c r="U807" s="123"/>
      <c r="V807" s="123"/>
      <c r="W807" s="123"/>
      <c r="X807" s="123"/>
      <c r="Y807" s="123"/>
      <c r="Z807" s="123"/>
    </row>
    <row r="808">
      <c r="A808" s="416"/>
      <c r="B808" s="134"/>
      <c r="C808" s="417"/>
      <c r="D808" s="418"/>
      <c r="E808" s="123"/>
      <c r="F808" s="123"/>
      <c r="G808" s="123"/>
      <c r="H808" s="123"/>
      <c r="I808" s="123"/>
      <c r="J808" s="123"/>
      <c r="K808" s="123"/>
      <c r="L808" s="123"/>
      <c r="M808" s="123"/>
      <c r="N808" s="123"/>
      <c r="O808" s="123"/>
      <c r="P808" s="123"/>
      <c r="Q808" s="123"/>
      <c r="R808" s="123"/>
      <c r="S808" s="123"/>
      <c r="T808" s="123"/>
      <c r="U808" s="123"/>
      <c r="V808" s="123"/>
      <c r="W808" s="123"/>
      <c r="X808" s="123"/>
      <c r="Y808" s="123"/>
      <c r="Z808" s="123"/>
    </row>
    <row r="809">
      <c r="A809" s="416"/>
      <c r="B809" s="134"/>
      <c r="C809" s="417"/>
      <c r="D809" s="418"/>
      <c r="E809" s="123"/>
      <c r="F809" s="123"/>
      <c r="G809" s="123"/>
      <c r="H809" s="123"/>
      <c r="I809" s="123"/>
      <c r="J809" s="123"/>
      <c r="K809" s="123"/>
      <c r="L809" s="123"/>
      <c r="M809" s="123"/>
      <c r="N809" s="123"/>
      <c r="O809" s="123"/>
      <c r="P809" s="123"/>
      <c r="Q809" s="123"/>
      <c r="R809" s="123"/>
      <c r="S809" s="123"/>
      <c r="T809" s="123"/>
      <c r="U809" s="123"/>
      <c r="V809" s="123"/>
      <c r="W809" s="123"/>
      <c r="X809" s="123"/>
      <c r="Y809" s="123"/>
      <c r="Z809" s="123"/>
    </row>
    <row r="810">
      <c r="A810" s="416"/>
      <c r="B810" s="134"/>
      <c r="C810" s="417"/>
      <c r="D810" s="418"/>
      <c r="E810" s="123"/>
      <c r="F810" s="123"/>
      <c r="G810" s="123"/>
      <c r="H810" s="123"/>
      <c r="I810" s="123"/>
      <c r="J810" s="123"/>
      <c r="K810" s="123"/>
      <c r="L810" s="123"/>
      <c r="M810" s="123"/>
      <c r="N810" s="123"/>
      <c r="O810" s="123"/>
      <c r="P810" s="123"/>
      <c r="Q810" s="123"/>
      <c r="R810" s="123"/>
      <c r="S810" s="123"/>
      <c r="T810" s="123"/>
      <c r="U810" s="123"/>
      <c r="V810" s="123"/>
      <c r="W810" s="123"/>
      <c r="X810" s="123"/>
      <c r="Y810" s="123"/>
      <c r="Z810" s="123"/>
    </row>
    <row r="811">
      <c r="A811" s="416"/>
      <c r="B811" s="134"/>
      <c r="C811" s="417"/>
      <c r="D811" s="418"/>
      <c r="E811" s="123"/>
      <c r="F811" s="123"/>
      <c r="G811" s="123"/>
      <c r="H811" s="123"/>
      <c r="I811" s="123"/>
      <c r="J811" s="123"/>
      <c r="K811" s="123"/>
      <c r="L811" s="123"/>
      <c r="M811" s="123"/>
      <c r="N811" s="123"/>
      <c r="O811" s="123"/>
      <c r="P811" s="123"/>
      <c r="Q811" s="123"/>
      <c r="R811" s="123"/>
      <c r="S811" s="123"/>
      <c r="T811" s="123"/>
      <c r="U811" s="123"/>
      <c r="V811" s="123"/>
      <c r="W811" s="123"/>
      <c r="X811" s="123"/>
      <c r="Y811" s="123"/>
      <c r="Z811" s="123"/>
    </row>
    <row r="812">
      <c r="A812" s="416"/>
      <c r="B812" s="134"/>
      <c r="C812" s="417"/>
      <c r="D812" s="418"/>
      <c r="E812" s="123"/>
      <c r="F812" s="123"/>
      <c r="G812" s="123"/>
      <c r="H812" s="123"/>
      <c r="I812" s="123"/>
      <c r="J812" s="123"/>
      <c r="K812" s="123"/>
      <c r="L812" s="123"/>
      <c r="M812" s="123"/>
      <c r="N812" s="123"/>
      <c r="O812" s="123"/>
      <c r="P812" s="123"/>
      <c r="Q812" s="123"/>
      <c r="R812" s="123"/>
      <c r="S812" s="123"/>
      <c r="T812" s="123"/>
      <c r="U812" s="123"/>
      <c r="V812" s="123"/>
      <c r="W812" s="123"/>
      <c r="X812" s="123"/>
      <c r="Y812" s="123"/>
      <c r="Z812" s="123"/>
    </row>
    <row r="813">
      <c r="A813" s="416"/>
      <c r="B813" s="134"/>
      <c r="C813" s="417"/>
      <c r="D813" s="418"/>
      <c r="E813" s="123"/>
      <c r="F813" s="123"/>
      <c r="G813" s="123"/>
      <c r="H813" s="123"/>
      <c r="I813" s="123"/>
      <c r="J813" s="123"/>
      <c r="K813" s="123"/>
      <c r="L813" s="123"/>
      <c r="M813" s="123"/>
      <c r="N813" s="123"/>
      <c r="O813" s="123"/>
      <c r="P813" s="123"/>
      <c r="Q813" s="123"/>
      <c r="R813" s="123"/>
      <c r="S813" s="123"/>
      <c r="T813" s="123"/>
      <c r="U813" s="123"/>
      <c r="V813" s="123"/>
      <c r="W813" s="123"/>
      <c r="X813" s="123"/>
      <c r="Y813" s="123"/>
      <c r="Z813" s="123"/>
    </row>
    <row r="814">
      <c r="A814" s="416"/>
      <c r="B814" s="134"/>
      <c r="C814" s="417"/>
      <c r="D814" s="418"/>
      <c r="E814" s="123"/>
      <c r="F814" s="123"/>
      <c r="G814" s="123"/>
      <c r="H814" s="123"/>
      <c r="I814" s="123"/>
      <c r="J814" s="123"/>
      <c r="K814" s="123"/>
      <c r="L814" s="123"/>
      <c r="M814" s="123"/>
      <c r="N814" s="123"/>
      <c r="O814" s="123"/>
      <c r="P814" s="123"/>
      <c r="Q814" s="123"/>
      <c r="R814" s="123"/>
      <c r="S814" s="123"/>
      <c r="T814" s="123"/>
      <c r="U814" s="123"/>
      <c r="V814" s="123"/>
      <c r="W814" s="123"/>
      <c r="X814" s="123"/>
      <c r="Y814" s="123"/>
      <c r="Z814" s="123"/>
    </row>
    <row r="815">
      <c r="A815" s="416"/>
      <c r="B815" s="134"/>
      <c r="C815" s="417"/>
      <c r="D815" s="418"/>
      <c r="E815" s="123"/>
      <c r="F815" s="123"/>
      <c r="G815" s="123"/>
      <c r="H815" s="123"/>
      <c r="I815" s="123"/>
      <c r="J815" s="123"/>
      <c r="K815" s="123"/>
      <c r="L815" s="123"/>
      <c r="M815" s="123"/>
      <c r="N815" s="123"/>
      <c r="O815" s="123"/>
      <c r="P815" s="123"/>
      <c r="Q815" s="123"/>
      <c r="R815" s="123"/>
      <c r="S815" s="123"/>
      <c r="T815" s="123"/>
      <c r="U815" s="123"/>
      <c r="V815" s="123"/>
      <c r="W815" s="123"/>
      <c r="X815" s="123"/>
      <c r="Y815" s="123"/>
      <c r="Z815" s="123"/>
    </row>
    <row r="816">
      <c r="A816" s="416"/>
      <c r="B816" s="134"/>
      <c r="C816" s="417"/>
      <c r="D816" s="418"/>
      <c r="E816" s="123"/>
      <c r="F816" s="123"/>
      <c r="G816" s="123"/>
      <c r="H816" s="123"/>
      <c r="I816" s="123"/>
      <c r="J816" s="123"/>
      <c r="K816" s="123"/>
      <c r="L816" s="123"/>
      <c r="M816" s="123"/>
      <c r="N816" s="123"/>
      <c r="O816" s="123"/>
      <c r="P816" s="123"/>
      <c r="Q816" s="123"/>
      <c r="R816" s="123"/>
      <c r="S816" s="123"/>
      <c r="T816" s="123"/>
      <c r="U816" s="123"/>
      <c r="V816" s="123"/>
      <c r="W816" s="123"/>
      <c r="X816" s="123"/>
      <c r="Y816" s="123"/>
      <c r="Z816" s="123"/>
    </row>
    <row r="817">
      <c r="A817" s="416"/>
      <c r="B817" s="134"/>
      <c r="C817" s="417"/>
      <c r="D817" s="418"/>
      <c r="E817" s="123"/>
      <c r="F817" s="123"/>
      <c r="G817" s="123"/>
      <c r="H817" s="123"/>
      <c r="I817" s="123"/>
      <c r="J817" s="123"/>
      <c r="K817" s="123"/>
      <c r="L817" s="123"/>
      <c r="M817" s="123"/>
      <c r="N817" s="123"/>
      <c r="O817" s="123"/>
      <c r="P817" s="123"/>
      <c r="Q817" s="123"/>
      <c r="R817" s="123"/>
      <c r="S817" s="123"/>
      <c r="T817" s="123"/>
      <c r="U817" s="123"/>
      <c r="V817" s="123"/>
      <c r="W817" s="123"/>
      <c r="X817" s="123"/>
      <c r="Y817" s="123"/>
      <c r="Z817" s="123"/>
    </row>
    <row r="818">
      <c r="A818" s="416"/>
      <c r="B818" s="134"/>
      <c r="C818" s="417"/>
      <c r="D818" s="418"/>
      <c r="E818" s="123"/>
      <c r="F818" s="123"/>
      <c r="G818" s="123"/>
      <c r="H818" s="123"/>
      <c r="I818" s="123"/>
      <c r="J818" s="123"/>
      <c r="K818" s="123"/>
      <c r="L818" s="123"/>
      <c r="M818" s="123"/>
      <c r="N818" s="123"/>
      <c r="O818" s="123"/>
      <c r="P818" s="123"/>
      <c r="Q818" s="123"/>
      <c r="R818" s="123"/>
      <c r="S818" s="123"/>
      <c r="T818" s="123"/>
      <c r="U818" s="123"/>
      <c r="V818" s="123"/>
      <c r="W818" s="123"/>
      <c r="X818" s="123"/>
      <c r="Y818" s="123"/>
      <c r="Z818" s="123"/>
    </row>
    <row r="819">
      <c r="A819" s="416"/>
      <c r="B819" s="134"/>
      <c r="C819" s="417"/>
      <c r="D819" s="418"/>
      <c r="E819" s="123"/>
      <c r="F819" s="123"/>
      <c r="G819" s="123"/>
      <c r="H819" s="123"/>
      <c r="I819" s="123"/>
      <c r="J819" s="123"/>
      <c r="K819" s="123"/>
      <c r="L819" s="123"/>
      <c r="M819" s="123"/>
      <c r="N819" s="123"/>
      <c r="O819" s="123"/>
      <c r="P819" s="123"/>
      <c r="Q819" s="123"/>
      <c r="R819" s="123"/>
      <c r="S819" s="123"/>
      <c r="T819" s="123"/>
      <c r="U819" s="123"/>
      <c r="V819" s="123"/>
      <c r="W819" s="123"/>
      <c r="X819" s="123"/>
      <c r="Y819" s="123"/>
      <c r="Z819" s="123"/>
    </row>
    <row r="820">
      <c r="A820" s="416"/>
      <c r="B820" s="134"/>
      <c r="C820" s="417"/>
      <c r="D820" s="418"/>
      <c r="E820" s="123"/>
      <c r="F820" s="123"/>
      <c r="G820" s="123"/>
      <c r="H820" s="123"/>
      <c r="I820" s="123"/>
      <c r="J820" s="123"/>
      <c r="K820" s="123"/>
      <c r="L820" s="123"/>
      <c r="M820" s="123"/>
      <c r="N820" s="123"/>
      <c r="O820" s="123"/>
      <c r="P820" s="123"/>
      <c r="Q820" s="123"/>
      <c r="R820" s="123"/>
      <c r="S820" s="123"/>
      <c r="T820" s="123"/>
      <c r="U820" s="123"/>
      <c r="V820" s="123"/>
      <c r="W820" s="123"/>
      <c r="X820" s="123"/>
      <c r="Y820" s="123"/>
      <c r="Z820" s="123"/>
    </row>
    <row r="821">
      <c r="A821" s="416"/>
      <c r="B821" s="134"/>
      <c r="C821" s="417"/>
      <c r="D821" s="418"/>
      <c r="E821" s="123"/>
      <c r="F821" s="123"/>
      <c r="G821" s="123"/>
      <c r="H821" s="123"/>
      <c r="I821" s="123"/>
      <c r="J821" s="123"/>
      <c r="K821" s="123"/>
      <c r="L821" s="123"/>
      <c r="M821" s="123"/>
      <c r="N821" s="123"/>
      <c r="O821" s="123"/>
      <c r="P821" s="123"/>
      <c r="Q821" s="123"/>
      <c r="R821" s="123"/>
      <c r="S821" s="123"/>
      <c r="T821" s="123"/>
      <c r="U821" s="123"/>
      <c r="V821" s="123"/>
      <c r="W821" s="123"/>
      <c r="X821" s="123"/>
      <c r="Y821" s="123"/>
      <c r="Z821" s="123"/>
    </row>
    <row r="822">
      <c r="A822" s="416"/>
      <c r="B822" s="134"/>
      <c r="C822" s="417"/>
      <c r="D822" s="418"/>
      <c r="E822" s="123"/>
      <c r="F822" s="123"/>
      <c r="G822" s="123"/>
      <c r="H822" s="123"/>
      <c r="I822" s="123"/>
      <c r="J822" s="123"/>
      <c r="K822" s="123"/>
      <c r="L822" s="123"/>
      <c r="M822" s="123"/>
      <c r="N822" s="123"/>
      <c r="O822" s="123"/>
      <c r="P822" s="123"/>
      <c r="Q822" s="123"/>
      <c r="R822" s="123"/>
      <c r="S822" s="123"/>
      <c r="T822" s="123"/>
      <c r="U822" s="123"/>
      <c r="V822" s="123"/>
      <c r="W822" s="123"/>
      <c r="X822" s="123"/>
      <c r="Y822" s="123"/>
      <c r="Z822" s="123"/>
    </row>
    <row r="823">
      <c r="A823" s="416"/>
      <c r="B823" s="134"/>
      <c r="C823" s="417"/>
      <c r="D823" s="418"/>
      <c r="E823" s="123"/>
      <c r="F823" s="123"/>
      <c r="G823" s="123"/>
      <c r="H823" s="123"/>
      <c r="I823" s="123"/>
      <c r="J823" s="123"/>
      <c r="K823" s="123"/>
      <c r="L823" s="123"/>
      <c r="M823" s="123"/>
      <c r="N823" s="123"/>
      <c r="O823" s="123"/>
      <c r="P823" s="123"/>
      <c r="Q823" s="123"/>
      <c r="R823" s="123"/>
      <c r="S823" s="123"/>
      <c r="T823" s="123"/>
      <c r="U823" s="123"/>
      <c r="V823" s="123"/>
      <c r="W823" s="123"/>
      <c r="X823" s="123"/>
      <c r="Y823" s="123"/>
      <c r="Z823" s="123"/>
    </row>
    <row r="824">
      <c r="A824" s="416"/>
      <c r="B824" s="134"/>
      <c r="C824" s="417"/>
      <c r="D824" s="418"/>
      <c r="E824" s="123"/>
      <c r="F824" s="123"/>
      <c r="G824" s="123"/>
      <c r="H824" s="123"/>
      <c r="I824" s="123"/>
      <c r="J824" s="123"/>
      <c r="K824" s="123"/>
      <c r="L824" s="123"/>
      <c r="M824" s="123"/>
      <c r="N824" s="123"/>
      <c r="O824" s="123"/>
      <c r="P824" s="123"/>
      <c r="Q824" s="123"/>
      <c r="R824" s="123"/>
      <c r="S824" s="123"/>
      <c r="T824" s="123"/>
      <c r="U824" s="123"/>
      <c r="V824" s="123"/>
      <c r="W824" s="123"/>
      <c r="X824" s="123"/>
      <c r="Y824" s="123"/>
      <c r="Z824" s="123"/>
    </row>
    <row r="825">
      <c r="A825" s="416"/>
      <c r="B825" s="134"/>
      <c r="C825" s="417"/>
      <c r="D825" s="418"/>
      <c r="E825" s="123"/>
      <c r="F825" s="123"/>
      <c r="G825" s="123"/>
      <c r="H825" s="123"/>
      <c r="I825" s="123"/>
      <c r="J825" s="123"/>
      <c r="K825" s="123"/>
      <c r="L825" s="123"/>
      <c r="M825" s="123"/>
      <c r="N825" s="123"/>
      <c r="O825" s="123"/>
      <c r="P825" s="123"/>
      <c r="Q825" s="123"/>
      <c r="R825" s="123"/>
      <c r="S825" s="123"/>
      <c r="T825" s="123"/>
      <c r="U825" s="123"/>
      <c r="V825" s="123"/>
      <c r="W825" s="123"/>
      <c r="X825" s="123"/>
      <c r="Y825" s="123"/>
      <c r="Z825" s="123"/>
    </row>
    <row r="826">
      <c r="A826" s="416"/>
      <c r="B826" s="134"/>
      <c r="C826" s="417"/>
      <c r="D826" s="418"/>
      <c r="E826" s="123"/>
      <c r="F826" s="123"/>
      <c r="G826" s="123"/>
      <c r="H826" s="123"/>
      <c r="I826" s="123"/>
      <c r="J826" s="123"/>
      <c r="K826" s="123"/>
      <c r="L826" s="123"/>
      <c r="M826" s="123"/>
      <c r="N826" s="123"/>
      <c r="O826" s="123"/>
      <c r="P826" s="123"/>
      <c r="Q826" s="123"/>
      <c r="R826" s="123"/>
      <c r="S826" s="123"/>
      <c r="T826" s="123"/>
      <c r="U826" s="123"/>
      <c r="V826" s="123"/>
      <c r="W826" s="123"/>
      <c r="X826" s="123"/>
      <c r="Y826" s="123"/>
      <c r="Z826" s="123"/>
    </row>
    <row r="827">
      <c r="A827" s="416"/>
      <c r="B827" s="134"/>
      <c r="C827" s="417"/>
      <c r="D827" s="418"/>
      <c r="E827" s="123"/>
      <c r="F827" s="123"/>
      <c r="G827" s="123"/>
      <c r="H827" s="123"/>
      <c r="I827" s="123"/>
      <c r="J827" s="123"/>
      <c r="K827" s="123"/>
      <c r="L827" s="123"/>
      <c r="M827" s="123"/>
      <c r="N827" s="123"/>
      <c r="O827" s="123"/>
      <c r="P827" s="123"/>
      <c r="Q827" s="123"/>
      <c r="R827" s="123"/>
      <c r="S827" s="123"/>
      <c r="T827" s="123"/>
      <c r="U827" s="123"/>
      <c r="V827" s="123"/>
      <c r="W827" s="123"/>
      <c r="X827" s="123"/>
      <c r="Y827" s="123"/>
      <c r="Z827" s="123"/>
    </row>
    <row r="828">
      <c r="A828" s="416"/>
      <c r="B828" s="134"/>
      <c r="C828" s="417"/>
      <c r="D828" s="418"/>
      <c r="E828" s="123"/>
      <c r="F828" s="123"/>
      <c r="G828" s="123"/>
      <c r="H828" s="123"/>
      <c r="I828" s="123"/>
      <c r="J828" s="123"/>
      <c r="K828" s="123"/>
      <c r="L828" s="123"/>
      <c r="M828" s="123"/>
      <c r="N828" s="123"/>
      <c r="O828" s="123"/>
      <c r="P828" s="123"/>
      <c r="Q828" s="123"/>
      <c r="R828" s="123"/>
      <c r="S828" s="123"/>
      <c r="T828" s="123"/>
      <c r="U828" s="123"/>
      <c r="V828" s="123"/>
      <c r="W828" s="123"/>
      <c r="X828" s="123"/>
      <c r="Y828" s="123"/>
      <c r="Z828" s="123"/>
    </row>
    <row r="829">
      <c r="A829" s="416"/>
      <c r="B829" s="134"/>
      <c r="C829" s="417"/>
      <c r="D829" s="418"/>
      <c r="E829" s="123"/>
      <c r="F829" s="123"/>
      <c r="G829" s="123"/>
      <c r="H829" s="123"/>
      <c r="I829" s="123"/>
      <c r="J829" s="123"/>
      <c r="K829" s="123"/>
      <c r="L829" s="123"/>
      <c r="M829" s="123"/>
      <c r="N829" s="123"/>
      <c r="O829" s="123"/>
      <c r="P829" s="123"/>
      <c r="Q829" s="123"/>
      <c r="R829" s="123"/>
      <c r="S829" s="123"/>
      <c r="T829" s="123"/>
      <c r="U829" s="123"/>
      <c r="V829" s="123"/>
      <c r="W829" s="123"/>
      <c r="X829" s="123"/>
      <c r="Y829" s="123"/>
      <c r="Z829" s="123"/>
    </row>
    <row r="830">
      <c r="A830" s="416"/>
      <c r="B830" s="134"/>
      <c r="C830" s="417"/>
      <c r="D830" s="418"/>
      <c r="E830" s="123"/>
      <c r="F830" s="123"/>
      <c r="G830" s="123"/>
      <c r="H830" s="123"/>
      <c r="I830" s="123"/>
      <c r="J830" s="123"/>
      <c r="K830" s="123"/>
      <c r="L830" s="123"/>
      <c r="M830" s="123"/>
      <c r="N830" s="123"/>
      <c r="O830" s="123"/>
      <c r="P830" s="123"/>
      <c r="Q830" s="123"/>
      <c r="R830" s="123"/>
      <c r="S830" s="123"/>
      <c r="T830" s="123"/>
      <c r="U830" s="123"/>
      <c r="V830" s="123"/>
      <c r="W830" s="123"/>
      <c r="X830" s="123"/>
      <c r="Y830" s="123"/>
      <c r="Z830" s="123"/>
    </row>
    <row r="831">
      <c r="A831" s="416"/>
      <c r="B831" s="134"/>
      <c r="C831" s="417"/>
      <c r="D831" s="418"/>
      <c r="E831" s="123"/>
      <c r="F831" s="123"/>
      <c r="G831" s="123"/>
      <c r="H831" s="123"/>
      <c r="I831" s="123"/>
      <c r="J831" s="123"/>
      <c r="K831" s="123"/>
      <c r="L831" s="123"/>
      <c r="M831" s="123"/>
      <c r="N831" s="123"/>
      <c r="O831" s="123"/>
      <c r="P831" s="123"/>
      <c r="Q831" s="123"/>
      <c r="R831" s="123"/>
      <c r="S831" s="123"/>
      <c r="T831" s="123"/>
      <c r="U831" s="123"/>
      <c r="V831" s="123"/>
      <c r="W831" s="123"/>
      <c r="X831" s="123"/>
      <c r="Y831" s="123"/>
      <c r="Z831" s="123"/>
    </row>
    <row r="832">
      <c r="A832" s="416"/>
      <c r="B832" s="134"/>
      <c r="C832" s="417"/>
      <c r="D832" s="418"/>
      <c r="E832" s="123"/>
      <c r="F832" s="123"/>
      <c r="G832" s="123"/>
      <c r="H832" s="123"/>
      <c r="I832" s="123"/>
      <c r="J832" s="123"/>
      <c r="K832" s="123"/>
      <c r="L832" s="123"/>
      <c r="M832" s="123"/>
      <c r="N832" s="123"/>
      <c r="O832" s="123"/>
      <c r="P832" s="123"/>
      <c r="Q832" s="123"/>
      <c r="R832" s="123"/>
      <c r="S832" s="123"/>
      <c r="T832" s="123"/>
      <c r="U832" s="123"/>
      <c r="V832" s="123"/>
      <c r="W832" s="123"/>
      <c r="X832" s="123"/>
      <c r="Y832" s="123"/>
      <c r="Z832" s="123"/>
    </row>
    <row r="833">
      <c r="A833" s="416"/>
      <c r="B833" s="134"/>
      <c r="C833" s="417"/>
      <c r="D833" s="418"/>
      <c r="E833" s="123"/>
      <c r="F833" s="123"/>
      <c r="G833" s="123"/>
      <c r="H833" s="123"/>
      <c r="I833" s="123"/>
      <c r="J833" s="123"/>
      <c r="K833" s="123"/>
      <c r="L833" s="123"/>
      <c r="M833" s="123"/>
      <c r="N833" s="123"/>
      <c r="O833" s="123"/>
      <c r="P833" s="123"/>
      <c r="Q833" s="123"/>
      <c r="R833" s="123"/>
      <c r="S833" s="123"/>
      <c r="T833" s="123"/>
      <c r="U833" s="123"/>
      <c r="V833" s="123"/>
      <c r="W833" s="123"/>
      <c r="X833" s="123"/>
      <c r="Y833" s="123"/>
      <c r="Z833" s="123"/>
    </row>
    <row r="834">
      <c r="A834" s="416"/>
      <c r="B834" s="134"/>
      <c r="C834" s="417"/>
      <c r="D834" s="418"/>
      <c r="E834" s="123"/>
      <c r="F834" s="123"/>
      <c r="G834" s="123"/>
      <c r="H834" s="123"/>
      <c r="I834" s="123"/>
      <c r="J834" s="123"/>
      <c r="K834" s="123"/>
      <c r="L834" s="123"/>
      <c r="M834" s="123"/>
      <c r="N834" s="123"/>
      <c r="O834" s="123"/>
      <c r="P834" s="123"/>
      <c r="Q834" s="123"/>
      <c r="R834" s="123"/>
      <c r="S834" s="123"/>
      <c r="T834" s="123"/>
      <c r="U834" s="123"/>
      <c r="V834" s="123"/>
      <c r="W834" s="123"/>
      <c r="X834" s="123"/>
      <c r="Y834" s="123"/>
      <c r="Z834" s="123"/>
    </row>
    <row r="835">
      <c r="A835" s="416"/>
      <c r="B835" s="134"/>
      <c r="C835" s="417"/>
      <c r="D835" s="418"/>
      <c r="E835" s="123"/>
      <c r="F835" s="123"/>
      <c r="G835" s="123"/>
      <c r="H835" s="123"/>
      <c r="I835" s="123"/>
      <c r="J835" s="123"/>
      <c r="K835" s="123"/>
      <c r="L835" s="123"/>
      <c r="M835" s="123"/>
      <c r="N835" s="123"/>
      <c r="O835" s="123"/>
      <c r="P835" s="123"/>
      <c r="Q835" s="123"/>
      <c r="R835" s="123"/>
      <c r="S835" s="123"/>
      <c r="T835" s="123"/>
      <c r="U835" s="123"/>
      <c r="V835" s="123"/>
      <c r="W835" s="123"/>
      <c r="X835" s="123"/>
      <c r="Y835" s="123"/>
      <c r="Z835" s="123"/>
    </row>
    <row r="836">
      <c r="A836" s="416"/>
      <c r="B836" s="134"/>
      <c r="C836" s="417"/>
      <c r="D836" s="418"/>
      <c r="E836" s="123"/>
      <c r="F836" s="123"/>
      <c r="G836" s="123"/>
      <c r="H836" s="123"/>
      <c r="I836" s="123"/>
      <c r="J836" s="123"/>
      <c r="K836" s="123"/>
      <c r="L836" s="123"/>
      <c r="M836" s="123"/>
      <c r="N836" s="123"/>
      <c r="O836" s="123"/>
      <c r="P836" s="123"/>
      <c r="Q836" s="123"/>
      <c r="R836" s="123"/>
      <c r="S836" s="123"/>
      <c r="T836" s="123"/>
      <c r="U836" s="123"/>
      <c r="V836" s="123"/>
      <c r="W836" s="123"/>
      <c r="X836" s="123"/>
      <c r="Y836" s="123"/>
      <c r="Z836" s="123"/>
    </row>
    <row r="837">
      <c r="A837" s="416"/>
      <c r="B837" s="134"/>
      <c r="C837" s="417"/>
      <c r="D837" s="418"/>
      <c r="E837" s="123"/>
      <c r="F837" s="123"/>
      <c r="G837" s="123"/>
      <c r="H837" s="123"/>
      <c r="I837" s="123"/>
      <c r="J837" s="123"/>
      <c r="K837" s="123"/>
      <c r="L837" s="123"/>
      <c r="M837" s="123"/>
      <c r="N837" s="123"/>
      <c r="O837" s="123"/>
      <c r="P837" s="123"/>
      <c r="Q837" s="123"/>
      <c r="R837" s="123"/>
      <c r="S837" s="123"/>
      <c r="T837" s="123"/>
      <c r="U837" s="123"/>
      <c r="V837" s="123"/>
      <c r="W837" s="123"/>
      <c r="X837" s="123"/>
      <c r="Y837" s="123"/>
      <c r="Z837" s="123"/>
    </row>
    <row r="838">
      <c r="A838" s="416"/>
      <c r="B838" s="134"/>
      <c r="C838" s="417"/>
      <c r="D838" s="418"/>
      <c r="E838" s="123"/>
      <c r="F838" s="123"/>
      <c r="G838" s="123"/>
      <c r="H838" s="123"/>
      <c r="I838" s="123"/>
      <c r="J838" s="123"/>
      <c r="K838" s="123"/>
      <c r="L838" s="123"/>
      <c r="M838" s="123"/>
      <c r="N838" s="123"/>
      <c r="O838" s="123"/>
      <c r="P838" s="123"/>
      <c r="Q838" s="123"/>
      <c r="R838" s="123"/>
      <c r="S838" s="123"/>
      <c r="T838" s="123"/>
      <c r="U838" s="123"/>
      <c r="V838" s="123"/>
      <c r="W838" s="123"/>
      <c r="X838" s="123"/>
      <c r="Y838" s="123"/>
      <c r="Z838" s="123"/>
    </row>
    <row r="839">
      <c r="A839" s="416"/>
      <c r="B839" s="134"/>
      <c r="C839" s="417"/>
      <c r="D839" s="418"/>
      <c r="E839" s="123"/>
      <c r="F839" s="123"/>
      <c r="G839" s="123"/>
      <c r="H839" s="123"/>
      <c r="I839" s="123"/>
      <c r="J839" s="123"/>
      <c r="K839" s="123"/>
      <c r="L839" s="123"/>
      <c r="M839" s="123"/>
      <c r="N839" s="123"/>
      <c r="O839" s="123"/>
      <c r="P839" s="123"/>
      <c r="Q839" s="123"/>
      <c r="R839" s="123"/>
      <c r="S839" s="123"/>
      <c r="T839" s="123"/>
      <c r="U839" s="123"/>
      <c r="V839" s="123"/>
      <c r="W839" s="123"/>
      <c r="X839" s="123"/>
      <c r="Y839" s="123"/>
      <c r="Z839" s="123"/>
    </row>
    <row r="840">
      <c r="A840" s="416"/>
      <c r="B840" s="134"/>
      <c r="C840" s="417"/>
      <c r="D840" s="418"/>
      <c r="E840" s="123"/>
      <c r="F840" s="123"/>
      <c r="G840" s="123"/>
      <c r="H840" s="123"/>
      <c r="I840" s="123"/>
      <c r="J840" s="123"/>
      <c r="K840" s="123"/>
      <c r="L840" s="123"/>
      <c r="M840" s="123"/>
      <c r="N840" s="123"/>
      <c r="O840" s="123"/>
      <c r="P840" s="123"/>
      <c r="Q840" s="123"/>
      <c r="R840" s="123"/>
      <c r="S840" s="123"/>
      <c r="T840" s="123"/>
      <c r="U840" s="123"/>
      <c r="V840" s="123"/>
      <c r="W840" s="123"/>
      <c r="X840" s="123"/>
      <c r="Y840" s="123"/>
      <c r="Z840" s="123"/>
    </row>
    <row r="841">
      <c r="A841" s="416"/>
      <c r="B841" s="134"/>
      <c r="C841" s="417"/>
      <c r="D841" s="418"/>
      <c r="E841" s="123"/>
      <c r="F841" s="123"/>
      <c r="G841" s="123"/>
      <c r="H841" s="123"/>
      <c r="I841" s="123"/>
      <c r="J841" s="123"/>
      <c r="K841" s="123"/>
      <c r="L841" s="123"/>
      <c r="M841" s="123"/>
      <c r="N841" s="123"/>
      <c r="O841" s="123"/>
      <c r="P841" s="123"/>
      <c r="Q841" s="123"/>
      <c r="R841" s="123"/>
      <c r="S841" s="123"/>
      <c r="T841" s="123"/>
      <c r="U841" s="123"/>
      <c r="V841" s="123"/>
      <c r="W841" s="123"/>
      <c r="X841" s="123"/>
      <c r="Y841" s="123"/>
      <c r="Z841" s="123"/>
    </row>
    <row r="842">
      <c r="A842" s="416"/>
      <c r="B842" s="134"/>
      <c r="C842" s="417"/>
      <c r="D842" s="418"/>
      <c r="E842" s="123"/>
      <c r="F842" s="123"/>
      <c r="G842" s="123"/>
      <c r="H842" s="123"/>
      <c r="I842" s="123"/>
      <c r="J842" s="123"/>
      <c r="K842" s="123"/>
      <c r="L842" s="123"/>
      <c r="M842" s="123"/>
      <c r="N842" s="123"/>
      <c r="O842" s="123"/>
      <c r="P842" s="123"/>
      <c r="Q842" s="123"/>
      <c r="R842" s="123"/>
      <c r="S842" s="123"/>
      <c r="T842" s="123"/>
      <c r="U842" s="123"/>
      <c r="V842" s="123"/>
      <c r="W842" s="123"/>
      <c r="X842" s="123"/>
      <c r="Y842" s="123"/>
      <c r="Z842" s="123"/>
    </row>
    <row r="843">
      <c r="A843" s="416"/>
      <c r="B843" s="134"/>
      <c r="C843" s="417"/>
      <c r="D843" s="418"/>
      <c r="E843" s="123"/>
      <c r="F843" s="123"/>
      <c r="G843" s="123"/>
      <c r="H843" s="123"/>
      <c r="I843" s="123"/>
      <c r="J843" s="123"/>
      <c r="K843" s="123"/>
      <c r="L843" s="123"/>
      <c r="M843" s="123"/>
      <c r="N843" s="123"/>
      <c r="O843" s="123"/>
      <c r="P843" s="123"/>
      <c r="Q843" s="123"/>
      <c r="R843" s="123"/>
      <c r="S843" s="123"/>
      <c r="T843" s="123"/>
      <c r="U843" s="123"/>
      <c r="V843" s="123"/>
      <c r="W843" s="123"/>
      <c r="X843" s="123"/>
      <c r="Y843" s="123"/>
      <c r="Z843" s="123"/>
    </row>
    <row r="844">
      <c r="A844" s="416"/>
      <c r="B844" s="134"/>
      <c r="C844" s="417"/>
      <c r="D844" s="418"/>
      <c r="E844" s="123"/>
      <c r="F844" s="123"/>
      <c r="G844" s="123"/>
      <c r="H844" s="123"/>
      <c r="I844" s="123"/>
      <c r="J844" s="123"/>
      <c r="K844" s="123"/>
      <c r="L844" s="123"/>
      <c r="M844" s="123"/>
      <c r="N844" s="123"/>
      <c r="O844" s="123"/>
      <c r="P844" s="123"/>
      <c r="Q844" s="123"/>
      <c r="R844" s="123"/>
      <c r="S844" s="123"/>
      <c r="T844" s="123"/>
      <c r="U844" s="123"/>
      <c r="V844" s="123"/>
      <c r="W844" s="123"/>
      <c r="X844" s="123"/>
      <c r="Y844" s="123"/>
      <c r="Z844" s="123"/>
    </row>
    <row r="845">
      <c r="A845" s="416"/>
      <c r="B845" s="134"/>
      <c r="C845" s="417"/>
      <c r="D845" s="418"/>
      <c r="E845" s="123"/>
      <c r="F845" s="123"/>
      <c r="G845" s="123"/>
      <c r="H845" s="123"/>
      <c r="I845" s="123"/>
      <c r="J845" s="123"/>
      <c r="K845" s="123"/>
      <c r="L845" s="123"/>
      <c r="M845" s="123"/>
      <c r="N845" s="123"/>
      <c r="O845" s="123"/>
      <c r="P845" s="123"/>
      <c r="Q845" s="123"/>
      <c r="R845" s="123"/>
      <c r="S845" s="123"/>
      <c r="T845" s="123"/>
      <c r="U845" s="123"/>
      <c r="V845" s="123"/>
      <c r="W845" s="123"/>
      <c r="X845" s="123"/>
      <c r="Y845" s="123"/>
      <c r="Z845" s="123"/>
    </row>
    <row r="846">
      <c r="A846" s="416"/>
      <c r="B846" s="134"/>
      <c r="C846" s="417"/>
      <c r="D846" s="418"/>
      <c r="E846" s="123"/>
      <c r="F846" s="123"/>
      <c r="G846" s="123"/>
      <c r="H846" s="123"/>
      <c r="I846" s="123"/>
      <c r="J846" s="123"/>
      <c r="K846" s="123"/>
      <c r="L846" s="123"/>
      <c r="M846" s="123"/>
      <c r="N846" s="123"/>
      <c r="O846" s="123"/>
      <c r="P846" s="123"/>
      <c r="Q846" s="123"/>
      <c r="R846" s="123"/>
      <c r="S846" s="123"/>
      <c r="T846" s="123"/>
      <c r="U846" s="123"/>
      <c r="V846" s="123"/>
      <c r="W846" s="123"/>
      <c r="X846" s="123"/>
      <c r="Y846" s="123"/>
      <c r="Z846" s="123"/>
    </row>
    <row r="847">
      <c r="A847" s="416"/>
      <c r="B847" s="134"/>
      <c r="C847" s="417"/>
      <c r="D847" s="418"/>
      <c r="E847" s="123"/>
      <c r="F847" s="123"/>
      <c r="G847" s="123"/>
      <c r="H847" s="123"/>
      <c r="I847" s="123"/>
      <c r="J847" s="123"/>
      <c r="K847" s="123"/>
      <c r="L847" s="123"/>
      <c r="M847" s="123"/>
      <c r="N847" s="123"/>
      <c r="O847" s="123"/>
      <c r="P847" s="123"/>
      <c r="Q847" s="123"/>
      <c r="R847" s="123"/>
      <c r="S847" s="123"/>
      <c r="T847" s="123"/>
      <c r="U847" s="123"/>
      <c r="V847" s="123"/>
      <c r="W847" s="123"/>
      <c r="X847" s="123"/>
      <c r="Y847" s="123"/>
      <c r="Z847" s="123"/>
    </row>
    <row r="848">
      <c r="A848" s="416"/>
      <c r="B848" s="134"/>
      <c r="C848" s="417"/>
      <c r="D848" s="418"/>
      <c r="E848" s="123"/>
      <c r="F848" s="123"/>
      <c r="G848" s="123"/>
      <c r="H848" s="123"/>
      <c r="I848" s="123"/>
      <c r="J848" s="123"/>
      <c r="K848" s="123"/>
      <c r="L848" s="123"/>
      <c r="M848" s="123"/>
      <c r="N848" s="123"/>
      <c r="O848" s="123"/>
      <c r="P848" s="123"/>
      <c r="Q848" s="123"/>
      <c r="R848" s="123"/>
      <c r="S848" s="123"/>
      <c r="T848" s="123"/>
      <c r="U848" s="123"/>
      <c r="V848" s="123"/>
      <c r="W848" s="123"/>
      <c r="X848" s="123"/>
      <c r="Y848" s="123"/>
      <c r="Z848" s="123"/>
    </row>
    <row r="849">
      <c r="A849" s="416"/>
      <c r="B849" s="134"/>
      <c r="C849" s="417"/>
      <c r="D849" s="418"/>
      <c r="E849" s="123"/>
      <c r="F849" s="123"/>
      <c r="G849" s="123"/>
      <c r="H849" s="123"/>
      <c r="I849" s="123"/>
      <c r="J849" s="123"/>
      <c r="K849" s="123"/>
      <c r="L849" s="123"/>
      <c r="M849" s="123"/>
      <c r="N849" s="123"/>
      <c r="O849" s="123"/>
      <c r="P849" s="123"/>
      <c r="Q849" s="123"/>
      <c r="R849" s="123"/>
      <c r="S849" s="123"/>
      <c r="T849" s="123"/>
      <c r="U849" s="123"/>
      <c r="V849" s="123"/>
      <c r="W849" s="123"/>
      <c r="X849" s="123"/>
      <c r="Y849" s="123"/>
      <c r="Z849" s="123"/>
    </row>
    <row r="850">
      <c r="A850" s="416"/>
      <c r="B850" s="134"/>
      <c r="C850" s="417"/>
      <c r="D850" s="418"/>
      <c r="E850" s="123"/>
      <c r="F850" s="123"/>
      <c r="G850" s="123"/>
      <c r="H850" s="123"/>
      <c r="I850" s="123"/>
      <c r="J850" s="123"/>
      <c r="K850" s="123"/>
      <c r="L850" s="123"/>
      <c r="M850" s="123"/>
      <c r="N850" s="123"/>
      <c r="O850" s="123"/>
      <c r="P850" s="123"/>
      <c r="Q850" s="123"/>
      <c r="R850" s="123"/>
      <c r="S850" s="123"/>
      <c r="T850" s="123"/>
      <c r="U850" s="123"/>
      <c r="V850" s="123"/>
      <c r="W850" s="123"/>
      <c r="X850" s="123"/>
      <c r="Y850" s="123"/>
      <c r="Z850" s="123"/>
    </row>
    <row r="851">
      <c r="A851" s="416"/>
      <c r="B851" s="134"/>
      <c r="C851" s="417"/>
      <c r="D851" s="418"/>
      <c r="E851" s="123"/>
      <c r="F851" s="123"/>
      <c r="G851" s="123"/>
      <c r="H851" s="123"/>
      <c r="I851" s="123"/>
      <c r="J851" s="123"/>
      <c r="K851" s="123"/>
      <c r="L851" s="123"/>
      <c r="M851" s="123"/>
      <c r="N851" s="123"/>
      <c r="O851" s="123"/>
      <c r="P851" s="123"/>
      <c r="Q851" s="123"/>
      <c r="R851" s="123"/>
      <c r="S851" s="123"/>
      <c r="T851" s="123"/>
      <c r="U851" s="123"/>
      <c r="V851" s="123"/>
      <c r="W851" s="123"/>
      <c r="X851" s="123"/>
      <c r="Y851" s="123"/>
      <c r="Z851" s="123"/>
    </row>
    <row r="852">
      <c r="A852" s="416"/>
      <c r="B852" s="134"/>
      <c r="C852" s="417"/>
      <c r="D852" s="418"/>
      <c r="E852" s="123"/>
      <c r="F852" s="123"/>
      <c r="G852" s="123"/>
      <c r="H852" s="123"/>
      <c r="I852" s="123"/>
      <c r="J852" s="123"/>
      <c r="K852" s="123"/>
      <c r="L852" s="123"/>
      <c r="M852" s="123"/>
      <c r="N852" s="123"/>
      <c r="O852" s="123"/>
      <c r="P852" s="123"/>
      <c r="Q852" s="123"/>
      <c r="R852" s="123"/>
      <c r="S852" s="123"/>
      <c r="T852" s="123"/>
      <c r="U852" s="123"/>
      <c r="V852" s="123"/>
      <c r="W852" s="123"/>
      <c r="X852" s="123"/>
      <c r="Y852" s="123"/>
      <c r="Z852" s="123"/>
    </row>
    <row r="853">
      <c r="A853" s="416"/>
      <c r="B853" s="134"/>
      <c r="C853" s="417"/>
      <c r="D853" s="418"/>
      <c r="E853" s="123"/>
      <c r="F853" s="123"/>
      <c r="G853" s="123"/>
      <c r="H853" s="123"/>
      <c r="I853" s="123"/>
      <c r="J853" s="123"/>
      <c r="K853" s="123"/>
      <c r="L853" s="123"/>
      <c r="M853" s="123"/>
      <c r="N853" s="123"/>
      <c r="O853" s="123"/>
      <c r="P853" s="123"/>
      <c r="Q853" s="123"/>
      <c r="R853" s="123"/>
      <c r="S853" s="123"/>
      <c r="T853" s="123"/>
      <c r="U853" s="123"/>
      <c r="V853" s="123"/>
      <c r="W853" s="123"/>
      <c r="X853" s="123"/>
      <c r="Y853" s="123"/>
      <c r="Z853" s="123"/>
    </row>
    <row r="854">
      <c r="A854" s="416"/>
      <c r="B854" s="134"/>
      <c r="C854" s="417"/>
      <c r="D854" s="418"/>
      <c r="E854" s="123"/>
      <c r="F854" s="123"/>
      <c r="G854" s="123"/>
      <c r="H854" s="123"/>
      <c r="I854" s="123"/>
      <c r="J854" s="123"/>
      <c r="K854" s="123"/>
      <c r="L854" s="123"/>
      <c r="M854" s="123"/>
      <c r="N854" s="123"/>
      <c r="O854" s="123"/>
      <c r="P854" s="123"/>
      <c r="Q854" s="123"/>
      <c r="R854" s="123"/>
      <c r="S854" s="123"/>
      <c r="T854" s="123"/>
      <c r="U854" s="123"/>
      <c r="V854" s="123"/>
      <c r="W854" s="123"/>
      <c r="X854" s="123"/>
      <c r="Y854" s="123"/>
      <c r="Z854" s="123"/>
    </row>
    <row r="855">
      <c r="A855" s="416"/>
      <c r="B855" s="134"/>
      <c r="C855" s="417"/>
      <c r="D855" s="418"/>
      <c r="E855" s="123"/>
      <c r="F855" s="123"/>
      <c r="G855" s="123"/>
      <c r="H855" s="123"/>
      <c r="I855" s="123"/>
      <c r="J855" s="123"/>
      <c r="K855" s="123"/>
      <c r="L855" s="123"/>
      <c r="M855" s="123"/>
      <c r="N855" s="123"/>
      <c r="O855" s="123"/>
      <c r="P855" s="123"/>
      <c r="Q855" s="123"/>
      <c r="R855" s="123"/>
      <c r="S855" s="123"/>
      <c r="T855" s="123"/>
      <c r="U855" s="123"/>
      <c r="V855" s="123"/>
      <c r="W855" s="123"/>
      <c r="X855" s="123"/>
      <c r="Y855" s="123"/>
      <c r="Z855" s="123"/>
    </row>
    <row r="856">
      <c r="A856" s="416"/>
      <c r="B856" s="134"/>
      <c r="C856" s="417"/>
      <c r="D856" s="418"/>
      <c r="E856" s="123"/>
      <c r="F856" s="123"/>
      <c r="G856" s="123"/>
      <c r="H856" s="123"/>
      <c r="I856" s="123"/>
      <c r="J856" s="123"/>
      <c r="K856" s="123"/>
      <c r="L856" s="123"/>
      <c r="M856" s="123"/>
      <c r="N856" s="123"/>
      <c r="O856" s="123"/>
      <c r="P856" s="123"/>
      <c r="Q856" s="123"/>
      <c r="R856" s="123"/>
      <c r="S856" s="123"/>
      <c r="T856" s="123"/>
      <c r="U856" s="123"/>
      <c r="V856" s="123"/>
      <c r="W856" s="123"/>
      <c r="X856" s="123"/>
      <c r="Y856" s="123"/>
      <c r="Z856" s="123"/>
    </row>
    <row r="857">
      <c r="A857" s="416"/>
      <c r="B857" s="134"/>
      <c r="C857" s="417"/>
      <c r="D857" s="418"/>
      <c r="E857" s="123"/>
      <c r="F857" s="123"/>
      <c r="G857" s="123"/>
      <c r="H857" s="123"/>
      <c r="I857" s="123"/>
      <c r="J857" s="123"/>
      <c r="K857" s="123"/>
      <c r="L857" s="123"/>
      <c r="M857" s="123"/>
      <c r="N857" s="123"/>
      <c r="O857" s="123"/>
      <c r="P857" s="123"/>
      <c r="Q857" s="123"/>
      <c r="R857" s="123"/>
      <c r="S857" s="123"/>
      <c r="T857" s="123"/>
      <c r="U857" s="123"/>
      <c r="V857" s="123"/>
      <c r="W857" s="123"/>
      <c r="X857" s="123"/>
      <c r="Y857" s="123"/>
      <c r="Z857" s="123"/>
    </row>
    <row r="858">
      <c r="A858" s="416"/>
      <c r="B858" s="134"/>
      <c r="C858" s="417"/>
      <c r="D858" s="418"/>
      <c r="E858" s="123"/>
      <c r="F858" s="123"/>
      <c r="G858" s="123"/>
      <c r="H858" s="123"/>
      <c r="I858" s="123"/>
      <c r="J858" s="123"/>
      <c r="K858" s="123"/>
      <c r="L858" s="123"/>
      <c r="M858" s="123"/>
      <c r="N858" s="123"/>
      <c r="O858" s="123"/>
      <c r="P858" s="123"/>
      <c r="Q858" s="123"/>
      <c r="R858" s="123"/>
      <c r="S858" s="123"/>
      <c r="T858" s="123"/>
      <c r="U858" s="123"/>
      <c r="V858" s="123"/>
      <c r="W858" s="123"/>
      <c r="X858" s="123"/>
      <c r="Y858" s="123"/>
      <c r="Z858" s="123"/>
    </row>
    <row r="859">
      <c r="A859" s="416"/>
      <c r="B859" s="134"/>
      <c r="C859" s="417"/>
      <c r="D859" s="418"/>
      <c r="E859" s="123"/>
      <c r="F859" s="123"/>
      <c r="G859" s="123"/>
      <c r="H859" s="123"/>
      <c r="I859" s="123"/>
      <c r="J859" s="123"/>
      <c r="K859" s="123"/>
      <c r="L859" s="123"/>
      <c r="M859" s="123"/>
      <c r="N859" s="123"/>
      <c r="O859" s="123"/>
      <c r="P859" s="123"/>
      <c r="Q859" s="123"/>
      <c r="R859" s="123"/>
      <c r="S859" s="123"/>
      <c r="T859" s="123"/>
      <c r="U859" s="123"/>
      <c r="V859" s="123"/>
      <c r="W859" s="123"/>
      <c r="X859" s="123"/>
      <c r="Y859" s="123"/>
      <c r="Z859" s="123"/>
    </row>
    <row r="860">
      <c r="A860" s="416"/>
      <c r="B860" s="134"/>
      <c r="C860" s="417"/>
      <c r="D860" s="418"/>
      <c r="E860" s="123"/>
      <c r="F860" s="123"/>
      <c r="G860" s="123"/>
      <c r="H860" s="123"/>
      <c r="I860" s="123"/>
      <c r="J860" s="123"/>
      <c r="K860" s="123"/>
      <c r="L860" s="123"/>
      <c r="M860" s="123"/>
      <c r="N860" s="123"/>
      <c r="O860" s="123"/>
      <c r="P860" s="123"/>
      <c r="Q860" s="123"/>
      <c r="R860" s="123"/>
      <c r="S860" s="123"/>
      <c r="T860" s="123"/>
      <c r="U860" s="123"/>
      <c r="V860" s="123"/>
      <c r="W860" s="123"/>
      <c r="X860" s="123"/>
      <c r="Y860" s="123"/>
      <c r="Z860" s="123"/>
    </row>
    <row r="861">
      <c r="A861" s="416"/>
      <c r="B861" s="134"/>
      <c r="C861" s="417"/>
      <c r="D861" s="418"/>
      <c r="E861" s="123"/>
      <c r="F861" s="123"/>
      <c r="G861" s="123"/>
      <c r="H861" s="123"/>
      <c r="I861" s="123"/>
      <c r="J861" s="123"/>
      <c r="K861" s="123"/>
      <c r="L861" s="123"/>
      <c r="M861" s="123"/>
      <c r="N861" s="123"/>
      <c r="O861" s="123"/>
      <c r="P861" s="123"/>
      <c r="Q861" s="123"/>
      <c r="R861" s="123"/>
      <c r="S861" s="123"/>
      <c r="T861" s="123"/>
      <c r="U861" s="123"/>
      <c r="V861" s="123"/>
      <c r="W861" s="123"/>
      <c r="X861" s="123"/>
      <c r="Y861" s="123"/>
      <c r="Z861" s="123"/>
    </row>
    <row r="862">
      <c r="A862" s="416"/>
      <c r="B862" s="134"/>
      <c r="C862" s="417"/>
      <c r="D862" s="418"/>
      <c r="E862" s="123"/>
      <c r="F862" s="123"/>
      <c r="G862" s="123"/>
      <c r="H862" s="123"/>
      <c r="I862" s="123"/>
      <c r="J862" s="123"/>
      <c r="K862" s="123"/>
      <c r="L862" s="123"/>
      <c r="M862" s="123"/>
      <c r="N862" s="123"/>
      <c r="O862" s="123"/>
      <c r="P862" s="123"/>
      <c r="Q862" s="123"/>
      <c r="R862" s="123"/>
      <c r="S862" s="123"/>
      <c r="T862" s="123"/>
      <c r="U862" s="123"/>
      <c r="V862" s="123"/>
      <c r="W862" s="123"/>
      <c r="X862" s="123"/>
      <c r="Y862" s="123"/>
      <c r="Z862" s="123"/>
    </row>
    <row r="863">
      <c r="A863" s="416"/>
      <c r="B863" s="134"/>
      <c r="C863" s="417"/>
      <c r="D863" s="418"/>
      <c r="E863" s="123"/>
      <c r="F863" s="123"/>
      <c r="G863" s="123"/>
      <c r="H863" s="123"/>
      <c r="I863" s="123"/>
      <c r="J863" s="123"/>
      <c r="K863" s="123"/>
      <c r="L863" s="123"/>
      <c r="M863" s="123"/>
      <c r="N863" s="123"/>
      <c r="O863" s="123"/>
      <c r="P863" s="123"/>
      <c r="Q863" s="123"/>
      <c r="R863" s="123"/>
      <c r="S863" s="123"/>
      <c r="T863" s="123"/>
      <c r="U863" s="123"/>
      <c r="V863" s="123"/>
      <c r="W863" s="123"/>
      <c r="X863" s="123"/>
      <c r="Y863" s="123"/>
      <c r="Z863" s="123"/>
    </row>
    <row r="864">
      <c r="A864" s="416"/>
      <c r="B864" s="134"/>
      <c r="C864" s="417"/>
      <c r="D864" s="418"/>
      <c r="E864" s="123"/>
      <c r="F864" s="123"/>
      <c r="G864" s="123"/>
      <c r="H864" s="123"/>
      <c r="I864" s="123"/>
      <c r="J864" s="123"/>
      <c r="K864" s="123"/>
      <c r="L864" s="123"/>
      <c r="M864" s="123"/>
      <c r="N864" s="123"/>
      <c r="O864" s="123"/>
      <c r="P864" s="123"/>
      <c r="Q864" s="123"/>
      <c r="R864" s="123"/>
      <c r="S864" s="123"/>
      <c r="T864" s="123"/>
      <c r="U864" s="123"/>
      <c r="V864" s="123"/>
      <c r="W864" s="123"/>
      <c r="X864" s="123"/>
      <c r="Y864" s="123"/>
      <c r="Z864" s="123"/>
    </row>
    <row r="865">
      <c r="A865" s="416"/>
      <c r="B865" s="134"/>
      <c r="C865" s="417"/>
      <c r="D865" s="418"/>
      <c r="E865" s="123"/>
      <c r="F865" s="123"/>
      <c r="G865" s="123"/>
      <c r="H865" s="123"/>
      <c r="I865" s="123"/>
      <c r="J865" s="123"/>
      <c r="K865" s="123"/>
      <c r="L865" s="123"/>
      <c r="M865" s="123"/>
      <c r="N865" s="123"/>
      <c r="O865" s="123"/>
      <c r="P865" s="123"/>
      <c r="Q865" s="123"/>
      <c r="R865" s="123"/>
      <c r="S865" s="123"/>
      <c r="T865" s="123"/>
      <c r="U865" s="123"/>
      <c r="V865" s="123"/>
      <c r="W865" s="123"/>
      <c r="X865" s="123"/>
      <c r="Y865" s="123"/>
      <c r="Z865" s="123"/>
    </row>
    <row r="866">
      <c r="A866" s="416"/>
      <c r="B866" s="134"/>
      <c r="C866" s="417"/>
      <c r="D866" s="418"/>
      <c r="E866" s="123"/>
      <c r="F866" s="123"/>
      <c r="G866" s="123"/>
      <c r="H866" s="123"/>
      <c r="I866" s="123"/>
      <c r="J866" s="123"/>
      <c r="K866" s="123"/>
      <c r="L866" s="123"/>
      <c r="M866" s="123"/>
      <c r="N866" s="123"/>
      <c r="O866" s="123"/>
      <c r="P866" s="123"/>
      <c r="Q866" s="123"/>
      <c r="R866" s="123"/>
      <c r="S866" s="123"/>
      <c r="T866" s="123"/>
      <c r="U866" s="123"/>
      <c r="V866" s="123"/>
      <c r="W866" s="123"/>
      <c r="X866" s="123"/>
      <c r="Y866" s="123"/>
      <c r="Z866" s="123"/>
    </row>
    <row r="867">
      <c r="A867" s="416"/>
      <c r="B867" s="134"/>
      <c r="C867" s="417"/>
      <c r="D867" s="418"/>
      <c r="E867" s="123"/>
      <c r="F867" s="123"/>
      <c r="G867" s="123"/>
      <c r="H867" s="123"/>
      <c r="I867" s="123"/>
      <c r="J867" s="123"/>
      <c r="K867" s="123"/>
      <c r="L867" s="123"/>
      <c r="M867" s="123"/>
      <c r="N867" s="123"/>
      <c r="O867" s="123"/>
      <c r="P867" s="123"/>
      <c r="Q867" s="123"/>
      <c r="R867" s="123"/>
      <c r="S867" s="123"/>
      <c r="T867" s="123"/>
      <c r="U867" s="123"/>
      <c r="V867" s="123"/>
      <c r="W867" s="123"/>
      <c r="X867" s="123"/>
      <c r="Y867" s="123"/>
      <c r="Z867" s="123"/>
    </row>
    <row r="868">
      <c r="A868" s="416"/>
      <c r="B868" s="134"/>
      <c r="C868" s="417"/>
      <c r="D868" s="418"/>
      <c r="E868" s="123"/>
      <c r="F868" s="123"/>
      <c r="G868" s="123"/>
      <c r="H868" s="123"/>
      <c r="I868" s="123"/>
      <c r="J868" s="123"/>
      <c r="K868" s="123"/>
      <c r="L868" s="123"/>
      <c r="M868" s="123"/>
      <c r="N868" s="123"/>
      <c r="O868" s="123"/>
      <c r="P868" s="123"/>
      <c r="Q868" s="123"/>
      <c r="R868" s="123"/>
      <c r="S868" s="123"/>
      <c r="T868" s="123"/>
      <c r="U868" s="123"/>
      <c r="V868" s="123"/>
      <c r="W868" s="123"/>
      <c r="X868" s="123"/>
      <c r="Y868" s="123"/>
      <c r="Z868" s="123"/>
    </row>
    <row r="869">
      <c r="A869" s="416"/>
      <c r="B869" s="134"/>
      <c r="C869" s="417"/>
      <c r="D869" s="418"/>
      <c r="E869" s="123"/>
      <c r="F869" s="123"/>
      <c r="G869" s="123"/>
      <c r="H869" s="123"/>
      <c r="I869" s="123"/>
      <c r="J869" s="123"/>
      <c r="K869" s="123"/>
      <c r="L869" s="123"/>
      <c r="M869" s="123"/>
      <c r="N869" s="123"/>
      <c r="O869" s="123"/>
      <c r="P869" s="123"/>
      <c r="Q869" s="123"/>
      <c r="R869" s="123"/>
      <c r="S869" s="123"/>
      <c r="T869" s="123"/>
      <c r="U869" s="123"/>
      <c r="V869" s="123"/>
      <c r="W869" s="123"/>
      <c r="X869" s="123"/>
      <c r="Y869" s="123"/>
      <c r="Z869" s="123"/>
    </row>
    <row r="870">
      <c r="A870" s="416"/>
      <c r="B870" s="134"/>
      <c r="C870" s="417"/>
      <c r="D870" s="418"/>
      <c r="E870" s="123"/>
      <c r="F870" s="123"/>
      <c r="G870" s="123"/>
      <c r="H870" s="123"/>
      <c r="I870" s="123"/>
      <c r="J870" s="123"/>
      <c r="K870" s="123"/>
      <c r="L870" s="123"/>
      <c r="M870" s="123"/>
      <c r="N870" s="123"/>
      <c r="O870" s="123"/>
      <c r="P870" s="123"/>
      <c r="Q870" s="123"/>
      <c r="R870" s="123"/>
      <c r="S870" s="123"/>
      <c r="T870" s="123"/>
      <c r="U870" s="123"/>
      <c r="V870" s="123"/>
      <c r="W870" s="123"/>
      <c r="X870" s="123"/>
      <c r="Y870" s="123"/>
      <c r="Z870" s="123"/>
    </row>
    <row r="871">
      <c r="A871" s="416"/>
      <c r="B871" s="134"/>
      <c r="C871" s="417"/>
      <c r="D871" s="418"/>
      <c r="E871" s="123"/>
      <c r="F871" s="123"/>
      <c r="G871" s="123"/>
      <c r="H871" s="123"/>
      <c r="I871" s="123"/>
      <c r="J871" s="123"/>
      <c r="K871" s="123"/>
      <c r="L871" s="123"/>
      <c r="M871" s="123"/>
      <c r="N871" s="123"/>
      <c r="O871" s="123"/>
      <c r="P871" s="123"/>
      <c r="Q871" s="123"/>
      <c r="R871" s="123"/>
      <c r="S871" s="123"/>
      <c r="T871" s="123"/>
      <c r="U871" s="123"/>
      <c r="V871" s="123"/>
      <c r="W871" s="123"/>
      <c r="X871" s="123"/>
      <c r="Y871" s="123"/>
      <c r="Z871" s="123"/>
    </row>
    <row r="872">
      <c r="A872" s="416"/>
      <c r="B872" s="134"/>
      <c r="C872" s="417"/>
      <c r="D872" s="418"/>
      <c r="E872" s="123"/>
      <c r="F872" s="123"/>
      <c r="G872" s="123"/>
      <c r="H872" s="123"/>
      <c r="I872" s="123"/>
      <c r="J872" s="123"/>
      <c r="K872" s="123"/>
      <c r="L872" s="123"/>
      <c r="M872" s="123"/>
      <c r="N872" s="123"/>
      <c r="O872" s="123"/>
      <c r="P872" s="123"/>
      <c r="Q872" s="123"/>
      <c r="R872" s="123"/>
      <c r="S872" s="123"/>
      <c r="T872" s="123"/>
      <c r="U872" s="123"/>
      <c r="V872" s="123"/>
      <c r="W872" s="123"/>
      <c r="X872" s="123"/>
      <c r="Y872" s="123"/>
      <c r="Z872" s="123"/>
    </row>
    <row r="873">
      <c r="A873" s="416"/>
      <c r="B873" s="134"/>
      <c r="C873" s="417"/>
      <c r="D873" s="418"/>
      <c r="E873" s="123"/>
      <c r="F873" s="123"/>
      <c r="G873" s="123"/>
      <c r="H873" s="123"/>
      <c r="I873" s="123"/>
      <c r="J873" s="123"/>
      <c r="K873" s="123"/>
      <c r="L873" s="123"/>
      <c r="M873" s="123"/>
      <c r="N873" s="123"/>
      <c r="O873" s="123"/>
      <c r="P873" s="123"/>
      <c r="Q873" s="123"/>
      <c r="R873" s="123"/>
      <c r="S873" s="123"/>
      <c r="T873" s="123"/>
      <c r="U873" s="123"/>
      <c r="V873" s="123"/>
      <c r="W873" s="123"/>
      <c r="X873" s="123"/>
      <c r="Y873" s="123"/>
      <c r="Z873" s="123"/>
    </row>
    <row r="874">
      <c r="A874" s="416"/>
      <c r="B874" s="134"/>
      <c r="C874" s="417"/>
      <c r="D874" s="418"/>
      <c r="E874" s="123"/>
      <c r="F874" s="123"/>
      <c r="G874" s="123"/>
      <c r="H874" s="123"/>
      <c r="I874" s="123"/>
      <c r="J874" s="123"/>
      <c r="K874" s="123"/>
      <c r="L874" s="123"/>
      <c r="M874" s="123"/>
      <c r="N874" s="123"/>
      <c r="O874" s="123"/>
      <c r="P874" s="123"/>
      <c r="Q874" s="123"/>
      <c r="R874" s="123"/>
      <c r="S874" s="123"/>
      <c r="T874" s="123"/>
      <c r="U874" s="123"/>
      <c r="V874" s="123"/>
      <c r="W874" s="123"/>
      <c r="X874" s="123"/>
      <c r="Y874" s="123"/>
      <c r="Z874" s="123"/>
    </row>
    <row r="875">
      <c r="A875" s="416"/>
      <c r="B875" s="134"/>
      <c r="C875" s="417"/>
      <c r="D875" s="418"/>
      <c r="E875" s="123"/>
      <c r="F875" s="123"/>
      <c r="G875" s="123"/>
      <c r="H875" s="123"/>
      <c r="I875" s="123"/>
      <c r="J875" s="123"/>
      <c r="K875" s="123"/>
      <c r="L875" s="123"/>
      <c r="M875" s="123"/>
      <c r="N875" s="123"/>
      <c r="O875" s="123"/>
      <c r="P875" s="123"/>
      <c r="Q875" s="123"/>
      <c r="R875" s="123"/>
      <c r="S875" s="123"/>
      <c r="T875" s="123"/>
      <c r="U875" s="123"/>
      <c r="V875" s="123"/>
      <c r="W875" s="123"/>
      <c r="X875" s="123"/>
      <c r="Y875" s="123"/>
      <c r="Z875" s="123"/>
    </row>
    <row r="876">
      <c r="A876" s="416"/>
      <c r="B876" s="134"/>
      <c r="C876" s="417"/>
      <c r="D876" s="418"/>
      <c r="E876" s="123"/>
      <c r="F876" s="123"/>
      <c r="G876" s="123"/>
      <c r="H876" s="123"/>
      <c r="I876" s="123"/>
      <c r="J876" s="123"/>
      <c r="K876" s="123"/>
      <c r="L876" s="123"/>
      <c r="M876" s="123"/>
      <c r="N876" s="123"/>
      <c r="O876" s="123"/>
      <c r="P876" s="123"/>
      <c r="Q876" s="123"/>
      <c r="R876" s="123"/>
      <c r="S876" s="123"/>
      <c r="T876" s="123"/>
      <c r="U876" s="123"/>
      <c r="V876" s="123"/>
      <c r="W876" s="123"/>
      <c r="X876" s="123"/>
      <c r="Y876" s="123"/>
      <c r="Z876" s="123"/>
    </row>
    <row r="877">
      <c r="A877" s="416"/>
      <c r="B877" s="134"/>
      <c r="C877" s="417"/>
      <c r="D877" s="418"/>
      <c r="E877" s="123"/>
      <c r="F877" s="123"/>
      <c r="G877" s="123"/>
      <c r="H877" s="123"/>
      <c r="I877" s="123"/>
      <c r="J877" s="123"/>
      <c r="K877" s="123"/>
      <c r="L877" s="123"/>
      <c r="M877" s="123"/>
      <c r="N877" s="123"/>
      <c r="O877" s="123"/>
      <c r="P877" s="123"/>
      <c r="Q877" s="123"/>
      <c r="R877" s="123"/>
      <c r="S877" s="123"/>
      <c r="T877" s="123"/>
      <c r="U877" s="123"/>
      <c r="V877" s="123"/>
      <c r="W877" s="123"/>
      <c r="X877" s="123"/>
      <c r="Y877" s="123"/>
      <c r="Z877" s="123"/>
    </row>
    <row r="878">
      <c r="A878" s="416"/>
      <c r="B878" s="134"/>
      <c r="C878" s="417"/>
      <c r="D878" s="418"/>
      <c r="E878" s="123"/>
      <c r="F878" s="123"/>
      <c r="G878" s="123"/>
      <c r="H878" s="123"/>
      <c r="I878" s="123"/>
      <c r="J878" s="123"/>
      <c r="K878" s="123"/>
      <c r="L878" s="123"/>
      <c r="M878" s="123"/>
      <c r="N878" s="123"/>
      <c r="O878" s="123"/>
      <c r="P878" s="123"/>
      <c r="Q878" s="123"/>
      <c r="R878" s="123"/>
      <c r="S878" s="123"/>
      <c r="T878" s="123"/>
      <c r="U878" s="123"/>
      <c r="V878" s="123"/>
      <c r="W878" s="123"/>
      <c r="X878" s="123"/>
      <c r="Y878" s="123"/>
      <c r="Z878" s="123"/>
    </row>
    <row r="879">
      <c r="A879" s="416"/>
      <c r="B879" s="134"/>
      <c r="C879" s="417"/>
      <c r="D879" s="418"/>
      <c r="E879" s="123"/>
      <c r="F879" s="123"/>
      <c r="G879" s="123"/>
      <c r="H879" s="123"/>
      <c r="I879" s="123"/>
      <c r="J879" s="123"/>
      <c r="K879" s="123"/>
      <c r="L879" s="123"/>
      <c r="M879" s="123"/>
      <c r="N879" s="123"/>
      <c r="O879" s="123"/>
      <c r="P879" s="123"/>
      <c r="Q879" s="123"/>
      <c r="R879" s="123"/>
      <c r="S879" s="123"/>
      <c r="T879" s="123"/>
      <c r="U879" s="123"/>
      <c r="V879" s="123"/>
      <c r="W879" s="123"/>
      <c r="X879" s="123"/>
      <c r="Y879" s="123"/>
      <c r="Z879" s="123"/>
    </row>
    <row r="880">
      <c r="A880" s="416"/>
      <c r="B880" s="134"/>
      <c r="C880" s="417"/>
      <c r="D880" s="418"/>
      <c r="E880" s="123"/>
      <c r="F880" s="123"/>
      <c r="G880" s="123"/>
      <c r="H880" s="123"/>
      <c r="I880" s="123"/>
      <c r="J880" s="123"/>
      <c r="K880" s="123"/>
      <c r="L880" s="123"/>
      <c r="M880" s="123"/>
      <c r="N880" s="123"/>
      <c r="O880" s="123"/>
      <c r="P880" s="123"/>
      <c r="Q880" s="123"/>
      <c r="R880" s="123"/>
      <c r="S880" s="123"/>
      <c r="T880" s="123"/>
      <c r="U880" s="123"/>
      <c r="V880" s="123"/>
      <c r="W880" s="123"/>
      <c r="X880" s="123"/>
      <c r="Y880" s="123"/>
      <c r="Z880" s="123"/>
    </row>
    <row r="881">
      <c r="A881" s="416"/>
      <c r="B881" s="134"/>
      <c r="C881" s="417"/>
      <c r="D881" s="418"/>
      <c r="E881" s="123"/>
      <c r="F881" s="123"/>
      <c r="G881" s="123"/>
      <c r="H881" s="123"/>
      <c r="I881" s="123"/>
      <c r="J881" s="123"/>
      <c r="K881" s="123"/>
      <c r="L881" s="123"/>
      <c r="M881" s="123"/>
      <c r="N881" s="123"/>
      <c r="O881" s="123"/>
      <c r="P881" s="123"/>
      <c r="Q881" s="123"/>
      <c r="R881" s="123"/>
      <c r="S881" s="123"/>
      <c r="T881" s="123"/>
      <c r="U881" s="123"/>
      <c r="V881" s="123"/>
      <c r="W881" s="123"/>
      <c r="X881" s="123"/>
      <c r="Y881" s="123"/>
      <c r="Z881" s="123"/>
    </row>
    <row r="882">
      <c r="A882" s="416"/>
      <c r="B882" s="134"/>
      <c r="C882" s="417"/>
      <c r="D882" s="418"/>
      <c r="E882" s="123"/>
      <c r="F882" s="123"/>
      <c r="G882" s="123"/>
      <c r="H882" s="123"/>
      <c r="I882" s="123"/>
      <c r="J882" s="123"/>
      <c r="K882" s="123"/>
      <c r="L882" s="123"/>
      <c r="M882" s="123"/>
      <c r="N882" s="123"/>
      <c r="O882" s="123"/>
      <c r="P882" s="123"/>
      <c r="Q882" s="123"/>
      <c r="R882" s="123"/>
      <c r="S882" s="123"/>
      <c r="T882" s="123"/>
      <c r="U882" s="123"/>
      <c r="V882" s="123"/>
      <c r="W882" s="123"/>
      <c r="X882" s="123"/>
      <c r="Y882" s="123"/>
      <c r="Z882" s="123"/>
    </row>
    <row r="883">
      <c r="A883" s="416"/>
      <c r="B883" s="134"/>
      <c r="C883" s="417"/>
      <c r="D883" s="418"/>
      <c r="E883" s="123"/>
      <c r="F883" s="123"/>
      <c r="G883" s="123"/>
      <c r="H883" s="123"/>
      <c r="I883" s="123"/>
      <c r="J883" s="123"/>
      <c r="K883" s="123"/>
      <c r="L883" s="123"/>
      <c r="M883" s="123"/>
      <c r="N883" s="123"/>
      <c r="O883" s="123"/>
      <c r="P883" s="123"/>
      <c r="Q883" s="123"/>
      <c r="R883" s="123"/>
      <c r="S883" s="123"/>
      <c r="T883" s="123"/>
      <c r="U883" s="123"/>
      <c r="V883" s="123"/>
      <c r="W883" s="123"/>
      <c r="X883" s="123"/>
      <c r="Y883" s="123"/>
      <c r="Z883" s="123"/>
    </row>
    <row r="884">
      <c r="A884" s="416"/>
      <c r="B884" s="134"/>
      <c r="C884" s="417"/>
      <c r="D884" s="418"/>
      <c r="E884" s="123"/>
      <c r="F884" s="123"/>
      <c r="G884" s="123"/>
      <c r="H884" s="123"/>
      <c r="I884" s="123"/>
      <c r="J884" s="123"/>
      <c r="K884" s="123"/>
      <c r="L884" s="123"/>
      <c r="M884" s="123"/>
      <c r="N884" s="123"/>
      <c r="O884" s="123"/>
      <c r="P884" s="123"/>
      <c r="Q884" s="123"/>
      <c r="R884" s="123"/>
      <c r="S884" s="123"/>
      <c r="T884" s="123"/>
      <c r="U884" s="123"/>
      <c r="V884" s="123"/>
      <c r="W884" s="123"/>
      <c r="X884" s="123"/>
      <c r="Y884" s="123"/>
      <c r="Z884" s="123"/>
    </row>
    <row r="885">
      <c r="A885" s="416"/>
      <c r="B885" s="134"/>
      <c r="C885" s="417"/>
      <c r="D885" s="418"/>
      <c r="E885" s="123"/>
      <c r="F885" s="123"/>
      <c r="G885" s="123"/>
      <c r="H885" s="123"/>
      <c r="I885" s="123"/>
      <c r="J885" s="123"/>
      <c r="K885" s="123"/>
      <c r="L885" s="123"/>
      <c r="M885" s="123"/>
      <c r="N885" s="123"/>
      <c r="O885" s="123"/>
      <c r="P885" s="123"/>
      <c r="Q885" s="123"/>
      <c r="R885" s="123"/>
      <c r="S885" s="123"/>
      <c r="T885" s="123"/>
      <c r="U885" s="123"/>
      <c r="V885" s="123"/>
      <c r="W885" s="123"/>
      <c r="X885" s="123"/>
      <c r="Y885" s="123"/>
      <c r="Z885" s="123"/>
    </row>
    <row r="886">
      <c r="A886" s="416"/>
      <c r="B886" s="134"/>
      <c r="C886" s="417"/>
      <c r="D886" s="418"/>
      <c r="E886" s="123"/>
      <c r="F886" s="123"/>
      <c r="G886" s="123"/>
      <c r="H886" s="123"/>
      <c r="I886" s="123"/>
      <c r="J886" s="123"/>
      <c r="K886" s="123"/>
      <c r="L886" s="123"/>
      <c r="M886" s="123"/>
      <c r="N886" s="123"/>
      <c r="O886" s="123"/>
      <c r="P886" s="123"/>
      <c r="Q886" s="123"/>
      <c r="R886" s="123"/>
      <c r="S886" s="123"/>
      <c r="T886" s="123"/>
      <c r="U886" s="123"/>
      <c r="V886" s="123"/>
      <c r="W886" s="123"/>
      <c r="X886" s="123"/>
      <c r="Y886" s="123"/>
      <c r="Z886" s="123"/>
    </row>
    <row r="887">
      <c r="A887" s="416"/>
      <c r="B887" s="134"/>
      <c r="C887" s="417"/>
      <c r="D887" s="418"/>
      <c r="E887" s="123"/>
      <c r="F887" s="123"/>
      <c r="G887" s="123"/>
      <c r="H887" s="123"/>
      <c r="I887" s="123"/>
      <c r="J887" s="123"/>
      <c r="K887" s="123"/>
      <c r="L887" s="123"/>
      <c r="M887" s="123"/>
      <c r="N887" s="123"/>
      <c r="O887" s="123"/>
      <c r="P887" s="123"/>
      <c r="Q887" s="123"/>
      <c r="R887" s="123"/>
      <c r="S887" s="123"/>
      <c r="T887" s="123"/>
      <c r="U887" s="123"/>
      <c r="V887" s="123"/>
      <c r="W887" s="123"/>
      <c r="X887" s="123"/>
      <c r="Y887" s="123"/>
      <c r="Z887" s="123"/>
    </row>
    <row r="888">
      <c r="A888" s="416"/>
      <c r="B888" s="134"/>
      <c r="C888" s="417"/>
      <c r="D888" s="418"/>
      <c r="E888" s="123"/>
      <c r="F888" s="123"/>
      <c r="G888" s="123"/>
      <c r="H888" s="123"/>
      <c r="I888" s="123"/>
      <c r="J888" s="123"/>
      <c r="K888" s="123"/>
      <c r="L888" s="123"/>
      <c r="M888" s="123"/>
      <c r="N888" s="123"/>
      <c r="O888" s="123"/>
      <c r="P888" s="123"/>
      <c r="Q888" s="123"/>
      <c r="R888" s="123"/>
      <c r="S888" s="123"/>
      <c r="T888" s="123"/>
      <c r="U888" s="123"/>
      <c r="V888" s="123"/>
      <c r="W888" s="123"/>
      <c r="X888" s="123"/>
      <c r="Y888" s="123"/>
      <c r="Z888" s="123"/>
    </row>
    <row r="889">
      <c r="A889" s="416"/>
      <c r="B889" s="134"/>
      <c r="C889" s="417"/>
      <c r="D889" s="418"/>
      <c r="E889" s="123"/>
      <c r="F889" s="123"/>
      <c r="G889" s="123"/>
      <c r="H889" s="123"/>
      <c r="I889" s="123"/>
      <c r="J889" s="123"/>
      <c r="K889" s="123"/>
      <c r="L889" s="123"/>
      <c r="M889" s="123"/>
      <c r="N889" s="123"/>
      <c r="O889" s="123"/>
      <c r="P889" s="123"/>
      <c r="Q889" s="123"/>
      <c r="R889" s="123"/>
      <c r="S889" s="123"/>
      <c r="T889" s="123"/>
      <c r="U889" s="123"/>
      <c r="V889" s="123"/>
      <c r="W889" s="123"/>
      <c r="X889" s="123"/>
      <c r="Y889" s="123"/>
      <c r="Z889" s="123"/>
    </row>
    <row r="890">
      <c r="A890" s="416"/>
      <c r="B890" s="134"/>
      <c r="C890" s="417"/>
      <c r="D890" s="418"/>
      <c r="E890" s="123"/>
      <c r="F890" s="123"/>
      <c r="G890" s="123"/>
      <c r="H890" s="123"/>
      <c r="I890" s="123"/>
      <c r="J890" s="123"/>
      <c r="K890" s="123"/>
      <c r="L890" s="123"/>
      <c r="M890" s="123"/>
      <c r="N890" s="123"/>
      <c r="O890" s="123"/>
      <c r="P890" s="123"/>
      <c r="Q890" s="123"/>
      <c r="R890" s="123"/>
      <c r="S890" s="123"/>
      <c r="T890" s="123"/>
      <c r="U890" s="123"/>
      <c r="V890" s="123"/>
      <c r="W890" s="123"/>
      <c r="X890" s="123"/>
      <c r="Y890" s="123"/>
      <c r="Z890" s="123"/>
    </row>
    <row r="891">
      <c r="A891" s="416"/>
      <c r="B891" s="134"/>
      <c r="C891" s="417"/>
      <c r="D891" s="418"/>
      <c r="E891" s="123"/>
      <c r="F891" s="123"/>
      <c r="G891" s="123"/>
      <c r="H891" s="123"/>
      <c r="I891" s="123"/>
      <c r="J891" s="123"/>
      <c r="K891" s="123"/>
      <c r="L891" s="123"/>
      <c r="M891" s="123"/>
      <c r="N891" s="123"/>
      <c r="O891" s="123"/>
      <c r="P891" s="123"/>
      <c r="Q891" s="123"/>
      <c r="R891" s="123"/>
      <c r="S891" s="123"/>
      <c r="T891" s="123"/>
      <c r="U891" s="123"/>
      <c r="V891" s="123"/>
      <c r="W891" s="123"/>
      <c r="X891" s="123"/>
      <c r="Y891" s="123"/>
      <c r="Z891" s="123"/>
    </row>
    <row r="892">
      <c r="A892" s="416"/>
      <c r="B892" s="134"/>
      <c r="C892" s="417"/>
      <c r="D892" s="418"/>
      <c r="E892" s="123"/>
      <c r="F892" s="123"/>
      <c r="G892" s="123"/>
      <c r="H892" s="123"/>
      <c r="I892" s="123"/>
      <c r="J892" s="123"/>
      <c r="K892" s="123"/>
      <c r="L892" s="123"/>
      <c r="M892" s="123"/>
      <c r="N892" s="123"/>
      <c r="O892" s="123"/>
      <c r="P892" s="123"/>
      <c r="Q892" s="123"/>
      <c r="R892" s="123"/>
      <c r="S892" s="123"/>
      <c r="T892" s="123"/>
      <c r="U892" s="123"/>
      <c r="V892" s="123"/>
      <c r="W892" s="123"/>
      <c r="X892" s="123"/>
      <c r="Y892" s="123"/>
      <c r="Z892" s="123"/>
    </row>
    <row r="893">
      <c r="A893" s="416"/>
      <c r="B893" s="134"/>
      <c r="C893" s="417"/>
      <c r="D893" s="418"/>
      <c r="E893" s="123"/>
      <c r="F893" s="123"/>
      <c r="G893" s="123"/>
      <c r="H893" s="123"/>
      <c r="I893" s="123"/>
      <c r="J893" s="123"/>
      <c r="K893" s="123"/>
      <c r="L893" s="123"/>
      <c r="M893" s="123"/>
      <c r="N893" s="123"/>
      <c r="O893" s="123"/>
      <c r="P893" s="123"/>
      <c r="Q893" s="123"/>
      <c r="R893" s="123"/>
      <c r="S893" s="123"/>
      <c r="T893" s="123"/>
      <c r="U893" s="123"/>
      <c r="V893" s="123"/>
      <c r="W893" s="123"/>
      <c r="X893" s="123"/>
      <c r="Y893" s="123"/>
      <c r="Z893" s="123"/>
    </row>
    <row r="894">
      <c r="A894" s="416"/>
      <c r="B894" s="134"/>
      <c r="C894" s="417"/>
      <c r="D894" s="418"/>
      <c r="E894" s="123"/>
      <c r="F894" s="123"/>
      <c r="G894" s="123"/>
      <c r="H894" s="123"/>
      <c r="I894" s="123"/>
      <c r="J894" s="123"/>
      <c r="K894" s="123"/>
      <c r="L894" s="123"/>
      <c r="M894" s="123"/>
      <c r="N894" s="123"/>
      <c r="O894" s="123"/>
      <c r="P894" s="123"/>
      <c r="Q894" s="123"/>
      <c r="R894" s="123"/>
      <c r="S894" s="123"/>
      <c r="T894" s="123"/>
      <c r="U894" s="123"/>
      <c r="V894" s="123"/>
      <c r="W894" s="123"/>
      <c r="X894" s="123"/>
      <c r="Y894" s="123"/>
      <c r="Z894" s="123"/>
    </row>
    <row r="895">
      <c r="A895" s="416"/>
      <c r="B895" s="134"/>
      <c r="C895" s="417"/>
      <c r="D895" s="418"/>
      <c r="E895" s="123"/>
      <c r="F895" s="123"/>
      <c r="G895" s="123"/>
      <c r="H895" s="123"/>
      <c r="I895" s="123"/>
      <c r="J895" s="123"/>
      <c r="K895" s="123"/>
      <c r="L895" s="123"/>
      <c r="M895" s="123"/>
      <c r="N895" s="123"/>
      <c r="O895" s="123"/>
      <c r="P895" s="123"/>
      <c r="Q895" s="123"/>
      <c r="R895" s="123"/>
      <c r="S895" s="123"/>
      <c r="T895" s="123"/>
      <c r="U895" s="123"/>
      <c r="V895" s="123"/>
      <c r="W895" s="123"/>
      <c r="X895" s="123"/>
      <c r="Y895" s="123"/>
      <c r="Z895" s="123"/>
    </row>
    <row r="896">
      <c r="A896" s="416"/>
      <c r="B896" s="134"/>
      <c r="C896" s="417"/>
      <c r="D896" s="418"/>
      <c r="E896" s="123"/>
      <c r="F896" s="123"/>
      <c r="G896" s="123"/>
      <c r="H896" s="123"/>
      <c r="I896" s="123"/>
      <c r="J896" s="123"/>
      <c r="K896" s="123"/>
      <c r="L896" s="123"/>
      <c r="M896" s="123"/>
      <c r="N896" s="123"/>
      <c r="O896" s="123"/>
      <c r="P896" s="123"/>
      <c r="Q896" s="123"/>
      <c r="R896" s="123"/>
      <c r="S896" s="123"/>
      <c r="T896" s="123"/>
      <c r="U896" s="123"/>
      <c r="V896" s="123"/>
      <c r="W896" s="123"/>
      <c r="X896" s="123"/>
      <c r="Y896" s="123"/>
      <c r="Z896" s="123"/>
    </row>
    <row r="897">
      <c r="A897" s="416"/>
      <c r="B897" s="134"/>
      <c r="C897" s="417"/>
      <c r="D897" s="418"/>
      <c r="E897" s="123"/>
      <c r="F897" s="123"/>
      <c r="G897" s="123"/>
      <c r="H897" s="123"/>
      <c r="I897" s="123"/>
      <c r="J897" s="123"/>
      <c r="K897" s="123"/>
      <c r="L897" s="123"/>
      <c r="M897" s="123"/>
      <c r="N897" s="123"/>
      <c r="O897" s="123"/>
      <c r="P897" s="123"/>
      <c r="Q897" s="123"/>
      <c r="R897" s="123"/>
      <c r="S897" s="123"/>
      <c r="T897" s="123"/>
      <c r="U897" s="123"/>
      <c r="V897" s="123"/>
      <c r="W897" s="123"/>
      <c r="X897" s="123"/>
      <c r="Y897" s="123"/>
      <c r="Z897" s="123"/>
    </row>
    <row r="898">
      <c r="A898" s="416"/>
      <c r="B898" s="134"/>
      <c r="C898" s="417"/>
      <c r="D898" s="418"/>
      <c r="E898" s="123"/>
      <c r="F898" s="123"/>
      <c r="G898" s="123"/>
      <c r="H898" s="123"/>
      <c r="I898" s="123"/>
      <c r="J898" s="123"/>
      <c r="K898" s="123"/>
      <c r="L898" s="123"/>
      <c r="M898" s="123"/>
      <c r="N898" s="123"/>
      <c r="O898" s="123"/>
      <c r="P898" s="123"/>
      <c r="Q898" s="123"/>
      <c r="R898" s="123"/>
      <c r="S898" s="123"/>
      <c r="T898" s="123"/>
      <c r="U898" s="123"/>
      <c r="V898" s="123"/>
      <c r="W898" s="123"/>
      <c r="X898" s="123"/>
      <c r="Y898" s="123"/>
      <c r="Z898" s="123"/>
    </row>
    <row r="899">
      <c r="A899" s="416"/>
      <c r="B899" s="134"/>
      <c r="C899" s="417"/>
      <c r="D899" s="418"/>
      <c r="E899" s="123"/>
      <c r="F899" s="123"/>
      <c r="G899" s="123"/>
      <c r="H899" s="123"/>
      <c r="I899" s="123"/>
      <c r="J899" s="123"/>
      <c r="K899" s="123"/>
      <c r="L899" s="123"/>
      <c r="M899" s="123"/>
      <c r="N899" s="123"/>
      <c r="O899" s="123"/>
      <c r="P899" s="123"/>
      <c r="Q899" s="123"/>
      <c r="R899" s="123"/>
      <c r="S899" s="123"/>
      <c r="T899" s="123"/>
      <c r="U899" s="123"/>
      <c r="V899" s="123"/>
      <c r="W899" s="123"/>
      <c r="X899" s="123"/>
      <c r="Y899" s="123"/>
      <c r="Z899" s="123"/>
    </row>
    <row r="900">
      <c r="A900" s="416"/>
      <c r="B900" s="134"/>
      <c r="C900" s="417"/>
      <c r="D900" s="418"/>
      <c r="E900" s="123"/>
      <c r="F900" s="123"/>
      <c r="G900" s="123"/>
      <c r="H900" s="123"/>
      <c r="I900" s="123"/>
      <c r="J900" s="123"/>
      <c r="K900" s="123"/>
      <c r="L900" s="123"/>
      <c r="M900" s="123"/>
      <c r="N900" s="123"/>
      <c r="O900" s="123"/>
      <c r="P900" s="123"/>
      <c r="Q900" s="123"/>
      <c r="R900" s="123"/>
      <c r="S900" s="123"/>
      <c r="T900" s="123"/>
      <c r="U900" s="123"/>
      <c r="V900" s="123"/>
      <c r="W900" s="123"/>
      <c r="X900" s="123"/>
      <c r="Y900" s="123"/>
      <c r="Z900" s="123"/>
    </row>
    <row r="901">
      <c r="A901" s="416"/>
      <c r="B901" s="134"/>
      <c r="C901" s="417"/>
      <c r="D901" s="418"/>
      <c r="E901" s="123"/>
      <c r="F901" s="123"/>
      <c r="G901" s="123"/>
      <c r="H901" s="123"/>
      <c r="I901" s="123"/>
      <c r="J901" s="123"/>
      <c r="K901" s="123"/>
      <c r="L901" s="123"/>
      <c r="M901" s="123"/>
      <c r="N901" s="123"/>
      <c r="O901" s="123"/>
      <c r="P901" s="123"/>
      <c r="Q901" s="123"/>
      <c r="R901" s="123"/>
      <c r="S901" s="123"/>
      <c r="T901" s="123"/>
      <c r="U901" s="123"/>
      <c r="V901" s="123"/>
      <c r="W901" s="123"/>
      <c r="X901" s="123"/>
      <c r="Y901" s="123"/>
      <c r="Z901" s="123"/>
    </row>
    <row r="902">
      <c r="A902" s="416"/>
      <c r="B902" s="134"/>
      <c r="C902" s="417"/>
      <c r="D902" s="418"/>
      <c r="E902" s="123"/>
      <c r="F902" s="123"/>
      <c r="G902" s="123"/>
      <c r="H902" s="123"/>
      <c r="I902" s="123"/>
      <c r="J902" s="123"/>
      <c r="K902" s="123"/>
      <c r="L902" s="123"/>
      <c r="M902" s="123"/>
      <c r="N902" s="123"/>
      <c r="O902" s="123"/>
      <c r="P902" s="123"/>
      <c r="Q902" s="123"/>
      <c r="R902" s="123"/>
      <c r="S902" s="123"/>
      <c r="T902" s="123"/>
      <c r="U902" s="123"/>
      <c r="V902" s="123"/>
      <c r="W902" s="123"/>
      <c r="X902" s="123"/>
      <c r="Y902" s="123"/>
      <c r="Z902" s="123"/>
    </row>
    <row r="903">
      <c r="A903" s="416"/>
      <c r="B903" s="134"/>
      <c r="C903" s="417"/>
      <c r="D903" s="418"/>
      <c r="E903" s="123"/>
      <c r="F903" s="123"/>
      <c r="G903" s="123"/>
      <c r="H903" s="123"/>
      <c r="I903" s="123"/>
      <c r="J903" s="123"/>
      <c r="K903" s="123"/>
      <c r="L903" s="123"/>
      <c r="M903" s="123"/>
      <c r="N903" s="123"/>
      <c r="O903" s="123"/>
      <c r="P903" s="123"/>
      <c r="Q903" s="123"/>
      <c r="R903" s="123"/>
      <c r="S903" s="123"/>
      <c r="T903" s="123"/>
      <c r="U903" s="123"/>
      <c r="V903" s="123"/>
      <c r="W903" s="123"/>
      <c r="X903" s="123"/>
      <c r="Y903" s="123"/>
      <c r="Z903" s="123"/>
    </row>
    <row r="904">
      <c r="A904" s="416"/>
      <c r="B904" s="134"/>
      <c r="C904" s="417"/>
      <c r="D904" s="418"/>
      <c r="E904" s="123"/>
      <c r="F904" s="123"/>
      <c r="G904" s="123"/>
      <c r="H904" s="123"/>
      <c r="I904" s="123"/>
      <c r="J904" s="123"/>
      <c r="K904" s="123"/>
      <c r="L904" s="123"/>
      <c r="M904" s="123"/>
      <c r="N904" s="123"/>
      <c r="O904" s="123"/>
      <c r="P904" s="123"/>
      <c r="Q904" s="123"/>
      <c r="R904" s="123"/>
      <c r="S904" s="123"/>
      <c r="T904" s="123"/>
      <c r="U904" s="123"/>
      <c r="V904" s="123"/>
      <c r="W904" s="123"/>
      <c r="X904" s="123"/>
      <c r="Y904" s="123"/>
      <c r="Z904" s="123"/>
    </row>
    <row r="905">
      <c r="A905" s="416"/>
      <c r="B905" s="134"/>
      <c r="C905" s="417"/>
      <c r="D905" s="418"/>
      <c r="E905" s="123"/>
      <c r="F905" s="123"/>
      <c r="G905" s="123"/>
      <c r="H905" s="123"/>
      <c r="I905" s="123"/>
      <c r="J905" s="123"/>
      <c r="K905" s="123"/>
      <c r="L905" s="123"/>
      <c r="M905" s="123"/>
      <c r="N905" s="123"/>
      <c r="O905" s="123"/>
      <c r="P905" s="123"/>
      <c r="Q905" s="123"/>
      <c r="R905" s="123"/>
      <c r="S905" s="123"/>
      <c r="T905" s="123"/>
      <c r="U905" s="123"/>
      <c r="V905" s="123"/>
      <c r="W905" s="123"/>
      <c r="X905" s="123"/>
      <c r="Y905" s="123"/>
      <c r="Z905" s="123"/>
    </row>
    <row r="906">
      <c r="A906" s="416"/>
      <c r="B906" s="134"/>
      <c r="C906" s="417"/>
      <c r="D906" s="418"/>
      <c r="E906" s="123"/>
      <c r="F906" s="123"/>
      <c r="G906" s="123"/>
      <c r="H906" s="123"/>
      <c r="I906" s="123"/>
      <c r="J906" s="123"/>
      <c r="K906" s="123"/>
      <c r="L906" s="123"/>
      <c r="M906" s="123"/>
      <c r="N906" s="123"/>
      <c r="O906" s="123"/>
      <c r="P906" s="123"/>
      <c r="Q906" s="123"/>
      <c r="R906" s="123"/>
      <c r="S906" s="123"/>
      <c r="T906" s="123"/>
      <c r="U906" s="123"/>
      <c r="V906" s="123"/>
      <c r="W906" s="123"/>
      <c r="X906" s="123"/>
      <c r="Y906" s="123"/>
      <c r="Z906" s="123"/>
    </row>
    <row r="907">
      <c r="A907" s="416"/>
      <c r="B907" s="134"/>
      <c r="C907" s="417"/>
      <c r="D907" s="418"/>
      <c r="E907" s="123"/>
      <c r="F907" s="123"/>
      <c r="G907" s="123"/>
      <c r="H907" s="123"/>
      <c r="I907" s="123"/>
      <c r="J907" s="123"/>
      <c r="K907" s="123"/>
      <c r="L907" s="123"/>
      <c r="M907" s="123"/>
      <c r="N907" s="123"/>
      <c r="O907" s="123"/>
      <c r="P907" s="123"/>
      <c r="Q907" s="123"/>
      <c r="R907" s="123"/>
      <c r="S907" s="123"/>
      <c r="T907" s="123"/>
      <c r="U907" s="123"/>
      <c r="V907" s="123"/>
      <c r="W907" s="123"/>
      <c r="X907" s="123"/>
      <c r="Y907" s="123"/>
      <c r="Z907" s="123"/>
    </row>
    <row r="908">
      <c r="A908" s="416"/>
      <c r="B908" s="134"/>
      <c r="C908" s="417"/>
      <c r="D908" s="418"/>
      <c r="E908" s="123"/>
      <c r="F908" s="123"/>
      <c r="G908" s="123"/>
      <c r="H908" s="123"/>
      <c r="I908" s="123"/>
      <c r="J908" s="123"/>
      <c r="K908" s="123"/>
      <c r="L908" s="123"/>
      <c r="M908" s="123"/>
      <c r="N908" s="123"/>
      <c r="O908" s="123"/>
      <c r="P908" s="123"/>
      <c r="Q908" s="123"/>
      <c r="R908" s="123"/>
      <c r="S908" s="123"/>
      <c r="T908" s="123"/>
      <c r="U908" s="123"/>
      <c r="V908" s="123"/>
      <c r="W908" s="123"/>
      <c r="X908" s="123"/>
      <c r="Y908" s="123"/>
      <c r="Z908" s="123"/>
    </row>
    <row r="909">
      <c r="A909" s="416"/>
      <c r="B909" s="134"/>
      <c r="C909" s="417"/>
      <c r="D909" s="418"/>
      <c r="E909" s="123"/>
      <c r="F909" s="123"/>
      <c r="G909" s="123"/>
      <c r="H909" s="123"/>
      <c r="I909" s="123"/>
      <c r="J909" s="123"/>
      <c r="K909" s="123"/>
      <c r="L909" s="123"/>
      <c r="M909" s="123"/>
      <c r="N909" s="123"/>
      <c r="O909" s="123"/>
      <c r="P909" s="123"/>
      <c r="Q909" s="123"/>
      <c r="R909" s="123"/>
      <c r="S909" s="123"/>
      <c r="T909" s="123"/>
      <c r="U909" s="123"/>
      <c r="V909" s="123"/>
      <c r="W909" s="123"/>
      <c r="X909" s="123"/>
      <c r="Y909" s="123"/>
      <c r="Z909" s="123"/>
    </row>
    <row r="910">
      <c r="A910" s="416"/>
      <c r="B910" s="134"/>
      <c r="C910" s="417"/>
      <c r="D910" s="418"/>
      <c r="E910" s="123"/>
      <c r="F910" s="123"/>
      <c r="G910" s="123"/>
      <c r="H910" s="123"/>
      <c r="I910" s="123"/>
      <c r="J910" s="123"/>
      <c r="K910" s="123"/>
      <c r="L910" s="123"/>
      <c r="M910" s="123"/>
      <c r="N910" s="123"/>
      <c r="O910" s="123"/>
      <c r="P910" s="123"/>
      <c r="Q910" s="123"/>
      <c r="R910" s="123"/>
      <c r="S910" s="123"/>
      <c r="T910" s="123"/>
      <c r="U910" s="123"/>
      <c r="V910" s="123"/>
      <c r="W910" s="123"/>
      <c r="X910" s="123"/>
      <c r="Y910" s="123"/>
      <c r="Z910" s="123"/>
    </row>
    <row r="911">
      <c r="A911" s="416"/>
      <c r="B911" s="134"/>
      <c r="C911" s="417"/>
      <c r="D911" s="418"/>
      <c r="E911" s="123"/>
      <c r="F911" s="123"/>
      <c r="G911" s="123"/>
      <c r="H911" s="123"/>
      <c r="I911" s="123"/>
      <c r="J911" s="123"/>
      <c r="K911" s="123"/>
      <c r="L911" s="123"/>
      <c r="M911" s="123"/>
      <c r="N911" s="123"/>
      <c r="O911" s="123"/>
      <c r="P911" s="123"/>
      <c r="Q911" s="123"/>
      <c r="R911" s="123"/>
      <c r="S911" s="123"/>
      <c r="T911" s="123"/>
      <c r="U911" s="123"/>
      <c r="V911" s="123"/>
      <c r="W911" s="123"/>
      <c r="X911" s="123"/>
      <c r="Y911" s="123"/>
      <c r="Z911" s="123"/>
    </row>
    <row r="912">
      <c r="A912" s="416"/>
      <c r="B912" s="134"/>
      <c r="C912" s="417"/>
      <c r="D912" s="418"/>
      <c r="E912" s="123"/>
      <c r="F912" s="123"/>
      <c r="G912" s="123"/>
      <c r="H912" s="123"/>
      <c r="I912" s="123"/>
      <c r="J912" s="123"/>
      <c r="K912" s="123"/>
      <c r="L912" s="123"/>
      <c r="M912" s="123"/>
      <c r="N912" s="123"/>
      <c r="O912" s="123"/>
      <c r="P912" s="123"/>
      <c r="Q912" s="123"/>
      <c r="R912" s="123"/>
      <c r="S912" s="123"/>
      <c r="T912" s="123"/>
      <c r="U912" s="123"/>
      <c r="V912" s="123"/>
      <c r="W912" s="123"/>
      <c r="X912" s="123"/>
      <c r="Y912" s="123"/>
      <c r="Z912" s="123"/>
    </row>
    <row r="913">
      <c r="A913" s="416"/>
      <c r="B913" s="134"/>
      <c r="C913" s="417"/>
      <c r="D913" s="418"/>
      <c r="E913" s="123"/>
      <c r="F913" s="123"/>
      <c r="G913" s="123"/>
      <c r="H913" s="123"/>
      <c r="I913" s="123"/>
      <c r="J913" s="123"/>
      <c r="K913" s="123"/>
      <c r="L913" s="123"/>
      <c r="M913" s="123"/>
      <c r="N913" s="123"/>
      <c r="O913" s="123"/>
      <c r="P913" s="123"/>
      <c r="Q913" s="123"/>
      <c r="R913" s="123"/>
      <c r="S913" s="123"/>
      <c r="T913" s="123"/>
      <c r="U913" s="123"/>
      <c r="V913" s="123"/>
      <c r="W913" s="123"/>
      <c r="X913" s="123"/>
      <c r="Y913" s="123"/>
      <c r="Z913" s="123"/>
    </row>
    <row r="914">
      <c r="A914" s="416"/>
      <c r="B914" s="134"/>
      <c r="C914" s="417"/>
      <c r="D914" s="418"/>
      <c r="E914" s="123"/>
      <c r="F914" s="123"/>
      <c r="G914" s="123"/>
      <c r="H914" s="123"/>
      <c r="I914" s="123"/>
      <c r="J914" s="123"/>
      <c r="K914" s="123"/>
      <c r="L914" s="123"/>
      <c r="M914" s="123"/>
      <c r="N914" s="123"/>
      <c r="O914" s="123"/>
      <c r="P914" s="123"/>
      <c r="Q914" s="123"/>
      <c r="R914" s="123"/>
      <c r="S914" s="123"/>
      <c r="T914" s="123"/>
      <c r="U914" s="123"/>
      <c r="V914" s="123"/>
      <c r="W914" s="123"/>
      <c r="X914" s="123"/>
      <c r="Y914" s="123"/>
      <c r="Z914" s="123"/>
    </row>
    <row r="915">
      <c r="A915" s="416"/>
      <c r="B915" s="134"/>
      <c r="C915" s="417"/>
      <c r="D915" s="418"/>
      <c r="E915" s="123"/>
      <c r="F915" s="123"/>
      <c r="G915" s="123"/>
      <c r="H915" s="123"/>
      <c r="I915" s="123"/>
      <c r="J915" s="123"/>
      <c r="K915" s="123"/>
      <c r="L915" s="123"/>
      <c r="M915" s="123"/>
      <c r="N915" s="123"/>
      <c r="O915" s="123"/>
      <c r="P915" s="123"/>
      <c r="Q915" s="123"/>
      <c r="R915" s="123"/>
      <c r="S915" s="123"/>
      <c r="T915" s="123"/>
      <c r="U915" s="123"/>
      <c r="V915" s="123"/>
      <c r="W915" s="123"/>
      <c r="X915" s="123"/>
      <c r="Y915" s="123"/>
      <c r="Z915" s="123"/>
    </row>
    <row r="916">
      <c r="A916" s="416"/>
      <c r="B916" s="134"/>
      <c r="C916" s="417"/>
      <c r="D916" s="418"/>
      <c r="E916" s="123"/>
      <c r="F916" s="123"/>
      <c r="G916" s="123"/>
      <c r="H916" s="123"/>
      <c r="I916" s="123"/>
      <c r="J916" s="123"/>
      <c r="K916" s="123"/>
      <c r="L916" s="123"/>
      <c r="M916" s="123"/>
      <c r="N916" s="123"/>
      <c r="O916" s="123"/>
      <c r="P916" s="123"/>
      <c r="Q916" s="123"/>
      <c r="R916" s="123"/>
      <c r="S916" s="123"/>
      <c r="T916" s="123"/>
      <c r="U916" s="123"/>
      <c r="V916" s="123"/>
      <c r="W916" s="123"/>
      <c r="X916" s="123"/>
      <c r="Y916" s="123"/>
      <c r="Z916" s="123"/>
    </row>
    <row r="917">
      <c r="A917" s="416"/>
      <c r="B917" s="134"/>
      <c r="C917" s="417"/>
      <c r="D917" s="418"/>
      <c r="E917" s="123"/>
      <c r="F917" s="123"/>
      <c r="G917" s="123"/>
      <c r="H917" s="123"/>
      <c r="I917" s="123"/>
      <c r="J917" s="123"/>
      <c r="K917" s="123"/>
      <c r="L917" s="123"/>
      <c r="M917" s="123"/>
      <c r="N917" s="123"/>
      <c r="O917" s="123"/>
      <c r="P917" s="123"/>
      <c r="Q917" s="123"/>
      <c r="R917" s="123"/>
      <c r="S917" s="123"/>
      <c r="T917" s="123"/>
      <c r="U917" s="123"/>
      <c r="V917" s="123"/>
      <c r="W917" s="123"/>
      <c r="X917" s="123"/>
      <c r="Y917" s="123"/>
      <c r="Z917" s="123"/>
    </row>
    <row r="918">
      <c r="A918" s="416"/>
      <c r="B918" s="134"/>
      <c r="C918" s="417"/>
      <c r="D918" s="418"/>
      <c r="E918" s="123"/>
      <c r="F918" s="123"/>
      <c r="G918" s="123"/>
      <c r="H918" s="123"/>
      <c r="I918" s="123"/>
      <c r="J918" s="123"/>
      <c r="K918" s="123"/>
      <c r="L918" s="123"/>
      <c r="M918" s="123"/>
      <c r="N918" s="123"/>
      <c r="O918" s="123"/>
      <c r="P918" s="123"/>
      <c r="Q918" s="123"/>
      <c r="R918" s="123"/>
      <c r="S918" s="123"/>
      <c r="T918" s="123"/>
      <c r="U918" s="123"/>
      <c r="V918" s="123"/>
      <c r="W918" s="123"/>
      <c r="X918" s="123"/>
      <c r="Y918" s="123"/>
      <c r="Z918" s="123"/>
    </row>
    <row r="919">
      <c r="A919" s="416"/>
      <c r="B919" s="134"/>
      <c r="C919" s="417"/>
      <c r="D919" s="418"/>
      <c r="E919" s="123"/>
      <c r="F919" s="123"/>
      <c r="G919" s="123"/>
      <c r="H919" s="123"/>
      <c r="I919" s="123"/>
      <c r="J919" s="123"/>
      <c r="K919" s="123"/>
      <c r="L919" s="123"/>
      <c r="M919" s="123"/>
      <c r="N919" s="123"/>
      <c r="O919" s="123"/>
      <c r="P919" s="123"/>
      <c r="Q919" s="123"/>
      <c r="R919" s="123"/>
      <c r="S919" s="123"/>
      <c r="T919" s="123"/>
      <c r="U919" s="123"/>
      <c r="V919" s="123"/>
      <c r="W919" s="123"/>
      <c r="X919" s="123"/>
      <c r="Y919" s="123"/>
      <c r="Z919" s="123"/>
    </row>
    <row r="920">
      <c r="A920" s="416"/>
      <c r="B920" s="134"/>
      <c r="C920" s="417"/>
      <c r="D920" s="418"/>
      <c r="E920" s="123"/>
      <c r="F920" s="123"/>
      <c r="G920" s="123"/>
      <c r="H920" s="123"/>
      <c r="I920" s="123"/>
      <c r="J920" s="123"/>
      <c r="K920" s="123"/>
      <c r="L920" s="123"/>
      <c r="M920" s="123"/>
      <c r="N920" s="123"/>
      <c r="O920" s="123"/>
      <c r="P920" s="123"/>
      <c r="Q920" s="123"/>
      <c r="R920" s="123"/>
      <c r="S920" s="123"/>
      <c r="T920" s="123"/>
      <c r="U920" s="123"/>
      <c r="V920" s="123"/>
      <c r="W920" s="123"/>
      <c r="X920" s="123"/>
      <c r="Y920" s="123"/>
      <c r="Z920" s="123"/>
    </row>
    <row r="921">
      <c r="A921" s="416"/>
      <c r="B921" s="134"/>
      <c r="C921" s="417"/>
      <c r="D921" s="418"/>
      <c r="E921" s="123"/>
      <c r="F921" s="123"/>
      <c r="G921" s="123"/>
      <c r="H921" s="123"/>
      <c r="I921" s="123"/>
      <c r="J921" s="123"/>
      <c r="K921" s="123"/>
      <c r="L921" s="123"/>
      <c r="M921" s="123"/>
      <c r="N921" s="123"/>
      <c r="O921" s="123"/>
      <c r="P921" s="123"/>
      <c r="Q921" s="123"/>
      <c r="R921" s="123"/>
      <c r="S921" s="123"/>
      <c r="T921" s="123"/>
      <c r="U921" s="123"/>
      <c r="V921" s="123"/>
      <c r="W921" s="123"/>
      <c r="X921" s="123"/>
      <c r="Y921" s="123"/>
      <c r="Z921" s="123"/>
    </row>
    <row r="922">
      <c r="A922" s="416"/>
      <c r="B922" s="134"/>
      <c r="C922" s="417"/>
      <c r="D922" s="418"/>
      <c r="E922" s="123"/>
      <c r="F922" s="123"/>
      <c r="G922" s="123"/>
      <c r="H922" s="123"/>
      <c r="I922" s="123"/>
      <c r="J922" s="123"/>
      <c r="K922" s="123"/>
      <c r="L922" s="123"/>
      <c r="M922" s="123"/>
      <c r="N922" s="123"/>
      <c r="O922" s="123"/>
      <c r="P922" s="123"/>
      <c r="Q922" s="123"/>
      <c r="R922" s="123"/>
      <c r="S922" s="123"/>
      <c r="T922" s="123"/>
      <c r="U922" s="123"/>
      <c r="V922" s="123"/>
      <c r="W922" s="123"/>
      <c r="X922" s="123"/>
      <c r="Y922" s="123"/>
      <c r="Z922" s="123"/>
    </row>
    <row r="923">
      <c r="A923" s="416"/>
      <c r="B923" s="134"/>
      <c r="C923" s="417"/>
      <c r="D923" s="418"/>
      <c r="E923" s="123"/>
      <c r="F923" s="123"/>
      <c r="G923" s="123"/>
      <c r="H923" s="123"/>
      <c r="I923" s="123"/>
      <c r="J923" s="123"/>
      <c r="K923" s="123"/>
      <c r="L923" s="123"/>
      <c r="M923" s="123"/>
      <c r="N923" s="123"/>
      <c r="O923" s="123"/>
      <c r="P923" s="123"/>
      <c r="Q923" s="123"/>
      <c r="R923" s="123"/>
      <c r="S923" s="123"/>
      <c r="T923" s="123"/>
      <c r="U923" s="123"/>
      <c r="V923" s="123"/>
      <c r="W923" s="123"/>
      <c r="X923" s="123"/>
      <c r="Y923" s="123"/>
      <c r="Z923" s="123"/>
    </row>
    <row r="924">
      <c r="A924" s="416"/>
      <c r="B924" s="134"/>
      <c r="C924" s="417"/>
      <c r="D924" s="418"/>
      <c r="E924" s="123"/>
      <c r="F924" s="123"/>
      <c r="G924" s="123"/>
      <c r="H924" s="123"/>
      <c r="I924" s="123"/>
      <c r="J924" s="123"/>
      <c r="K924" s="123"/>
      <c r="L924" s="123"/>
      <c r="M924" s="123"/>
      <c r="N924" s="123"/>
      <c r="O924" s="123"/>
      <c r="P924" s="123"/>
      <c r="Q924" s="123"/>
      <c r="R924" s="123"/>
      <c r="S924" s="123"/>
      <c r="T924" s="123"/>
      <c r="U924" s="123"/>
      <c r="V924" s="123"/>
      <c r="W924" s="123"/>
      <c r="X924" s="123"/>
      <c r="Y924" s="123"/>
      <c r="Z924" s="123"/>
    </row>
    <row r="925">
      <c r="A925" s="416"/>
      <c r="B925" s="134"/>
      <c r="C925" s="417"/>
      <c r="D925" s="418"/>
      <c r="E925" s="123"/>
      <c r="F925" s="123"/>
      <c r="G925" s="123"/>
      <c r="H925" s="123"/>
      <c r="I925" s="123"/>
      <c r="J925" s="123"/>
      <c r="K925" s="123"/>
      <c r="L925" s="123"/>
      <c r="M925" s="123"/>
      <c r="N925" s="123"/>
      <c r="O925" s="123"/>
      <c r="P925" s="123"/>
      <c r="Q925" s="123"/>
      <c r="R925" s="123"/>
      <c r="S925" s="123"/>
      <c r="T925" s="123"/>
      <c r="U925" s="123"/>
      <c r="V925" s="123"/>
      <c r="W925" s="123"/>
      <c r="X925" s="123"/>
      <c r="Y925" s="123"/>
      <c r="Z925" s="123"/>
    </row>
    <row r="926">
      <c r="A926" s="416"/>
      <c r="B926" s="134"/>
      <c r="C926" s="417"/>
      <c r="D926" s="418"/>
      <c r="E926" s="123"/>
      <c r="F926" s="123"/>
      <c r="G926" s="123"/>
      <c r="H926" s="123"/>
      <c r="I926" s="123"/>
      <c r="J926" s="123"/>
      <c r="K926" s="123"/>
      <c r="L926" s="123"/>
      <c r="M926" s="123"/>
      <c r="N926" s="123"/>
      <c r="O926" s="123"/>
      <c r="P926" s="123"/>
      <c r="Q926" s="123"/>
      <c r="R926" s="123"/>
      <c r="S926" s="123"/>
      <c r="T926" s="123"/>
      <c r="U926" s="123"/>
      <c r="V926" s="123"/>
      <c r="W926" s="123"/>
      <c r="X926" s="123"/>
      <c r="Y926" s="123"/>
      <c r="Z926" s="123"/>
    </row>
    <row r="927">
      <c r="A927" s="416"/>
      <c r="B927" s="134"/>
      <c r="C927" s="417"/>
      <c r="D927" s="418"/>
      <c r="E927" s="123"/>
      <c r="F927" s="123"/>
      <c r="G927" s="123"/>
      <c r="H927" s="123"/>
      <c r="I927" s="123"/>
      <c r="J927" s="123"/>
      <c r="K927" s="123"/>
      <c r="L927" s="123"/>
      <c r="M927" s="123"/>
      <c r="N927" s="123"/>
      <c r="O927" s="123"/>
      <c r="P927" s="123"/>
      <c r="Q927" s="123"/>
      <c r="R927" s="123"/>
      <c r="S927" s="123"/>
      <c r="T927" s="123"/>
      <c r="U927" s="123"/>
      <c r="V927" s="123"/>
      <c r="W927" s="123"/>
      <c r="X927" s="123"/>
      <c r="Y927" s="123"/>
      <c r="Z927" s="123"/>
    </row>
    <row r="928">
      <c r="A928" s="416"/>
      <c r="B928" s="134"/>
      <c r="C928" s="417"/>
      <c r="D928" s="418"/>
      <c r="E928" s="123"/>
      <c r="F928" s="123"/>
      <c r="G928" s="123"/>
      <c r="H928" s="123"/>
      <c r="I928" s="123"/>
      <c r="J928" s="123"/>
      <c r="K928" s="123"/>
      <c r="L928" s="123"/>
      <c r="M928" s="123"/>
      <c r="N928" s="123"/>
      <c r="O928" s="123"/>
      <c r="P928" s="123"/>
      <c r="Q928" s="123"/>
      <c r="R928" s="123"/>
      <c r="S928" s="123"/>
      <c r="T928" s="123"/>
      <c r="U928" s="123"/>
      <c r="V928" s="123"/>
      <c r="W928" s="123"/>
      <c r="X928" s="123"/>
      <c r="Y928" s="123"/>
      <c r="Z928" s="123"/>
    </row>
    <row r="929">
      <c r="A929" s="416"/>
      <c r="B929" s="134"/>
      <c r="C929" s="417"/>
      <c r="D929" s="418"/>
      <c r="E929" s="123"/>
      <c r="F929" s="123"/>
      <c r="G929" s="123"/>
      <c r="H929" s="123"/>
      <c r="I929" s="123"/>
      <c r="J929" s="123"/>
      <c r="K929" s="123"/>
      <c r="L929" s="123"/>
      <c r="M929" s="123"/>
      <c r="N929" s="123"/>
      <c r="O929" s="123"/>
      <c r="P929" s="123"/>
      <c r="Q929" s="123"/>
      <c r="R929" s="123"/>
      <c r="S929" s="123"/>
      <c r="T929" s="123"/>
      <c r="U929" s="123"/>
      <c r="V929" s="123"/>
      <c r="W929" s="123"/>
      <c r="X929" s="123"/>
      <c r="Y929" s="123"/>
      <c r="Z929" s="123"/>
    </row>
    <row r="930">
      <c r="A930" s="416"/>
      <c r="B930" s="134"/>
      <c r="C930" s="417"/>
      <c r="D930" s="418"/>
      <c r="E930" s="123"/>
      <c r="F930" s="123"/>
      <c r="G930" s="123"/>
      <c r="H930" s="123"/>
      <c r="I930" s="123"/>
      <c r="J930" s="123"/>
      <c r="K930" s="123"/>
      <c r="L930" s="123"/>
      <c r="M930" s="123"/>
      <c r="N930" s="123"/>
      <c r="O930" s="123"/>
      <c r="P930" s="123"/>
      <c r="Q930" s="123"/>
      <c r="R930" s="123"/>
      <c r="S930" s="123"/>
      <c r="T930" s="123"/>
      <c r="U930" s="123"/>
      <c r="V930" s="123"/>
      <c r="W930" s="123"/>
      <c r="X930" s="123"/>
      <c r="Y930" s="123"/>
      <c r="Z930" s="123"/>
    </row>
    <row r="931">
      <c r="A931" s="416"/>
      <c r="B931" s="134"/>
      <c r="C931" s="417"/>
      <c r="D931" s="418"/>
      <c r="E931" s="123"/>
      <c r="F931" s="123"/>
      <c r="G931" s="123"/>
      <c r="H931" s="123"/>
      <c r="I931" s="123"/>
      <c r="J931" s="123"/>
      <c r="K931" s="123"/>
      <c r="L931" s="123"/>
      <c r="M931" s="123"/>
      <c r="N931" s="123"/>
      <c r="O931" s="123"/>
      <c r="P931" s="123"/>
      <c r="Q931" s="123"/>
      <c r="R931" s="123"/>
      <c r="S931" s="123"/>
      <c r="T931" s="123"/>
      <c r="U931" s="123"/>
      <c r="V931" s="123"/>
      <c r="W931" s="123"/>
      <c r="X931" s="123"/>
      <c r="Y931" s="123"/>
      <c r="Z931" s="123"/>
    </row>
    <row r="932">
      <c r="A932" s="416"/>
      <c r="B932" s="134"/>
      <c r="C932" s="417"/>
      <c r="D932" s="418"/>
      <c r="E932" s="123"/>
      <c r="F932" s="123"/>
      <c r="G932" s="123"/>
      <c r="H932" s="123"/>
      <c r="I932" s="123"/>
      <c r="J932" s="123"/>
      <c r="K932" s="123"/>
      <c r="L932" s="123"/>
      <c r="M932" s="123"/>
      <c r="N932" s="123"/>
      <c r="O932" s="123"/>
      <c r="P932" s="123"/>
      <c r="Q932" s="123"/>
      <c r="R932" s="123"/>
      <c r="S932" s="123"/>
      <c r="T932" s="123"/>
      <c r="U932" s="123"/>
      <c r="V932" s="123"/>
      <c r="W932" s="123"/>
      <c r="X932" s="123"/>
      <c r="Y932" s="123"/>
      <c r="Z932" s="123"/>
    </row>
    <row r="933">
      <c r="A933" s="416"/>
      <c r="B933" s="134"/>
      <c r="C933" s="417"/>
      <c r="D933" s="418"/>
      <c r="E933" s="123"/>
      <c r="F933" s="123"/>
      <c r="G933" s="123"/>
      <c r="H933" s="123"/>
      <c r="I933" s="123"/>
      <c r="J933" s="123"/>
      <c r="K933" s="123"/>
      <c r="L933" s="123"/>
      <c r="M933" s="123"/>
      <c r="N933" s="123"/>
      <c r="O933" s="123"/>
      <c r="P933" s="123"/>
      <c r="Q933" s="123"/>
      <c r="R933" s="123"/>
      <c r="S933" s="123"/>
      <c r="T933" s="123"/>
      <c r="U933" s="123"/>
      <c r="V933" s="123"/>
      <c r="W933" s="123"/>
      <c r="X933" s="123"/>
      <c r="Y933" s="123"/>
      <c r="Z933" s="123"/>
    </row>
    <row r="934">
      <c r="A934" s="416"/>
      <c r="B934" s="134"/>
      <c r="C934" s="417"/>
      <c r="D934" s="418"/>
      <c r="E934" s="123"/>
      <c r="F934" s="123"/>
      <c r="G934" s="123"/>
      <c r="H934" s="123"/>
      <c r="I934" s="123"/>
      <c r="J934" s="123"/>
      <c r="K934" s="123"/>
      <c r="L934" s="123"/>
      <c r="M934" s="123"/>
      <c r="N934" s="123"/>
      <c r="O934" s="123"/>
      <c r="P934" s="123"/>
      <c r="Q934" s="123"/>
      <c r="R934" s="123"/>
      <c r="S934" s="123"/>
      <c r="T934" s="123"/>
      <c r="U934" s="123"/>
      <c r="V934" s="123"/>
      <c r="W934" s="123"/>
      <c r="X934" s="123"/>
      <c r="Y934" s="123"/>
      <c r="Z934" s="123"/>
    </row>
    <row r="935">
      <c r="A935" s="416"/>
      <c r="B935" s="134"/>
      <c r="C935" s="417"/>
      <c r="D935" s="418"/>
      <c r="E935" s="123"/>
      <c r="F935" s="123"/>
      <c r="G935" s="123"/>
      <c r="H935" s="123"/>
      <c r="I935" s="123"/>
      <c r="J935" s="123"/>
      <c r="K935" s="123"/>
      <c r="L935" s="123"/>
      <c r="M935" s="123"/>
      <c r="N935" s="123"/>
      <c r="O935" s="123"/>
      <c r="P935" s="123"/>
      <c r="Q935" s="123"/>
      <c r="R935" s="123"/>
      <c r="S935" s="123"/>
      <c r="T935" s="123"/>
      <c r="U935" s="123"/>
      <c r="V935" s="123"/>
      <c r="W935" s="123"/>
      <c r="X935" s="123"/>
      <c r="Y935" s="123"/>
      <c r="Z935" s="123"/>
    </row>
    <row r="936">
      <c r="A936" s="416"/>
      <c r="B936" s="134"/>
      <c r="C936" s="417"/>
      <c r="D936" s="418"/>
      <c r="E936" s="123"/>
      <c r="F936" s="123"/>
      <c r="G936" s="123"/>
      <c r="H936" s="123"/>
      <c r="I936" s="123"/>
      <c r="J936" s="123"/>
      <c r="K936" s="123"/>
      <c r="L936" s="123"/>
      <c r="M936" s="123"/>
      <c r="N936" s="123"/>
      <c r="O936" s="123"/>
      <c r="P936" s="123"/>
      <c r="Q936" s="123"/>
      <c r="R936" s="123"/>
      <c r="S936" s="123"/>
      <c r="T936" s="123"/>
      <c r="U936" s="123"/>
      <c r="V936" s="123"/>
      <c r="W936" s="123"/>
      <c r="X936" s="123"/>
      <c r="Y936" s="123"/>
      <c r="Z936" s="123"/>
    </row>
    <row r="937">
      <c r="A937" s="416"/>
      <c r="B937" s="134"/>
      <c r="C937" s="417"/>
      <c r="D937" s="418"/>
      <c r="E937" s="123"/>
      <c r="F937" s="123"/>
      <c r="G937" s="123"/>
      <c r="H937" s="123"/>
      <c r="I937" s="123"/>
      <c r="J937" s="123"/>
      <c r="K937" s="123"/>
      <c r="L937" s="123"/>
      <c r="M937" s="123"/>
      <c r="N937" s="123"/>
      <c r="O937" s="123"/>
      <c r="P937" s="123"/>
      <c r="Q937" s="123"/>
      <c r="R937" s="123"/>
      <c r="S937" s="123"/>
      <c r="T937" s="123"/>
      <c r="U937" s="123"/>
      <c r="V937" s="123"/>
      <c r="W937" s="123"/>
      <c r="X937" s="123"/>
      <c r="Y937" s="123"/>
      <c r="Z937" s="123"/>
    </row>
    <row r="938">
      <c r="A938" s="416"/>
      <c r="B938" s="134"/>
      <c r="C938" s="417"/>
      <c r="D938" s="418"/>
      <c r="E938" s="123"/>
      <c r="F938" s="123"/>
      <c r="G938" s="123"/>
      <c r="H938" s="123"/>
      <c r="I938" s="123"/>
      <c r="J938" s="123"/>
      <c r="K938" s="123"/>
      <c r="L938" s="123"/>
      <c r="M938" s="123"/>
      <c r="N938" s="123"/>
      <c r="O938" s="123"/>
      <c r="P938" s="123"/>
      <c r="Q938" s="123"/>
      <c r="R938" s="123"/>
      <c r="S938" s="123"/>
      <c r="T938" s="123"/>
      <c r="U938" s="123"/>
      <c r="V938" s="123"/>
      <c r="W938" s="123"/>
      <c r="X938" s="123"/>
      <c r="Y938" s="123"/>
      <c r="Z938" s="123"/>
    </row>
    <row r="939">
      <c r="A939" s="416"/>
      <c r="B939" s="134"/>
      <c r="C939" s="417"/>
      <c r="D939" s="418"/>
      <c r="E939" s="123"/>
      <c r="F939" s="123"/>
      <c r="G939" s="123"/>
      <c r="H939" s="123"/>
      <c r="I939" s="123"/>
      <c r="J939" s="123"/>
      <c r="K939" s="123"/>
      <c r="L939" s="123"/>
      <c r="M939" s="123"/>
      <c r="N939" s="123"/>
      <c r="O939" s="123"/>
      <c r="P939" s="123"/>
      <c r="Q939" s="123"/>
      <c r="R939" s="123"/>
      <c r="S939" s="123"/>
      <c r="T939" s="123"/>
      <c r="U939" s="123"/>
      <c r="V939" s="123"/>
      <c r="W939" s="123"/>
      <c r="X939" s="123"/>
      <c r="Y939" s="123"/>
      <c r="Z939" s="123"/>
    </row>
    <row r="940">
      <c r="A940" s="416"/>
      <c r="B940" s="134"/>
      <c r="C940" s="417"/>
      <c r="D940" s="418"/>
      <c r="E940" s="123"/>
      <c r="F940" s="123"/>
      <c r="G940" s="123"/>
      <c r="H940" s="123"/>
      <c r="I940" s="123"/>
      <c r="J940" s="123"/>
      <c r="K940" s="123"/>
      <c r="L940" s="123"/>
      <c r="M940" s="123"/>
      <c r="N940" s="123"/>
      <c r="O940" s="123"/>
      <c r="P940" s="123"/>
      <c r="Q940" s="123"/>
      <c r="R940" s="123"/>
      <c r="S940" s="123"/>
      <c r="T940" s="123"/>
      <c r="U940" s="123"/>
      <c r="V940" s="123"/>
      <c r="W940" s="123"/>
      <c r="X940" s="123"/>
      <c r="Y940" s="123"/>
      <c r="Z940" s="123"/>
    </row>
    <row r="941">
      <c r="A941" s="416"/>
      <c r="B941" s="134"/>
      <c r="C941" s="417"/>
      <c r="D941" s="418"/>
      <c r="E941" s="123"/>
      <c r="F941" s="123"/>
      <c r="G941" s="123"/>
      <c r="H941" s="123"/>
      <c r="I941" s="123"/>
      <c r="J941" s="123"/>
      <c r="K941" s="123"/>
      <c r="L941" s="123"/>
      <c r="M941" s="123"/>
      <c r="N941" s="123"/>
      <c r="O941" s="123"/>
      <c r="P941" s="123"/>
      <c r="Q941" s="123"/>
      <c r="R941" s="123"/>
      <c r="S941" s="123"/>
      <c r="T941" s="123"/>
      <c r="U941" s="123"/>
      <c r="V941" s="123"/>
      <c r="W941" s="123"/>
      <c r="X941" s="123"/>
      <c r="Y941" s="123"/>
      <c r="Z941" s="123"/>
    </row>
    <row r="942">
      <c r="A942" s="416"/>
      <c r="B942" s="134"/>
      <c r="C942" s="417"/>
      <c r="D942" s="418"/>
      <c r="E942" s="123"/>
      <c r="F942" s="123"/>
      <c r="G942" s="123"/>
      <c r="H942" s="123"/>
      <c r="I942" s="123"/>
      <c r="J942" s="123"/>
      <c r="K942" s="123"/>
      <c r="L942" s="123"/>
      <c r="M942" s="123"/>
      <c r="N942" s="123"/>
      <c r="O942" s="123"/>
      <c r="P942" s="123"/>
      <c r="Q942" s="123"/>
      <c r="R942" s="123"/>
      <c r="S942" s="123"/>
      <c r="T942" s="123"/>
      <c r="U942" s="123"/>
      <c r="V942" s="123"/>
      <c r="W942" s="123"/>
      <c r="X942" s="123"/>
      <c r="Y942" s="123"/>
      <c r="Z942" s="123"/>
    </row>
    <row r="943">
      <c r="A943" s="416"/>
      <c r="B943" s="134"/>
      <c r="C943" s="417"/>
      <c r="D943" s="418"/>
      <c r="E943" s="123"/>
      <c r="F943" s="123"/>
      <c r="G943" s="123"/>
      <c r="H943" s="123"/>
      <c r="I943" s="123"/>
      <c r="J943" s="123"/>
      <c r="K943" s="123"/>
      <c r="L943" s="123"/>
      <c r="M943" s="123"/>
      <c r="N943" s="123"/>
      <c r="O943" s="123"/>
      <c r="P943" s="123"/>
      <c r="Q943" s="123"/>
      <c r="R943" s="123"/>
      <c r="S943" s="123"/>
      <c r="T943" s="123"/>
      <c r="U943" s="123"/>
      <c r="V943" s="123"/>
      <c r="W943" s="123"/>
      <c r="X943" s="123"/>
      <c r="Y943" s="123"/>
      <c r="Z943" s="123"/>
    </row>
    <row r="944">
      <c r="A944" s="416"/>
      <c r="B944" s="134"/>
      <c r="C944" s="417"/>
      <c r="D944" s="418"/>
      <c r="E944" s="123"/>
      <c r="F944" s="123"/>
      <c r="G944" s="123"/>
      <c r="H944" s="123"/>
      <c r="I944" s="123"/>
      <c r="J944" s="123"/>
      <c r="K944" s="123"/>
      <c r="L944" s="123"/>
      <c r="M944" s="123"/>
      <c r="N944" s="123"/>
      <c r="O944" s="123"/>
      <c r="P944" s="123"/>
      <c r="Q944" s="123"/>
      <c r="R944" s="123"/>
      <c r="S944" s="123"/>
      <c r="T944" s="123"/>
      <c r="U944" s="123"/>
      <c r="V944" s="123"/>
      <c r="W944" s="123"/>
      <c r="X944" s="123"/>
      <c r="Y944" s="123"/>
      <c r="Z944" s="123"/>
    </row>
    <row r="945">
      <c r="A945" s="416"/>
      <c r="B945" s="134"/>
      <c r="C945" s="417"/>
      <c r="D945" s="418"/>
      <c r="E945" s="123"/>
      <c r="F945" s="123"/>
      <c r="G945" s="123"/>
      <c r="H945" s="123"/>
      <c r="I945" s="123"/>
      <c r="J945" s="123"/>
      <c r="K945" s="123"/>
      <c r="L945" s="123"/>
      <c r="M945" s="123"/>
      <c r="N945" s="123"/>
      <c r="O945" s="123"/>
      <c r="P945" s="123"/>
      <c r="Q945" s="123"/>
      <c r="R945" s="123"/>
      <c r="S945" s="123"/>
      <c r="T945" s="123"/>
      <c r="U945" s="123"/>
      <c r="V945" s="123"/>
      <c r="W945" s="123"/>
      <c r="X945" s="123"/>
      <c r="Y945" s="123"/>
      <c r="Z945" s="123"/>
    </row>
    <row r="946">
      <c r="A946" s="416"/>
      <c r="B946" s="134"/>
      <c r="C946" s="417"/>
      <c r="D946" s="418"/>
      <c r="E946" s="123"/>
      <c r="F946" s="123"/>
      <c r="G946" s="123"/>
      <c r="H946" s="123"/>
      <c r="I946" s="123"/>
      <c r="J946" s="123"/>
      <c r="K946" s="123"/>
      <c r="L946" s="123"/>
      <c r="M946" s="123"/>
      <c r="N946" s="123"/>
      <c r="O946" s="123"/>
      <c r="P946" s="123"/>
      <c r="Q946" s="123"/>
      <c r="R946" s="123"/>
      <c r="S946" s="123"/>
      <c r="T946" s="123"/>
      <c r="U946" s="123"/>
      <c r="V946" s="123"/>
      <c r="W946" s="123"/>
      <c r="X946" s="123"/>
      <c r="Y946" s="123"/>
      <c r="Z946" s="123"/>
    </row>
    <row r="947">
      <c r="A947" s="416"/>
      <c r="B947" s="134"/>
      <c r="C947" s="417"/>
      <c r="D947" s="418"/>
      <c r="E947" s="123"/>
      <c r="F947" s="123"/>
      <c r="G947" s="123"/>
      <c r="H947" s="123"/>
      <c r="I947" s="123"/>
      <c r="J947" s="123"/>
      <c r="K947" s="123"/>
      <c r="L947" s="123"/>
      <c r="M947" s="123"/>
      <c r="N947" s="123"/>
      <c r="O947" s="123"/>
      <c r="P947" s="123"/>
      <c r="Q947" s="123"/>
      <c r="R947" s="123"/>
      <c r="S947" s="123"/>
      <c r="T947" s="123"/>
      <c r="U947" s="123"/>
      <c r="V947" s="123"/>
      <c r="W947" s="123"/>
      <c r="X947" s="123"/>
      <c r="Y947" s="123"/>
      <c r="Z947" s="123"/>
    </row>
    <row r="948">
      <c r="A948" s="416"/>
      <c r="B948" s="134"/>
      <c r="C948" s="417"/>
      <c r="D948" s="418"/>
      <c r="E948" s="123"/>
      <c r="F948" s="123"/>
      <c r="G948" s="123"/>
      <c r="H948" s="123"/>
      <c r="I948" s="123"/>
      <c r="J948" s="123"/>
      <c r="K948" s="123"/>
      <c r="L948" s="123"/>
      <c r="M948" s="123"/>
      <c r="N948" s="123"/>
      <c r="O948" s="123"/>
      <c r="P948" s="123"/>
      <c r="Q948" s="123"/>
      <c r="R948" s="123"/>
      <c r="S948" s="123"/>
      <c r="T948" s="123"/>
      <c r="U948" s="123"/>
      <c r="V948" s="123"/>
      <c r="W948" s="123"/>
      <c r="X948" s="123"/>
      <c r="Y948" s="123"/>
      <c r="Z948" s="123"/>
    </row>
    <row r="949">
      <c r="A949" s="416"/>
      <c r="B949" s="134"/>
      <c r="C949" s="417"/>
      <c r="D949" s="418"/>
      <c r="E949" s="123"/>
      <c r="F949" s="123"/>
      <c r="G949" s="123"/>
      <c r="H949" s="123"/>
      <c r="I949" s="123"/>
      <c r="J949" s="123"/>
      <c r="K949" s="123"/>
      <c r="L949" s="123"/>
      <c r="M949" s="123"/>
      <c r="N949" s="123"/>
      <c r="O949" s="123"/>
      <c r="P949" s="123"/>
      <c r="Q949" s="123"/>
      <c r="R949" s="123"/>
      <c r="S949" s="123"/>
      <c r="T949" s="123"/>
      <c r="U949" s="123"/>
      <c r="V949" s="123"/>
      <c r="W949" s="123"/>
      <c r="X949" s="123"/>
      <c r="Y949" s="123"/>
      <c r="Z949" s="123"/>
    </row>
    <row r="950">
      <c r="A950" s="416"/>
      <c r="B950" s="134"/>
      <c r="C950" s="417"/>
      <c r="D950" s="418"/>
      <c r="E950" s="123"/>
      <c r="F950" s="123"/>
      <c r="G950" s="123"/>
      <c r="H950" s="123"/>
      <c r="I950" s="123"/>
      <c r="J950" s="123"/>
      <c r="K950" s="123"/>
      <c r="L950" s="123"/>
      <c r="M950" s="123"/>
      <c r="N950" s="123"/>
      <c r="O950" s="123"/>
      <c r="P950" s="123"/>
      <c r="Q950" s="123"/>
      <c r="R950" s="123"/>
      <c r="S950" s="123"/>
      <c r="T950" s="123"/>
      <c r="U950" s="123"/>
      <c r="V950" s="123"/>
      <c r="W950" s="123"/>
      <c r="X950" s="123"/>
      <c r="Y950" s="123"/>
      <c r="Z950" s="123"/>
    </row>
    <row r="951">
      <c r="A951" s="416"/>
      <c r="B951" s="134"/>
      <c r="C951" s="417"/>
      <c r="D951" s="418"/>
      <c r="E951" s="123"/>
      <c r="F951" s="123"/>
      <c r="G951" s="123"/>
      <c r="H951" s="123"/>
      <c r="I951" s="123"/>
      <c r="J951" s="123"/>
      <c r="K951" s="123"/>
      <c r="L951" s="123"/>
      <c r="M951" s="123"/>
      <c r="N951" s="123"/>
      <c r="O951" s="123"/>
      <c r="P951" s="123"/>
      <c r="Q951" s="123"/>
      <c r="R951" s="123"/>
      <c r="S951" s="123"/>
      <c r="T951" s="123"/>
      <c r="U951" s="123"/>
      <c r="V951" s="123"/>
      <c r="W951" s="123"/>
      <c r="X951" s="123"/>
      <c r="Y951" s="123"/>
      <c r="Z951" s="123"/>
    </row>
    <row r="952">
      <c r="A952" s="416"/>
      <c r="B952" s="134"/>
      <c r="C952" s="417"/>
      <c r="D952" s="418"/>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row>
    <row r="953">
      <c r="A953" s="416"/>
      <c r="B953" s="134"/>
      <c r="C953" s="417"/>
      <c r="D953" s="418"/>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row>
    <row r="954">
      <c r="A954" s="416"/>
      <c r="B954" s="134"/>
      <c r="C954" s="417"/>
      <c r="D954" s="418"/>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row>
    <row r="955">
      <c r="A955" s="416"/>
      <c r="B955" s="134"/>
      <c r="C955" s="417"/>
      <c r="D955" s="418"/>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row>
    <row r="956">
      <c r="A956" s="416"/>
      <c r="B956" s="134"/>
      <c r="C956" s="417"/>
      <c r="D956" s="418"/>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row>
    <row r="957">
      <c r="A957" s="416"/>
      <c r="B957" s="134"/>
      <c r="C957" s="417"/>
      <c r="D957" s="418"/>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row>
    <row r="958">
      <c r="A958" s="416"/>
      <c r="B958" s="134"/>
      <c r="C958" s="417"/>
      <c r="D958" s="418"/>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row>
    <row r="959">
      <c r="A959" s="416"/>
      <c r="B959" s="134"/>
      <c r="C959" s="417"/>
      <c r="D959" s="418"/>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row>
    <row r="960">
      <c r="A960" s="416"/>
      <c r="B960" s="134"/>
      <c r="C960" s="417"/>
      <c r="D960" s="418"/>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row>
    <row r="961">
      <c r="A961" s="416"/>
      <c r="B961" s="134"/>
      <c r="C961" s="417"/>
      <c r="D961" s="418"/>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row>
    <row r="962">
      <c r="A962" s="416"/>
      <c r="B962" s="134"/>
      <c r="C962" s="417"/>
      <c r="D962" s="418"/>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row>
    <row r="963">
      <c r="A963" s="416"/>
      <c r="B963" s="134"/>
      <c r="C963" s="417"/>
      <c r="D963" s="418"/>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row>
    <row r="964">
      <c r="A964" s="416"/>
      <c r="B964" s="134"/>
      <c r="C964" s="417"/>
      <c r="D964" s="418"/>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row>
    <row r="965">
      <c r="A965" s="416"/>
      <c r="B965" s="134"/>
      <c r="C965" s="417"/>
      <c r="D965" s="418"/>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row>
    <row r="966">
      <c r="A966" s="416"/>
      <c r="B966" s="134"/>
      <c r="C966" s="417"/>
      <c r="D966" s="418"/>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row>
    <row r="967">
      <c r="A967" s="416"/>
      <c r="B967" s="134"/>
      <c r="C967" s="417"/>
      <c r="D967" s="418"/>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row>
    <row r="968">
      <c r="A968" s="416"/>
      <c r="B968" s="134"/>
      <c r="C968" s="417"/>
      <c r="D968" s="418"/>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row>
    <row r="969">
      <c r="A969" s="416"/>
      <c r="B969" s="134"/>
      <c r="C969" s="417"/>
      <c r="D969" s="418"/>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row>
    <row r="970">
      <c r="A970" s="416"/>
      <c r="B970" s="134"/>
      <c r="C970" s="417"/>
      <c r="D970" s="418"/>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row>
    <row r="971">
      <c r="A971" s="416"/>
      <c r="B971" s="134"/>
      <c r="C971" s="417"/>
      <c r="D971" s="418"/>
      <c r="E971" s="123"/>
      <c r="F971" s="123"/>
      <c r="G971" s="123"/>
      <c r="H971" s="123"/>
      <c r="I971" s="123"/>
      <c r="J971" s="123"/>
      <c r="K971" s="123"/>
      <c r="L971" s="123"/>
      <c r="M971" s="123"/>
      <c r="N971" s="123"/>
      <c r="O971" s="123"/>
      <c r="P971" s="123"/>
      <c r="Q971" s="123"/>
      <c r="R971" s="123"/>
      <c r="S971" s="123"/>
      <c r="T971" s="123"/>
      <c r="U971" s="123"/>
      <c r="V971" s="123"/>
      <c r="W971" s="123"/>
      <c r="X971" s="123"/>
      <c r="Y971" s="123"/>
      <c r="Z971" s="123"/>
    </row>
    <row r="972">
      <c r="A972" s="416"/>
      <c r="B972" s="134"/>
      <c r="C972" s="417"/>
      <c r="D972" s="418"/>
      <c r="E972" s="123"/>
      <c r="F972" s="123"/>
      <c r="G972" s="123"/>
      <c r="H972" s="123"/>
      <c r="I972" s="123"/>
      <c r="J972" s="123"/>
      <c r="K972" s="123"/>
      <c r="L972" s="123"/>
      <c r="M972" s="123"/>
      <c r="N972" s="123"/>
      <c r="O972" s="123"/>
      <c r="P972" s="123"/>
      <c r="Q972" s="123"/>
      <c r="R972" s="123"/>
      <c r="S972" s="123"/>
      <c r="T972" s="123"/>
      <c r="U972" s="123"/>
      <c r="V972" s="123"/>
      <c r="W972" s="123"/>
      <c r="X972" s="123"/>
      <c r="Y972" s="123"/>
      <c r="Z972" s="123"/>
    </row>
    <row r="973">
      <c r="A973" s="416"/>
      <c r="B973" s="134"/>
      <c r="C973" s="417"/>
      <c r="D973" s="418"/>
      <c r="E973" s="123"/>
      <c r="F973" s="123"/>
      <c r="G973" s="123"/>
      <c r="H973" s="123"/>
      <c r="I973" s="123"/>
      <c r="J973" s="123"/>
      <c r="K973" s="123"/>
      <c r="L973" s="123"/>
      <c r="M973" s="123"/>
      <c r="N973" s="123"/>
      <c r="O973" s="123"/>
      <c r="P973" s="123"/>
      <c r="Q973" s="123"/>
      <c r="R973" s="123"/>
      <c r="S973" s="123"/>
      <c r="T973" s="123"/>
      <c r="U973" s="123"/>
      <c r="V973" s="123"/>
      <c r="W973" s="123"/>
      <c r="X973" s="123"/>
      <c r="Y973" s="123"/>
      <c r="Z973" s="123"/>
    </row>
    <row r="974">
      <c r="A974" s="416"/>
      <c r="B974" s="134"/>
      <c r="C974" s="417"/>
      <c r="D974" s="418"/>
      <c r="E974" s="123"/>
      <c r="F974" s="123"/>
      <c r="G974" s="123"/>
      <c r="H974" s="123"/>
      <c r="I974" s="123"/>
      <c r="J974" s="123"/>
      <c r="K974" s="123"/>
      <c r="L974" s="123"/>
      <c r="M974" s="123"/>
      <c r="N974" s="123"/>
      <c r="O974" s="123"/>
      <c r="P974" s="123"/>
      <c r="Q974" s="123"/>
      <c r="R974" s="123"/>
      <c r="S974" s="123"/>
      <c r="T974" s="123"/>
      <c r="U974" s="123"/>
      <c r="V974" s="123"/>
      <c r="W974" s="123"/>
      <c r="X974" s="123"/>
      <c r="Y974" s="123"/>
      <c r="Z974" s="123"/>
    </row>
    <row r="975">
      <c r="A975" s="416"/>
      <c r="B975" s="134"/>
      <c r="C975" s="417"/>
      <c r="D975" s="418"/>
      <c r="E975" s="123"/>
      <c r="F975" s="123"/>
      <c r="G975" s="123"/>
      <c r="H975" s="123"/>
      <c r="I975" s="123"/>
      <c r="J975" s="123"/>
      <c r="K975" s="123"/>
      <c r="L975" s="123"/>
      <c r="M975" s="123"/>
      <c r="N975" s="123"/>
      <c r="O975" s="123"/>
      <c r="P975" s="123"/>
      <c r="Q975" s="123"/>
      <c r="R975" s="123"/>
      <c r="S975" s="123"/>
      <c r="T975" s="123"/>
      <c r="U975" s="123"/>
      <c r="V975" s="123"/>
      <c r="W975" s="123"/>
      <c r="X975" s="123"/>
      <c r="Y975" s="123"/>
      <c r="Z975" s="123"/>
    </row>
    <row r="976">
      <c r="A976" s="416"/>
      <c r="B976" s="134"/>
      <c r="C976" s="417"/>
      <c r="D976" s="418"/>
      <c r="E976" s="123"/>
      <c r="F976" s="123"/>
      <c r="G976" s="123"/>
      <c r="H976" s="123"/>
      <c r="I976" s="123"/>
      <c r="J976" s="123"/>
      <c r="K976" s="123"/>
      <c r="L976" s="123"/>
      <c r="M976" s="123"/>
      <c r="N976" s="123"/>
      <c r="O976" s="123"/>
      <c r="P976" s="123"/>
      <c r="Q976" s="123"/>
      <c r="R976" s="123"/>
      <c r="S976" s="123"/>
      <c r="T976" s="123"/>
      <c r="U976" s="123"/>
      <c r="V976" s="123"/>
      <c r="W976" s="123"/>
      <c r="X976" s="123"/>
      <c r="Y976" s="123"/>
      <c r="Z976" s="123"/>
    </row>
    <row r="977">
      <c r="A977" s="416"/>
      <c r="B977" s="134"/>
      <c r="C977" s="417"/>
      <c r="D977" s="418"/>
      <c r="E977" s="123"/>
      <c r="F977" s="123"/>
      <c r="G977" s="123"/>
      <c r="H977" s="123"/>
      <c r="I977" s="123"/>
      <c r="J977" s="123"/>
      <c r="K977" s="123"/>
      <c r="L977" s="123"/>
      <c r="M977" s="123"/>
      <c r="N977" s="123"/>
      <c r="O977" s="123"/>
      <c r="P977" s="123"/>
      <c r="Q977" s="123"/>
      <c r="R977" s="123"/>
      <c r="S977" s="123"/>
      <c r="T977" s="123"/>
      <c r="U977" s="123"/>
      <c r="V977" s="123"/>
      <c r="W977" s="123"/>
      <c r="X977" s="123"/>
      <c r="Y977" s="123"/>
      <c r="Z977" s="123"/>
    </row>
    <row r="978">
      <c r="A978" s="416"/>
      <c r="B978" s="134"/>
      <c r="C978" s="417"/>
      <c r="D978" s="418"/>
      <c r="E978" s="123"/>
      <c r="F978" s="123"/>
      <c r="G978" s="123"/>
      <c r="H978" s="123"/>
      <c r="I978" s="123"/>
      <c r="J978" s="123"/>
      <c r="K978" s="123"/>
      <c r="L978" s="123"/>
      <c r="M978" s="123"/>
      <c r="N978" s="123"/>
      <c r="O978" s="123"/>
      <c r="P978" s="123"/>
      <c r="Q978" s="123"/>
      <c r="R978" s="123"/>
      <c r="S978" s="123"/>
      <c r="T978" s="123"/>
      <c r="U978" s="123"/>
      <c r="V978" s="123"/>
      <c r="W978" s="123"/>
      <c r="X978" s="123"/>
      <c r="Y978" s="123"/>
      <c r="Z978" s="123"/>
    </row>
    <row r="979">
      <c r="A979" s="416"/>
      <c r="B979" s="134"/>
      <c r="C979" s="417"/>
      <c r="D979" s="418"/>
      <c r="E979" s="123"/>
      <c r="F979" s="123"/>
      <c r="G979" s="123"/>
      <c r="H979" s="123"/>
      <c r="I979" s="123"/>
      <c r="J979" s="123"/>
      <c r="K979" s="123"/>
      <c r="L979" s="123"/>
      <c r="M979" s="123"/>
      <c r="N979" s="123"/>
      <c r="O979" s="123"/>
      <c r="P979" s="123"/>
      <c r="Q979" s="123"/>
      <c r="R979" s="123"/>
      <c r="S979" s="123"/>
      <c r="T979" s="123"/>
      <c r="U979" s="123"/>
      <c r="V979" s="123"/>
      <c r="W979" s="123"/>
      <c r="X979" s="123"/>
      <c r="Y979" s="123"/>
      <c r="Z979" s="123"/>
    </row>
    <row r="980">
      <c r="A980" s="416"/>
      <c r="B980" s="134"/>
      <c r="C980" s="417"/>
      <c r="D980" s="418"/>
      <c r="E980" s="123"/>
      <c r="F980" s="123"/>
      <c r="G980" s="123"/>
      <c r="H980" s="123"/>
      <c r="I980" s="123"/>
      <c r="J980" s="123"/>
      <c r="K980" s="123"/>
      <c r="L980" s="123"/>
      <c r="M980" s="123"/>
      <c r="N980" s="123"/>
      <c r="O980" s="123"/>
      <c r="P980" s="123"/>
      <c r="Q980" s="123"/>
      <c r="R980" s="123"/>
      <c r="S980" s="123"/>
      <c r="T980" s="123"/>
      <c r="U980" s="123"/>
      <c r="V980" s="123"/>
      <c r="W980" s="123"/>
      <c r="X980" s="123"/>
      <c r="Y980" s="123"/>
      <c r="Z980" s="123"/>
    </row>
    <row r="981">
      <c r="A981" s="416"/>
      <c r="B981" s="134"/>
      <c r="C981" s="417"/>
      <c r="D981" s="418"/>
      <c r="E981" s="123"/>
      <c r="F981" s="123"/>
      <c r="G981" s="123"/>
      <c r="H981" s="123"/>
      <c r="I981" s="123"/>
      <c r="J981" s="123"/>
      <c r="K981" s="123"/>
      <c r="L981" s="123"/>
      <c r="M981" s="123"/>
      <c r="N981" s="123"/>
      <c r="O981" s="123"/>
      <c r="P981" s="123"/>
      <c r="Q981" s="123"/>
      <c r="R981" s="123"/>
      <c r="S981" s="123"/>
      <c r="T981" s="123"/>
      <c r="U981" s="123"/>
      <c r="V981" s="123"/>
      <c r="W981" s="123"/>
      <c r="X981" s="123"/>
      <c r="Y981" s="123"/>
      <c r="Z981" s="123"/>
    </row>
    <row r="982">
      <c r="A982" s="416"/>
      <c r="B982" s="134"/>
      <c r="C982" s="417"/>
      <c r="D982" s="418"/>
      <c r="E982" s="123"/>
      <c r="F982" s="123"/>
      <c r="G982" s="123"/>
      <c r="H982" s="123"/>
      <c r="I982" s="123"/>
      <c r="J982" s="123"/>
      <c r="K982" s="123"/>
      <c r="L982" s="123"/>
      <c r="M982" s="123"/>
      <c r="N982" s="123"/>
      <c r="O982" s="123"/>
      <c r="P982" s="123"/>
      <c r="Q982" s="123"/>
      <c r="R982" s="123"/>
      <c r="S982" s="123"/>
      <c r="T982" s="123"/>
      <c r="U982" s="123"/>
      <c r="V982" s="123"/>
      <c r="W982" s="123"/>
      <c r="X982" s="123"/>
      <c r="Y982" s="123"/>
      <c r="Z982" s="123"/>
    </row>
    <row r="983">
      <c r="A983" s="416"/>
      <c r="B983" s="134"/>
      <c r="C983" s="417"/>
      <c r="D983" s="418"/>
      <c r="E983" s="123"/>
      <c r="F983" s="123"/>
      <c r="G983" s="123"/>
      <c r="H983" s="123"/>
      <c r="I983" s="123"/>
      <c r="J983" s="123"/>
      <c r="K983" s="123"/>
      <c r="L983" s="123"/>
      <c r="M983" s="123"/>
      <c r="N983" s="123"/>
      <c r="O983" s="123"/>
      <c r="P983" s="123"/>
      <c r="Q983" s="123"/>
      <c r="R983" s="123"/>
      <c r="S983" s="123"/>
      <c r="T983" s="123"/>
      <c r="U983" s="123"/>
      <c r="V983" s="123"/>
      <c r="W983" s="123"/>
      <c r="X983" s="123"/>
      <c r="Y983" s="123"/>
      <c r="Z983" s="123"/>
    </row>
    <row r="984">
      <c r="A984" s="416"/>
      <c r="B984" s="134"/>
      <c r="C984" s="417"/>
      <c r="D984" s="418"/>
      <c r="E984" s="123"/>
      <c r="F984" s="123"/>
      <c r="G984" s="123"/>
      <c r="H984" s="123"/>
      <c r="I984" s="123"/>
      <c r="J984" s="123"/>
      <c r="K984" s="123"/>
      <c r="L984" s="123"/>
      <c r="M984" s="123"/>
      <c r="N984" s="123"/>
      <c r="O984" s="123"/>
      <c r="P984" s="123"/>
      <c r="Q984" s="123"/>
      <c r="R984" s="123"/>
      <c r="S984" s="123"/>
      <c r="T984" s="123"/>
      <c r="U984" s="123"/>
      <c r="V984" s="123"/>
      <c r="W984" s="123"/>
      <c r="X984" s="123"/>
      <c r="Y984" s="123"/>
      <c r="Z984" s="123"/>
    </row>
    <row r="985">
      <c r="A985" s="416"/>
      <c r="B985" s="134"/>
      <c r="C985" s="417"/>
      <c r="D985" s="418"/>
      <c r="E985" s="123"/>
      <c r="F985" s="123"/>
      <c r="G985" s="123"/>
      <c r="H985" s="123"/>
      <c r="I985" s="123"/>
      <c r="J985" s="123"/>
      <c r="K985" s="123"/>
      <c r="L985" s="123"/>
      <c r="M985" s="123"/>
      <c r="N985" s="123"/>
      <c r="O985" s="123"/>
      <c r="P985" s="123"/>
      <c r="Q985" s="123"/>
      <c r="R985" s="123"/>
      <c r="S985" s="123"/>
      <c r="T985" s="123"/>
      <c r="U985" s="123"/>
      <c r="V985" s="123"/>
      <c r="W985" s="123"/>
      <c r="X985" s="123"/>
      <c r="Y985" s="123"/>
      <c r="Z985" s="123"/>
    </row>
    <row r="986">
      <c r="A986" s="416"/>
      <c r="B986" s="134"/>
      <c r="C986" s="417"/>
      <c r="D986" s="418"/>
      <c r="E986" s="123"/>
      <c r="F986" s="123"/>
      <c r="G986" s="123"/>
      <c r="H986" s="123"/>
      <c r="I986" s="123"/>
      <c r="J986" s="123"/>
      <c r="K986" s="123"/>
      <c r="L986" s="123"/>
      <c r="M986" s="123"/>
      <c r="N986" s="123"/>
      <c r="O986" s="123"/>
      <c r="P986" s="123"/>
      <c r="Q986" s="123"/>
      <c r="R986" s="123"/>
      <c r="S986" s="123"/>
      <c r="T986" s="123"/>
      <c r="U986" s="123"/>
      <c r="V986" s="123"/>
      <c r="W986" s="123"/>
      <c r="X986" s="123"/>
      <c r="Y986" s="123"/>
      <c r="Z986" s="123"/>
    </row>
    <row r="987">
      <c r="A987" s="416"/>
      <c r="B987" s="134"/>
      <c r="C987" s="417"/>
      <c r="D987" s="418"/>
      <c r="E987" s="123"/>
      <c r="F987" s="123"/>
      <c r="G987" s="123"/>
      <c r="H987" s="123"/>
      <c r="I987" s="123"/>
      <c r="J987" s="123"/>
      <c r="K987" s="123"/>
      <c r="L987" s="123"/>
      <c r="M987" s="123"/>
      <c r="N987" s="123"/>
      <c r="O987" s="123"/>
      <c r="P987" s="123"/>
      <c r="Q987" s="123"/>
      <c r="R987" s="123"/>
      <c r="S987" s="123"/>
      <c r="T987" s="123"/>
      <c r="U987" s="123"/>
      <c r="V987" s="123"/>
      <c r="W987" s="123"/>
      <c r="X987" s="123"/>
      <c r="Y987" s="123"/>
      <c r="Z987" s="123"/>
    </row>
    <row r="988">
      <c r="A988" s="416"/>
      <c r="B988" s="134"/>
      <c r="C988" s="417"/>
      <c r="D988" s="418"/>
      <c r="E988" s="123"/>
      <c r="F988" s="123"/>
      <c r="G988" s="123"/>
      <c r="H988" s="123"/>
      <c r="I988" s="123"/>
      <c r="J988" s="123"/>
      <c r="K988" s="123"/>
      <c r="L988" s="123"/>
      <c r="M988" s="123"/>
      <c r="N988" s="123"/>
      <c r="O988" s="123"/>
      <c r="P988" s="123"/>
      <c r="Q988" s="123"/>
      <c r="R988" s="123"/>
      <c r="S988" s="123"/>
      <c r="T988" s="123"/>
      <c r="U988" s="123"/>
      <c r="V988" s="123"/>
      <c r="W988" s="123"/>
      <c r="X988" s="123"/>
      <c r="Y988" s="123"/>
      <c r="Z988" s="123"/>
    </row>
    <row r="989">
      <c r="A989" s="416"/>
      <c r="B989" s="134"/>
      <c r="C989" s="417"/>
      <c r="D989" s="418"/>
      <c r="E989" s="123"/>
      <c r="F989" s="123"/>
      <c r="G989" s="123"/>
      <c r="H989" s="123"/>
      <c r="I989" s="123"/>
      <c r="J989" s="123"/>
      <c r="K989" s="123"/>
      <c r="L989" s="123"/>
      <c r="M989" s="123"/>
      <c r="N989" s="123"/>
      <c r="O989" s="123"/>
      <c r="P989" s="123"/>
      <c r="Q989" s="123"/>
      <c r="R989" s="123"/>
      <c r="S989" s="123"/>
      <c r="T989" s="123"/>
      <c r="U989" s="123"/>
      <c r="V989" s="123"/>
      <c r="W989" s="123"/>
      <c r="X989" s="123"/>
      <c r="Y989" s="123"/>
      <c r="Z989" s="123"/>
    </row>
    <row r="990">
      <c r="A990" s="416"/>
      <c r="B990" s="134"/>
      <c r="C990" s="417"/>
      <c r="D990" s="418"/>
      <c r="E990" s="123"/>
      <c r="F990" s="123"/>
      <c r="G990" s="123"/>
      <c r="H990" s="123"/>
      <c r="I990" s="123"/>
      <c r="J990" s="123"/>
      <c r="K990" s="123"/>
      <c r="L990" s="123"/>
      <c r="M990" s="123"/>
      <c r="N990" s="123"/>
      <c r="O990" s="123"/>
      <c r="P990" s="123"/>
      <c r="Q990" s="123"/>
      <c r="R990" s="123"/>
      <c r="S990" s="123"/>
      <c r="T990" s="123"/>
      <c r="U990" s="123"/>
      <c r="V990" s="123"/>
      <c r="W990" s="123"/>
      <c r="X990" s="123"/>
      <c r="Y990" s="123"/>
      <c r="Z990" s="123"/>
    </row>
    <row r="991">
      <c r="A991" s="416"/>
      <c r="B991" s="134"/>
      <c r="C991" s="417"/>
      <c r="D991" s="418"/>
      <c r="E991" s="123"/>
      <c r="F991" s="123"/>
      <c r="G991" s="123"/>
      <c r="H991" s="123"/>
      <c r="I991" s="123"/>
      <c r="J991" s="123"/>
      <c r="K991" s="123"/>
      <c r="L991" s="123"/>
      <c r="M991" s="123"/>
      <c r="N991" s="123"/>
      <c r="O991" s="123"/>
      <c r="P991" s="123"/>
      <c r="Q991" s="123"/>
      <c r="R991" s="123"/>
      <c r="S991" s="123"/>
      <c r="T991" s="123"/>
      <c r="U991" s="123"/>
      <c r="V991" s="123"/>
      <c r="W991" s="123"/>
      <c r="X991" s="123"/>
      <c r="Y991" s="123"/>
      <c r="Z991" s="123"/>
    </row>
    <row r="992">
      <c r="A992" s="416"/>
      <c r="B992" s="134"/>
      <c r="C992" s="417"/>
      <c r="D992" s="418"/>
      <c r="E992" s="123"/>
      <c r="F992" s="123"/>
      <c r="G992" s="123"/>
      <c r="H992" s="123"/>
      <c r="I992" s="123"/>
      <c r="J992" s="123"/>
      <c r="K992" s="123"/>
      <c r="L992" s="123"/>
      <c r="M992" s="123"/>
      <c r="N992" s="123"/>
      <c r="O992" s="123"/>
      <c r="P992" s="123"/>
      <c r="Q992" s="123"/>
      <c r="R992" s="123"/>
      <c r="S992" s="123"/>
      <c r="T992" s="123"/>
      <c r="U992" s="123"/>
      <c r="V992" s="123"/>
      <c r="W992" s="123"/>
      <c r="X992" s="123"/>
      <c r="Y992" s="123"/>
      <c r="Z992" s="123"/>
    </row>
    <row r="993">
      <c r="A993" s="416"/>
      <c r="B993" s="134"/>
      <c r="C993" s="417"/>
      <c r="D993" s="418"/>
      <c r="E993" s="123"/>
      <c r="F993" s="123"/>
      <c r="G993" s="123"/>
      <c r="H993" s="123"/>
      <c r="I993" s="123"/>
      <c r="J993" s="123"/>
      <c r="K993" s="123"/>
      <c r="L993" s="123"/>
      <c r="M993" s="123"/>
      <c r="N993" s="123"/>
      <c r="O993" s="123"/>
      <c r="P993" s="123"/>
      <c r="Q993" s="123"/>
      <c r="R993" s="123"/>
      <c r="S993" s="123"/>
      <c r="T993" s="123"/>
      <c r="U993" s="123"/>
      <c r="V993" s="123"/>
      <c r="W993" s="123"/>
      <c r="X993" s="123"/>
      <c r="Y993" s="123"/>
      <c r="Z993" s="123"/>
    </row>
    <row r="994">
      <c r="A994" s="416"/>
      <c r="B994" s="134"/>
      <c r="C994" s="417"/>
      <c r="D994" s="418"/>
      <c r="E994" s="123"/>
      <c r="F994" s="123"/>
      <c r="G994" s="123"/>
      <c r="H994" s="123"/>
      <c r="I994" s="123"/>
      <c r="J994" s="123"/>
      <c r="K994" s="123"/>
      <c r="L994" s="123"/>
      <c r="M994" s="123"/>
      <c r="N994" s="123"/>
      <c r="O994" s="123"/>
      <c r="P994" s="123"/>
      <c r="Q994" s="123"/>
      <c r="R994" s="123"/>
      <c r="S994" s="123"/>
      <c r="T994" s="123"/>
      <c r="U994" s="123"/>
      <c r="V994" s="123"/>
      <c r="W994" s="123"/>
      <c r="X994" s="123"/>
      <c r="Y994" s="123"/>
      <c r="Z994" s="123"/>
    </row>
    <row r="995">
      <c r="A995" s="416"/>
      <c r="B995" s="134"/>
      <c r="C995" s="417"/>
      <c r="D995" s="418"/>
      <c r="E995" s="123"/>
      <c r="F995" s="123"/>
      <c r="G995" s="123"/>
      <c r="H995" s="123"/>
      <c r="I995" s="123"/>
      <c r="J995" s="123"/>
      <c r="K995" s="123"/>
      <c r="L995" s="123"/>
      <c r="M995" s="123"/>
      <c r="N995" s="123"/>
      <c r="O995" s="123"/>
      <c r="P995" s="123"/>
      <c r="Q995" s="123"/>
      <c r="R995" s="123"/>
      <c r="S995" s="123"/>
      <c r="T995" s="123"/>
      <c r="U995" s="123"/>
      <c r="V995" s="123"/>
      <c r="W995" s="123"/>
      <c r="X995" s="123"/>
      <c r="Y995" s="123"/>
      <c r="Z995" s="123"/>
    </row>
    <row r="996">
      <c r="A996" s="416"/>
      <c r="B996" s="134"/>
      <c r="C996" s="417"/>
      <c r="D996" s="418"/>
      <c r="E996" s="123"/>
      <c r="F996" s="123"/>
      <c r="G996" s="123"/>
      <c r="H996" s="123"/>
      <c r="I996" s="123"/>
      <c r="J996" s="123"/>
      <c r="K996" s="123"/>
      <c r="L996" s="123"/>
      <c r="M996" s="123"/>
      <c r="N996" s="123"/>
      <c r="O996" s="123"/>
      <c r="P996" s="123"/>
      <c r="Q996" s="123"/>
      <c r="R996" s="123"/>
      <c r="S996" s="123"/>
      <c r="T996" s="123"/>
      <c r="U996" s="123"/>
      <c r="V996" s="123"/>
      <c r="W996" s="123"/>
      <c r="X996" s="123"/>
      <c r="Y996" s="123"/>
      <c r="Z996" s="123"/>
    </row>
    <row r="997">
      <c r="A997" s="416"/>
      <c r="B997" s="134"/>
      <c r="C997" s="417"/>
      <c r="D997" s="418"/>
      <c r="E997" s="123"/>
      <c r="F997" s="123"/>
      <c r="G997" s="123"/>
      <c r="H997" s="123"/>
      <c r="I997" s="123"/>
      <c r="J997" s="123"/>
      <c r="K997" s="123"/>
      <c r="L997" s="123"/>
      <c r="M997" s="123"/>
      <c r="N997" s="123"/>
      <c r="O997" s="123"/>
      <c r="P997" s="123"/>
      <c r="Q997" s="123"/>
      <c r="R997" s="123"/>
      <c r="S997" s="123"/>
      <c r="T997" s="123"/>
      <c r="U997" s="123"/>
      <c r="V997" s="123"/>
      <c r="W997" s="123"/>
      <c r="X997" s="123"/>
      <c r="Y997" s="123"/>
      <c r="Z997" s="123"/>
    </row>
    <row r="998">
      <c r="A998" s="416"/>
      <c r="B998" s="134"/>
      <c r="C998" s="417"/>
      <c r="D998" s="418"/>
      <c r="E998" s="123"/>
      <c r="F998" s="123"/>
      <c r="G998" s="123"/>
      <c r="H998" s="123"/>
      <c r="I998" s="123"/>
      <c r="J998" s="123"/>
      <c r="K998" s="123"/>
      <c r="L998" s="123"/>
      <c r="M998" s="123"/>
      <c r="N998" s="123"/>
      <c r="O998" s="123"/>
      <c r="P998" s="123"/>
      <c r="Q998" s="123"/>
      <c r="R998" s="123"/>
      <c r="S998" s="123"/>
      <c r="T998" s="123"/>
      <c r="U998" s="123"/>
      <c r="V998" s="123"/>
      <c r="W998" s="123"/>
      <c r="X998" s="123"/>
      <c r="Y998" s="123"/>
      <c r="Z998" s="123"/>
    </row>
    <row r="999">
      <c r="A999" s="416"/>
      <c r="B999" s="134"/>
      <c r="C999" s="417"/>
      <c r="D999" s="418"/>
      <c r="E999" s="123"/>
      <c r="F999" s="123"/>
      <c r="G999" s="123"/>
      <c r="H999" s="123"/>
      <c r="I999" s="123"/>
      <c r="J999" s="123"/>
      <c r="K999" s="123"/>
      <c r="L999" s="123"/>
      <c r="M999" s="123"/>
      <c r="N999" s="123"/>
      <c r="O999" s="123"/>
      <c r="P999" s="123"/>
      <c r="Q999" s="123"/>
      <c r="R999" s="123"/>
      <c r="S999" s="123"/>
      <c r="T999" s="123"/>
      <c r="U999" s="123"/>
      <c r="V999" s="123"/>
      <c r="W999" s="123"/>
      <c r="X999" s="123"/>
      <c r="Y999" s="123"/>
      <c r="Z999" s="123"/>
    </row>
    <row r="1000">
      <c r="A1000" s="416"/>
      <c r="B1000" s="134"/>
      <c r="C1000" s="417"/>
      <c r="D1000" s="418"/>
      <c r="E1000" s="123"/>
      <c r="F1000" s="123"/>
      <c r="G1000" s="123"/>
      <c r="H1000" s="123"/>
      <c r="I1000" s="123"/>
      <c r="J1000" s="123"/>
      <c r="K1000" s="123"/>
      <c r="L1000" s="123"/>
      <c r="M1000" s="123"/>
      <c r="N1000" s="123"/>
      <c r="O1000" s="123"/>
      <c r="P1000" s="123"/>
      <c r="Q1000" s="123"/>
      <c r="R1000" s="123"/>
      <c r="S1000" s="123"/>
      <c r="T1000" s="123"/>
      <c r="U1000" s="123"/>
      <c r="V1000" s="123"/>
      <c r="W1000" s="123"/>
      <c r="X1000" s="123"/>
      <c r="Y1000" s="123"/>
      <c r="Z1000" s="123"/>
    </row>
    <row r="1001">
      <c r="A1001" s="416"/>
      <c r="B1001" s="134"/>
      <c r="C1001" s="417"/>
      <c r="D1001" s="418"/>
      <c r="E1001" s="123"/>
      <c r="F1001" s="123"/>
      <c r="G1001" s="123"/>
      <c r="H1001" s="123"/>
      <c r="I1001" s="123"/>
      <c r="J1001" s="123"/>
      <c r="K1001" s="123"/>
      <c r="L1001" s="123"/>
      <c r="M1001" s="123"/>
      <c r="N1001" s="123"/>
      <c r="O1001" s="123"/>
      <c r="P1001" s="123"/>
      <c r="Q1001" s="123"/>
      <c r="R1001" s="123"/>
      <c r="S1001" s="123"/>
      <c r="T1001" s="123"/>
      <c r="U1001" s="123"/>
      <c r="V1001" s="123"/>
      <c r="W1001" s="123"/>
      <c r="X1001" s="123"/>
      <c r="Y1001" s="123"/>
      <c r="Z1001" s="123"/>
    </row>
    <row r="1002">
      <c r="A1002" s="416"/>
      <c r="B1002" s="134"/>
      <c r="C1002" s="417"/>
      <c r="D1002" s="418"/>
      <c r="E1002" s="123"/>
      <c r="F1002" s="123"/>
      <c r="G1002" s="123"/>
      <c r="H1002" s="123"/>
      <c r="I1002" s="123"/>
      <c r="J1002" s="123"/>
      <c r="K1002" s="123"/>
      <c r="L1002" s="123"/>
      <c r="M1002" s="123"/>
      <c r="N1002" s="123"/>
      <c r="O1002" s="123"/>
      <c r="P1002" s="123"/>
      <c r="Q1002" s="123"/>
      <c r="R1002" s="123"/>
      <c r="S1002" s="123"/>
      <c r="T1002" s="123"/>
      <c r="U1002" s="123"/>
      <c r="V1002" s="123"/>
      <c r="W1002" s="123"/>
      <c r="X1002" s="123"/>
      <c r="Y1002" s="123"/>
      <c r="Z1002" s="123"/>
    </row>
  </sheetData>
  <mergeCells count="3">
    <mergeCell ref="D1:D3"/>
    <mergeCell ref="A4:D4"/>
    <mergeCell ref="A10:D10"/>
  </mergeCells>
  <hyperlinks>
    <hyperlink r:id="rId1" ref="A2"/>
    <hyperlink r:id="rId2" ref="A5"/>
    <hyperlink r:id="rId3" ref="A6"/>
    <hyperlink r:id="rId4" ref="A7"/>
    <hyperlink r:id="rId5" ref="A8"/>
    <hyperlink r:id="rId6" ref="A9"/>
  </hyperlinks>
  <drawing r:id="rId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3.63"/>
    <col customWidth="1" min="6" max="6" width="45.63"/>
  </cols>
  <sheetData>
    <row r="1" ht="117.75" customHeight="1">
      <c r="A1" s="419" t="s">
        <v>6946</v>
      </c>
      <c r="B1" s="303" t="str">
        <f>IFERROR(__xludf.DUMMYFUNCTION("GOOGLETRANSLATE(A1,""zh-tw"",""ja"")"),"このチュートリアルは、モバイルデバイス向けの公式クラウドセーブシステムが完成する前に、モバイルセーブデータを移行したい方向けです。
※英語チュートリアル動画提供：Gabriel B※")</f>
        <v>このチュートリアルは、モバイルデバイス向けの公式クラウドセーブシステムが完成する前に、モバイルセーブデータを移行したい方向けです。
※英語チュートリアル動画提供：Gabriel B※</v>
      </c>
      <c r="C1" s="420" t="str">
        <f>IFERROR(__xludf.DUMMYFUNCTION("GOOGLETRANSLATE(A1,""zh-tw"",""en"")"),"This tutorial is for those who want to transfer their mobile save data before the official cloud save system for mobile devices is complete.
※English tutorial video provided by Gabriel B※")</f>
        <v>This tutorial is for those who want to transfer their mobile save data before the official cloud save system for mobile devices is complete.
※English tutorial video provided by Gabriel B※</v>
      </c>
      <c r="D1" s="421" t="str">
        <f>IFERROR(__xludf.DUMMYFUNCTION("GOOGLETRANSLATE(A1,""zh-tw"",""zh"")"),"本教程为：
官方尚未完成手机版本云端存档系统前，而想将手机版存档搬运的教学
※英文版教学影片由Gabriel B提供※")</f>
        <v>本教程为：
官方尚未完成手机版本云端存档系统前，而想将手机版存档搬运的教学
※英文版教学影片由Gabriel B提供※</v>
      </c>
      <c r="E1" s="422"/>
      <c r="F1" s="423" t="s">
        <v>6947</v>
      </c>
      <c r="G1" s="424"/>
      <c r="H1" s="424"/>
      <c r="I1" s="424"/>
      <c r="J1" s="424"/>
      <c r="K1" s="424"/>
      <c r="L1" s="424"/>
      <c r="M1" s="424"/>
      <c r="N1" s="424"/>
      <c r="O1" s="424"/>
      <c r="P1" s="424"/>
      <c r="Q1" s="424"/>
      <c r="R1" s="424"/>
    </row>
    <row r="2">
      <c r="A2" s="425" t="s">
        <v>6948</v>
      </c>
      <c r="B2" s="106" t="str">
        <f>IFERROR(__xludf.DUMMYFUNCTION("GOOGLETRANSLATE(A2,""zh-tw"",""ja"")"),"1 - Google Play で「ファイル マネージャー」を検索してインストールします。")</f>
        <v>1 - Google Play で「ファイル マネージャー」を検索してインストールします。</v>
      </c>
      <c r="C2" s="215" t="str">
        <f>IFERROR(__xludf.DUMMYFUNCTION("GOOGLETRANSLATE(A2,""zh-tw"",""en"")"),"1 - Search for ""File Manager"" on Google Play and install it.")</f>
        <v>1 - Search for "File Manager" on Google Play and install it.</v>
      </c>
      <c r="D2" s="426" t="str">
        <f>IFERROR(__xludf.DUMMYFUNCTION("GOOGLETRANSLATE(A2,""zh-tw"",""zh"")"),"1 - 在google play上搜寻 档案管理员 安装。")</f>
        <v>1 - 在google play上搜寻 档案管理员 安装。</v>
      </c>
      <c r="E2" s="427" t="s">
        <v>6949</v>
      </c>
      <c r="F2" s="428" t="s">
        <v>6950</v>
      </c>
      <c r="G2" s="136"/>
      <c r="H2" s="136"/>
      <c r="I2" s="136"/>
      <c r="J2" s="136"/>
      <c r="K2" s="136"/>
      <c r="L2" s="136"/>
      <c r="M2" s="136"/>
      <c r="N2" s="136"/>
      <c r="O2" s="136"/>
      <c r="P2" s="136"/>
      <c r="Q2" s="136"/>
      <c r="R2" s="136"/>
    </row>
    <row r="3">
      <c r="A3" s="425" t="s">
        <v>6951</v>
      </c>
      <c r="B3" s="106" t="str">
        <f>IFERROR(__xludf.DUMMYFUNCTION("GOOGLETRANSLATE(A3,""zh-tw"",""ja"")"),"2 - ファイル エクスプローラー アプリケーションを開き、Documents/sister_save (古いゲーム バージョンの場合) を見つけて、その中のすべてのファイルをコピーして保存します。")</f>
        <v>2 - ファイル エクスプローラー アプリケーションを開き、Documents/sister_save (古いゲーム バージョンの場合) を見つけて、その中のすべてのファイルをコピーして保存します。</v>
      </c>
      <c r="C3" s="215" t="str">
        <f>IFERROR(__xludf.DUMMYFUNCTION("GOOGLETRANSLATE(A3,""zh-tw"",""en"")"),"2 - Open the File Explorer application and locate Documents/sister_save (in older game versions), copy all the files inside and save it.")</f>
        <v>2 - Open the File Explorer application and locate Documents/sister_save (in older game versions), copy all the files inside and save it.</v>
      </c>
      <c r="D3" s="426" t="str">
        <f>IFERROR(__xludf.DUMMYFUNCTION("GOOGLETRANSLATE(A3,""zh-tw"",""zh"")"),"2 - 开启 档案管理员 应用程式，并且找到〔旧游戏版本中〕的Documents/sister_save，将里面的文件全部复制出来并保存。")</f>
        <v>2 - 开启 档案管理员 应用程式，并且找到〔旧游戏版本中〕的Documents/sister_save，将里面的文件全部复制出来并保存。</v>
      </c>
      <c r="E3" s="427" t="s">
        <v>6952</v>
      </c>
      <c r="F3" s="428" t="s">
        <v>6953</v>
      </c>
      <c r="G3" s="136"/>
      <c r="H3" s="136"/>
      <c r="I3" s="136"/>
      <c r="J3" s="136"/>
      <c r="K3" s="136"/>
      <c r="L3" s="136"/>
      <c r="M3" s="136"/>
      <c r="N3" s="136"/>
      <c r="O3" s="136"/>
      <c r="P3" s="136"/>
      <c r="Q3" s="136"/>
      <c r="R3" s="136"/>
    </row>
    <row r="4">
      <c r="A4" s="425" t="s">
        <v>6954</v>
      </c>
      <c r="B4" s="106" t="str">
        <f>IFERROR(__xludf.DUMMYFUNCTION("GOOGLETRANSLATE(A4,""zh-tw"",""ja"")"),"3 - 最新バージョンのゲームをインストールし、ゲーム内に任意のセーブファイルを作成する必要があります。
（このセーブファイルは移行後に上書きされ、削除されますのでご注意ください。）")</f>
        <v>3 - 最新バージョンのゲームをインストールし、ゲーム内に任意のセーブファイルを作成する必要があります。
（このセーブファイルは移行後に上書きされ、削除されますのでご注意ください。）</v>
      </c>
      <c r="C4" s="215" t="str">
        <f>IFERROR(__xludf.DUMMYFUNCTION("GOOGLETRANSLATE(A4,""zh-tw"",""en"")"),"3 - You must install the latest version of the game and create an arbitrary save file within the game.
(Please note that this save file will be overwritten and deleted after the transfer.)")</f>
        <v>3 - You must install the latest version of the game and create an arbitrary save file within the game.
(Please note that this save file will be overwritten and deleted after the transfer.)</v>
      </c>
      <c r="D4" s="426" t="str">
        <f>IFERROR(__xludf.DUMMYFUNCTION("GOOGLETRANSLATE(A4,""zh-tw"",""zh"")"),"3 - 必须安装〔新版本游戏〕，并且在游戏内创建一个随意的存档。
(请注意，这个存档在搬运后会被覆盖并且消失)")</f>
        <v>3 - 必须安装〔新版本游戏〕，并且在游戏内创建一个随意的存档。
(请注意，这个存档在搬运后会被覆盖并且消失)</v>
      </c>
      <c r="E4" s="427" t="s">
        <v>6955</v>
      </c>
      <c r="F4" s="428" t="s">
        <v>6956</v>
      </c>
      <c r="G4" s="136"/>
      <c r="H4" s="136"/>
      <c r="I4" s="136"/>
      <c r="J4" s="136"/>
      <c r="K4" s="136"/>
      <c r="L4" s="136"/>
      <c r="M4" s="136"/>
      <c r="N4" s="136"/>
      <c r="O4" s="136"/>
      <c r="P4" s="136"/>
      <c r="Q4" s="136"/>
      <c r="R4" s="136"/>
    </row>
    <row r="5">
      <c r="A5" s="425" t="s">
        <v>6957</v>
      </c>
      <c r="B5" s="106" t="str">
        <f>IFERROR(__xludf.DUMMYFUNCTION("GOOGLETRANSLATE(A5,""zh-tw"",""ja"")"),"4 - ファイル エクスプローラー アプリケーションを再度開き、[新しいゲーム バージョン] フォルダー内の Documents/sister_save を見つけて、フォルダー内の手順 2 の保存ファイルを「上書き」します。")</f>
        <v>4 - ファイル エクスプローラー アプリケーションを再度開き、[新しいゲーム バージョン] フォルダー内の Documents/sister_save を見つけて、フォルダー内の手順 2 の保存ファイルを「上書き」します。</v>
      </c>
      <c r="C5" s="215" t="str">
        <f>IFERROR(__xludf.DUMMYFUNCTION("GOOGLETRANSLATE(A5,""zh-tw"",""en"")"),"4 - Reopen the File Explorer application, find Documents/sister_save in the [New Game Version] folder, and ""overwrite"" the save file from step 2 in the folder.")</f>
        <v>4 - Reopen the File Explorer application, find Documents/sister_save in the [New Game Version] folder, and "overwrite" the save file from step 2 in the folder.</v>
      </c>
      <c r="D5" s="426" t="str">
        <f>IFERROR(__xludf.DUMMYFUNCTION("GOOGLETRANSLATE(A5,""zh-tw"",""zh"")"),"4 - 再次开启 档案管理员 应用程式，在〔新游戏版本中〕并且找到Documents/sister_save，并将步骤2的存档""覆盖""于资料夹内。")</f>
        <v>4 - 再次开启 档案管理员 应用程式，在〔新游戏版本中〕并且找到Documents/sister_save，并将步骤2的存档"覆盖"于资料夹内。</v>
      </c>
      <c r="E5" s="427" t="s">
        <v>6958</v>
      </c>
      <c r="F5" s="428" t="s">
        <v>6959</v>
      </c>
      <c r="G5" s="136"/>
      <c r="H5" s="136"/>
      <c r="I5" s="136"/>
      <c r="J5" s="136"/>
      <c r="K5" s="136"/>
      <c r="L5" s="136"/>
      <c r="M5" s="136"/>
      <c r="N5" s="136"/>
      <c r="O5" s="136"/>
      <c r="P5" s="136"/>
      <c r="Q5" s="136"/>
      <c r="R5" s="136"/>
    </row>
    <row r="6">
      <c r="A6" s="429" t="s">
        <v>6960</v>
      </c>
      <c r="B6" s="430" t="s">
        <v>6961</v>
      </c>
      <c r="C6" s="431" t="s">
        <v>6962</v>
      </c>
      <c r="D6" s="432" t="s">
        <v>6963</v>
      </c>
      <c r="E6" s="433" t="s">
        <v>6964</v>
      </c>
      <c r="F6" s="434" t="s">
        <v>6965</v>
      </c>
      <c r="G6" s="136"/>
      <c r="H6" s="136"/>
      <c r="I6" s="136"/>
      <c r="J6" s="136"/>
      <c r="K6" s="136"/>
      <c r="L6" s="136"/>
      <c r="M6" s="136"/>
      <c r="N6" s="136"/>
      <c r="O6" s="136"/>
      <c r="P6" s="136"/>
      <c r="Q6" s="136"/>
      <c r="R6" s="136"/>
    </row>
    <row r="7">
      <c r="A7" s="435"/>
      <c r="B7" s="136"/>
      <c r="C7" s="435"/>
      <c r="D7" s="136"/>
      <c r="E7" s="436"/>
      <c r="F7" s="201"/>
      <c r="G7" s="136"/>
      <c r="H7" s="136"/>
      <c r="I7" s="136"/>
      <c r="J7" s="136"/>
      <c r="K7" s="136"/>
      <c r="L7" s="136"/>
      <c r="M7" s="136"/>
      <c r="N7" s="136"/>
      <c r="O7" s="136"/>
      <c r="P7" s="136"/>
      <c r="Q7" s="136"/>
      <c r="R7" s="136"/>
    </row>
    <row r="8">
      <c r="A8" s="435"/>
      <c r="B8" s="136"/>
      <c r="C8" s="136"/>
      <c r="D8" s="136"/>
      <c r="E8" s="136"/>
      <c r="F8" s="201"/>
      <c r="G8" s="136"/>
      <c r="H8" s="136"/>
      <c r="I8" s="136"/>
      <c r="J8" s="136"/>
      <c r="K8" s="136"/>
      <c r="L8" s="136"/>
      <c r="M8" s="136"/>
      <c r="N8" s="136"/>
      <c r="O8" s="136"/>
      <c r="P8" s="136"/>
      <c r="Q8" s="136"/>
      <c r="R8" s="136"/>
    </row>
    <row r="9">
      <c r="A9" s="435"/>
      <c r="B9" s="136"/>
      <c r="C9" s="136"/>
      <c r="D9" s="136"/>
      <c r="E9" s="136"/>
      <c r="F9" s="201"/>
      <c r="G9" s="136"/>
      <c r="H9" s="136"/>
      <c r="I9" s="136"/>
      <c r="J9" s="136"/>
      <c r="K9" s="136"/>
      <c r="L9" s="136"/>
      <c r="M9" s="136"/>
      <c r="N9" s="136"/>
      <c r="O9" s="136"/>
      <c r="P9" s="136"/>
      <c r="Q9" s="136"/>
      <c r="R9" s="136"/>
    </row>
    <row r="10">
      <c r="A10" s="435"/>
      <c r="B10" s="136"/>
      <c r="C10" s="136"/>
      <c r="D10" s="136"/>
      <c r="E10" s="136"/>
      <c r="F10" s="201"/>
      <c r="G10" s="136"/>
      <c r="H10" s="136"/>
      <c r="I10" s="136"/>
      <c r="J10" s="136"/>
      <c r="K10" s="136"/>
      <c r="L10" s="136"/>
      <c r="M10" s="136"/>
      <c r="N10" s="136"/>
      <c r="O10" s="136"/>
      <c r="P10" s="136"/>
      <c r="Q10" s="136"/>
      <c r="R10" s="136"/>
    </row>
    <row r="11">
      <c r="A11" s="435"/>
      <c r="B11" s="136"/>
      <c r="C11" s="136"/>
      <c r="D11" s="136"/>
      <c r="E11" s="136"/>
      <c r="F11" s="201"/>
      <c r="G11" s="136"/>
      <c r="H11" s="136"/>
      <c r="I11" s="136"/>
      <c r="J11" s="136"/>
      <c r="K11" s="136"/>
      <c r="L11" s="136"/>
      <c r="M11" s="136"/>
      <c r="N11" s="136"/>
      <c r="O11" s="136"/>
      <c r="P11" s="136"/>
      <c r="Q11" s="136"/>
      <c r="R11" s="136"/>
    </row>
    <row r="12">
      <c r="A12" s="435"/>
      <c r="B12" s="136"/>
      <c r="C12" s="136"/>
      <c r="D12" s="136"/>
      <c r="E12" s="136"/>
      <c r="F12" s="201"/>
      <c r="G12" s="136"/>
      <c r="H12" s="136"/>
      <c r="I12" s="136"/>
      <c r="J12" s="136"/>
      <c r="K12" s="136"/>
      <c r="L12" s="136"/>
      <c r="M12" s="136"/>
      <c r="N12" s="136"/>
      <c r="O12" s="136"/>
      <c r="P12" s="136"/>
      <c r="Q12" s="136"/>
      <c r="R12" s="136"/>
    </row>
    <row r="13">
      <c r="A13" s="435"/>
      <c r="B13" s="136"/>
      <c r="C13" s="136"/>
      <c r="D13" s="136"/>
      <c r="E13" s="136"/>
      <c r="F13" s="201"/>
      <c r="G13" s="136"/>
      <c r="H13" s="136"/>
      <c r="I13" s="136"/>
      <c r="J13" s="136"/>
      <c r="K13" s="136"/>
      <c r="L13" s="136"/>
      <c r="M13" s="136"/>
      <c r="N13" s="136"/>
      <c r="O13" s="136"/>
      <c r="P13" s="136"/>
      <c r="Q13" s="136"/>
      <c r="R13" s="136"/>
    </row>
    <row r="14">
      <c r="A14" s="435"/>
      <c r="B14" s="136"/>
      <c r="C14" s="136"/>
      <c r="D14" s="136"/>
      <c r="E14" s="136"/>
      <c r="F14" s="201"/>
      <c r="G14" s="136"/>
      <c r="H14" s="136"/>
      <c r="I14" s="136"/>
      <c r="J14" s="136"/>
      <c r="K14" s="136"/>
      <c r="L14" s="136"/>
      <c r="M14" s="136"/>
      <c r="N14" s="136"/>
      <c r="O14" s="136"/>
      <c r="P14" s="136"/>
      <c r="Q14" s="136"/>
      <c r="R14" s="136"/>
    </row>
    <row r="15">
      <c r="A15" s="435"/>
      <c r="B15" s="136"/>
      <c r="C15" s="136"/>
      <c r="D15" s="136"/>
      <c r="E15" s="136"/>
      <c r="F15" s="201"/>
      <c r="G15" s="136"/>
      <c r="H15" s="136"/>
      <c r="I15" s="136"/>
      <c r="J15" s="136"/>
      <c r="K15" s="136"/>
      <c r="L15" s="136"/>
      <c r="M15" s="136"/>
      <c r="N15" s="136"/>
      <c r="O15" s="136"/>
      <c r="P15" s="136"/>
      <c r="Q15" s="136"/>
      <c r="R15" s="136"/>
    </row>
    <row r="16">
      <c r="A16" s="435"/>
      <c r="B16" s="136"/>
      <c r="C16" s="136"/>
      <c r="D16" s="136"/>
      <c r="E16" s="136"/>
      <c r="F16" s="201"/>
      <c r="G16" s="136"/>
      <c r="H16" s="136"/>
      <c r="I16" s="136"/>
      <c r="J16" s="136"/>
      <c r="K16" s="136"/>
      <c r="L16" s="136"/>
      <c r="M16" s="136"/>
      <c r="N16" s="136"/>
      <c r="O16" s="136"/>
      <c r="P16" s="136"/>
      <c r="Q16" s="136"/>
      <c r="R16" s="136"/>
    </row>
    <row r="17">
      <c r="A17" s="435"/>
      <c r="B17" s="136"/>
      <c r="C17" s="136"/>
      <c r="D17" s="136"/>
      <c r="E17" s="136"/>
      <c r="F17" s="201"/>
      <c r="G17" s="136"/>
      <c r="H17" s="136"/>
      <c r="I17" s="136"/>
      <c r="J17" s="136"/>
      <c r="K17" s="136"/>
      <c r="L17" s="136"/>
      <c r="M17" s="136"/>
      <c r="N17" s="136"/>
      <c r="O17" s="136"/>
      <c r="P17" s="136"/>
      <c r="Q17" s="136"/>
      <c r="R17" s="136"/>
    </row>
    <row r="18">
      <c r="A18" s="435"/>
      <c r="B18" s="136"/>
      <c r="C18" s="136"/>
      <c r="D18" s="136"/>
      <c r="E18" s="136"/>
      <c r="F18" s="201"/>
      <c r="G18" s="136"/>
      <c r="H18" s="136"/>
      <c r="I18" s="136"/>
      <c r="J18" s="136"/>
      <c r="K18" s="136"/>
      <c r="L18" s="136"/>
      <c r="M18" s="136"/>
      <c r="N18" s="136"/>
      <c r="O18" s="136"/>
      <c r="P18" s="136"/>
      <c r="Q18" s="136"/>
      <c r="R18" s="136"/>
    </row>
    <row r="19">
      <c r="A19" s="435"/>
      <c r="B19" s="136"/>
      <c r="C19" s="136"/>
      <c r="D19" s="136"/>
      <c r="E19" s="136"/>
      <c r="F19" s="201"/>
      <c r="G19" s="136"/>
      <c r="H19" s="136"/>
      <c r="I19" s="136"/>
      <c r="J19" s="136"/>
      <c r="K19" s="136"/>
      <c r="L19" s="136"/>
      <c r="M19" s="136"/>
      <c r="N19" s="136"/>
      <c r="O19" s="136"/>
      <c r="P19" s="136"/>
      <c r="Q19" s="136"/>
      <c r="R19" s="136"/>
    </row>
    <row r="20">
      <c r="A20" s="435"/>
      <c r="B20" s="136"/>
      <c r="C20" s="136"/>
      <c r="D20" s="136"/>
      <c r="E20" s="136"/>
      <c r="F20" s="201"/>
      <c r="G20" s="136"/>
      <c r="H20" s="136"/>
      <c r="I20" s="136"/>
      <c r="J20" s="136"/>
      <c r="K20" s="136"/>
      <c r="L20" s="136"/>
      <c r="M20" s="136"/>
      <c r="N20" s="136"/>
      <c r="O20" s="136"/>
      <c r="P20" s="136"/>
      <c r="Q20" s="136"/>
      <c r="R20" s="136"/>
    </row>
    <row r="21">
      <c r="A21" s="435"/>
      <c r="B21" s="136"/>
      <c r="C21" s="136"/>
      <c r="D21" s="136"/>
      <c r="E21" s="136"/>
      <c r="F21" s="201"/>
      <c r="G21" s="136"/>
      <c r="H21" s="136"/>
      <c r="I21" s="136"/>
      <c r="J21" s="136"/>
      <c r="K21" s="136"/>
      <c r="L21" s="136"/>
      <c r="M21" s="136"/>
      <c r="N21" s="136"/>
      <c r="O21" s="136"/>
      <c r="P21" s="136"/>
      <c r="Q21" s="136"/>
      <c r="R21" s="136"/>
    </row>
    <row r="22">
      <c r="A22" s="435"/>
      <c r="B22" s="136"/>
      <c r="C22" s="136"/>
      <c r="D22" s="136"/>
      <c r="E22" s="136"/>
      <c r="F22" s="201"/>
      <c r="G22" s="136"/>
      <c r="H22" s="136"/>
      <c r="I22" s="136"/>
      <c r="J22" s="136"/>
      <c r="K22" s="136"/>
      <c r="L22" s="136"/>
      <c r="M22" s="136"/>
      <c r="N22" s="136"/>
      <c r="O22" s="136"/>
      <c r="P22" s="136"/>
      <c r="Q22" s="136"/>
      <c r="R22" s="136"/>
    </row>
    <row r="23">
      <c r="A23" s="435"/>
      <c r="B23" s="136"/>
      <c r="C23" s="136"/>
      <c r="D23" s="136"/>
      <c r="E23" s="136"/>
      <c r="F23" s="201"/>
      <c r="G23" s="136"/>
      <c r="H23" s="136"/>
      <c r="I23" s="136"/>
      <c r="J23" s="136"/>
      <c r="K23" s="136"/>
      <c r="L23" s="136"/>
      <c r="M23" s="136"/>
      <c r="N23" s="136"/>
      <c r="O23" s="136"/>
      <c r="P23" s="136"/>
      <c r="Q23" s="136"/>
      <c r="R23" s="136"/>
    </row>
    <row r="24">
      <c r="A24" s="435"/>
      <c r="B24" s="136"/>
      <c r="C24" s="136"/>
      <c r="D24" s="136"/>
      <c r="E24" s="136"/>
      <c r="F24" s="201"/>
      <c r="G24" s="136"/>
      <c r="H24" s="136"/>
      <c r="I24" s="136"/>
      <c r="J24" s="136"/>
      <c r="K24" s="136"/>
      <c r="L24" s="136"/>
      <c r="M24" s="136"/>
      <c r="N24" s="136"/>
      <c r="O24" s="136"/>
      <c r="P24" s="136"/>
      <c r="Q24" s="136"/>
      <c r="R24" s="136"/>
    </row>
    <row r="25">
      <c r="A25" s="435"/>
      <c r="B25" s="136"/>
      <c r="C25" s="136"/>
      <c r="D25" s="136"/>
      <c r="E25" s="136"/>
      <c r="F25" s="201"/>
      <c r="G25" s="136"/>
      <c r="H25" s="136"/>
      <c r="I25" s="136"/>
      <c r="J25" s="136"/>
      <c r="K25" s="136"/>
      <c r="L25" s="136"/>
      <c r="M25" s="136"/>
      <c r="N25" s="136"/>
      <c r="O25" s="136"/>
      <c r="P25" s="136"/>
      <c r="Q25" s="136"/>
      <c r="R25" s="136"/>
    </row>
    <row r="26">
      <c r="A26" s="435"/>
      <c r="B26" s="136"/>
      <c r="C26" s="136"/>
      <c r="D26" s="136"/>
      <c r="E26" s="136"/>
      <c r="F26" s="201"/>
      <c r="G26" s="136"/>
      <c r="H26" s="136"/>
      <c r="I26" s="136"/>
      <c r="J26" s="136"/>
      <c r="K26" s="136"/>
      <c r="L26" s="136"/>
      <c r="M26" s="136"/>
      <c r="N26" s="136"/>
      <c r="O26" s="136"/>
      <c r="P26" s="136"/>
      <c r="Q26" s="136"/>
      <c r="R26" s="136"/>
    </row>
    <row r="27">
      <c r="A27" s="435"/>
      <c r="B27" s="136"/>
      <c r="C27" s="136"/>
      <c r="D27" s="136"/>
      <c r="E27" s="136"/>
      <c r="F27" s="201"/>
      <c r="G27" s="136"/>
      <c r="H27" s="136"/>
      <c r="I27" s="136"/>
      <c r="J27" s="136"/>
      <c r="K27" s="136"/>
      <c r="L27" s="136"/>
      <c r="M27" s="136"/>
      <c r="N27" s="136"/>
      <c r="O27" s="136"/>
      <c r="P27" s="136"/>
      <c r="Q27" s="136"/>
      <c r="R27" s="136"/>
    </row>
    <row r="28">
      <c r="A28" s="435"/>
      <c r="B28" s="136"/>
      <c r="C28" s="136"/>
      <c r="D28" s="136"/>
      <c r="E28" s="136"/>
      <c r="F28" s="201"/>
      <c r="G28" s="136"/>
      <c r="H28" s="136"/>
      <c r="I28" s="136"/>
      <c r="J28" s="136"/>
      <c r="K28" s="136"/>
      <c r="L28" s="136"/>
      <c r="M28" s="136"/>
      <c r="N28" s="136"/>
      <c r="O28" s="136"/>
      <c r="P28" s="136"/>
      <c r="Q28" s="136"/>
      <c r="R28" s="136"/>
    </row>
    <row r="29">
      <c r="A29" s="435"/>
      <c r="B29" s="136"/>
      <c r="C29" s="136"/>
      <c r="D29" s="136"/>
      <c r="E29" s="136"/>
      <c r="F29" s="201"/>
      <c r="G29" s="136"/>
      <c r="H29" s="136"/>
      <c r="I29" s="136"/>
      <c r="J29" s="136"/>
      <c r="K29" s="136"/>
      <c r="L29" s="136"/>
      <c r="M29" s="136"/>
      <c r="N29" s="136"/>
      <c r="O29" s="136"/>
      <c r="P29" s="136"/>
      <c r="Q29" s="136"/>
      <c r="R29" s="136"/>
    </row>
    <row r="30">
      <c r="A30" s="435"/>
      <c r="B30" s="136"/>
      <c r="C30" s="136"/>
      <c r="D30" s="136"/>
      <c r="E30" s="136"/>
      <c r="F30" s="201"/>
      <c r="G30" s="136"/>
      <c r="H30" s="136"/>
      <c r="I30" s="136"/>
      <c r="J30" s="136"/>
      <c r="K30" s="136"/>
      <c r="L30" s="136"/>
      <c r="M30" s="136"/>
      <c r="N30" s="136"/>
      <c r="O30" s="136"/>
      <c r="P30" s="136"/>
      <c r="Q30" s="136"/>
      <c r="R30" s="136"/>
    </row>
    <row r="31">
      <c r="A31" s="435"/>
      <c r="B31" s="136"/>
      <c r="C31" s="136"/>
      <c r="D31" s="136"/>
      <c r="E31" s="136"/>
      <c r="F31" s="201"/>
      <c r="G31" s="136"/>
      <c r="H31" s="136"/>
      <c r="I31" s="136"/>
      <c r="J31" s="136"/>
      <c r="K31" s="136"/>
      <c r="L31" s="136"/>
      <c r="M31" s="136"/>
      <c r="N31" s="136"/>
      <c r="O31" s="136"/>
      <c r="P31" s="136"/>
      <c r="Q31" s="136"/>
      <c r="R31" s="136"/>
    </row>
    <row r="32">
      <c r="A32" s="136"/>
      <c r="B32" s="136"/>
      <c r="C32" s="136"/>
      <c r="D32" s="136"/>
      <c r="E32" s="136"/>
      <c r="F32" s="201"/>
      <c r="G32" s="136"/>
      <c r="H32" s="136"/>
      <c r="I32" s="136"/>
      <c r="J32" s="136"/>
      <c r="K32" s="136"/>
      <c r="L32" s="136"/>
      <c r="M32" s="136"/>
      <c r="N32" s="136"/>
      <c r="O32" s="136"/>
      <c r="P32" s="136"/>
      <c r="Q32" s="136"/>
      <c r="R32" s="136"/>
    </row>
    <row r="33">
      <c r="A33" s="136"/>
      <c r="B33" s="136"/>
      <c r="C33" s="136"/>
      <c r="D33" s="136"/>
      <c r="E33" s="136"/>
      <c r="F33" s="201"/>
      <c r="G33" s="136"/>
      <c r="H33" s="136"/>
      <c r="I33" s="136"/>
      <c r="J33" s="136"/>
      <c r="K33" s="136"/>
      <c r="L33" s="136"/>
      <c r="M33" s="136"/>
      <c r="N33" s="136"/>
      <c r="O33" s="136"/>
      <c r="P33" s="136"/>
      <c r="Q33" s="136"/>
      <c r="R33" s="136"/>
    </row>
    <row r="34">
      <c r="A34" s="136"/>
      <c r="B34" s="136"/>
      <c r="C34" s="136"/>
      <c r="D34" s="136"/>
      <c r="E34" s="136"/>
      <c r="F34" s="201"/>
      <c r="G34" s="136"/>
      <c r="H34" s="136"/>
      <c r="I34" s="136"/>
      <c r="J34" s="136"/>
      <c r="K34" s="136"/>
      <c r="L34" s="136"/>
      <c r="M34" s="136"/>
      <c r="N34" s="136"/>
      <c r="O34" s="136"/>
      <c r="P34" s="136"/>
      <c r="Q34" s="136"/>
      <c r="R34" s="136"/>
    </row>
    <row r="35">
      <c r="A35" s="136"/>
      <c r="B35" s="136"/>
      <c r="C35" s="136"/>
      <c r="D35" s="136"/>
      <c r="E35" s="136"/>
      <c r="F35" s="201"/>
      <c r="G35" s="136"/>
      <c r="H35" s="136"/>
      <c r="I35" s="136"/>
      <c r="J35" s="136"/>
      <c r="K35" s="136"/>
      <c r="L35" s="136"/>
      <c r="M35" s="136"/>
      <c r="N35" s="136"/>
      <c r="O35" s="136"/>
      <c r="P35" s="136"/>
      <c r="Q35" s="136"/>
      <c r="R35" s="136"/>
    </row>
    <row r="36">
      <c r="A36" s="136"/>
      <c r="B36" s="136"/>
      <c r="C36" s="136"/>
      <c r="D36" s="136"/>
      <c r="E36" s="136"/>
      <c r="F36" s="201"/>
      <c r="G36" s="136"/>
      <c r="H36" s="136"/>
      <c r="I36" s="136"/>
      <c r="J36" s="136"/>
      <c r="K36" s="136"/>
      <c r="L36" s="136"/>
      <c r="M36" s="136"/>
      <c r="N36" s="136"/>
      <c r="O36" s="136"/>
      <c r="P36" s="136"/>
      <c r="Q36" s="136"/>
      <c r="R36" s="136"/>
    </row>
    <row r="37">
      <c r="A37" s="136"/>
      <c r="B37" s="136"/>
      <c r="C37" s="136"/>
      <c r="D37" s="136"/>
      <c r="E37" s="136"/>
      <c r="F37" s="201"/>
      <c r="G37" s="136"/>
      <c r="H37" s="136"/>
      <c r="I37" s="136"/>
      <c r="J37" s="136"/>
      <c r="K37" s="136"/>
      <c r="L37" s="136"/>
      <c r="M37" s="136"/>
      <c r="N37" s="136"/>
      <c r="O37" s="136"/>
      <c r="P37" s="136"/>
      <c r="Q37" s="136"/>
      <c r="R37" s="136"/>
    </row>
    <row r="38">
      <c r="A38" s="136"/>
      <c r="B38" s="136"/>
      <c r="C38" s="136"/>
      <c r="D38" s="136"/>
      <c r="E38" s="136"/>
      <c r="F38" s="201"/>
      <c r="G38" s="136"/>
      <c r="H38" s="136"/>
      <c r="I38" s="136"/>
      <c r="J38" s="136"/>
      <c r="K38" s="136"/>
      <c r="L38" s="136"/>
      <c r="M38" s="136"/>
      <c r="N38" s="136"/>
      <c r="O38" s="136"/>
      <c r="P38" s="136"/>
      <c r="Q38" s="136"/>
      <c r="R38" s="136"/>
    </row>
    <row r="39">
      <c r="A39" s="136"/>
      <c r="B39" s="136"/>
      <c r="C39" s="136"/>
      <c r="D39" s="136"/>
      <c r="E39" s="136"/>
      <c r="F39" s="201"/>
      <c r="G39" s="136"/>
      <c r="H39" s="136"/>
      <c r="I39" s="136"/>
      <c r="J39" s="136"/>
      <c r="K39" s="136"/>
      <c r="L39" s="136"/>
      <c r="M39" s="136"/>
      <c r="N39" s="136"/>
      <c r="O39" s="136"/>
      <c r="P39" s="136"/>
      <c r="Q39" s="136"/>
      <c r="R39" s="136"/>
    </row>
    <row r="40">
      <c r="A40" s="136"/>
      <c r="B40" s="136"/>
      <c r="C40" s="136"/>
      <c r="D40" s="136"/>
      <c r="E40" s="136"/>
      <c r="F40" s="201"/>
      <c r="G40" s="136"/>
      <c r="H40" s="136"/>
      <c r="I40" s="136"/>
      <c r="J40" s="136"/>
      <c r="K40" s="136"/>
      <c r="L40" s="136"/>
      <c r="M40" s="136"/>
      <c r="N40" s="136"/>
      <c r="O40" s="136"/>
      <c r="P40" s="136"/>
      <c r="Q40" s="136"/>
      <c r="R40" s="136"/>
    </row>
    <row r="41">
      <c r="A41" s="136"/>
      <c r="B41" s="136"/>
      <c r="C41" s="136"/>
      <c r="D41" s="136"/>
      <c r="E41" s="136"/>
      <c r="F41" s="201"/>
      <c r="G41" s="136"/>
      <c r="H41" s="136"/>
      <c r="I41" s="136"/>
      <c r="J41" s="136"/>
      <c r="K41" s="136"/>
      <c r="L41" s="136"/>
      <c r="M41" s="136"/>
      <c r="N41" s="136"/>
      <c r="O41" s="136"/>
      <c r="P41" s="136"/>
      <c r="Q41" s="136"/>
      <c r="R41" s="136"/>
    </row>
    <row r="42">
      <c r="A42" s="136"/>
      <c r="B42" s="136"/>
      <c r="C42" s="136"/>
      <c r="D42" s="136"/>
      <c r="E42" s="136"/>
      <c r="F42" s="201"/>
      <c r="G42" s="136"/>
      <c r="H42" s="136"/>
      <c r="I42" s="136"/>
      <c r="J42" s="136"/>
      <c r="K42" s="136"/>
      <c r="L42" s="136"/>
      <c r="M42" s="136"/>
      <c r="N42" s="136"/>
      <c r="O42" s="136"/>
      <c r="P42" s="136"/>
      <c r="Q42" s="136"/>
      <c r="R42" s="136"/>
    </row>
    <row r="43">
      <c r="A43" s="136"/>
      <c r="B43" s="136"/>
      <c r="C43" s="136"/>
      <c r="D43" s="136"/>
      <c r="E43" s="136"/>
      <c r="F43" s="201"/>
      <c r="G43" s="136"/>
      <c r="H43" s="136"/>
      <c r="I43" s="136"/>
      <c r="J43" s="136"/>
      <c r="K43" s="136"/>
      <c r="L43" s="136"/>
      <c r="M43" s="136"/>
      <c r="N43" s="136"/>
      <c r="O43" s="136"/>
      <c r="P43" s="136"/>
      <c r="Q43" s="136"/>
      <c r="R43" s="136"/>
    </row>
    <row r="44">
      <c r="A44" s="136"/>
      <c r="B44" s="136"/>
      <c r="C44" s="136"/>
      <c r="D44" s="136"/>
      <c r="E44" s="136"/>
      <c r="F44" s="201"/>
      <c r="G44" s="136"/>
      <c r="H44" s="136"/>
      <c r="I44" s="136"/>
      <c r="J44" s="136"/>
      <c r="K44" s="136"/>
      <c r="L44" s="136"/>
      <c r="M44" s="136"/>
      <c r="N44" s="136"/>
      <c r="O44" s="136"/>
      <c r="P44" s="136"/>
      <c r="Q44" s="136"/>
      <c r="R44" s="136"/>
    </row>
    <row r="45">
      <c r="A45" s="136"/>
      <c r="B45" s="136"/>
      <c r="C45" s="136"/>
      <c r="D45" s="136"/>
      <c r="E45" s="136"/>
      <c r="F45" s="201"/>
      <c r="G45" s="136"/>
      <c r="H45" s="136"/>
      <c r="I45" s="136"/>
      <c r="J45" s="136"/>
      <c r="K45" s="136"/>
      <c r="L45" s="136"/>
      <c r="M45" s="136"/>
      <c r="N45" s="136"/>
      <c r="O45" s="136"/>
      <c r="P45" s="136"/>
      <c r="Q45" s="136"/>
      <c r="R45" s="136"/>
    </row>
    <row r="46">
      <c r="A46" s="136"/>
      <c r="B46" s="136"/>
      <c r="C46" s="136"/>
      <c r="D46" s="136"/>
      <c r="E46" s="136"/>
      <c r="F46" s="201"/>
      <c r="G46" s="136"/>
      <c r="H46" s="136"/>
      <c r="I46" s="136"/>
      <c r="J46" s="136"/>
      <c r="K46" s="136"/>
      <c r="L46" s="136"/>
      <c r="M46" s="136"/>
      <c r="N46" s="136"/>
      <c r="O46" s="136"/>
      <c r="P46" s="136"/>
      <c r="Q46" s="136"/>
      <c r="R46" s="136"/>
    </row>
    <row r="47">
      <c r="A47" s="136"/>
      <c r="B47" s="136"/>
      <c r="C47" s="136"/>
      <c r="D47" s="136"/>
      <c r="E47" s="136"/>
      <c r="F47" s="201"/>
      <c r="G47" s="136"/>
      <c r="H47" s="136"/>
      <c r="I47" s="136"/>
      <c r="J47" s="136"/>
      <c r="K47" s="136"/>
      <c r="L47" s="136"/>
      <c r="M47" s="136"/>
      <c r="N47" s="136"/>
      <c r="O47" s="136"/>
      <c r="P47" s="136"/>
      <c r="Q47" s="136"/>
      <c r="R47" s="136"/>
    </row>
    <row r="48">
      <c r="A48" s="136"/>
      <c r="B48" s="136"/>
      <c r="C48" s="136"/>
      <c r="D48" s="136"/>
      <c r="E48" s="136"/>
      <c r="F48" s="201"/>
      <c r="G48" s="136"/>
      <c r="H48" s="136"/>
      <c r="I48" s="136"/>
      <c r="J48" s="136"/>
      <c r="K48" s="136"/>
      <c r="L48" s="136"/>
      <c r="M48" s="136"/>
      <c r="N48" s="136"/>
      <c r="O48" s="136"/>
      <c r="P48" s="136"/>
      <c r="Q48" s="136"/>
      <c r="R48" s="136"/>
    </row>
    <row r="49">
      <c r="A49" s="136"/>
      <c r="B49" s="136"/>
      <c r="C49" s="136"/>
      <c r="D49" s="136"/>
      <c r="E49" s="136"/>
      <c r="F49" s="201"/>
      <c r="G49" s="136"/>
      <c r="H49" s="136"/>
      <c r="I49" s="136"/>
      <c r="J49" s="136"/>
      <c r="K49" s="136"/>
      <c r="L49" s="136"/>
      <c r="M49" s="136"/>
      <c r="N49" s="136"/>
      <c r="O49" s="136"/>
      <c r="P49" s="136"/>
      <c r="Q49" s="136"/>
      <c r="R49" s="136"/>
    </row>
    <row r="50">
      <c r="A50" s="136"/>
      <c r="B50" s="136"/>
      <c r="C50" s="136"/>
      <c r="D50" s="136"/>
      <c r="E50" s="136"/>
      <c r="F50" s="201"/>
      <c r="G50" s="136"/>
      <c r="H50" s="136"/>
      <c r="I50" s="136"/>
      <c r="J50" s="136"/>
      <c r="K50" s="136"/>
      <c r="L50" s="136"/>
      <c r="M50" s="136"/>
      <c r="N50" s="136"/>
      <c r="O50" s="136"/>
      <c r="P50" s="136"/>
      <c r="Q50" s="136"/>
      <c r="R50" s="136"/>
    </row>
    <row r="51">
      <c r="A51" s="136"/>
      <c r="B51" s="136"/>
      <c r="C51" s="136"/>
      <c r="D51" s="136"/>
      <c r="E51" s="136"/>
      <c r="F51" s="201"/>
      <c r="G51" s="136"/>
      <c r="H51" s="136"/>
      <c r="I51" s="136"/>
      <c r="J51" s="136"/>
      <c r="K51" s="136"/>
      <c r="L51" s="136"/>
      <c r="M51" s="136"/>
      <c r="N51" s="136"/>
      <c r="O51" s="136"/>
      <c r="P51" s="136"/>
      <c r="Q51" s="136"/>
      <c r="R51" s="136"/>
    </row>
    <row r="52">
      <c r="A52" s="136"/>
      <c r="B52" s="136"/>
      <c r="C52" s="136"/>
      <c r="D52" s="136"/>
      <c r="E52" s="136"/>
      <c r="F52" s="201"/>
      <c r="G52" s="136"/>
      <c r="H52" s="136"/>
      <c r="I52" s="136"/>
      <c r="J52" s="136"/>
      <c r="K52" s="136"/>
      <c r="L52" s="136"/>
      <c r="M52" s="136"/>
      <c r="N52" s="136"/>
      <c r="O52" s="136"/>
      <c r="P52" s="136"/>
      <c r="Q52" s="136"/>
      <c r="R52" s="136"/>
    </row>
    <row r="53">
      <c r="A53" s="136"/>
      <c r="B53" s="136"/>
      <c r="C53" s="136"/>
      <c r="D53" s="136"/>
      <c r="E53" s="136"/>
      <c r="F53" s="201"/>
      <c r="G53" s="136"/>
      <c r="H53" s="136"/>
      <c r="I53" s="136"/>
      <c r="J53" s="136"/>
      <c r="K53" s="136"/>
      <c r="L53" s="136"/>
      <c r="M53" s="136"/>
      <c r="N53" s="136"/>
      <c r="O53" s="136"/>
      <c r="P53" s="136"/>
      <c r="Q53" s="136"/>
      <c r="R53" s="136"/>
    </row>
    <row r="54">
      <c r="A54" s="136"/>
      <c r="B54" s="136"/>
      <c r="C54" s="136"/>
      <c r="D54" s="136"/>
      <c r="E54" s="136"/>
      <c r="F54" s="201"/>
      <c r="G54" s="136"/>
      <c r="H54" s="136"/>
      <c r="I54" s="136"/>
      <c r="J54" s="136"/>
      <c r="K54" s="136"/>
      <c r="L54" s="136"/>
      <c r="M54" s="136"/>
      <c r="N54" s="136"/>
      <c r="O54" s="136"/>
      <c r="P54" s="136"/>
      <c r="Q54" s="136"/>
      <c r="R54" s="136"/>
    </row>
    <row r="55">
      <c r="A55" s="136"/>
      <c r="B55" s="136"/>
      <c r="C55" s="136"/>
      <c r="D55" s="136"/>
      <c r="E55" s="136"/>
      <c r="F55" s="201"/>
      <c r="G55" s="136"/>
      <c r="H55" s="136"/>
      <c r="I55" s="136"/>
      <c r="J55" s="136"/>
      <c r="K55" s="136"/>
      <c r="L55" s="136"/>
      <c r="M55" s="136"/>
      <c r="N55" s="136"/>
      <c r="O55" s="136"/>
      <c r="P55" s="136"/>
      <c r="Q55" s="136"/>
      <c r="R55" s="136"/>
    </row>
    <row r="56">
      <c r="A56" s="136"/>
      <c r="B56" s="136"/>
      <c r="C56" s="136"/>
      <c r="D56" s="136"/>
      <c r="E56" s="136"/>
      <c r="F56" s="201"/>
      <c r="G56" s="136"/>
      <c r="H56" s="136"/>
      <c r="I56" s="136"/>
      <c r="J56" s="136"/>
      <c r="K56" s="136"/>
      <c r="L56" s="136"/>
      <c r="M56" s="136"/>
      <c r="N56" s="136"/>
      <c r="O56" s="136"/>
      <c r="P56" s="136"/>
      <c r="Q56" s="136"/>
      <c r="R56" s="136"/>
    </row>
    <row r="57">
      <c r="A57" s="136"/>
      <c r="B57" s="136"/>
      <c r="C57" s="136"/>
      <c r="D57" s="136"/>
      <c r="E57" s="136"/>
      <c r="F57" s="201"/>
      <c r="G57" s="136"/>
      <c r="H57" s="136"/>
      <c r="I57" s="136"/>
      <c r="J57" s="136"/>
      <c r="K57" s="136"/>
      <c r="L57" s="136"/>
      <c r="M57" s="136"/>
      <c r="N57" s="136"/>
      <c r="O57" s="136"/>
      <c r="P57" s="136"/>
      <c r="Q57" s="136"/>
      <c r="R57" s="136"/>
    </row>
    <row r="58">
      <c r="A58" s="136"/>
      <c r="B58" s="136"/>
      <c r="C58" s="136"/>
      <c r="D58" s="136"/>
      <c r="E58" s="136"/>
      <c r="F58" s="201"/>
      <c r="G58" s="136"/>
      <c r="H58" s="136"/>
      <c r="I58" s="136"/>
      <c r="J58" s="136"/>
      <c r="K58" s="136"/>
      <c r="L58" s="136"/>
      <c r="M58" s="136"/>
      <c r="N58" s="136"/>
      <c r="O58" s="136"/>
      <c r="P58" s="136"/>
      <c r="Q58" s="136"/>
      <c r="R58" s="136"/>
    </row>
    <row r="59">
      <c r="A59" s="136"/>
      <c r="B59" s="136"/>
      <c r="C59" s="136"/>
      <c r="D59" s="136"/>
      <c r="E59" s="136"/>
      <c r="F59" s="201"/>
      <c r="G59" s="136"/>
      <c r="H59" s="136"/>
      <c r="I59" s="136"/>
      <c r="J59" s="136"/>
      <c r="K59" s="136"/>
      <c r="L59" s="136"/>
      <c r="M59" s="136"/>
      <c r="N59" s="136"/>
      <c r="O59" s="136"/>
      <c r="P59" s="136"/>
      <c r="Q59" s="136"/>
      <c r="R59" s="136"/>
    </row>
    <row r="60">
      <c r="A60" s="136"/>
      <c r="B60" s="136"/>
      <c r="C60" s="136"/>
      <c r="D60" s="136"/>
      <c r="E60" s="136"/>
      <c r="F60" s="201"/>
      <c r="G60" s="136"/>
      <c r="H60" s="136"/>
      <c r="I60" s="136"/>
      <c r="J60" s="136"/>
      <c r="K60" s="136"/>
      <c r="L60" s="136"/>
      <c r="M60" s="136"/>
      <c r="N60" s="136"/>
      <c r="O60" s="136"/>
      <c r="P60" s="136"/>
      <c r="Q60" s="136"/>
      <c r="R60" s="136"/>
    </row>
    <row r="61">
      <c r="A61" s="136"/>
      <c r="B61" s="136"/>
      <c r="C61" s="136"/>
      <c r="D61" s="136"/>
      <c r="E61" s="136"/>
      <c r="F61" s="201"/>
      <c r="G61" s="136"/>
      <c r="H61" s="136"/>
      <c r="I61" s="136"/>
      <c r="J61" s="136"/>
      <c r="K61" s="136"/>
      <c r="L61" s="136"/>
      <c r="M61" s="136"/>
      <c r="N61" s="136"/>
      <c r="O61" s="136"/>
      <c r="P61" s="136"/>
      <c r="Q61" s="136"/>
      <c r="R61" s="136"/>
    </row>
    <row r="62">
      <c r="A62" s="136"/>
      <c r="B62" s="136"/>
      <c r="C62" s="136"/>
      <c r="D62" s="136"/>
      <c r="E62" s="136"/>
      <c r="F62" s="201"/>
      <c r="G62" s="136"/>
      <c r="H62" s="136"/>
      <c r="I62" s="136"/>
      <c r="J62" s="136"/>
      <c r="K62" s="136"/>
      <c r="L62" s="136"/>
      <c r="M62" s="136"/>
      <c r="N62" s="136"/>
      <c r="O62" s="136"/>
      <c r="P62" s="136"/>
      <c r="Q62" s="136"/>
      <c r="R62" s="136"/>
    </row>
    <row r="63">
      <c r="A63" s="136"/>
      <c r="B63" s="136"/>
      <c r="C63" s="136"/>
      <c r="D63" s="136"/>
      <c r="E63" s="136"/>
      <c r="F63" s="201"/>
      <c r="G63" s="136"/>
      <c r="H63" s="136"/>
      <c r="I63" s="136"/>
      <c r="J63" s="136"/>
      <c r="K63" s="136"/>
      <c r="L63" s="136"/>
      <c r="M63" s="136"/>
      <c r="N63" s="136"/>
      <c r="O63" s="136"/>
      <c r="P63" s="136"/>
      <c r="Q63" s="136"/>
      <c r="R63" s="136"/>
    </row>
    <row r="64">
      <c r="A64" s="136"/>
      <c r="B64" s="136"/>
      <c r="C64" s="136"/>
      <c r="D64" s="136"/>
      <c r="E64" s="136"/>
      <c r="F64" s="201"/>
      <c r="G64" s="136"/>
      <c r="H64" s="136"/>
      <c r="I64" s="136"/>
      <c r="J64" s="136"/>
      <c r="K64" s="136"/>
      <c r="L64" s="136"/>
      <c r="M64" s="136"/>
      <c r="N64" s="136"/>
      <c r="O64" s="136"/>
      <c r="P64" s="136"/>
      <c r="Q64" s="136"/>
      <c r="R64" s="136"/>
    </row>
    <row r="65">
      <c r="A65" s="136"/>
      <c r="B65" s="136"/>
      <c r="C65" s="136"/>
      <c r="D65" s="136"/>
      <c r="E65" s="136"/>
      <c r="F65" s="201"/>
      <c r="G65" s="136"/>
      <c r="H65" s="136"/>
      <c r="I65" s="136"/>
      <c r="J65" s="136"/>
      <c r="K65" s="136"/>
      <c r="L65" s="136"/>
      <c r="M65" s="136"/>
      <c r="N65" s="136"/>
      <c r="O65" s="136"/>
      <c r="P65" s="136"/>
      <c r="Q65" s="136"/>
      <c r="R65" s="136"/>
    </row>
    <row r="66">
      <c r="A66" s="136"/>
      <c r="B66" s="136"/>
      <c r="C66" s="136"/>
      <c r="D66" s="136"/>
      <c r="E66" s="136"/>
      <c r="F66" s="201"/>
      <c r="G66" s="136"/>
      <c r="H66" s="136"/>
      <c r="I66" s="136"/>
      <c r="J66" s="136"/>
      <c r="K66" s="136"/>
      <c r="L66" s="136"/>
      <c r="M66" s="136"/>
      <c r="N66" s="136"/>
      <c r="O66" s="136"/>
      <c r="P66" s="136"/>
      <c r="Q66" s="136"/>
      <c r="R66" s="136"/>
    </row>
    <row r="67">
      <c r="A67" s="136"/>
      <c r="B67" s="136"/>
      <c r="C67" s="136"/>
      <c r="D67" s="136"/>
      <c r="E67" s="136"/>
      <c r="F67" s="201"/>
      <c r="G67" s="136"/>
      <c r="H67" s="136"/>
      <c r="I67" s="136"/>
      <c r="J67" s="136"/>
      <c r="K67" s="136"/>
      <c r="L67" s="136"/>
      <c r="M67" s="136"/>
      <c r="N67" s="136"/>
      <c r="O67" s="136"/>
      <c r="P67" s="136"/>
      <c r="Q67" s="136"/>
      <c r="R67" s="136"/>
    </row>
    <row r="68">
      <c r="A68" s="136"/>
      <c r="B68" s="136"/>
      <c r="C68" s="136"/>
      <c r="D68" s="136"/>
      <c r="E68" s="136"/>
      <c r="F68" s="201"/>
      <c r="G68" s="136"/>
      <c r="H68" s="136"/>
      <c r="I68" s="136"/>
      <c r="J68" s="136"/>
      <c r="K68" s="136"/>
      <c r="L68" s="136"/>
      <c r="M68" s="136"/>
      <c r="N68" s="136"/>
      <c r="O68" s="136"/>
      <c r="P68" s="136"/>
      <c r="Q68" s="136"/>
      <c r="R68" s="136"/>
    </row>
    <row r="69">
      <c r="A69" s="136"/>
      <c r="B69" s="136"/>
      <c r="C69" s="136"/>
      <c r="D69" s="136"/>
      <c r="E69" s="136"/>
      <c r="F69" s="201"/>
      <c r="G69" s="136"/>
      <c r="H69" s="136"/>
      <c r="I69" s="136"/>
      <c r="J69" s="136"/>
      <c r="K69" s="136"/>
      <c r="L69" s="136"/>
      <c r="M69" s="136"/>
      <c r="N69" s="136"/>
      <c r="O69" s="136"/>
      <c r="P69" s="136"/>
      <c r="Q69" s="136"/>
      <c r="R69" s="136"/>
    </row>
    <row r="70">
      <c r="A70" s="136"/>
      <c r="B70" s="136"/>
      <c r="C70" s="136"/>
      <c r="D70" s="136"/>
      <c r="E70" s="136"/>
      <c r="F70" s="201"/>
      <c r="G70" s="136"/>
      <c r="H70" s="136"/>
      <c r="I70" s="136"/>
      <c r="J70" s="136"/>
      <c r="K70" s="136"/>
      <c r="L70" s="136"/>
      <c r="M70" s="136"/>
      <c r="N70" s="136"/>
      <c r="O70" s="136"/>
      <c r="P70" s="136"/>
      <c r="Q70" s="136"/>
      <c r="R70" s="136"/>
    </row>
    <row r="71">
      <c r="A71" s="136"/>
      <c r="B71" s="136"/>
      <c r="C71" s="136"/>
      <c r="D71" s="136"/>
      <c r="E71" s="136"/>
      <c r="F71" s="201"/>
      <c r="G71" s="136"/>
      <c r="H71" s="136"/>
      <c r="I71" s="136"/>
      <c r="J71" s="136"/>
      <c r="K71" s="136"/>
      <c r="L71" s="136"/>
      <c r="M71" s="136"/>
      <c r="N71" s="136"/>
      <c r="O71" s="136"/>
      <c r="P71" s="136"/>
      <c r="Q71" s="136"/>
      <c r="R71" s="136"/>
    </row>
    <row r="72">
      <c r="A72" s="136"/>
      <c r="B72" s="136"/>
      <c r="C72" s="136"/>
      <c r="D72" s="136"/>
      <c r="E72" s="136"/>
      <c r="F72" s="201"/>
      <c r="G72" s="136"/>
      <c r="H72" s="136"/>
      <c r="I72" s="136"/>
      <c r="J72" s="136"/>
      <c r="K72" s="136"/>
      <c r="L72" s="136"/>
      <c r="M72" s="136"/>
      <c r="N72" s="136"/>
      <c r="O72" s="136"/>
      <c r="P72" s="136"/>
      <c r="Q72" s="136"/>
      <c r="R72" s="136"/>
    </row>
    <row r="73">
      <c r="A73" s="136"/>
      <c r="B73" s="136"/>
      <c r="C73" s="136"/>
      <c r="D73" s="136"/>
      <c r="E73" s="136"/>
      <c r="F73" s="201"/>
      <c r="G73" s="136"/>
      <c r="H73" s="136"/>
      <c r="I73" s="136"/>
      <c r="J73" s="136"/>
      <c r="K73" s="136"/>
      <c r="L73" s="136"/>
      <c r="M73" s="136"/>
      <c r="N73" s="136"/>
      <c r="O73" s="136"/>
      <c r="P73" s="136"/>
      <c r="Q73" s="136"/>
      <c r="R73" s="136"/>
    </row>
    <row r="74">
      <c r="A74" s="136"/>
      <c r="B74" s="136"/>
      <c r="C74" s="136"/>
      <c r="D74" s="136"/>
      <c r="E74" s="136"/>
      <c r="F74" s="201"/>
      <c r="G74" s="136"/>
      <c r="H74" s="136"/>
      <c r="I74" s="136"/>
      <c r="J74" s="136"/>
      <c r="K74" s="136"/>
      <c r="L74" s="136"/>
      <c r="M74" s="136"/>
      <c r="N74" s="136"/>
      <c r="O74" s="136"/>
      <c r="P74" s="136"/>
      <c r="Q74" s="136"/>
      <c r="R74" s="136"/>
    </row>
    <row r="75">
      <c r="A75" s="136"/>
      <c r="B75" s="136"/>
      <c r="C75" s="136"/>
      <c r="D75" s="136"/>
      <c r="E75" s="136"/>
      <c r="F75" s="201"/>
      <c r="G75" s="136"/>
      <c r="H75" s="136"/>
      <c r="I75" s="136"/>
      <c r="J75" s="136"/>
      <c r="K75" s="136"/>
      <c r="L75" s="136"/>
      <c r="M75" s="136"/>
      <c r="N75" s="136"/>
      <c r="O75" s="136"/>
      <c r="P75" s="136"/>
      <c r="Q75" s="136"/>
      <c r="R75" s="136"/>
    </row>
    <row r="76">
      <c r="A76" s="136"/>
      <c r="B76" s="136"/>
      <c r="C76" s="136"/>
      <c r="D76" s="136"/>
      <c r="E76" s="136"/>
      <c r="F76" s="201"/>
      <c r="G76" s="136"/>
      <c r="H76" s="136"/>
      <c r="I76" s="136"/>
      <c r="J76" s="136"/>
      <c r="K76" s="136"/>
      <c r="L76" s="136"/>
      <c r="M76" s="136"/>
      <c r="N76" s="136"/>
      <c r="O76" s="136"/>
      <c r="P76" s="136"/>
      <c r="Q76" s="136"/>
      <c r="R76" s="136"/>
    </row>
    <row r="77">
      <c r="A77" s="136"/>
      <c r="B77" s="136"/>
      <c r="C77" s="136"/>
      <c r="D77" s="136"/>
      <c r="E77" s="136"/>
      <c r="F77" s="201"/>
      <c r="G77" s="136"/>
      <c r="H77" s="136"/>
      <c r="I77" s="136"/>
      <c r="J77" s="136"/>
      <c r="K77" s="136"/>
      <c r="L77" s="136"/>
      <c r="M77" s="136"/>
      <c r="N77" s="136"/>
      <c r="O77" s="136"/>
      <c r="P77" s="136"/>
      <c r="Q77" s="136"/>
      <c r="R77" s="136"/>
    </row>
    <row r="78">
      <c r="A78" s="136"/>
      <c r="B78" s="136"/>
      <c r="C78" s="136"/>
      <c r="D78" s="136"/>
      <c r="E78" s="136"/>
      <c r="F78" s="201"/>
      <c r="G78" s="136"/>
      <c r="H78" s="136"/>
      <c r="I78" s="136"/>
      <c r="J78" s="136"/>
      <c r="K78" s="136"/>
      <c r="L78" s="136"/>
      <c r="M78" s="136"/>
      <c r="N78" s="136"/>
      <c r="O78" s="136"/>
      <c r="P78" s="136"/>
      <c r="Q78" s="136"/>
      <c r="R78" s="136"/>
    </row>
    <row r="79">
      <c r="A79" s="136"/>
      <c r="B79" s="136"/>
      <c r="C79" s="136"/>
      <c r="D79" s="136"/>
      <c r="E79" s="136"/>
      <c r="F79" s="201"/>
      <c r="G79" s="136"/>
      <c r="H79" s="136"/>
      <c r="I79" s="136"/>
      <c r="J79" s="136"/>
      <c r="K79" s="136"/>
      <c r="L79" s="136"/>
      <c r="M79" s="136"/>
      <c r="N79" s="136"/>
      <c r="O79" s="136"/>
      <c r="P79" s="136"/>
      <c r="Q79" s="136"/>
      <c r="R79" s="136"/>
    </row>
    <row r="80">
      <c r="A80" s="136"/>
      <c r="B80" s="136"/>
      <c r="C80" s="136"/>
      <c r="D80" s="136"/>
      <c r="E80" s="136"/>
      <c r="F80" s="201"/>
      <c r="G80" s="136"/>
      <c r="H80" s="136"/>
      <c r="I80" s="136"/>
      <c r="J80" s="136"/>
      <c r="K80" s="136"/>
      <c r="L80" s="136"/>
      <c r="M80" s="136"/>
      <c r="N80" s="136"/>
      <c r="O80" s="136"/>
      <c r="P80" s="136"/>
      <c r="Q80" s="136"/>
      <c r="R80" s="136"/>
    </row>
    <row r="81">
      <c r="A81" s="136"/>
      <c r="B81" s="136"/>
      <c r="C81" s="136"/>
      <c r="D81" s="136"/>
      <c r="E81" s="136"/>
      <c r="F81" s="201"/>
      <c r="G81" s="136"/>
      <c r="H81" s="136"/>
      <c r="I81" s="136"/>
      <c r="J81" s="136"/>
      <c r="K81" s="136"/>
      <c r="L81" s="136"/>
      <c r="M81" s="136"/>
      <c r="N81" s="136"/>
      <c r="O81" s="136"/>
      <c r="P81" s="136"/>
      <c r="Q81" s="136"/>
      <c r="R81" s="136"/>
    </row>
    <row r="82">
      <c r="A82" s="136"/>
      <c r="B82" s="136"/>
      <c r="C82" s="136"/>
      <c r="D82" s="136"/>
      <c r="E82" s="136"/>
      <c r="F82" s="201"/>
      <c r="G82" s="136"/>
      <c r="H82" s="136"/>
      <c r="I82" s="136"/>
      <c r="J82" s="136"/>
      <c r="K82" s="136"/>
      <c r="L82" s="136"/>
      <c r="M82" s="136"/>
      <c r="N82" s="136"/>
      <c r="O82" s="136"/>
      <c r="P82" s="136"/>
      <c r="Q82" s="136"/>
      <c r="R82" s="136"/>
    </row>
    <row r="83">
      <c r="A83" s="136"/>
      <c r="B83" s="136"/>
      <c r="C83" s="136"/>
      <c r="D83" s="136"/>
      <c r="E83" s="136"/>
      <c r="F83" s="201"/>
      <c r="G83" s="136"/>
      <c r="H83" s="136"/>
      <c r="I83" s="136"/>
      <c r="J83" s="136"/>
      <c r="K83" s="136"/>
      <c r="L83" s="136"/>
      <c r="M83" s="136"/>
      <c r="N83" s="136"/>
      <c r="O83" s="136"/>
      <c r="P83" s="136"/>
      <c r="Q83" s="136"/>
      <c r="R83" s="136"/>
    </row>
    <row r="84">
      <c r="A84" s="136"/>
      <c r="B84" s="136"/>
      <c r="C84" s="136"/>
      <c r="D84" s="136"/>
      <c r="E84" s="136"/>
      <c r="F84" s="201"/>
      <c r="G84" s="136"/>
      <c r="H84" s="136"/>
      <c r="I84" s="136"/>
      <c r="J84" s="136"/>
      <c r="K84" s="136"/>
      <c r="L84" s="136"/>
      <c r="M84" s="136"/>
      <c r="N84" s="136"/>
      <c r="O84" s="136"/>
      <c r="P84" s="136"/>
      <c r="Q84" s="136"/>
      <c r="R84" s="136"/>
    </row>
    <row r="85">
      <c r="A85" s="136"/>
      <c r="B85" s="136"/>
      <c r="C85" s="136"/>
      <c r="D85" s="136"/>
      <c r="E85" s="136"/>
      <c r="F85" s="201"/>
      <c r="G85" s="136"/>
      <c r="H85" s="136"/>
      <c r="I85" s="136"/>
      <c r="J85" s="136"/>
      <c r="K85" s="136"/>
      <c r="L85" s="136"/>
      <c r="M85" s="136"/>
      <c r="N85" s="136"/>
      <c r="O85" s="136"/>
      <c r="P85" s="136"/>
      <c r="Q85" s="136"/>
      <c r="R85" s="136"/>
    </row>
    <row r="86">
      <c r="A86" s="136"/>
      <c r="B86" s="136"/>
      <c r="C86" s="136"/>
      <c r="D86" s="136"/>
      <c r="E86" s="136"/>
      <c r="F86" s="201"/>
      <c r="G86" s="136"/>
      <c r="H86" s="136"/>
      <c r="I86" s="136"/>
      <c r="J86" s="136"/>
      <c r="K86" s="136"/>
      <c r="L86" s="136"/>
      <c r="M86" s="136"/>
      <c r="N86" s="136"/>
      <c r="O86" s="136"/>
      <c r="P86" s="136"/>
      <c r="Q86" s="136"/>
      <c r="R86" s="136"/>
    </row>
    <row r="87">
      <c r="A87" s="136"/>
      <c r="B87" s="136"/>
      <c r="C87" s="136"/>
      <c r="D87" s="136"/>
      <c r="E87" s="136"/>
      <c r="F87" s="201"/>
      <c r="G87" s="136"/>
      <c r="H87" s="136"/>
      <c r="I87" s="136"/>
      <c r="J87" s="136"/>
      <c r="K87" s="136"/>
      <c r="L87" s="136"/>
      <c r="M87" s="136"/>
      <c r="N87" s="136"/>
      <c r="O87" s="136"/>
      <c r="P87" s="136"/>
      <c r="Q87" s="136"/>
      <c r="R87" s="136"/>
    </row>
    <row r="88">
      <c r="A88" s="136"/>
      <c r="B88" s="136"/>
      <c r="C88" s="136"/>
      <c r="D88" s="136"/>
      <c r="E88" s="136"/>
      <c r="F88" s="201"/>
      <c r="G88" s="136"/>
      <c r="H88" s="136"/>
      <c r="I88" s="136"/>
      <c r="J88" s="136"/>
      <c r="K88" s="136"/>
      <c r="L88" s="136"/>
      <c r="M88" s="136"/>
      <c r="N88" s="136"/>
      <c r="O88" s="136"/>
      <c r="P88" s="136"/>
      <c r="Q88" s="136"/>
      <c r="R88" s="136"/>
    </row>
    <row r="89">
      <c r="A89" s="136"/>
      <c r="B89" s="136"/>
      <c r="C89" s="136"/>
      <c r="D89" s="136"/>
      <c r="E89" s="136"/>
      <c r="F89" s="201"/>
      <c r="G89" s="136"/>
      <c r="H89" s="136"/>
      <c r="I89" s="136"/>
      <c r="J89" s="136"/>
      <c r="K89" s="136"/>
      <c r="L89" s="136"/>
      <c r="M89" s="136"/>
      <c r="N89" s="136"/>
      <c r="O89" s="136"/>
      <c r="P89" s="136"/>
      <c r="Q89" s="136"/>
      <c r="R89" s="136"/>
    </row>
    <row r="90">
      <c r="A90" s="136"/>
      <c r="B90" s="136"/>
      <c r="C90" s="136"/>
      <c r="D90" s="136"/>
      <c r="E90" s="136"/>
      <c r="F90" s="201"/>
      <c r="G90" s="136"/>
      <c r="H90" s="136"/>
      <c r="I90" s="136"/>
      <c r="J90" s="136"/>
      <c r="K90" s="136"/>
      <c r="L90" s="136"/>
      <c r="M90" s="136"/>
      <c r="N90" s="136"/>
      <c r="O90" s="136"/>
      <c r="P90" s="136"/>
      <c r="Q90" s="136"/>
      <c r="R90" s="136"/>
    </row>
    <row r="91">
      <c r="A91" s="136"/>
      <c r="B91" s="136"/>
      <c r="C91" s="136"/>
      <c r="D91" s="136"/>
      <c r="E91" s="136"/>
      <c r="F91" s="201"/>
      <c r="G91" s="136"/>
      <c r="H91" s="136"/>
      <c r="I91" s="136"/>
      <c r="J91" s="136"/>
      <c r="K91" s="136"/>
      <c r="L91" s="136"/>
      <c r="M91" s="136"/>
      <c r="N91" s="136"/>
      <c r="O91" s="136"/>
      <c r="P91" s="136"/>
      <c r="Q91" s="136"/>
      <c r="R91" s="136"/>
    </row>
    <row r="92">
      <c r="A92" s="136"/>
      <c r="B92" s="136"/>
      <c r="C92" s="136"/>
      <c r="D92" s="136"/>
      <c r="E92" s="136"/>
      <c r="F92" s="201"/>
      <c r="G92" s="136"/>
      <c r="H92" s="136"/>
      <c r="I92" s="136"/>
      <c r="J92" s="136"/>
      <c r="K92" s="136"/>
      <c r="L92" s="136"/>
      <c r="M92" s="136"/>
      <c r="N92" s="136"/>
      <c r="O92" s="136"/>
      <c r="P92" s="136"/>
      <c r="Q92" s="136"/>
      <c r="R92" s="136"/>
    </row>
    <row r="93">
      <c r="A93" s="136"/>
      <c r="B93" s="136"/>
      <c r="C93" s="136"/>
      <c r="D93" s="136"/>
      <c r="E93" s="136"/>
      <c r="F93" s="201"/>
      <c r="G93" s="136"/>
      <c r="H93" s="136"/>
      <c r="I93" s="136"/>
      <c r="J93" s="136"/>
      <c r="K93" s="136"/>
      <c r="L93" s="136"/>
      <c r="M93" s="136"/>
      <c r="N93" s="136"/>
      <c r="O93" s="136"/>
      <c r="P93" s="136"/>
      <c r="Q93" s="136"/>
      <c r="R93" s="136"/>
    </row>
    <row r="94">
      <c r="A94" s="136"/>
      <c r="B94" s="136"/>
      <c r="C94" s="136"/>
      <c r="D94" s="136"/>
      <c r="E94" s="136"/>
      <c r="F94" s="201"/>
      <c r="G94" s="136"/>
      <c r="H94" s="136"/>
      <c r="I94" s="136"/>
      <c r="J94" s="136"/>
      <c r="K94" s="136"/>
      <c r="L94" s="136"/>
      <c r="M94" s="136"/>
      <c r="N94" s="136"/>
      <c r="O94" s="136"/>
      <c r="P94" s="136"/>
      <c r="Q94" s="136"/>
      <c r="R94" s="136"/>
    </row>
    <row r="95">
      <c r="A95" s="136"/>
      <c r="B95" s="136"/>
      <c r="C95" s="136"/>
      <c r="D95" s="136"/>
      <c r="E95" s="136"/>
      <c r="F95" s="201"/>
      <c r="G95" s="136"/>
      <c r="H95" s="136"/>
      <c r="I95" s="136"/>
      <c r="J95" s="136"/>
      <c r="K95" s="136"/>
      <c r="L95" s="136"/>
      <c r="M95" s="136"/>
      <c r="N95" s="136"/>
      <c r="O95" s="136"/>
      <c r="P95" s="136"/>
      <c r="Q95" s="136"/>
      <c r="R95" s="136"/>
    </row>
    <row r="96">
      <c r="A96" s="136"/>
      <c r="B96" s="136"/>
      <c r="C96" s="136"/>
      <c r="D96" s="136"/>
      <c r="E96" s="136"/>
      <c r="F96" s="201"/>
      <c r="G96" s="136"/>
      <c r="H96" s="136"/>
      <c r="I96" s="136"/>
      <c r="J96" s="136"/>
      <c r="K96" s="136"/>
      <c r="L96" s="136"/>
      <c r="M96" s="136"/>
      <c r="N96" s="136"/>
      <c r="O96" s="136"/>
      <c r="P96" s="136"/>
      <c r="Q96" s="136"/>
      <c r="R96" s="136"/>
    </row>
    <row r="97">
      <c r="A97" s="136"/>
      <c r="B97" s="136"/>
      <c r="C97" s="136"/>
      <c r="D97" s="136"/>
      <c r="E97" s="136"/>
      <c r="F97" s="201"/>
      <c r="G97" s="136"/>
      <c r="H97" s="136"/>
      <c r="I97" s="136"/>
      <c r="J97" s="136"/>
      <c r="K97" s="136"/>
      <c r="L97" s="136"/>
      <c r="M97" s="136"/>
      <c r="N97" s="136"/>
      <c r="O97" s="136"/>
      <c r="P97" s="136"/>
      <c r="Q97" s="136"/>
      <c r="R97" s="136"/>
    </row>
    <row r="98">
      <c r="A98" s="136"/>
      <c r="B98" s="136"/>
      <c r="C98" s="136"/>
      <c r="D98" s="136"/>
      <c r="E98" s="136"/>
      <c r="F98" s="201"/>
      <c r="G98" s="136"/>
      <c r="H98" s="136"/>
      <c r="I98" s="136"/>
      <c r="J98" s="136"/>
      <c r="K98" s="136"/>
      <c r="L98" s="136"/>
      <c r="M98" s="136"/>
      <c r="N98" s="136"/>
      <c r="O98" s="136"/>
      <c r="P98" s="136"/>
      <c r="Q98" s="136"/>
      <c r="R98" s="136"/>
    </row>
    <row r="99">
      <c r="A99" s="136"/>
      <c r="B99" s="136"/>
      <c r="C99" s="136"/>
      <c r="D99" s="136"/>
      <c r="E99" s="136"/>
      <c r="F99" s="201"/>
      <c r="G99" s="136"/>
      <c r="H99" s="136"/>
      <c r="I99" s="136"/>
      <c r="J99" s="136"/>
      <c r="K99" s="136"/>
      <c r="L99" s="136"/>
      <c r="M99" s="136"/>
      <c r="N99" s="136"/>
      <c r="O99" s="136"/>
      <c r="P99" s="136"/>
      <c r="Q99" s="136"/>
      <c r="R99" s="136"/>
    </row>
    <row r="100">
      <c r="A100" s="136"/>
      <c r="B100" s="136"/>
      <c r="C100" s="136"/>
      <c r="D100" s="136"/>
      <c r="E100" s="136"/>
      <c r="F100" s="201"/>
      <c r="G100" s="136"/>
      <c r="H100" s="136"/>
      <c r="I100" s="136"/>
      <c r="J100" s="136"/>
      <c r="K100" s="136"/>
      <c r="L100" s="136"/>
      <c r="M100" s="136"/>
      <c r="N100" s="136"/>
      <c r="O100" s="136"/>
      <c r="P100" s="136"/>
      <c r="Q100" s="136"/>
      <c r="R100" s="136"/>
    </row>
    <row r="101">
      <c r="A101" s="136"/>
      <c r="B101" s="136"/>
      <c r="C101" s="136"/>
      <c r="D101" s="136"/>
      <c r="E101" s="136"/>
      <c r="F101" s="201"/>
      <c r="G101" s="136"/>
      <c r="H101" s="136"/>
      <c r="I101" s="136"/>
      <c r="J101" s="136"/>
      <c r="K101" s="136"/>
      <c r="L101" s="136"/>
      <c r="M101" s="136"/>
      <c r="N101" s="136"/>
      <c r="O101" s="136"/>
      <c r="P101" s="136"/>
      <c r="Q101" s="136"/>
      <c r="R101" s="136"/>
    </row>
    <row r="102">
      <c r="A102" s="136"/>
      <c r="B102" s="136"/>
      <c r="C102" s="136"/>
      <c r="D102" s="136"/>
      <c r="E102" s="136"/>
      <c r="F102" s="201"/>
      <c r="G102" s="136"/>
      <c r="H102" s="136"/>
      <c r="I102" s="136"/>
      <c r="J102" s="136"/>
      <c r="K102" s="136"/>
      <c r="L102" s="136"/>
      <c r="M102" s="136"/>
      <c r="N102" s="136"/>
      <c r="O102" s="136"/>
      <c r="P102" s="136"/>
      <c r="Q102" s="136"/>
      <c r="R102" s="136"/>
    </row>
    <row r="103">
      <c r="A103" s="136"/>
      <c r="B103" s="136"/>
      <c r="C103" s="136"/>
      <c r="D103" s="136"/>
      <c r="E103" s="136"/>
      <c r="F103" s="201"/>
      <c r="G103" s="136"/>
      <c r="H103" s="136"/>
      <c r="I103" s="136"/>
      <c r="J103" s="136"/>
      <c r="K103" s="136"/>
      <c r="L103" s="136"/>
      <c r="M103" s="136"/>
      <c r="N103" s="136"/>
      <c r="O103" s="136"/>
      <c r="P103" s="136"/>
      <c r="Q103" s="136"/>
      <c r="R103" s="136"/>
    </row>
    <row r="104">
      <c r="A104" s="136"/>
      <c r="B104" s="136"/>
      <c r="C104" s="136"/>
      <c r="D104" s="136"/>
      <c r="E104" s="136"/>
      <c r="F104" s="201"/>
      <c r="G104" s="136"/>
      <c r="H104" s="136"/>
      <c r="I104" s="136"/>
      <c r="J104" s="136"/>
      <c r="K104" s="136"/>
      <c r="L104" s="136"/>
      <c r="M104" s="136"/>
      <c r="N104" s="136"/>
      <c r="O104" s="136"/>
      <c r="P104" s="136"/>
      <c r="Q104" s="136"/>
      <c r="R104" s="136"/>
    </row>
    <row r="105">
      <c r="A105" s="136"/>
      <c r="B105" s="136"/>
      <c r="C105" s="136"/>
      <c r="D105" s="136"/>
      <c r="E105" s="136"/>
      <c r="F105" s="201"/>
      <c r="G105" s="136"/>
      <c r="H105" s="136"/>
      <c r="I105" s="136"/>
      <c r="J105" s="136"/>
      <c r="K105" s="136"/>
      <c r="L105" s="136"/>
      <c r="M105" s="136"/>
      <c r="N105" s="136"/>
      <c r="O105" s="136"/>
      <c r="P105" s="136"/>
      <c r="Q105" s="136"/>
      <c r="R105" s="136"/>
    </row>
    <row r="106">
      <c r="A106" s="136"/>
      <c r="B106" s="136"/>
      <c r="C106" s="136"/>
      <c r="D106" s="136"/>
      <c r="E106" s="136"/>
      <c r="F106" s="201"/>
      <c r="G106" s="136"/>
      <c r="H106" s="136"/>
      <c r="I106" s="136"/>
      <c r="J106" s="136"/>
      <c r="K106" s="136"/>
      <c r="L106" s="136"/>
      <c r="M106" s="136"/>
      <c r="N106" s="136"/>
      <c r="O106" s="136"/>
      <c r="P106" s="136"/>
      <c r="Q106" s="136"/>
      <c r="R106" s="136"/>
    </row>
    <row r="107">
      <c r="A107" s="136"/>
      <c r="B107" s="136"/>
      <c r="C107" s="136"/>
      <c r="D107" s="136"/>
      <c r="E107" s="136"/>
      <c r="F107" s="201"/>
      <c r="G107" s="136"/>
      <c r="H107" s="136"/>
      <c r="I107" s="136"/>
      <c r="J107" s="136"/>
      <c r="K107" s="136"/>
      <c r="L107" s="136"/>
      <c r="M107" s="136"/>
      <c r="N107" s="136"/>
      <c r="O107" s="136"/>
      <c r="P107" s="136"/>
      <c r="Q107" s="136"/>
      <c r="R107" s="136"/>
    </row>
    <row r="108">
      <c r="A108" s="136"/>
      <c r="B108" s="136"/>
      <c r="C108" s="136"/>
      <c r="D108" s="136"/>
      <c r="E108" s="136"/>
      <c r="F108" s="201"/>
      <c r="G108" s="136"/>
      <c r="H108" s="136"/>
      <c r="I108" s="136"/>
      <c r="J108" s="136"/>
      <c r="K108" s="136"/>
      <c r="L108" s="136"/>
      <c r="M108" s="136"/>
      <c r="N108" s="136"/>
      <c r="O108" s="136"/>
      <c r="P108" s="136"/>
      <c r="Q108" s="136"/>
      <c r="R108" s="136"/>
    </row>
    <row r="109">
      <c r="A109" s="136"/>
      <c r="B109" s="136"/>
      <c r="C109" s="136"/>
      <c r="D109" s="136"/>
      <c r="E109" s="136"/>
      <c r="F109" s="201"/>
      <c r="G109" s="136"/>
      <c r="H109" s="136"/>
      <c r="I109" s="136"/>
      <c r="J109" s="136"/>
      <c r="K109" s="136"/>
      <c r="L109" s="136"/>
      <c r="M109" s="136"/>
      <c r="N109" s="136"/>
      <c r="O109" s="136"/>
      <c r="P109" s="136"/>
      <c r="Q109" s="136"/>
      <c r="R109" s="136"/>
    </row>
    <row r="110">
      <c r="A110" s="136"/>
      <c r="B110" s="136"/>
      <c r="C110" s="136"/>
      <c r="D110" s="136"/>
      <c r="E110" s="136"/>
      <c r="F110" s="201"/>
      <c r="G110" s="136"/>
      <c r="H110" s="136"/>
      <c r="I110" s="136"/>
      <c r="J110" s="136"/>
      <c r="K110" s="136"/>
      <c r="L110" s="136"/>
      <c r="M110" s="136"/>
      <c r="N110" s="136"/>
      <c r="O110" s="136"/>
      <c r="P110" s="136"/>
      <c r="Q110" s="136"/>
      <c r="R110" s="136"/>
    </row>
    <row r="111">
      <c r="A111" s="136"/>
      <c r="B111" s="136"/>
      <c r="C111" s="136"/>
      <c r="D111" s="136"/>
      <c r="E111" s="136"/>
      <c r="F111" s="201"/>
      <c r="G111" s="136"/>
      <c r="H111" s="136"/>
      <c r="I111" s="136"/>
      <c r="J111" s="136"/>
      <c r="K111" s="136"/>
      <c r="L111" s="136"/>
      <c r="M111" s="136"/>
      <c r="N111" s="136"/>
      <c r="O111" s="136"/>
      <c r="P111" s="136"/>
      <c r="Q111" s="136"/>
      <c r="R111" s="136"/>
    </row>
    <row r="112">
      <c r="A112" s="136"/>
      <c r="B112" s="136"/>
      <c r="C112" s="136"/>
      <c r="D112" s="136"/>
      <c r="E112" s="136"/>
      <c r="F112" s="201"/>
      <c r="G112" s="136"/>
      <c r="H112" s="136"/>
      <c r="I112" s="136"/>
      <c r="J112" s="136"/>
      <c r="K112" s="136"/>
      <c r="L112" s="136"/>
      <c r="M112" s="136"/>
      <c r="N112" s="136"/>
      <c r="O112" s="136"/>
      <c r="P112" s="136"/>
      <c r="Q112" s="136"/>
      <c r="R112" s="136"/>
    </row>
    <row r="113">
      <c r="A113" s="136"/>
      <c r="B113" s="136"/>
      <c r="C113" s="136"/>
      <c r="D113" s="136"/>
      <c r="E113" s="136"/>
      <c r="F113" s="201"/>
      <c r="G113" s="136"/>
      <c r="H113" s="136"/>
      <c r="I113" s="136"/>
      <c r="J113" s="136"/>
      <c r="K113" s="136"/>
      <c r="L113" s="136"/>
      <c r="M113" s="136"/>
      <c r="N113" s="136"/>
      <c r="O113" s="136"/>
      <c r="P113" s="136"/>
      <c r="Q113" s="136"/>
      <c r="R113" s="136"/>
    </row>
    <row r="114">
      <c r="A114" s="136"/>
      <c r="B114" s="136"/>
      <c r="C114" s="136"/>
      <c r="D114" s="136"/>
      <c r="E114" s="136"/>
      <c r="F114" s="201"/>
      <c r="G114" s="136"/>
      <c r="H114" s="136"/>
      <c r="I114" s="136"/>
      <c r="J114" s="136"/>
      <c r="K114" s="136"/>
      <c r="L114" s="136"/>
      <c r="M114" s="136"/>
      <c r="N114" s="136"/>
      <c r="O114" s="136"/>
      <c r="P114" s="136"/>
      <c r="Q114" s="136"/>
      <c r="R114" s="136"/>
    </row>
    <row r="115">
      <c r="A115" s="136"/>
      <c r="B115" s="136"/>
      <c r="C115" s="136"/>
      <c r="D115" s="136"/>
      <c r="E115" s="136"/>
      <c r="F115" s="201"/>
      <c r="G115" s="136"/>
      <c r="H115" s="136"/>
      <c r="I115" s="136"/>
      <c r="J115" s="136"/>
      <c r="K115" s="136"/>
      <c r="L115" s="136"/>
      <c r="M115" s="136"/>
      <c r="N115" s="136"/>
      <c r="O115" s="136"/>
      <c r="P115" s="136"/>
      <c r="Q115" s="136"/>
      <c r="R115" s="136"/>
    </row>
    <row r="116">
      <c r="A116" s="136"/>
      <c r="B116" s="136"/>
      <c r="C116" s="136"/>
      <c r="D116" s="136"/>
      <c r="E116" s="136"/>
      <c r="F116" s="201"/>
      <c r="G116" s="136"/>
      <c r="H116" s="136"/>
      <c r="I116" s="136"/>
      <c r="J116" s="136"/>
      <c r="K116" s="136"/>
      <c r="L116" s="136"/>
      <c r="M116" s="136"/>
      <c r="N116" s="136"/>
      <c r="O116" s="136"/>
      <c r="P116" s="136"/>
      <c r="Q116" s="136"/>
      <c r="R116" s="136"/>
    </row>
    <row r="117">
      <c r="A117" s="136"/>
      <c r="B117" s="136"/>
      <c r="C117" s="136"/>
      <c r="D117" s="136"/>
      <c r="E117" s="136"/>
      <c r="F117" s="201"/>
      <c r="G117" s="136"/>
      <c r="H117" s="136"/>
      <c r="I117" s="136"/>
      <c r="J117" s="136"/>
      <c r="K117" s="136"/>
      <c r="L117" s="136"/>
      <c r="M117" s="136"/>
      <c r="N117" s="136"/>
      <c r="O117" s="136"/>
      <c r="P117" s="136"/>
      <c r="Q117" s="136"/>
      <c r="R117" s="136"/>
    </row>
    <row r="118">
      <c r="A118" s="136"/>
      <c r="B118" s="136"/>
      <c r="C118" s="136"/>
      <c r="D118" s="136"/>
      <c r="E118" s="136"/>
      <c r="F118" s="201"/>
      <c r="G118" s="136"/>
      <c r="H118" s="136"/>
      <c r="I118" s="136"/>
      <c r="J118" s="136"/>
      <c r="K118" s="136"/>
      <c r="L118" s="136"/>
      <c r="M118" s="136"/>
      <c r="N118" s="136"/>
      <c r="O118" s="136"/>
      <c r="P118" s="136"/>
      <c r="Q118" s="136"/>
      <c r="R118" s="136"/>
    </row>
    <row r="119">
      <c r="A119" s="136"/>
      <c r="B119" s="136"/>
      <c r="C119" s="136"/>
      <c r="D119" s="136"/>
      <c r="E119" s="136"/>
      <c r="F119" s="201"/>
      <c r="G119" s="136"/>
      <c r="H119" s="136"/>
      <c r="I119" s="136"/>
      <c r="J119" s="136"/>
      <c r="K119" s="136"/>
      <c r="L119" s="136"/>
      <c r="M119" s="136"/>
      <c r="N119" s="136"/>
      <c r="O119" s="136"/>
      <c r="P119" s="136"/>
      <c r="Q119" s="136"/>
      <c r="R119" s="136"/>
    </row>
    <row r="120">
      <c r="A120" s="136"/>
      <c r="B120" s="136"/>
      <c r="C120" s="136"/>
      <c r="D120" s="136"/>
      <c r="E120" s="136"/>
      <c r="F120" s="201"/>
      <c r="G120" s="136"/>
      <c r="H120" s="136"/>
      <c r="I120" s="136"/>
      <c r="J120" s="136"/>
      <c r="K120" s="136"/>
      <c r="L120" s="136"/>
      <c r="M120" s="136"/>
      <c r="N120" s="136"/>
      <c r="O120" s="136"/>
      <c r="P120" s="136"/>
      <c r="Q120" s="136"/>
      <c r="R120" s="136"/>
    </row>
    <row r="121">
      <c r="A121" s="136"/>
      <c r="B121" s="136"/>
      <c r="C121" s="136"/>
      <c r="D121" s="136"/>
      <c r="E121" s="136"/>
      <c r="F121" s="201"/>
      <c r="G121" s="136"/>
      <c r="H121" s="136"/>
      <c r="I121" s="136"/>
      <c r="J121" s="136"/>
      <c r="K121" s="136"/>
      <c r="L121" s="136"/>
      <c r="M121" s="136"/>
      <c r="N121" s="136"/>
      <c r="O121" s="136"/>
      <c r="P121" s="136"/>
      <c r="Q121" s="136"/>
      <c r="R121" s="136"/>
    </row>
    <row r="122">
      <c r="A122" s="136"/>
      <c r="B122" s="136"/>
      <c r="C122" s="136"/>
      <c r="D122" s="136"/>
      <c r="E122" s="136"/>
      <c r="F122" s="201"/>
      <c r="G122" s="136"/>
      <c r="H122" s="136"/>
      <c r="I122" s="136"/>
      <c r="J122" s="136"/>
      <c r="K122" s="136"/>
      <c r="L122" s="136"/>
      <c r="M122" s="136"/>
      <c r="N122" s="136"/>
      <c r="O122" s="136"/>
      <c r="P122" s="136"/>
      <c r="Q122" s="136"/>
      <c r="R122" s="136"/>
    </row>
    <row r="123">
      <c r="A123" s="136"/>
      <c r="B123" s="136"/>
      <c r="C123" s="136"/>
      <c r="D123" s="136"/>
      <c r="E123" s="136"/>
      <c r="F123" s="201"/>
      <c r="G123" s="136"/>
      <c r="H123" s="136"/>
      <c r="I123" s="136"/>
      <c r="J123" s="136"/>
      <c r="K123" s="136"/>
      <c r="L123" s="136"/>
      <c r="M123" s="136"/>
      <c r="N123" s="136"/>
      <c r="O123" s="136"/>
      <c r="P123" s="136"/>
      <c r="Q123" s="136"/>
      <c r="R123" s="136"/>
    </row>
    <row r="124">
      <c r="A124" s="136"/>
      <c r="B124" s="136"/>
      <c r="C124" s="136"/>
      <c r="D124" s="136"/>
      <c r="E124" s="136"/>
      <c r="F124" s="201"/>
      <c r="G124" s="136"/>
      <c r="H124" s="136"/>
      <c r="I124" s="136"/>
      <c r="J124" s="136"/>
      <c r="K124" s="136"/>
      <c r="L124" s="136"/>
      <c r="M124" s="136"/>
      <c r="N124" s="136"/>
      <c r="O124" s="136"/>
      <c r="P124" s="136"/>
      <c r="Q124" s="136"/>
      <c r="R124" s="136"/>
    </row>
    <row r="125">
      <c r="A125" s="136"/>
      <c r="B125" s="136"/>
      <c r="C125" s="136"/>
      <c r="D125" s="136"/>
      <c r="E125" s="136"/>
      <c r="F125" s="201"/>
      <c r="G125" s="136"/>
      <c r="H125" s="136"/>
      <c r="I125" s="136"/>
      <c r="J125" s="136"/>
      <c r="K125" s="136"/>
      <c r="L125" s="136"/>
      <c r="M125" s="136"/>
      <c r="N125" s="136"/>
      <c r="O125" s="136"/>
      <c r="P125" s="136"/>
      <c r="Q125" s="136"/>
      <c r="R125" s="136"/>
    </row>
    <row r="126">
      <c r="A126" s="136"/>
      <c r="B126" s="136"/>
      <c r="C126" s="136"/>
      <c r="D126" s="136"/>
      <c r="E126" s="136"/>
      <c r="F126" s="201"/>
      <c r="G126" s="136"/>
      <c r="H126" s="136"/>
      <c r="I126" s="136"/>
      <c r="J126" s="136"/>
      <c r="K126" s="136"/>
      <c r="L126" s="136"/>
      <c r="M126" s="136"/>
      <c r="N126" s="136"/>
      <c r="O126" s="136"/>
      <c r="P126" s="136"/>
      <c r="Q126" s="136"/>
      <c r="R126" s="136"/>
    </row>
    <row r="127">
      <c r="A127" s="136"/>
      <c r="B127" s="136"/>
      <c r="C127" s="136"/>
      <c r="D127" s="136"/>
      <c r="E127" s="136"/>
      <c r="F127" s="201"/>
      <c r="G127" s="136"/>
      <c r="H127" s="136"/>
      <c r="I127" s="136"/>
      <c r="J127" s="136"/>
      <c r="K127" s="136"/>
      <c r="L127" s="136"/>
      <c r="M127" s="136"/>
      <c r="N127" s="136"/>
      <c r="O127" s="136"/>
      <c r="P127" s="136"/>
      <c r="Q127" s="136"/>
      <c r="R127" s="136"/>
    </row>
    <row r="128">
      <c r="A128" s="136"/>
      <c r="B128" s="136"/>
      <c r="C128" s="136"/>
      <c r="D128" s="136"/>
      <c r="E128" s="136"/>
      <c r="F128" s="201"/>
      <c r="G128" s="136"/>
      <c r="H128" s="136"/>
      <c r="I128" s="136"/>
      <c r="J128" s="136"/>
      <c r="K128" s="136"/>
      <c r="L128" s="136"/>
      <c r="M128" s="136"/>
      <c r="N128" s="136"/>
      <c r="O128" s="136"/>
      <c r="P128" s="136"/>
      <c r="Q128" s="136"/>
      <c r="R128" s="136"/>
    </row>
    <row r="129">
      <c r="A129" s="136"/>
      <c r="B129" s="136"/>
      <c r="C129" s="136"/>
      <c r="D129" s="136"/>
      <c r="E129" s="136"/>
      <c r="F129" s="201"/>
      <c r="G129" s="136"/>
      <c r="H129" s="136"/>
      <c r="I129" s="136"/>
      <c r="J129" s="136"/>
      <c r="K129" s="136"/>
      <c r="L129" s="136"/>
      <c r="M129" s="136"/>
      <c r="N129" s="136"/>
      <c r="O129" s="136"/>
      <c r="P129" s="136"/>
      <c r="Q129" s="136"/>
      <c r="R129" s="136"/>
    </row>
    <row r="130">
      <c r="A130" s="136"/>
      <c r="B130" s="136"/>
      <c r="C130" s="136"/>
      <c r="D130" s="136"/>
      <c r="E130" s="136"/>
      <c r="F130" s="201"/>
      <c r="G130" s="136"/>
      <c r="H130" s="136"/>
      <c r="I130" s="136"/>
      <c r="J130" s="136"/>
      <c r="K130" s="136"/>
      <c r="L130" s="136"/>
      <c r="M130" s="136"/>
      <c r="N130" s="136"/>
      <c r="O130" s="136"/>
      <c r="P130" s="136"/>
      <c r="Q130" s="136"/>
      <c r="R130" s="136"/>
    </row>
    <row r="131">
      <c r="A131" s="136"/>
      <c r="B131" s="136"/>
      <c r="C131" s="136"/>
      <c r="D131" s="136"/>
      <c r="E131" s="136"/>
      <c r="F131" s="201"/>
      <c r="G131" s="136"/>
      <c r="H131" s="136"/>
      <c r="I131" s="136"/>
      <c r="J131" s="136"/>
      <c r="K131" s="136"/>
      <c r="L131" s="136"/>
      <c r="M131" s="136"/>
      <c r="N131" s="136"/>
      <c r="O131" s="136"/>
      <c r="P131" s="136"/>
      <c r="Q131" s="136"/>
      <c r="R131" s="136"/>
    </row>
    <row r="132">
      <c r="A132" s="136"/>
      <c r="B132" s="136"/>
      <c r="C132" s="136"/>
      <c r="D132" s="136"/>
      <c r="E132" s="136"/>
      <c r="F132" s="201"/>
      <c r="G132" s="136"/>
      <c r="H132" s="136"/>
      <c r="I132" s="136"/>
      <c r="J132" s="136"/>
      <c r="K132" s="136"/>
      <c r="L132" s="136"/>
      <c r="M132" s="136"/>
      <c r="N132" s="136"/>
      <c r="O132" s="136"/>
      <c r="P132" s="136"/>
      <c r="Q132" s="136"/>
      <c r="R132" s="136"/>
    </row>
    <row r="133">
      <c r="A133" s="136"/>
      <c r="B133" s="136"/>
      <c r="C133" s="136"/>
      <c r="D133" s="136"/>
      <c r="E133" s="136"/>
      <c r="F133" s="201"/>
      <c r="G133" s="136"/>
      <c r="H133" s="136"/>
      <c r="I133" s="136"/>
      <c r="J133" s="136"/>
      <c r="K133" s="136"/>
      <c r="L133" s="136"/>
      <c r="M133" s="136"/>
      <c r="N133" s="136"/>
      <c r="O133" s="136"/>
      <c r="P133" s="136"/>
      <c r="Q133" s="136"/>
      <c r="R133" s="136"/>
    </row>
    <row r="134">
      <c r="A134" s="136"/>
      <c r="B134" s="136"/>
      <c r="C134" s="136"/>
      <c r="D134" s="136"/>
      <c r="E134" s="136"/>
      <c r="F134" s="201"/>
      <c r="G134" s="136"/>
      <c r="H134" s="136"/>
      <c r="I134" s="136"/>
      <c r="J134" s="136"/>
      <c r="K134" s="136"/>
      <c r="L134" s="136"/>
      <c r="M134" s="136"/>
      <c r="N134" s="136"/>
      <c r="O134" s="136"/>
      <c r="P134" s="136"/>
      <c r="Q134" s="136"/>
      <c r="R134" s="136"/>
    </row>
    <row r="135">
      <c r="A135" s="136"/>
      <c r="B135" s="136"/>
      <c r="C135" s="136"/>
      <c r="D135" s="136"/>
      <c r="E135" s="136"/>
      <c r="F135" s="201"/>
      <c r="G135" s="136"/>
      <c r="H135" s="136"/>
      <c r="I135" s="136"/>
      <c r="J135" s="136"/>
      <c r="K135" s="136"/>
      <c r="L135" s="136"/>
      <c r="M135" s="136"/>
      <c r="N135" s="136"/>
      <c r="O135" s="136"/>
      <c r="P135" s="136"/>
      <c r="Q135" s="136"/>
      <c r="R135" s="136"/>
    </row>
    <row r="136">
      <c r="A136" s="136"/>
      <c r="B136" s="136"/>
      <c r="C136" s="136"/>
      <c r="D136" s="136"/>
      <c r="E136" s="136"/>
      <c r="F136" s="201"/>
      <c r="G136" s="136"/>
      <c r="H136" s="136"/>
      <c r="I136" s="136"/>
      <c r="J136" s="136"/>
      <c r="K136" s="136"/>
      <c r="L136" s="136"/>
      <c r="M136" s="136"/>
      <c r="N136" s="136"/>
      <c r="O136" s="136"/>
      <c r="P136" s="136"/>
      <c r="Q136" s="136"/>
      <c r="R136" s="136"/>
    </row>
    <row r="137">
      <c r="A137" s="136"/>
      <c r="B137" s="136"/>
      <c r="C137" s="136"/>
      <c r="D137" s="136"/>
      <c r="E137" s="136"/>
      <c r="F137" s="201"/>
      <c r="G137" s="136"/>
      <c r="H137" s="136"/>
      <c r="I137" s="136"/>
      <c r="J137" s="136"/>
      <c r="K137" s="136"/>
      <c r="L137" s="136"/>
      <c r="M137" s="136"/>
      <c r="N137" s="136"/>
      <c r="O137" s="136"/>
      <c r="P137" s="136"/>
      <c r="Q137" s="136"/>
      <c r="R137" s="136"/>
    </row>
    <row r="138">
      <c r="A138" s="136"/>
      <c r="B138" s="136"/>
      <c r="C138" s="136"/>
      <c r="D138" s="136"/>
      <c r="E138" s="136"/>
      <c r="F138" s="201"/>
      <c r="G138" s="136"/>
      <c r="H138" s="136"/>
      <c r="I138" s="136"/>
      <c r="J138" s="136"/>
      <c r="K138" s="136"/>
      <c r="L138" s="136"/>
      <c r="M138" s="136"/>
      <c r="N138" s="136"/>
      <c r="O138" s="136"/>
      <c r="P138" s="136"/>
      <c r="Q138" s="136"/>
      <c r="R138" s="136"/>
    </row>
    <row r="139">
      <c r="A139" s="136"/>
      <c r="B139" s="136"/>
      <c r="C139" s="136"/>
      <c r="D139" s="136"/>
      <c r="E139" s="136"/>
      <c r="F139" s="201"/>
      <c r="G139" s="136"/>
      <c r="H139" s="136"/>
      <c r="I139" s="136"/>
      <c r="J139" s="136"/>
      <c r="K139" s="136"/>
      <c r="L139" s="136"/>
      <c r="M139" s="136"/>
      <c r="N139" s="136"/>
      <c r="O139" s="136"/>
      <c r="P139" s="136"/>
      <c r="Q139" s="136"/>
      <c r="R139" s="136"/>
    </row>
    <row r="140">
      <c r="A140" s="136"/>
      <c r="B140" s="136"/>
      <c r="C140" s="136"/>
      <c r="D140" s="136"/>
      <c r="E140" s="136"/>
      <c r="F140" s="201"/>
      <c r="G140" s="136"/>
      <c r="H140" s="136"/>
      <c r="I140" s="136"/>
      <c r="J140" s="136"/>
      <c r="K140" s="136"/>
      <c r="L140" s="136"/>
      <c r="M140" s="136"/>
      <c r="N140" s="136"/>
      <c r="O140" s="136"/>
      <c r="P140" s="136"/>
      <c r="Q140" s="136"/>
      <c r="R140" s="136"/>
    </row>
    <row r="141">
      <c r="A141" s="136"/>
      <c r="B141" s="136"/>
      <c r="C141" s="136"/>
      <c r="D141" s="136"/>
      <c r="E141" s="136"/>
      <c r="F141" s="201"/>
      <c r="G141" s="136"/>
      <c r="H141" s="136"/>
      <c r="I141" s="136"/>
      <c r="J141" s="136"/>
      <c r="K141" s="136"/>
      <c r="L141" s="136"/>
      <c r="M141" s="136"/>
      <c r="N141" s="136"/>
      <c r="O141" s="136"/>
      <c r="P141" s="136"/>
      <c r="Q141" s="136"/>
      <c r="R141" s="136"/>
    </row>
    <row r="142">
      <c r="A142" s="136"/>
      <c r="B142" s="136"/>
      <c r="C142" s="136"/>
      <c r="D142" s="136"/>
      <c r="E142" s="136"/>
      <c r="F142" s="201"/>
      <c r="G142" s="136"/>
      <c r="H142" s="136"/>
      <c r="I142" s="136"/>
      <c r="J142" s="136"/>
      <c r="K142" s="136"/>
      <c r="L142" s="136"/>
      <c r="M142" s="136"/>
      <c r="N142" s="136"/>
      <c r="O142" s="136"/>
      <c r="P142" s="136"/>
      <c r="Q142" s="136"/>
      <c r="R142" s="136"/>
    </row>
    <row r="143">
      <c r="A143" s="136"/>
      <c r="B143" s="136"/>
      <c r="C143" s="136"/>
      <c r="D143" s="136"/>
      <c r="E143" s="136"/>
      <c r="F143" s="201"/>
      <c r="G143" s="136"/>
      <c r="H143" s="136"/>
      <c r="I143" s="136"/>
      <c r="J143" s="136"/>
      <c r="K143" s="136"/>
      <c r="L143" s="136"/>
      <c r="M143" s="136"/>
      <c r="N143" s="136"/>
      <c r="O143" s="136"/>
      <c r="P143" s="136"/>
      <c r="Q143" s="136"/>
      <c r="R143" s="136"/>
    </row>
    <row r="144">
      <c r="A144" s="136"/>
      <c r="B144" s="136"/>
      <c r="C144" s="136"/>
      <c r="D144" s="136"/>
      <c r="E144" s="136"/>
      <c r="F144" s="201"/>
      <c r="G144" s="136"/>
      <c r="H144" s="136"/>
      <c r="I144" s="136"/>
      <c r="J144" s="136"/>
      <c r="K144" s="136"/>
      <c r="L144" s="136"/>
      <c r="M144" s="136"/>
      <c r="N144" s="136"/>
      <c r="O144" s="136"/>
      <c r="P144" s="136"/>
      <c r="Q144" s="136"/>
      <c r="R144" s="136"/>
    </row>
    <row r="145">
      <c r="A145" s="136"/>
      <c r="B145" s="136"/>
      <c r="C145" s="136"/>
      <c r="D145" s="136"/>
      <c r="E145" s="136"/>
      <c r="F145" s="201"/>
      <c r="G145" s="136"/>
      <c r="H145" s="136"/>
      <c r="I145" s="136"/>
      <c r="J145" s="136"/>
      <c r="K145" s="136"/>
      <c r="L145" s="136"/>
      <c r="M145" s="136"/>
      <c r="N145" s="136"/>
      <c r="O145" s="136"/>
      <c r="P145" s="136"/>
      <c r="Q145" s="136"/>
      <c r="R145" s="136"/>
    </row>
    <row r="146">
      <c r="A146" s="136"/>
      <c r="B146" s="136"/>
      <c r="C146" s="136"/>
      <c r="D146" s="136"/>
      <c r="E146" s="136"/>
      <c r="F146" s="201"/>
      <c r="G146" s="136"/>
      <c r="H146" s="136"/>
      <c r="I146" s="136"/>
      <c r="J146" s="136"/>
      <c r="K146" s="136"/>
      <c r="L146" s="136"/>
      <c r="M146" s="136"/>
      <c r="N146" s="136"/>
      <c r="O146" s="136"/>
      <c r="P146" s="136"/>
      <c r="Q146" s="136"/>
      <c r="R146" s="136"/>
    </row>
    <row r="147">
      <c r="A147" s="136"/>
      <c r="B147" s="136"/>
      <c r="C147" s="136"/>
      <c r="D147" s="136"/>
      <c r="E147" s="136"/>
      <c r="F147" s="201"/>
      <c r="G147" s="136"/>
      <c r="H147" s="136"/>
      <c r="I147" s="136"/>
      <c r="J147" s="136"/>
      <c r="K147" s="136"/>
      <c r="L147" s="136"/>
      <c r="M147" s="136"/>
      <c r="N147" s="136"/>
      <c r="O147" s="136"/>
      <c r="P147" s="136"/>
      <c r="Q147" s="136"/>
      <c r="R147" s="136"/>
    </row>
    <row r="148">
      <c r="A148" s="136"/>
      <c r="B148" s="136"/>
      <c r="C148" s="136"/>
      <c r="D148" s="136"/>
      <c r="E148" s="136"/>
      <c r="F148" s="201"/>
      <c r="G148" s="136"/>
      <c r="H148" s="136"/>
      <c r="I148" s="136"/>
      <c r="J148" s="136"/>
      <c r="K148" s="136"/>
      <c r="L148" s="136"/>
      <c r="M148" s="136"/>
      <c r="N148" s="136"/>
      <c r="O148" s="136"/>
      <c r="P148" s="136"/>
      <c r="Q148" s="136"/>
      <c r="R148" s="136"/>
    </row>
    <row r="149">
      <c r="A149" s="136"/>
      <c r="B149" s="136"/>
      <c r="C149" s="136"/>
      <c r="D149" s="136"/>
      <c r="E149" s="136"/>
      <c r="F149" s="201"/>
      <c r="G149" s="136"/>
      <c r="H149" s="136"/>
      <c r="I149" s="136"/>
      <c r="J149" s="136"/>
      <c r="K149" s="136"/>
      <c r="L149" s="136"/>
      <c r="M149" s="136"/>
      <c r="N149" s="136"/>
      <c r="O149" s="136"/>
      <c r="P149" s="136"/>
      <c r="Q149" s="136"/>
      <c r="R149" s="136"/>
    </row>
    <row r="150">
      <c r="A150" s="136"/>
      <c r="B150" s="136"/>
      <c r="C150" s="136"/>
      <c r="D150" s="136"/>
      <c r="E150" s="136"/>
      <c r="F150" s="201"/>
      <c r="G150" s="136"/>
      <c r="H150" s="136"/>
      <c r="I150" s="136"/>
      <c r="J150" s="136"/>
      <c r="K150" s="136"/>
      <c r="L150" s="136"/>
      <c r="M150" s="136"/>
      <c r="N150" s="136"/>
      <c r="O150" s="136"/>
      <c r="P150" s="136"/>
      <c r="Q150" s="136"/>
      <c r="R150" s="136"/>
    </row>
    <row r="151">
      <c r="A151" s="136"/>
      <c r="B151" s="136"/>
      <c r="C151" s="136"/>
      <c r="D151" s="136"/>
      <c r="E151" s="136"/>
      <c r="F151" s="201"/>
      <c r="G151" s="136"/>
      <c r="H151" s="136"/>
      <c r="I151" s="136"/>
      <c r="J151" s="136"/>
      <c r="K151" s="136"/>
      <c r="L151" s="136"/>
      <c r="M151" s="136"/>
      <c r="N151" s="136"/>
      <c r="O151" s="136"/>
      <c r="P151" s="136"/>
      <c r="Q151" s="136"/>
      <c r="R151" s="136"/>
    </row>
    <row r="152">
      <c r="A152" s="136"/>
      <c r="B152" s="136"/>
      <c r="C152" s="136"/>
      <c r="D152" s="136"/>
      <c r="E152" s="136"/>
      <c r="F152" s="201"/>
      <c r="G152" s="136"/>
      <c r="H152" s="136"/>
      <c r="I152" s="136"/>
      <c r="J152" s="136"/>
      <c r="K152" s="136"/>
      <c r="L152" s="136"/>
      <c r="M152" s="136"/>
      <c r="N152" s="136"/>
      <c r="O152" s="136"/>
      <c r="P152" s="136"/>
      <c r="Q152" s="136"/>
      <c r="R152" s="136"/>
    </row>
    <row r="153">
      <c r="A153" s="136"/>
      <c r="B153" s="136"/>
      <c r="C153" s="136"/>
      <c r="D153" s="136"/>
      <c r="E153" s="136"/>
      <c r="F153" s="201"/>
      <c r="G153" s="136"/>
      <c r="H153" s="136"/>
      <c r="I153" s="136"/>
      <c r="J153" s="136"/>
      <c r="K153" s="136"/>
      <c r="L153" s="136"/>
      <c r="M153" s="136"/>
      <c r="N153" s="136"/>
      <c r="O153" s="136"/>
      <c r="P153" s="136"/>
      <c r="Q153" s="136"/>
      <c r="R153" s="136"/>
    </row>
    <row r="154">
      <c r="A154" s="136"/>
      <c r="B154" s="136"/>
      <c r="C154" s="136"/>
      <c r="D154" s="136"/>
      <c r="E154" s="136"/>
      <c r="F154" s="201"/>
      <c r="G154" s="136"/>
      <c r="H154" s="136"/>
      <c r="I154" s="136"/>
      <c r="J154" s="136"/>
      <c r="K154" s="136"/>
      <c r="L154" s="136"/>
      <c r="M154" s="136"/>
      <c r="N154" s="136"/>
      <c r="O154" s="136"/>
      <c r="P154" s="136"/>
      <c r="Q154" s="136"/>
      <c r="R154" s="136"/>
    </row>
    <row r="155">
      <c r="A155" s="136"/>
      <c r="B155" s="136"/>
      <c r="C155" s="136"/>
      <c r="D155" s="136"/>
      <c r="E155" s="136"/>
      <c r="F155" s="201"/>
      <c r="G155" s="136"/>
      <c r="H155" s="136"/>
      <c r="I155" s="136"/>
      <c r="J155" s="136"/>
      <c r="K155" s="136"/>
      <c r="L155" s="136"/>
      <c r="M155" s="136"/>
      <c r="N155" s="136"/>
      <c r="O155" s="136"/>
      <c r="P155" s="136"/>
      <c r="Q155" s="136"/>
      <c r="R155" s="136"/>
    </row>
    <row r="156">
      <c r="A156" s="136"/>
      <c r="B156" s="136"/>
      <c r="C156" s="136"/>
      <c r="D156" s="136"/>
      <c r="E156" s="136"/>
      <c r="F156" s="201"/>
      <c r="G156" s="136"/>
      <c r="H156" s="136"/>
      <c r="I156" s="136"/>
      <c r="J156" s="136"/>
      <c r="K156" s="136"/>
      <c r="L156" s="136"/>
      <c r="M156" s="136"/>
      <c r="N156" s="136"/>
      <c r="O156" s="136"/>
      <c r="P156" s="136"/>
      <c r="Q156" s="136"/>
      <c r="R156" s="136"/>
    </row>
    <row r="157">
      <c r="A157" s="136"/>
      <c r="B157" s="136"/>
      <c r="C157" s="136"/>
      <c r="D157" s="136"/>
      <c r="E157" s="136"/>
      <c r="F157" s="201"/>
      <c r="G157" s="136"/>
      <c r="H157" s="136"/>
      <c r="I157" s="136"/>
      <c r="J157" s="136"/>
      <c r="K157" s="136"/>
      <c r="L157" s="136"/>
      <c r="M157" s="136"/>
      <c r="N157" s="136"/>
      <c r="O157" s="136"/>
      <c r="P157" s="136"/>
      <c r="Q157" s="136"/>
      <c r="R157" s="136"/>
    </row>
    <row r="158">
      <c r="A158" s="136"/>
      <c r="B158" s="136"/>
      <c r="C158" s="136"/>
      <c r="D158" s="136"/>
      <c r="E158" s="136"/>
      <c r="F158" s="201"/>
      <c r="G158" s="136"/>
      <c r="H158" s="136"/>
      <c r="I158" s="136"/>
      <c r="J158" s="136"/>
      <c r="K158" s="136"/>
      <c r="L158" s="136"/>
      <c r="M158" s="136"/>
      <c r="N158" s="136"/>
      <c r="O158" s="136"/>
      <c r="P158" s="136"/>
      <c r="Q158" s="136"/>
      <c r="R158" s="136"/>
    </row>
    <row r="159">
      <c r="A159" s="136"/>
      <c r="B159" s="136"/>
      <c r="C159" s="136"/>
      <c r="D159" s="136"/>
      <c r="E159" s="136"/>
      <c r="F159" s="201"/>
      <c r="G159" s="136"/>
      <c r="H159" s="136"/>
      <c r="I159" s="136"/>
      <c r="J159" s="136"/>
      <c r="K159" s="136"/>
      <c r="L159" s="136"/>
      <c r="M159" s="136"/>
      <c r="N159" s="136"/>
      <c r="O159" s="136"/>
      <c r="P159" s="136"/>
      <c r="Q159" s="136"/>
      <c r="R159" s="136"/>
    </row>
    <row r="160">
      <c r="A160" s="136"/>
      <c r="B160" s="136"/>
      <c r="C160" s="136"/>
      <c r="D160" s="136"/>
      <c r="E160" s="136"/>
      <c r="F160" s="201"/>
      <c r="G160" s="136"/>
      <c r="H160" s="136"/>
      <c r="I160" s="136"/>
      <c r="J160" s="136"/>
      <c r="K160" s="136"/>
      <c r="L160" s="136"/>
      <c r="M160" s="136"/>
      <c r="N160" s="136"/>
      <c r="O160" s="136"/>
      <c r="P160" s="136"/>
      <c r="Q160" s="136"/>
      <c r="R160" s="136"/>
    </row>
    <row r="161">
      <c r="A161" s="136"/>
      <c r="B161" s="136"/>
      <c r="C161" s="136"/>
      <c r="D161" s="136"/>
      <c r="E161" s="136"/>
      <c r="F161" s="201"/>
      <c r="G161" s="136"/>
      <c r="H161" s="136"/>
      <c r="I161" s="136"/>
      <c r="J161" s="136"/>
      <c r="K161" s="136"/>
      <c r="L161" s="136"/>
      <c r="M161" s="136"/>
      <c r="N161" s="136"/>
      <c r="O161" s="136"/>
      <c r="P161" s="136"/>
      <c r="Q161" s="136"/>
      <c r="R161" s="136"/>
    </row>
    <row r="162">
      <c r="A162" s="136"/>
      <c r="B162" s="136"/>
      <c r="C162" s="136"/>
      <c r="D162" s="136"/>
      <c r="E162" s="136"/>
      <c r="F162" s="201"/>
      <c r="G162" s="136"/>
      <c r="H162" s="136"/>
      <c r="I162" s="136"/>
      <c r="J162" s="136"/>
      <c r="K162" s="136"/>
      <c r="L162" s="136"/>
      <c r="M162" s="136"/>
      <c r="N162" s="136"/>
      <c r="O162" s="136"/>
      <c r="P162" s="136"/>
      <c r="Q162" s="136"/>
      <c r="R162" s="136"/>
    </row>
    <row r="163">
      <c r="A163" s="136"/>
      <c r="B163" s="136"/>
      <c r="C163" s="136"/>
      <c r="D163" s="136"/>
      <c r="E163" s="136"/>
      <c r="F163" s="201"/>
      <c r="G163" s="136"/>
      <c r="H163" s="136"/>
      <c r="I163" s="136"/>
      <c r="J163" s="136"/>
      <c r="K163" s="136"/>
      <c r="L163" s="136"/>
      <c r="M163" s="136"/>
      <c r="N163" s="136"/>
      <c r="O163" s="136"/>
      <c r="P163" s="136"/>
      <c r="Q163" s="136"/>
      <c r="R163" s="136"/>
    </row>
    <row r="164">
      <c r="A164" s="136"/>
      <c r="B164" s="136"/>
      <c r="C164" s="136"/>
      <c r="D164" s="136"/>
      <c r="E164" s="136"/>
      <c r="F164" s="201"/>
      <c r="G164" s="136"/>
      <c r="H164" s="136"/>
      <c r="I164" s="136"/>
      <c r="J164" s="136"/>
      <c r="K164" s="136"/>
      <c r="L164" s="136"/>
      <c r="M164" s="136"/>
      <c r="N164" s="136"/>
      <c r="O164" s="136"/>
      <c r="P164" s="136"/>
      <c r="Q164" s="136"/>
      <c r="R164" s="136"/>
    </row>
    <row r="165">
      <c r="A165" s="136"/>
      <c r="B165" s="136"/>
      <c r="C165" s="136"/>
      <c r="D165" s="136"/>
      <c r="E165" s="136"/>
      <c r="F165" s="201"/>
      <c r="G165" s="136"/>
      <c r="H165" s="136"/>
      <c r="I165" s="136"/>
      <c r="J165" s="136"/>
      <c r="K165" s="136"/>
      <c r="L165" s="136"/>
      <c r="M165" s="136"/>
      <c r="N165" s="136"/>
      <c r="O165" s="136"/>
      <c r="P165" s="136"/>
      <c r="Q165" s="136"/>
      <c r="R165" s="136"/>
    </row>
    <row r="166">
      <c r="A166" s="136"/>
      <c r="B166" s="136"/>
      <c r="C166" s="136"/>
      <c r="D166" s="136"/>
      <c r="E166" s="136"/>
      <c r="F166" s="201"/>
      <c r="G166" s="136"/>
      <c r="H166" s="136"/>
      <c r="I166" s="136"/>
      <c r="J166" s="136"/>
      <c r="K166" s="136"/>
      <c r="L166" s="136"/>
      <c r="M166" s="136"/>
      <c r="N166" s="136"/>
      <c r="O166" s="136"/>
      <c r="P166" s="136"/>
      <c r="Q166" s="136"/>
      <c r="R166" s="136"/>
    </row>
    <row r="167">
      <c r="A167" s="136"/>
      <c r="B167" s="136"/>
      <c r="C167" s="136"/>
      <c r="D167" s="136"/>
      <c r="E167" s="136"/>
      <c r="F167" s="201"/>
      <c r="G167" s="136"/>
      <c r="H167" s="136"/>
      <c r="I167" s="136"/>
      <c r="J167" s="136"/>
      <c r="K167" s="136"/>
      <c r="L167" s="136"/>
      <c r="M167" s="136"/>
      <c r="N167" s="136"/>
      <c r="O167" s="136"/>
      <c r="P167" s="136"/>
      <c r="Q167" s="136"/>
      <c r="R167" s="136"/>
    </row>
    <row r="168">
      <c r="A168" s="136"/>
      <c r="B168" s="136"/>
      <c r="C168" s="136"/>
      <c r="D168" s="136"/>
      <c r="E168" s="136"/>
      <c r="F168" s="201"/>
      <c r="G168" s="136"/>
      <c r="H168" s="136"/>
      <c r="I168" s="136"/>
      <c r="J168" s="136"/>
      <c r="K168" s="136"/>
      <c r="L168" s="136"/>
      <c r="M168" s="136"/>
      <c r="N168" s="136"/>
      <c r="O168" s="136"/>
      <c r="P168" s="136"/>
      <c r="Q168" s="136"/>
      <c r="R168" s="136"/>
    </row>
    <row r="169">
      <c r="A169" s="136"/>
      <c r="B169" s="136"/>
      <c r="C169" s="136"/>
      <c r="D169" s="136"/>
      <c r="E169" s="136"/>
      <c r="F169" s="201"/>
      <c r="G169" s="136"/>
      <c r="H169" s="136"/>
      <c r="I169" s="136"/>
      <c r="J169" s="136"/>
      <c r="K169" s="136"/>
      <c r="L169" s="136"/>
      <c r="M169" s="136"/>
      <c r="N169" s="136"/>
      <c r="O169" s="136"/>
      <c r="P169" s="136"/>
      <c r="Q169" s="136"/>
      <c r="R169" s="136"/>
    </row>
    <row r="170">
      <c r="A170" s="136"/>
      <c r="B170" s="136"/>
      <c r="C170" s="136"/>
      <c r="D170" s="136"/>
      <c r="E170" s="136"/>
      <c r="F170" s="201"/>
      <c r="G170" s="136"/>
      <c r="H170" s="136"/>
      <c r="I170" s="136"/>
      <c r="J170" s="136"/>
      <c r="K170" s="136"/>
      <c r="L170" s="136"/>
      <c r="M170" s="136"/>
      <c r="N170" s="136"/>
      <c r="O170" s="136"/>
      <c r="P170" s="136"/>
      <c r="Q170" s="136"/>
      <c r="R170" s="136"/>
    </row>
    <row r="171">
      <c r="A171" s="136"/>
      <c r="B171" s="136"/>
      <c r="C171" s="136"/>
      <c r="D171" s="136"/>
      <c r="E171" s="136"/>
      <c r="F171" s="201"/>
      <c r="G171" s="136"/>
      <c r="H171" s="136"/>
      <c r="I171" s="136"/>
      <c r="J171" s="136"/>
      <c r="K171" s="136"/>
      <c r="L171" s="136"/>
      <c r="M171" s="136"/>
      <c r="N171" s="136"/>
      <c r="O171" s="136"/>
      <c r="P171" s="136"/>
      <c r="Q171" s="136"/>
      <c r="R171" s="136"/>
    </row>
    <row r="172">
      <c r="A172" s="136"/>
      <c r="B172" s="136"/>
      <c r="C172" s="136"/>
      <c r="D172" s="136"/>
      <c r="E172" s="136"/>
      <c r="F172" s="201"/>
      <c r="G172" s="136"/>
      <c r="H172" s="136"/>
      <c r="I172" s="136"/>
      <c r="J172" s="136"/>
      <c r="K172" s="136"/>
      <c r="L172" s="136"/>
      <c r="M172" s="136"/>
      <c r="N172" s="136"/>
      <c r="O172" s="136"/>
      <c r="P172" s="136"/>
      <c r="Q172" s="136"/>
      <c r="R172" s="136"/>
    </row>
    <row r="173">
      <c r="A173" s="136"/>
      <c r="B173" s="136"/>
      <c r="C173" s="136"/>
      <c r="D173" s="136"/>
      <c r="E173" s="136"/>
      <c r="F173" s="201"/>
      <c r="G173" s="136"/>
      <c r="H173" s="136"/>
      <c r="I173" s="136"/>
      <c r="J173" s="136"/>
      <c r="K173" s="136"/>
      <c r="L173" s="136"/>
      <c r="M173" s="136"/>
      <c r="N173" s="136"/>
      <c r="O173" s="136"/>
      <c r="P173" s="136"/>
      <c r="Q173" s="136"/>
      <c r="R173" s="136"/>
    </row>
    <row r="174">
      <c r="A174" s="136"/>
      <c r="B174" s="136"/>
      <c r="C174" s="136"/>
      <c r="D174" s="136"/>
      <c r="E174" s="136"/>
      <c r="F174" s="201"/>
      <c r="G174" s="136"/>
      <c r="H174" s="136"/>
      <c r="I174" s="136"/>
      <c r="J174" s="136"/>
      <c r="K174" s="136"/>
      <c r="L174" s="136"/>
      <c r="M174" s="136"/>
      <c r="N174" s="136"/>
      <c r="O174" s="136"/>
      <c r="P174" s="136"/>
      <c r="Q174" s="136"/>
      <c r="R174" s="136"/>
    </row>
    <row r="175">
      <c r="A175" s="136"/>
      <c r="B175" s="136"/>
      <c r="C175" s="136"/>
      <c r="D175" s="136"/>
      <c r="E175" s="136"/>
      <c r="F175" s="201"/>
      <c r="G175" s="136"/>
      <c r="H175" s="136"/>
      <c r="I175" s="136"/>
      <c r="J175" s="136"/>
      <c r="K175" s="136"/>
      <c r="L175" s="136"/>
      <c r="M175" s="136"/>
      <c r="N175" s="136"/>
      <c r="O175" s="136"/>
      <c r="P175" s="136"/>
      <c r="Q175" s="136"/>
      <c r="R175" s="136"/>
    </row>
    <row r="176">
      <c r="A176" s="136"/>
      <c r="B176" s="136"/>
      <c r="C176" s="136"/>
      <c r="D176" s="136"/>
      <c r="E176" s="136"/>
      <c r="F176" s="201"/>
      <c r="G176" s="136"/>
      <c r="H176" s="136"/>
      <c r="I176" s="136"/>
      <c r="J176" s="136"/>
      <c r="K176" s="136"/>
      <c r="L176" s="136"/>
      <c r="M176" s="136"/>
      <c r="N176" s="136"/>
      <c r="O176" s="136"/>
      <c r="P176" s="136"/>
      <c r="Q176" s="136"/>
      <c r="R176" s="136"/>
    </row>
    <row r="177">
      <c r="A177" s="136"/>
      <c r="B177" s="136"/>
      <c r="C177" s="136"/>
      <c r="D177" s="136"/>
      <c r="E177" s="136"/>
      <c r="F177" s="201"/>
      <c r="G177" s="136"/>
      <c r="H177" s="136"/>
      <c r="I177" s="136"/>
      <c r="J177" s="136"/>
      <c r="K177" s="136"/>
      <c r="L177" s="136"/>
      <c r="M177" s="136"/>
      <c r="N177" s="136"/>
      <c r="O177" s="136"/>
      <c r="P177" s="136"/>
      <c r="Q177" s="136"/>
      <c r="R177" s="136"/>
    </row>
    <row r="178">
      <c r="A178" s="136"/>
      <c r="B178" s="136"/>
      <c r="C178" s="136"/>
      <c r="D178" s="136"/>
      <c r="E178" s="136"/>
      <c r="F178" s="201"/>
      <c r="G178" s="136"/>
      <c r="H178" s="136"/>
      <c r="I178" s="136"/>
      <c r="J178" s="136"/>
      <c r="K178" s="136"/>
      <c r="L178" s="136"/>
      <c r="M178" s="136"/>
      <c r="N178" s="136"/>
      <c r="O178" s="136"/>
      <c r="P178" s="136"/>
      <c r="Q178" s="136"/>
      <c r="R178" s="136"/>
    </row>
    <row r="179">
      <c r="A179" s="136"/>
      <c r="B179" s="136"/>
      <c r="C179" s="136"/>
      <c r="D179" s="136"/>
      <c r="E179" s="136"/>
      <c r="F179" s="201"/>
      <c r="G179" s="136"/>
      <c r="H179" s="136"/>
      <c r="I179" s="136"/>
      <c r="J179" s="136"/>
      <c r="K179" s="136"/>
      <c r="L179" s="136"/>
      <c r="M179" s="136"/>
      <c r="N179" s="136"/>
      <c r="O179" s="136"/>
      <c r="P179" s="136"/>
      <c r="Q179" s="136"/>
      <c r="R179" s="136"/>
    </row>
    <row r="180">
      <c r="A180" s="136"/>
      <c r="B180" s="136"/>
      <c r="C180" s="136"/>
      <c r="D180" s="136"/>
      <c r="E180" s="136"/>
      <c r="F180" s="201"/>
      <c r="G180" s="136"/>
      <c r="H180" s="136"/>
      <c r="I180" s="136"/>
      <c r="J180" s="136"/>
      <c r="K180" s="136"/>
      <c r="L180" s="136"/>
      <c r="M180" s="136"/>
      <c r="N180" s="136"/>
      <c r="O180" s="136"/>
      <c r="P180" s="136"/>
      <c r="Q180" s="136"/>
      <c r="R180" s="136"/>
    </row>
    <row r="181">
      <c r="A181" s="136"/>
      <c r="B181" s="136"/>
      <c r="C181" s="136"/>
      <c r="D181" s="136"/>
      <c r="E181" s="136"/>
      <c r="F181" s="201"/>
      <c r="G181" s="136"/>
      <c r="H181" s="136"/>
      <c r="I181" s="136"/>
      <c r="J181" s="136"/>
      <c r="K181" s="136"/>
      <c r="L181" s="136"/>
      <c r="M181" s="136"/>
      <c r="N181" s="136"/>
      <c r="O181" s="136"/>
      <c r="P181" s="136"/>
      <c r="Q181" s="136"/>
      <c r="R181" s="136"/>
    </row>
    <row r="182">
      <c r="A182" s="136"/>
      <c r="B182" s="136"/>
      <c r="C182" s="136"/>
      <c r="D182" s="136"/>
      <c r="E182" s="136"/>
      <c r="F182" s="201"/>
      <c r="G182" s="136"/>
      <c r="H182" s="136"/>
      <c r="I182" s="136"/>
      <c r="J182" s="136"/>
      <c r="K182" s="136"/>
      <c r="L182" s="136"/>
      <c r="M182" s="136"/>
      <c r="N182" s="136"/>
      <c r="O182" s="136"/>
      <c r="P182" s="136"/>
      <c r="Q182" s="136"/>
      <c r="R182" s="136"/>
    </row>
    <row r="183">
      <c r="A183" s="136"/>
      <c r="B183" s="136"/>
      <c r="C183" s="136"/>
      <c r="D183" s="136"/>
      <c r="E183" s="136"/>
      <c r="F183" s="201"/>
      <c r="G183" s="136"/>
      <c r="H183" s="136"/>
      <c r="I183" s="136"/>
      <c r="J183" s="136"/>
      <c r="K183" s="136"/>
      <c r="L183" s="136"/>
      <c r="M183" s="136"/>
      <c r="N183" s="136"/>
      <c r="O183" s="136"/>
      <c r="P183" s="136"/>
      <c r="Q183" s="136"/>
      <c r="R183" s="136"/>
    </row>
    <row r="184">
      <c r="A184" s="136"/>
      <c r="B184" s="136"/>
      <c r="C184" s="136"/>
      <c r="D184" s="136"/>
      <c r="E184" s="136"/>
      <c r="F184" s="201"/>
      <c r="G184" s="136"/>
      <c r="H184" s="136"/>
      <c r="I184" s="136"/>
      <c r="J184" s="136"/>
      <c r="K184" s="136"/>
      <c r="L184" s="136"/>
      <c r="M184" s="136"/>
      <c r="N184" s="136"/>
      <c r="O184" s="136"/>
      <c r="P184" s="136"/>
      <c r="Q184" s="136"/>
      <c r="R184" s="136"/>
    </row>
    <row r="185">
      <c r="A185" s="136"/>
      <c r="B185" s="136"/>
      <c r="C185" s="136"/>
      <c r="D185" s="136"/>
      <c r="E185" s="136"/>
      <c r="F185" s="201"/>
      <c r="G185" s="136"/>
      <c r="H185" s="136"/>
      <c r="I185" s="136"/>
      <c r="J185" s="136"/>
      <c r="K185" s="136"/>
      <c r="L185" s="136"/>
      <c r="M185" s="136"/>
      <c r="N185" s="136"/>
      <c r="O185" s="136"/>
      <c r="P185" s="136"/>
      <c r="Q185" s="136"/>
      <c r="R185" s="136"/>
    </row>
    <row r="186">
      <c r="A186" s="136"/>
      <c r="B186" s="136"/>
      <c r="C186" s="136"/>
      <c r="D186" s="136"/>
      <c r="E186" s="136"/>
      <c r="F186" s="201"/>
      <c r="G186" s="136"/>
      <c r="H186" s="136"/>
      <c r="I186" s="136"/>
      <c r="J186" s="136"/>
      <c r="K186" s="136"/>
      <c r="L186" s="136"/>
      <c r="M186" s="136"/>
      <c r="N186" s="136"/>
      <c r="O186" s="136"/>
      <c r="P186" s="136"/>
      <c r="Q186" s="136"/>
      <c r="R186" s="136"/>
    </row>
    <row r="187">
      <c r="A187" s="136"/>
      <c r="B187" s="136"/>
      <c r="C187" s="136"/>
      <c r="D187" s="136"/>
      <c r="E187" s="136"/>
      <c r="F187" s="201"/>
      <c r="G187" s="136"/>
      <c r="H187" s="136"/>
      <c r="I187" s="136"/>
      <c r="J187" s="136"/>
      <c r="K187" s="136"/>
      <c r="L187" s="136"/>
      <c r="M187" s="136"/>
      <c r="N187" s="136"/>
      <c r="O187" s="136"/>
      <c r="P187" s="136"/>
      <c r="Q187" s="136"/>
      <c r="R187" s="136"/>
    </row>
    <row r="188">
      <c r="A188" s="136"/>
      <c r="B188" s="136"/>
      <c r="C188" s="136"/>
      <c r="D188" s="136"/>
      <c r="E188" s="136"/>
      <c r="F188" s="201"/>
      <c r="G188" s="136"/>
      <c r="H188" s="136"/>
      <c r="I188" s="136"/>
      <c r="J188" s="136"/>
      <c r="K188" s="136"/>
      <c r="L188" s="136"/>
      <c r="M188" s="136"/>
      <c r="N188" s="136"/>
      <c r="O188" s="136"/>
      <c r="P188" s="136"/>
      <c r="Q188" s="136"/>
      <c r="R188" s="136"/>
    </row>
    <row r="189">
      <c r="A189" s="136"/>
      <c r="B189" s="136"/>
      <c r="C189" s="136"/>
      <c r="D189" s="136"/>
      <c r="E189" s="136"/>
      <c r="F189" s="201"/>
      <c r="G189" s="136"/>
      <c r="H189" s="136"/>
      <c r="I189" s="136"/>
      <c r="J189" s="136"/>
      <c r="K189" s="136"/>
      <c r="L189" s="136"/>
      <c r="M189" s="136"/>
      <c r="N189" s="136"/>
      <c r="O189" s="136"/>
      <c r="P189" s="136"/>
      <c r="Q189" s="136"/>
      <c r="R189" s="136"/>
    </row>
    <row r="190">
      <c r="A190" s="136"/>
      <c r="B190" s="136"/>
      <c r="C190" s="136"/>
      <c r="D190" s="136"/>
      <c r="E190" s="136"/>
      <c r="F190" s="201"/>
      <c r="G190" s="136"/>
      <c r="H190" s="136"/>
      <c r="I190" s="136"/>
      <c r="J190" s="136"/>
      <c r="K190" s="136"/>
      <c r="L190" s="136"/>
      <c r="M190" s="136"/>
      <c r="N190" s="136"/>
      <c r="O190" s="136"/>
      <c r="P190" s="136"/>
      <c r="Q190" s="136"/>
      <c r="R190" s="136"/>
    </row>
    <row r="191">
      <c r="A191" s="136"/>
      <c r="B191" s="136"/>
      <c r="C191" s="136"/>
      <c r="D191" s="136"/>
      <c r="E191" s="136"/>
      <c r="F191" s="201"/>
      <c r="G191" s="136"/>
      <c r="H191" s="136"/>
      <c r="I191" s="136"/>
      <c r="J191" s="136"/>
      <c r="K191" s="136"/>
      <c r="L191" s="136"/>
      <c r="M191" s="136"/>
      <c r="N191" s="136"/>
      <c r="O191" s="136"/>
      <c r="P191" s="136"/>
      <c r="Q191" s="136"/>
      <c r="R191" s="136"/>
    </row>
    <row r="192">
      <c r="A192" s="136"/>
      <c r="B192" s="136"/>
      <c r="C192" s="136"/>
      <c r="D192" s="136"/>
      <c r="E192" s="136"/>
      <c r="F192" s="201"/>
      <c r="G192" s="136"/>
      <c r="H192" s="136"/>
      <c r="I192" s="136"/>
      <c r="J192" s="136"/>
      <c r="K192" s="136"/>
      <c r="L192" s="136"/>
      <c r="M192" s="136"/>
      <c r="N192" s="136"/>
      <c r="O192" s="136"/>
      <c r="P192" s="136"/>
      <c r="Q192" s="136"/>
      <c r="R192" s="136"/>
    </row>
    <row r="193">
      <c r="A193" s="136"/>
      <c r="B193" s="136"/>
      <c r="C193" s="136"/>
      <c r="D193" s="136"/>
      <c r="E193" s="136"/>
      <c r="F193" s="201"/>
      <c r="G193" s="136"/>
      <c r="H193" s="136"/>
      <c r="I193" s="136"/>
      <c r="J193" s="136"/>
      <c r="K193" s="136"/>
      <c r="L193" s="136"/>
      <c r="M193" s="136"/>
      <c r="N193" s="136"/>
      <c r="O193" s="136"/>
      <c r="P193" s="136"/>
      <c r="Q193" s="136"/>
      <c r="R193" s="136"/>
    </row>
    <row r="194">
      <c r="A194" s="136"/>
      <c r="B194" s="136"/>
      <c r="C194" s="136"/>
      <c r="D194" s="136"/>
      <c r="E194" s="136"/>
      <c r="F194" s="201"/>
      <c r="G194" s="136"/>
      <c r="H194" s="136"/>
      <c r="I194" s="136"/>
      <c r="J194" s="136"/>
      <c r="K194" s="136"/>
      <c r="L194" s="136"/>
      <c r="M194" s="136"/>
      <c r="N194" s="136"/>
      <c r="O194" s="136"/>
      <c r="P194" s="136"/>
      <c r="Q194" s="136"/>
      <c r="R194" s="136"/>
    </row>
    <row r="195">
      <c r="A195" s="136"/>
      <c r="B195" s="136"/>
      <c r="C195" s="136"/>
      <c r="D195" s="136"/>
      <c r="E195" s="136"/>
      <c r="F195" s="201"/>
      <c r="G195" s="136"/>
      <c r="H195" s="136"/>
      <c r="I195" s="136"/>
      <c r="J195" s="136"/>
      <c r="K195" s="136"/>
      <c r="L195" s="136"/>
      <c r="M195" s="136"/>
      <c r="N195" s="136"/>
      <c r="O195" s="136"/>
      <c r="P195" s="136"/>
      <c r="Q195" s="136"/>
      <c r="R195" s="136"/>
    </row>
    <row r="196">
      <c r="A196" s="136"/>
      <c r="B196" s="136"/>
      <c r="C196" s="136"/>
      <c r="D196" s="136"/>
      <c r="E196" s="136"/>
      <c r="F196" s="201"/>
      <c r="G196" s="136"/>
      <c r="H196" s="136"/>
      <c r="I196" s="136"/>
      <c r="J196" s="136"/>
      <c r="K196" s="136"/>
      <c r="L196" s="136"/>
      <c r="M196" s="136"/>
      <c r="N196" s="136"/>
      <c r="O196" s="136"/>
      <c r="P196" s="136"/>
      <c r="Q196" s="136"/>
      <c r="R196" s="136"/>
    </row>
    <row r="197">
      <c r="A197" s="136"/>
      <c r="B197" s="136"/>
      <c r="C197" s="136"/>
      <c r="D197" s="136"/>
      <c r="E197" s="136"/>
      <c r="F197" s="201"/>
      <c r="G197" s="136"/>
      <c r="H197" s="136"/>
      <c r="I197" s="136"/>
      <c r="J197" s="136"/>
      <c r="K197" s="136"/>
      <c r="L197" s="136"/>
      <c r="M197" s="136"/>
      <c r="N197" s="136"/>
      <c r="O197" s="136"/>
      <c r="P197" s="136"/>
      <c r="Q197" s="136"/>
      <c r="R197" s="136"/>
    </row>
    <row r="198">
      <c r="A198" s="136"/>
      <c r="B198" s="136"/>
      <c r="C198" s="136"/>
      <c r="D198" s="136"/>
      <c r="E198" s="136"/>
      <c r="F198" s="201"/>
      <c r="G198" s="136"/>
      <c r="H198" s="136"/>
      <c r="I198" s="136"/>
      <c r="J198" s="136"/>
      <c r="K198" s="136"/>
      <c r="L198" s="136"/>
      <c r="M198" s="136"/>
      <c r="N198" s="136"/>
      <c r="O198" s="136"/>
      <c r="P198" s="136"/>
      <c r="Q198" s="136"/>
      <c r="R198" s="136"/>
    </row>
    <row r="199">
      <c r="A199" s="136"/>
      <c r="B199" s="136"/>
      <c r="C199" s="136"/>
      <c r="D199" s="136"/>
      <c r="E199" s="136"/>
      <c r="F199" s="201"/>
      <c r="G199" s="136"/>
      <c r="H199" s="136"/>
      <c r="I199" s="136"/>
      <c r="J199" s="136"/>
      <c r="K199" s="136"/>
      <c r="L199" s="136"/>
      <c r="M199" s="136"/>
      <c r="N199" s="136"/>
      <c r="O199" s="136"/>
      <c r="P199" s="136"/>
      <c r="Q199" s="136"/>
      <c r="R199" s="136"/>
    </row>
    <row r="200">
      <c r="A200" s="136"/>
      <c r="B200" s="136"/>
      <c r="C200" s="136"/>
      <c r="D200" s="136"/>
      <c r="E200" s="136"/>
      <c r="F200" s="201"/>
      <c r="G200" s="136"/>
      <c r="H200" s="136"/>
      <c r="I200" s="136"/>
      <c r="J200" s="136"/>
      <c r="K200" s="136"/>
      <c r="L200" s="136"/>
      <c r="M200" s="136"/>
      <c r="N200" s="136"/>
      <c r="O200" s="136"/>
      <c r="P200" s="136"/>
      <c r="Q200" s="136"/>
      <c r="R200" s="136"/>
    </row>
    <row r="201">
      <c r="A201" s="136"/>
      <c r="B201" s="136"/>
      <c r="C201" s="136"/>
      <c r="D201" s="136"/>
      <c r="E201" s="136"/>
      <c r="F201" s="201"/>
      <c r="G201" s="136"/>
      <c r="H201" s="136"/>
      <c r="I201" s="136"/>
      <c r="J201" s="136"/>
      <c r="K201" s="136"/>
      <c r="L201" s="136"/>
      <c r="M201" s="136"/>
      <c r="N201" s="136"/>
      <c r="O201" s="136"/>
      <c r="P201" s="136"/>
      <c r="Q201" s="136"/>
      <c r="R201" s="136"/>
    </row>
    <row r="202">
      <c r="A202" s="136"/>
      <c r="B202" s="136"/>
      <c r="C202" s="136"/>
      <c r="D202" s="136"/>
      <c r="E202" s="136"/>
      <c r="F202" s="201"/>
      <c r="G202" s="136"/>
      <c r="H202" s="136"/>
      <c r="I202" s="136"/>
      <c r="J202" s="136"/>
      <c r="K202" s="136"/>
      <c r="L202" s="136"/>
      <c r="M202" s="136"/>
      <c r="N202" s="136"/>
      <c r="O202" s="136"/>
      <c r="P202" s="136"/>
      <c r="Q202" s="136"/>
      <c r="R202" s="136"/>
    </row>
    <row r="203">
      <c r="A203" s="136"/>
      <c r="B203" s="136"/>
      <c r="C203" s="136"/>
      <c r="D203" s="136"/>
      <c r="E203" s="136"/>
      <c r="F203" s="201"/>
      <c r="G203" s="136"/>
      <c r="H203" s="136"/>
      <c r="I203" s="136"/>
      <c r="J203" s="136"/>
      <c r="K203" s="136"/>
      <c r="L203" s="136"/>
      <c r="M203" s="136"/>
      <c r="N203" s="136"/>
      <c r="O203" s="136"/>
      <c r="P203" s="136"/>
      <c r="Q203" s="136"/>
      <c r="R203" s="136"/>
    </row>
    <row r="204">
      <c r="A204" s="136"/>
      <c r="B204" s="136"/>
      <c r="C204" s="136"/>
      <c r="D204" s="136"/>
      <c r="E204" s="136"/>
      <c r="F204" s="201"/>
      <c r="G204" s="136"/>
      <c r="H204" s="136"/>
      <c r="I204" s="136"/>
      <c r="J204" s="136"/>
      <c r="K204" s="136"/>
      <c r="L204" s="136"/>
      <c r="M204" s="136"/>
      <c r="N204" s="136"/>
      <c r="O204" s="136"/>
      <c r="P204" s="136"/>
      <c r="Q204" s="136"/>
      <c r="R204" s="136"/>
    </row>
    <row r="205">
      <c r="A205" s="136"/>
      <c r="B205" s="136"/>
      <c r="C205" s="136"/>
      <c r="D205" s="136"/>
      <c r="E205" s="136"/>
      <c r="F205" s="201"/>
      <c r="G205" s="136"/>
      <c r="H205" s="136"/>
      <c r="I205" s="136"/>
      <c r="J205" s="136"/>
      <c r="K205" s="136"/>
      <c r="L205" s="136"/>
      <c r="M205" s="136"/>
      <c r="N205" s="136"/>
      <c r="O205" s="136"/>
      <c r="P205" s="136"/>
      <c r="Q205" s="136"/>
      <c r="R205" s="136"/>
    </row>
    <row r="206">
      <c r="A206" s="136"/>
      <c r="B206" s="136"/>
      <c r="C206" s="136"/>
      <c r="D206" s="136"/>
      <c r="E206" s="136"/>
      <c r="F206" s="201"/>
      <c r="G206" s="136"/>
      <c r="H206" s="136"/>
      <c r="I206" s="136"/>
      <c r="J206" s="136"/>
      <c r="K206" s="136"/>
      <c r="L206" s="136"/>
      <c r="M206" s="136"/>
      <c r="N206" s="136"/>
      <c r="O206" s="136"/>
      <c r="P206" s="136"/>
      <c r="Q206" s="136"/>
      <c r="R206" s="136"/>
    </row>
    <row r="207">
      <c r="A207" s="136"/>
      <c r="B207" s="136"/>
      <c r="C207" s="136"/>
      <c r="D207" s="136"/>
      <c r="E207" s="136"/>
      <c r="F207" s="201"/>
      <c r="G207" s="136"/>
      <c r="H207" s="136"/>
      <c r="I207" s="136"/>
      <c r="J207" s="136"/>
      <c r="K207" s="136"/>
      <c r="L207" s="136"/>
      <c r="M207" s="136"/>
      <c r="N207" s="136"/>
      <c r="O207" s="136"/>
      <c r="P207" s="136"/>
      <c r="Q207" s="136"/>
      <c r="R207" s="136"/>
    </row>
    <row r="208">
      <c r="A208" s="136"/>
      <c r="B208" s="136"/>
      <c r="C208" s="136"/>
      <c r="D208" s="136"/>
      <c r="E208" s="136"/>
      <c r="F208" s="201"/>
      <c r="G208" s="136"/>
      <c r="H208" s="136"/>
      <c r="I208" s="136"/>
      <c r="J208" s="136"/>
      <c r="K208" s="136"/>
      <c r="L208" s="136"/>
      <c r="M208" s="136"/>
      <c r="N208" s="136"/>
      <c r="O208" s="136"/>
      <c r="P208" s="136"/>
      <c r="Q208" s="136"/>
      <c r="R208" s="136"/>
    </row>
    <row r="209">
      <c r="A209" s="136"/>
      <c r="B209" s="136"/>
      <c r="C209" s="136"/>
      <c r="D209" s="136"/>
      <c r="E209" s="136"/>
      <c r="F209" s="201"/>
      <c r="G209" s="136"/>
      <c r="H209" s="136"/>
      <c r="I209" s="136"/>
      <c r="J209" s="136"/>
      <c r="K209" s="136"/>
      <c r="L209" s="136"/>
      <c r="M209" s="136"/>
      <c r="N209" s="136"/>
      <c r="O209" s="136"/>
      <c r="P209" s="136"/>
      <c r="Q209" s="136"/>
      <c r="R209" s="136"/>
    </row>
    <row r="210">
      <c r="A210" s="136"/>
      <c r="B210" s="136"/>
      <c r="C210" s="136"/>
      <c r="D210" s="136"/>
      <c r="E210" s="136"/>
      <c r="F210" s="201"/>
      <c r="G210" s="136"/>
      <c r="H210" s="136"/>
      <c r="I210" s="136"/>
      <c r="J210" s="136"/>
      <c r="K210" s="136"/>
      <c r="L210" s="136"/>
      <c r="M210" s="136"/>
      <c r="N210" s="136"/>
      <c r="O210" s="136"/>
      <c r="P210" s="136"/>
      <c r="Q210" s="136"/>
      <c r="R210" s="136"/>
    </row>
    <row r="211">
      <c r="A211" s="136"/>
      <c r="B211" s="136"/>
      <c r="C211" s="136"/>
      <c r="D211" s="136"/>
      <c r="E211" s="136"/>
      <c r="F211" s="201"/>
      <c r="G211" s="136"/>
      <c r="H211" s="136"/>
      <c r="I211" s="136"/>
      <c r="J211" s="136"/>
      <c r="K211" s="136"/>
      <c r="L211" s="136"/>
      <c r="M211" s="136"/>
      <c r="N211" s="136"/>
      <c r="O211" s="136"/>
      <c r="P211" s="136"/>
      <c r="Q211" s="136"/>
      <c r="R211" s="136"/>
    </row>
    <row r="212">
      <c r="A212" s="136"/>
      <c r="B212" s="136"/>
      <c r="C212" s="136"/>
      <c r="D212" s="136"/>
      <c r="E212" s="136"/>
      <c r="F212" s="201"/>
      <c r="G212" s="136"/>
      <c r="H212" s="136"/>
      <c r="I212" s="136"/>
      <c r="J212" s="136"/>
      <c r="K212" s="136"/>
      <c r="L212" s="136"/>
      <c r="M212" s="136"/>
      <c r="N212" s="136"/>
      <c r="O212" s="136"/>
      <c r="P212" s="136"/>
      <c r="Q212" s="136"/>
      <c r="R212" s="136"/>
    </row>
    <row r="213">
      <c r="A213" s="136"/>
      <c r="B213" s="136"/>
      <c r="C213" s="136"/>
      <c r="D213" s="136"/>
      <c r="E213" s="136"/>
      <c r="F213" s="201"/>
      <c r="G213" s="136"/>
      <c r="H213" s="136"/>
      <c r="I213" s="136"/>
      <c r="J213" s="136"/>
      <c r="K213" s="136"/>
      <c r="L213" s="136"/>
      <c r="M213" s="136"/>
      <c r="N213" s="136"/>
      <c r="O213" s="136"/>
      <c r="P213" s="136"/>
      <c r="Q213" s="136"/>
      <c r="R213" s="136"/>
    </row>
    <row r="214">
      <c r="A214" s="136"/>
      <c r="B214" s="136"/>
      <c r="C214" s="136"/>
      <c r="D214" s="136"/>
      <c r="E214" s="136"/>
      <c r="F214" s="201"/>
      <c r="G214" s="136"/>
      <c r="H214" s="136"/>
      <c r="I214" s="136"/>
      <c r="J214" s="136"/>
      <c r="K214" s="136"/>
      <c r="L214" s="136"/>
      <c r="M214" s="136"/>
      <c r="N214" s="136"/>
      <c r="O214" s="136"/>
      <c r="P214" s="136"/>
      <c r="Q214" s="136"/>
      <c r="R214" s="136"/>
    </row>
    <row r="215">
      <c r="A215" s="136"/>
      <c r="B215" s="136"/>
      <c r="C215" s="136"/>
      <c r="D215" s="136"/>
      <c r="E215" s="136"/>
      <c r="F215" s="201"/>
      <c r="G215" s="136"/>
      <c r="H215" s="136"/>
      <c r="I215" s="136"/>
      <c r="J215" s="136"/>
      <c r="K215" s="136"/>
      <c r="L215" s="136"/>
      <c r="M215" s="136"/>
      <c r="N215" s="136"/>
      <c r="O215" s="136"/>
      <c r="P215" s="136"/>
      <c r="Q215" s="136"/>
      <c r="R215" s="136"/>
    </row>
    <row r="216">
      <c r="A216" s="136"/>
      <c r="B216" s="136"/>
      <c r="C216" s="136"/>
      <c r="D216" s="136"/>
      <c r="E216" s="136"/>
      <c r="F216" s="201"/>
      <c r="G216" s="136"/>
      <c r="H216" s="136"/>
      <c r="I216" s="136"/>
      <c r="J216" s="136"/>
      <c r="K216" s="136"/>
      <c r="L216" s="136"/>
      <c r="M216" s="136"/>
      <c r="N216" s="136"/>
      <c r="O216" s="136"/>
      <c r="P216" s="136"/>
      <c r="Q216" s="136"/>
      <c r="R216" s="136"/>
    </row>
    <row r="217">
      <c r="A217" s="136"/>
      <c r="B217" s="136"/>
      <c r="C217" s="136"/>
      <c r="D217" s="136"/>
      <c r="E217" s="136"/>
      <c r="F217" s="201"/>
      <c r="G217" s="136"/>
      <c r="H217" s="136"/>
      <c r="I217" s="136"/>
      <c r="J217" s="136"/>
      <c r="K217" s="136"/>
      <c r="L217" s="136"/>
      <c r="M217" s="136"/>
      <c r="N217" s="136"/>
      <c r="O217" s="136"/>
      <c r="P217" s="136"/>
      <c r="Q217" s="136"/>
      <c r="R217" s="136"/>
    </row>
    <row r="218">
      <c r="A218" s="136"/>
      <c r="B218" s="136"/>
      <c r="C218" s="136"/>
      <c r="D218" s="136"/>
      <c r="E218" s="136"/>
      <c r="F218" s="201"/>
      <c r="G218" s="136"/>
      <c r="H218" s="136"/>
      <c r="I218" s="136"/>
      <c r="J218" s="136"/>
      <c r="K218" s="136"/>
      <c r="L218" s="136"/>
      <c r="M218" s="136"/>
      <c r="N218" s="136"/>
      <c r="O218" s="136"/>
      <c r="P218" s="136"/>
      <c r="Q218" s="136"/>
      <c r="R218" s="136"/>
    </row>
    <row r="219">
      <c r="A219" s="136"/>
      <c r="B219" s="136"/>
      <c r="C219" s="136"/>
      <c r="D219" s="136"/>
      <c r="E219" s="136"/>
      <c r="F219" s="201"/>
      <c r="G219" s="136"/>
      <c r="H219" s="136"/>
      <c r="I219" s="136"/>
      <c r="J219" s="136"/>
      <c r="K219" s="136"/>
      <c r="L219" s="136"/>
      <c r="M219" s="136"/>
      <c r="N219" s="136"/>
      <c r="O219" s="136"/>
      <c r="P219" s="136"/>
      <c r="Q219" s="136"/>
      <c r="R219" s="136"/>
    </row>
    <row r="220">
      <c r="A220" s="136"/>
      <c r="B220" s="136"/>
      <c r="C220" s="136"/>
      <c r="D220" s="136"/>
      <c r="E220" s="136"/>
      <c r="F220" s="201"/>
      <c r="G220" s="136"/>
      <c r="H220" s="136"/>
      <c r="I220" s="136"/>
      <c r="J220" s="136"/>
      <c r="K220" s="136"/>
      <c r="L220" s="136"/>
      <c r="M220" s="136"/>
      <c r="N220" s="136"/>
      <c r="O220" s="136"/>
      <c r="P220" s="136"/>
      <c r="Q220" s="136"/>
      <c r="R220" s="136"/>
    </row>
    <row r="221">
      <c r="A221" s="136"/>
      <c r="B221" s="136"/>
      <c r="C221" s="136"/>
      <c r="D221" s="136"/>
      <c r="E221" s="136"/>
      <c r="F221" s="201"/>
      <c r="G221" s="136"/>
      <c r="H221" s="136"/>
      <c r="I221" s="136"/>
      <c r="J221" s="136"/>
      <c r="K221" s="136"/>
      <c r="L221" s="136"/>
      <c r="M221" s="136"/>
      <c r="N221" s="136"/>
      <c r="O221" s="136"/>
      <c r="P221" s="136"/>
      <c r="Q221" s="136"/>
      <c r="R221" s="136"/>
    </row>
    <row r="222">
      <c r="A222" s="136"/>
      <c r="B222" s="136"/>
      <c r="C222" s="136"/>
      <c r="D222" s="136"/>
      <c r="E222" s="136"/>
      <c r="F222" s="201"/>
      <c r="G222" s="136"/>
      <c r="H222" s="136"/>
      <c r="I222" s="136"/>
      <c r="J222" s="136"/>
      <c r="K222" s="136"/>
      <c r="L222" s="136"/>
      <c r="M222" s="136"/>
      <c r="N222" s="136"/>
      <c r="O222" s="136"/>
      <c r="P222" s="136"/>
      <c r="Q222" s="136"/>
      <c r="R222" s="136"/>
    </row>
    <row r="223">
      <c r="A223" s="136"/>
      <c r="B223" s="136"/>
      <c r="C223" s="136"/>
      <c r="D223" s="136"/>
      <c r="E223" s="136"/>
      <c r="F223" s="201"/>
      <c r="G223" s="136"/>
      <c r="H223" s="136"/>
      <c r="I223" s="136"/>
      <c r="J223" s="136"/>
      <c r="K223" s="136"/>
      <c r="L223" s="136"/>
      <c r="M223" s="136"/>
      <c r="N223" s="136"/>
      <c r="O223" s="136"/>
      <c r="P223" s="136"/>
      <c r="Q223" s="136"/>
      <c r="R223" s="136"/>
    </row>
    <row r="224">
      <c r="A224" s="136"/>
      <c r="B224" s="136"/>
      <c r="C224" s="136"/>
      <c r="D224" s="136"/>
      <c r="E224" s="136"/>
      <c r="F224" s="201"/>
      <c r="G224" s="136"/>
      <c r="H224" s="136"/>
      <c r="I224" s="136"/>
      <c r="J224" s="136"/>
      <c r="K224" s="136"/>
      <c r="L224" s="136"/>
      <c r="M224" s="136"/>
      <c r="N224" s="136"/>
      <c r="O224" s="136"/>
      <c r="P224" s="136"/>
      <c r="Q224" s="136"/>
      <c r="R224" s="136"/>
    </row>
    <row r="225">
      <c r="A225" s="136"/>
      <c r="B225" s="136"/>
      <c r="C225" s="136"/>
      <c r="D225" s="136"/>
      <c r="E225" s="136"/>
      <c r="F225" s="201"/>
      <c r="G225" s="136"/>
      <c r="H225" s="136"/>
      <c r="I225" s="136"/>
      <c r="J225" s="136"/>
      <c r="K225" s="136"/>
      <c r="L225" s="136"/>
      <c r="M225" s="136"/>
      <c r="N225" s="136"/>
      <c r="O225" s="136"/>
      <c r="P225" s="136"/>
      <c r="Q225" s="136"/>
      <c r="R225" s="136"/>
    </row>
    <row r="226">
      <c r="A226" s="136"/>
      <c r="B226" s="136"/>
      <c r="C226" s="136"/>
      <c r="D226" s="136"/>
      <c r="E226" s="136"/>
      <c r="F226" s="201"/>
      <c r="G226" s="136"/>
      <c r="H226" s="136"/>
      <c r="I226" s="136"/>
      <c r="J226" s="136"/>
      <c r="K226" s="136"/>
      <c r="L226" s="136"/>
      <c r="M226" s="136"/>
      <c r="N226" s="136"/>
      <c r="O226" s="136"/>
      <c r="P226" s="136"/>
      <c r="Q226" s="136"/>
      <c r="R226" s="136"/>
    </row>
    <row r="227">
      <c r="A227" s="136"/>
      <c r="B227" s="136"/>
      <c r="C227" s="136"/>
      <c r="D227" s="136"/>
      <c r="E227" s="136"/>
      <c r="F227" s="201"/>
      <c r="G227" s="136"/>
      <c r="H227" s="136"/>
      <c r="I227" s="136"/>
      <c r="J227" s="136"/>
      <c r="K227" s="136"/>
      <c r="L227" s="136"/>
      <c r="M227" s="136"/>
      <c r="N227" s="136"/>
      <c r="O227" s="136"/>
      <c r="P227" s="136"/>
      <c r="Q227" s="136"/>
      <c r="R227" s="136"/>
    </row>
    <row r="228">
      <c r="A228" s="136"/>
      <c r="B228" s="136"/>
      <c r="C228" s="136"/>
      <c r="D228" s="136"/>
      <c r="E228" s="136"/>
      <c r="F228" s="201"/>
      <c r="G228" s="136"/>
      <c r="H228" s="136"/>
      <c r="I228" s="136"/>
      <c r="J228" s="136"/>
      <c r="K228" s="136"/>
      <c r="L228" s="136"/>
      <c r="M228" s="136"/>
      <c r="N228" s="136"/>
      <c r="O228" s="136"/>
      <c r="P228" s="136"/>
      <c r="Q228" s="136"/>
      <c r="R228" s="136"/>
    </row>
    <row r="229">
      <c r="A229" s="136"/>
      <c r="B229" s="136"/>
      <c r="C229" s="136"/>
      <c r="D229" s="136"/>
      <c r="E229" s="136"/>
      <c r="F229" s="201"/>
      <c r="G229" s="136"/>
      <c r="H229" s="136"/>
      <c r="I229" s="136"/>
      <c r="J229" s="136"/>
      <c r="K229" s="136"/>
      <c r="L229" s="136"/>
      <c r="M229" s="136"/>
      <c r="N229" s="136"/>
      <c r="O229" s="136"/>
      <c r="P229" s="136"/>
      <c r="Q229" s="136"/>
      <c r="R229" s="136"/>
    </row>
    <row r="230">
      <c r="A230" s="136"/>
      <c r="B230" s="136"/>
      <c r="C230" s="136"/>
      <c r="D230" s="136"/>
      <c r="E230" s="136"/>
      <c r="F230" s="201"/>
      <c r="G230" s="136"/>
      <c r="H230" s="136"/>
      <c r="I230" s="136"/>
      <c r="J230" s="136"/>
      <c r="K230" s="136"/>
      <c r="L230" s="136"/>
      <c r="M230" s="136"/>
      <c r="N230" s="136"/>
      <c r="O230" s="136"/>
      <c r="P230" s="136"/>
      <c r="Q230" s="136"/>
      <c r="R230" s="136"/>
    </row>
    <row r="231">
      <c r="A231" s="136"/>
      <c r="B231" s="136"/>
      <c r="C231" s="136"/>
      <c r="D231" s="136"/>
      <c r="E231" s="136"/>
      <c r="F231" s="201"/>
      <c r="G231" s="136"/>
      <c r="H231" s="136"/>
      <c r="I231" s="136"/>
      <c r="J231" s="136"/>
      <c r="K231" s="136"/>
      <c r="L231" s="136"/>
      <c r="M231" s="136"/>
      <c r="N231" s="136"/>
      <c r="O231" s="136"/>
      <c r="P231" s="136"/>
      <c r="Q231" s="136"/>
      <c r="R231" s="136"/>
    </row>
    <row r="232">
      <c r="A232" s="136"/>
      <c r="B232" s="136"/>
      <c r="C232" s="136"/>
      <c r="D232" s="136"/>
      <c r="E232" s="136"/>
      <c r="F232" s="201"/>
      <c r="G232" s="136"/>
      <c r="H232" s="136"/>
      <c r="I232" s="136"/>
      <c r="J232" s="136"/>
      <c r="K232" s="136"/>
      <c r="L232" s="136"/>
      <c r="M232" s="136"/>
      <c r="N232" s="136"/>
      <c r="O232" s="136"/>
      <c r="P232" s="136"/>
      <c r="Q232" s="136"/>
      <c r="R232" s="136"/>
    </row>
    <row r="233">
      <c r="A233" s="136"/>
      <c r="B233" s="136"/>
      <c r="C233" s="136"/>
      <c r="D233" s="136"/>
      <c r="E233" s="136"/>
      <c r="F233" s="201"/>
      <c r="G233" s="136"/>
      <c r="H233" s="136"/>
      <c r="I233" s="136"/>
      <c r="J233" s="136"/>
      <c r="K233" s="136"/>
      <c r="L233" s="136"/>
      <c r="M233" s="136"/>
      <c r="N233" s="136"/>
      <c r="O233" s="136"/>
      <c r="P233" s="136"/>
      <c r="Q233" s="136"/>
      <c r="R233" s="136"/>
    </row>
    <row r="234">
      <c r="A234" s="136"/>
      <c r="B234" s="136"/>
      <c r="C234" s="136"/>
      <c r="D234" s="136"/>
      <c r="E234" s="136"/>
      <c r="F234" s="201"/>
      <c r="G234" s="136"/>
      <c r="H234" s="136"/>
      <c r="I234" s="136"/>
      <c r="J234" s="136"/>
      <c r="K234" s="136"/>
      <c r="L234" s="136"/>
      <c r="M234" s="136"/>
      <c r="N234" s="136"/>
      <c r="O234" s="136"/>
      <c r="P234" s="136"/>
      <c r="Q234" s="136"/>
      <c r="R234" s="136"/>
    </row>
    <row r="235">
      <c r="A235" s="136"/>
      <c r="B235" s="136"/>
      <c r="C235" s="136"/>
      <c r="D235" s="136"/>
      <c r="E235" s="136"/>
      <c r="F235" s="201"/>
      <c r="G235" s="136"/>
      <c r="H235" s="136"/>
      <c r="I235" s="136"/>
      <c r="J235" s="136"/>
      <c r="K235" s="136"/>
      <c r="L235" s="136"/>
      <c r="M235" s="136"/>
      <c r="N235" s="136"/>
      <c r="O235" s="136"/>
      <c r="P235" s="136"/>
      <c r="Q235" s="136"/>
      <c r="R235" s="136"/>
    </row>
    <row r="236">
      <c r="A236" s="136"/>
      <c r="B236" s="136"/>
      <c r="C236" s="136"/>
      <c r="D236" s="136"/>
      <c r="E236" s="136"/>
      <c r="F236" s="201"/>
      <c r="G236" s="136"/>
      <c r="H236" s="136"/>
      <c r="I236" s="136"/>
      <c r="J236" s="136"/>
      <c r="K236" s="136"/>
      <c r="L236" s="136"/>
      <c r="M236" s="136"/>
      <c r="N236" s="136"/>
      <c r="O236" s="136"/>
      <c r="P236" s="136"/>
      <c r="Q236" s="136"/>
      <c r="R236" s="136"/>
    </row>
    <row r="237">
      <c r="A237" s="136"/>
      <c r="B237" s="136"/>
      <c r="C237" s="136"/>
      <c r="D237" s="136"/>
      <c r="E237" s="136"/>
      <c r="F237" s="201"/>
      <c r="G237" s="136"/>
      <c r="H237" s="136"/>
      <c r="I237" s="136"/>
      <c r="J237" s="136"/>
      <c r="K237" s="136"/>
      <c r="L237" s="136"/>
      <c r="M237" s="136"/>
      <c r="N237" s="136"/>
      <c r="O237" s="136"/>
      <c r="P237" s="136"/>
      <c r="Q237" s="136"/>
      <c r="R237" s="136"/>
    </row>
    <row r="238">
      <c r="A238" s="136"/>
      <c r="B238" s="136"/>
      <c r="C238" s="136"/>
      <c r="D238" s="136"/>
      <c r="E238" s="136"/>
      <c r="F238" s="201"/>
      <c r="G238" s="136"/>
      <c r="H238" s="136"/>
      <c r="I238" s="136"/>
      <c r="J238" s="136"/>
      <c r="K238" s="136"/>
      <c r="L238" s="136"/>
      <c r="M238" s="136"/>
      <c r="N238" s="136"/>
      <c r="O238" s="136"/>
      <c r="P238" s="136"/>
      <c r="Q238" s="136"/>
      <c r="R238" s="136"/>
    </row>
    <row r="239">
      <c r="A239" s="136"/>
      <c r="B239" s="136"/>
      <c r="C239" s="136"/>
      <c r="D239" s="136"/>
      <c r="E239" s="136"/>
      <c r="F239" s="201"/>
      <c r="G239" s="136"/>
      <c r="H239" s="136"/>
      <c r="I239" s="136"/>
      <c r="J239" s="136"/>
      <c r="K239" s="136"/>
      <c r="L239" s="136"/>
      <c r="M239" s="136"/>
      <c r="N239" s="136"/>
      <c r="O239" s="136"/>
      <c r="P239" s="136"/>
      <c r="Q239" s="136"/>
      <c r="R239" s="136"/>
    </row>
    <row r="240">
      <c r="A240" s="136"/>
      <c r="B240" s="136"/>
      <c r="C240" s="136"/>
      <c r="D240" s="136"/>
      <c r="E240" s="136"/>
      <c r="F240" s="201"/>
      <c r="G240" s="136"/>
      <c r="H240" s="136"/>
      <c r="I240" s="136"/>
      <c r="J240" s="136"/>
      <c r="K240" s="136"/>
      <c r="L240" s="136"/>
      <c r="M240" s="136"/>
      <c r="N240" s="136"/>
      <c r="O240" s="136"/>
      <c r="P240" s="136"/>
      <c r="Q240" s="136"/>
      <c r="R240" s="136"/>
    </row>
    <row r="241">
      <c r="A241" s="136"/>
      <c r="B241" s="136"/>
      <c r="C241" s="136"/>
      <c r="D241" s="136"/>
      <c r="E241" s="136"/>
      <c r="F241" s="201"/>
      <c r="G241" s="136"/>
      <c r="H241" s="136"/>
      <c r="I241" s="136"/>
      <c r="J241" s="136"/>
      <c r="K241" s="136"/>
      <c r="L241" s="136"/>
      <c r="M241" s="136"/>
      <c r="N241" s="136"/>
      <c r="O241" s="136"/>
      <c r="P241" s="136"/>
      <c r="Q241" s="136"/>
      <c r="R241" s="136"/>
    </row>
    <row r="242">
      <c r="A242" s="136"/>
      <c r="B242" s="136"/>
      <c r="C242" s="136"/>
      <c r="D242" s="136"/>
      <c r="E242" s="136"/>
      <c r="F242" s="201"/>
      <c r="G242" s="136"/>
      <c r="H242" s="136"/>
      <c r="I242" s="136"/>
      <c r="J242" s="136"/>
      <c r="K242" s="136"/>
      <c r="L242" s="136"/>
      <c r="M242" s="136"/>
      <c r="N242" s="136"/>
      <c r="O242" s="136"/>
      <c r="P242" s="136"/>
      <c r="Q242" s="136"/>
      <c r="R242" s="136"/>
    </row>
    <row r="243">
      <c r="A243" s="136"/>
      <c r="B243" s="136"/>
      <c r="C243" s="136"/>
      <c r="D243" s="136"/>
      <c r="E243" s="136"/>
      <c r="F243" s="201"/>
      <c r="G243" s="136"/>
      <c r="H243" s="136"/>
      <c r="I243" s="136"/>
      <c r="J243" s="136"/>
      <c r="K243" s="136"/>
      <c r="L243" s="136"/>
      <c r="M243" s="136"/>
      <c r="N243" s="136"/>
      <c r="O243" s="136"/>
      <c r="P243" s="136"/>
      <c r="Q243" s="136"/>
      <c r="R243" s="136"/>
    </row>
    <row r="244">
      <c r="A244" s="136"/>
      <c r="B244" s="136"/>
      <c r="C244" s="136"/>
      <c r="D244" s="136"/>
      <c r="E244" s="136"/>
      <c r="F244" s="201"/>
      <c r="G244" s="136"/>
      <c r="H244" s="136"/>
      <c r="I244" s="136"/>
      <c r="J244" s="136"/>
      <c r="K244" s="136"/>
      <c r="L244" s="136"/>
      <c r="M244" s="136"/>
      <c r="N244" s="136"/>
      <c r="O244" s="136"/>
      <c r="P244" s="136"/>
      <c r="Q244" s="136"/>
      <c r="R244" s="136"/>
    </row>
    <row r="245">
      <c r="A245" s="136"/>
      <c r="B245" s="136"/>
      <c r="C245" s="136"/>
      <c r="D245" s="136"/>
      <c r="E245" s="136"/>
      <c r="F245" s="201"/>
      <c r="G245" s="136"/>
      <c r="H245" s="136"/>
      <c r="I245" s="136"/>
      <c r="J245" s="136"/>
      <c r="K245" s="136"/>
      <c r="L245" s="136"/>
      <c r="M245" s="136"/>
      <c r="N245" s="136"/>
      <c r="O245" s="136"/>
      <c r="P245" s="136"/>
      <c r="Q245" s="136"/>
      <c r="R245" s="136"/>
    </row>
    <row r="246">
      <c r="A246" s="136"/>
      <c r="B246" s="136"/>
      <c r="C246" s="136"/>
      <c r="D246" s="136"/>
      <c r="E246" s="136"/>
      <c r="F246" s="201"/>
      <c r="G246" s="136"/>
      <c r="H246" s="136"/>
      <c r="I246" s="136"/>
      <c r="J246" s="136"/>
      <c r="K246" s="136"/>
      <c r="L246" s="136"/>
      <c r="M246" s="136"/>
      <c r="N246" s="136"/>
      <c r="O246" s="136"/>
      <c r="P246" s="136"/>
      <c r="Q246" s="136"/>
      <c r="R246" s="136"/>
    </row>
    <row r="247">
      <c r="A247" s="136"/>
      <c r="B247" s="136"/>
      <c r="C247" s="136"/>
      <c r="D247" s="136"/>
      <c r="E247" s="136"/>
      <c r="F247" s="201"/>
      <c r="G247" s="136"/>
      <c r="H247" s="136"/>
      <c r="I247" s="136"/>
      <c r="J247" s="136"/>
      <c r="K247" s="136"/>
      <c r="L247" s="136"/>
      <c r="M247" s="136"/>
      <c r="N247" s="136"/>
      <c r="O247" s="136"/>
      <c r="P247" s="136"/>
      <c r="Q247" s="136"/>
      <c r="R247" s="136"/>
    </row>
    <row r="248">
      <c r="A248" s="136"/>
      <c r="B248" s="136"/>
      <c r="C248" s="136"/>
      <c r="D248" s="136"/>
      <c r="E248" s="136"/>
      <c r="F248" s="201"/>
      <c r="G248" s="136"/>
      <c r="H248" s="136"/>
      <c r="I248" s="136"/>
      <c r="J248" s="136"/>
      <c r="K248" s="136"/>
      <c r="L248" s="136"/>
      <c r="M248" s="136"/>
      <c r="N248" s="136"/>
      <c r="O248" s="136"/>
      <c r="P248" s="136"/>
      <c r="Q248" s="136"/>
      <c r="R248" s="136"/>
    </row>
    <row r="249">
      <c r="A249" s="136"/>
      <c r="B249" s="136"/>
      <c r="C249" s="136"/>
      <c r="D249" s="136"/>
      <c r="E249" s="136"/>
      <c r="F249" s="201"/>
      <c r="G249" s="136"/>
      <c r="H249" s="136"/>
      <c r="I249" s="136"/>
      <c r="J249" s="136"/>
      <c r="K249" s="136"/>
      <c r="L249" s="136"/>
      <c r="M249" s="136"/>
      <c r="N249" s="136"/>
      <c r="O249" s="136"/>
      <c r="P249" s="136"/>
      <c r="Q249" s="136"/>
      <c r="R249" s="136"/>
    </row>
    <row r="250">
      <c r="A250" s="136"/>
      <c r="B250" s="136"/>
      <c r="C250" s="136"/>
      <c r="D250" s="136"/>
      <c r="E250" s="136"/>
      <c r="F250" s="201"/>
      <c r="G250" s="136"/>
      <c r="H250" s="136"/>
      <c r="I250" s="136"/>
      <c r="J250" s="136"/>
      <c r="K250" s="136"/>
      <c r="L250" s="136"/>
      <c r="M250" s="136"/>
      <c r="N250" s="136"/>
      <c r="O250" s="136"/>
      <c r="P250" s="136"/>
      <c r="Q250" s="136"/>
      <c r="R250" s="136"/>
    </row>
    <row r="251">
      <c r="A251" s="136"/>
      <c r="B251" s="136"/>
      <c r="C251" s="136"/>
      <c r="D251" s="136"/>
      <c r="E251" s="136"/>
      <c r="F251" s="201"/>
      <c r="G251" s="136"/>
      <c r="H251" s="136"/>
      <c r="I251" s="136"/>
      <c r="J251" s="136"/>
      <c r="K251" s="136"/>
      <c r="L251" s="136"/>
      <c r="M251" s="136"/>
      <c r="N251" s="136"/>
      <c r="O251" s="136"/>
      <c r="P251" s="136"/>
      <c r="Q251" s="136"/>
      <c r="R251" s="136"/>
    </row>
    <row r="252">
      <c r="A252" s="136"/>
      <c r="B252" s="136"/>
      <c r="C252" s="136"/>
      <c r="D252" s="136"/>
      <c r="E252" s="136"/>
      <c r="F252" s="201"/>
      <c r="G252" s="136"/>
      <c r="H252" s="136"/>
      <c r="I252" s="136"/>
      <c r="J252" s="136"/>
      <c r="K252" s="136"/>
      <c r="L252" s="136"/>
      <c r="M252" s="136"/>
      <c r="N252" s="136"/>
      <c r="O252" s="136"/>
      <c r="P252" s="136"/>
      <c r="Q252" s="136"/>
      <c r="R252" s="136"/>
    </row>
    <row r="253">
      <c r="A253" s="136"/>
      <c r="B253" s="136"/>
      <c r="C253" s="136"/>
      <c r="D253" s="136"/>
      <c r="E253" s="136"/>
      <c r="F253" s="201"/>
      <c r="G253" s="136"/>
      <c r="H253" s="136"/>
      <c r="I253" s="136"/>
      <c r="J253" s="136"/>
      <c r="K253" s="136"/>
      <c r="L253" s="136"/>
      <c r="M253" s="136"/>
      <c r="N253" s="136"/>
      <c r="O253" s="136"/>
      <c r="P253" s="136"/>
      <c r="Q253" s="136"/>
      <c r="R253" s="136"/>
    </row>
    <row r="254">
      <c r="A254" s="136"/>
      <c r="B254" s="136"/>
      <c r="C254" s="136"/>
      <c r="D254" s="136"/>
      <c r="E254" s="136"/>
      <c r="F254" s="201"/>
      <c r="G254" s="136"/>
      <c r="H254" s="136"/>
      <c r="I254" s="136"/>
      <c r="J254" s="136"/>
      <c r="K254" s="136"/>
      <c r="L254" s="136"/>
      <c r="M254" s="136"/>
      <c r="N254" s="136"/>
      <c r="O254" s="136"/>
      <c r="P254" s="136"/>
      <c r="Q254" s="136"/>
      <c r="R254" s="136"/>
    </row>
    <row r="255">
      <c r="A255" s="136"/>
      <c r="B255" s="136"/>
      <c r="C255" s="136"/>
      <c r="D255" s="136"/>
      <c r="E255" s="136"/>
      <c r="F255" s="201"/>
      <c r="G255" s="136"/>
      <c r="H255" s="136"/>
      <c r="I255" s="136"/>
      <c r="J255" s="136"/>
      <c r="K255" s="136"/>
      <c r="L255" s="136"/>
      <c r="M255" s="136"/>
      <c r="N255" s="136"/>
      <c r="O255" s="136"/>
      <c r="P255" s="136"/>
      <c r="Q255" s="136"/>
      <c r="R255" s="136"/>
    </row>
    <row r="256">
      <c r="A256" s="136"/>
      <c r="B256" s="136"/>
      <c r="C256" s="136"/>
      <c r="D256" s="136"/>
      <c r="E256" s="136"/>
      <c r="F256" s="201"/>
      <c r="G256" s="136"/>
      <c r="H256" s="136"/>
      <c r="I256" s="136"/>
      <c r="J256" s="136"/>
      <c r="K256" s="136"/>
      <c r="L256" s="136"/>
      <c r="M256" s="136"/>
      <c r="N256" s="136"/>
      <c r="O256" s="136"/>
      <c r="P256" s="136"/>
      <c r="Q256" s="136"/>
      <c r="R256" s="136"/>
    </row>
    <row r="257">
      <c r="A257" s="136"/>
      <c r="B257" s="136"/>
      <c r="C257" s="136"/>
      <c r="D257" s="136"/>
      <c r="E257" s="136"/>
      <c r="F257" s="201"/>
      <c r="G257" s="136"/>
      <c r="H257" s="136"/>
      <c r="I257" s="136"/>
      <c r="J257" s="136"/>
      <c r="K257" s="136"/>
      <c r="L257" s="136"/>
      <c r="M257" s="136"/>
      <c r="N257" s="136"/>
      <c r="O257" s="136"/>
      <c r="P257" s="136"/>
      <c r="Q257" s="136"/>
      <c r="R257" s="136"/>
    </row>
    <row r="258">
      <c r="A258" s="136"/>
      <c r="B258" s="136"/>
      <c r="C258" s="136"/>
      <c r="D258" s="136"/>
      <c r="E258" s="136"/>
      <c r="F258" s="201"/>
      <c r="G258" s="136"/>
      <c r="H258" s="136"/>
      <c r="I258" s="136"/>
      <c r="J258" s="136"/>
      <c r="K258" s="136"/>
      <c r="L258" s="136"/>
      <c r="M258" s="136"/>
      <c r="N258" s="136"/>
      <c r="O258" s="136"/>
      <c r="P258" s="136"/>
      <c r="Q258" s="136"/>
      <c r="R258" s="136"/>
    </row>
    <row r="259">
      <c r="A259" s="136"/>
      <c r="B259" s="136"/>
      <c r="C259" s="136"/>
      <c r="D259" s="136"/>
      <c r="E259" s="136"/>
      <c r="F259" s="201"/>
      <c r="G259" s="136"/>
      <c r="H259" s="136"/>
      <c r="I259" s="136"/>
      <c r="J259" s="136"/>
      <c r="K259" s="136"/>
      <c r="L259" s="136"/>
      <c r="M259" s="136"/>
      <c r="N259" s="136"/>
      <c r="O259" s="136"/>
      <c r="P259" s="136"/>
      <c r="Q259" s="136"/>
      <c r="R259" s="136"/>
    </row>
    <row r="260">
      <c r="A260" s="136"/>
      <c r="B260" s="136"/>
      <c r="C260" s="136"/>
      <c r="D260" s="136"/>
      <c r="E260" s="136"/>
      <c r="F260" s="201"/>
      <c r="G260" s="136"/>
      <c r="H260" s="136"/>
      <c r="I260" s="136"/>
      <c r="J260" s="136"/>
      <c r="K260" s="136"/>
      <c r="L260" s="136"/>
      <c r="M260" s="136"/>
      <c r="N260" s="136"/>
      <c r="O260" s="136"/>
      <c r="P260" s="136"/>
      <c r="Q260" s="136"/>
      <c r="R260" s="136"/>
    </row>
    <row r="261">
      <c r="A261" s="136"/>
      <c r="B261" s="136"/>
      <c r="C261" s="136"/>
      <c r="D261" s="136"/>
      <c r="E261" s="136"/>
      <c r="F261" s="201"/>
      <c r="G261" s="136"/>
      <c r="H261" s="136"/>
      <c r="I261" s="136"/>
      <c r="J261" s="136"/>
      <c r="K261" s="136"/>
      <c r="L261" s="136"/>
      <c r="M261" s="136"/>
      <c r="N261" s="136"/>
      <c r="O261" s="136"/>
      <c r="P261" s="136"/>
      <c r="Q261" s="136"/>
      <c r="R261" s="136"/>
    </row>
    <row r="262">
      <c r="A262" s="136"/>
      <c r="B262" s="136"/>
      <c r="C262" s="136"/>
      <c r="D262" s="136"/>
      <c r="E262" s="136"/>
      <c r="F262" s="201"/>
      <c r="G262" s="136"/>
      <c r="H262" s="136"/>
      <c r="I262" s="136"/>
      <c r="J262" s="136"/>
      <c r="K262" s="136"/>
      <c r="L262" s="136"/>
      <c r="M262" s="136"/>
      <c r="N262" s="136"/>
      <c r="O262" s="136"/>
      <c r="P262" s="136"/>
      <c r="Q262" s="136"/>
      <c r="R262" s="136"/>
    </row>
    <row r="263">
      <c r="A263" s="136"/>
      <c r="B263" s="136"/>
      <c r="C263" s="136"/>
      <c r="D263" s="136"/>
      <c r="E263" s="136"/>
      <c r="F263" s="201"/>
      <c r="G263" s="136"/>
      <c r="H263" s="136"/>
      <c r="I263" s="136"/>
      <c r="J263" s="136"/>
      <c r="K263" s="136"/>
      <c r="L263" s="136"/>
      <c r="M263" s="136"/>
      <c r="N263" s="136"/>
      <c r="O263" s="136"/>
      <c r="P263" s="136"/>
      <c r="Q263" s="136"/>
      <c r="R263" s="136"/>
    </row>
    <row r="264">
      <c r="A264" s="136"/>
      <c r="B264" s="136"/>
      <c r="C264" s="136"/>
      <c r="D264" s="136"/>
      <c r="E264" s="136"/>
      <c r="F264" s="201"/>
      <c r="G264" s="136"/>
      <c r="H264" s="136"/>
      <c r="I264" s="136"/>
      <c r="J264" s="136"/>
      <c r="K264" s="136"/>
      <c r="L264" s="136"/>
      <c r="M264" s="136"/>
      <c r="N264" s="136"/>
      <c r="O264" s="136"/>
      <c r="P264" s="136"/>
      <c r="Q264" s="136"/>
      <c r="R264" s="136"/>
    </row>
    <row r="265">
      <c r="A265" s="136"/>
      <c r="B265" s="136"/>
      <c r="C265" s="136"/>
      <c r="D265" s="136"/>
      <c r="E265" s="136"/>
      <c r="F265" s="201"/>
      <c r="G265" s="136"/>
      <c r="H265" s="136"/>
      <c r="I265" s="136"/>
      <c r="J265" s="136"/>
      <c r="K265" s="136"/>
      <c r="L265" s="136"/>
      <c r="M265" s="136"/>
      <c r="N265" s="136"/>
      <c r="O265" s="136"/>
      <c r="P265" s="136"/>
      <c r="Q265" s="136"/>
      <c r="R265" s="136"/>
    </row>
    <row r="266">
      <c r="A266" s="136"/>
      <c r="B266" s="136"/>
      <c r="C266" s="136"/>
      <c r="D266" s="136"/>
      <c r="E266" s="136"/>
      <c r="F266" s="201"/>
      <c r="G266" s="136"/>
      <c r="H266" s="136"/>
      <c r="I266" s="136"/>
      <c r="J266" s="136"/>
      <c r="K266" s="136"/>
      <c r="L266" s="136"/>
      <c r="M266" s="136"/>
      <c r="N266" s="136"/>
      <c r="O266" s="136"/>
      <c r="P266" s="136"/>
      <c r="Q266" s="136"/>
      <c r="R266" s="136"/>
    </row>
    <row r="267">
      <c r="A267" s="136"/>
      <c r="B267" s="136"/>
      <c r="C267" s="136"/>
      <c r="D267" s="136"/>
      <c r="E267" s="136"/>
      <c r="F267" s="201"/>
      <c r="G267" s="136"/>
      <c r="H267" s="136"/>
      <c r="I267" s="136"/>
      <c r="J267" s="136"/>
      <c r="K267" s="136"/>
      <c r="L267" s="136"/>
      <c r="M267" s="136"/>
      <c r="N267" s="136"/>
      <c r="O267" s="136"/>
      <c r="P267" s="136"/>
      <c r="Q267" s="136"/>
      <c r="R267" s="136"/>
    </row>
    <row r="268">
      <c r="A268" s="136"/>
      <c r="B268" s="136"/>
      <c r="C268" s="136"/>
      <c r="D268" s="136"/>
      <c r="E268" s="136"/>
      <c r="F268" s="201"/>
      <c r="G268" s="136"/>
      <c r="H268" s="136"/>
      <c r="I268" s="136"/>
      <c r="J268" s="136"/>
      <c r="K268" s="136"/>
      <c r="L268" s="136"/>
      <c r="M268" s="136"/>
      <c r="N268" s="136"/>
      <c r="O268" s="136"/>
      <c r="P268" s="136"/>
      <c r="Q268" s="136"/>
      <c r="R268" s="136"/>
    </row>
    <row r="269">
      <c r="A269" s="136"/>
      <c r="B269" s="136"/>
      <c r="C269" s="136"/>
      <c r="D269" s="136"/>
      <c r="E269" s="136"/>
      <c r="F269" s="201"/>
      <c r="G269" s="136"/>
      <c r="H269" s="136"/>
      <c r="I269" s="136"/>
      <c r="J269" s="136"/>
      <c r="K269" s="136"/>
      <c r="L269" s="136"/>
      <c r="M269" s="136"/>
      <c r="N269" s="136"/>
      <c r="O269" s="136"/>
      <c r="P269" s="136"/>
      <c r="Q269" s="136"/>
      <c r="R269" s="136"/>
    </row>
    <row r="270">
      <c r="A270" s="136"/>
      <c r="B270" s="136"/>
      <c r="C270" s="136"/>
      <c r="D270" s="136"/>
      <c r="E270" s="136"/>
      <c r="F270" s="201"/>
      <c r="G270" s="136"/>
      <c r="H270" s="136"/>
      <c r="I270" s="136"/>
      <c r="J270" s="136"/>
      <c r="K270" s="136"/>
      <c r="L270" s="136"/>
      <c r="M270" s="136"/>
      <c r="N270" s="136"/>
      <c r="O270" s="136"/>
      <c r="P270" s="136"/>
      <c r="Q270" s="136"/>
      <c r="R270" s="136"/>
    </row>
    <row r="271">
      <c r="A271" s="136"/>
      <c r="B271" s="136"/>
      <c r="C271" s="136"/>
      <c r="D271" s="136"/>
      <c r="E271" s="136"/>
      <c r="F271" s="201"/>
      <c r="G271" s="136"/>
      <c r="H271" s="136"/>
      <c r="I271" s="136"/>
      <c r="J271" s="136"/>
      <c r="K271" s="136"/>
      <c r="L271" s="136"/>
      <c r="M271" s="136"/>
      <c r="N271" s="136"/>
      <c r="O271" s="136"/>
      <c r="P271" s="136"/>
      <c r="Q271" s="136"/>
      <c r="R271" s="136"/>
    </row>
    <row r="272">
      <c r="A272" s="136"/>
      <c r="B272" s="136"/>
      <c r="C272" s="136"/>
      <c r="D272" s="136"/>
      <c r="E272" s="136"/>
      <c r="F272" s="201"/>
      <c r="G272" s="136"/>
      <c r="H272" s="136"/>
      <c r="I272" s="136"/>
      <c r="J272" s="136"/>
      <c r="K272" s="136"/>
      <c r="L272" s="136"/>
      <c r="M272" s="136"/>
      <c r="N272" s="136"/>
      <c r="O272" s="136"/>
      <c r="P272" s="136"/>
      <c r="Q272" s="136"/>
      <c r="R272" s="136"/>
    </row>
    <row r="273">
      <c r="A273" s="136"/>
      <c r="B273" s="136"/>
      <c r="C273" s="136"/>
      <c r="D273" s="136"/>
      <c r="E273" s="136"/>
      <c r="F273" s="201"/>
      <c r="G273" s="136"/>
      <c r="H273" s="136"/>
      <c r="I273" s="136"/>
      <c r="J273" s="136"/>
      <c r="K273" s="136"/>
      <c r="L273" s="136"/>
      <c r="M273" s="136"/>
      <c r="N273" s="136"/>
      <c r="O273" s="136"/>
      <c r="P273" s="136"/>
      <c r="Q273" s="136"/>
      <c r="R273" s="136"/>
    </row>
    <row r="274">
      <c r="A274" s="136"/>
      <c r="B274" s="136"/>
      <c r="C274" s="136"/>
      <c r="D274" s="136"/>
      <c r="E274" s="136"/>
      <c r="F274" s="201"/>
      <c r="G274" s="136"/>
      <c r="H274" s="136"/>
      <c r="I274" s="136"/>
      <c r="J274" s="136"/>
      <c r="K274" s="136"/>
      <c r="L274" s="136"/>
      <c r="M274" s="136"/>
      <c r="N274" s="136"/>
      <c r="O274" s="136"/>
      <c r="P274" s="136"/>
      <c r="Q274" s="136"/>
      <c r="R274" s="136"/>
    </row>
    <row r="275">
      <c r="A275" s="136"/>
      <c r="B275" s="136"/>
      <c r="C275" s="136"/>
      <c r="D275" s="136"/>
      <c r="E275" s="136"/>
      <c r="F275" s="201"/>
      <c r="G275" s="136"/>
      <c r="H275" s="136"/>
      <c r="I275" s="136"/>
      <c r="J275" s="136"/>
      <c r="K275" s="136"/>
      <c r="L275" s="136"/>
      <c r="M275" s="136"/>
      <c r="N275" s="136"/>
      <c r="O275" s="136"/>
      <c r="P275" s="136"/>
      <c r="Q275" s="136"/>
      <c r="R275" s="136"/>
    </row>
    <row r="276">
      <c r="A276" s="136"/>
      <c r="B276" s="136"/>
      <c r="C276" s="136"/>
      <c r="D276" s="136"/>
      <c r="E276" s="136"/>
      <c r="F276" s="201"/>
      <c r="G276" s="136"/>
      <c r="H276" s="136"/>
      <c r="I276" s="136"/>
      <c r="J276" s="136"/>
      <c r="K276" s="136"/>
      <c r="L276" s="136"/>
      <c r="M276" s="136"/>
      <c r="N276" s="136"/>
      <c r="O276" s="136"/>
      <c r="P276" s="136"/>
      <c r="Q276" s="136"/>
      <c r="R276" s="136"/>
    </row>
    <row r="277">
      <c r="A277" s="136"/>
      <c r="B277" s="136"/>
      <c r="C277" s="136"/>
      <c r="D277" s="136"/>
      <c r="E277" s="136"/>
      <c r="F277" s="201"/>
      <c r="G277" s="136"/>
      <c r="H277" s="136"/>
      <c r="I277" s="136"/>
      <c r="J277" s="136"/>
      <c r="K277" s="136"/>
      <c r="L277" s="136"/>
      <c r="M277" s="136"/>
      <c r="N277" s="136"/>
      <c r="O277" s="136"/>
      <c r="P277" s="136"/>
      <c r="Q277" s="136"/>
      <c r="R277" s="136"/>
    </row>
    <row r="278">
      <c r="A278" s="136"/>
      <c r="B278" s="136"/>
      <c r="C278" s="136"/>
      <c r="D278" s="136"/>
      <c r="E278" s="136"/>
      <c r="F278" s="201"/>
      <c r="G278" s="136"/>
      <c r="H278" s="136"/>
      <c r="I278" s="136"/>
      <c r="J278" s="136"/>
      <c r="K278" s="136"/>
      <c r="L278" s="136"/>
      <c r="M278" s="136"/>
      <c r="N278" s="136"/>
      <c r="O278" s="136"/>
      <c r="P278" s="136"/>
      <c r="Q278" s="136"/>
      <c r="R278" s="136"/>
    </row>
    <row r="279">
      <c r="A279" s="136"/>
      <c r="B279" s="136"/>
      <c r="C279" s="136"/>
      <c r="D279" s="136"/>
      <c r="E279" s="136"/>
      <c r="F279" s="201"/>
      <c r="G279" s="136"/>
      <c r="H279" s="136"/>
      <c r="I279" s="136"/>
      <c r="J279" s="136"/>
      <c r="K279" s="136"/>
      <c r="L279" s="136"/>
      <c r="M279" s="136"/>
      <c r="N279" s="136"/>
      <c r="O279" s="136"/>
      <c r="P279" s="136"/>
      <c r="Q279" s="136"/>
      <c r="R279" s="136"/>
    </row>
    <row r="280">
      <c r="A280" s="136"/>
      <c r="B280" s="136"/>
      <c r="C280" s="136"/>
      <c r="D280" s="136"/>
      <c r="E280" s="136"/>
      <c r="F280" s="201"/>
      <c r="G280" s="136"/>
      <c r="H280" s="136"/>
      <c r="I280" s="136"/>
      <c r="J280" s="136"/>
      <c r="K280" s="136"/>
      <c r="L280" s="136"/>
      <c r="M280" s="136"/>
      <c r="N280" s="136"/>
      <c r="O280" s="136"/>
      <c r="P280" s="136"/>
      <c r="Q280" s="136"/>
      <c r="R280" s="136"/>
    </row>
    <row r="281">
      <c r="A281" s="136"/>
      <c r="B281" s="136"/>
      <c r="C281" s="136"/>
      <c r="D281" s="136"/>
      <c r="E281" s="136"/>
      <c r="F281" s="201"/>
      <c r="G281" s="136"/>
      <c r="H281" s="136"/>
      <c r="I281" s="136"/>
      <c r="J281" s="136"/>
      <c r="K281" s="136"/>
      <c r="L281" s="136"/>
      <c r="M281" s="136"/>
      <c r="N281" s="136"/>
      <c r="O281" s="136"/>
      <c r="P281" s="136"/>
      <c r="Q281" s="136"/>
      <c r="R281" s="136"/>
    </row>
    <row r="282">
      <c r="A282" s="136"/>
      <c r="B282" s="136"/>
      <c r="C282" s="136"/>
      <c r="D282" s="136"/>
      <c r="E282" s="136"/>
      <c r="F282" s="201"/>
      <c r="G282" s="136"/>
      <c r="H282" s="136"/>
      <c r="I282" s="136"/>
      <c r="J282" s="136"/>
      <c r="K282" s="136"/>
      <c r="L282" s="136"/>
      <c r="M282" s="136"/>
      <c r="N282" s="136"/>
      <c r="O282" s="136"/>
      <c r="P282" s="136"/>
      <c r="Q282" s="136"/>
      <c r="R282" s="136"/>
    </row>
    <row r="283">
      <c r="A283" s="136"/>
      <c r="B283" s="136"/>
      <c r="C283" s="136"/>
      <c r="D283" s="136"/>
      <c r="E283" s="136"/>
      <c r="F283" s="201"/>
      <c r="G283" s="136"/>
      <c r="H283" s="136"/>
      <c r="I283" s="136"/>
      <c r="J283" s="136"/>
      <c r="K283" s="136"/>
      <c r="L283" s="136"/>
      <c r="M283" s="136"/>
      <c r="N283" s="136"/>
      <c r="O283" s="136"/>
      <c r="P283" s="136"/>
      <c r="Q283" s="136"/>
      <c r="R283" s="136"/>
    </row>
    <row r="284">
      <c r="A284" s="136"/>
      <c r="B284" s="136"/>
      <c r="C284" s="136"/>
      <c r="D284" s="136"/>
      <c r="E284" s="136"/>
      <c r="F284" s="201"/>
      <c r="G284" s="136"/>
      <c r="H284" s="136"/>
      <c r="I284" s="136"/>
      <c r="J284" s="136"/>
      <c r="K284" s="136"/>
      <c r="L284" s="136"/>
      <c r="M284" s="136"/>
      <c r="N284" s="136"/>
      <c r="O284" s="136"/>
      <c r="P284" s="136"/>
      <c r="Q284" s="136"/>
      <c r="R284" s="136"/>
    </row>
    <row r="285">
      <c r="A285" s="136"/>
      <c r="B285" s="136"/>
      <c r="C285" s="136"/>
      <c r="D285" s="136"/>
      <c r="E285" s="136"/>
      <c r="F285" s="201"/>
      <c r="G285" s="136"/>
      <c r="H285" s="136"/>
      <c r="I285" s="136"/>
      <c r="J285" s="136"/>
      <c r="K285" s="136"/>
      <c r="L285" s="136"/>
      <c r="M285" s="136"/>
      <c r="N285" s="136"/>
      <c r="O285" s="136"/>
      <c r="P285" s="136"/>
      <c r="Q285" s="136"/>
      <c r="R285" s="136"/>
    </row>
    <row r="286">
      <c r="A286" s="136"/>
      <c r="B286" s="136"/>
      <c r="C286" s="136"/>
      <c r="D286" s="136"/>
      <c r="E286" s="136"/>
      <c r="F286" s="201"/>
      <c r="G286" s="136"/>
      <c r="H286" s="136"/>
      <c r="I286" s="136"/>
      <c r="J286" s="136"/>
      <c r="K286" s="136"/>
      <c r="L286" s="136"/>
      <c r="M286" s="136"/>
      <c r="N286" s="136"/>
      <c r="O286" s="136"/>
      <c r="P286" s="136"/>
      <c r="Q286" s="136"/>
      <c r="R286" s="136"/>
    </row>
    <row r="287">
      <c r="A287" s="136"/>
      <c r="B287" s="136"/>
      <c r="C287" s="136"/>
      <c r="D287" s="136"/>
      <c r="E287" s="136"/>
      <c r="F287" s="201"/>
      <c r="G287" s="136"/>
      <c r="H287" s="136"/>
      <c r="I287" s="136"/>
      <c r="J287" s="136"/>
      <c r="K287" s="136"/>
      <c r="L287" s="136"/>
      <c r="M287" s="136"/>
      <c r="N287" s="136"/>
      <c r="O287" s="136"/>
      <c r="P287" s="136"/>
      <c r="Q287" s="136"/>
      <c r="R287" s="136"/>
    </row>
    <row r="288">
      <c r="A288" s="136"/>
      <c r="B288" s="136"/>
      <c r="C288" s="136"/>
      <c r="D288" s="136"/>
      <c r="E288" s="136"/>
      <c r="F288" s="201"/>
      <c r="G288" s="136"/>
      <c r="H288" s="136"/>
      <c r="I288" s="136"/>
      <c r="J288" s="136"/>
      <c r="K288" s="136"/>
      <c r="L288" s="136"/>
      <c r="M288" s="136"/>
      <c r="N288" s="136"/>
      <c r="O288" s="136"/>
      <c r="P288" s="136"/>
      <c r="Q288" s="136"/>
      <c r="R288" s="136"/>
    </row>
    <row r="289">
      <c r="A289" s="136"/>
      <c r="B289" s="136"/>
      <c r="C289" s="136"/>
      <c r="D289" s="136"/>
      <c r="E289" s="136"/>
      <c r="F289" s="201"/>
      <c r="G289" s="136"/>
      <c r="H289" s="136"/>
      <c r="I289" s="136"/>
      <c r="J289" s="136"/>
      <c r="K289" s="136"/>
      <c r="L289" s="136"/>
      <c r="M289" s="136"/>
      <c r="N289" s="136"/>
      <c r="O289" s="136"/>
      <c r="P289" s="136"/>
      <c r="Q289" s="136"/>
      <c r="R289" s="136"/>
    </row>
    <row r="290">
      <c r="A290" s="136"/>
      <c r="B290" s="136"/>
      <c r="C290" s="136"/>
      <c r="D290" s="136"/>
      <c r="E290" s="136"/>
      <c r="F290" s="201"/>
      <c r="G290" s="136"/>
      <c r="H290" s="136"/>
      <c r="I290" s="136"/>
      <c r="J290" s="136"/>
      <c r="K290" s="136"/>
      <c r="L290" s="136"/>
      <c r="M290" s="136"/>
      <c r="N290" s="136"/>
      <c r="O290" s="136"/>
      <c r="P290" s="136"/>
      <c r="Q290" s="136"/>
      <c r="R290" s="136"/>
    </row>
    <row r="291">
      <c r="A291" s="136"/>
      <c r="B291" s="136"/>
      <c r="C291" s="136"/>
      <c r="D291" s="136"/>
      <c r="E291" s="136"/>
      <c r="F291" s="201"/>
      <c r="G291" s="136"/>
      <c r="H291" s="136"/>
      <c r="I291" s="136"/>
      <c r="J291" s="136"/>
      <c r="K291" s="136"/>
      <c r="L291" s="136"/>
      <c r="M291" s="136"/>
      <c r="N291" s="136"/>
      <c r="O291" s="136"/>
      <c r="P291" s="136"/>
      <c r="Q291" s="136"/>
      <c r="R291" s="136"/>
    </row>
    <row r="292">
      <c r="A292" s="136"/>
      <c r="B292" s="136"/>
      <c r="C292" s="136"/>
      <c r="D292" s="136"/>
      <c r="E292" s="136"/>
      <c r="F292" s="201"/>
      <c r="G292" s="136"/>
      <c r="H292" s="136"/>
      <c r="I292" s="136"/>
      <c r="J292" s="136"/>
      <c r="K292" s="136"/>
      <c r="L292" s="136"/>
      <c r="M292" s="136"/>
      <c r="N292" s="136"/>
      <c r="O292" s="136"/>
      <c r="P292" s="136"/>
      <c r="Q292" s="136"/>
      <c r="R292" s="136"/>
    </row>
    <row r="293">
      <c r="A293" s="136"/>
      <c r="B293" s="136"/>
      <c r="C293" s="136"/>
      <c r="D293" s="136"/>
      <c r="E293" s="136"/>
      <c r="F293" s="201"/>
      <c r="G293" s="136"/>
      <c r="H293" s="136"/>
      <c r="I293" s="136"/>
      <c r="J293" s="136"/>
      <c r="K293" s="136"/>
      <c r="L293" s="136"/>
      <c r="M293" s="136"/>
      <c r="N293" s="136"/>
      <c r="O293" s="136"/>
      <c r="P293" s="136"/>
      <c r="Q293" s="136"/>
      <c r="R293" s="136"/>
    </row>
    <row r="294">
      <c r="A294" s="136"/>
      <c r="B294" s="136"/>
      <c r="C294" s="136"/>
      <c r="D294" s="136"/>
      <c r="E294" s="136"/>
      <c r="F294" s="201"/>
      <c r="G294" s="136"/>
      <c r="H294" s="136"/>
      <c r="I294" s="136"/>
      <c r="J294" s="136"/>
      <c r="K294" s="136"/>
      <c r="L294" s="136"/>
      <c r="M294" s="136"/>
      <c r="N294" s="136"/>
      <c r="O294" s="136"/>
      <c r="P294" s="136"/>
      <c r="Q294" s="136"/>
      <c r="R294" s="136"/>
    </row>
    <row r="295">
      <c r="A295" s="136"/>
      <c r="B295" s="136"/>
      <c r="C295" s="136"/>
      <c r="D295" s="136"/>
      <c r="E295" s="136"/>
      <c r="F295" s="201"/>
      <c r="G295" s="136"/>
      <c r="H295" s="136"/>
      <c r="I295" s="136"/>
      <c r="J295" s="136"/>
      <c r="K295" s="136"/>
      <c r="L295" s="136"/>
      <c r="M295" s="136"/>
      <c r="N295" s="136"/>
      <c r="O295" s="136"/>
      <c r="P295" s="136"/>
      <c r="Q295" s="136"/>
      <c r="R295" s="136"/>
    </row>
    <row r="296">
      <c r="A296" s="136"/>
      <c r="B296" s="136"/>
      <c r="C296" s="136"/>
      <c r="D296" s="136"/>
      <c r="E296" s="136"/>
      <c r="F296" s="201"/>
      <c r="G296" s="136"/>
      <c r="H296" s="136"/>
      <c r="I296" s="136"/>
      <c r="J296" s="136"/>
      <c r="K296" s="136"/>
      <c r="L296" s="136"/>
      <c r="M296" s="136"/>
      <c r="N296" s="136"/>
      <c r="O296" s="136"/>
      <c r="P296" s="136"/>
      <c r="Q296" s="136"/>
      <c r="R296" s="136"/>
    </row>
    <row r="297">
      <c r="A297" s="136"/>
      <c r="B297" s="136"/>
      <c r="C297" s="136"/>
      <c r="D297" s="136"/>
      <c r="E297" s="136"/>
      <c r="F297" s="201"/>
      <c r="G297" s="136"/>
      <c r="H297" s="136"/>
      <c r="I297" s="136"/>
      <c r="J297" s="136"/>
      <c r="K297" s="136"/>
      <c r="L297" s="136"/>
      <c r="M297" s="136"/>
      <c r="N297" s="136"/>
      <c r="O297" s="136"/>
      <c r="P297" s="136"/>
      <c r="Q297" s="136"/>
      <c r="R297" s="136"/>
    </row>
    <row r="298">
      <c r="A298" s="136"/>
      <c r="B298" s="136"/>
      <c r="C298" s="136"/>
      <c r="D298" s="136"/>
      <c r="E298" s="136"/>
      <c r="F298" s="201"/>
      <c r="G298" s="136"/>
      <c r="H298" s="136"/>
      <c r="I298" s="136"/>
      <c r="J298" s="136"/>
      <c r="K298" s="136"/>
      <c r="L298" s="136"/>
      <c r="M298" s="136"/>
      <c r="N298" s="136"/>
      <c r="O298" s="136"/>
      <c r="P298" s="136"/>
      <c r="Q298" s="136"/>
      <c r="R298" s="136"/>
    </row>
    <row r="299">
      <c r="A299" s="136"/>
      <c r="B299" s="136"/>
      <c r="C299" s="136"/>
      <c r="D299" s="136"/>
      <c r="E299" s="136"/>
      <c r="F299" s="201"/>
      <c r="G299" s="136"/>
      <c r="H299" s="136"/>
      <c r="I299" s="136"/>
      <c r="J299" s="136"/>
      <c r="K299" s="136"/>
      <c r="L299" s="136"/>
      <c r="M299" s="136"/>
      <c r="N299" s="136"/>
      <c r="O299" s="136"/>
      <c r="P299" s="136"/>
      <c r="Q299" s="136"/>
      <c r="R299" s="136"/>
    </row>
    <row r="300">
      <c r="A300" s="136"/>
      <c r="B300" s="136"/>
      <c r="C300" s="136"/>
      <c r="D300" s="136"/>
      <c r="E300" s="136"/>
      <c r="F300" s="201"/>
      <c r="G300" s="136"/>
      <c r="H300" s="136"/>
      <c r="I300" s="136"/>
      <c r="J300" s="136"/>
      <c r="K300" s="136"/>
      <c r="L300" s="136"/>
      <c r="M300" s="136"/>
      <c r="N300" s="136"/>
      <c r="O300" s="136"/>
      <c r="P300" s="136"/>
      <c r="Q300" s="136"/>
      <c r="R300" s="136"/>
    </row>
    <row r="301">
      <c r="A301" s="136"/>
      <c r="B301" s="136"/>
      <c r="C301" s="136"/>
      <c r="D301" s="136"/>
      <c r="E301" s="136"/>
      <c r="F301" s="201"/>
      <c r="G301" s="136"/>
      <c r="H301" s="136"/>
      <c r="I301" s="136"/>
      <c r="J301" s="136"/>
      <c r="K301" s="136"/>
      <c r="L301" s="136"/>
      <c r="M301" s="136"/>
      <c r="N301" s="136"/>
      <c r="O301" s="136"/>
      <c r="P301" s="136"/>
      <c r="Q301" s="136"/>
      <c r="R301" s="136"/>
    </row>
    <row r="302">
      <c r="A302" s="136"/>
      <c r="B302" s="136"/>
      <c r="C302" s="136"/>
      <c r="D302" s="136"/>
      <c r="E302" s="136"/>
      <c r="F302" s="201"/>
      <c r="G302" s="136"/>
      <c r="H302" s="136"/>
      <c r="I302" s="136"/>
      <c r="J302" s="136"/>
      <c r="K302" s="136"/>
      <c r="L302" s="136"/>
      <c r="M302" s="136"/>
      <c r="N302" s="136"/>
      <c r="O302" s="136"/>
      <c r="P302" s="136"/>
      <c r="Q302" s="136"/>
      <c r="R302" s="136"/>
    </row>
    <row r="303">
      <c r="A303" s="136"/>
      <c r="B303" s="136"/>
      <c r="C303" s="136"/>
      <c r="D303" s="136"/>
      <c r="E303" s="136"/>
      <c r="F303" s="201"/>
      <c r="G303" s="136"/>
      <c r="H303" s="136"/>
      <c r="I303" s="136"/>
      <c r="J303" s="136"/>
      <c r="K303" s="136"/>
      <c r="L303" s="136"/>
      <c r="M303" s="136"/>
      <c r="N303" s="136"/>
      <c r="O303" s="136"/>
      <c r="P303" s="136"/>
      <c r="Q303" s="136"/>
      <c r="R303" s="136"/>
    </row>
    <row r="304">
      <c r="A304" s="136"/>
      <c r="B304" s="136"/>
      <c r="C304" s="136"/>
      <c r="D304" s="136"/>
      <c r="E304" s="136"/>
      <c r="F304" s="201"/>
      <c r="G304" s="136"/>
      <c r="H304" s="136"/>
      <c r="I304" s="136"/>
      <c r="J304" s="136"/>
      <c r="K304" s="136"/>
      <c r="L304" s="136"/>
      <c r="M304" s="136"/>
      <c r="N304" s="136"/>
      <c r="O304" s="136"/>
      <c r="P304" s="136"/>
      <c r="Q304" s="136"/>
      <c r="R304" s="136"/>
    </row>
    <row r="305">
      <c r="A305" s="136"/>
      <c r="B305" s="136"/>
      <c r="C305" s="136"/>
      <c r="D305" s="136"/>
      <c r="E305" s="136"/>
      <c r="F305" s="201"/>
      <c r="G305" s="136"/>
      <c r="H305" s="136"/>
      <c r="I305" s="136"/>
      <c r="J305" s="136"/>
      <c r="K305" s="136"/>
      <c r="L305" s="136"/>
      <c r="M305" s="136"/>
      <c r="N305" s="136"/>
      <c r="O305" s="136"/>
      <c r="P305" s="136"/>
      <c r="Q305" s="136"/>
      <c r="R305" s="136"/>
    </row>
    <row r="306">
      <c r="A306" s="136"/>
      <c r="B306" s="136"/>
      <c r="C306" s="136"/>
      <c r="D306" s="136"/>
      <c r="E306" s="136"/>
      <c r="F306" s="201"/>
      <c r="G306" s="136"/>
      <c r="H306" s="136"/>
      <c r="I306" s="136"/>
      <c r="J306" s="136"/>
      <c r="K306" s="136"/>
      <c r="L306" s="136"/>
      <c r="M306" s="136"/>
      <c r="N306" s="136"/>
      <c r="O306" s="136"/>
      <c r="P306" s="136"/>
      <c r="Q306" s="136"/>
      <c r="R306" s="136"/>
    </row>
    <row r="307">
      <c r="A307" s="136"/>
      <c r="B307" s="136"/>
      <c r="C307" s="136"/>
      <c r="D307" s="136"/>
      <c r="E307" s="136"/>
      <c r="F307" s="201"/>
      <c r="G307" s="136"/>
      <c r="H307" s="136"/>
      <c r="I307" s="136"/>
      <c r="J307" s="136"/>
      <c r="K307" s="136"/>
      <c r="L307" s="136"/>
      <c r="M307" s="136"/>
      <c r="N307" s="136"/>
      <c r="O307" s="136"/>
      <c r="P307" s="136"/>
      <c r="Q307" s="136"/>
      <c r="R307" s="136"/>
    </row>
    <row r="308">
      <c r="A308" s="136"/>
      <c r="B308" s="136"/>
      <c r="C308" s="136"/>
      <c r="D308" s="136"/>
      <c r="E308" s="136"/>
      <c r="F308" s="201"/>
      <c r="G308" s="136"/>
      <c r="H308" s="136"/>
      <c r="I308" s="136"/>
      <c r="J308" s="136"/>
      <c r="K308" s="136"/>
      <c r="L308" s="136"/>
      <c r="M308" s="136"/>
      <c r="N308" s="136"/>
      <c r="O308" s="136"/>
      <c r="P308" s="136"/>
      <c r="Q308" s="136"/>
      <c r="R308" s="136"/>
    </row>
    <row r="309">
      <c r="A309" s="136"/>
      <c r="B309" s="136"/>
      <c r="C309" s="136"/>
      <c r="D309" s="136"/>
      <c r="E309" s="136"/>
      <c r="F309" s="201"/>
      <c r="G309" s="136"/>
      <c r="H309" s="136"/>
      <c r="I309" s="136"/>
      <c r="J309" s="136"/>
      <c r="K309" s="136"/>
      <c r="L309" s="136"/>
      <c r="M309" s="136"/>
      <c r="N309" s="136"/>
      <c r="O309" s="136"/>
      <c r="P309" s="136"/>
      <c r="Q309" s="136"/>
      <c r="R309" s="136"/>
    </row>
    <row r="310">
      <c r="A310" s="136"/>
      <c r="B310" s="136"/>
      <c r="C310" s="136"/>
      <c r="D310" s="136"/>
      <c r="E310" s="136"/>
      <c r="F310" s="201"/>
      <c r="G310" s="136"/>
      <c r="H310" s="136"/>
      <c r="I310" s="136"/>
      <c r="J310" s="136"/>
      <c r="K310" s="136"/>
      <c r="L310" s="136"/>
      <c r="M310" s="136"/>
      <c r="N310" s="136"/>
      <c r="O310" s="136"/>
      <c r="P310" s="136"/>
      <c r="Q310" s="136"/>
      <c r="R310" s="136"/>
    </row>
    <row r="311">
      <c r="A311" s="136"/>
      <c r="B311" s="136"/>
      <c r="C311" s="136"/>
      <c r="D311" s="136"/>
      <c r="E311" s="136"/>
      <c r="F311" s="201"/>
      <c r="G311" s="136"/>
      <c r="H311" s="136"/>
      <c r="I311" s="136"/>
      <c r="J311" s="136"/>
      <c r="K311" s="136"/>
      <c r="L311" s="136"/>
      <c r="M311" s="136"/>
      <c r="N311" s="136"/>
      <c r="O311" s="136"/>
      <c r="P311" s="136"/>
      <c r="Q311" s="136"/>
      <c r="R311" s="136"/>
    </row>
    <row r="312">
      <c r="A312" s="136"/>
      <c r="B312" s="136"/>
      <c r="C312" s="136"/>
      <c r="D312" s="136"/>
      <c r="E312" s="136"/>
      <c r="F312" s="201"/>
      <c r="G312" s="136"/>
      <c r="H312" s="136"/>
      <c r="I312" s="136"/>
      <c r="J312" s="136"/>
      <c r="K312" s="136"/>
      <c r="L312" s="136"/>
      <c r="M312" s="136"/>
      <c r="N312" s="136"/>
      <c r="O312" s="136"/>
      <c r="P312" s="136"/>
      <c r="Q312" s="136"/>
      <c r="R312" s="136"/>
    </row>
    <row r="313">
      <c r="A313" s="136"/>
      <c r="B313" s="136"/>
      <c r="C313" s="136"/>
      <c r="D313" s="136"/>
      <c r="E313" s="136"/>
      <c r="F313" s="201"/>
      <c r="G313" s="136"/>
      <c r="H313" s="136"/>
      <c r="I313" s="136"/>
      <c r="J313" s="136"/>
      <c r="K313" s="136"/>
      <c r="L313" s="136"/>
      <c r="M313" s="136"/>
      <c r="N313" s="136"/>
      <c r="O313" s="136"/>
      <c r="P313" s="136"/>
      <c r="Q313" s="136"/>
      <c r="R313" s="136"/>
    </row>
    <row r="314">
      <c r="A314" s="136"/>
      <c r="B314" s="136"/>
      <c r="C314" s="136"/>
      <c r="D314" s="136"/>
      <c r="E314" s="136"/>
      <c r="F314" s="201"/>
      <c r="G314" s="136"/>
      <c r="H314" s="136"/>
      <c r="I314" s="136"/>
      <c r="J314" s="136"/>
      <c r="K314" s="136"/>
      <c r="L314" s="136"/>
      <c r="M314" s="136"/>
      <c r="N314" s="136"/>
      <c r="O314" s="136"/>
      <c r="P314" s="136"/>
      <c r="Q314" s="136"/>
      <c r="R314" s="136"/>
    </row>
    <row r="315">
      <c r="A315" s="136"/>
      <c r="B315" s="136"/>
      <c r="C315" s="136"/>
      <c r="D315" s="136"/>
      <c r="E315" s="136"/>
      <c r="F315" s="201"/>
      <c r="G315" s="136"/>
      <c r="H315" s="136"/>
      <c r="I315" s="136"/>
      <c r="J315" s="136"/>
      <c r="K315" s="136"/>
      <c r="L315" s="136"/>
      <c r="M315" s="136"/>
      <c r="N315" s="136"/>
      <c r="O315" s="136"/>
      <c r="P315" s="136"/>
      <c r="Q315" s="136"/>
      <c r="R315" s="136"/>
    </row>
    <row r="316">
      <c r="A316" s="136"/>
      <c r="B316" s="136"/>
      <c r="C316" s="136"/>
      <c r="D316" s="136"/>
      <c r="E316" s="136"/>
      <c r="F316" s="201"/>
      <c r="G316" s="136"/>
      <c r="H316" s="136"/>
      <c r="I316" s="136"/>
      <c r="J316" s="136"/>
      <c r="K316" s="136"/>
      <c r="L316" s="136"/>
      <c r="M316" s="136"/>
      <c r="N316" s="136"/>
      <c r="O316" s="136"/>
      <c r="P316" s="136"/>
      <c r="Q316" s="136"/>
      <c r="R316" s="136"/>
    </row>
    <row r="317">
      <c r="A317" s="136"/>
      <c r="B317" s="136"/>
      <c r="C317" s="136"/>
      <c r="D317" s="136"/>
      <c r="E317" s="136"/>
      <c r="F317" s="201"/>
      <c r="G317" s="136"/>
      <c r="H317" s="136"/>
      <c r="I317" s="136"/>
      <c r="J317" s="136"/>
      <c r="K317" s="136"/>
      <c r="L317" s="136"/>
      <c r="M317" s="136"/>
      <c r="N317" s="136"/>
      <c r="O317" s="136"/>
      <c r="P317" s="136"/>
      <c r="Q317" s="136"/>
      <c r="R317" s="136"/>
    </row>
    <row r="318">
      <c r="A318" s="136"/>
      <c r="B318" s="136"/>
      <c r="C318" s="136"/>
      <c r="D318" s="136"/>
      <c r="E318" s="136"/>
      <c r="F318" s="201"/>
      <c r="G318" s="136"/>
      <c r="H318" s="136"/>
      <c r="I318" s="136"/>
      <c r="J318" s="136"/>
      <c r="K318" s="136"/>
      <c r="L318" s="136"/>
      <c r="M318" s="136"/>
      <c r="N318" s="136"/>
      <c r="O318" s="136"/>
      <c r="P318" s="136"/>
      <c r="Q318" s="136"/>
      <c r="R318" s="136"/>
    </row>
    <row r="319">
      <c r="A319" s="136"/>
      <c r="B319" s="136"/>
      <c r="C319" s="136"/>
      <c r="D319" s="136"/>
      <c r="E319" s="136"/>
      <c r="F319" s="201"/>
      <c r="G319" s="136"/>
      <c r="H319" s="136"/>
      <c r="I319" s="136"/>
      <c r="J319" s="136"/>
      <c r="K319" s="136"/>
      <c r="L319" s="136"/>
      <c r="M319" s="136"/>
      <c r="N319" s="136"/>
      <c r="O319" s="136"/>
      <c r="P319" s="136"/>
      <c r="Q319" s="136"/>
      <c r="R319" s="136"/>
    </row>
    <row r="320">
      <c r="A320" s="136"/>
      <c r="B320" s="136"/>
      <c r="C320" s="136"/>
      <c r="D320" s="136"/>
      <c r="E320" s="136"/>
      <c r="F320" s="201"/>
      <c r="G320" s="136"/>
      <c r="H320" s="136"/>
      <c r="I320" s="136"/>
      <c r="J320" s="136"/>
      <c r="K320" s="136"/>
      <c r="L320" s="136"/>
      <c r="M320" s="136"/>
      <c r="N320" s="136"/>
      <c r="O320" s="136"/>
      <c r="P320" s="136"/>
      <c r="Q320" s="136"/>
      <c r="R320" s="136"/>
    </row>
    <row r="321">
      <c r="A321" s="136"/>
      <c r="B321" s="136"/>
      <c r="C321" s="136"/>
      <c r="D321" s="136"/>
      <c r="E321" s="136"/>
      <c r="F321" s="201"/>
      <c r="G321" s="136"/>
      <c r="H321" s="136"/>
      <c r="I321" s="136"/>
      <c r="J321" s="136"/>
      <c r="K321" s="136"/>
      <c r="L321" s="136"/>
      <c r="M321" s="136"/>
      <c r="N321" s="136"/>
      <c r="O321" s="136"/>
      <c r="P321" s="136"/>
      <c r="Q321" s="136"/>
      <c r="R321" s="136"/>
    </row>
    <row r="322">
      <c r="A322" s="136"/>
      <c r="B322" s="136"/>
      <c r="C322" s="136"/>
      <c r="D322" s="136"/>
      <c r="E322" s="136"/>
      <c r="F322" s="201"/>
      <c r="G322" s="136"/>
      <c r="H322" s="136"/>
      <c r="I322" s="136"/>
      <c r="J322" s="136"/>
      <c r="K322" s="136"/>
      <c r="L322" s="136"/>
      <c r="M322" s="136"/>
      <c r="N322" s="136"/>
      <c r="O322" s="136"/>
      <c r="P322" s="136"/>
      <c r="Q322" s="136"/>
      <c r="R322" s="136"/>
    </row>
    <row r="323">
      <c r="A323" s="136"/>
      <c r="B323" s="136"/>
      <c r="C323" s="136"/>
      <c r="D323" s="136"/>
      <c r="E323" s="136"/>
      <c r="F323" s="201"/>
      <c r="G323" s="136"/>
      <c r="H323" s="136"/>
      <c r="I323" s="136"/>
      <c r="J323" s="136"/>
      <c r="K323" s="136"/>
      <c r="L323" s="136"/>
      <c r="M323" s="136"/>
      <c r="N323" s="136"/>
      <c r="O323" s="136"/>
      <c r="P323" s="136"/>
      <c r="Q323" s="136"/>
      <c r="R323" s="136"/>
    </row>
    <row r="324">
      <c r="A324" s="136"/>
      <c r="B324" s="136"/>
      <c r="C324" s="136"/>
      <c r="D324" s="136"/>
      <c r="E324" s="136"/>
      <c r="F324" s="201"/>
      <c r="G324" s="136"/>
      <c r="H324" s="136"/>
      <c r="I324" s="136"/>
      <c r="J324" s="136"/>
      <c r="K324" s="136"/>
      <c r="L324" s="136"/>
      <c r="M324" s="136"/>
      <c r="N324" s="136"/>
      <c r="O324" s="136"/>
      <c r="P324" s="136"/>
      <c r="Q324" s="136"/>
      <c r="R324" s="136"/>
    </row>
    <row r="325">
      <c r="A325" s="136"/>
      <c r="B325" s="136"/>
      <c r="C325" s="136"/>
      <c r="D325" s="136"/>
      <c r="E325" s="136"/>
      <c r="F325" s="201"/>
      <c r="G325" s="136"/>
      <c r="H325" s="136"/>
      <c r="I325" s="136"/>
      <c r="J325" s="136"/>
      <c r="K325" s="136"/>
      <c r="L325" s="136"/>
      <c r="M325" s="136"/>
      <c r="N325" s="136"/>
      <c r="O325" s="136"/>
      <c r="P325" s="136"/>
      <c r="Q325" s="136"/>
      <c r="R325" s="136"/>
    </row>
    <row r="326">
      <c r="A326" s="136"/>
      <c r="B326" s="136"/>
      <c r="C326" s="136"/>
      <c r="D326" s="136"/>
      <c r="E326" s="136"/>
      <c r="F326" s="201"/>
      <c r="G326" s="136"/>
      <c r="H326" s="136"/>
      <c r="I326" s="136"/>
      <c r="J326" s="136"/>
      <c r="K326" s="136"/>
      <c r="L326" s="136"/>
      <c r="M326" s="136"/>
      <c r="N326" s="136"/>
      <c r="O326" s="136"/>
      <c r="P326" s="136"/>
      <c r="Q326" s="136"/>
      <c r="R326" s="136"/>
    </row>
    <row r="327">
      <c r="A327" s="136"/>
      <c r="B327" s="136"/>
      <c r="C327" s="136"/>
      <c r="D327" s="136"/>
      <c r="E327" s="136"/>
      <c r="F327" s="201"/>
      <c r="G327" s="136"/>
      <c r="H327" s="136"/>
      <c r="I327" s="136"/>
      <c r="J327" s="136"/>
      <c r="K327" s="136"/>
      <c r="L327" s="136"/>
      <c r="M327" s="136"/>
      <c r="N327" s="136"/>
      <c r="O327" s="136"/>
      <c r="P327" s="136"/>
      <c r="Q327" s="136"/>
      <c r="R327" s="136"/>
    </row>
    <row r="328">
      <c r="A328" s="136"/>
      <c r="B328" s="136"/>
      <c r="C328" s="136"/>
      <c r="D328" s="136"/>
      <c r="E328" s="136"/>
      <c r="F328" s="201"/>
      <c r="G328" s="136"/>
      <c r="H328" s="136"/>
      <c r="I328" s="136"/>
      <c r="J328" s="136"/>
      <c r="K328" s="136"/>
      <c r="L328" s="136"/>
      <c r="M328" s="136"/>
      <c r="N328" s="136"/>
      <c r="O328" s="136"/>
      <c r="P328" s="136"/>
      <c r="Q328" s="136"/>
      <c r="R328" s="136"/>
    </row>
    <row r="329">
      <c r="A329" s="136"/>
      <c r="B329" s="136"/>
      <c r="C329" s="136"/>
      <c r="D329" s="136"/>
      <c r="E329" s="136"/>
      <c r="F329" s="201"/>
      <c r="G329" s="136"/>
      <c r="H329" s="136"/>
      <c r="I329" s="136"/>
      <c r="J329" s="136"/>
      <c r="K329" s="136"/>
      <c r="L329" s="136"/>
      <c r="M329" s="136"/>
      <c r="N329" s="136"/>
      <c r="O329" s="136"/>
      <c r="P329" s="136"/>
      <c r="Q329" s="136"/>
      <c r="R329" s="136"/>
    </row>
    <row r="330">
      <c r="A330" s="136"/>
      <c r="B330" s="136"/>
      <c r="C330" s="136"/>
      <c r="D330" s="136"/>
      <c r="E330" s="136"/>
      <c r="F330" s="201"/>
      <c r="G330" s="136"/>
      <c r="H330" s="136"/>
      <c r="I330" s="136"/>
      <c r="J330" s="136"/>
      <c r="K330" s="136"/>
      <c r="L330" s="136"/>
      <c r="M330" s="136"/>
      <c r="N330" s="136"/>
      <c r="O330" s="136"/>
      <c r="P330" s="136"/>
      <c r="Q330" s="136"/>
      <c r="R330" s="136"/>
    </row>
    <row r="331">
      <c r="A331" s="136"/>
      <c r="B331" s="136"/>
      <c r="C331" s="136"/>
      <c r="D331" s="136"/>
      <c r="E331" s="136"/>
      <c r="F331" s="201"/>
      <c r="G331" s="136"/>
      <c r="H331" s="136"/>
      <c r="I331" s="136"/>
      <c r="J331" s="136"/>
      <c r="K331" s="136"/>
      <c r="L331" s="136"/>
      <c r="M331" s="136"/>
      <c r="N331" s="136"/>
      <c r="O331" s="136"/>
      <c r="P331" s="136"/>
      <c r="Q331" s="136"/>
      <c r="R331" s="136"/>
    </row>
    <row r="332">
      <c r="A332" s="136"/>
      <c r="B332" s="136"/>
      <c r="C332" s="136"/>
      <c r="D332" s="136"/>
      <c r="E332" s="136"/>
      <c r="F332" s="201"/>
      <c r="G332" s="136"/>
      <c r="H332" s="136"/>
      <c r="I332" s="136"/>
      <c r="J332" s="136"/>
      <c r="K332" s="136"/>
      <c r="L332" s="136"/>
      <c r="M332" s="136"/>
      <c r="N332" s="136"/>
      <c r="O332" s="136"/>
      <c r="P332" s="136"/>
      <c r="Q332" s="136"/>
      <c r="R332" s="136"/>
    </row>
    <row r="333">
      <c r="A333" s="136"/>
      <c r="B333" s="136"/>
      <c r="C333" s="136"/>
      <c r="D333" s="136"/>
      <c r="E333" s="136"/>
      <c r="F333" s="201"/>
      <c r="G333" s="136"/>
      <c r="H333" s="136"/>
      <c r="I333" s="136"/>
      <c r="J333" s="136"/>
      <c r="K333" s="136"/>
      <c r="L333" s="136"/>
      <c r="M333" s="136"/>
      <c r="N333" s="136"/>
      <c r="O333" s="136"/>
      <c r="P333" s="136"/>
      <c r="Q333" s="136"/>
      <c r="R333" s="136"/>
    </row>
    <row r="334">
      <c r="A334" s="136"/>
      <c r="B334" s="136"/>
      <c r="C334" s="136"/>
      <c r="D334" s="136"/>
      <c r="E334" s="136"/>
      <c r="F334" s="201"/>
      <c r="G334" s="136"/>
      <c r="H334" s="136"/>
      <c r="I334" s="136"/>
      <c r="J334" s="136"/>
      <c r="K334" s="136"/>
      <c r="L334" s="136"/>
      <c r="M334" s="136"/>
      <c r="N334" s="136"/>
      <c r="O334" s="136"/>
      <c r="P334" s="136"/>
      <c r="Q334" s="136"/>
      <c r="R334" s="136"/>
    </row>
    <row r="335">
      <c r="A335" s="136"/>
      <c r="B335" s="136"/>
      <c r="C335" s="136"/>
      <c r="D335" s="136"/>
      <c r="E335" s="136"/>
      <c r="F335" s="201"/>
      <c r="G335" s="136"/>
      <c r="H335" s="136"/>
      <c r="I335" s="136"/>
      <c r="J335" s="136"/>
      <c r="K335" s="136"/>
      <c r="L335" s="136"/>
      <c r="M335" s="136"/>
      <c r="N335" s="136"/>
      <c r="O335" s="136"/>
      <c r="P335" s="136"/>
      <c r="Q335" s="136"/>
      <c r="R335" s="136"/>
    </row>
    <row r="336">
      <c r="A336" s="136"/>
      <c r="B336" s="136"/>
      <c r="C336" s="136"/>
      <c r="D336" s="136"/>
      <c r="E336" s="136"/>
      <c r="F336" s="201"/>
      <c r="G336" s="136"/>
      <c r="H336" s="136"/>
      <c r="I336" s="136"/>
      <c r="J336" s="136"/>
      <c r="K336" s="136"/>
      <c r="L336" s="136"/>
      <c r="M336" s="136"/>
      <c r="N336" s="136"/>
      <c r="O336" s="136"/>
      <c r="P336" s="136"/>
      <c r="Q336" s="136"/>
      <c r="R336" s="136"/>
    </row>
    <row r="337">
      <c r="A337" s="136"/>
      <c r="B337" s="136"/>
      <c r="C337" s="136"/>
      <c r="D337" s="136"/>
      <c r="E337" s="136"/>
      <c r="F337" s="201"/>
      <c r="G337" s="136"/>
      <c r="H337" s="136"/>
      <c r="I337" s="136"/>
      <c r="J337" s="136"/>
      <c r="K337" s="136"/>
      <c r="L337" s="136"/>
      <c r="M337" s="136"/>
      <c r="N337" s="136"/>
      <c r="O337" s="136"/>
      <c r="P337" s="136"/>
      <c r="Q337" s="136"/>
      <c r="R337" s="136"/>
    </row>
    <row r="338">
      <c r="A338" s="136"/>
      <c r="B338" s="136"/>
      <c r="C338" s="136"/>
      <c r="D338" s="136"/>
      <c r="E338" s="136"/>
      <c r="F338" s="201"/>
      <c r="G338" s="136"/>
      <c r="H338" s="136"/>
      <c r="I338" s="136"/>
      <c r="J338" s="136"/>
      <c r="K338" s="136"/>
      <c r="L338" s="136"/>
      <c r="M338" s="136"/>
      <c r="N338" s="136"/>
      <c r="O338" s="136"/>
      <c r="P338" s="136"/>
      <c r="Q338" s="136"/>
      <c r="R338" s="136"/>
    </row>
    <row r="339">
      <c r="A339" s="136"/>
      <c r="B339" s="136"/>
      <c r="C339" s="136"/>
      <c r="D339" s="136"/>
      <c r="E339" s="136"/>
      <c r="F339" s="201"/>
      <c r="G339" s="136"/>
      <c r="H339" s="136"/>
      <c r="I339" s="136"/>
      <c r="J339" s="136"/>
      <c r="K339" s="136"/>
      <c r="L339" s="136"/>
      <c r="M339" s="136"/>
      <c r="N339" s="136"/>
      <c r="O339" s="136"/>
      <c r="P339" s="136"/>
      <c r="Q339" s="136"/>
      <c r="R339" s="136"/>
    </row>
    <row r="340">
      <c r="A340" s="136"/>
      <c r="B340" s="136"/>
      <c r="C340" s="136"/>
      <c r="D340" s="136"/>
      <c r="E340" s="136"/>
      <c r="F340" s="201"/>
      <c r="G340" s="136"/>
      <c r="H340" s="136"/>
      <c r="I340" s="136"/>
      <c r="J340" s="136"/>
      <c r="K340" s="136"/>
      <c r="L340" s="136"/>
      <c r="M340" s="136"/>
      <c r="N340" s="136"/>
      <c r="O340" s="136"/>
      <c r="P340" s="136"/>
      <c r="Q340" s="136"/>
      <c r="R340" s="136"/>
    </row>
    <row r="341">
      <c r="A341" s="136"/>
      <c r="B341" s="136"/>
      <c r="C341" s="136"/>
      <c r="D341" s="136"/>
      <c r="E341" s="136"/>
      <c r="F341" s="201"/>
      <c r="G341" s="136"/>
      <c r="H341" s="136"/>
      <c r="I341" s="136"/>
      <c r="J341" s="136"/>
      <c r="K341" s="136"/>
      <c r="L341" s="136"/>
      <c r="M341" s="136"/>
      <c r="N341" s="136"/>
      <c r="O341" s="136"/>
      <c r="P341" s="136"/>
      <c r="Q341" s="136"/>
      <c r="R341" s="136"/>
    </row>
    <row r="342">
      <c r="A342" s="136"/>
      <c r="B342" s="136"/>
      <c r="C342" s="136"/>
      <c r="D342" s="136"/>
      <c r="E342" s="136"/>
      <c r="F342" s="201"/>
      <c r="G342" s="136"/>
      <c r="H342" s="136"/>
      <c r="I342" s="136"/>
      <c r="J342" s="136"/>
      <c r="K342" s="136"/>
      <c r="L342" s="136"/>
      <c r="M342" s="136"/>
      <c r="N342" s="136"/>
      <c r="O342" s="136"/>
      <c r="P342" s="136"/>
      <c r="Q342" s="136"/>
      <c r="R342" s="136"/>
    </row>
    <row r="343">
      <c r="A343" s="136"/>
      <c r="B343" s="136"/>
      <c r="C343" s="136"/>
      <c r="D343" s="136"/>
      <c r="E343" s="136"/>
      <c r="F343" s="201"/>
      <c r="G343" s="136"/>
      <c r="H343" s="136"/>
      <c r="I343" s="136"/>
      <c r="J343" s="136"/>
      <c r="K343" s="136"/>
      <c r="L343" s="136"/>
      <c r="M343" s="136"/>
      <c r="N343" s="136"/>
      <c r="O343" s="136"/>
      <c r="P343" s="136"/>
      <c r="Q343" s="136"/>
      <c r="R343" s="136"/>
    </row>
    <row r="344">
      <c r="A344" s="136"/>
      <c r="B344" s="136"/>
      <c r="C344" s="136"/>
      <c r="D344" s="136"/>
      <c r="E344" s="136"/>
      <c r="F344" s="201"/>
      <c r="G344" s="136"/>
      <c r="H344" s="136"/>
      <c r="I344" s="136"/>
      <c r="J344" s="136"/>
      <c r="K344" s="136"/>
      <c r="L344" s="136"/>
      <c r="M344" s="136"/>
      <c r="N344" s="136"/>
      <c r="O344" s="136"/>
      <c r="P344" s="136"/>
      <c r="Q344" s="136"/>
      <c r="R344" s="136"/>
    </row>
    <row r="345">
      <c r="A345" s="136"/>
      <c r="B345" s="136"/>
      <c r="C345" s="136"/>
      <c r="D345" s="136"/>
      <c r="E345" s="136"/>
      <c r="F345" s="201"/>
      <c r="G345" s="136"/>
      <c r="H345" s="136"/>
      <c r="I345" s="136"/>
      <c r="J345" s="136"/>
      <c r="K345" s="136"/>
      <c r="L345" s="136"/>
      <c r="M345" s="136"/>
      <c r="N345" s="136"/>
      <c r="O345" s="136"/>
      <c r="P345" s="136"/>
      <c r="Q345" s="136"/>
      <c r="R345" s="136"/>
    </row>
    <row r="346">
      <c r="A346" s="136"/>
      <c r="B346" s="136"/>
      <c r="C346" s="136"/>
      <c r="D346" s="136"/>
      <c r="E346" s="136"/>
      <c r="F346" s="201"/>
      <c r="G346" s="136"/>
      <c r="H346" s="136"/>
      <c r="I346" s="136"/>
      <c r="J346" s="136"/>
      <c r="K346" s="136"/>
      <c r="L346" s="136"/>
      <c r="M346" s="136"/>
      <c r="N346" s="136"/>
      <c r="O346" s="136"/>
      <c r="P346" s="136"/>
      <c r="Q346" s="136"/>
      <c r="R346" s="136"/>
    </row>
    <row r="347">
      <c r="A347" s="136"/>
      <c r="B347" s="136"/>
      <c r="C347" s="136"/>
      <c r="D347" s="136"/>
      <c r="E347" s="136"/>
      <c r="F347" s="201"/>
      <c r="G347" s="136"/>
      <c r="H347" s="136"/>
      <c r="I347" s="136"/>
      <c r="J347" s="136"/>
      <c r="K347" s="136"/>
      <c r="L347" s="136"/>
      <c r="M347" s="136"/>
      <c r="N347" s="136"/>
      <c r="O347" s="136"/>
      <c r="P347" s="136"/>
      <c r="Q347" s="136"/>
      <c r="R347" s="136"/>
    </row>
    <row r="348">
      <c r="A348" s="136"/>
      <c r="B348" s="136"/>
      <c r="C348" s="136"/>
      <c r="D348" s="136"/>
      <c r="E348" s="136"/>
      <c r="F348" s="201"/>
      <c r="G348" s="136"/>
      <c r="H348" s="136"/>
      <c r="I348" s="136"/>
      <c r="J348" s="136"/>
      <c r="K348" s="136"/>
      <c r="L348" s="136"/>
      <c r="M348" s="136"/>
      <c r="N348" s="136"/>
      <c r="O348" s="136"/>
      <c r="P348" s="136"/>
      <c r="Q348" s="136"/>
      <c r="R348" s="136"/>
    </row>
    <row r="349">
      <c r="A349" s="136"/>
      <c r="B349" s="136"/>
      <c r="C349" s="136"/>
      <c r="D349" s="136"/>
      <c r="E349" s="136"/>
      <c r="F349" s="201"/>
      <c r="G349" s="136"/>
      <c r="H349" s="136"/>
      <c r="I349" s="136"/>
      <c r="J349" s="136"/>
      <c r="K349" s="136"/>
      <c r="L349" s="136"/>
      <c r="M349" s="136"/>
      <c r="N349" s="136"/>
      <c r="O349" s="136"/>
      <c r="P349" s="136"/>
      <c r="Q349" s="136"/>
      <c r="R349" s="136"/>
    </row>
    <row r="350">
      <c r="A350" s="136"/>
      <c r="B350" s="136"/>
      <c r="C350" s="136"/>
      <c r="D350" s="136"/>
      <c r="E350" s="136"/>
      <c r="F350" s="201"/>
      <c r="G350" s="136"/>
      <c r="H350" s="136"/>
      <c r="I350" s="136"/>
      <c r="J350" s="136"/>
      <c r="K350" s="136"/>
      <c r="L350" s="136"/>
      <c r="M350" s="136"/>
      <c r="N350" s="136"/>
      <c r="O350" s="136"/>
      <c r="P350" s="136"/>
      <c r="Q350" s="136"/>
      <c r="R350" s="136"/>
    </row>
    <row r="351">
      <c r="A351" s="136"/>
      <c r="B351" s="136"/>
      <c r="C351" s="136"/>
      <c r="D351" s="136"/>
      <c r="E351" s="136"/>
      <c r="F351" s="201"/>
      <c r="G351" s="136"/>
      <c r="H351" s="136"/>
      <c r="I351" s="136"/>
      <c r="J351" s="136"/>
      <c r="K351" s="136"/>
      <c r="L351" s="136"/>
      <c r="M351" s="136"/>
      <c r="N351" s="136"/>
      <c r="O351" s="136"/>
      <c r="P351" s="136"/>
      <c r="Q351" s="136"/>
      <c r="R351" s="136"/>
    </row>
    <row r="352">
      <c r="A352" s="136"/>
      <c r="B352" s="136"/>
      <c r="C352" s="136"/>
      <c r="D352" s="136"/>
      <c r="E352" s="136"/>
      <c r="F352" s="201"/>
      <c r="G352" s="136"/>
      <c r="H352" s="136"/>
      <c r="I352" s="136"/>
      <c r="J352" s="136"/>
      <c r="K352" s="136"/>
      <c r="L352" s="136"/>
      <c r="M352" s="136"/>
      <c r="N352" s="136"/>
      <c r="O352" s="136"/>
      <c r="P352" s="136"/>
      <c r="Q352" s="136"/>
      <c r="R352" s="136"/>
    </row>
    <row r="353">
      <c r="A353" s="136"/>
      <c r="B353" s="136"/>
      <c r="C353" s="136"/>
      <c r="D353" s="136"/>
      <c r="E353" s="136"/>
      <c r="F353" s="201"/>
      <c r="G353" s="136"/>
      <c r="H353" s="136"/>
      <c r="I353" s="136"/>
      <c r="J353" s="136"/>
      <c r="K353" s="136"/>
      <c r="L353" s="136"/>
      <c r="M353" s="136"/>
      <c r="N353" s="136"/>
      <c r="O353" s="136"/>
      <c r="P353" s="136"/>
      <c r="Q353" s="136"/>
      <c r="R353" s="136"/>
    </row>
    <row r="354">
      <c r="A354" s="136"/>
      <c r="B354" s="136"/>
      <c r="C354" s="136"/>
      <c r="D354" s="136"/>
      <c r="E354" s="136"/>
      <c r="F354" s="201"/>
      <c r="G354" s="136"/>
      <c r="H354" s="136"/>
      <c r="I354" s="136"/>
      <c r="J354" s="136"/>
      <c r="K354" s="136"/>
      <c r="L354" s="136"/>
      <c r="M354" s="136"/>
      <c r="N354" s="136"/>
      <c r="O354" s="136"/>
      <c r="P354" s="136"/>
      <c r="Q354" s="136"/>
      <c r="R354" s="136"/>
    </row>
    <row r="355">
      <c r="A355" s="136"/>
      <c r="B355" s="136"/>
      <c r="C355" s="136"/>
      <c r="D355" s="136"/>
      <c r="E355" s="136"/>
      <c r="F355" s="201"/>
      <c r="G355" s="136"/>
      <c r="H355" s="136"/>
      <c r="I355" s="136"/>
      <c r="J355" s="136"/>
      <c r="K355" s="136"/>
      <c r="L355" s="136"/>
      <c r="M355" s="136"/>
      <c r="N355" s="136"/>
      <c r="O355" s="136"/>
      <c r="P355" s="136"/>
      <c r="Q355" s="136"/>
      <c r="R355" s="136"/>
    </row>
    <row r="356">
      <c r="A356" s="136"/>
      <c r="B356" s="136"/>
      <c r="C356" s="136"/>
      <c r="D356" s="136"/>
      <c r="E356" s="136"/>
      <c r="F356" s="201"/>
      <c r="G356" s="136"/>
      <c r="H356" s="136"/>
      <c r="I356" s="136"/>
      <c r="J356" s="136"/>
      <c r="K356" s="136"/>
      <c r="L356" s="136"/>
      <c r="M356" s="136"/>
      <c r="N356" s="136"/>
      <c r="O356" s="136"/>
      <c r="P356" s="136"/>
      <c r="Q356" s="136"/>
      <c r="R356" s="136"/>
    </row>
    <row r="357">
      <c r="A357" s="136"/>
      <c r="B357" s="136"/>
      <c r="C357" s="136"/>
      <c r="D357" s="136"/>
      <c r="E357" s="136"/>
      <c r="F357" s="201"/>
      <c r="G357" s="136"/>
      <c r="H357" s="136"/>
      <c r="I357" s="136"/>
      <c r="J357" s="136"/>
      <c r="K357" s="136"/>
      <c r="L357" s="136"/>
      <c r="M357" s="136"/>
      <c r="N357" s="136"/>
      <c r="O357" s="136"/>
      <c r="P357" s="136"/>
      <c r="Q357" s="136"/>
      <c r="R357" s="136"/>
    </row>
    <row r="358">
      <c r="A358" s="136"/>
      <c r="B358" s="136"/>
      <c r="C358" s="136"/>
      <c r="D358" s="136"/>
      <c r="E358" s="136"/>
      <c r="F358" s="201"/>
      <c r="G358" s="136"/>
      <c r="H358" s="136"/>
      <c r="I358" s="136"/>
      <c r="J358" s="136"/>
      <c r="K358" s="136"/>
      <c r="L358" s="136"/>
      <c r="M358" s="136"/>
      <c r="N358" s="136"/>
      <c r="O358" s="136"/>
      <c r="P358" s="136"/>
      <c r="Q358" s="136"/>
      <c r="R358" s="136"/>
    </row>
    <row r="359">
      <c r="A359" s="136"/>
      <c r="B359" s="136"/>
      <c r="C359" s="136"/>
      <c r="D359" s="136"/>
      <c r="E359" s="136"/>
      <c r="F359" s="201"/>
      <c r="G359" s="136"/>
      <c r="H359" s="136"/>
      <c r="I359" s="136"/>
      <c r="J359" s="136"/>
      <c r="K359" s="136"/>
      <c r="L359" s="136"/>
      <c r="M359" s="136"/>
      <c r="N359" s="136"/>
      <c r="O359" s="136"/>
      <c r="P359" s="136"/>
      <c r="Q359" s="136"/>
      <c r="R359" s="136"/>
    </row>
    <row r="360">
      <c r="A360" s="136"/>
      <c r="B360" s="136"/>
      <c r="C360" s="136"/>
      <c r="D360" s="136"/>
      <c r="E360" s="136"/>
      <c r="F360" s="201"/>
      <c r="G360" s="136"/>
      <c r="H360" s="136"/>
      <c r="I360" s="136"/>
      <c r="J360" s="136"/>
      <c r="K360" s="136"/>
      <c r="L360" s="136"/>
      <c r="M360" s="136"/>
      <c r="N360" s="136"/>
      <c r="O360" s="136"/>
      <c r="P360" s="136"/>
      <c r="Q360" s="136"/>
      <c r="R360" s="136"/>
    </row>
    <row r="361">
      <c r="A361" s="136"/>
      <c r="B361" s="136"/>
      <c r="C361" s="136"/>
      <c r="D361" s="136"/>
      <c r="E361" s="136"/>
      <c r="F361" s="201"/>
      <c r="G361" s="136"/>
      <c r="H361" s="136"/>
      <c r="I361" s="136"/>
      <c r="J361" s="136"/>
      <c r="K361" s="136"/>
      <c r="L361" s="136"/>
      <c r="M361" s="136"/>
      <c r="N361" s="136"/>
      <c r="O361" s="136"/>
      <c r="P361" s="136"/>
      <c r="Q361" s="136"/>
      <c r="R361" s="136"/>
    </row>
    <row r="362">
      <c r="A362" s="136"/>
      <c r="B362" s="136"/>
      <c r="C362" s="136"/>
      <c r="D362" s="136"/>
      <c r="E362" s="136"/>
      <c r="F362" s="201"/>
      <c r="G362" s="136"/>
      <c r="H362" s="136"/>
      <c r="I362" s="136"/>
      <c r="J362" s="136"/>
      <c r="K362" s="136"/>
      <c r="L362" s="136"/>
      <c r="M362" s="136"/>
      <c r="N362" s="136"/>
      <c r="O362" s="136"/>
      <c r="P362" s="136"/>
      <c r="Q362" s="136"/>
      <c r="R362" s="136"/>
    </row>
    <row r="363">
      <c r="A363" s="136"/>
      <c r="B363" s="136"/>
      <c r="C363" s="136"/>
      <c r="D363" s="136"/>
      <c r="E363" s="136"/>
      <c r="F363" s="201"/>
      <c r="G363" s="136"/>
      <c r="H363" s="136"/>
      <c r="I363" s="136"/>
      <c r="J363" s="136"/>
      <c r="K363" s="136"/>
      <c r="L363" s="136"/>
      <c r="M363" s="136"/>
      <c r="N363" s="136"/>
      <c r="O363" s="136"/>
      <c r="P363" s="136"/>
      <c r="Q363" s="136"/>
      <c r="R363" s="136"/>
    </row>
    <row r="364">
      <c r="A364" s="136"/>
      <c r="B364" s="136"/>
      <c r="C364" s="136"/>
      <c r="D364" s="136"/>
      <c r="E364" s="136"/>
      <c r="F364" s="201"/>
      <c r="G364" s="136"/>
      <c r="H364" s="136"/>
      <c r="I364" s="136"/>
      <c r="J364" s="136"/>
      <c r="K364" s="136"/>
      <c r="L364" s="136"/>
      <c r="M364" s="136"/>
      <c r="N364" s="136"/>
      <c r="O364" s="136"/>
      <c r="P364" s="136"/>
      <c r="Q364" s="136"/>
      <c r="R364" s="136"/>
    </row>
    <row r="365">
      <c r="A365" s="136"/>
      <c r="B365" s="136"/>
      <c r="C365" s="136"/>
      <c r="D365" s="136"/>
      <c r="E365" s="136"/>
      <c r="F365" s="201"/>
      <c r="G365" s="136"/>
      <c r="H365" s="136"/>
      <c r="I365" s="136"/>
      <c r="J365" s="136"/>
      <c r="K365" s="136"/>
      <c r="L365" s="136"/>
      <c r="M365" s="136"/>
      <c r="N365" s="136"/>
      <c r="O365" s="136"/>
      <c r="P365" s="136"/>
      <c r="Q365" s="136"/>
      <c r="R365" s="136"/>
    </row>
    <row r="366">
      <c r="A366" s="136"/>
      <c r="B366" s="136"/>
      <c r="C366" s="136"/>
      <c r="D366" s="136"/>
      <c r="E366" s="136"/>
      <c r="F366" s="201"/>
      <c r="G366" s="136"/>
      <c r="H366" s="136"/>
      <c r="I366" s="136"/>
      <c r="J366" s="136"/>
      <c r="K366" s="136"/>
      <c r="L366" s="136"/>
      <c r="M366" s="136"/>
      <c r="N366" s="136"/>
      <c r="O366" s="136"/>
      <c r="P366" s="136"/>
      <c r="Q366" s="136"/>
      <c r="R366" s="136"/>
    </row>
    <row r="367">
      <c r="A367" s="136"/>
      <c r="B367" s="136"/>
      <c r="C367" s="136"/>
      <c r="D367" s="136"/>
      <c r="E367" s="136"/>
      <c r="F367" s="201"/>
      <c r="G367" s="136"/>
      <c r="H367" s="136"/>
      <c r="I367" s="136"/>
      <c r="J367" s="136"/>
      <c r="K367" s="136"/>
      <c r="L367" s="136"/>
      <c r="M367" s="136"/>
      <c r="N367" s="136"/>
      <c r="O367" s="136"/>
      <c r="P367" s="136"/>
      <c r="Q367" s="136"/>
      <c r="R367" s="136"/>
    </row>
    <row r="368">
      <c r="A368" s="136"/>
      <c r="B368" s="136"/>
      <c r="C368" s="136"/>
      <c r="D368" s="136"/>
      <c r="E368" s="136"/>
      <c r="F368" s="201"/>
      <c r="G368" s="136"/>
      <c r="H368" s="136"/>
      <c r="I368" s="136"/>
      <c r="J368" s="136"/>
      <c r="K368" s="136"/>
      <c r="L368" s="136"/>
      <c r="M368" s="136"/>
      <c r="N368" s="136"/>
      <c r="O368" s="136"/>
      <c r="P368" s="136"/>
      <c r="Q368" s="136"/>
      <c r="R368" s="136"/>
    </row>
    <row r="369">
      <c r="A369" s="136"/>
      <c r="B369" s="136"/>
      <c r="C369" s="136"/>
      <c r="D369" s="136"/>
      <c r="E369" s="136"/>
      <c r="F369" s="201"/>
      <c r="G369" s="136"/>
      <c r="H369" s="136"/>
      <c r="I369" s="136"/>
      <c r="J369" s="136"/>
      <c r="K369" s="136"/>
      <c r="L369" s="136"/>
      <c r="M369" s="136"/>
      <c r="N369" s="136"/>
      <c r="O369" s="136"/>
      <c r="P369" s="136"/>
      <c r="Q369" s="136"/>
      <c r="R369" s="136"/>
    </row>
    <row r="370">
      <c r="A370" s="136"/>
      <c r="B370" s="136"/>
      <c r="C370" s="136"/>
      <c r="D370" s="136"/>
      <c r="E370" s="136"/>
      <c r="F370" s="201"/>
      <c r="G370" s="136"/>
      <c r="H370" s="136"/>
      <c r="I370" s="136"/>
      <c r="J370" s="136"/>
      <c r="K370" s="136"/>
      <c r="L370" s="136"/>
      <c r="M370" s="136"/>
      <c r="N370" s="136"/>
      <c r="O370" s="136"/>
      <c r="P370" s="136"/>
      <c r="Q370" s="136"/>
      <c r="R370" s="136"/>
    </row>
    <row r="371">
      <c r="A371" s="136"/>
      <c r="B371" s="136"/>
      <c r="C371" s="136"/>
      <c r="D371" s="136"/>
      <c r="E371" s="136"/>
      <c r="F371" s="201"/>
      <c r="G371" s="136"/>
      <c r="H371" s="136"/>
      <c r="I371" s="136"/>
      <c r="J371" s="136"/>
      <c r="K371" s="136"/>
      <c r="L371" s="136"/>
      <c r="M371" s="136"/>
      <c r="N371" s="136"/>
      <c r="O371" s="136"/>
      <c r="P371" s="136"/>
      <c r="Q371" s="136"/>
      <c r="R371" s="136"/>
    </row>
    <row r="372">
      <c r="A372" s="136"/>
      <c r="B372" s="136"/>
      <c r="C372" s="136"/>
      <c r="D372" s="136"/>
      <c r="E372" s="136"/>
      <c r="F372" s="201"/>
      <c r="G372" s="136"/>
      <c r="H372" s="136"/>
      <c r="I372" s="136"/>
      <c r="J372" s="136"/>
      <c r="K372" s="136"/>
      <c r="L372" s="136"/>
      <c r="M372" s="136"/>
      <c r="N372" s="136"/>
      <c r="O372" s="136"/>
      <c r="P372" s="136"/>
      <c r="Q372" s="136"/>
      <c r="R372" s="136"/>
    </row>
    <row r="373">
      <c r="A373" s="136"/>
      <c r="B373" s="136"/>
      <c r="C373" s="136"/>
      <c r="D373" s="136"/>
      <c r="E373" s="136"/>
      <c r="F373" s="201"/>
      <c r="G373" s="136"/>
      <c r="H373" s="136"/>
      <c r="I373" s="136"/>
      <c r="J373" s="136"/>
      <c r="K373" s="136"/>
      <c r="L373" s="136"/>
      <c r="M373" s="136"/>
      <c r="N373" s="136"/>
      <c r="O373" s="136"/>
      <c r="P373" s="136"/>
      <c r="Q373" s="136"/>
      <c r="R373" s="136"/>
    </row>
    <row r="374">
      <c r="A374" s="136"/>
      <c r="B374" s="136"/>
      <c r="C374" s="136"/>
      <c r="D374" s="136"/>
      <c r="E374" s="136"/>
      <c r="F374" s="201"/>
      <c r="G374" s="136"/>
      <c r="H374" s="136"/>
      <c r="I374" s="136"/>
      <c r="J374" s="136"/>
      <c r="K374" s="136"/>
      <c r="L374" s="136"/>
      <c r="M374" s="136"/>
      <c r="N374" s="136"/>
      <c r="O374" s="136"/>
      <c r="P374" s="136"/>
      <c r="Q374" s="136"/>
      <c r="R374" s="136"/>
    </row>
    <row r="375">
      <c r="A375" s="136"/>
      <c r="B375" s="136"/>
      <c r="C375" s="136"/>
      <c r="D375" s="136"/>
      <c r="E375" s="136"/>
      <c r="F375" s="201"/>
      <c r="G375" s="136"/>
      <c r="H375" s="136"/>
      <c r="I375" s="136"/>
      <c r="J375" s="136"/>
      <c r="K375" s="136"/>
      <c r="L375" s="136"/>
      <c r="M375" s="136"/>
      <c r="N375" s="136"/>
      <c r="O375" s="136"/>
      <c r="P375" s="136"/>
      <c r="Q375" s="136"/>
      <c r="R375" s="136"/>
    </row>
    <row r="376">
      <c r="A376" s="136"/>
      <c r="B376" s="136"/>
      <c r="C376" s="136"/>
      <c r="D376" s="136"/>
      <c r="E376" s="136"/>
      <c r="F376" s="201"/>
      <c r="G376" s="136"/>
      <c r="H376" s="136"/>
      <c r="I376" s="136"/>
      <c r="J376" s="136"/>
      <c r="K376" s="136"/>
      <c r="L376" s="136"/>
      <c r="M376" s="136"/>
      <c r="N376" s="136"/>
      <c r="O376" s="136"/>
      <c r="P376" s="136"/>
      <c r="Q376" s="136"/>
      <c r="R376" s="136"/>
    </row>
    <row r="377">
      <c r="A377" s="136"/>
      <c r="B377" s="136"/>
      <c r="C377" s="136"/>
      <c r="D377" s="136"/>
      <c r="E377" s="136"/>
      <c r="F377" s="201"/>
      <c r="G377" s="136"/>
      <c r="H377" s="136"/>
      <c r="I377" s="136"/>
      <c r="J377" s="136"/>
      <c r="K377" s="136"/>
      <c r="L377" s="136"/>
      <c r="M377" s="136"/>
      <c r="N377" s="136"/>
      <c r="O377" s="136"/>
      <c r="P377" s="136"/>
      <c r="Q377" s="136"/>
      <c r="R377" s="136"/>
    </row>
    <row r="378">
      <c r="A378" s="136"/>
      <c r="B378" s="136"/>
      <c r="C378" s="136"/>
      <c r="D378" s="136"/>
      <c r="E378" s="136"/>
      <c r="F378" s="201"/>
      <c r="G378" s="136"/>
      <c r="H378" s="136"/>
      <c r="I378" s="136"/>
      <c r="J378" s="136"/>
      <c r="K378" s="136"/>
      <c r="L378" s="136"/>
      <c r="M378" s="136"/>
      <c r="N378" s="136"/>
      <c r="O378" s="136"/>
      <c r="P378" s="136"/>
      <c r="Q378" s="136"/>
      <c r="R378" s="136"/>
    </row>
    <row r="379">
      <c r="A379" s="136"/>
      <c r="B379" s="136"/>
      <c r="C379" s="136"/>
      <c r="D379" s="136"/>
      <c r="E379" s="136"/>
      <c r="F379" s="201"/>
      <c r="G379" s="136"/>
      <c r="H379" s="136"/>
      <c r="I379" s="136"/>
      <c r="J379" s="136"/>
      <c r="K379" s="136"/>
      <c r="L379" s="136"/>
      <c r="M379" s="136"/>
      <c r="N379" s="136"/>
      <c r="O379" s="136"/>
      <c r="P379" s="136"/>
      <c r="Q379" s="136"/>
      <c r="R379" s="136"/>
    </row>
    <row r="380">
      <c r="A380" s="136"/>
      <c r="B380" s="136"/>
      <c r="C380" s="136"/>
      <c r="D380" s="136"/>
      <c r="E380" s="136"/>
      <c r="F380" s="201"/>
      <c r="G380" s="136"/>
      <c r="H380" s="136"/>
      <c r="I380" s="136"/>
      <c r="J380" s="136"/>
      <c r="K380" s="136"/>
      <c r="L380" s="136"/>
      <c r="M380" s="136"/>
      <c r="N380" s="136"/>
      <c r="O380" s="136"/>
      <c r="P380" s="136"/>
      <c r="Q380" s="136"/>
      <c r="R380" s="136"/>
    </row>
    <row r="381">
      <c r="A381" s="136"/>
      <c r="B381" s="136"/>
      <c r="C381" s="136"/>
      <c r="D381" s="136"/>
      <c r="E381" s="136"/>
      <c r="F381" s="201"/>
      <c r="G381" s="136"/>
      <c r="H381" s="136"/>
      <c r="I381" s="136"/>
      <c r="J381" s="136"/>
      <c r="K381" s="136"/>
      <c r="L381" s="136"/>
      <c r="M381" s="136"/>
      <c r="N381" s="136"/>
      <c r="O381" s="136"/>
      <c r="P381" s="136"/>
      <c r="Q381" s="136"/>
      <c r="R381" s="136"/>
    </row>
    <row r="382">
      <c r="A382" s="136"/>
      <c r="B382" s="136"/>
      <c r="C382" s="136"/>
      <c r="D382" s="136"/>
      <c r="E382" s="136"/>
      <c r="F382" s="201"/>
      <c r="G382" s="136"/>
      <c r="H382" s="136"/>
      <c r="I382" s="136"/>
      <c r="J382" s="136"/>
      <c r="K382" s="136"/>
      <c r="L382" s="136"/>
      <c r="M382" s="136"/>
      <c r="N382" s="136"/>
      <c r="O382" s="136"/>
      <c r="P382" s="136"/>
      <c r="Q382" s="136"/>
      <c r="R382" s="136"/>
    </row>
    <row r="383">
      <c r="A383" s="136"/>
      <c r="B383" s="136"/>
      <c r="C383" s="136"/>
      <c r="D383" s="136"/>
      <c r="E383" s="136"/>
      <c r="F383" s="201"/>
      <c r="G383" s="136"/>
      <c r="H383" s="136"/>
      <c r="I383" s="136"/>
      <c r="J383" s="136"/>
      <c r="K383" s="136"/>
      <c r="L383" s="136"/>
      <c r="M383" s="136"/>
      <c r="N383" s="136"/>
      <c r="O383" s="136"/>
      <c r="P383" s="136"/>
      <c r="Q383" s="136"/>
      <c r="R383" s="136"/>
    </row>
    <row r="384">
      <c r="A384" s="136"/>
      <c r="B384" s="136"/>
      <c r="C384" s="136"/>
      <c r="D384" s="136"/>
      <c r="E384" s="136"/>
      <c r="F384" s="201"/>
      <c r="G384" s="136"/>
      <c r="H384" s="136"/>
      <c r="I384" s="136"/>
      <c r="J384" s="136"/>
      <c r="K384" s="136"/>
      <c r="L384" s="136"/>
      <c r="M384" s="136"/>
      <c r="N384" s="136"/>
      <c r="O384" s="136"/>
      <c r="P384" s="136"/>
      <c r="Q384" s="136"/>
      <c r="R384" s="136"/>
    </row>
    <row r="385">
      <c r="A385" s="136"/>
      <c r="B385" s="136"/>
      <c r="C385" s="136"/>
      <c r="D385" s="136"/>
      <c r="E385" s="136"/>
      <c r="F385" s="201"/>
      <c r="G385" s="136"/>
      <c r="H385" s="136"/>
      <c r="I385" s="136"/>
      <c r="J385" s="136"/>
      <c r="K385" s="136"/>
      <c r="L385" s="136"/>
      <c r="M385" s="136"/>
      <c r="N385" s="136"/>
      <c r="O385" s="136"/>
      <c r="P385" s="136"/>
      <c r="Q385" s="136"/>
      <c r="R385" s="136"/>
    </row>
    <row r="386">
      <c r="A386" s="136"/>
      <c r="B386" s="136"/>
      <c r="C386" s="136"/>
      <c r="D386" s="136"/>
      <c r="E386" s="136"/>
      <c r="F386" s="201"/>
      <c r="G386" s="136"/>
      <c r="H386" s="136"/>
      <c r="I386" s="136"/>
      <c r="J386" s="136"/>
      <c r="K386" s="136"/>
      <c r="L386" s="136"/>
      <c r="M386" s="136"/>
      <c r="N386" s="136"/>
      <c r="O386" s="136"/>
      <c r="P386" s="136"/>
      <c r="Q386" s="136"/>
      <c r="R386" s="136"/>
    </row>
    <row r="387">
      <c r="A387" s="136"/>
      <c r="B387" s="136"/>
      <c r="C387" s="136"/>
      <c r="D387" s="136"/>
      <c r="E387" s="136"/>
      <c r="F387" s="201"/>
      <c r="G387" s="136"/>
      <c r="H387" s="136"/>
      <c r="I387" s="136"/>
      <c r="J387" s="136"/>
      <c r="K387" s="136"/>
      <c r="L387" s="136"/>
      <c r="M387" s="136"/>
      <c r="N387" s="136"/>
      <c r="O387" s="136"/>
      <c r="P387" s="136"/>
      <c r="Q387" s="136"/>
      <c r="R387" s="136"/>
    </row>
    <row r="388">
      <c r="A388" s="136"/>
      <c r="B388" s="136"/>
      <c r="C388" s="136"/>
      <c r="D388" s="136"/>
      <c r="E388" s="136"/>
      <c r="F388" s="201"/>
      <c r="G388" s="136"/>
      <c r="H388" s="136"/>
      <c r="I388" s="136"/>
      <c r="J388" s="136"/>
      <c r="K388" s="136"/>
      <c r="L388" s="136"/>
      <c r="M388" s="136"/>
      <c r="N388" s="136"/>
      <c r="O388" s="136"/>
      <c r="P388" s="136"/>
      <c r="Q388" s="136"/>
      <c r="R388" s="136"/>
    </row>
    <row r="389">
      <c r="A389" s="136"/>
      <c r="B389" s="136"/>
      <c r="C389" s="136"/>
      <c r="D389" s="136"/>
      <c r="E389" s="136"/>
      <c r="F389" s="201"/>
      <c r="G389" s="136"/>
      <c r="H389" s="136"/>
      <c r="I389" s="136"/>
      <c r="J389" s="136"/>
      <c r="K389" s="136"/>
      <c r="L389" s="136"/>
      <c r="M389" s="136"/>
      <c r="N389" s="136"/>
      <c r="O389" s="136"/>
      <c r="P389" s="136"/>
      <c r="Q389" s="136"/>
      <c r="R389" s="136"/>
    </row>
    <row r="390">
      <c r="A390" s="136"/>
      <c r="B390" s="136"/>
      <c r="C390" s="136"/>
      <c r="D390" s="136"/>
      <c r="E390" s="136"/>
      <c r="F390" s="201"/>
      <c r="G390" s="136"/>
      <c r="H390" s="136"/>
      <c r="I390" s="136"/>
      <c r="J390" s="136"/>
      <c r="K390" s="136"/>
      <c r="L390" s="136"/>
      <c r="M390" s="136"/>
      <c r="N390" s="136"/>
      <c r="O390" s="136"/>
      <c r="P390" s="136"/>
      <c r="Q390" s="136"/>
      <c r="R390" s="136"/>
    </row>
    <row r="391">
      <c r="A391" s="136"/>
      <c r="B391" s="136"/>
      <c r="C391" s="136"/>
      <c r="D391" s="136"/>
      <c r="E391" s="136"/>
      <c r="F391" s="201"/>
      <c r="G391" s="136"/>
      <c r="H391" s="136"/>
      <c r="I391" s="136"/>
      <c r="J391" s="136"/>
      <c r="K391" s="136"/>
      <c r="L391" s="136"/>
      <c r="M391" s="136"/>
      <c r="N391" s="136"/>
      <c r="O391" s="136"/>
      <c r="P391" s="136"/>
      <c r="Q391" s="136"/>
      <c r="R391" s="136"/>
    </row>
    <row r="392">
      <c r="A392" s="136"/>
      <c r="B392" s="136"/>
      <c r="C392" s="136"/>
      <c r="D392" s="136"/>
      <c r="E392" s="136"/>
      <c r="F392" s="201"/>
      <c r="G392" s="136"/>
      <c r="H392" s="136"/>
      <c r="I392" s="136"/>
      <c r="J392" s="136"/>
      <c r="K392" s="136"/>
      <c r="L392" s="136"/>
      <c r="M392" s="136"/>
      <c r="N392" s="136"/>
      <c r="O392" s="136"/>
      <c r="P392" s="136"/>
      <c r="Q392" s="136"/>
      <c r="R392" s="136"/>
    </row>
    <row r="393">
      <c r="A393" s="136"/>
      <c r="B393" s="136"/>
      <c r="C393" s="136"/>
      <c r="D393" s="136"/>
      <c r="E393" s="136"/>
      <c r="F393" s="201"/>
      <c r="G393" s="136"/>
      <c r="H393" s="136"/>
      <c r="I393" s="136"/>
      <c r="J393" s="136"/>
      <c r="K393" s="136"/>
      <c r="L393" s="136"/>
      <c r="M393" s="136"/>
      <c r="N393" s="136"/>
      <c r="O393" s="136"/>
      <c r="P393" s="136"/>
      <c r="Q393" s="136"/>
      <c r="R393" s="136"/>
    </row>
    <row r="394">
      <c r="A394" s="136"/>
      <c r="B394" s="136"/>
      <c r="C394" s="136"/>
      <c r="D394" s="136"/>
      <c r="E394" s="136"/>
      <c r="F394" s="201"/>
      <c r="G394" s="136"/>
      <c r="H394" s="136"/>
      <c r="I394" s="136"/>
      <c r="J394" s="136"/>
      <c r="K394" s="136"/>
      <c r="L394" s="136"/>
      <c r="M394" s="136"/>
      <c r="N394" s="136"/>
      <c r="O394" s="136"/>
      <c r="P394" s="136"/>
      <c r="Q394" s="136"/>
      <c r="R394" s="136"/>
    </row>
    <row r="395">
      <c r="A395" s="136"/>
      <c r="B395" s="136"/>
      <c r="C395" s="136"/>
      <c r="D395" s="136"/>
      <c r="E395" s="136"/>
      <c r="F395" s="201"/>
      <c r="G395" s="136"/>
      <c r="H395" s="136"/>
      <c r="I395" s="136"/>
      <c r="J395" s="136"/>
      <c r="K395" s="136"/>
      <c r="L395" s="136"/>
      <c r="M395" s="136"/>
      <c r="N395" s="136"/>
      <c r="O395" s="136"/>
      <c r="P395" s="136"/>
      <c r="Q395" s="136"/>
      <c r="R395" s="136"/>
    </row>
    <row r="396">
      <c r="A396" s="136"/>
      <c r="B396" s="136"/>
      <c r="C396" s="136"/>
      <c r="D396" s="136"/>
      <c r="E396" s="136"/>
      <c r="F396" s="201"/>
      <c r="G396" s="136"/>
      <c r="H396" s="136"/>
      <c r="I396" s="136"/>
      <c r="J396" s="136"/>
      <c r="K396" s="136"/>
      <c r="L396" s="136"/>
      <c r="M396" s="136"/>
      <c r="N396" s="136"/>
      <c r="O396" s="136"/>
      <c r="P396" s="136"/>
      <c r="Q396" s="136"/>
      <c r="R396" s="136"/>
    </row>
    <row r="397">
      <c r="A397" s="136"/>
      <c r="B397" s="136"/>
      <c r="C397" s="136"/>
      <c r="D397" s="136"/>
      <c r="E397" s="136"/>
      <c r="F397" s="201"/>
      <c r="G397" s="136"/>
      <c r="H397" s="136"/>
      <c r="I397" s="136"/>
      <c r="J397" s="136"/>
      <c r="K397" s="136"/>
      <c r="L397" s="136"/>
      <c r="M397" s="136"/>
      <c r="N397" s="136"/>
      <c r="O397" s="136"/>
      <c r="P397" s="136"/>
      <c r="Q397" s="136"/>
      <c r="R397" s="136"/>
    </row>
    <row r="398">
      <c r="A398" s="136"/>
      <c r="B398" s="136"/>
      <c r="C398" s="136"/>
      <c r="D398" s="136"/>
      <c r="E398" s="136"/>
      <c r="F398" s="201"/>
      <c r="G398" s="136"/>
      <c r="H398" s="136"/>
      <c r="I398" s="136"/>
      <c r="J398" s="136"/>
      <c r="K398" s="136"/>
      <c r="L398" s="136"/>
      <c r="M398" s="136"/>
      <c r="N398" s="136"/>
      <c r="O398" s="136"/>
      <c r="P398" s="136"/>
      <c r="Q398" s="136"/>
      <c r="R398" s="136"/>
    </row>
    <row r="399">
      <c r="A399" s="136"/>
      <c r="B399" s="136"/>
      <c r="C399" s="136"/>
      <c r="D399" s="136"/>
      <c r="E399" s="136"/>
      <c r="F399" s="201"/>
      <c r="G399" s="136"/>
      <c r="H399" s="136"/>
      <c r="I399" s="136"/>
      <c r="J399" s="136"/>
      <c r="K399" s="136"/>
      <c r="L399" s="136"/>
      <c r="M399" s="136"/>
      <c r="N399" s="136"/>
      <c r="O399" s="136"/>
      <c r="P399" s="136"/>
      <c r="Q399" s="136"/>
      <c r="R399" s="136"/>
    </row>
    <row r="400">
      <c r="A400" s="136"/>
      <c r="B400" s="136"/>
      <c r="C400" s="136"/>
      <c r="D400" s="136"/>
      <c r="E400" s="136"/>
      <c r="F400" s="201"/>
      <c r="G400" s="136"/>
      <c r="H400" s="136"/>
      <c r="I400" s="136"/>
      <c r="J400" s="136"/>
      <c r="K400" s="136"/>
      <c r="L400" s="136"/>
      <c r="M400" s="136"/>
      <c r="N400" s="136"/>
      <c r="O400" s="136"/>
      <c r="P400" s="136"/>
      <c r="Q400" s="136"/>
      <c r="R400" s="136"/>
    </row>
    <row r="401">
      <c r="A401" s="136"/>
      <c r="B401" s="136"/>
      <c r="C401" s="136"/>
      <c r="D401" s="136"/>
      <c r="E401" s="136"/>
      <c r="F401" s="201"/>
      <c r="G401" s="136"/>
      <c r="H401" s="136"/>
      <c r="I401" s="136"/>
      <c r="J401" s="136"/>
      <c r="K401" s="136"/>
      <c r="L401" s="136"/>
      <c r="M401" s="136"/>
      <c r="N401" s="136"/>
      <c r="O401" s="136"/>
      <c r="P401" s="136"/>
      <c r="Q401" s="136"/>
      <c r="R401" s="136"/>
    </row>
    <row r="402">
      <c r="A402" s="136"/>
      <c r="B402" s="136"/>
      <c r="C402" s="136"/>
      <c r="D402" s="136"/>
      <c r="E402" s="136"/>
      <c r="F402" s="201"/>
      <c r="G402" s="136"/>
      <c r="H402" s="136"/>
      <c r="I402" s="136"/>
      <c r="J402" s="136"/>
      <c r="K402" s="136"/>
      <c r="L402" s="136"/>
      <c r="M402" s="136"/>
      <c r="N402" s="136"/>
      <c r="O402" s="136"/>
      <c r="P402" s="136"/>
      <c r="Q402" s="136"/>
      <c r="R402" s="136"/>
    </row>
    <row r="403">
      <c r="A403" s="136"/>
      <c r="B403" s="136"/>
      <c r="C403" s="136"/>
      <c r="D403" s="136"/>
      <c r="E403" s="136"/>
      <c r="F403" s="201"/>
      <c r="G403" s="136"/>
      <c r="H403" s="136"/>
      <c r="I403" s="136"/>
      <c r="J403" s="136"/>
      <c r="K403" s="136"/>
      <c r="L403" s="136"/>
      <c r="M403" s="136"/>
      <c r="N403" s="136"/>
      <c r="O403" s="136"/>
      <c r="P403" s="136"/>
      <c r="Q403" s="136"/>
      <c r="R403" s="136"/>
    </row>
    <row r="404">
      <c r="A404" s="136"/>
      <c r="B404" s="136"/>
      <c r="C404" s="136"/>
      <c r="D404" s="136"/>
      <c r="E404" s="136"/>
      <c r="F404" s="201"/>
      <c r="G404" s="136"/>
      <c r="H404" s="136"/>
      <c r="I404" s="136"/>
      <c r="J404" s="136"/>
      <c r="K404" s="136"/>
      <c r="L404" s="136"/>
      <c r="M404" s="136"/>
      <c r="N404" s="136"/>
      <c r="O404" s="136"/>
      <c r="P404" s="136"/>
      <c r="Q404" s="136"/>
      <c r="R404" s="136"/>
    </row>
    <row r="405">
      <c r="A405" s="136"/>
      <c r="B405" s="136"/>
      <c r="C405" s="136"/>
      <c r="D405" s="136"/>
      <c r="E405" s="136"/>
      <c r="F405" s="201"/>
      <c r="G405" s="136"/>
      <c r="H405" s="136"/>
      <c r="I405" s="136"/>
      <c r="J405" s="136"/>
      <c r="K405" s="136"/>
      <c r="L405" s="136"/>
      <c r="M405" s="136"/>
      <c r="N405" s="136"/>
      <c r="O405" s="136"/>
      <c r="P405" s="136"/>
      <c r="Q405" s="136"/>
      <c r="R405" s="136"/>
    </row>
    <row r="406">
      <c r="A406" s="136"/>
      <c r="B406" s="136"/>
      <c r="C406" s="136"/>
      <c r="D406" s="136"/>
      <c r="E406" s="136"/>
      <c r="F406" s="201"/>
      <c r="G406" s="136"/>
      <c r="H406" s="136"/>
      <c r="I406" s="136"/>
      <c r="J406" s="136"/>
      <c r="K406" s="136"/>
      <c r="L406" s="136"/>
      <c r="M406" s="136"/>
      <c r="N406" s="136"/>
      <c r="O406" s="136"/>
      <c r="P406" s="136"/>
      <c r="Q406" s="136"/>
      <c r="R406" s="136"/>
    </row>
    <row r="407">
      <c r="A407" s="136"/>
      <c r="B407" s="136"/>
      <c r="C407" s="136"/>
      <c r="D407" s="136"/>
      <c r="E407" s="136"/>
      <c r="F407" s="201"/>
      <c r="G407" s="136"/>
      <c r="H407" s="136"/>
      <c r="I407" s="136"/>
      <c r="J407" s="136"/>
      <c r="K407" s="136"/>
      <c r="L407" s="136"/>
      <c r="M407" s="136"/>
      <c r="N407" s="136"/>
      <c r="O407" s="136"/>
      <c r="P407" s="136"/>
      <c r="Q407" s="136"/>
      <c r="R407" s="136"/>
    </row>
    <row r="408">
      <c r="A408" s="136"/>
      <c r="B408" s="136"/>
      <c r="C408" s="136"/>
      <c r="D408" s="136"/>
      <c r="E408" s="136"/>
      <c r="F408" s="201"/>
      <c r="G408" s="136"/>
      <c r="H408" s="136"/>
      <c r="I408" s="136"/>
      <c r="J408" s="136"/>
      <c r="K408" s="136"/>
      <c r="L408" s="136"/>
      <c r="M408" s="136"/>
      <c r="N408" s="136"/>
      <c r="O408" s="136"/>
      <c r="P408" s="136"/>
      <c r="Q408" s="136"/>
      <c r="R408" s="136"/>
    </row>
    <row r="409">
      <c r="A409" s="136"/>
      <c r="B409" s="136"/>
      <c r="C409" s="136"/>
      <c r="D409" s="136"/>
      <c r="E409" s="136"/>
      <c r="F409" s="201"/>
      <c r="G409" s="136"/>
      <c r="H409" s="136"/>
      <c r="I409" s="136"/>
      <c r="J409" s="136"/>
      <c r="K409" s="136"/>
      <c r="L409" s="136"/>
      <c r="M409" s="136"/>
      <c r="N409" s="136"/>
      <c r="O409" s="136"/>
      <c r="P409" s="136"/>
      <c r="Q409" s="136"/>
      <c r="R409" s="136"/>
    </row>
    <row r="410">
      <c r="A410" s="136"/>
      <c r="B410" s="136"/>
      <c r="C410" s="136"/>
      <c r="D410" s="136"/>
      <c r="E410" s="136"/>
      <c r="F410" s="201"/>
      <c r="G410" s="136"/>
      <c r="H410" s="136"/>
      <c r="I410" s="136"/>
      <c r="J410" s="136"/>
      <c r="K410" s="136"/>
      <c r="L410" s="136"/>
      <c r="M410" s="136"/>
      <c r="N410" s="136"/>
      <c r="O410" s="136"/>
      <c r="P410" s="136"/>
      <c r="Q410" s="136"/>
      <c r="R410" s="136"/>
    </row>
    <row r="411">
      <c r="A411" s="136"/>
      <c r="B411" s="136"/>
      <c r="C411" s="136"/>
      <c r="D411" s="136"/>
      <c r="E411" s="136"/>
      <c r="F411" s="201"/>
      <c r="G411" s="136"/>
      <c r="H411" s="136"/>
      <c r="I411" s="136"/>
      <c r="J411" s="136"/>
      <c r="K411" s="136"/>
      <c r="L411" s="136"/>
      <c r="M411" s="136"/>
      <c r="N411" s="136"/>
      <c r="O411" s="136"/>
      <c r="P411" s="136"/>
      <c r="Q411" s="136"/>
      <c r="R411" s="136"/>
    </row>
    <row r="412">
      <c r="A412" s="136"/>
      <c r="B412" s="136"/>
      <c r="C412" s="136"/>
      <c r="D412" s="136"/>
      <c r="E412" s="136"/>
      <c r="F412" s="201"/>
      <c r="G412" s="136"/>
      <c r="H412" s="136"/>
      <c r="I412" s="136"/>
      <c r="J412" s="136"/>
      <c r="K412" s="136"/>
      <c r="L412" s="136"/>
      <c r="M412" s="136"/>
      <c r="N412" s="136"/>
      <c r="O412" s="136"/>
      <c r="P412" s="136"/>
      <c r="Q412" s="136"/>
      <c r="R412" s="136"/>
    </row>
    <row r="413">
      <c r="A413" s="136"/>
      <c r="B413" s="136"/>
      <c r="C413" s="136"/>
      <c r="D413" s="136"/>
      <c r="E413" s="136"/>
      <c r="F413" s="201"/>
      <c r="G413" s="136"/>
      <c r="H413" s="136"/>
      <c r="I413" s="136"/>
      <c r="J413" s="136"/>
      <c r="K413" s="136"/>
      <c r="L413" s="136"/>
      <c r="M413" s="136"/>
      <c r="N413" s="136"/>
      <c r="O413" s="136"/>
      <c r="P413" s="136"/>
      <c r="Q413" s="136"/>
      <c r="R413" s="136"/>
    </row>
    <row r="414">
      <c r="A414" s="136"/>
      <c r="B414" s="136"/>
      <c r="C414" s="136"/>
      <c r="D414" s="136"/>
      <c r="E414" s="136"/>
      <c r="F414" s="201"/>
      <c r="G414" s="136"/>
      <c r="H414" s="136"/>
      <c r="I414" s="136"/>
      <c r="J414" s="136"/>
      <c r="K414" s="136"/>
      <c r="L414" s="136"/>
      <c r="M414" s="136"/>
      <c r="N414" s="136"/>
      <c r="O414" s="136"/>
      <c r="P414" s="136"/>
      <c r="Q414" s="136"/>
      <c r="R414" s="136"/>
    </row>
    <row r="415">
      <c r="A415" s="136"/>
      <c r="B415" s="136"/>
      <c r="C415" s="136"/>
      <c r="D415" s="136"/>
      <c r="E415" s="136"/>
      <c r="F415" s="201"/>
      <c r="G415" s="136"/>
      <c r="H415" s="136"/>
      <c r="I415" s="136"/>
      <c r="J415" s="136"/>
      <c r="K415" s="136"/>
      <c r="L415" s="136"/>
      <c r="M415" s="136"/>
      <c r="N415" s="136"/>
      <c r="O415" s="136"/>
      <c r="P415" s="136"/>
      <c r="Q415" s="136"/>
      <c r="R415" s="136"/>
    </row>
    <row r="416">
      <c r="A416" s="136"/>
      <c r="B416" s="136"/>
      <c r="C416" s="136"/>
      <c r="D416" s="136"/>
      <c r="E416" s="136"/>
      <c r="F416" s="201"/>
      <c r="G416" s="136"/>
      <c r="H416" s="136"/>
      <c r="I416" s="136"/>
      <c r="J416" s="136"/>
      <c r="K416" s="136"/>
      <c r="L416" s="136"/>
      <c r="M416" s="136"/>
      <c r="N416" s="136"/>
      <c r="O416" s="136"/>
      <c r="P416" s="136"/>
      <c r="Q416" s="136"/>
      <c r="R416" s="136"/>
    </row>
    <row r="417">
      <c r="A417" s="136"/>
      <c r="B417" s="136"/>
      <c r="C417" s="136"/>
      <c r="D417" s="136"/>
      <c r="E417" s="136"/>
      <c r="F417" s="201"/>
      <c r="G417" s="136"/>
      <c r="H417" s="136"/>
      <c r="I417" s="136"/>
      <c r="J417" s="136"/>
      <c r="K417" s="136"/>
      <c r="L417" s="136"/>
      <c r="M417" s="136"/>
      <c r="N417" s="136"/>
      <c r="O417" s="136"/>
      <c r="P417" s="136"/>
      <c r="Q417" s="136"/>
      <c r="R417" s="136"/>
    </row>
    <row r="418">
      <c r="A418" s="136"/>
      <c r="B418" s="136"/>
      <c r="C418" s="136"/>
      <c r="D418" s="136"/>
      <c r="E418" s="136"/>
      <c r="F418" s="201"/>
      <c r="G418" s="136"/>
      <c r="H418" s="136"/>
      <c r="I418" s="136"/>
      <c r="J418" s="136"/>
      <c r="K418" s="136"/>
      <c r="L418" s="136"/>
      <c r="M418" s="136"/>
      <c r="N418" s="136"/>
      <c r="O418" s="136"/>
      <c r="P418" s="136"/>
      <c r="Q418" s="136"/>
      <c r="R418" s="136"/>
    </row>
    <row r="419">
      <c r="A419" s="136"/>
      <c r="B419" s="136"/>
      <c r="C419" s="136"/>
      <c r="D419" s="136"/>
      <c r="E419" s="136"/>
      <c r="F419" s="201"/>
      <c r="G419" s="136"/>
      <c r="H419" s="136"/>
      <c r="I419" s="136"/>
      <c r="J419" s="136"/>
      <c r="K419" s="136"/>
      <c r="L419" s="136"/>
      <c r="M419" s="136"/>
      <c r="N419" s="136"/>
      <c r="O419" s="136"/>
      <c r="P419" s="136"/>
      <c r="Q419" s="136"/>
      <c r="R419" s="136"/>
    </row>
    <row r="420">
      <c r="A420" s="136"/>
      <c r="B420" s="136"/>
      <c r="C420" s="136"/>
      <c r="D420" s="136"/>
      <c r="E420" s="136"/>
      <c r="F420" s="201"/>
      <c r="G420" s="136"/>
      <c r="H420" s="136"/>
      <c r="I420" s="136"/>
      <c r="J420" s="136"/>
      <c r="K420" s="136"/>
      <c r="L420" s="136"/>
      <c r="M420" s="136"/>
      <c r="N420" s="136"/>
      <c r="O420" s="136"/>
      <c r="P420" s="136"/>
      <c r="Q420" s="136"/>
      <c r="R420" s="136"/>
    </row>
    <row r="421">
      <c r="A421" s="136"/>
      <c r="B421" s="136"/>
      <c r="C421" s="136"/>
      <c r="D421" s="136"/>
      <c r="E421" s="136"/>
      <c r="F421" s="201"/>
      <c r="G421" s="136"/>
      <c r="H421" s="136"/>
      <c r="I421" s="136"/>
      <c r="J421" s="136"/>
      <c r="K421" s="136"/>
      <c r="L421" s="136"/>
      <c r="M421" s="136"/>
      <c r="N421" s="136"/>
      <c r="O421" s="136"/>
      <c r="P421" s="136"/>
      <c r="Q421" s="136"/>
      <c r="R421" s="136"/>
    </row>
    <row r="422">
      <c r="A422" s="136"/>
      <c r="B422" s="136"/>
      <c r="C422" s="136"/>
      <c r="D422" s="136"/>
      <c r="E422" s="136"/>
      <c r="F422" s="201"/>
      <c r="G422" s="136"/>
      <c r="H422" s="136"/>
      <c r="I422" s="136"/>
      <c r="J422" s="136"/>
      <c r="K422" s="136"/>
      <c r="L422" s="136"/>
      <c r="M422" s="136"/>
      <c r="N422" s="136"/>
      <c r="O422" s="136"/>
      <c r="P422" s="136"/>
      <c r="Q422" s="136"/>
      <c r="R422" s="136"/>
    </row>
    <row r="423">
      <c r="A423" s="136"/>
      <c r="B423" s="136"/>
      <c r="C423" s="136"/>
      <c r="D423" s="136"/>
      <c r="E423" s="136"/>
      <c r="F423" s="201"/>
      <c r="G423" s="136"/>
      <c r="H423" s="136"/>
      <c r="I423" s="136"/>
      <c r="J423" s="136"/>
      <c r="K423" s="136"/>
      <c r="L423" s="136"/>
      <c r="M423" s="136"/>
      <c r="N423" s="136"/>
      <c r="O423" s="136"/>
      <c r="P423" s="136"/>
      <c r="Q423" s="136"/>
      <c r="R423" s="136"/>
    </row>
    <row r="424">
      <c r="A424" s="136"/>
      <c r="B424" s="136"/>
      <c r="C424" s="136"/>
      <c r="D424" s="136"/>
      <c r="E424" s="136"/>
      <c r="F424" s="201"/>
      <c r="G424" s="136"/>
      <c r="H424" s="136"/>
      <c r="I424" s="136"/>
      <c r="J424" s="136"/>
      <c r="K424" s="136"/>
      <c r="L424" s="136"/>
      <c r="M424" s="136"/>
      <c r="N424" s="136"/>
      <c r="O424" s="136"/>
      <c r="P424" s="136"/>
      <c r="Q424" s="136"/>
      <c r="R424" s="136"/>
    </row>
    <row r="425">
      <c r="A425" s="136"/>
      <c r="B425" s="136"/>
      <c r="C425" s="136"/>
      <c r="D425" s="136"/>
      <c r="E425" s="136"/>
      <c r="F425" s="201"/>
      <c r="G425" s="136"/>
      <c r="H425" s="136"/>
      <c r="I425" s="136"/>
      <c r="J425" s="136"/>
      <c r="K425" s="136"/>
      <c r="L425" s="136"/>
      <c r="M425" s="136"/>
      <c r="N425" s="136"/>
      <c r="O425" s="136"/>
      <c r="P425" s="136"/>
      <c r="Q425" s="136"/>
      <c r="R425" s="136"/>
    </row>
    <row r="426">
      <c r="A426" s="136"/>
      <c r="B426" s="136"/>
      <c r="C426" s="136"/>
      <c r="D426" s="136"/>
      <c r="E426" s="136"/>
      <c r="F426" s="201"/>
      <c r="G426" s="136"/>
      <c r="H426" s="136"/>
      <c r="I426" s="136"/>
      <c r="J426" s="136"/>
      <c r="K426" s="136"/>
      <c r="L426" s="136"/>
      <c r="M426" s="136"/>
      <c r="N426" s="136"/>
      <c r="O426" s="136"/>
      <c r="P426" s="136"/>
      <c r="Q426" s="136"/>
      <c r="R426" s="136"/>
    </row>
    <row r="427">
      <c r="A427" s="136"/>
      <c r="B427" s="136"/>
      <c r="C427" s="136"/>
      <c r="D427" s="136"/>
      <c r="E427" s="136"/>
      <c r="F427" s="201"/>
      <c r="G427" s="136"/>
      <c r="H427" s="136"/>
      <c r="I427" s="136"/>
      <c r="J427" s="136"/>
      <c r="K427" s="136"/>
      <c r="L427" s="136"/>
      <c r="M427" s="136"/>
      <c r="N427" s="136"/>
      <c r="O427" s="136"/>
      <c r="P427" s="136"/>
      <c r="Q427" s="136"/>
      <c r="R427" s="136"/>
    </row>
    <row r="428">
      <c r="A428" s="136"/>
      <c r="B428" s="136"/>
      <c r="C428" s="136"/>
      <c r="D428" s="136"/>
      <c r="E428" s="136"/>
      <c r="F428" s="201"/>
      <c r="G428" s="136"/>
      <c r="H428" s="136"/>
      <c r="I428" s="136"/>
      <c r="J428" s="136"/>
      <c r="K428" s="136"/>
      <c r="L428" s="136"/>
      <c r="M428" s="136"/>
      <c r="N428" s="136"/>
      <c r="O428" s="136"/>
      <c r="P428" s="136"/>
      <c r="Q428" s="136"/>
      <c r="R428" s="136"/>
    </row>
    <row r="429">
      <c r="A429" s="136"/>
      <c r="B429" s="136"/>
      <c r="C429" s="136"/>
      <c r="D429" s="136"/>
      <c r="E429" s="136"/>
      <c r="F429" s="201"/>
      <c r="G429" s="136"/>
      <c r="H429" s="136"/>
      <c r="I429" s="136"/>
      <c r="J429" s="136"/>
      <c r="K429" s="136"/>
      <c r="L429" s="136"/>
      <c r="M429" s="136"/>
      <c r="N429" s="136"/>
      <c r="O429" s="136"/>
      <c r="P429" s="136"/>
      <c r="Q429" s="136"/>
      <c r="R429" s="136"/>
    </row>
    <row r="430">
      <c r="A430" s="136"/>
      <c r="B430" s="136"/>
      <c r="C430" s="136"/>
      <c r="D430" s="136"/>
      <c r="E430" s="136"/>
      <c r="F430" s="201"/>
      <c r="G430" s="136"/>
      <c r="H430" s="136"/>
      <c r="I430" s="136"/>
      <c r="J430" s="136"/>
      <c r="K430" s="136"/>
      <c r="L430" s="136"/>
      <c r="M430" s="136"/>
      <c r="N430" s="136"/>
      <c r="O430" s="136"/>
      <c r="P430" s="136"/>
      <c r="Q430" s="136"/>
      <c r="R430" s="136"/>
    </row>
    <row r="431">
      <c r="A431" s="136"/>
      <c r="B431" s="136"/>
      <c r="C431" s="136"/>
      <c r="D431" s="136"/>
      <c r="E431" s="136"/>
      <c r="F431" s="201"/>
      <c r="G431" s="136"/>
      <c r="H431" s="136"/>
      <c r="I431" s="136"/>
      <c r="J431" s="136"/>
      <c r="K431" s="136"/>
      <c r="L431" s="136"/>
      <c r="M431" s="136"/>
      <c r="N431" s="136"/>
      <c r="O431" s="136"/>
      <c r="P431" s="136"/>
      <c r="Q431" s="136"/>
      <c r="R431" s="136"/>
    </row>
    <row r="432">
      <c r="A432" s="136"/>
      <c r="B432" s="136"/>
      <c r="C432" s="136"/>
      <c r="D432" s="136"/>
      <c r="E432" s="136"/>
      <c r="F432" s="201"/>
      <c r="G432" s="136"/>
      <c r="H432" s="136"/>
      <c r="I432" s="136"/>
      <c r="J432" s="136"/>
      <c r="K432" s="136"/>
      <c r="L432" s="136"/>
      <c r="M432" s="136"/>
      <c r="N432" s="136"/>
      <c r="O432" s="136"/>
      <c r="P432" s="136"/>
      <c r="Q432" s="136"/>
      <c r="R432" s="136"/>
    </row>
    <row r="433">
      <c r="A433" s="136"/>
      <c r="B433" s="136"/>
      <c r="C433" s="136"/>
      <c r="D433" s="136"/>
      <c r="E433" s="136"/>
      <c r="F433" s="201"/>
      <c r="G433" s="136"/>
      <c r="H433" s="136"/>
      <c r="I433" s="136"/>
      <c r="J433" s="136"/>
      <c r="K433" s="136"/>
      <c r="L433" s="136"/>
      <c r="M433" s="136"/>
      <c r="N433" s="136"/>
      <c r="O433" s="136"/>
      <c r="P433" s="136"/>
      <c r="Q433" s="136"/>
      <c r="R433" s="136"/>
    </row>
    <row r="434">
      <c r="A434" s="136"/>
      <c r="B434" s="136"/>
      <c r="C434" s="136"/>
      <c r="D434" s="136"/>
      <c r="E434" s="136"/>
      <c r="F434" s="201"/>
      <c r="G434" s="136"/>
      <c r="H434" s="136"/>
      <c r="I434" s="136"/>
      <c r="J434" s="136"/>
      <c r="K434" s="136"/>
      <c r="L434" s="136"/>
      <c r="M434" s="136"/>
      <c r="N434" s="136"/>
      <c r="O434" s="136"/>
      <c r="P434" s="136"/>
      <c r="Q434" s="136"/>
      <c r="R434" s="136"/>
    </row>
    <row r="435">
      <c r="A435" s="136"/>
      <c r="B435" s="136"/>
      <c r="C435" s="136"/>
      <c r="D435" s="136"/>
      <c r="E435" s="136"/>
      <c r="F435" s="201"/>
      <c r="G435" s="136"/>
      <c r="H435" s="136"/>
      <c r="I435" s="136"/>
      <c r="J435" s="136"/>
      <c r="K435" s="136"/>
      <c r="L435" s="136"/>
      <c r="M435" s="136"/>
      <c r="N435" s="136"/>
      <c r="O435" s="136"/>
      <c r="P435" s="136"/>
      <c r="Q435" s="136"/>
      <c r="R435" s="136"/>
    </row>
    <row r="436">
      <c r="A436" s="136"/>
      <c r="B436" s="136"/>
      <c r="C436" s="136"/>
      <c r="D436" s="136"/>
      <c r="E436" s="136"/>
      <c r="F436" s="201"/>
      <c r="G436" s="136"/>
      <c r="H436" s="136"/>
      <c r="I436" s="136"/>
      <c r="J436" s="136"/>
      <c r="K436" s="136"/>
      <c r="L436" s="136"/>
      <c r="M436" s="136"/>
      <c r="N436" s="136"/>
      <c r="O436" s="136"/>
      <c r="P436" s="136"/>
      <c r="Q436" s="136"/>
      <c r="R436" s="136"/>
    </row>
    <row r="437">
      <c r="A437" s="136"/>
      <c r="B437" s="136"/>
      <c r="C437" s="136"/>
      <c r="D437" s="136"/>
      <c r="E437" s="136"/>
      <c r="F437" s="201"/>
      <c r="G437" s="136"/>
      <c r="H437" s="136"/>
      <c r="I437" s="136"/>
      <c r="J437" s="136"/>
      <c r="K437" s="136"/>
      <c r="L437" s="136"/>
      <c r="M437" s="136"/>
      <c r="N437" s="136"/>
      <c r="O437" s="136"/>
      <c r="P437" s="136"/>
      <c r="Q437" s="136"/>
      <c r="R437" s="136"/>
    </row>
    <row r="438">
      <c r="A438" s="136"/>
      <c r="B438" s="136"/>
      <c r="C438" s="136"/>
      <c r="D438" s="136"/>
      <c r="E438" s="136"/>
      <c r="F438" s="201"/>
      <c r="G438" s="136"/>
      <c r="H438" s="136"/>
      <c r="I438" s="136"/>
      <c r="J438" s="136"/>
      <c r="K438" s="136"/>
      <c r="L438" s="136"/>
      <c r="M438" s="136"/>
      <c r="N438" s="136"/>
      <c r="O438" s="136"/>
      <c r="P438" s="136"/>
      <c r="Q438" s="136"/>
      <c r="R438" s="136"/>
    </row>
    <row r="439">
      <c r="A439" s="136"/>
      <c r="B439" s="136"/>
      <c r="C439" s="136"/>
      <c r="D439" s="136"/>
      <c r="E439" s="136"/>
      <c r="F439" s="201"/>
      <c r="G439" s="136"/>
      <c r="H439" s="136"/>
      <c r="I439" s="136"/>
      <c r="J439" s="136"/>
      <c r="K439" s="136"/>
      <c r="L439" s="136"/>
      <c r="M439" s="136"/>
      <c r="N439" s="136"/>
      <c r="O439" s="136"/>
      <c r="P439" s="136"/>
      <c r="Q439" s="136"/>
      <c r="R439" s="136"/>
    </row>
    <row r="440">
      <c r="A440" s="136"/>
      <c r="B440" s="136"/>
      <c r="C440" s="136"/>
      <c r="D440" s="136"/>
      <c r="E440" s="136"/>
      <c r="F440" s="201"/>
      <c r="G440" s="136"/>
      <c r="H440" s="136"/>
      <c r="I440" s="136"/>
      <c r="J440" s="136"/>
      <c r="K440" s="136"/>
      <c r="L440" s="136"/>
      <c r="M440" s="136"/>
      <c r="N440" s="136"/>
      <c r="O440" s="136"/>
      <c r="P440" s="136"/>
      <c r="Q440" s="136"/>
      <c r="R440" s="136"/>
    </row>
    <row r="441">
      <c r="A441" s="136"/>
      <c r="B441" s="136"/>
      <c r="C441" s="136"/>
      <c r="D441" s="136"/>
      <c r="E441" s="136"/>
      <c r="F441" s="201"/>
      <c r="G441" s="136"/>
      <c r="H441" s="136"/>
      <c r="I441" s="136"/>
      <c r="J441" s="136"/>
      <c r="K441" s="136"/>
      <c r="L441" s="136"/>
      <c r="M441" s="136"/>
      <c r="N441" s="136"/>
      <c r="O441" s="136"/>
      <c r="P441" s="136"/>
      <c r="Q441" s="136"/>
      <c r="R441" s="136"/>
    </row>
    <row r="442">
      <c r="A442" s="136"/>
      <c r="B442" s="136"/>
      <c r="C442" s="136"/>
      <c r="D442" s="136"/>
      <c r="E442" s="136"/>
      <c r="F442" s="201"/>
      <c r="G442" s="136"/>
      <c r="H442" s="136"/>
      <c r="I442" s="136"/>
      <c r="J442" s="136"/>
      <c r="K442" s="136"/>
      <c r="L442" s="136"/>
      <c r="M442" s="136"/>
      <c r="N442" s="136"/>
      <c r="O442" s="136"/>
      <c r="P442" s="136"/>
      <c r="Q442" s="136"/>
      <c r="R442" s="136"/>
    </row>
    <row r="443">
      <c r="A443" s="136"/>
      <c r="B443" s="136"/>
      <c r="C443" s="136"/>
      <c r="D443" s="136"/>
      <c r="E443" s="136"/>
      <c r="F443" s="201"/>
      <c r="G443" s="136"/>
      <c r="H443" s="136"/>
      <c r="I443" s="136"/>
      <c r="J443" s="136"/>
      <c r="K443" s="136"/>
      <c r="L443" s="136"/>
      <c r="M443" s="136"/>
      <c r="N443" s="136"/>
      <c r="O443" s="136"/>
      <c r="P443" s="136"/>
      <c r="Q443" s="136"/>
      <c r="R443" s="136"/>
    </row>
    <row r="444">
      <c r="A444" s="136"/>
      <c r="B444" s="136"/>
      <c r="C444" s="136"/>
      <c r="D444" s="136"/>
      <c r="E444" s="136"/>
      <c r="F444" s="201"/>
      <c r="G444" s="136"/>
      <c r="H444" s="136"/>
      <c r="I444" s="136"/>
      <c r="J444" s="136"/>
      <c r="K444" s="136"/>
      <c r="L444" s="136"/>
      <c r="M444" s="136"/>
      <c r="N444" s="136"/>
      <c r="O444" s="136"/>
      <c r="P444" s="136"/>
      <c r="Q444" s="136"/>
      <c r="R444" s="136"/>
    </row>
    <row r="445">
      <c r="A445" s="136"/>
      <c r="B445" s="136"/>
      <c r="C445" s="136"/>
      <c r="D445" s="136"/>
      <c r="E445" s="136"/>
      <c r="F445" s="201"/>
      <c r="G445" s="136"/>
      <c r="H445" s="136"/>
      <c r="I445" s="136"/>
      <c r="J445" s="136"/>
      <c r="K445" s="136"/>
      <c r="L445" s="136"/>
      <c r="M445" s="136"/>
      <c r="N445" s="136"/>
      <c r="O445" s="136"/>
      <c r="P445" s="136"/>
      <c r="Q445" s="136"/>
      <c r="R445" s="136"/>
    </row>
    <row r="446">
      <c r="A446" s="136"/>
      <c r="B446" s="136"/>
      <c r="C446" s="136"/>
      <c r="D446" s="136"/>
      <c r="E446" s="136"/>
      <c r="F446" s="201"/>
      <c r="G446" s="136"/>
      <c r="H446" s="136"/>
      <c r="I446" s="136"/>
      <c r="J446" s="136"/>
      <c r="K446" s="136"/>
      <c r="L446" s="136"/>
      <c r="M446" s="136"/>
      <c r="N446" s="136"/>
      <c r="O446" s="136"/>
      <c r="P446" s="136"/>
      <c r="Q446" s="136"/>
      <c r="R446" s="136"/>
    </row>
    <row r="447">
      <c r="A447" s="136"/>
      <c r="B447" s="136"/>
      <c r="C447" s="136"/>
      <c r="D447" s="136"/>
      <c r="E447" s="136"/>
      <c r="F447" s="201"/>
      <c r="G447" s="136"/>
      <c r="H447" s="136"/>
      <c r="I447" s="136"/>
      <c r="J447" s="136"/>
      <c r="K447" s="136"/>
      <c r="L447" s="136"/>
      <c r="M447" s="136"/>
      <c r="N447" s="136"/>
      <c r="O447" s="136"/>
      <c r="P447" s="136"/>
      <c r="Q447" s="136"/>
      <c r="R447" s="136"/>
    </row>
    <row r="448">
      <c r="A448" s="136"/>
      <c r="B448" s="136"/>
      <c r="C448" s="136"/>
      <c r="D448" s="136"/>
      <c r="E448" s="136"/>
      <c r="F448" s="201"/>
      <c r="G448" s="136"/>
      <c r="H448" s="136"/>
      <c r="I448" s="136"/>
      <c r="J448" s="136"/>
      <c r="K448" s="136"/>
      <c r="L448" s="136"/>
      <c r="M448" s="136"/>
      <c r="N448" s="136"/>
      <c r="O448" s="136"/>
      <c r="P448" s="136"/>
      <c r="Q448" s="136"/>
      <c r="R448" s="136"/>
    </row>
    <row r="449">
      <c r="A449" s="136"/>
      <c r="B449" s="136"/>
      <c r="C449" s="136"/>
      <c r="D449" s="136"/>
      <c r="E449" s="136"/>
      <c r="F449" s="201"/>
      <c r="G449" s="136"/>
      <c r="H449" s="136"/>
      <c r="I449" s="136"/>
      <c r="J449" s="136"/>
      <c r="K449" s="136"/>
      <c r="L449" s="136"/>
      <c r="M449" s="136"/>
      <c r="N449" s="136"/>
      <c r="O449" s="136"/>
      <c r="P449" s="136"/>
      <c r="Q449" s="136"/>
      <c r="R449" s="136"/>
    </row>
    <row r="450">
      <c r="A450" s="136"/>
      <c r="B450" s="136"/>
      <c r="C450" s="136"/>
      <c r="D450" s="136"/>
      <c r="E450" s="136"/>
      <c r="F450" s="201"/>
      <c r="G450" s="136"/>
      <c r="H450" s="136"/>
      <c r="I450" s="136"/>
      <c r="J450" s="136"/>
      <c r="K450" s="136"/>
      <c r="L450" s="136"/>
      <c r="M450" s="136"/>
      <c r="N450" s="136"/>
      <c r="O450" s="136"/>
      <c r="P450" s="136"/>
      <c r="Q450" s="136"/>
      <c r="R450" s="136"/>
    </row>
    <row r="451">
      <c r="A451" s="136"/>
      <c r="B451" s="136"/>
      <c r="C451" s="136"/>
      <c r="D451" s="136"/>
      <c r="E451" s="136"/>
      <c r="F451" s="201"/>
      <c r="G451" s="136"/>
      <c r="H451" s="136"/>
      <c r="I451" s="136"/>
      <c r="J451" s="136"/>
      <c r="K451" s="136"/>
      <c r="L451" s="136"/>
      <c r="M451" s="136"/>
      <c r="N451" s="136"/>
      <c r="O451" s="136"/>
      <c r="P451" s="136"/>
      <c r="Q451" s="136"/>
      <c r="R451" s="136"/>
    </row>
    <row r="452">
      <c r="A452" s="136"/>
      <c r="B452" s="136"/>
      <c r="C452" s="136"/>
      <c r="D452" s="136"/>
      <c r="E452" s="136"/>
      <c r="F452" s="201"/>
      <c r="G452" s="136"/>
      <c r="H452" s="136"/>
      <c r="I452" s="136"/>
      <c r="J452" s="136"/>
      <c r="K452" s="136"/>
      <c r="L452" s="136"/>
      <c r="M452" s="136"/>
      <c r="N452" s="136"/>
      <c r="O452" s="136"/>
      <c r="P452" s="136"/>
      <c r="Q452" s="136"/>
      <c r="R452" s="136"/>
    </row>
    <row r="453">
      <c r="A453" s="136"/>
      <c r="B453" s="136"/>
      <c r="C453" s="136"/>
      <c r="D453" s="136"/>
      <c r="E453" s="136"/>
      <c r="F453" s="201"/>
      <c r="G453" s="136"/>
      <c r="H453" s="136"/>
      <c r="I453" s="136"/>
      <c r="J453" s="136"/>
      <c r="K453" s="136"/>
      <c r="L453" s="136"/>
      <c r="M453" s="136"/>
      <c r="N453" s="136"/>
      <c r="O453" s="136"/>
      <c r="P453" s="136"/>
      <c r="Q453" s="136"/>
      <c r="R453" s="136"/>
    </row>
    <row r="454">
      <c r="A454" s="136"/>
      <c r="B454" s="136"/>
      <c r="C454" s="136"/>
      <c r="D454" s="136"/>
      <c r="E454" s="136"/>
      <c r="F454" s="201"/>
      <c r="G454" s="136"/>
      <c r="H454" s="136"/>
      <c r="I454" s="136"/>
      <c r="J454" s="136"/>
      <c r="K454" s="136"/>
      <c r="L454" s="136"/>
      <c r="M454" s="136"/>
      <c r="N454" s="136"/>
      <c r="O454" s="136"/>
      <c r="P454" s="136"/>
      <c r="Q454" s="136"/>
      <c r="R454" s="136"/>
    </row>
    <row r="455">
      <c r="A455" s="136"/>
      <c r="B455" s="136"/>
      <c r="C455" s="136"/>
      <c r="D455" s="136"/>
      <c r="E455" s="136"/>
      <c r="F455" s="201"/>
      <c r="G455" s="136"/>
      <c r="H455" s="136"/>
      <c r="I455" s="136"/>
      <c r="J455" s="136"/>
      <c r="K455" s="136"/>
      <c r="L455" s="136"/>
      <c r="M455" s="136"/>
      <c r="N455" s="136"/>
      <c r="O455" s="136"/>
      <c r="P455" s="136"/>
      <c r="Q455" s="136"/>
      <c r="R455" s="136"/>
    </row>
    <row r="456">
      <c r="A456" s="136"/>
      <c r="B456" s="136"/>
      <c r="C456" s="136"/>
      <c r="D456" s="136"/>
      <c r="E456" s="136"/>
      <c r="F456" s="201"/>
      <c r="G456" s="136"/>
      <c r="H456" s="136"/>
      <c r="I456" s="136"/>
      <c r="J456" s="136"/>
      <c r="K456" s="136"/>
      <c r="L456" s="136"/>
      <c r="M456" s="136"/>
      <c r="N456" s="136"/>
      <c r="O456" s="136"/>
      <c r="P456" s="136"/>
      <c r="Q456" s="136"/>
      <c r="R456" s="136"/>
    </row>
    <row r="457">
      <c r="A457" s="136"/>
      <c r="B457" s="136"/>
      <c r="C457" s="136"/>
      <c r="D457" s="136"/>
      <c r="E457" s="136"/>
      <c r="F457" s="201"/>
      <c r="G457" s="136"/>
      <c r="H457" s="136"/>
      <c r="I457" s="136"/>
      <c r="J457" s="136"/>
      <c r="K457" s="136"/>
      <c r="L457" s="136"/>
      <c r="M457" s="136"/>
      <c r="N457" s="136"/>
      <c r="O457" s="136"/>
      <c r="P457" s="136"/>
      <c r="Q457" s="136"/>
      <c r="R457" s="136"/>
    </row>
    <row r="458">
      <c r="A458" s="136"/>
      <c r="B458" s="136"/>
      <c r="C458" s="136"/>
      <c r="D458" s="136"/>
      <c r="E458" s="136"/>
      <c r="F458" s="201"/>
      <c r="G458" s="136"/>
      <c r="H458" s="136"/>
      <c r="I458" s="136"/>
      <c r="J458" s="136"/>
      <c r="K458" s="136"/>
      <c r="L458" s="136"/>
      <c r="M458" s="136"/>
      <c r="N458" s="136"/>
      <c r="O458" s="136"/>
      <c r="P458" s="136"/>
      <c r="Q458" s="136"/>
      <c r="R458" s="136"/>
    </row>
    <row r="459">
      <c r="A459" s="136"/>
      <c r="B459" s="136"/>
      <c r="C459" s="136"/>
      <c r="D459" s="136"/>
      <c r="E459" s="136"/>
      <c r="F459" s="201"/>
      <c r="G459" s="136"/>
      <c r="H459" s="136"/>
      <c r="I459" s="136"/>
      <c r="J459" s="136"/>
      <c r="K459" s="136"/>
      <c r="L459" s="136"/>
      <c r="M459" s="136"/>
      <c r="N459" s="136"/>
      <c r="O459" s="136"/>
      <c r="P459" s="136"/>
      <c r="Q459" s="136"/>
      <c r="R459" s="136"/>
    </row>
    <row r="460">
      <c r="A460" s="136"/>
      <c r="B460" s="136"/>
      <c r="C460" s="136"/>
      <c r="D460" s="136"/>
      <c r="E460" s="136"/>
      <c r="F460" s="201"/>
      <c r="G460" s="136"/>
      <c r="H460" s="136"/>
      <c r="I460" s="136"/>
      <c r="J460" s="136"/>
      <c r="K460" s="136"/>
      <c r="L460" s="136"/>
      <c r="M460" s="136"/>
      <c r="N460" s="136"/>
      <c r="O460" s="136"/>
      <c r="P460" s="136"/>
      <c r="Q460" s="136"/>
      <c r="R460" s="136"/>
    </row>
    <row r="461">
      <c r="A461" s="136"/>
      <c r="B461" s="136"/>
      <c r="C461" s="136"/>
      <c r="D461" s="136"/>
      <c r="E461" s="136"/>
      <c r="F461" s="201"/>
      <c r="G461" s="136"/>
      <c r="H461" s="136"/>
      <c r="I461" s="136"/>
      <c r="J461" s="136"/>
      <c r="K461" s="136"/>
      <c r="L461" s="136"/>
      <c r="M461" s="136"/>
      <c r="N461" s="136"/>
      <c r="O461" s="136"/>
      <c r="P461" s="136"/>
      <c r="Q461" s="136"/>
      <c r="R461" s="136"/>
    </row>
    <row r="462">
      <c r="A462" s="136"/>
      <c r="B462" s="136"/>
      <c r="C462" s="136"/>
      <c r="D462" s="136"/>
      <c r="E462" s="136"/>
      <c r="F462" s="201"/>
      <c r="G462" s="136"/>
      <c r="H462" s="136"/>
      <c r="I462" s="136"/>
      <c r="J462" s="136"/>
      <c r="K462" s="136"/>
      <c r="L462" s="136"/>
      <c r="M462" s="136"/>
      <c r="N462" s="136"/>
      <c r="O462" s="136"/>
      <c r="P462" s="136"/>
      <c r="Q462" s="136"/>
      <c r="R462" s="136"/>
    </row>
    <row r="463">
      <c r="A463" s="136"/>
      <c r="B463" s="136"/>
      <c r="C463" s="136"/>
      <c r="D463" s="136"/>
      <c r="E463" s="136"/>
      <c r="F463" s="201"/>
      <c r="G463" s="136"/>
      <c r="H463" s="136"/>
      <c r="I463" s="136"/>
      <c r="J463" s="136"/>
      <c r="K463" s="136"/>
      <c r="L463" s="136"/>
      <c r="M463" s="136"/>
      <c r="N463" s="136"/>
      <c r="O463" s="136"/>
      <c r="P463" s="136"/>
      <c r="Q463" s="136"/>
      <c r="R463" s="136"/>
    </row>
    <row r="464">
      <c r="A464" s="136"/>
      <c r="B464" s="136"/>
      <c r="C464" s="136"/>
      <c r="D464" s="136"/>
      <c r="E464" s="136"/>
      <c r="F464" s="201"/>
      <c r="G464" s="136"/>
      <c r="H464" s="136"/>
      <c r="I464" s="136"/>
      <c r="J464" s="136"/>
      <c r="K464" s="136"/>
      <c r="L464" s="136"/>
      <c r="M464" s="136"/>
      <c r="N464" s="136"/>
      <c r="O464" s="136"/>
      <c r="P464" s="136"/>
      <c r="Q464" s="136"/>
      <c r="R464" s="136"/>
    </row>
    <row r="465">
      <c r="A465" s="136"/>
      <c r="B465" s="136"/>
      <c r="C465" s="136"/>
      <c r="D465" s="136"/>
      <c r="E465" s="136"/>
      <c r="F465" s="201"/>
      <c r="G465" s="136"/>
      <c r="H465" s="136"/>
      <c r="I465" s="136"/>
      <c r="J465" s="136"/>
      <c r="K465" s="136"/>
      <c r="L465" s="136"/>
      <c r="M465" s="136"/>
      <c r="N465" s="136"/>
      <c r="O465" s="136"/>
      <c r="P465" s="136"/>
      <c r="Q465" s="136"/>
      <c r="R465" s="136"/>
    </row>
    <row r="466">
      <c r="A466" s="136"/>
      <c r="B466" s="136"/>
      <c r="C466" s="136"/>
      <c r="D466" s="136"/>
      <c r="E466" s="136"/>
      <c r="F466" s="201"/>
      <c r="G466" s="136"/>
      <c r="H466" s="136"/>
      <c r="I466" s="136"/>
      <c r="J466" s="136"/>
      <c r="K466" s="136"/>
      <c r="L466" s="136"/>
      <c r="M466" s="136"/>
      <c r="N466" s="136"/>
      <c r="O466" s="136"/>
      <c r="P466" s="136"/>
      <c r="Q466" s="136"/>
      <c r="R466" s="136"/>
    </row>
    <row r="467">
      <c r="A467" s="136"/>
      <c r="B467" s="136"/>
      <c r="C467" s="136"/>
      <c r="D467" s="136"/>
      <c r="E467" s="136"/>
      <c r="F467" s="201"/>
      <c r="G467" s="136"/>
      <c r="H467" s="136"/>
      <c r="I467" s="136"/>
      <c r="J467" s="136"/>
      <c r="K467" s="136"/>
      <c r="L467" s="136"/>
      <c r="M467" s="136"/>
      <c r="N467" s="136"/>
      <c r="O467" s="136"/>
      <c r="P467" s="136"/>
      <c r="Q467" s="136"/>
      <c r="R467" s="136"/>
    </row>
    <row r="468">
      <c r="A468" s="136"/>
      <c r="B468" s="136"/>
      <c r="C468" s="136"/>
      <c r="D468" s="136"/>
      <c r="E468" s="136"/>
      <c r="F468" s="201"/>
      <c r="G468" s="136"/>
      <c r="H468" s="136"/>
      <c r="I468" s="136"/>
      <c r="J468" s="136"/>
      <c r="K468" s="136"/>
      <c r="L468" s="136"/>
      <c r="M468" s="136"/>
      <c r="N468" s="136"/>
      <c r="O468" s="136"/>
      <c r="P468" s="136"/>
      <c r="Q468" s="136"/>
      <c r="R468" s="136"/>
    </row>
    <row r="469">
      <c r="A469" s="136"/>
      <c r="B469" s="136"/>
      <c r="C469" s="136"/>
      <c r="D469" s="136"/>
      <c r="E469" s="136"/>
      <c r="F469" s="201"/>
      <c r="G469" s="136"/>
      <c r="H469" s="136"/>
      <c r="I469" s="136"/>
      <c r="J469" s="136"/>
      <c r="K469" s="136"/>
      <c r="L469" s="136"/>
      <c r="M469" s="136"/>
      <c r="N469" s="136"/>
      <c r="O469" s="136"/>
      <c r="P469" s="136"/>
      <c r="Q469" s="136"/>
      <c r="R469" s="136"/>
    </row>
    <row r="470">
      <c r="A470" s="136"/>
      <c r="B470" s="136"/>
      <c r="C470" s="136"/>
      <c r="D470" s="136"/>
      <c r="E470" s="136"/>
      <c r="F470" s="201"/>
      <c r="G470" s="136"/>
      <c r="H470" s="136"/>
      <c r="I470" s="136"/>
      <c r="J470" s="136"/>
      <c r="K470" s="136"/>
      <c r="L470" s="136"/>
      <c r="M470" s="136"/>
      <c r="N470" s="136"/>
      <c r="O470" s="136"/>
      <c r="P470" s="136"/>
      <c r="Q470" s="136"/>
      <c r="R470" s="136"/>
    </row>
    <row r="471">
      <c r="A471" s="136"/>
      <c r="B471" s="136"/>
      <c r="C471" s="136"/>
      <c r="D471" s="136"/>
      <c r="E471" s="136"/>
      <c r="F471" s="201"/>
      <c r="G471" s="136"/>
      <c r="H471" s="136"/>
      <c r="I471" s="136"/>
      <c r="J471" s="136"/>
      <c r="K471" s="136"/>
      <c r="L471" s="136"/>
      <c r="M471" s="136"/>
      <c r="N471" s="136"/>
      <c r="O471" s="136"/>
      <c r="P471" s="136"/>
      <c r="Q471" s="136"/>
      <c r="R471" s="136"/>
    </row>
    <row r="472">
      <c r="A472" s="136"/>
      <c r="B472" s="136"/>
      <c r="C472" s="136"/>
      <c r="D472" s="136"/>
      <c r="E472" s="136"/>
      <c r="F472" s="201"/>
      <c r="G472" s="136"/>
      <c r="H472" s="136"/>
      <c r="I472" s="136"/>
      <c r="J472" s="136"/>
      <c r="K472" s="136"/>
      <c r="L472" s="136"/>
      <c r="M472" s="136"/>
      <c r="N472" s="136"/>
      <c r="O472" s="136"/>
      <c r="P472" s="136"/>
      <c r="Q472" s="136"/>
      <c r="R472" s="136"/>
    </row>
    <row r="473">
      <c r="A473" s="136"/>
      <c r="B473" s="136"/>
      <c r="C473" s="136"/>
      <c r="D473" s="136"/>
      <c r="E473" s="136"/>
      <c r="F473" s="201"/>
      <c r="G473" s="136"/>
      <c r="H473" s="136"/>
      <c r="I473" s="136"/>
      <c r="J473" s="136"/>
      <c r="K473" s="136"/>
      <c r="L473" s="136"/>
      <c r="M473" s="136"/>
      <c r="N473" s="136"/>
      <c r="O473" s="136"/>
      <c r="P473" s="136"/>
      <c r="Q473" s="136"/>
      <c r="R473" s="136"/>
    </row>
    <row r="474">
      <c r="A474" s="136"/>
      <c r="B474" s="136"/>
      <c r="C474" s="136"/>
      <c r="D474" s="136"/>
      <c r="E474" s="136"/>
      <c r="F474" s="201"/>
      <c r="G474" s="136"/>
      <c r="H474" s="136"/>
      <c r="I474" s="136"/>
      <c r="J474" s="136"/>
      <c r="K474" s="136"/>
      <c r="L474" s="136"/>
      <c r="M474" s="136"/>
      <c r="N474" s="136"/>
      <c r="O474" s="136"/>
      <c r="P474" s="136"/>
      <c r="Q474" s="136"/>
      <c r="R474" s="136"/>
    </row>
    <row r="475">
      <c r="A475" s="136"/>
      <c r="B475" s="136"/>
      <c r="C475" s="136"/>
      <c r="D475" s="136"/>
      <c r="E475" s="136"/>
      <c r="F475" s="201"/>
      <c r="G475" s="136"/>
      <c r="H475" s="136"/>
      <c r="I475" s="136"/>
      <c r="J475" s="136"/>
      <c r="K475" s="136"/>
      <c r="L475" s="136"/>
      <c r="M475" s="136"/>
      <c r="N475" s="136"/>
      <c r="O475" s="136"/>
      <c r="P475" s="136"/>
      <c r="Q475" s="136"/>
      <c r="R475" s="136"/>
    </row>
    <row r="476">
      <c r="A476" s="136"/>
      <c r="B476" s="136"/>
      <c r="C476" s="136"/>
      <c r="D476" s="136"/>
      <c r="E476" s="136"/>
      <c r="F476" s="201"/>
      <c r="G476" s="136"/>
      <c r="H476" s="136"/>
      <c r="I476" s="136"/>
      <c r="J476" s="136"/>
      <c r="K476" s="136"/>
      <c r="L476" s="136"/>
      <c r="M476" s="136"/>
      <c r="N476" s="136"/>
      <c r="O476" s="136"/>
      <c r="P476" s="136"/>
      <c r="Q476" s="136"/>
      <c r="R476" s="136"/>
    </row>
    <row r="477">
      <c r="A477" s="136"/>
      <c r="B477" s="136"/>
      <c r="C477" s="136"/>
      <c r="D477" s="136"/>
      <c r="E477" s="136"/>
      <c r="F477" s="201"/>
      <c r="G477" s="136"/>
      <c r="H477" s="136"/>
      <c r="I477" s="136"/>
      <c r="J477" s="136"/>
      <c r="K477" s="136"/>
      <c r="L477" s="136"/>
      <c r="M477" s="136"/>
      <c r="N477" s="136"/>
      <c r="O477" s="136"/>
      <c r="P477" s="136"/>
      <c r="Q477" s="136"/>
      <c r="R477" s="136"/>
    </row>
    <row r="478">
      <c r="A478" s="136"/>
      <c r="B478" s="136"/>
      <c r="C478" s="136"/>
      <c r="D478" s="136"/>
      <c r="E478" s="136"/>
      <c r="F478" s="201"/>
      <c r="G478" s="136"/>
      <c r="H478" s="136"/>
      <c r="I478" s="136"/>
      <c r="J478" s="136"/>
      <c r="K478" s="136"/>
      <c r="L478" s="136"/>
      <c r="M478" s="136"/>
      <c r="N478" s="136"/>
      <c r="O478" s="136"/>
      <c r="P478" s="136"/>
      <c r="Q478" s="136"/>
      <c r="R478" s="136"/>
    </row>
    <row r="479">
      <c r="A479" s="136"/>
      <c r="B479" s="136"/>
      <c r="C479" s="136"/>
      <c r="D479" s="136"/>
      <c r="E479" s="136"/>
      <c r="F479" s="201"/>
      <c r="G479" s="136"/>
      <c r="H479" s="136"/>
      <c r="I479" s="136"/>
      <c r="J479" s="136"/>
      <c r="K479" s="136"/>
      <c r="L479" s="136"/>
      <c r="M479" s="136"/>
      <c r="N479" s="136"/>
      <c r="O479" s="136"/>
      <c r="P479" s="136"/>
      <c r="Q479" s="136"/>
      <c r="R479" s="136"/>
    </row>
    <row r="480">
      <c r="A480" s="136"/>
      <c r="B480" s="136"/>
      <c r="C480" s="136"/>
      <c r="D480" s="136"/>
      <c r="E480" s="136"/>
      <c r="F480" s="201"/>
      <c r="G480" s="136"/>
      <c r="H480" s="136"/>
      <c r="I480" s="136"/>
      <c r="J480" s="136"/>
      <c r="K480" s="136"/>
      <c r="L480" s="136"/>
      <c r="M480" s="136"/>
      <c r="N480" s="136"/>
      <c r="O480" s="136"/>
      <c r="P480" s="136"/>
      <c r="Q480" s="136"/>
      <c r="R480" s="136"/>
    </row>
    <row r="481">
      <c r="A481" s="136"/>
      <c r="B481" s="136"/>
      <c r="C481" s="136"/>
      <c r="D481" s="136"/>
      <c r="E481" s="136"/>
      <c r="F481" s="201"/>
      <c r="G481" s="136"/>
      <c r="H481" s="136"/>
      <c r="I481" s="136"/>
      <c r="J481" s="136"/>
      <c r="K481" s="136"/>
      <c r="L481" s="136"/>
      <c r="M481" s="136"/>
      <c r="N481" s="136"/>
      <c r="O481" s="136"/>
      <c r="P481" s="136"/>
      <c r="Q481" s="136"/>
      <c r="R481" s="136"/>
    </row>
    <row r="482">
      <c r="A482" s="136"/>
      <c r="B482" s="136"/>
      <c r="C482" s="136"/>
      <c r="D482" s="136"/>
      <c r="E482" s="136"/>
      <c r="F482" s="201"/>
      <c r="G482" s="136"/>
      <c r="H482" s="136"/>
      <c r="I482" s="136"/>
      <c r="J482" s="136"/>
      <c r="K482" s="136"/>
      <c r="L482" s="136"/>
      <c r="M482" s="136"/>
      <c r="N482" s="136"/>
      <c r="O482" s="136"/>
      <c r="P482" s="136"/>
      <c r="Q482" s="136"/>
      <c r="R482" s="136"/>
    </row>
    <row r="483">
      <c r="A483" s="136"/>
      <c r="B483" s="136"/>
      <c r="C483" s="136"/>
      <c r="D483" s="136"/>
      <c r="E483" s="136"/>
      <c r="F483" s="201"/>
      <c r="G483" s="136"/>
      <c r="H483" s="136"/>
      <c r="I483" s="136"/>
      <c r="J483" s="136"/>
      <c r="K483" s="136"/>
      <c r="L483" s="136"/>
      <c r="M483" s="136"/>
      <c r="N483" s="136"/>
      <c r="O483" s="136"/>
      <c r="P483" s="136"/>
      <c r="Q483" s="136"/>
      <c r="R483" s="136"/>
    </row>
    <row r="484">
      <c r="A484" s="136"/>
      <c r="B484" s="136"/>
      <c r="C484" s="136"/>
      <c r="D484" s="136"/>
      <c r="E484" s="136"/>
      <c r="F484" s="201"/>
      <c r="G484" s="136"/>
      <c r="H484" s="136"/>
      <c r="I484" s="136"/>
      <c r="J484" s="136"/>
      <c r="K484" s="136"/>
      <c r="L484" s="136"/>
      <c r="M484" s="136"/>
      <c r="N484" s="136"/>
      <c r="O484" s="136"/>
      <c r="P484" s="136"/>
      <c r="Q484" s="136"/>
      <c r="R484" s="136"/>
    </row>
    <row r="485">
      <c r="A485" s="136"/>
      <c r="B485" s="136"/>
      <c r="C485" s="136"/>
      <c r="D485" s="136"/>
      <c r="E485" s="136"/>
      <c r="F485" s="201"/>
      <c r="G485" s="136"/>
      <c r="H485" s="136"/>
      <c r="I485" s="136"/>
      <c r="J485" s="136"/>
      <c r="K485" s="136"/>
      <c r="L485" s="136"/>
      <c r="M485" s="136"/>
      <c r="N485" s="136"/>
      <c r="O485" s="136"/>
      <c r="P485" s="136"/>
      <c r="Q485" s="136"/>
      <c r="R485" s="136"/>
    </row>
    <row r="486">
      <c r="A486" s="136"/>
      <c r="B486" s="136"/>
      <c r="C486" s="136"/>
      <c r="D486" s="136"/>
      <c r="E486" s="136"/>
      <c r="F486" s="201"/>
      <c r="G486" s="136"/>
      <c r="H486" s="136"/>
      <c r="I486" s="136"/>
      <c r="J486" s="136"/>
      <c r="K486" s="136"/>
      <c r="L486" s="136"/>
      <c r="M486" s="136"/>
      <c r="N486" s="136"/>
      <c r="O486" s="136"/>
      <c r="P486" s="136"/>
      <c r="Q486" s="136"/>
      <c r="R486" s="136"/>
    </row>
    <row r="487">
      <c r="A487" s="136"/>
      <c r="B487" s="136"/>
      <c r="C487" s="136"/>
      <c r="D487" s="136"/>
      <c r="E487" s="136"/>
      <c r="F487" s="201"/>
      <c r="G487" s="136"/>
      <c r="H487" s="136"/>
      <c r="I487" s="136"/>
      <c r="J487" s="136"/>
      <c r="K487" s="136"/>
      <c r="L487" s="136"/>
      <c r="M487" s="136"/>
      <c r="N487" s="136"/>
      <c r="O487" s="136"/>
      <c r="P487" s="136"/>
      <c r="Q487" s="136"/>
      <c r="R487" s="136"/>
    </row>
    <row r="488">
      <c r="A488" s="136"/>
      <c r="B488" s="136"/>
      <c r="C488" s="136"/>
      <c r="D488" s="136"/>
      <c r="E488" s="136"/>
      <c r="F488" s="201"/>
      <c r="G488" s="136"/>
      <c r="H488" s="136"/>
      <c r="I488" s="136"/>
      <c r="J488" s="136"/>
      <c r="K488" s="136"/>
      <c r="L488" s="136"/>
      <c r="M488" s="136"/>
      <c r="N488" s="136"/>
      <c r="O488" s="136"/>
      <c r="P488" s="136"/>
      <c r="Q488" s="136"/>
      <c r="R488" s="136"/>
    </row>
    <row r="489">
      <c r="A489" s="136"/>
      <c r="B489" s="136"/>
      <c r="C489" s="136"/>
      <c r="D489" s="136"/>
      <c r="E489" s="136"/>
      <c r="F489" s="201"/>
      <c r="G489" s="136"/>
      <c r="H489" s="136"/>
      <c r="I489" s="136"/>
      <c r="J489" s="136"/>
      <c r="K489" s="136"/>
      <c r="L489" s="136"/>
      <c r="M489" s="136"/>
      <c r="N489" s="136"/>
      <c r="O489" s="136"/>
      <c r="P489" s="136"/>
      <c r="Q489" s="136"/>
      <c r="R489" s="136"/>
    </row>
    <row r="490">
      <c r="A490" s="136"/>
      <c r="B490" s="136"/>
      <c r="C490" s="136"/>
      <c r="D490" s="136"/>
      <c r="E490" s="136"/>
      <c r="F490" s="201"/>
      <c r="G490" s="136"/>
      <c r="H490" s="136"/>
      <c r="I490" s="136"/>
      <c r="J490" s="136"/>
      <c r="K490" s="136"/>
      <c r="L490" s="136"/>
      <c r="M490" s="136"/>
      <c r="N490" s="136"/>
      <c r="O490" s="136"/>
      <c r="P490" s="136"/>
      <c r="Q490" s="136"/>
      <c r="R490" s="136"/>
    </row>
    <row r="491">
      <c r="A491" s="136"/>
      <c r="B491" s="136"/>
      <c r="C491" s="136"/>
      <c r="D491" s="136"/>
      <c r="E491" s="136"/>
      <c r="F491" s="201"/>
      <c r="G491" s="136"/>
      <c r="H491" s="136"/>
      <c r="I491" s="136"/>
      <c r="J491" s="136"/>
      <c r="K491" s="136"/>
      <c r="L491" s="136"/>
      <c r="M491" s="136"/>
      <c r="N491" s="136"/>
      <c r="O491" s="136"/>
      <c r="P491" s="136"/>
      <c r="Q491" s="136"/>
      <c r="R491" s="136"/>
    </row>
    <row r="492">
      <c r="A492" s="136"/>
      <c r="B492" s="136"/>
      <c r="C492" s="136"/>
      <c r="D492" s="136"/>
      <c r="E492" s="136"/>
      <c r="F492" s="201"/>
      <c r="G492" s="136"/>
      <c r="H492" s="136"/>
      <c r="I492" s="136"/>
      <c r="J492" s="136"/>
      <c r="K492" s="136"/>
      <c r="L492" s="136"/>
      <c r="M492" s="136"/>
      <c r="N492" s="136"/>
      <c r="O492" s="136"/>
      <c r="P492" s="136"/>
      <c r="Q492" s="136"/>
      <c r="R492" s="136"/>
    </row>
    <row r="493">
      <c r="A493" s="136"/>
      <c r="B493" s="136"/>
      <c r="C493" s="136"/>
      <c r="D493" s="136"/>
      <c r="E493" s="136"/>
      <c r="F493" s="201"/>
      <c r="G493" s="136"/>
      <c r="H493" s="136"/>
      <c r="I493" s="136"/>
      <c r="J493" s="136"/>
      <c r="K493" s="136"/>
      <c r="L493" s="136"/>
      <c r="M493" s="136"/>
      <c r="N493" s="136"/>
      <c r="O493" s="136"/>
      <c r="P493" s="136"/>
      <c r="Q493" s="136"/>
      <c r="R493" s="136"/>
    </row>
    <row r="494">
      <c r="A494" s="136"/>
      <c r="B494" s="136"/>
      <c r="C494" s="136"/>
      <c r="D494" s="136"/>
      <c r="E494" s="136"/>
      <c r="F494" s="201"/>
      <c r="G494" s="136"/>
      <c r="H494" s="136"/>
      <c r="I494" s="136"/>
      <c r="J494" s="136"/>
      <c r="K494" s="136"/>
      <c r="L494" s="136"/>
      <c r="M494" s="136"/>
      <c r="N494" s="136"/>
      <c r="O494" s="136"/>
      <c r="P494" s="136"/>
      <c r="Q494" s="136"/>
      <c r="R494" s="136"/>
    </row>
    <row r="495">
      <c r="A495" s="136"/>
      <c r="B495" s="136"/>
      <c r="C495" s="136"/>
      <c r="D495" s="136"/>
      <c r="E495" s="136"/>
      <c r="F495" s="201"/>
      <c r="G495" s="136"/>
      <c r="H495" s="136"/>
      <c r="I495" s="136"/>
      <c r="J495" s="136"/>
      <c r="K495" s="136"/>
      <c r="L495" s="136"/>
      <c r="M495" s="136"/>
      <c r="N495" s="136"/>
      <c r="O495" s="136"/>
      <c r="P495" s="136"/>
      <c r="Q495" s="136"/>
      <c r="R495" s="136"/>
    </row>
    <row r="496">
      <c r="A496" s="136"/>
      <c r="B496" s="136"/>
      <c r="C496" s="136"/>
      <c r="D496" s="136"/>
      <c r="E496" s="136"/>
      <c r="F496" s="201"/>
      <c r="G496" s="136"/>
      <c r="H496" s="136"/>
      <c r="I496" s="136"/>
      <c r="J496" s="136"/>
      <c r="K496" s="136"/>
      <c r="L496" s="136"/>
      <c r="M496" s="136"/>
      <c r="N496" s="136"/>
      <c r="O496" s="136"/>
      <c r="P496" s="136"/>
      <c r="Q496" s="136"/>
      <c r="R496" s="136"/>
    </row>
    <row r="497">
      <c r="A497" s="136"/>
      <c r="B497" s="136"/>
      <c r="C497" s="136"/>
      <c r="D497" s="136"/>
      <c r="E497" s="136"/>
      <c r="F497" s="201"/>
      <c r="G497" s="136"/>
      <c r="H497" s="136"/>
      <c r="I497" s="136"/>
      <c r="J497" s="136"/>
      <c r="K497" s="136"/>
      <c r="L497" s="136"/>
      <c r="M497" s="136"/>
      <c r="N497" s="136"/>
      <c r="O497" s="136"/>
      <c r="P497" s="136"/>
      <c r="Q497" s="136"/>
      <c r="R497" s="136"/>
    </row>
    <row r="498">
      <c r="A498" s="136"/>
      <c r="B498" s="136"/>
      <c r="C498" s="136"/>
      <c r="D498" s="136"/>
      <c r="E498" s="136"/>
      <c r="F498" s="201"/>
      <c r="G498" s="136"/>
      <c r="H498" s="136"/>
      <c r="I498" s="136"/>
      <c r="J498" s="136"/>
      <c r="K498" s="136"/>
      <c r="L498" s="136"/>
      <c r="M498" s="136"/>
      <c r="N498" s="136"/>
      <c r="O498" s="136"/>
      <c r="P498" s="136"/>
      <c r="Q498" s="136"/>
      <c r="R498" s="136"/>
    </row>
    <row r="499">
      <c r="A499" s="136"/>
      <c r="B499" s="136"/>
      <c r="C499" s="136"/>
      <c r="D499" s="136"/>
      <c r="E499" s="136"/>
      <c r="F499" s="201"/>
      <c r="G499" s="136"/>
      <c r="H499" s="136"/>
      <c r="I499" s="136"/>
      <c r="J499" s="136"/>
      <c r="K499" s="136"/>
      <c r="L499" s="136"/>
      <c r="M499" s="136"/>
      <c r="N499" s="136"/>
      <c r="O499" s="136"/>
      <c r="P499" s="136"/>
      <c r="Q499" s="136"/>
      <c r="R499" s="136"/>
    </row>
    <row r="500">
      <c r="A500" s="136"/>
      <c r="B500" s="136"/>
      <c r="C500" s="136"/>
      <c r="D500" s="136"/>
      <c r="E500" s="136"/>
      <c r="F500" s="201"/>
      <c r="G500" s="136"/>
      <c r="H500" s="136"/>
      <c r="I500" s="136"/>
      <c r="J500" s="136"/>
      <c r="K500" s="136"/>
      <c r="L500" s="136"/>
      <c r="M500" s="136"/>
      <c r="N500" s="136"/>
      <c r="O500" s="136"/>
      <c r="P500" s="136"/>
      <c r="Q500" s="136"/>
      <c r="R500" s="136"/>
    </row>
    <row r="501">
      <c r="A501" s="136"/>
      <c r="B501" s="136"/>
      <c r="C501" s="136"/>
      <c r="D501" s="136"/>
      <c r="E501" s="136"/>
      <c r="F501" s="201"/>
      <c r="G501" s="136"/>
      <c r="H501" s="136"/>
      <c r="I501" s="136"/>
      <c r="J501" s="136"/>
      <c r="K501" s="136"/>
      <c r="L501" s="136"/>
      <c r="M501" s="136"/>
      <c r="N501" s="136"/>
      <c r="O501" s="136"/>
      <c r="P501" s="136"/>
      <c r="Q501" s="136"/>
      <c r="R501" s="136"/>
    </row>
    <row r="502">
      <c r="A502" s="136"/>
      <c r="B502" s="136"/>
      <c r="C502" s="136"/>
      <c r="D502" s="136"/>
      <c r="E502" s="136"/>
      <c r="F502" s="201"/>
      <c r="G502" s="136"/>
      <c r="H502" s="136"/>
      <c r="I502" s="136"/>
      <c r="J502" s="136"/>
      <c r="K502" s="136"/>
      <c r="L502" s="136"/>
      <c r="M502" s="136"/>
      <c r="N502" s="136"/>
      <c r="O502" s="136"/>
      <c r="P502" s="136"/>
      <c r="Q502" s="136"/>
      <c r="R502" s="136"/>
    </row>
    <row r="503">
      <c r="A503" s="136"/>
      <c r="B503" s="136"/>
      <c r="C503" s="136"/>
      <c r="D503" s="136"/>
      <c r="E503" s="136"/>
      <c r="F503" s="201"/>
      <c r="G503" s="136"/>
      <c r="H503" s="136"/>
      <c r="I503" s="136"/>
      <c r="J503" s="136"/>
      <c r="K503" s="136"/>
      <c r="L503" s="136"/>
      <c r="M503" s="136"/>
      <c r="N503" s="136"/>
      <c r="O503" s="136"/>
      <c r="P503" s="136"/>
      <c r="Q503" s="136"/>
      <c r="R503" s="136"/>
    </row>
    <row r="504">
      <c r="A504" s="136"/>
      <c r="B504" s="136"/>
      <c r="C504" s="136"/>
      <c r="D504" s="136"/>
      <c r="E504" s="136"/>
      <c r="F504" s="201"/>
      <c r="G504" s="136"/>
      <c r="H504" s="136"/>
      <c r="I504" s="136"/>
      <c r="J504" s="136"/>
      <c r="K504" s="136"/>
      <c r="L504" s="136"/>
      <c r="M504" s="136"/>
      <c r="N504" s="136"/>
      <c r="O504" s="136"/>
      <c r="P504" s="136"/>
      <c r="Q504" s="136"/>
      <c r="R504" s="136"/>
    </row>
    <row r="505">
      <c r="A505" s="136"/>
      <c r="B505" s="136"/>
      <c r="C505" s="136"/>
      <c r="D505" s="136"/>
      <c r="E505" s="136"/>
      <c r="F505" s="201"/>
      <c r="G505" s="136"/>
      <c r="H505" s="136"/>
      <c r="I505" s="136"/>
      <c r="J505" s="136"/>
      <c r="K505" s="136"/>
      <c r="L505" s="136"/>
      <c r="M505" s="136"/>
      <c r="N505" s="136"/>
      <c r="O505" s="136"/>
      <c r="P505" s="136"/>
      <c r="Q505" s="136"/>
      <c r="R505" s="136"/>
    </row>
    <row r="506">
      <c r="A506" s="136"/>
      <c r="B506" s="136"/>
      <c r="C506" s="136"/>
      <c r="D506" s="136"/>
      <c r="E506" s="136"/>
      <c r="F506" s="201"/>
      <c r="G506" s="136"/>
      <c r="H506" s="136"/>
      <c r="I506" s="136"/>
      <c r="J506" s="136"/>
      <c r="K506" s="136"/>
      <c r="L506" s="136"/>
      <c r="M506" s="136"/>
      <c r="N506" s="136"/>
      <c r="O506" s="136"/>
      <c r="P506" s="136"/>
      <c r="Q506" s="136"/>
      <c r="R506" s="136"/>
    </row>
    <row r="507">
      <c r="A507" s="136"/>
      <c r="B507" s="136"/>
      <c r="C507" s="136"/>
      <c r="D507" s="136"/>
      <c r="E507" s="136"/>
      <c r="F507" s="201"/>
      <c r="G507" s="136"/>
      <c r="H507" s="136"/>
      <c r="I507" s="136"/>
      <c r="J507" s="136"/>
      <c r="K507" s="136"/>
      <c r="L507" s="136"/>
      <c r="M507" s="136"/>
      <c r="N507" s="136"/>
      <c r="O507" s="136"/>
      <c r="P507" s="136"/>
      <c r="Q507" s="136"/>
      <c r="R507" s="136"/>
    </row>
    <row r="508">
      <c r="A508" s="136"/>
      <c r="B508" s="136"/>
      <c r="C508" s="136"/>
      <c r="D508" s="136"/>
      <c r="E508" s="136"/>
      <c r="F508" s="201"/>
      <c r="G508" s="136"/>
      <c r="H508" s="136"/>
      <c r="I508" s="136"/>
      <c r="J508" s="136"/>
      <c r="K508" s="136"/>
      <c r="L508" s="136"/>
      <c r="M508" s="136"/>
      <c r="N508" s="136"/>
      <c r="O508" s="136"/>
      <c r="P508" s="136"/>
      <c r="Q508" s="136"/>
      <c r="R508" s="136"/>
    </row>
    <row r="509">
      <c r="A509" s="136"/>
      <c r="B509" s="136"/>
      <c r="C509" s="136"/>
      <c r="D509" s="136"/>
      <c r="E509" s="136"/>
      <c r="F509" s="201"/>
      <c r="G509" s="136"/>
      <c r="H509" s="136"/>
      <c r="I509" s="136"/>
      <c r="J509" s="136"/>
      <c r="K509" s="136"/>
      <c r="L509" s="136"/>
      <c r="M509" s="136"/>
      <c r="N509" s="136"/>
      <c r="O509" s="136"/>
      <c r="P509" s="136"/>
      <c r="Q509" s="136"/>
      <c r="R509" s="136"/>
    </row>
    <row r="510">
      <c r="A510" s="136"/>
      <c r="B510" s="136"/>
      <c r="C510" s="136"/>
      <c r="D510" s="136"/>
      <c r="E510" s="136"/>
      <c r="F510" s="201"/>
      <c r="G510" s="136"/>
      <c r="H510" s="136"/>
      <c r="I510" s="136"/>
      <c r="J510" s="136"/>
      <c r="K510" s="136"/>
      <c r="L510" s="136"/>
      <c r="M510" s="136"/>
      <c r="N510" s="136"/>
      <c r="O510" s="136"/>
      <c r="P510" s="136"/>
      <c r="Q510" s="136"/>
      <c r="R510" s="136"/>
    </row>
    <row r="511">
      <c r="A511" s="136"/>
      <c r="B511" s="136"/>
      <c r="C511" s="136"/>
      <c r="D511" s="136"/>
      <c r="E511" s="136"/>
      <c r="F511" s="201"/>
      <c r="G511" s="136"/>
      <c r="H511" s="136"/>
      <c r="I511" s="136"/>
      <c r="J511" s="136"/>
      <c r="K511" s="136"/>
      <c r="L511" s="136"/>
      <c r="M511" s="136"/>
      <c r="N511" s="136"/>
      <c r="O511" s="136"/>
      <c r="P511" s="136"/>
      <c r="Q511" s="136"/>
      <c r="R511" s="136"/>
    </row>
    <row r="512">
      <c r="A512" s="136"/>
      <c r="B512" s="136"/>
      <c r="C512" s="136"/>
      <c r="D512" s="136"/>
      <c r="E512" s="136"/>
      <c r="F512" s="201"/>
      <c r="G512" s="136"/>
      <c r="H512" s="136"/>
      <c r="I512" s="136"/>
      <c r="J512" s="136"/>
      <c r="K512" s="136"/>
      <c r="L512" s="136"/>
      <c r="M512" s="136"/>
      <c r="N512" s="136"/>
      <c r="O512" s="136"/>
      <c r="P512" s="136"/>
      <c r="Q512" s="136"/>
      <c r="R512" s="136"/>
    </row>
    <row r="513">
      <c r="A513" s="136"/>
      <c r="B513" s="136"/>
      <c r="C513" s="136"/>
      <c r="D513" s="136"/>
      <c r="E513" s="136"/>
      <c r="F513" s="201"/>
      <c r="G513" s="136"/>
      <c r="H513" s="136"/>
      <c r="I513" s="136"/>
      <c r="J513" s="136"/>
      <c r="K513" s="136"/>
      <c r="L513" s="136"/>
      <c r="M513" s="136"/>
      <c r="N513" s="136"/>
      <c r="O513" s="136"/>
      <c r="P513" s="136"/>
      <c r="Q513" s="136"/>
      <c r="R513" s="136"/>
    </row>
    <row r="514">
      <c r="A514" s="136"/>
      <c r="B514" s="136"/>
      <c r="C514" s="136"/>
      <c r="D514" s="136"/>
      <c r="E514" s="136"/>
      <c r="F514" s="201"/>
      <c r="G514" s="136"/>
      <c r="H514" s="136"/>
      <c r="I514" s="136"/>
      <c r="J514" s="136"/>
      <c r="K514" s="136"/>
      <c r="L514" s="136"/>
      <c r="M514" s="136"/>
      <c r="N514" s="136"/>
      <c r="O514" s="136"/>
      <c r="P514" s="136"/>
      <c r="Q514" s="136"/>
      <c r="R514" s="136"/>
    </row>
    <row r="515">
      <c r="A515" s="136"/>
      <c r="B515" s="136"/>
      <c r="C515" s="136"/>
      <c r="D515" s="136"/>
      <c r="E515" s="136"/>
      <c r="F515" s="201"/>
      <c r="G515" s="136"/>
      <c r="H515" s="136"/>
      <c r="I515" s="136"/>
      <c r="J515" s="136"/>
      <c r="K515" s="136"/>
      <c r="L515" s="136"/>
      <c r="M515" s="136"/>
      <c r="N515" s="136"/>
      <c r="O515" s="136"/>
      <c r="P515" s="136"/>
      <c r="Q515" s="136"/>
      <c r="R515" s="136"/>
    </row>
    <row r="516">
      <c r="A516" s="136"/>
      <c r="B516" s="136"/>
      <c r="C516" s="136"/>
      <c r="D516" s="136"/>
      <c r="E516" s="136"/>
      <c r="F516" s="201"/>
      <c r="G516" s="136"/>
      <c r="H516" s="136"/>
      <c r="I516" s="136"/>
      <c r="J516" s="136"/>
      <c r="K516" s="136"/>
      <c r="L516" s="136"/>
      <c r="M516" s="136"/>
      <c r="N516" s="136"/>
      <c r="O516" s="136"/>
      <c r="P516" s="136"/>
      <c r="Q516" s="136"/>
      <c r="R516" s="136"/>
    </row>
    <row r="517">
      <c r="A517" s="136"/>
      <c r="B517" s="136"/>
      <c r="C517" s="136"/>
      <c r="D517" s="136"/>
      <c r="E517" s="136"/>
      <c r="F517" s="201"/>
      <c r="G517" s="136"/>
      <c r="H517" s="136"/>
      <c r="I517" s="136"/>
      <c r="J517" s="136"/>
      <c r="K517" s="136"/>
      <c r="L517" s="136"/>
      <c r="M517" s="136"/>
      <c r="N517" s="136"/>
      <c r="O517" s="136"/>
      <c r="P517" s="136"/>
      <c r="Q517" s="136"/>
      <c r="R517" s="136"/>
    </row>
    <row r="518">
      <c r="A518" s="136"/>
      <c r="B518" s="136"/>
      <c r="C518" s="136"/>
      <c r="D518" s="136"/>
      <c r="E518" s="136"/>
      <c r="F518" s="201"/>
      <c r="G518" s="136"/>
      <c r="H518" s="136"/>
      <c r="I518" s="136"/>
      <c r="J518" s="136"/>
      <c r="K518" s="136"/>
      <c r="L518" s="136"/>
      <c r="M518" s="136"/>
      <c r="N518" s="136"/>
      <c r="O518" s="136"/>
      <c r="P518" s="136"/>
      <c r="Q518" s="136"/>
      <c r="R518" s="136"/>
    </row>
    <row r="519">
      <c r="A519" s="136"/>
      <c r="B519" s="136"/>
      <c r="C519" s="136"/>
      <c r="D519" s="136"/>
      <c r="E519" s="136"/>
      <c r="F519" s="201"/>
      <c r="G519" s="136"/>
      <c r="H519" s="136"/>
      <c r="I519" s="136"/>
      <c r="J519" s="136"/>
      <c r="K519" s="136"/>
      <c r="L519" s="136"/>
      <c r="M519" s="136"/>
      <c r="N519" s="136"/>
      <c r="O519" s="136"/>
      <c r="P519" s="136"/>
      <c r="Q519" s="136"/>
      <c r="R519" s="136"/>
    </row>
    <row r="520">
      <c r="A520" s="136"/>
      <c r="B520" s="136"/>
      <c r="C520" s="136"/>
      <c r="D520" s="136"/>
      <c r="E520" s="136"/>
      <c r="F520" s="201"/>
      <c r="G520" s="136"/>
      <c r="H520" s="136"/>
      <c r="I520" s="136"/>
      <c r="J520" s="136"/>
      <c r="K520" s="136"/>
      <c r="L520" s="136"/>
      <c r="M520" s="136"/>
      <c r="N520" s="136"/>
      <c r="O520" s="136"/>
      <c r="P520" s="136"/>
      <c r="Q520" s="136"/>
      <c r="R520" s="136"/>
    </row>
    <row r="521">
      <c r="A521" s="136"/>
      <c r="B521" s="136"/>
      <c r="C521" s="136"/>
      <c r="D521" s="136"/>
      <c r="E521" s="136"/>
      <c r="F521" s="201"/>
      <c r="G521" s="136"/>
      <c r="H521" s="136"/>
      <c r="I521" s="136"/>
      <c r="J521" s="136"/>
      <c r="K521" s="136"/>
      <c r="L521" s="136"/>
      <c r="M521" s="136"/>
      <c r="N521" s="136"/>
      <c r="O521" s="136"/>
      <c r="P521" s="136"/>
      <c r="Q521" s="136"/>
      <c r="R521" s="136"/>
    </row>
    <row r="522">
      <c r="A522" s="136"/>
      <c r="B522" s="136"/>
      <c r="C522" s="136"/>
      <c r="D522" s="136"/>
      <c r="E522" s="136"/>
      <c r="F522" s="201"/>
      <c r="G522" s="136"/>
      <c r="H522" s="136"/>
      <c r="I522" s="136"/>
      <c r="J522" s="136"/>
      <c r="K522" s="136"/>
      <c r="L522" s="136"/>
      <c r="M522" s="136"/>
      <c r="N522" s="136"/>
      <c r="O522" s="136"/>
      <c r="P522" s="136"/>
      <c r="Q522" s="136"/>
      <c r="R522" s="136"/>
    </row>
    <row r="523">
      <c r="A523" s="136"/>
      <c r="B523" s="136"/>
      <c r="C523" s="136"/>
      <c r="D523" s="136"/>
      <c r="E523" s="136"/>
      <c r="F523" s="201"/>
      <c r="G523" s="136"/>
      <c r="H523" s="136"/>
      <c r="I523" s="136"/>
      <c r="J523" s="136"/>
      <c r="K523" s="136"/>
      <c r="L523" s="136"/>
      <c r="M523" s="136"/>
      <c r="N523" s="136"/>
      <c r="O523" s="136"/>
      <c r="P523" s="136"/>
      <c r="Q523" s="136"/>
      <c r="R523" s="136"/>
    </row>
    <row r="524">
      <c r="A524" s="136"/>
      <c r="B524" s="136"/>
      <c r="C524" s="136"/>
      <c r="D524" s="136"/>
      <c r="E524" s="136"/>
      <c r="F524" s="201"/>
      <c r="G524" s="136"/>
      <c r="H524" s="136"/>
      <c r="I524" s="136"/>
      <c r="J524" s="136"/>
      <c r="K524" s="136"/>
      <c r="L524" s="136"/>
      <c r="M524" s="136"/>
      <c r="N524" s="136"/>
      <c r="O524" s="136"/>
      <c r="P524" s="136"/>
      <c r="Q524" s="136"/>
      <c r="R524" s="136"/>
    </row>
    <row r="525">
      <c r="A525" s="136"/>
      <c r="B525" s="136"/>
      <c r="C525" s="136"/>
      <c r="D525" s="136"/>
      <c r="E525" s="136"/>
      <c r="F525" s="201"/>
      <c r="G525" s="136"/>
      <c r="H525" s="136"/>
      <c r="I525" s="136"/>
      <c r="J525" s="136"/>
      <c r="K525" s="136"/>
      <c r="L525" s="136"/>
      <c r="M525" s="136"/>
      <c r="N525" s="136"/>
      <c r="O525" s="136"/>
      <c r="P525" s="136"/>
      <c r="Q525" s="136"/>
      <c r="R525" s="136"/>
    </row>
    <row r="526">
      <c r="A526" s="136"/>
      <c r="B526" s="136"/>
      <c r="C526" s="136"/>
      <c r="D526" s="136"/>
      <c r="E526" s="136"/>
      <c r="F526" s="201"/>
      <c r="G526" s="136"/>
      <c r="H526" s="136"/>
      <c r="I526" s="136"/>
      <c r="J526" s="136"/>
      <c r="K526" s="136"/>
      <c r="L526" s="136"/>
      <c r="M526" s="136"/>
      <c r="N526" s="136"/>
      <c r="O526" s="136"/>
      <c r="P526" s="136"/>
      <c r="Q526" s="136"/>
      <c r="R526" s="136"/>
    </row>
    <row r="527">
      <c r="A527" s="136"/>
      <c r="B527" s="136"/>
      <c r="C527" s="136"/>
      <c r="D527" s="136"/>
      <c r="E527" s="136"/>
      <c r="F527" s="201"/>
      <c r="G527" s="136"/>
      <c r="H527" s="136"/>
      <c r="I527" s="136"/>
      <c r="J527" s="136"/>
      <c r="K527" s="136"/>
      <c r="L527" s="136"/>
      <c r="M527" s="136"/>
      <c r="N527" s="136"/>
      <c r="O527" s="136"/>
      <c r="P527" s="136"/>
      <c r="Q527" s="136"/>
      <c r="R527" s="136"/>
    </row>
    <row r="528">
      <c r="A528" s="136"/>
      <c r="B528" s="136"/>
      <c r="C528" s="136"/>
      <c r="D528" s="136"/>
      <c r="E528" s="136"/>
      <c r="F528" s="201"/>
      <c r="G528" s="136"/>
      <c r="H528" s="136"/>
      <c r="I528" s="136"/>
      <c r="J528" s="136"/>
      <c r="K528" s="136"/>
      <c r="L528" s="136"/>
      <c r="M528" s="136"/>
      <c r="N528" s="136"/>
      <c r="O528" s="136"/>
      <c r="P528" s="136"/>
      <c r="Q528" s="136"/>
      <c r="R528" s="136"/>
    </row>
    <row r="529">
      <c r="A529" s="136"/>
      <c r="B529" s="136"/>
      <c r="C529" s="136"/>
      <c r="D529" s="136"/>
      <c r="E529" s="136"/>
      <c r="F529" s="201"/>
      <c r="G529" s="136"/>
      <c r="H529" s="136"/>
      <c r="I529" s="136"/>
      <c r="J529" s="136"/>
      <c r="K529" s="136"/>
      <c r="L529" s="136"/>
      <c r="M529" s="136"/>
      <c r="N529" s="136"/>
      <c r="O529" s="136"/>
      <c r="P529" s="136"/>
      <c r="Q529" s="136"/>
      <c r="R529" s="136"/>
    </row>
    <row r="530">
      <c r="A530" s="136"/>
      <c r="B530" s="136"/>
      <c r="C530" s="136"/>
      <c r="D530" s="136"/>
      <c r="E530" s="136"/>
      <c r="F530" s="201"/>
      <c r="G530" s="136"/>
      <c r="H530" s="136"/>
      <c r="I530" s="136"/>
      <c r="J530" s="136"/>
      <c r="K530" s="136"/>
      <c r="L530" s="136"/>
      <c r="M530" s="136"/>
      <c r="N530" s="136"/>
      <c r="O530" s="136"/>
      <c r="P530" s="136"/>
      <c r="Q530" s="136"/>
      <c r="R530" s="136"/>
    </row>
    <row r="531">
      <c r="A531" s="136"/>
      <c r="B531" s="136"/>
      <c r="C531" s="136"/>
      <c r="D531" s="136"/>
      <c r="E531" s="136"/>
      <c r="F531" s="201"/>
      <c r="G531" s="136"/>
      <c r="H531" s="136"/>
      <c r="I531" s="136"/>
      <c r="J531" s="136"/>
      <c r="K531" s="136"/>
      <c r="L531" s="136"/>
      <c r="M531" s="136"/>
      <c r="N531" s="136"/>
      <c r="O531" s="136"/>
      <c r="P531" s="136"/>
      <c r="Q531" s="136"/>
      <c r="R531" s="136"/>
    </row>
    <row r="532">
      <c r="A532" s="136"/>
      <c r="B532" s="136"/>
      <c r="C532" s="136"/>
      <c r="D532" s="136"/>
      <c r="E532" s="136"/>
      <c r="F532" s="201"/>
      <c r="G532" s="136"/>
      <c r="H532" s="136"/>
      <c r="I532" s="136"/>
      <c r="J532" s="136"/>
      <c r="K532" s="136"/>
      <c r="L532" s="136"/>
      <c r="M532" s="136"/>
      <c r="N532" s="136"/>
      <c r="O532" s="136"/>
      <c r="P532" s="136"/>
      <c r="Q532" s="136"/>
      <c r="R532" s="136"/>
    </row>
    <row r="533">
      <c r="A533" s="136"/>
      <c r="B533" s="136"/>
      <c r="C533" s="136"/>
      <c r="D533" s="136"/>
      <c r="E533" s="136"/>
      <c r="F533" s="201"/>
      <c r="G533" s="136"/>
      <c r="H533" s="136"/>
      <c r="I533" s="136"/>
      <c r="J533" s="136"/>
      <c r="K533" s="136"/>
      <c r="L533" s="136"/>
      <c r="M533" s="136"/>
      <c r="N533" s="136"/>
      <c r="O533" s="136"/>
      <c r="P533" s="136"/>
      <c r="Q533" s="136"/>
      <c r="R533" s="136"/>
    </row>
    <row r="534">
      <c r="A534" s="136"/>
      <c r="B534" s="136"/>
      <c r="C534" s="136"/>
      <c r="D534" s="136"/>
      <c r="E534" s="136"/>
      <c r="F534" s="201"/>
      <c r="G534" s="136"/>
      <c r="H534" s="136"/>
      <c r="I534" s="136"/>
      <c r="J534" s="136"/>
      <c r="K534" s="136"/>
      <c r="L534" s="136"/>
      <c r="M534" s="136"/>
      <c r="N534" s="136"/>
      <c r="O534" s="136"/>
      <c r="P534" s="136"/>
      <c r="Q534" s="136"/>
      <c r="R534" s="136"/>
    </row>
    <row r="535">
      <c r="A535" s="136"/>
      <c r="B535" s="136"/>
      <c r="C535" s="136"/>
      <c r="D535" s="136"/>
      <c r="E535" s="136"/>
      <c r="F535" s="201"/>
      <c r="G535" s="136"/>
      <c r="H535" s="136"/>
      <c r="I535" s="136"/>
      <c r="J535" s="136"/>
      <c r="K535" s="136"/>
      <c r="L535" s="136"/>
      <c r="M535" s="136"/>
      <c r="N535" s="136"/>
      <c r="O535" s="136"/>
      <c r="P535" s="136"/>
      <c r="Q535" s="136"/>
      <c r="R535" s="136"/>
    </row>
    <row r="536">
      <c r="A536" s="136"/>
      <c r="B536" s="136"/>
      <c r="C536" s="136"/>
      <c r="D536" s="136"/>
      <c r="E536" s="136"/>
      <c r="F536" s="201"/>
      <c r="G536" s="136"/>
      <c r="H536" s="136"/>
      <c r="I536" s="136"/>
      <c r="J536" s="136"/>
      <c r="K536" s="136"/>
      <c r="L536" s="136"/>
      <c r="M536" s="136"/>
      <c r="N536" s="136"/>
      <c r="O536" s="136"/>
      <c r="P536" s="136"/>
      <c r="Q536" s="136"/>
      <c r="R536" s="136"/>
    </row>
    <row r="537">
      <c r="A537" s="136"/>
      <c r="B537" s="136"/>
      <c r="C537" s="136"/>
      <c r="D537" s="136"/>
      <c r="E537" s="136"/>
      <c r="F537" s="201"/>
      <c r="G537" s="136"/>
      <c r="H537" s="136"/>
      <c r="I537" s="136"/>
      <c r="J537" s="136"/>
      <c r="K537" s="136"/>
      <c r="L537" s="136"/>
      <c r="M537" s="136"/>
      <c r="N537" s="136"/>
      <c r="O537" s="136"/>
      <c r="P537" s="136"/>
      <c r="Q537" s="136"/>
      <c r="R537" s="136"/>
    </row>
    <row r="538">
      <c r="A538" s="136"/>
      <c r="B538" s="136"/>
      <c r="C538" s="136"/>
      <c r="D538" s="136"/>
      <c r="E538" s="136"/>
      <c r="F538" s="201"/>
      <c r="G538" s="136"/>
      <c r="H538" s="136"/>
      <c r="I538" s="136"/>
      <c r="J538" s="136"/>
      <c r="K538" s="136"/>
      <c r="L538" s="136"/>
      <c r="M538" s="136"/>
      <c r="N538" s="136"/>
      <c r="O538" s="136"/>
      <c r="P538" s="136"/>
      <c r="Q538" s="136"/>
      <c r="R538" s="136"/>
    </row>
    <row r="539">
      <c r="A539" s="136"/>
      <c r="B539" s="136"/>
      <c r="C539" s="136"/>
      <c r="D539" s="136"/>
      <c r="E539" s="136"/>
      <c r="F539" s="201"/>
      <c r="G539" s="136"/>
      <c r="H539" s="136"/>
      <c r="I539" s="136"/>
      <c r="J539" s="136"/>
      <c r="K539" s="136"/>
      <c r="L539" s="136"/>
      <c r="M539" s="136"/>
      <c r="N539" s="136"/>
      <c r="O539" s="136"/>
      <c r="P539" s="136"/>
      <c r="Q539" s="136"/>
      <c r="R539" s="136"/>
    </row>
    <row r="540">
      <c r="A540" s="136"/>
      <c r="B540" s="136"/>
      <c r="C540" s="136"/>
      <c r="D540" s="136"/>
      <c r="E540" s="136"/>
      <c r="F540" s="201"/>
      <c r="G540" s="136"/>
      <c r="H540" s="136"/>
      <c r="I540" s="136"/>
      <c r="J540" s="136"/>
      <c r="K540" s="136"/>
      <c r="L540" s="136"/>
      <c r="M540" s="136"/>
      <c r="N540" s="136"/>
      <c r="O540" s="136"/>
      <c r="P540" s="136"/>
      <c r="Q540" s="136"/>
      <c r="R540" s="136"/>
    </row>
    <row r="541">
      <c r="A541" s="136"/>
      <c r="B541" s="136"/>
      <c r="C541" s="136"/>
      <c r="D541" s="136"/>
      <c r="E541" s="136"/>
      <c r="F541" s="201"/>
      <c r="G541" s="136"/>
      <c r="H541" s="136"/>
      <c r="I541" s="136"/>
      <c r="J541" s="136"/>
      <c r="K541" s="136"/>
      <c r="L541" s="136"/>
      <c r="M541" s="136"/>
      <c r="N541" s="136"/>
      <c r="O541" s="136"/>
      <c r="P541" s="136"/>
      <c r="Q541" s="136"/>
      <c r="R541" s="136"/>
    </row>
    <row r="542">
      <c r="A542" s="136"/>
      <c r="B542" s="136"/>
      <c r="C542" s="136"/>
      <c r="D542" s="136"/>
      <c r="E542" s="136"/>
      <c r="F542" s="201"/>
      <c r="G542" s="136"/>
      <c r="H542" s="136"/>
      <c r="I542" s="136"/>
      <c r="J542" s="136"/>
      <c r="K542" s="136"/>
      <c r="L542" s="136"/>
      <c r="M542" s="136"/>
      <c r="N542" s="136"/>
      <c r="O542" s="136"/>
      <c r="P542" s="136"/>
      <c r="Q542" s="136"/>
      <c r="R542" s="136"/>
    </row>
    <row r="543">
      <c r="A543" s="136"/>
      <c r="B543" s="136"/>
      <c r="C543" s="136"/>
      <c r="D543" s="136"/>
      <c r="E543" s="136"/>
      <c r="F543" s="201"/>
      <c r="G543" s="136"/>
      <c r="H543" s="136"/>
      <c r="I543" s="136"/>
      <c r="J543" s="136"/>
      <c r="K543" s="136"/>
      <c r="L543" s="136"/>
      <c r="M543" s="136"/>
      <c r="N543" s="136"/>
      <c r="O543" s="136"/>
      <c r="P543" s="136"/>
      <c r="Q543" s="136"/>
      <c r="R543" s="136"/>
    </row>
    <row r="544">
      <c r="A544" s="136"/>
      <c r="B544" s="136"/>
      <c r="C544" s="136"/>
      <c r="D544" s="136"/>
      <c r="E544" s="136"/>
      <c r="F544" s="201"/>
      <c r="G544" s="136"/>
      <c r="H544" s="136"/>
      <c r="I544" s="136"/>
      <c r="J544" s="136"/>
      <c r="K544" s="136"/>
      <c r="L544" s="136"/>
      <c r="M544" s="136"/>
      <c r="N544" s="136"/>
      <c r="O544" s="136"/>
      <c r="P544" s="136"/>
      <c r="Q544" s="136"/>
      <c r="R544" s="136"/>
    </row>
    <row r="545">
      <c r="A545" s="136"/>
      <c r="B545" s="136"/>
      <c r="C545" s="136"/>
      <c r="D545" s="136"/>
      <c r="E545" s="136"/>
      <c r="F545" s="201"/>
      <c r="G545" s="136"/>
      <c r="H545" s="136"/>
      <c r="I545" s="136"/>
      <c r="J545" s="136"/>
      <c r="K545" s="136"/>
      <c r="L545" s="136"/>
      <c r="M545" s="136"/>
      <c r="N545" s="136"/>
      <c r="O545" s="136"/>
      <c r="P545" s="136"/>
      <c r="Q545" s="136"/>
      <c r="R545" s="136"/>
    </row>
    <row r="546">
      <c r="A546" s="136"/>
      <c r="B546" s="136"/>
      <c r="C546" s="136"/>
      <c r="D546" s="136"/>
      <c r="E546" s="136"/>
      <c r="F546" s="201"/>
      <c r="G546" s="136"/>
      <c r="H546" s="136"/>
      <c r="I546" s="136"/>
      <c r="J546" s="136"/>
      <c r="K546" s="136"/>
      <c r="L546" s="136"/>
      <c r="M546" s="136"/>
      <c r="N546" s="136"/>
      <c r="O546" s="136"/>
      <c r="P546" s="136"/>
      <c r="Q546" s="136"/>
      <c r="R546" s="136"/>
    </row>
    <row r="547">
      <c r="A547" s="136"/>
      <c r="B547" s="136"/>
      <c r="C547" s="136"/>
      <c r="D547" s="136"/>
      <c r="E547" s="136"/>
      <c r="F547" s="201"/>
      <c r="G547" s="136"/>
      <c r="H547" s="136"/>
      <c r="I547" s="136"/>
      <c r="J547" s="136"/>
      <c r="K547" s="136"/>
      <c r="L547" s="136"/>
      <c r="M547" s="136"/>
      <c r="N547" s="136"/>
      <c r="O547" s="136"/>
      <c r="P547" s="136"/>
      <c r="Q547" s="136"/>
      <c r="R547" s="136"/>
    </row>
    <row r="548">
      <c r="A548" s="136"/>
      <c r="B548" s="136"/>
      <c r="C548" s="136"/>
      <c r="D548" s="136"/>
      <c r="E548" s="136"/>
      <c r="F548" s="201"/>
      <c r="G548" s="136"/>
      <c r="H548" s="136"/>
      <c r="I548" s="136"/>
      <c r="J548" s="136"/>
      <c r="K548" s="136"/>
      <c r="L548" s="136"/>
      <c r="M548" s="136"/>
      <c r="N548" s="136"/>
      <c r="O548" s="136"/>
      <c r="P548" s="136"/>
      <c r="Q548" s="136"/>
      <c r="R548" s="136"/>
    </row>
    <row r="549">
      <c r="A549" s="136"/>
      <c r="B549" s="136"/>
      <c r="C549" s="136"/>
      <c r="D549" s="136"/>
      <c r="E549" s="136"/>
      <c r="F549" s="201"/>
      <c r="G549" s="136"/>
      <c r="H549" s="136"/>
      <c r="I549" s="136"/>
      <c r="J549" s="136"/>
      <c r="K549" s="136"/>
      <c r="L549" s="136"/>
      <c r="M549" s="136"/>
      <c r="N549" s="136"/>
      <c r="O549" s="136"/>
      <c r="P549" s="136"/>
      <c r="Q549" s="136"/>
      <c r="R549" s="136"/>
    </row>
    <row r="550">
      <c r="A550" s="136"/>
      <c r="B550" s="136"/>
      <c r="C550" s="136"/>
      <c r="D550" s="136"/>
      <c r="E550" s="136"/>
      <c r="F550" s="201"/>
      <c r="G550" s="136"/>
      <c r="H550" s="136"/>
      <c r="I550" s="136"/>
      <c r="J550" s="136"/>
      <c r="K550" s="136"/>
      <c r="L550" s="136"/>
      <c r="M550" s="136"/>
      <c r="N550" s="136"/>
      <c r="O550" s="136"/>
      <c r="P550" s="136"/>
      <c r="Q550" s="136"/>
      <c r="R550" s="136"/>
    </row>
    <row r="551">
      <c r="A551" s="136"/>
      <c r="B551" s="136"/>
      <c r="C551" s="136"/>
      <c r="D551" s="136"/>
      <c r="E551" s="136"/>
      <c r="F551" s="201"/>
      <c r="G551" s="136"/>
      <c r="H551" s="136"/>
      <c r="I551" s="136"/>
      <c r="J551" s="136"/>
      <c r="K551" s="136"/>
      <c r="L551" s="136"/>
      <c r="M551" s="136"/>
      <c r="N551" s="136"/>
      <c r="O551" s="136"/>
      <c r="P551" s="136"/>
      <c r="Q551" s="136"/>
      <c r="R551" s="136"/>
    </row>
    <row r="552">
      <c r="A552" s="136"/>
      <c r="B552" s="136"/>
      <c r="C552" s="136"/>
      <c r="D552" s="136"/>
      <c r="E552" s="136"/>
      <c r="F552" s="201"/>
      <c r="G552" s="136"/>
      <c r="H552" s="136"/>
      <c r="I552" s="136"/>
      <c r="J552" s="136"/>
      <c r="K552" s="136"/>
      <c r="L552" s="136"/>
      <c r="M552" s="136"/>
      <c r="N552" s="136"/>
      <c r="O552" s="136"/>
      <c r="P552" s="136"/>
      <c r="Q552" s="136"/>
      <c r="R552" s="136"/>
    </row>
    <row r="553">
      <c r="A553" s="136"/>
      <c r="B553" s="136"/>
      <c r="C553" s="136"/>
      <c r="D553" s="136"/>
      <c r="E553" s="136"/>
      <c r="F553" s="201"/>
      <c r="G553" s="136"/>
      <c r="H553" s="136"/>
      <c r="I553" s="136"/>
      <c r="J553" s="136"/>
      <c r="K553" s="136"/>
      <c r="L553" s="136"/>
      <c r="M553" s="136"/>
      <c r="N553" s="136"/>
      <c r="O553" s="136"/>
      <c r="P553" s="136"/>
      <c r="Q553" s="136"/>
      <c r="R553" s="136"/>
    </row>
    <row r="554">
      <c r="A554" s="136"/>
      <c r="B554" s="136"/>
      <c r="C554" s="136"/>
      <c r="D554" s="136"/>
      <c r="E554" s="136"/>
      <c r="F554" s="201"/>
      <c r="G554" s="136"/>
      <c r="H554" s="136"/>
      <c r="I554" s="136"/>
      <c r="J554" s="136"/>
      <c r="K554" s="136"/>
      <c r="L554" s="136"/>
      <c r="M554" s="136"/>
      <c r="N554" s="136"/>
      <c r="O554" s="136"/>
      <c r="P554" s="136"/>
      <c r="Q554" s="136"/>
      <c r="R554" s="136"/>
    </row>
    <row r="555">
      <c r="A555" s="136"/>
      <c r="B555" s="136"/>
      <c r="C555" s="136"/>
      <c r="D555" s="136"/>
      <c r="E555" s="136"/>
      <c r="F555" s="201"/>
      <c r="G555" s="136"/>
      <c r="H555" s="136"/>
      <c r="I555" s="136"/>
      <c r="J555" s="136"/>
      <c r="K555" s="136"/>
      <c r="L555" s="136"/>
      <c r="M555" s="136"/>
      <c r="N555" s="136"/>
      <c r="O555" s="136"/>
      <c r="P555" s="136"/>
      <c r="Q555" s="136"/>
      <c r="R555" s="136"/>
    </row>
    <row r="556">
      <c r="A556" s="136"/>
      <c r="B556" s="136"/>
      <c r="C556" s="136"/>
      <c r="D556" s="136"/>
      <c r="E556" s="136"/>
      <c r="F556" s="201"/>
      <c r="G556" s="136"/>
      <c r="H556" s="136"/>
      <c r="I556" s="136"/>
      <c r="J556" s="136"/>
      <c r="K556" s="136"/>
      <c r="L556" s="136"/>
      <c r="M556" s="136"/>
      <c r="N556" s="136"/>
      <c r="O556" s="136"/>
      <c r="P556" s="136"/>
      <c r="Q556" s="136"/>
      <c r="R556" s="136"/>
    </row>
    <row r="557">
      <c r="A557" s="136"/>
      <c r="B557" s="136"/>
      <c r="C557" s="136"/>
      <c r="D557" s="136"/>
      <c r="E557" s="136"/>
      <c r="F557" s="201"/>
      <c r="G557" s="136"/>
      <c r="H557" s="136"/>
      <c r="I557" s="136"/>
      <c r="J557" s="136"/>
      <c r="K557" s="136"/>
      <c r="L557" s="136"/>
      <c r="M557" s="136"/>
      <c r="N557" s="136"/>
      <c r="O557" s="136"/>
      <c r="P557" s="136"/>
      <c r="Q557" s="136"/>
      <c r="R557" s="136"/>
    </row>
    <row r="558">
      <c r="A558" s="136"/>
      <c r="B558" s="136"/>
      <c r="C558" s="136"/>
      <c r="D558" s="136"/>
      <c r="E558" s="136"/>
      <c r="F558" s="201"/>
      <c r="G558" s="136"/>
      <c r="H558" s="136"/>
      <c r="I558" s="136"/>
      <c r="J558" s="136"/>
      <c r="K558" s="136"/>
      <c r="L558" s="136"/>
      <c r="M558" s="136"/>
      <c r="N558" s="136"/>
      <c r="O558" s="136"/>
      <c r="P558" s="136"/>
      <c r="Q558" s="136"/>
      <c r="R558" s="136"/>
    </row>
    <row r="559">
      <c r="A559" s="136"/>
      <c r="B559" s="136"/>
      <c r="C559" s="136"/>
      <c r="D559" s="136"/>
      <c r="E559" s="136"/>
      <c r="F559" s="201"/>
      <c r="G559" s="136"/>
      <c r="H559" s="136"/>
      <c r="I559" s="136"/>
      <c r="J559" s="136"/>
      <c r="K559" s="136"/>
      <c r="L559" s="136"/>
      <c r="M559" s="136"/>
      <c r="N559" s="136"/>
      <c r="O559" s="136"/>
      <c r="P559" s="136"/>
      <c r="Q559" s="136"/>
      <c r="R559" s="136"/>
    </row>
    <row r="560">
      <c r="A560" s="136"/>
      <c r="B560" s="136"/>
      <c r="C560" s="136"/>
      <c r="D560" s="136"/>
      <c r="E560" s="136"/>
      <c r="F560" s="201"/>
      <c r="G560" s="136"/>
      <c r="H560" s="136"/>
      <c r="I560" s="136"/>
      <c r="J560" s="136"/>
      <c r="K560" s="136"/>
      <c r="L560" s="136"/>
      <c r="M560" s="136"/>
      <c r="N560" s="136"/>
      <c r="O560" s="136"/>
      <c r="P560" s="136"/>
      <c r="Q560" s="136"/>
      <c r="R560" s="136"/>
    </row>
    <row r="561">
      <c r="A561" s="136"/>
      <c r="B561" s="136"/>
      <c r="C561" s="136"/>
      <c r="D561" s="136"/>
      <c r="E561" s="136"/>
      <c r="F561" s="201"/>
      <c r="G561" s="136"/>
      <c r="H561" s="136"/>
      <c r="I561" s="136"/>
      <c r="J561" s="136"/>
      <c r="K561" s="136"/>
      <c r="L561" s="136"/>
      <c r="M561" s="136"/>
      <c r="N561" s="136"/>
      <c r="O561" s="136"/>
      <c r="P561" s="136"/>
      <c r="Q561" s="136"/>
      <c r="R561" s="136"/>
    </row>
    <row r="562">
      <c r="A562" s="136"/>
      <c r="B562" s="136"/>
      <c r="C562" s="136"/>
      <c r="D562" s="136"/>
      <c r="E562" s="136"/>
      <c r="F562" s="201"/>
      <c r="G562" s="136"/>
      <c r="H562" s="136"/>
      <c r="I562" s="136"/>
      <c r="J562" s="136"/>
      <c r="K562" s="136"/>
      <c r="L562" s="136"/>
      <c r="M562" s="136"/>
      <c r="N562" s="136"/>
      <c r="O562" s="136"/>
      <c r="P562" s="136"/>
      <c r="Q562" s="136"/>
      <c r="R562" s="136"/>
    </row>
    <row r="563">
      <c r="A563" s="136"/>
      <c r="B563" s="136"/>
      <c r="C563" s="136"/>
      <c r="D563" s="136"/>
      <c r="E563" s="136"/>
      <c r="F563" s="201"/>
      <c r="G563" s="136"/>
      <c r="H563" s="136"/>
      <c r="I563" s="136"/>
      <c r="J563" s="136"/>
      <c r="K563" s="136"/>
      <c r="L563" s="136"/>
      <c r="M563" s="136"/>
      <c r="N563" s="136"/>
      <c r="O563" s="136"/>
      <c r="P563" s="136"/>
      <c r="Q563" s="136"/>
      <c r="R563" s="136"/>
    </row>
    <row r="564">
      <c r="A564" s="136"/>
      <c r="B564" s="136"/>
      <c r="C564" s="136"/>
      <c r="D564" s="136"/>
      <c r="E564" s="136"/>
      <c r="F564" s="201"/>
      <c r="G564" s="136"/>
      <c r="H564" s="136"/>
      <c r="I564" s="136"/>
      <c r="J564" s="136"/>
      <c r="K564" s="136"/>
      <c r="L564" s="136"/>
      <c r="M564" s="136"/>
      <c r="N564" s="136"/>
      <c r="O564" s="136"/>
      <c r="P564" s="136"/>
      <c r="Q564" s="136"/>
      <c r="R564" s="136"/>
    </row>
    <row r="565">
      <c r="A565" s="136"/>
      <c r="B565" s="136"/>
      <c r="C565" s="136"/>
      <c r="D565" s="136"/>
      <c r="E565" s="136"/>
      <c r="F565" s="201"/>
      <c r="G565" s="136"/>
      <c r="H565" s="136"/>
      <c r="I565" s="136"/>
      <c r="J565" s="136"/>
      <c r="K565" s="136"/>
      <c r="L565" s="136"/>
      <c r="M565" s="136"/>
      <c r="N565" s="136"/>
      <c r="O565" s="136"/>
      <c r="P565" s="136"/>
      <c r="Q565" s="136"/>
      <c r="R565" s="136"/>
    </row>
    <row r="566">
      <c r="A566" s="136"/>
      <c r="B566" s="136"/>
      <c r="C566" s="136"/>
      <c r="D566" s="136"/>
      <c r="E566" s="136"/>
      <c r="F566" s="201"/>
      <c r="G566" s="136"/>
      <c r="H566" s="136"/>
      <c r="I566" s="136"/>
      <c r="J566" s="136"/>
      <c r="K566" s="136"/>
      <c r="L566" s="136"/>
      <c r="M566" s="136"/>
      <c r="N566" s="136"/>
      <c r="O566" s="136"/>
      <c r="P566" s="136"/>
      <c r="Q566" s="136"/>
      <c r="R566" s="136"/>
    </row>
    <row r="567">
      <c r="A567" s="136"/>
      <c r="B567" s="136"/>
      <c r="C567" s="136"/>
      <c r="D567" s="136"/>
      <c r="E567" s="136"/>
      <c r="F567" s="201"/>
      <c r="G567" s="136"/>
      <c r="H567" s="136"/>
      <c r="I567" s="136"/>
      <c r="J567" s="136"/>
      <c r="K567" s="136"/>
      <c r="L567" s="136"/>
      <c r="M567" s="136"/>
      <c r="N567" s="136"/>
      <c r="O567" s="136"/>
      <c r="P567" s="136"/>
      <c r="Q567" s="136"/>
      <c r="R567" s="136"/>
    </row>
    <row r="568">
      <c r="A568" s="136"/>
      <c r="B568" s="136"/>
      <c r="C568" s="136"/>
      <c r="D568" s="136"/>
      <c r="E568" s="136"/>
      <c r="F568" s="201"/>
      <c r="G568" s="136"/>
      <c r="H568" s="136"/>
      <c r="I568" s="136"/>
      <c r="J568" s="136"/>
      <c r="K568" s="136"/>
      <c r="L568" s="136"/>
      <c r="M568" s="136"/>
      <c r="N568" s="136"/>
      <c r="O568" s="136"/>
      <c r="P568" s="136"/>
      <c r="Q568" s="136"/>
      <c r="R568" s="136"/>
    </row>
    <row r="569">
      <c r="A569" s="136"/>
      <c r="B569" s="136"/>
      <c r="C569" s="136"/>
      <c r="D569" s="136"/>
      <c r="E569" s="136"/>
      <c r="F569" s="201"/>
      <c r="G569" s="136"/>
      <c r="H569" s="136"/>
      <c r="I569" s="136"/>
      <c r="J569" s="136"/>
      <c r="K569" s="136"/>
      <c r="L569" s="136"/>
      <c r="M569" s="136"/>
      <c r="N569" s="136"/>
      <c r="O569" s="136"/>
      <c r="P569" s="136"/>
      <c r="Q569" s="136"/>
      <c r="R569" s="136"/>
    </row>
    <row r="570">
      <c r="A570" s="136"/>
      <c r="B570" s="136"/>
      <c r="C570" s="136"/>
      <c r="D570" s="136"/>
      <c r="E570" s="136"/>
      <c r="F570" s="201"/>
      <c r="G570" s="136"/>
      <c r="H570" s="136"/>
      <c r="I570" s="136"/>
      <c r="J570" s="136"/>
      <c r="K570" s="136"/>
      <c r="L570" s="136"/>
      <c r="M570" s="136"/>
      <c r="N570" s="136"/>
      <c r="O570" s="136"/>
      <c r="P570" s="136"/>
      <c r="Q570" s="136"/>
      <c r="R570" s="136"/>
    </row>
    <row r="571">
      <c r="A571" s="136"/>
      <c r="B571" s="136"/>
      <c r="C571" s="136"/>
      <c r="D571" s="136"/>
      <c r="E571" s="136"/>
      <c r="F571" s="201"/>
      <c r="G571" s="136"/>
      <c r="H571" s="136"/>
      <c r="I571" s="136"/>
      <c r="J571" s="136"/>
      <c r="K571" s="136"/>
      <c r="L571" s="136"/>
      <c r="M571" s="136"/>
      <c r="N571" s="136"/>
      <c r="O571" s="136"/>
      <c r="P571" s="136"/>
      <c r="Q571" s="136"/>
      <c r="R571" s="136"/>
    </row>
    <row r="572">
      <c r="A572" s="136"/>
      <c r="B572" s="136"/>
      <c r="C572" s="136"/>
      <c r="D572" s="136"/>
      <c r="E572" s="136"/>
      <c r="F572" s="201"/>
      <c r="G572" s="136"/>
      <c r="H572" s="136"/>
      <c r="I572" s="136"/>
      <c r="J572" s="136"/>
      <c r="K572" s="136"/>
      <c r="L572" s="136"/>
      <c r="M572" s="136"/>
      <c r="N572" s="136"/>
      <c r="O572" s="136"/>
      <c r="P572" s="136"/>
      <c r="Q572" s="136"/>
      <c r="R572" s="136"/>
    </row>
    <row r="573">
      <c r="A573" s="136"/>
      <c r="B573" s="136"/>
      <c r="C573" s="136"/>
      <c r="D573" s="136"/>
      <c r="E573" s="136"/>
      <c r="F573" s="201"/>
      <c r="G573" s="136"/>
      <c r="H573" s="136"/>
      <c r="I573" s="136"/>
      <c r="J573" s="136"/>
      <c r="K573" s="136"/>
      <c r="L573" s="136"/>
      <c r="M573" s="136"/>
      <c r="N573" s="136"/>
      <c r="O573" s="136"/>
      <c r="P573" s="136"/>
      <c r="Q573" s="136"/>
      <c r="R573" s="136"/>
    </row>
    <row r="574">
      <c r="A574" s="136"/>
      <c r="B574" s="136"/>
      <c r="C574" s="136"/>
      <c r="D574" s="136"/>
      <c r="E574" s="136"/>
      <c r="F574" s="201"/>
      <c r="G574" s="136"/>
      <c r="H574" s="136"/>
      <c r="I574" s="136"/>
      <c r="J574" s="136"/>
      <c r="K574" s="136"/>
      <c r="L574" s="136"/>
      <c r="M574" s="136"/>
      <c r="N574" s="136"/>
      <c r="O574" s="136"/>
      <c r="P574" s="136"/>
      <c r="Q574" s="136"/>
      <c r="R574" s="136"/>
    </row>
    <row r="575">
      <c r="A575" s="136"/>
      <c r="B575" s="136"/>
      <c r="C575" s="136"/>
      <c r="D575" s="136"/>
      <c r="E575" s="136"/>
      <c r="F575" s="201"/>
      <c r="G575" s="136"/>
      <c r="H575" s="136"/>
      <c r="I575" s="136"/>
      <c r="J575" s="136"/>
      <c r="K575" s="136"/>
      <c r="L575" s="136"/>
      <c r="M575" s="136"/>
      <c r="N575" s="136"/>
      <c r="O575" s="136"/>
      <c r="P575" s="136"/>
      <c r="Q575" s="136"/>
      <c r="R575" s="136"/>
    </row>
    <row r="576">
      <c r="A576" s="136"/>
      <c r="B576" s="136"/>
      <c r="C576" s="136"/>
      <c r="D576" s="136"/>
      <c r="E576" s="136"/>
      <c r="F576" s="201"/>
      <c r="G576" s="136"/>
      <c r="H576" s="136"/>
      <c r="I576" s="136"/>
      <c r="J576" s="136"/>
      <c r="K576" s="136"/>
      <c r="L576" s="136"/>
      <c r="M576" s="136"/>
      <c r="N576" s="136"/>
      <c r="O576" s="136"/>
      <c r="P576" s="136"/>
      <c r="Q576" s="136"/>
      <c r="R576" s="136"/>
    </row>
    <row r="577">
      <c r="A577" s="136"/>
      <c r="B577" s="136"/>
      <c r="C577" s="136"/>
      <c r="D577" s="136"/>
      <c r="E577" s="136"/>
      <c r="F577" s="201"/>
      <c r="G577" s="136"/>
      <c r="H577" s="136"/>
      <c r="I577" s="136"/>
      <c r="J577" s="136"/>
      <c r="K577" s="136"/>
      <c r="L577" s="136"/>
      <c r="M577" s="136"/>
      <c r="N577" s="136"/>
      <c r="O577" s="136"/>
      <c r="P577" s="136"/>
      <c r="Q577" s="136"/>
      <c r="R577" s="136"/>
    </row>
    <row r="578">
      <c r="A578" s="136"/>
      <c r="B578" s="136"/>
      <c r="C578" s="136"/>
      <c r="D578" s="136"/>
      <c r="E578" s="136"/>
      <c r="F578" s="201"/>
      <c r="G578" s="136"/>
      <c r="H578" s="136"/>
      <c r="I578" s="136"/>
      <c r="J578" s="136"/>
      <c r="K578" s="136"/>
      <c r="L578" s="136"/>
      <c r="M578" s="136"/>
      <c r="N578" s="136"/>
      <c r="O578" s="136"/>
      <c r="P578" s="136"/>
      <c r="Q578" s="136"/>
      <c r="R578" s="136"/>
    </row>
    <row r="579">
      <c r="A579" s="136"/>
      <c r="B579" s="136"/>
      <c r="C579" s="136"/>
      <c r="D579" s="136"/>
      <c r="E579" s="136"/>
      <c r="F579" s="201"/>
      <c r="G579" s="136"/>
      <c r="H579" s="136"/>
      <c r="I579" s="136"/>
      <c r="J579" s="136"/>
      <c r="K579" s="136"/>
      <c r="L579" s="136"/>
      <c r="M579" s="136"/>
      <c r="N579" s="136"/>
      <c r="O579" s="136"/>
      <c r="P579" s="136"/>
      <c r="Q579" s="136"/>
      <c r="R579" s="136"/>
    </row>
    <row r="580">
      <c r="A580" s="136"/>
      <c r="B580" s="136"/>
      <c r="C580" s="136"/>
      <c r="D580" s="136"/>
      <c r="E580" s="136"/>
      <c r="F580" s="201"/>
      <c r="G580" s="136"/>
      <c r="H580" s="136"/>
      <c r="I580" s="136"/>
      <c r="J580" s="136"/>
      <c r="K580" s="136"/>
      <c r="L580" s="136"/>
      <c r="M580" s="136"/>
      <c r="N580" s="136"/>
      <c r="O580" s="136"/>
      <c r="P580" s="136"/>
      <c r="Q580" s="136"/>
      <c r="R580" s="136"/>
    </row>
    <row r="581">
      <c r="A581" s="136"/>
      <c r="B581" s="136"/>
      <c r="C581" s="136"/>
      <c r="D581" s="136"/>
      <c r="E581" s="136"/>
      <c r="F581" s="201"/>
      <c r="G581" s="136"/>
      <c r="H581" s="136"/>
      <c r="I581" s="136"/>
      <c r="J581" s="136"/>
      <c r="K581" s="136"/>
      <c r="L581" s="136"/>
      <c r="M581" s="136"/>
      <c r="N581" s="136"/>
      <c r="O581" s="136"/>
      <c r="P581" s="136"/>
      <c r="Q581" s="136"/>
      <c r="R581" s="136"/>
    </row>
    <row r="582">
      <c r="A582" s="136"/>
      <c r="B582" s="136"/>
      <c r="C582" s="136"/>
      <c r="D582" s="136"/>
      <c r="E582" s="136"/>
      <c r="F582" s="201"/>
      <c r="G582" s="136"/>
      <c r="H582" s="136"/>
      <c r="I582" s="136"/>
      <c r="J582" s="136"/>
      <c r="K582" s="136"/>
      <c r="L582" s="136"/>
      <c r="M582" s="136"/>
      <c r="N582" s="136"/>
      <c r="O582" s="136"/>
      <c r="P582" s="136"/>
      <c r="Q582" s="136"/>
      <c r="R582" s="136"/>
    </row>
    <row r="583">
      <c r="A583" s="136"/>
      <c r="B583" s="136"/>
      <c r="C583" s="136"/>
      <c r="D583" s="136"/>
      <c r="E583" s="136"/>
      <c r="F583" s="201"/>
      <c r="G583" s="136"/>
      <c r="H583" s="136"/>
      <c r="I583" s="136"/>
      <c r="J583" s="136"/>
      <c r="K583" s="136"/>
      <c r="L583" s="136"/>
      <c r="M583" s="136"/>
      <c r="N583" s="136"/>
      <c r="O583" s="136"/>
      <c r="P583" s="136"/>
      <c r="Q583" s="136"/>
      <c r="R583" s="136"/>
    </row>
    <row r="584">
      <c r="A584" s="136"/>
      <c r="B584" s="136"/>
      <c r="C584" s="136"/>
      <c r="D584" s="136"/>
      <c r="E584" s="136"/>
      <c r="F584" s="201"/>
      <c r="G584" s="136"/>
      <c r="H584" s="136"/>
      <c r="I584" s="136"/>
      <c r="J584" s="136"/>
      <c r="K584" s="136"/>
      <c r="L584" s="136"/>
      <c r="M584" s="136"/>
      <c r="N584" s="136"/>
      <c r="O584" s="136"/>
      <c r="P584" s="136"/>
      <c r="Q584" s="136"/>
      <c r="R584" s="136"/>
    </row>
    <row r="585">
      <c r="A585" s="136"/>
      <c r="B585" s="136"/>
      <c r="C585" s="136"/>
      <c r="D585" s="136"/>
      <c r="E585" s="136"/>
      <c r="F585" s="201"/>
      <c r="G585" s="136"/>
      <c r="H585" s="136"/>
      <c r="I585" s="136"/>
      <c r="J585" s="136"/>
      <c r="K585" s="136"/>
      <c r="L585" s="136"/>
      <c r="M585" s="136"/>
      <c r="N585" s="136"/>
      <c r="O585" s="136"/>
      <c r="P585" s="136"/>
      <c r="Q585" s="136"/>
      <c r="R585" s="136"/>
    </row>
    <row r="586">
      <c r="A586" s="136"/>
      <c r="B586" s="136"/>
      <c r="C586" s="136"/>
      <c r="D586" s="136"/>
      <c r="E586" s="136"/>
      <c r="F586" s="201"/>
      <c r="G586" s="136"/>
      <c r="H586" s="136"/>
      <c r="I586" s="136"/>
      <c r="J586" s="136"/>
      <c r="K586" s="136"/>
      <c r="L586" s="136"/>
      <c r="M586" s="136"/>
      <c r="N586" s="136"/>
      <c r="O586" s="136"/>
      <c r="P586" s="136"/>
      <c r="Q586" s="136"/>
      <c r="R586" s="136"/>
    </row>
    <row r="587">
      <c r="A587" s="136"/>
      <c r="B587" s="136"/>
      <c r="C587" s="136"/>
      <c r="D587" s="136"/>
      <c r="E587" s="136"/>
      <c r="F587" s="201"/>
      <c r="G587" s="136"/>
      <c r="H587" s="136"/>
      <c r="I587" s="136"/>
      <c r="J587" s="136"/>
      <c r="K587" s="136"/>
      <c r="L587" s="136"/>
      <c r="M587" s="136"/>
      <c r="N587" s="136"/>
      <c r="O587" s="136"/>
      <c r="P587" s="136"/>
      <c r="Q587" s="136"/>
      <c r="R587" s="136"/>
    </row>
    <row r="588">
      <c r="A588" s="136"/>
      <c r="B588" s="136"/>
      <c r="C588" s="136"/>
      <c r="D588" s="136"/>
      <c r="E588" s="136"/>
      <c r="F588" s="201"/>
      <c r="G588" s="136"/>
      <c r="H588" s="136"/>
      <c r="I588" s="136"/>
      <c r="J588" s="136"/>
      <c r="K588" s="136"/>
      <c r="L588" s="136"/>
      <c r="M588" s="136"/>
      <c r="N588" s="136"/>
      <c r="O588" s="136"/>
      <c r="P588" s="136"/>
      <c r="Q588" s="136"/>
      <c r="R588" s="136"/>
    </row>
    <row r="589">
      <c r="A589" s="136"/>
      <c r="B589" s="136"/>
      <c r="C589" s="136"/>
      <c r="D589" s="136"/>
      <c r="E589" s="136"/>
      <c r="F589" s="201"/>
      <c r="G589" s="136"/>
      <c r="H589" s="136"/>
      <c r="I589" s="136"/>
      <c r="J589" s="136"/>
      <c r="K589" s="136"/>
      <c r="L589" s="136"/>
      <c r="M589" s="136"/>
      <c r="N589" s="136"/>
      <c r="O589" s="136"/>
      <c r="P589" s="136"/>
      <c r="Q589" s="136"/>
      <c r="R589" s="136"/>
    </row>
    <row r="590">
      <c r="A590" s="136"/>
      <c r="B590" s="136"/>
      <c r="C590" s="136"/>
      <c r="D590" s="136"/>
      <c r="E590" s="136"/>
      <c r="F590" s="201"/>
      <c r="G590" s="136"/>
      <c r="H590" s="136"/>
      <c r="I590" s="136"/>
      <c r="J590" s="136"/>
      <c r="K590" s="136"/>
      <c r="L590" s="136"/>
      <c r="M590" s="136"/>
      <c r="N590" s="136"/>
      <c r="O590" s="136"/>
      <c r="P590" s="136"/>
      <c r="Q590" s="136"/>
      <c r="R590" s="136"/>
    </row>
    <row r="591">
      <c r="A591" s="136"/>
      <c r="B591" s="136"/>
      <c r="C591" s="136"/>
      <c r="D591" s="136"/>
      <c r="E591" s="136"/>
      <c r="F591" s="201"/>
      <c r="G591" s="136"/>
      <c r="H591" s="136"/>
      <c r="I591" s="136"/>
      <c r="J591" s="136"/>
      <c r="K591" s="136"/>
      <c r="L591" s="136"/>
      <c r="M591" s="136"/>
      <c r="N591" s="136"/>
      <c r="O591" s="136"/>
      <c r="P591" s="136"/>
      <c r="Q591" s="136"/>
      <c r="R591" s="136"/>
    </row>
    <row r="592">
      <c r="A592" s="136"/>
      <c r="B592" s="136"/>
      <c r="C592" s="136"/>
      <c r="D592" s="136"/>
      <c r="E592" s="136"/>
      <c r="F592" s="201"/>
      <c r="G592" s="136"/>
      <c r="H592" s="136"/>
      <c r="I592" s="136"/>
      <c r="J592" s="136"/>
      <c r="K592" s="136"/>
      <c r="L592" s="136"/>
      <c r="M592" s="136"/>
      <c r="N592" s="136"/>
      <c r="O592" s="136"/>
      <c r="P592" s="136"/>
      <c r="Q592" s="136"/>
      <c r="R592" s="136"/>
    </row>
    <row r="593">
      <c r="A593" s="136"/>
      <c r="B593" s="136"/>
      <c r="C593" s="136"/>
      <c r="D593" s="136"/>
      <c r="E593" s="136"/>
      <c r="F593" s="201"/>
      <c r="G593" s="136"/>
      <c r="H593" s="136"/>
      <c r="I593" s="136"/>
      <c r="J593" s="136"/>
      <c r="K593" s="136"/>
      <c r="L593" s="136"/>
      <c r="M593" s="136"/>
      <c r="N593" s="136"/>
      <c r="O593" s="136"/>
      <c r="P593" s="136"/>
      <c r="Q593" s="136"/>
      <c r="R593" s="136"/>
    </row>
    <row r="594">
      <c r="A594" s="136"/>
      <c r="B594" s="136"/>
      <c r="C594" s="136"/>
      <c r="D594" s="136"/>
      <c r="E594" s="136"/>
      <c r="F594" s="201"/>
      <c r="G594" s="136"/>
      <c r="H594" s="136"/>
      <c r="I594" s="136"/>
      <c r="J594" s="136"/>
      <c r="K594" s="136"/>
      <c r="L594" s="136"/>
      <c r="M594" s="136"/>
      <c r="N594" s="136"/>
      <c r="O594" s="136"/>
      <c r="P594" s="136"/>
      <c r="Q594" s="136"/>
      <c r="R594" s="136"/>
    </row>
    <row r="595">
      <c r="A595" s="136"/>
      <c r="B595" s="136"/>
      <c r="C595" s="136"/>
      <c r="D595" s="136"/>
      <c r="E595" s="136"/>
      <c r="F595" s="201"/>
      <c r="G595" s="136"/>
      <c r="H595" s="136"/>
      <c r="I595" s="136"/>
      <c r="J595" s="136"/>
      <c r="K595" s="136"/>
      <c r="L595" s="136"/>
      <c r="M595" s="136"/>
      <c r="N595" s="136"/>
      <c r="O595" s="136"/>
      <c r="P595" s="136"/>
      <c r="Q595" s="136"/>
      <c r="R595" s="136"/>
    </row>
    <row r="596">
      <c r="A596" s="136"/>
      <c r="B596" s="136"/>
      <c r="C596" s="136"/>
      <c r="D596" s="136"/>
      <c r="E596" s="136"/>
      <c r="F596" s="201"/>
      <c r="G596" s="136"/>
      <c r="H596" s="136"/>
      <c r="I596" s="136"/>
      <c r="J596" s="136"/>
      <c r="K596" s="136"/>
      <c r="L596" s="136"/>
      <c r="M596" s="136"/>
      <c r="N596" s="136"/>
      <c r="O596" s="136"/>
      <c r="P596" s="136"/>
      <c r="Q596" s="136"/>
      <c r="R596" s="136"/>
    </row>
    <row r="597">
      <c r="A597" s="136"/>
      <c r="B597" s="136"/>
      <c r="C597" s="136"/>
      <c r="D597" s="136"/>
      <c r="E597" s="136"/>
      <c r="F597" s="201"/>
      <c r="G597" s="136"/>
      <c r="H597" s="136"/>
      <c r="I597" s="136"/>
      <c r="J597" s="136"/>
      <c r="K597" s="136"/>
      <c r="L597" s="136"/>
      <c r="M597" s="136"/>
      <c r="N597" s="136"/>
      <c r="O597" s="136"/>
      <c r="P597" s="136"/>
      <c r="Q597" s="136"/>
      <c r="R597" s="136"/>
    </row>
    <row r="598">
      <c r="A598" s="136"/>
      <c r="B598" s="136"/>
      <c r="C598" s="136"/>
      <c r="D598" s="136"/>
      <c r="E598" s="136"/>
      <c r="F598" s="201"/>
      <c r="G598" s="136"/>
      <c r="H598" s="136"/>
      <c r="I598" s="136"/>
      <c r="J598" s="136"/>
      <c r="K598" s="136"/>
      <c r="L598" s="136"/>
      <c r="M598" s="136"/>
      <c r="N598" s="136"/>
      <c r="O598" s="136"/>
      <c r="P598" s="136"/>
      <c r="Q598" s="136"/>
      <c r="R598" s="136"/>
    </row>
    <row r="599">
      <c r="A599" s="136"/>
      <c r="B599" s="136"/>
      <c r="C599" s="136"/>
      <c r="D599" s="136"/>
      <c r="E599" s="136"/>
      <c r="F599" s="201"/>
      <c r="G599" s="136"/>
      <c r="H599" s="136"/>
      <c r="I599" s="136"/>
      <c r="J599" s="136"/>
      <c r="K599" s="136"/>
      <c r="L599" s="136"/>
      <c r="M599" s="136"/>
      <c r="N599" s="136"/>
      <c r="O599" s="136"/>
      <c r="P599" s="136"/>
      <c r="Q599" s="136"/>
      <c r="R599" s="136"/>
    </row>
    <row r="600">
      <c r="A600" s="136"/>
      <c r="B600" s="136"/>
      <c r="C600" s="136"/>
      <c r="D600" s="136"/>
      <c r="E600" s="136"/>
      <c r="F600" s="201"/>
      <c r="G600" s="136"/>
      <c r="H600" s="136"/>
      <c r="I600" s="136"/>
      <c r="J600" s="136"/>
      <c r="K600" s="136"/>
      <c r="L600" s="136"/>
      <c r="M600" s="136"/>
      <c r="N600" s="136"/>
      <c r="O600" s="136"/>
      <c r="P600" s="136"/>
      <c r="Q600" s="136"/>
      <c r="R600" s="136"/>
    </row>
    <row r="601">
      <c r="A601" s="136"/>
      <c r="B601" s="136"/>
      <c r="C601" s="136"/>
      <c r="D601" s="136"/>
      <c r="E601" s="136"/>
      <c r="F601" s="201"/>
      <c r="G601" s="136"/>
      <c r="H601" s="136"/>
      <c r="I601" s="136"/>
      <c r="J601" s="136"/>
      <c r="K601" s="136"/>
      <c r="L601" s="136"/>
      <c r="M601" s="136"/>
      <c r="N601" s="136"/>
      <c r="O601" s="136"/>
      <c r="P601" s="136"/>
      <c r="Q601" s="136"/>
      <c r="R601" s="136"/>
    </row>
    <row r="602">
      <c r="A602" s="136"/>
      <c r="B602" s="136"/>
      <c r="C602" s="136"/>
      <c r="D602" s="136"/>
      <c r="E602" s="136"/>
      <c r="F602" s="201"/>
      <c r="G602" s="136"/>
      <c r="H602" s="136"/>
      <c r="I602" s="136"/>
      <c r="J602" s="136"/>
      <c r="K602" s="136"/>
      <c r="L602" s="136"/>
      <c r="M602" s="136"/>
      <c r="N602" s="136"/>
      <c r="O602" s="136"/>
      <c r="P602" s="136"/>
      <c r="Q602" s="136"/>
      <c r="R602" s="136"/>
    </row>
    <row r="603">
      <c r="A603" s="136"/>
      <c r="B603" s="136"/>
      <c r="C603" s="136"/>
      <c r="D603" s="136"/>
      <c r="E603" s="136"/>
      <c r="F603" s="201"/>
      <c r="G603" s="136"/>
      <c r="H603" s="136"/>
      <c r="I603" s="136"/>
      <c r="J603" s="136"/>
      <c r="K603" s="136"/>
      <c r="L603" s="136"/>
      <c r="M603" s="136"/>
      <c r="N603" s="136"/>
      <c r="O603" s="136"/>
      <c r="P603" s="136"/>
      <c r="Q603" s="136"/>
      <c r="R603" s="136"/>
    </row>
    <row r="604">
      <c r="A604" s="136"/>
      <c r="B604" s="136"/>
      <c r="C604" s="136"/>
      <c r="D604" s="136"/>
      <c r="E604" s="136"/>
      <c r="F604" s="201"/>
      <c r="G604" s="136"/>
      <c r="H604" s="136"/>
      <c r="I604" s="136"/>
      <c r="J604" s="136"/>
      <c r="K604" s="136"/>
      <c r="L604" s="136"/>
      <c r="M604" s="136"/>
      <c r="N604" s="136"/>
      <c r="O604" s="136"/>
      <c r="P604" s="136"/>
      <c r="Q604" s="136"/>
      <c r="R604" s="136"/>
    </row>
    <row r="605">
      <c r="A605" s="136"/>
      <c r="B605" s="136"/>
      <c r="C605" s="136"/>
      <c r="D605" s="136"/>
      <c r="E605" s="136"/>
      <c r="F605" s="201"/>
      <c r="G605" s="136"/>
      <c r="H605" s="136"/>
      <c r="I605" s="136"/>
      <c r="J605" s="136"/>
      <c r="K605" s="136"/>
      <c r="L605" s="136"/>
      <c r="M605" s="136"/>
      <c r="N605" s="136"/>
      <c r="O605" s="136"/>
      <c r="P605" s="136"/>
      <c r="Q605" s="136"/>
      <c r="R605" s="136"/>
    </row>
    <row r="606">
      <c r="A606" s="136"/>
      <c r="B606" s="136"/>
      <c r="C606" s="136"/>
      <c r="D606" s="136"/>
      <c r="E606" s="136"/>
      <c r="F606" s="201"/>
      <c r="G606" s="136"/>
      <c r="H606" s="136"/>
      <c r="I606" s="136"/>
      <c r="J606" s="136"/>
      <c r="K606" s="136"/>
      <c r="L606" s="136"/>
      <c r="M606" s="136"/>
      <c r="N606" s="136"/>
      <c r="O606" s="136"/>
      <c r="P606" s="136"/>
      <c r="Q606" s="136"/>
      <c r="R606" s="136"/>
    </row>
    <row r="607">
      <c r="A607" s="136"/>
      <c r="B607" s="136"/>
      <c r="C607" s="136"/>
      <c r="D607" s="136"/>
      <c r="E607" s="136"/>
      <c r="F607" s="201"/>
      <c r="G607" s="136"/>
      <c r="H607" s="136"/>
      <c r="I607" s="136"/>
      <c r="J607" s="136"/>
      <c r="K607" s="136"/>
      <c r="L607" s="136"/>
      <c r="M607" s="136"/>
      <c r="N607" s="136"/>
      <c r="O607" s="136"/>
      <c r="P607" s="136"/>
      <c r="Q607" s="136"/>
      <c r="R607" s="136"/>
    </row>
    <row r="608">
      <c r="A608" s="136"/>
      <c r="B608" s="136"/>
      <c r="C608" s="136"/>
      <c r="D608" s="136"/>
      <c r="E608" s="136"/>
      <c r="F608" s="201"/>
      <c r="G608" s="136"/>
      <c r="H608" s="136"/>
      <c r="I608" s="136"/>
      <c r="J608" s="136"/>
      <c r="K608" s="136"/>
      <c r="L608" s="136"/>
      <c r="M608" s="136"/>
      <c r="N608" s="136"/>
      <c r="O608" s="136"/>
      <c r="P608" s="136"/>
      <c r="Q608" s="136"/>
      <c r="R608" s="136"/>
    </row>
    <row r="609">
      <c r="A609" s="136"/>
      <c r="B609" s="136"/>
      <c r="C609" s="136"/>
      <c r="D609" s="136"/>
      <c r="E609" s="136"/>
      <c r="F609" s="201"/>
      <c r="G609" s="136"/>
      <c r="H609" s="136"/>
      <c r="I609" s="136"/>
      <c r="J609" s="136"/>
      <c r="K609" s="136"/>
      <c r="L609" s="136"/>
      <c r="M609" s="136"/>
      <c r="N609" s="136"/>
      <c r="O609" s="136"/>
      <c r="P609" s="136"/>
      <c r="Q609" s="136"/>
      <c r="R609" s="136"/>
    </row>
    <row r="610">
      <c r="A610" s="136"/>
      <c r="B610" s="136"/>
      <c r="C610" s="136"/>
      <c r="D610" s="136"/>
      <c r="E610" s="136"/>
      <c r="F610" s="201"/>
      <c r="G610" s="136"/>
      <c r="H610" s="136"/>
      <c r="I610" s="136"/>
      <c r="J610" s="136"/>
      <c r="K610" s="136"/>
      <c r="L610" s="136"/>
      <c r="M610" s="136"/>
      <c r="N610" s="136"/>
      <c r="O610" s="136"/>
      <c r="P610" s="136"/>
      <c r="Q610" s="136"/>
      <c r="R610" s="136"/>
    </row>
    <row r="611">
      <c r="A611" s="136"/>
      <c r="B611" s="136"/>
      <c r="C611" s="136"/>
      <c r="D611" s="136"/>
      <c r="E611" s="136"/>
      <c r="F611" s="201"/>
      <c r="G611" s="136"/>
      <c r="H611" s="136"/>
      <c r="I611" s="136"/>
      <c r="J611" s="136"/>
      <c r="K611" s="136"/>
      <c r="L611" s="136"/>
      <c r="M611" s="136"/>
      <c r="N611" s="136"/>
      <c r="O611" s="136"/>
      <c r="P611" s="136"/>
      <c r="Q611" s="136"/>
      <c r="R611" s="136"/>
    </row>
    <row r="612">
      <c r="A612" s="136"/>
      <c r="B612" s="136"/>
      <c r="C612" s="136"/>
      <c r="D612" s="136"/>
      <c r="E612" s="136"/>
      <c r="F612" s="201"/>
      <c r="G612" s="136"/>
      <c r="H612" s="136"/>
      <c r="I612" s="136"/>
      <c r="J612" s="136"/>
      <c r="K612" s="136"/>
      <c r="L612" s="136"/>
      <c r="M612" s="136"/>
      <c r="N612" s="136"/>
      <c r="O612" s="136"/>
      <c r="P612" s="136"/>
      <c r="Q612" s="136"/>
      <c r="R612" s="136"/>
    </row>
    <row r="613">
      <c r="A613" s="136"/>
      <c r="B613" s="136"/>
      <c r="C613" s="136"/>
      <c r="D613" s="136"/>
      <c r="E613" s="136"/>
      <c r="F613" s="201"/>
      <c r="G613" s="136"/>
      <c r="H613" s="136"/>
      <c r="I613" s="136"/>
      <c r="J613" s="136"/>
      <c r="K613" s="136"/>
      <c r="L613" s="136"/>
      <c r="M613" s="136"/>
      <c r="N613" s="136"/>
      <c r="O613" s="136"/>
      <c r="P613" s="136"/>
      <c r="Q613" s="136"/>
      <c r="R613" s="136"/>
    </row>
    <row r="614">
      <c r="A614" s="136"/>
      <c r="B614" s="136"/>
      <c r="C614" s="136"/>
      <c r="D614" s="136"/>
      <c r="E614" s="136"/>
      <c r="F614" s="201"/>
      <c r="G614" s="136"/>
      <c r="H614" s="136"/>
      <c r="I614" s="136"/>
      <c r="J614" s="136"/>
      <c r="K614" s="136"/>
      <c r="L614" s="136"/>
      <c r="M614" s="136"/>
      <c r="N614" s="136"/>
      <c r="O614" s="136"/>
      <c r="P614" s="136"/>
      <c r="Q614" s="136"/>
      <c r="R614" s="136"/>
    </row>
    <row r="615">
      <c r="A615" s="136"/>
      <c r="B615" s="136"/>
      <c r="C615" s="136"/>
      <c r="D615" s="136"/>
      <c r="E615" s="136"/>
      <c r="F615" s="201"/>
      <c r="G615" s="136"/>
      <c r="H615" s="136"/>
      <c r="I615" s="136"/>
      <c r="J615" s="136"/>
      <c r="K615" s="136"/>
      <c r="L615" s="136"/>
      <c r="M615" s="136"/>
      <c r="N615" s="136"/>
      <c r="O615" s="136"/>
      <c r="P615" s="136"/>
      <c r="Q615" s="136"/>
      <c r="R615" s="136"/>
    </row>
    <row r="616">
      <c r="A616" s="136"/>
      <c r="B616" s="136"/>
      <c r="C616" s="136"/>
      <c r="D616" s="136"/>
      <c r="E616" s="136"/>
      <c r="F616" s="201"/>
      <c r="G616" s="136"/>
      <c r="H616" s="136"/>
      <c r="I616" s="136"/>
      <c r="J616" s="136"/>
      <c r="K616" s="136"/>
      <c r="L616" s="136"/>
      <c r="M616" s="136"/>
      <c r="N616" s="136"/>
      <c r="O616" s="136"/>
      <c r="P616" s="136"/>
      <c r="Q616" s="136"/>
      <c r="R616" s="136"/>
    </row>
    <row r="617">
      <c r="A617" s="136"/>
      <c r="B617" s="136"/>
      <c r="C617" s="136"/>
      <c r="D617" s="136"/>
      <c r="E617" s="136"/>
      <c r="F617" s="201"/>
      <c r="G617" s="136"/>
      <c r="H617" s="136"/>
      <c r="I617" s="136"/>
      <c r="J617" s="136"/>
      <c r="K617" s="136"/>
      <c r="L617" s="136"/>
      <c r="M617" s="136"/>
      <c r="N617" s="136"/>
      <c r="O617" s="136"/>
      <c r="P617" s="136"/>
      <c r="Q617" s="136"/>
      <c r="R617" s="136"/>
    </row>
    <row r="618">
      <c r="A618" s="136"/>
      <c r="B618" s="136"/>
      <c r="C618" s="136"/>
      <c r="D618" s="136"/>
      <c r="E618" s="136"/>
      <c r="F618" s="201"/>
      <c r="G618" s="136"/>
      <c r="H618" s="136"/>
      <c r="I618" s="136"/>
      <c r="J618" s="136"/>
      <c r="K618" s="136"/>
      <c r="L618" s="136"/>
      <c r="M618" s="136"/>
      <c r="N618" s="136"/>
      <c r="O618" s="136"/>
      <c r="P618" s="136"/>
      <c r="Q618" s="136"/>
      <c r="R618" s="136"/>
    </row>
    <row r="619">
      <c r="A619" s="136"/>
      <c r="B619" s="136"/>
      <c r="C619" s="136"/>
      <c r="D619" s="136"/>
      <c r="E619" s="136"/>
      <c r="F619" s="201"/>
      <c r="G619" s="136"/>
      <c r="H619" s="136"/>
      <c r="I619" s="136"/>
      <c r="J619" s="136"/>
      <c r="K619" s="136"/>
      <c r="L619" s="136"/>
      <c r="M619" s="136"/>
      <c r="N619" s="136"/>
      <c r="O619" s="136"/>
      <c r="P619" s="136"/>
      <c r="Q619" s="136"/>
      <c r="R619" s="136"/>
    </row>
    <row r="620">
      <c r="A620" s="136"/>
      <c r="B620" s="136"/>
      <c r="C620" s="136"/>
      <c r="D620" s="136"/>
      <c r="E620" s="136"/>
      <c r="F620" s="201"/>
      <c r="G620" s="136"/>
      <c r="H620" s="136"/>
      <c r="I620" s="136"/>
      <c r="J620" s="136"/>
      <c r="K620" s="136"/>
      <c r="L620" s="136"/>
      <c r="M620" s="136"/>
      <c r="N620" s="136"/>
      <c r="O620" s="136"/>
      <c r="P620" s="136"/>
      <c r="Q620" s="136"/>
      <c r="R620" s="136"/>
    </row>
    <row r="621">
      <c r="A621" s="136"/>
      <c r="B621" s="136"/>
      <c r="C621" s="136"/>
      <c r="D621" s="136"/>
      <c r="E621" s="136"/>
      <c r="F621" s="201"/>
      <c r="G621" s="136"/>
      <c r="H621" s="136"/>
      <c r="I621" s="136"/>
      <c r="J621" s="136"/>
      <c r="K621" s="136"/>
      <c r="L621" s="136"/>
      <c r="M621" s="136"/>
      <c r="N621" s="136"/>
      <c r="O621" s="136"/>
      <c r="P621" s="136"/>
      <c r="Q621" s="136"/>
      <c r="R621" s="136"/>
    </row>
    <row r="622">
      <c r="A622" s="136"/>
      <c r="B622" s="136"/>
      <c r="C622" s="136"/>
      <c r="D622" s="136"/>
      <c r="E622" s="136"/>
      <c r="F622" s="201"/>
      <c r="G622" s="136"/>
      <c r="H622" s="136"/>
      <c r="I622" s="136"/>
      <c r="J622" s="136"/>
      <c r="K622" s="136"/>
      <c r="L622" s="136"/>
      <c r="M622" s="136"/>
      <c r="N622" s="136"/>
      <c r="O622" s="136"/>
      <c r="P622" s="136"/>
      <c r="Q622" s="136"/>
      <c r="R622" s="136"/>
    </row>
    <row r="623">
      <c r="A623" s="136"/>
      <c r="B623" s="136"/>
      <c r="C623" s="136"/>
      <c r="D623" s="136"/>
      <c r="E623" s="136"/>
      <c r="F623" s="201"/>
      <c r="G623" s="136"/>
      <c r="H623" s="136"/>
      <c r="I623" s="136"/>
      <c r="J623" s="136"/>
      <c r="K623" s="136"/>
      <c r="L623" s="136"/>
      <c r="M623" s="136"/>
      <c r="N623" s="136"/>
      <c r="O623" s="136"/>
      <c r="P623" s="136"/>
      <c r="Q623" s="136"/>
      <c r="R623" s="136"/>
    </row>
    <row r="624">
      <c r="A624" s="136"/>
      <c r="B624" s="136"/>
      <c r="C624" s="136"/>
      <c r="D624" s="136"/>
      <c r="E624" s="136"/>
      <c r="F624" s="201"/>
      <c r="G624" s="136"/>
      <c r="H624" s="136"/>
      <c r="I624" s="136"/>
      <c r="J624" s="136"/>
      <c r="K624" s="136"/>
      <c r="L624" s="136"/>
      <c r="M624" s="136"/>
      <c r="N624" s="136"/>
      <c r="O624" s="136"/>
      <c r="P624" s="136"/>
      <c r="Q624" s="136"/>
      <c r="R624" s="136"/>
    </row>
    <row r="625">
      <c r="A625" s="136"/>
      <c r="B625" s="136"/>
      <c r="C625" s="136"/>
      <c r="D625" s="136"/>
      <c r="E625" s="136"/>
      <c r="F625" s="201"/>
      <c r="G625" s="136"/>
      <c r="H625" s="136"/>
      <c r="I625" s="136"/>
      <c r="J625" s="136"/>
      <c r="K625" s="136"/>
      <c r="L625" s="136"/>
      <c r="M625" s="136"/>
      <c r="N625" s="136"/>
      <c r="O625" s="136"/>
      <c r="P625" s="136"/>
      <c r="Q625" s="136"/>
      <c r="R625" s="136"/>
    </row>
    <row r="626">
      <c r="A626" s="136"/>
      <c r="B626" s="136"/>
      <c r="C626" s="136"/>
      <c r="D626" s="136"/>
      <c r="E626" s="136"/>
      <c r="F626" s="201"/>
      <c r="G626" s="136"/>
      <c r="H626" s="136"/>
      <c r="I626" s="136"/>
      <c r="J626" s="136"/>
      <c r="K626" s="136"/>
      <c r="L626" s="136"/>
      <c r="M626" s="136"/>
      <c r="N626" s="136"/>
      <c r="O626" s="136"/>
      <c r="P626" s="136"/>
      <c r="Q626" s="136"/>
      <c r="R626" s="136"/>
    </row>
    <row r="627">
      <c r="A627" s="136"/>
      <c r="B627" s="136"/>
      <c r="C627" s="136"/>
      <c r="D627" s="136"/>
      <c r="E627" s="136"/>
      <c r="F627" s="201"/>
      <c r="G627" s="136"/>
      <c r="H627" s="136"/>
      <c r="I627" s="136"/>
      <c r="J627" s="136"/>
      <c r="K627" s="136"/>
      <c r="L627" s="136"/>
      <c r="M627" s="136"/>
      <c r="N627" s="136"/>
      <c r="O627" s="136"/>
      <c r="P627" s="136"/>
      <c r="Q627" s="136"/>
      <c r="R627" s="136"/>
    </row>
    <row r="628">
      <c r="A628" s="136"/>
      <c r="B628" s="136"/>
      <c r="C628" s="136"/>
      <c r="D628" s="136"/>
      <c r="E628" s="136"/>
      <c r="F628" s="201"/>
      <c r="G628" s="136"/>
      <c r="H628" s="136"/>
      <c r="I628" s="136"/>
      <c r="J628" s="136"/>
      <c r="K628" s="136"/>
      <c r="L628" s="136"/>
      <c r="M628" s="136"/>
      <c r="N628" s="136"/>
      <c r="O628" s="136"/>
      <c r="P628" s="136"/>
      <c r="Q628" s="136"/>
      <c r="R628" s="136"/>
    </row>
    <row r="629">
      <c r="A629" s="136"/>
      <c r="B629" s="136"/>
      <c r="C629" s="136"/>
      <c r="D629" s="136"/>
      <c r="E629" s="136"/>
      <c r="F629" s="201"/>
      <c r="G629" s="136"/>
      <c r="H629" s="136"/>
      <c r="I629" s="136"/>
      <c r="J629" s="136"/>
      <c r="K629" s="136"/>
      <c r="L629" s="136"/>
      <c r="M629" s="136"/>
      <c r="N629" s="136"/>
      <c r="O629" s="136"/>
      <c r="P629" s="136"/>
      <c r="Q629" s="136"/>
      <c r="R629" s="136"/>
    </row>
    <row r="630">
      <c r="A630" s="136"/>
      <c r="B630" s="136"/>
      <c r="C630" s="136"/>
      <c r="D630" s="136"/>
      <c r="E630" s="136"/>
      <c r="F630" s="201"/>
      <c r="G630" s="136"/>
      <c r="H630" s="136"/>
      <c r="I630" s="136"/>
      <c r="J630" s="136"/>
      <c r="K630" s="136"/>
      <c r="L630" s="136"/>
      <c r="M630" s="136"/>
      <c r="N630" s="136"/>
      <c r="O630" s="136"/>
      <c r="P630" s="136"/>
      <c r="Q630" s="136"/>
      <c r="R630" s="136"/>
    </row>
    <row r="631">
      <c r="A631" s="136"/>
      <c r="B631" s="136"/>
      <c r="C631" s="136"/>
      <c r="D631" s="136"/>
      <c r="E631" s="136"/>
      <c r="F631" s="201"/>
      <c r="G631" s="136"/>
      <c r="H631" s="136"/>
      <c r="I631" s="136"/>
      <c r="J631" s="136"/>
      <c r="K631" s="136"/>
      <c r="L631" s="136"/>
      <c r="M631" s="136"/>
      <c r="N631" s="136"/>
      <c r="O631" s="136"/>
      <c r="P631" s="136"/>
      <c r="Q631" s="136"/>
      <c r="R631" s="136"/>
    </row>
    <row r="632">
      <c r="A632" s="136"/>
      <c r="B632" s="136"/>
      <c r="C632" s="136"/>
      <c r="D632" s="136"/>
      <c r="E632" s="136"/>
      <c r="F632" s="201"/>
      <c r="G632" s="136"/>
      <c r="H632" s="136"/>
      <c r="I632" s="136"/>
      <c r="J632" s="136"/>
      <c r="K632" s="136"/>
      <c r="L632" s="136"/>
      <c r="M632" s="136"/>
      <c r="N632" s="136"/>
      <c r="O632" s="136"/>
      <c r="P632" s="136"/>
      <c r="Q632" s="136"/>
      <c r="R632" s="136"/>
    </row>
    <row r="633">
      <c r="A633" s="136"/>
      <c r="B633" s="136"/>
      <c r="C633" s="136"/>
      <c r="D633" s="136"/>
      <c r="E633" s="136"/>
      <c r="F633" s="201"/>
      <c r="G633" s="136"/>
      <c r="H633" s="136"/>
      <c r="I633" s="136"/>
      <c r="J633" s="136"/>
      <c r="K633" s="136"/>
      <c r="L633" s="136"/>
      <c r="M633" s="136"/>
      <c r="N633" s="136"/>
      <c r="O633" s="136"/>
      <c r="P633" s="136"/>
      <c r="Q633" s="136"/>
      <c r="R633" s="136"/>
    </row>
    <row r="634">
      <c r="A634" s="136"/>
      <c r="B634" s="136"/>
      <c r="C634" s="136"/>
      <c r="D634" s="136"/>
      <c r="E634" s="136"/>
      <c r="F634" s="201"/>
      <c r="G634" s="136"/>
      <c r="H634" s="136"/>
      <c r="I634" s="136"/>
      <c r="J634" s="136"/>
      <c r="K634" s="136"/>
      <c r="L634" s="136"/>
      <c r="M634" s="136"/>
      <c r="N634" s="136"/>
      <c r="O634" s="136"/>
      <c r="P634" s="136"/>
      <c r="Q634" s="136"/>
      <c r="R634" s="136"/>
    </row>
    <row r="635">
      <c r="A635" s="136"/>
      <c r="B635" s="136"/>
      <c r="C635" s="136"/>
      <c r="D635" s="136"/>
      <c r="E635" s="136"/>
      <c r="F635" s="201"/>
      <c r="G635" s="136"/>
      <c r="H635" s="136"/>
      <c r="I635" s="136"/>
      <c r="J635" s="136"/>
      <c r="K635" s="136"/>
      <c r="L635" s="136"/>
      <c r="M635" s="136"/>
      <c r="N635" s="136"/>
      <c r="O635" s="136"/>
      <c r="P635" s="136"/>
      <c r="Q635" s="136"/>
      <c r="R635" s="136"/>
    </row>
    <row r="636">
      <c r="A636" s="136"/>
      <c r="B636" s="136"/>
      <c r="C636" s="136"/>
      <c r="D636" s="136"/>
      <c r="E636" s="136"/>
      <c r="F636" s="201"/>
      <c r="G636" s="136"/>
      <c r="H636" s="136"/>
      <c r="I636" s="136"/>
      <c r="J636" s="136"/>
      <c r="K636" s="136"/>
      <c r="L636" s="136"/>
      <c r="M636" s="136"/>
      <c r="N636" s="136"/>
      <c r="O636" s="136"/>
      <c r="P636" s="136"/>
      <c r="Q636" s="136"/>
      <c r="R636" s="136"/>
    </row>
    <row r="637">
      <c r="A637" s="136"/>
      <c r="B637" s="136"/>
      <c r="C637" s="136"/>
      <c r="D637" s="136"/>
      <c r="E637" s="136"/>
      <c r="F637" s="201"/>
      <c r="G637" s="136"/>
      <c r="H637" s="136"/>
      <c r="I637" s="136"/>
      <c r="J637" s="136"/>
      <c r="K637" s="136"/>
      <c r="L637" s="136"/>
      <c r="M637" s="136"/>
      <c r="N637" s="136"/>
      <c r="O637" s="136"/>
      <c r="P637" s="136"/>
      <c r="Q637" s="136"/>
      <c r="R637" s="136"/>
    </row>
    <row r="638">
      <c r="A638" s="136"/>
      <c r="B638" s="136"/>
      <c r="C638" s="136"/>
      <c r="D638" s="136"/>
      <c r="E638" s="136"/>
      <c r="F638" s="201"/>
      <c r="G638" s="136"/>
      <c r="H638" s="136"/>
      <c r="I638" s="136"/>
      <c r="J638" s="136"/>
      <c r="K638" s="136"/>
      <c r="L638" s="136"/>
      <c r="M638" s="136"/>
      <c r="N638" s="136"/>
      <c r="O638" s="136"/>
      <c r="P638" s="136"/>
      <c r="Q638" s="136"/>
      <c r="R638" s="136"/>
    </row>
    <row r="639">
      <c r="A639" s="136"/>
      <c r="B639" s="136"/>
      <c r="C639" s="136"/>
      <c r="D639" s="136"/>
      <c r="E639" s="136"/>
      <c r="F639" s="201"/>
      <c r="G639" s="136"/>
      <c r="H639" s="136"/>
      <c r="I639" s="136"/>
      <c r="J639" s="136"/>
      <c r="K639" s="136"/>
      <c r="L639" s="136"/>
      <c r="M639" s="136"/>
      <c r="N639" s="136"/>
      <c r="O639" s="136"/>
      <c r="P639" s="136"/>
      <c r="Q639" s="136"/>
      <c r="R639" s="136"/>
    </row>
    <row r="640">
      <c r="A640" s="136"/>
      <c r="B640" s="136"/>
      <c r="C640" s="136"/>
      <c r="D640" s="136"/>
      <c r="E640" s="136"/>
      <c r="F640" s="201"/>
      <c r="G640" s="136"/>
      <c r="H640" s="136"/>
      <c r="I640" s="136"/>
      <c r="J640" s="136"/>
      <c r="K640" s="136"/>
      <c r="L640" s="136"/>
      <c r="M640" s="136"/>
      <c r="N640" s="136"/>
      <c r="O640" s="136"/>
      <c r="P640" s="136"/>
      <c r="Q640" s="136"/>
      <c r="R640" s="136"/>
    </row>
    <row r="641">
      <c r="A641" s="136"/>
      <c r="B641" s="136"/>
      <c r="C641" s="136"/>
      <c r="D641" s="136"/>
      <c r="E641" s="136"/>
      <c r="F641" s="201"/>
      <c r="G641" s="136"/>
      <c r="H641" s="136"/>
      <c r="I641" s="136"/>
      <c r="J641" s="136"/>
      <c r="K641" s="136"/>
      <c r="L641" s="136"/>
      <c r="M641" s="136"/>
      <c r="N641" s="136"/>
      <c r="O641" s="136"/>
      <c r="P641" s="136"/>
      <c r="Q641" s="136"/>
      <c r="R641" s="136"/>
    </row>
    <row r="642">
      <c r="A642" s="136"/>
      <c r="B642" s="136"/>
      <c r="C642" s="136"/>
      <c r="D642" s="136"/>
      <c r="E642" s="136"/>
      <c r="F642" s="201"/>
      <c r="G642" s="136"/>
      <c r="H642" s="136"/>
      <c r="I642" s="136"/>
      <c r="J642" s="136"/>
      <c r="K642" s="136"/>
      <c r="L642" s="136"/>
      <c r="M642" s="136"/>
      <c r="N642" s="136"/>
      <c r="O642" s="136"/>
      <c r="P642" s="136"/>
      <c r="Q642" s="136"/>
      <c r="R642" s="136"/>
    </row>
    <row r="643">
      <c r="A643" s="136"/>
      <c r="B643" s="136"/>
      <c r="C643" s="136"/>
      <c r="D643" s="136"/>
      <c r="E643" s="136"/>
      <c r="F643" s="201"/>
      <c r="G643" s="136"/>
      <c r="H643" s="136"/>
      <c r="I643" s="136"/>
      <c r="J643" s="136"/>
      <c r="K643" s="136"/>
      <c r="L643" s="136"/>
      <c r="M643" s="136"/>
      <c r="N643" s="136"/>
      <c r="O643" s="136"/>
      <c r="P643" s="136"/>
      <c r="Q643" s="136"/>
      <c r="R643" s="136"/>
    </row>
    <row r="644">
      <c r="A644" s="136"/>
      <c r="B644" s="136"/>
      <c r="C644" s="136"/>
      <c r="D644" s="136"/>
      <c r="E644" s="136"/>
      <c r="F644" s="201"/>
      <c r="G644" s="136"/>
      <c r="H644" s="136"/>
      <c r="I644" s="136"/>
      <c r="J644" s="136"/>
      <c r="K644" s="136"/>
      <c r="L644" s="136"/>
      <c r="M644" s="136"/>
      <c r="N644" s="136"/>
      <c r="O644" s="136"/>
      <c r="P644" s="136"/>
      <c r="Q644" s="136"/>
      <c r="R644" s="136"/>
    </row>
    <row r="645">
      <c r="A645" s="136"/>
      <c r="B645" s="136"/>
      <c r="C645" s="136"/>
      <c r="D645" s="136"/>
      <c r="E645" s="136"/>
      <c r="F645" s="201"/>
      <c r="G645" s="136"/>
      <c r="H645" s="136"/>
      <c r="I645" s="136"/>
      <c r="J645" s="136"/>
      <c r="K645" s="136"/>
      <c r="L645" s="136"/>
      <c r="M645" s="136"/>
      <c r="N645" s="136"/>
      <c r="O645" s="136"/>
      <c r="P645" s="136"/>
      <c r="Q645" s="136"/>
      <c r="R645" s="136"/>
    </row>
    <row r="646">
      <c r="A646" s="136"/>
      <c r="B646" s="136"/>
      <c r="C646" s="136"/>
      <c r="D646" s="136"/>
      <c r="E646" s="136"/>
      <c r="F646" s="201"/>
      <c r="G646" s="136"/>
      <c r="H646" s="136"/>
      <c r="I646" s="136"/>
      <c r="J646" s="136"/>
      <c r="K646" s="136"/>
      <c r="L646" s="136"/>
      <c r="M646" s="136"/>
      <c r="N646" s="136"/>
      <c r="O646" s="136"/>
      <c r="P646" s="136"/>
      <c r="Q646" s="136"/>
      <c r="R646" s="136"/>
    </row>
    <row r="647">
      <c r="A647" s="136"/>
      <c r="B647" s="136"/>
      <c r="C647" s="136"/>
      <c r="D647" s="136"/>
      <c r="E647" s="136"/>
      <c r="F647" s="201"/>
      <c r="G647" s="136"/>
      <c r="H647" s="136"/>
      <c r="I647" s="136"/>
      <c r="J647" s="136"/>
      <c r="K647" s="136"/>
      <c r="L647" s="136"/>
      <c r="M647" s="136"/>
      <c r="N647" s="136"/>
      <c r="O647" s="136"/>
      <c r="P647" s="136"/>
      <c r="Q647" s="136"/>
      <c r="R647" s="136"/>
    </row>
    <row r="648">
      <c r="A648" s="136"/>
      <c r="B648" s="136"/>
      <c r="C648" s="136"/>
      <c r="D648" s="136"/>
      <c r="E648" s="136"/>
      <c r="F648" s="201"/>
      <c r="G648" s="136"/>
      <c r="H648" s="136"/>
      <c r="I648" s="136"/>
      <c r="J648" s="136"/>
      <c r="K648" s="136"/>
      <c r="L648" s="136"/>
      <c r="M648" s="136"/>
      <c r="N648" s="136"/>
      <c r="O648" s="136"/>
      <c r="P648" s="136"/>
      <c r="Q648" s="136"/>
      <c r="R648" s="136"/>
    </row>
    <row r="649">
      <c r="A649" s="136"/>
      <c r="B649" s="136"/>
      <c r="C649" s="136"/>
      <c r="D649" s="136"/>
      <c r="E649" s="136"/>
      <c r="F649" s="201"/>
      <c r="G649" s="136"/>
      <c r="H649" s="136"/>
      <c r="I649" s="136"/>
      <c r="J649" s="136"/>
      <c r="K649" s="136"/>
      <c r="L649" s="136"/>
      <c r="M649" s="136"/>
      <c r="N649" s="136"/>
      <c r="O649" s="136"/>
      <c r="P649" s="136"/>
      <c r="Q649" s="136"/>
      <c r="R649" s="136"/>
    </row>
    <row r="650">
      <c r="A650" s="136"/>
      <c r="B650" s="136"/>
      <c r="C650" s="136"/>
      <c r="D650" s="136"/>
      <c r="E650" s="136"/>
      <c r="F650" s="201"/>
      <c r="G650" s="136"/>
      <c r="H650" s="136"/>
      <c r="I650" s="136"/>
      <c r="J650" s="136"/>
      <c r="K650" s="136"/>
      <c r="L650" s="136"/>
      <c r="M650" s="136"/>
      <c r="N650" s="136"/>
      <c r="O650" s="136"/>
      <c r="P650" s="136"/>
      <c r="Q650" s="136"/>
      <c r="R650" s="136"/>
    </row>
    <row r="651">
      <c r="A651" s="136"/>
      <c r="B651" s="136"/>
      <c r="C651" s="136"/>
      <c r="D651" s="136"/>
      <c r="E651" s="136"/>
      <c r="F651" s="201"/>
      <c r="G651" s="136"/>
      <c r="H651" s="136"/>
      <c r="I651" s="136"/>
      <c r="J651" s="136"/>
      <c r="K651" s="136"/>
      <c r="L651" s="136"/>
      <c r="M651" s="136"/>
      <c r="N651" s="136"/>
      <c r="O651" s="136"/>
      <c r="P651" s="136"/>
      <c r="Q651" s="136"/>
      <c r="R651" s="136"/>
    </row>
    <row r="652">
      <c r="A652" s="136"/>
      <c r="B652" s="136"/>
      <c r="C652" s="136"/>
      <c r="D652" s="136"/>
      <c r="E652" s="136"/>
      <c r="F652" s="201"/>
      <c r="G652" s="136"/>
      <c r="H652" s="136"/>
      <c r="I652" s="136"/>
      <c r="J652" s="136"/>
      <c r="K652" s="136"/>
      <c r="L652" s="136"/>
      <c r="M652" s="136"/>
      <c r="N652" s="136"/>
      <c r="O652" s="136"/>
      <c r="P652" s="136"/>
      <c r="Q652" s="136"/>
      <c r="R652" s="136"/>
    </row>
    <row r="653">
      <c r="A653" s="136"/>
      <c r="B653" s="136"/>
      <c r="C653" s="136"/>
      <c r="D653" s="136"/>
      <c r="E653" s="136"/>
      <c r="F653" s="201"/>
      <c r="G653" s="136"/>
      <c r="H653" s="136"/>
      <c r="I653" s="136"/>
      <c r="J653" s="136"/>
      <c r="K653" s="136"/>
      <c r="L653" s="136"/>
      <c r="M653" s="136"/>
      <c r="N653" s="136"/>
      <c r="O653" s="136"/>
      <c r="P653" s="136"/>
      <c r="Q653" s="136"/>
      <c r="R653" s="136"/>
    </row>
    <row r="654">
      <c r="A654" s="136"/>
      <c r="B654" s="136"/>
      <c r="C654" s="136"/>
      <c r="D654" s="136"/>
      <c r="E654" s="136"/>
      <c r="F654" s="201"/>
      <c r="G654" s="136"/>
      <c r="H654" s="136"/>
      <c r="I654" s="136"/>
      <c r="J654" s="136"/>
      <c r="K654" s="136"/>
      <c r="L654" s="136"/>
      <c r="M654" s="136"/>
      <c r="N654" s="136"/>
      <c r="O654" s="136"/>
      <c r="P654" s="136"/>
      <c r="Q654" s="136"/>
      <c r="R654" s="136"/>
    </row>
    <row r="655">
      <c r="A655" s="136"/>
      <c r="B655" s="136"/>
      <c r="C655" s="136"/>
      <c r="D655" s="136"/>
      <c r="E655" s="136"/>
      <c r="F655" s="201"/>
      <c r="G655" s="136"/>
      <c r="H655" s="136"/>
      <c r="I655" s="136"/>
      <c r="J655" s="136"/>
      <c r="K655" s="136"/>
      <c r="L655" s="136"/>
      <c r="M655" s="136"/>
      <c r="N655" s="136"/>
      <c r="O655" s="136"/>
      <c r="P655" s="136"/>
      <c r="Q655" s="136"/>
      <c r="R655" s="136"/>
    </row>
    <row r="656">
      <c r="A656" s="136"/>
      <c r="B656" s="136"/>
      <c r="C656" s="136"/>
      <c r="D656" s="136"/>
      <c r="E656" s="136"/>
      <c r="F656" s="201"/>
      <c r="G656" s="136"/>
      <c r="H656" s="136"/>
      <c r="I656" s="136"/>
      <c r="J656" s="136"/>
      <c r="K656" s="136"/>
      <c r="L656" s="136"/>
      <c r="M656" s="136"/>
      <c r="N656" s="136"/>
      <c r="O656" s="136"/>
      <c r="P656" s="136"/>
      <c r="Q656" s="136"/>
      <c r="R656" s="136"/>
    </row>
    <row r="657">
      <c r="A657" s="136"/>
      <c r="B657" s="136"/>
      <c r="C657" s="136"/>
      <c r="D657" s="136"/>
      <c r="E657" s="136"/>
      <c r="F657" s="201"/>
      <c r="G657" s="136"/>
      <c r="H657" s="136"/>
      <c r="I657" s="136"/>
      <c r="J657" s="136"/>
      <c r="K657" s="136"/>
      <c r="L657" s="136"/>
      <c r="M657" s="136"/>
      <c r="N657" s="136"/>
      <c r="O657" s="136"/>
      <c r="P657" s="136"/>
      <c r="Q657" s="136"/>
      <c r="R657" s="136"/>
    </row>
    <row r="658">
      <c r="A658" s="136"/>
      <c r="B658" s="136"/>
      <c r="C658" s="136"/>
      <c r="D658" s="136"/>
      <c r="E658" s="136"/>
      <c r="F658" s="201"/>
      <c r="G658" s="136"/>
      <c r="H658" s="136"/>
      <c r="I658" s="136"/>
      <c r="J658" s="136"/>
      <c r="K658" s="136"/>
      <c r="L658" s="136"/>
      <c r="M658" s="136"/>
      <c r="N658" s="136"/>
      <c r="O658" s="136"/>
      <c r="P658" s="136"/>
      <c r="Q658" s="136"/>
      <c r="R658" s="136"/>
    </row>
    <row r="659">
      <c r="A659" s="136"/>
      <c r="B659" s="136"/>
      <c r="C659" s="136"/>
      <c r="D659" s="136"/>
      <c r="E659" s="136"/>
      <c r="F659" s="201"/>
      <c r="G659" s="136"/>
      <c r="H659" s="136"/>
      <c r="I659" s="136"/>
      <c r="J659" s="136"/>
      <c r="K659" s="136"/>
      <c r="L659" s="136"/>
      <c r="M659" s="136"/>
      <c r="N659" s="136"/>
      <c r="O659" s="136"/>
      <c r="P659" s="136"/>
      <c r="Q659" s="136"/>
      <c r="R659" s="136"/>
    </row>
    <row r="660">
      <c r="A660" s="136"/>
      <c r="B660" s="136"/>
      <c r="C660" s="136"/>
      <c r="D660" s="136"/>
      <c r="E660" s="136"/>
      <c r="F660" s="201"/>
      <c r="G660" s="136"/>
      <c r="H660" s="136"/>
      <c r="I660" s="136"/>
      <c r="J660" s="136"/>
      <c r="K660" s="136"/>
      <c r="L660" s="136"/>
      <c r="M660" s="136"/>
      <c r="N660" s="136"/>
      <c r="O660" s="136"/>
      <c r="P660" s="136"/>
      <c r="Q660" s="136"/>
      <c r="R660" s="136"/>
    </row>
    <row r="661">
      <c r="A661" s="136"/>
      <c r="B661" s="136"/>
      <c r="C661" s="136"/>
      <c r="D661" s="136"/>
      <c r="E661" s="136"/>
      <c r="F661" s="201"/>
      <c r="G661" s="136"/>
      <c r="H661" s="136"/>
      <c r="I661" s="136"/>
      <c r="J661" s="136"/>
      <c r="K661" s="136"/>
      <c r="L661" s="136"/>
      <c r="M661" s="136"/>
      <c r="N661" s="136"/>
      <c r="O661" s="136"/>
      <c r="P661" s="136"/>
      <c r="Q661" s="136"/>
      <c r="R661" s="136"/>
    </row>
    <row r="662">
      <c r="A662" s="136"/>
      <c r="B662" s="136"/>
      <c r="C662" s="136"/>
      <c r="D662" s="136"/>
      <c r="E662" s="136"/>
      <c r="F662" s="201"/>
      <c r="G662" s="136"/>
      <c r="H662" s="136"/>
      <c r="I662" s="136"/>
      <c r="J662" s="136"/>
      <c r="K662" s="136"/>
      <c r="L662" s="136"/>
      <c r="M662" s="136"/>
      <c r="N662" s="136"/>
      <c r="O662" s="136"/>
      <c r="P662" s="136"/>
      <c r="Q662" s="136"/>
      <c r="R662" s="136"/>
    </row>
    <row r="663">
      <c r="A663" s="136"/>
      <c r="B663" s="136"/>
      <c r="C663" s="136"/>
      <c r="D663" s="136"/>
      <c r="E663" s="136"/>
      <c r="F663" s="201"/>
      <c r="G663" s="136"/>
      <c r="H663" s="136"/>
      <c r="I663" s="136"/>
      <c r="J663" s="136"/>
      <c r="K663" s="136"/>
      <c r="L663" s="136"/>
      <c r="M663" s="136"/>
      <c r="N663" s="136"/>
      <c r="O663" s="136"/>
      <c r="P663" s="136"/>
      <c r="Q663" s="136"/>
      <c r="R663" s="136"/>
    </row>
    <row r="664">
      <c r="A664" s="136"/>
      <c r="B664" s="136"/>
      <c r="C664" s="136"/>
      <c r="D664" s="136"/>
      <c r="E664" s="136"/>
      <c r="F664" s="201"/>
      <c r="G664" s="136"/>
      <c r="H664" s="136"/>
      <c r="I664" s="136"/>
      <c r="J664" s="136"/>
      <c r="K664" s="136"/>
      <c r="L664" s="136"/>
      <c r="M664" s="136"/>
      <c r="N664" s="136"/>
      <c r="O664" s="136"/>
      <c r="P664" s="136"/>
      <c r="Q664" s="136"/>
      <c r="R664" s="136"/>
    </row>
    <row r="665">
      <c r="A665" s="136"/>
      <c r="B665" s="136"/>
      <c r="C665" s="136"/>
      <c r="D665" s="136"/>
      <c r="E665" s="136"/>
      <c r="F665" s="201"/>
      <c r="G665" s="136"/>
      <c r="H665" s="136"/>
      <c r="I665" s="136"/>
      <c r="J665" s="136"/>
      <c r="K665" s="136"/>
      <c r="L665" s="136"/>
      <c r="M665" s="136"/>
      <c r="N665" s="136"/>
      <c r="O665" s="136"/>
      <c r="P665" s="136"/>
      <c r="Q665" s="136"/>
      <c r="R665" s="136"/>
    </row>
    <row r="666">
      <c r="A666" s="136"/>
      <c r="B666" s="136"/>
      <c r="C666" s="136"/>
      <c r="D666" s="136"/>
      <c r="E666" s="136"/>
      <c r="F666" s="201"/>
      <c r="G666" s="136"/>
      <c r="H666" s="136"/>
      <c r="I666" s="136"/>
      <c r="J666" s="136"/>
      <c r="K666" s="136"/>
      <c r="L666" s="136"/>
      <c r="M666" s="136"/>
      <c r="N666" s="136"/>
      <c r="O666" s="136"/>
      <c r="P666" s="136"/>
      <c r="Q666" s="136"/>
      <c r="R666" s="136"/>
    </row>
    <row r="667">
      <c r="A667" s="136"/>
      <c r="B667" s="136"/>
      <c r="C667" s="136"/>
      <c r="D667" s="136"/>
      <c r="E667" s="136"/>
      <c r="F667" s="201"/>
      <c r="G667" s="136"/>
      <c r="H667" s="136"/>
      <c r="I667" s="136"/>
      <c r="J667" s="136"/>
      <c r="K667" s="136"/>
      <c r="L667" s="136"/>
      <c r="M667" s="136"/>
      <c r="N667" s="136"/>
      <c r="O667" s="136"/>
      <c r="P667" s="136"/>
      <c r="Q667" s="136"/>
      <c r="R667" s="136"/>
    </row>
    <row r="668">
      <c r="A668" s="136"/>
      <c r="B668" s="136"/>
      <c r="C668" s="136"/>
      <c r="D668" s="136"/>
      <c r="E668" s="136"/>
      <c r="F668" s="201"/>
      <c r="G668" s="136"/>
      <c r="H668" s="136"/>
      <c r="I668" s="136"/>
      <c r="J668" s="136"/>
      <c r="K668" s="136"/>
      <c r="L668" s="136"/>
      <c r="M668" s="136"/>
      <c r="N668" s="136"/>
      <c r="O668" s="136"/>
      <c r="P668" s="136"/>
      <c r="Q668" s="136"/>
      <c r="R668" s="136"/>
    </row>
    <row r="669">
      <c r="A669" s="136"/>
      <c r="B669" s="136"/>
      <c r="C669" s="136"/>
      <c r="D669" s="136"/>
      <c r="E669" s="136"/>
      <c r="F669" s="201"/>
      <c r="G669" s="136"/>
      <c r="H669" s="136"/>
      <c r="I669" s="136"/>
      <c r="J669" s="136"/>
      <c r="K669" s="136"/>
      <c r="L669" s="136"/>
      <c r="M669" s="136"/>
      <c r="N669" s="136"/>
      <c r="O669" s="136"/>
      <c r="P669" s="136"/>
      <c r="Q669" s="136"/>
      <c r="R669" s="136"/>
    </row>
    <row r="670">
      <c r="A670" s="136"/>
      <c r="B670" s="136"/>
      <c r="C670" s="136"/>
      <c r="D670" s="136"/>
      <c r="E670" s="136"/>
      <c r="F670" s="201"/>
      <c r="G670" s="136"/>
      <c r="H670" s="136"/>
      <c r="I670" s="136"/>
      <c r="J670" s="136"/>
      <c r="K670" s="136"/>
      <c r="L670" s="136"/>
      <c r="M670" s="136"/>
      <c r="N670" s="136"/>
      <c r="O670" s="136"/>
      <c r="P670" s="136"/>
      <c r="Q670" s="136"/>
      <c r="R670" s="136"/>
    </row>
    <row r="671">
      <c r="A671" s="136"/>
      <c r="B671" s="136"/>
      <c r="C671" s="136"/>
      <c r="D671" s="136"/>
      <c r="E671" s="136"/>
      <c r="F671" s="201"/>
      <c r="G671" s="136"/>
      <c r="H671" s="136"/>
      <c r="I671" s="136"/>
      <c r="J671" s="136"/>
      <c r="K671" s="136"/>
      <c r="L671" s="136"/>
      <c r="M671" s="136"/>
      <c r="N671" s="136"/>
      <c r="O671" s="136"/>
      <c r="P671" s="136"/>
      <c r="Q671" s="136"/>
      <c r="R671" s="136"/>
    </row>
    <row r="672">
      <c r="A672" s="136"/>
      <c r="B672" s="136"/>
      <c r="C672" s="136"/>
      <c r="D672" s="136"/>
      <c r="E672" s="136"/>
      <c r="F672" s="201"/>
      <c r="G672" s="136"/>
      <c r="H672" s="136"/>
      <c r="I672" s="136"/>
      <c r="J672" s="136"/>
      <c r="K672" s="136"/>
      <c r="L672" s="136"/>
      <c r="M672" s="136"/>
      <c r="N672" s="136"/>
      <c r="O672" s="136"/>
      <c r="P672" s="136"/>
      <c r="Q672" s="136"/>
      <c r="R672" s="136"/>
    </row>
    <row r="673">
      <c r="A673" s="136"/>
      <c r="B673" s="136"/>
      <c r="C673" s="136"/>
      <c r="D673" s="136"/>
      <c r="E673" s="136"/>
      <c r="F673" s="201"/>
      <c r="G673" s="136"/>
      <c r="H673" s="136"/>
      <c r="I673" s="136"/>
      <c r="J673" s="136"/>
      <c r="K673" s="136"/>
      <c r="L673" s="136"/>
      <c r="M673" s="136"/>
      <c r="N673" s="136"/>
      <c r="O673" s="136"/>
      <c r="P673" s="136"/>
      <c r="Q673" s="136"/>
      <c r="R673" s="136"/>
    </row>
    <row r="674">
      <c r="A674" s="136"/>
      <c r="B674" s="136"/>
      <c r="C674" s="136"/>
      <c r="D674" s="136"/>
      <c r="E674" s="136"/>
      <c r="F674" s="201"/>
      <c r="G674" s="136"/>
      <c r="H674" s="136"/>
      <c r="I674" s="136"/>
      <c r="J674" s="136"/>
      <c r="K674" s="136"/>
      <c r="L674" s="136"/>
      <c r="M674" s="136"/>
      <c r="N674" s="136"/>
      <c r="O674" s="136"/>
      <c r="P674" s="136"/>
      <c r="Q674" s="136"/>
      <c r="R674" s="136"/>
    </row>
    <row r="675">
      <c r="A675" s="136"/>
      <c r="B675" s="136"/>
      <c r="C675" s="136"/>
      <c r="D675" s="136"/>
      <c r="E675" s="136"/>
      <c r="F675" s="201"/>
      <c r="G675" s="136"/>
      <c r="H675" s="136"/>
      <c r="I675" s="136"/>
      <c r="J675" s="136"/>
      <c r="K675" s="136"/>
      <c r="L675" s="136"/>
      <c r="M675" s="136"/>
      <c r="N675" s="136"/>
      <c r="O675" s="136"/>
      <c r="P675" s="136"/>
      <c r="Q675" s="136"/>
      <c r="R675" s="136"/>
    </row>
    <row r="676">
      <c r="A676" s="136"/>
      <c r="B676" s="136"/>
      <c r="C676" s="136"/>
      <c r="D676" s="136"/>
      <c r="E676" s="136"/>
      <c r="F676" s="201"/>
      <c r="G676" s="136"/>
      <c r="H676" s="136"/>
      <c r="I676" s="136"/>
      <c r="J676" s="136"/>
      <c r="K676" s="136"/>
      <c r="L676" s="136"/>
      <c r="M676" s="136"/>
      <c r="N676" s="136"/>
      <c r="O676" s="136"/>
      <c r="P676" s="136"/>
      <c r="Q676" s="136"/>
      <c r="R676" s="136"/>
    </row>
    <row r="677">
      <c r="A677" s="136"/>
      <c r="B677" s="136"/>
      <c r="C677" s="136"/>
      <c r="D677" s="136"/>
      <c r="E677" s="136"/>
      <c r="F677" s="201"/>
      <c r="G677" s="136"/>
      <c r="H677" s="136"/>
      <c r="I677" s="136"/>
      <c r="J677" s="136"/>
      <c r="K677" s="136"/>
      <c r="L677" s="136"/>
      <c r="M677" s="136"/>
      <c r="N677" s="136"/>
      <c r="O677" s="136"/>
      <c r="P677" s="136"/>
      <c r="Q677" s="136"/>
      <c r="R677" s="136"/>
    </row>
    <row r="678">
      <c r="A678" s="136"/>
      <c r="B678" s="136"/>
      <c r="C678" s="136"/>
      <c r="D678" s="136"/>
      <c r="E678" s="136"/>
      <c r="F678" s="201"/>
      <c r="G678" s="136"/>
      <c r="H678" s="136"/>
      <c r="I678" s="136"/>
      <c r="J678" s="136"/>
      <c r="K678" s="136"/>
      <c r="L678" s="136"/>
      <c r="M678" s="136"/>
      <c r="N678" s="136"/>
      <c r="O678" s="136"/>
      <c r="P678" s="136"/>
      <c r="Q678" s="136"/>
      <c r="R678" s="136"/>
    </row>
    <row r="679">
      <c r="A679" s="136"/>
      <c r="B679" s="136"/>
      <c r="C679" s="136"/>
      <c r="D679" s="136"/>
      <c r="E679" s="136"/>
      <c r="F679" s="201"/>
      <c r="G679" s="136"/>
      <c r="H679" s="136"/>
      <c r="I679" s="136"/>
      <c r="J679" s="136"/>
      <c r="K679" s="136"/>
      <c r="L679" s="136"/>
      <c r="M679" s="136"/>
      <c r="N679" s="136"/>
      <c r="O679" s="136"/>
      <c r="P679" s="136"/>
      <c r="Q679" s="136"/>
      <c r="R679" s="136"/>
    </row>
    <row r="680">
      <c r="A680" s="136"/>
      <c r="B680" s="136"/>
      <c r="C680" s="136"/>
      <c r="D680" s="136"/>
      <c r="E680" s="136"/>
      <c r="F680" s="201"/>
      <c r="G680" s="136"/>
      <c r="H680" s="136"/>
      <c r="I680" s="136"/>
      <c r="J680" s="136"/>
      <c r="K680" s="136"/>
      <c r="L680" s="136"/>
      <c r="M680" s="136"/>
      <c r="N680" s="136"/>
      <c r="O680" s="136"/>
      <c r="P680" s="136"/>
      <c r="Q680" s="136"/>
      <c r="R680" s="136"/>
    </row>
    <row r="681">
      <c r="A681" s="136"/>
      <c r="B681" s="136"/>
      <c r="C681" s="136"/>
      <c r="D681" s="136"/>
      <c r="E681" s="136"/>
      <c r="F681" s="201"/>
      <c r="G681" s="136"/>
      <c r="H681" s="136"/>
      <c r="I681" s="136"/>
      <c r="J681" s="136"/>
      <c r="K681" s="136"/>
      <c r="L681" s="136"/>
      <c r="M681" s="136"/>
      <c r="N681" s="136"/>
      <c r="O681" s="136"/>
      <c r="P681" s="136"/>
      <c r="Q681" s="136"/>
      <c r="R681" s="136"/>
    </row>
    <row r="682">
      <c r="A682" s="136"/>
      <c r="B682" s="136"/>
      <c r="C682" s="136"/>
      <c r="D682" s="136"/>
      <c r="E682" s="136"/>
      <c r="F682" s="201"/>
      <c r="G682" s="136"/>
      <c r="H682" s="136"/>
      <c r="I682" s="136"/>
      <c r="J682" s="136"/>
      <c r="K682" s="136"/>
      <c r="L682" s="136"/>
      <c r="M682" s="136"/>
      <c r="N682" s="136"/>
      <c r="O682" s="136"/>
      <c r="P682" s="136"/>
      <c r="Q682" s="136"/>
      <c r="R682" s="136"/>
    </row>
    <row r="683">
      <c r="A683" s="136"/>
      <c r="B683" s="136"/>
      <c r="C683" s="136"/>
      <c r="D683" s="136"/>
      <c r="E683" s="136"/>
      <c r="F683" s="201"/>
      <c r="G683" s="136"/>
      <c r="H683" s="136"/>
      <c r="I683" s="136"/>
      <c r="J683" s="136"/>
      <c r="K683" s="136"/>
      <c r="L683" s="136"/>
      <c r="M683" s="136"/>
      <c r="N683" s="136"/>
      <c r="O683" s="136"/>
      <c r="P683" s="136"/>
      <c r="Q683" s="136"/>
      <c r="R683" s="136"/>
    </row>
    <row r="684">
      <c r="A684" s="136"/>
      <c r="B684" s="136"/>
      <c r="C684" s="136"/>
      <c r="D684" s="136"/>
      <c r="E684" s="136"/>
      <c r="F684" s="201"/>
      <c r="G684" s="136"/>
      <c r="H684" s="136"/>
      <c r="I684" s="136"/>
      <c r="J684" s="136"/>
      <c r="K684" s="136"/>
      <c r="L684" s="136"/>
      <c r="M684" s="136"/>
      <c r="N684" s="136"/>
      <c r="O684" s="136"/>
      <c r="P684" s="136"/>
      <c r="Q684" s="136"/>
      <c r="R684" s="136"/>
    </row>
    <row r="685">
      <c r="A685" s="136"/>
      <c r="B685" s="136"/>
      <c r="C685" s="136"/>
      <c r="D685" s="136"/>
      <c r="E685" s="136"/>
      <c r="F685" s="201"/>
      <c r="G685" s="136"/>
      <c r="H685" s="136"/>
      <c r="I685" s="136"/>
      <c r="J685" s="136"/>
      <c r="K685" s="136"/>
      <c r="L685" s="136"/>
      <c r="M685" s="136"/>
      <c r="N685" s="136"/>
      <c r="O685" s="136"/>
      <c r="P685" s="136"/>
      <c r="Q685" s="136"/>
      <c r="R685" s="136"/>
    </row>
    <row r="686">
      <c r="A686" s="136"/>
      <c r="B686" s="136"/>
      <c r="C686" s="136"/>
      <c r="D686" s="136"/>
      <c r="E686" s="136"/>
      <c r="F686" s="201"/>
      <c r="G686" s="136"/>
      <c r="H686" s="136"/>
      <c r="I686" s="136"/>
      <c r="J686" s="136"/>
      <c r="K686" s="136"/>
      <c r="L686" s="136"/>
      <c r="M686" s="136"/>
      <c r="N686" s="136"/>
      <c r="O686" s="136"/>
      <c r="P686" s="136"/>
      <c r="Q686" s="136"/>
      <c r="R686" s="136"/>
    </row>
    <row r="687">
      <c r="A687" s="136"/>
      <c r="B687" s="136"/>
      <c r="C687" s="136"/>
      <c r="D687" s="136"/>
      <c r="E687" s="136"/>
      <c r="F687" s="201"/>
      <c r="G687" s="136"/>
      <c r="H687" s="136"/>
      <c r="I687" s="136"/>
      <c r="J687" s="136"/>
      <c r="K687" s="136"/>
      <c r="L687" s="136"/>
      <c r="M687" s="136"/>
      <c r="N687" s="136"/>
      <c r="O687" s="136"/>
      <c r="P687" s="136"/>
      <c r="Q687" s="136"/>
      <c r="R687" s="136"/>
    </row>
    <row r="688">
      <c r="A688" s="136"/>
      <c r="B688" s="136"/>
      <c r="C688" s="136"/>
      <c r="D688" s="136"/>
      <c r="E688" s="136"/>
      <c r="F688" s="201"/>
      <c r="G688" s="136"/>
      <c r="H688" s="136"/>
      <c r="I688" s="136"/>
      <c r="J688" s="136"/>
      <c r="K688" s="136"/>
      <c r="L688" s="136"/>
      <c r="M688" s="136"/>
      <c r="N688" s="136"/>
      <c r="O688" s="136"/>
      <c r="P688" s="136"/>
      <c r="Q688" s="136"/>
      <c r="R688" s="136"/>
    </row>
    <row r="689">
      <c r="A689" s="136"/>
      <c r="B689" s="136"/>
      <c r="C689" s="136"/>
      <c r="D689" s="136"/>
      <c r="E689" s="136"/>
      <c r="F689" s="201"/>
      <c r="G689" s="136"/>
      <c r="H689" s="136"/>
      <c r="I689" s="136"/>
      <c r="J689" s="136"/>
      <c r="K689" s="136"/>
      <c r="L689" s="136"/>
      <c r="M689" s="136"/>
      <c r="N689" s="136"/>
      <c r="O689" s="136"/>
      <c r="P689" s="136"/>
      <c r="Q689" s="136"/>
      <c r="R689" s="136"/>
    </row>
    <row r="690">
      <c r="A690" s="136"/>
      <c r="B690" s="136"/>
      <c r="C690" s="136"/>
      <c r="D690" s="136"/>
      <c r="E690" s="136"/>
      <c r="F690" s="201"/>
      <c r="G690" s="136"/>
      <c r="H690" s="136"/>
      <c r="I690" s="136"/>
      <c r="J690" s="136"/>
      <c r="K690" s="136"/>
      <c r="L690" s="136"/>
      <c r="M690" s="136"/>
      <c r="N690" s="136"/>
      <c r="O690" s="136"/>
      <c r="P690" s="136"/>
      <c r="Q690" s="136"/>
      <c r="R690" s="136"/>
    </row>
    <row r="691">
      <c r="A691" s="136"/>
      <c r="B691" s="136"/>
      <c r="C691" s="136"/>
      <c r="D691" s="136"/>
      <c r="E691" s="136"/>
      <c r="F691" s="201"/>
      <c r="G691" s="136"/>
      <c r="H691" s="136"/>
      <c r="I691" s="136"/>
      <c r="J691" s="136"/>
      <c r="K691" s="136"/>
      <c r="L691" s="136"/>
      <c r="M691" s="136"/>
      <c r="N691" s="136"/>
      <c r="O691" s="136"/>
      <c r="P691" s="136"/>
      <c r="Q691" s="136"/>
      <c r="R691" s="136"/>
    </row>
    <row r="692">
      <c r="A692" s="136"/>
      <c r="B692" s="136"/>
      <c r="C692" s="136"/>
      <c r="D692" s="136"/>
      <c r="E692" s="136"/>
      <c r="F692" s="201"/>
      <c r="G692" s="136"/>
      <c r="H692" s="136"/>
      <c r="I692" s="136"/>
      <c r="J692" s="136"/>
      <c r="K692" s="136"/>
      <c r="L692" s="136"/>
      <c r="M692" s="136"/>
      <c r="N692" s="136"/>
      <c r="O692" s="136"/>
      <c r="P692" s="136"/>
      <c r="Q692" s="136"/>
      <c r="R692" s="136"/>
    </row>
    <row r="693">
      <c r="A693" s="136"/>
      <c r="B693" s="136"/>
      <c r="C693" s="136"/>
      <c r="D693" s="136"/>
      <c r="E693" s="136"/>
      <c r="F693" s="201"/>
      <c r="G693" s="136"/>
      <c r="H693" s="136"/>
      <c r="I693" s="136"/>
      <c r="J693" s="136"/>
      <c r="K693" s="136"/>
      <c r="L693" s="136"/>
      <c r="M693" s="136"/>
      <c r="N693" s="136"/>
      <c r="O693" s="136"/>
      <c r="P693" s="136"/>
      <c r="Q693" s="136"/>
      <c r="R693" s="136"/>
    </row>
    <row r="694">
      <c r="A694" s="136"/>
      <c r="B694" s="136"/>
      <c r="C694" s="136"/>
      <c r="D694" s="136"/>
      <c r="E694" s="136"/>
      <c r="F694" s="201"/>
      <c r="G694" s="136"/>
      <c r="H694" s="136"/>
      <c r="I694" s="136"/>
      <c r="J694" s="136"/>
      <c r="K694" s="136"/>
      <c r="L694" s="136"/>
      <c r="M694" s="136"/>
      <c r="N694" s="136"/>
      <c r="O694" s="136"/>
      <c r="P694" s="136"/>
      <c r="Q694" s="136"/>
      <c r="R694" s="136"/>
    </row>
    <row r="695">
      <c r="A695" s="136"/>
      <c r="B695" s="136"/>
      <c r="C695" s="136"/>
      <c r="D695" s="136"/>
      <c r="E695" s="136"/>
      <c r="F695" s="201"/>
      <c r="G695" s="136"/>
      <c r="H695" s="136"/>
      <c r="I695" s="136"/>
      <c r="J695" s="136"/>
      <c r="K695" s="136"/>
      <c r="L695" s="136"/>
      <c r="M695" s="136"/>
      <c r="N695" s="136"/>
      <c r="O695" s="136"/>
      <c r="P695" s="136"/>
      <c r="Q695" s="136"/>
      <c r="R695" s="136"/>
    </row>
    <row r="696">
      <c r="A696" s="136"/>
      <c r="B696" s="136"/>
      <c r="C696" s="136"/>
      <c r="D696" s="136"/>
      <c r="E696" s="136"/>
      <c r="F696" s="201"/>
      <c r="G696" s="136"/>
      <c r="H696" s="136"/>
      <c r="I696" s="136"/>
      <c r="J696" s="136"/>
      <c r="K696" s="136"/>
      <c r="L696" s="136"/>
      <c r="M696" s="136"/>
      <c r="N696" s="136"/>
      <c r="O696" s="136"/>
      <c r="P696" s="136"/>
      <c r="Q696" s="136"/>
      <c r="R696" s="136"/>
    </row>
    <row r="697">
      <c r="A697" s="136"/>
      <c r="B697" s="136"/>
      <c r="C697" s="136"/>
      <c r="D697" s="136"/>
      <c r="E697" s="136"/>
      <c r="F697" s="201"/>
      <c r="G697" s="136"/>
      <c r="H697" s="136"/>
      <c r="I697" s="136"/>
      <c r="J697" s="136"/>
      <c r="K697" s="136"/>
      <c r="L697" s="136"/>
      <c r="M697" s="136"/>
      <c r="N697" s="136"/>
      <c r="O697" s="136"/>
      <c r="P697" s="136"/>
      <c r="Q697" s="136"/>
      <c r="R697" s="136"/>
    </row>
    <row r="698">
      <c r="A698" s="136"/>
      <c r="B698" s="136"/>
      <c r="C698" s="136"/>
      <c r="D698" s="136"/>
      <c r="E698" s="136"/>
      <c r="F698" s="201"/>
      <c r="G698" s="136"/>
      <c r="H698" s="136"/>
      <c r="I698" s="136"/>
      <c r="J698" s="136"/>
      <c r="K698" s="136"/>
      <c r="L698" s="136"/>
      <c r="M698" s="136"/>
      <c r="N698" s="136"/>
      <c r="O698" s="136"/>
      <c r="P698" s="136"/>
      <c r="Q698" s="136"/>
      <c r="R698" s="136"/>
    </row>
    <row r="699">
      <c r="A699" s="136"/>
      <c r="B699" s="136"/>
      <c r="C699" s="136"/>
      <c r="D699" s="136"/>
      <c r="E699" s="136"/>
      <c r="F699" s="201"/>
      <c r="G699" s="136"/>
      <c r="H699" s="136"/>
      <c r="I699" s="136"/>
      <c r="J699" s="136"/>
      <c r="K699" s="136"/>
      <c r="L699" s="136"/>
      <c r="M699" s="136"/>
      <c r="N699" s="136"/>
      <c r="O699" s="136"/>
      <c r="P699" s="136"/>
      <c r="Q699" s="136"/>
      <c r="R699" s="136"/>
    </row>
    <row r="700">
      <c r="A700" s="136"/>
      <c r="B700" s="136"/>
      <c r="C700" s="136"/>
      <c r="D700" s="136"/>
      <c r="E700" s="136"/>
      <c r="F700" s="201"/>
      <c r="G700" s="136"/>
      <c r="H700" s="136"/>
      <c r="I700" s="136"/>
      <c r="J700" s="136"/>
      <c r="K700" s="136"/>
      <c r="L700" s="136"/>
      <c r="M700" s="136"/>
      <c r="N700" s="136"/>
      <c r="O700" s="136"/>
      <c r="P700" s="136"/>
      <c r="Q700" s="136"/>
      <c r="R700" s="136"/>
    </row>
    <row r="701">
      <c r="A701" s="136"/>
      <c r="B701" s="136"/>
      <c r="C701" s="136"/>
      <c r="D701" s="136"/>
      <c r="E701" s="136"/>
      <c r="F701" s="201"/>
      <c r="G701" s="136"/>
      <c r="H701" s="136"/>
      <c r="I701" s="136"/>
      <c r="J701" s="136"/>
      <c r="K701" s="136"/>
      <c r="L701" s="136"/>
      <c r="M701" s="136"/>
      <c r="N701" s="136"/>
      <c r="O701" s="136"/>
      <c r="P701" s="136"/>
      <c r="Q701" s="136"/>
      <c r="R701" s="136"/>
    </row>
    <row r="702">
      <c r="A702" s="136"/>
      <c r="B702" s="136"/>
      <c r="C702" s="136"/>
      <c r="D702" s="136"/>
      <c r="E702" s="136"/>
      <c r="F702" s="201"/>
      <c r="G702" s="136"/>
      <c r="H702" s="136"/>
      <c r="I702" s="136"/>
      <c r="J702" s="136"/>
      <c r="K702" s="136"/>
      <c r="L702" s="136"/>
      <c r="M702" s="136"/>
      <c r="N702" s="136"/>
      <c r="O702" s="136"/>
      <c r="P702" s="136"/>
      <c r="Q702" s="136"/>
      <c r="R702" s="136"/>
    </row>
    <row r="703">
      <c r="A703" s="136"/>
      <c r="B703" s="136"/>
      <c r="C703" s="136"/>
      <c r="D703" s="136"/>
      <c r="E703" s="136"/>
      <c r="F703" s="201"/>
      <c r="G703" s="136"/>
      <c r="H703" s="136"/>
      <c r="I703" s="136"/>
      <c r="J703" s="136"/>
      <c r="K703" s="136"/>
      <c r="L703" s="136"/>
      <c r="M703" s="136"/>
      <c r="N703" s="136"/>
      <c r="O703" s="136"/>
      <c r="P703" s="136"/>
      <c r="Q703" s="136"/>
      <c r="R703" s="136"/>
    </row>
    <row r="704">
      <c r="A704" s="136"/>
      <c r="B704" s="136"/>
      <c r="C704" s="136"/>
      <c r="D704" s="136"/>
      <c r="E704" s="136"/>
      <c r="F704" s="201"/>
      <c r="G704" s="136"/>
      <c r="H704" s="136"/>
      <c r="I704" s="136"/>
      <c r="J704" s="136"/>
      <c r="K704" s="136"/>
      <c r="L704" s="136"/>
      <c r="M704" s="136"/>
      <c r="N704" s="136"/>
      <c r="O704" s="136"/>
      <c r="P704" s="136"/>
      <c r="Q704" s="136"/>
      <c r="R704" s="136"/>
    </row>
    <row r="705">
      <c r="A705" s="136"/>
      <c r="B705" s="136"/>
      <c r="C705" s="136"/>
      <c r="D705" s="136"/>
      <c r="E705" s="136"/>
      <c r="F705" s="201"/>
      <c r="G705" s="136"/>
      <c r="H705" s="136"/>
      <c r="I705" s="136"/>
      <c r="J705" s="136"/>
      <c r="K705" s="136"/>
      <c r="L705" s="136"/>
      <c r="M705" s="136"/>
      <c r="N705" s="136"/>
      <c r="O705" s="136"/>
      <c r="P705" s="136"/>
      <c r="Q705" s="136"/>
      <c r="R705" s="136"/>
    </row>
    <row r="706">
      <c r="A706" s="136"/>
      <c r="B706" s="136"/>
      <c r="C706" s="136"/>
      <c r="D706" s="136"/>
      <c r="E706" s="136"/>
      <c r="F706" s="201"/>
      <c r="G706" s="136"/>
      <c r="H706" s="136"/>
      <c r="I706" s="136"/>
      <c r="J706" s="136"/>
      <c r="K706" s="136"/>
      <c r="L706" s="136"/>
      <c r="M706" s="136"/>
      <c r="N706" s="136"/>
      <c r="O706" s="136"/>
      <c r="P706" s="136"/>
      <c r="Q706" s="136"/>
      <c r="R706" s="136"/>
    </row>
    <row r="707">
      <c r="A707" s="136"/>
      <c r="B707" s="136"/>
      <c r="C707" s="136"/>
      <c r="D707" s="136"/>
      <c r="E707" s="136"/>
      <c r="F707" s="201"/>
      <c r="G707" s="136"/>
      <c r="H707" s="136"/>
      <c r="I707" s="136"/>
      <c r="J707" s="136"/>
      <c r="K707" s="136"/>
      <c r="L707" s="136"/>
      <c r="M707" s="136"/>
      <c r="N707" s="136"/>
      <c r="O707" s="136"/>
      <c r="P707" s="136"/>
      <c r="Q707" s="136"/>
      <c r="R707" s="136"/>
    </row>
    <row r="708">
      <c r="A708" s="136"/>
      <c r="B708" s="136"/>
      <c r="C708" s="136"/>
      <c r="D708" s="136"/>
      <c r="E708" s="136"/>
      <c r="F708" s="201"/>
      <c r="G708" s="136"/>
      <c r="H708" s="136"/>
      <c r="I708" s="136"/>
      <c r="J708" s="136"/>
      <c r="K708" s="136"/>
      <c r="L708" s="136"/>
      <c r="M708" s="136"/>
      <c r="N708" s="136"/>
      <c r="O708" s="136"/>
      <c r="P708" s="136"/>
      <c r="Q708" s="136"/>
      <c r="R708" s="136"/>
    </row>
    <row r="709">
      <c r="A709" s="136"/>
      <c r="B709" s="136"/>
      <c r="C709" s="136"/>
      <c r="D709" s="136"/>
      <c r="E709" s="136"/>
      <c r="F709" s="201"/>
      <c r="G709" s="136"/>
      <c r="H709" s="136"/>
      <c r="I709" s="136"/>
      <c r="J709" s="136"/>
      <c r="K709" s="136"/>
      <c r="L709" s="136"/>
      <c r="M709" s="136"/>
      <c r="N709" s="136"/>
      <c r="O709" s="136"/>
      <c r="P709" s="136"/>
      <c r="Q709" s="136"/>
      <c r="R709" s="136"/>
    </row>
    <row r="710">
      <c r="A710" s="136"/>
      <c r="B710" s="136"/>
      <c r="C710" s="136"/>
      <c r="D710" s="136"/>
      <c r="E710" s="136"/>
      <c r="F710" s="201"/>
      <c r="G710" s="136"/>
      <c r="H710" s="136"/>
      <c r="I710" s="136"/>
      <c r="J710" s="136"/>
      <c r="K710" s="136"/>
      <c r="L710" s="136"/>
      <c r="M710" s="136"/>
      <c r="N710" s="136"/>
      <c r="O710" s="136"/>
      <c r="P710" s="136"/>
      <c r="Q710" s="136"/>
      <c r="R710" s="136"/>
    </row>
    <row r="711">
      <c r="A711" s="136"/>
      <c r="B711" s="136"/>
      <c r="C711" s="136"/>
      <c r="D711" s="136"/>
      <c r="E711" s="136"/>
      <c r="F711" s="201"/>
      <c r="G711" s="136"/>
      <c r="H711" s="136"/>
      <c r="I711" s="136"/>
      <c r="J711" s="136"/>
      <c r="K711" s="136"/>
      <c r="L711" s="136"/>
      <c r="M711" s="136"/>
      <c r="N711" s="136"/>
      <c r="O711" s="136"/>
      <c r="P711" s="136"/>
      <c r="Q711" s="136"/>
      <c r="R711" s="136"/>
    </row>
    <row r="712">
      <c r="A712" s="136"/>
      <c r="B712" s="136"/>
      <c r="C712" s="136"/>
      <c r="D712" s="136"/>
      <c r="E712" s="136"/>
      <c r="F712" s="201"/>
      <c r="G712" s="136"/>
      <c r="H712" s="136"/>
      <c r="I712" s="136"/>
      <c r="J712" s="136"/>
      <c r="K712" s="136"/>
      <c r="L712" s="136"/>
      <c r="M712" s="136"/>
      <c r="N712" s="136"/>
      <c r="O712" s="136"/>
      <c r="P712" s="136"/>
      <c r="Q712" s="136"/>
      <c r="R712" s="136"/>
    </row>
    <row r="713">
      <c r="A713" s="136"/>
      <c r="B713" s="136"/>
      <c r="C713" s="136"/>
      <c r="D713" s="136"/>
      <c r="E713" s="136"/>
      <c r="F713" s="201"/>
      <c r="G713" s="136"/>
      <c r="H713" s="136"/>
      <c r="I713" s="136"/>
      <c r="J713" s="136"/>
      <c r="K713" s="136"/>
      <c r="L713" s="136"/>
      <c r="M713" s="136"/>
      <c r="N713" s="136"/>
      <c r="O713" s="136"/>
      <c r="P713" s="136"/>
      <c r="Q713" s="136"/>
      <c r="R713" s="136"/>
    </row>
    <row r="714">
      <c r="A714" s="136"/>
      <c r="B714" s="136"/>
      <c r="C714" s="136"/>
      <c r="D714" s="136"/>
      <c r="E714" s="136"/>
      <c r="F714" s="201"/>
      <c r="G714" s="136"/>
      <c r="H714" s="136"/>
      <c r="I714" s="136"/>
      <c r="J714" s="136"/>
      <c r="K714" s="136"/>
      <c r="L714" s="136"/>
      <c r="M714" s="136"/>
      <c r="N714" s="136"/>
      <c r="O714" s="136"/>
      <c r="P714" s="136"/>
      <c r="Q714" s="136"/>
      <c r="R714" s="136"/>
    </row>
    <row r="715">
      <c r="A715" s="136"/>
      <c r="B715" s="136"/>
      <c r="C715" s="136"/>
      <c r="D715" s="136"/>
      <c r="E715" s="136"/>
      <c r="F715" s="201"/>
      <c r="G715" s="136"/>
      <c r="H715" s="136"/>
      <c r="I715" s="136"/>
      <c r="J715" s="136"/>
      <c r="K715" s="136"/>
      <c r="L715" s="136"/>
      <c r="M715" s="136"/>
      <c r="N715" s="136"/>
      <c r="O715" s="136"/>
      <c r="P715" s="136"/>
      <c r="Q715" s="136"/>
      <c r="R715" s="136"/>
    </row>
    <row r="716">
      <c r="A716" s="136"/>
      <c r="B716" s="136"/>
      <c r="C716" s="136"/>
      <c r="D716" s="136"/>
      <c r="E716" s="136"/>
      <c r="F716" s="201"/>
      <c r="G716" s="136"/>
      <c r="H716" s="136"/>
      <c r="I716" s="136"/>
      <c r="J716" s="136"/>
      <c r="K716" s="136"/>
      <c r="L716" s="136"/>
      <c r="M716" s="136"/>
      <c r="N716" s="136"/>
      <c r="O716" s="136"/>
      <c r="P716" s="136"/>
      <c r="Q716" s="136"/>
      <c r="R716" s="136"/>
    </row>
    <row r="717">
      <c r="A717" s="136"/>
      <c r="B717" s="136"/>
      <c r="C717" s="136"/>
      <c r="D717" s="136"/>
      <c r="E717" s="136"/>
      <c r="F717" s="201"/>
      <c r="G717" s="136"/>
      <c r="H717" s="136"/>
      <c r="I717" s="136"/>
      <c r="J717" s="136"/>
      <c r="K717" s="136"/>
      <c r="L717" s="136"/>
      <c r="M717" s="136"/>
      <c r="N717" s="136"/>
      <c r="O717" s="136"/>
      <c r="P717" s="136"/>
      <c r="Q717" s="136"/>
      <c r="R717" s="136"/>
    </row>
    <row r="718">
      <c r="A718" s="136"/>
      <c r="B718" s="136"/>
      <c r="C718" s="136"/>
      <c r="D718" s="136"/>
      <c r="E718" s="136"/>
      <c r="F718" s="201"/>
      <c r="G718" s="136"/>
      <c r="H718" s="136"/>
      <c r="I718" s="136"/>
      <c r="J718" s="136"/>
      <c r="K718" s="136"/>
      <c r="L718" s="136"/>
      <c r="M718" s="136"/>
      <c r="N718" s="136"/>
      <c r="O718" s="136"/>
      <c r="P718" s="136"/>
      <c r="Q718" s="136"/>
      <c r="R718" s="136"/>
    </row>
    <row r="719">
      <c r="A719" s="136"/>
      <c r="B719" s="136"/>
      <c r="C719" s="136"/>
      <c r="D719" s="136"/>
      <c r="E719" s="136"/>
      <c r="F719" s="201"/>
      <c r="G719" s="136"/>
      <c r="H719" s="136"/>
      <c r="I719" s="136"/>
      <c r="J719" s="136"/>
      <c r="K719" s="136"/>
      <c r="L719" s="136"/>
      <c r="M719" s="136"/>
      <c r="N719" s="136"/>
      <c r="O719" s="136"/>
      <c r="P719" s="136"/>
      <c r="Q719" s="136"/>
      <c r="R719" s="136"/>
    </row>
    <row r="720">
      <c r="A720" s="136"/>
      <c r="B720" s="136"/>
      <c r="C720" s="136"/>
      <c r="D720" s="136"/>
      <c r="E720" s="136"/>
      <c r="F720" s="201"/>
      <c r="G720" s="136"/>
      <c r="H720" s="136"/>
      <c r="I720" s="136"/>
      <c r="J720" s="136"/>
      <c r="K720" s="136"/>
      <c r="L720" s="136"/>
      <c r="M720" s="136"/>
      <c r="N720" s="136"/>
      <c r="O720" s="136"/>
      <c r="P720" s="136"/>
      <c r="Q720" s="136"/>
      <c r="R720" s="136"/>
    </row>
    <row r="721">
      <c r="A721" s="136"/>
      <c r="B721" s="136"/>
      <c r="C721" s="136"/>
      <c r="D721" s="136"/>
      <c r="E721" s="136"/>
      <c r="F721" s="201"/>
      <c r="G721" s="136"/>
      <c r="H721" s="136"/>
      <c r="I721" s="136"/>
      <c r="J721" s="136"/>
      <c r="K721" s="136"/>
      <c r="L721" s="136"/>
      <c r="M721" s="136"/>
      <c r="N721" s="136"/>
      <c r="O721" s="136"/>
      <c r="P721" s="136"/>
      <c r="Q721" s="136"/>
      <c r="R721" s="136"/>
    </row>
    <row r="722">
      <c r="A722" s="136"/>
      <c r="B722" s="136"/>
      <c r="C722" s="136"/>
      <c r="D722" s="136"/>
      <c r="E722" s="136"/>
      <c r="F722" s="201"/>
      <c r="G722" s="136"/>
      <c r="H722" s="136"/>
      <c r="I722" s="136"/>
      <c r="J722" s="136"/>
      <c r="K722" s="136"/>
      <c r="L722" s="136"/>
      <c r="M722" s="136"/>
      <c r="N722" s="136"/>
      <c r="O722" s="136"/>
      <c r="P722" s="136"/>
      <c r="Q722" s="136"/>
      <c r="R722" s="136"/>
    </row>
    <row r="723">
      <c r="A723" s="136"/>
      <c r="B723" s="136"/>
      <c r="C723" s="136"/>
      <c r="D723" s="136"/>
      <c r="E723" s="136"/>
      <c r="F723" s="201"/>
      <c r="G723" s="136"/>
      <c r="H723" s="136"/>
      <c r="I723" s="136"/>
      <c r="J723" s="136"/>
      <c r="K723" s="136"/>
      <c r="L723" s="136"/>
      <c r="M723" s="136"/>
      <c r="N723" s="136"/>
      <c r="O723" s="136"/>
      <c r="P723" s="136"/>
      <c r="Q723" s="136"/>
      <c r="R723" s="136"/>
    </row>
    <row r="724">
      <c r="A724" s="136"/>
      <c r="B724" s="136"/>
      <c r="C724" s="136"/>
      <c r="D724" s="136"/>
      <c r="E724" s="136"/>
      <c r="F724" s="201"/>
      <c r="G724" s="136"/>
      <c r="H724" s="136"/>
      <c r="I724" s="136"/>
      <c r="J724" s="136"/>
      <c r="K724" s="136"/>
      <c r="L724" s="136"/>
      <c r="M724" s="136"/>
      <c r="N724" s="136"/>
      <c r="O724" s="136"/>
      <c r="P724" s="136"/>
      <c r="Q724" s="136"/>
      <c r="R724" s="136"/>
    </row>
    <row r="725">
      <c r="A725" s="136"/>
      <c r="B725" s="136"/>
      <c r="C725" s="136"/>
      <c r="D725" s="136"/>
      <c r="E725" s="136"/>
      <c r="F725" s="201"/>
      <c r="G725" s="136"/>
      <c r="H725" s="136"/>
      <c r="I725" s="136"/>
      <c r="J725" s="136"/>
      <c r="K725" s="136"/>
      <c r="L725" s="136"/>
      <c r="M725" s="136"/>
      <c r="N725" s="136"/>
      <c r="O725" s="136"/>
      <c r="P725" s="136"/>
      <c r="Q725" s="136"/>
      <c r="R725" s="136"/>
    </row>
    <row r="726">
      <c r="A726" s="136"/>
      <c r="B726" s="136"/>
      <c r="C726" s="136"/>
      <c r="D726" s="136"/>
      <c r="E726" s="136"/>
      <c r="F726" s="201"/>
      <c r="G726" s="136"/>
      <c r="H726" s="136"/>
      <c r="I726" s="136"/>
      <c r="J726" s="136"/>
      <c r="K726" s="136"/>
      <c r="L726" s="136"/>
      <c r="M726" s="136"/>
      <c r="N726" s="136"/>
      <c r="O726" s="136"/>
      <c r="P726" s="136"/>
      <c r="Q726" s="136"/>
      <c r="R726" s="136"/>
    </row>
    <row r="727">
      <c r="A727" s="136"/>
      <c r="B727" s="136"/>
      <c r="C727" s="136"/>
      <c r="D727" s="136"/>
      <c r="E727" s="136"/>
      <c r="F727" s="201"/>
      <c r="G727" s="136"/>
      <c r="H727" s="136"/>
      <c r="I727" s="136"/>
      <c r="J727" s="136"/>
      <c r="K727" s="136"/>
      <c r="L727" s="136"/>
      <c r="M727" s="136"/>
      <c r="N727" s="136"/>
      <c r="O727" s="136"/>
      <c r="P727" s="136"/>
      <c r="Q727" s="136"/>
      <c r="R727" s="136"/>
    </row>
    <row r="728">
      <c r="A728" s="136"/>
      <c r="B728" s="136"/>
      <c r="C728" s="136"/>
      <c r="D728" s="136"/>
      <c r="E728" s="136"/>
      <c r="F728" s="201"/>
      <c r="G728" s="136"/>
      <c r="H728" s="136"/>
      <c r="I728" s="136"/>
      <c r="J728" s="136"/>
      <c r="K728" s="136"/>
      <c r="L728" s="136"/>
      <c r="M728" s="136"/>
      <c r="N728" s="136"/>
      <c r="O728" s="136"/>
      <c r="P728" s="136"/>
      <c r="Q728" s="136"/>
      <c r="R728" s="136"/>
    </row>
    <row r="729">
      <c r="A729" s="136"/>
      <c r="B729" s="136"/>
      <c r="C729" s="136"/>
      <c r="D729" s="136"/>
      <c r="E729" s="136"/>
      <c r="F729" s="201"/>
      <c r="G729" s="136"/>
      <c r="H729" s="136"/>
      <c r="I729" s="136"/>
      <c r="J729" s="136"/>
      <c r="K729" s="136"/>
      <c r="L729" s="136"/>
      <c r="M729" s="136"/>
      <c r="N729" s="136"/>
      <c r="O729" s="136"/>
      <c r="P729" s="136"/>
      <c r="Q729" s="136"/>
      <c r="R729" s="136"/>
    </row>
    <row r="730">
      <c r="A730" s="136"/>
      <c r="B730" s="136"/>
      <c r="C730" s="136"/>
      <c r="D730" s="136"/>
      <c r="E730" s="136"/>
      <c r="F730" s="201"/>
      <c r="G730" s="136"/>
      <c r="H730" s="136"/>
      <c r="I730" s="136"/>
      <c r="J730" s="136"/>
      <c r="K730" s="136"/>
      <c r="L730" s="136"/>
      <c r="M730" s="136"/>
      <c r="N730" s="136"/>
      <c r="O730" s="136"/>
      <c r="P730" s="136"/>
      <c r="Q730" s="136"/>
      <c r="R730" s="136"/>
    </row>
    <row r="731">
      <c r="A731" s="136"/>
      <c r="B731" s="136"/>
      <c r="C731" s="136"/>
      <c r="D731" s="136"/>
      <c r="E731" s="136"/>
      <c r="F731" s="201"/>
      <c r="G731" s="136"/>
      <c r="H731" s="136"/>
      <c r="I731" s="136"/>
      <c r="J731" s="136"/>
      <c r="K731" s="136"/>
      <c r="L731" s="136"/>
      <c r="M731" s="136"/>
      <c r="N731" s="136"/>
      <c r="O731" s="136"/>
      <c r="P731" s="136"/>
      <c r="Q731" s="136"/>
      <c r="R731" s="136"/>
    </row>
    <row r="732">
      <c r="A732" s="136"/>
      <c r="B732" s="136"/>
      <c r="C732" s="136"/>
      <c r="D732" s="136"/>
      <c r="E732" s="136"/>
      <c r="F732" s="201"/>
      <c r="G732" s="136"/>
      <c r="H732" s="136"/>
      <c r="I732" s="136"/>
      <c r="J732" s="136"/>
      <c r="K732" s="136"/>
      <c r="L732" s="136"/>
      <c r="M732" s="136"/>
      <c r="N732" s="136"/>
      <c r="O732" s="136"/>
      <c r="P732" s="136"/>
      <c r="Q732" s="136"/>
      <c r="R732" s="136"/>
    </row>
    <row r="733">
      <c r="A733" s="136"/>
      <c r="B733" s="136"/>
      <c r="C733" s="136"/>
      <c r="D733" s="136"/>
      <c r="E733" s="136"/>
      <c r="F733" s="201"/>
      <c r="G733" s="136"/>
      <c r="H733" s="136"/>
      <c r="I733" s="136"/>
      <c r="J733" s="136"/>
      <c r="K733" s="136"/>
      <c r="L733" s="136"/>
      <c r="M733" s="136"/>
      <c r="N733" s="136"/>
      <c r="O733" s="136"/>
      <c r="P733" s="136"/>
      <c r="Q733" s="136"/>
      <c r="R733" s="136"/>
    </row>
    <row r="734">
      <c r="A734" s="136"/>
      <c r="B734" s="136"/>
      <c r="C734" s="136"/>
      <c r="D734" s="136"/>
      <c r="E734" s="136"/>
      <c r="F734" s="201"/>
      <c r="G734" s="136"/>
      <c r="H734" s="136"/>
      <c r="I734" s="136"/>
      <c r="J734" s="136"/>
      <c r="K734" s="136"/>
      <c r="L734" s="136"/>
      <c r="M734" s="136"/>
      <c r="N734" s="136"/>
      <c r="O734" s="136"/>
      <c r="P734" s="136"/>
      <c r="Q734" s="136"/>
      <c r="R734" s="136"/>
    </row>
    <row r="735">
      <c r="A735" s="136"/>
      <c r="B735" s="136"/>
      <c r="C735" s="136"/>
      <c r="D735" s="136"/>
      <c r="E735" s="136"/>
      <c r="F735" s="201"/>
      <c r="G735" s="136"/>
      <c r="H735" s="136"/>
      <c r="I735" s="136"/>
      <c r="J735" s="136"/>
      <c r="K735" s="136"/>
      <c r="L735" s="136"/>
      <c r="M735" s="136"/>
      <c r="N735" s="136"/>
      <c r="O735" s="136"/>
      <c r="P735" s="136"/>
      <c r="Q735" s="136"/>
      <c r="R735" s="136"/>
    </row>
    <row r="736">
      <c r="A736" s="136"/>
      <c r="B736" s="136"/>
      <c r="C736" s="136"/>
      <c r="D736" s="136"/>
      <c r="E736" s="136"/>
      <c r="F736" s="201"/>
      <c r="G736" s="136"/>
      <c r="H736" s="136"/>
      <c r="I736" s="136"/>
      <c r="J736" s="136"/>
      <c r="K736" s="136"/>
      <c r="L736" s="136"/>
      <c r="M736" s="136"/>
      <c r="N736" s="136"/>
      <c r="O736" s="136"/>
      <c r="P736" s="136"/>
      <c r="Q736" s="136"/>
      <c r="R736" s="136"/>
    </row>
    <row r="737">
      <c r="A737" s="136"/>
      <c r="B737" s="136"/>
      <c r="C737" s="136"/>
      <c r="D737" s="136"/>
      <c r="E737" s="136"/>
      <c r="F737" s="201"/>
      <c r="G737" s="136"/>
      <c r="H737" s="136"/>
      <c r="I737" s="136"/>
      <c r="J737" s="136"/>
      <c r="K737" s="136"/>
      <c r="L737" s="136"/>
      <c r="M737" s="136"/>
      <c r="N737" s="136"/>
      <c r="O737" s="136"/>
      <c r="P737" s="136"/>
      <c r="Q737" s="136"/>
      <c r="R737" s="136"/>
    </row>
    <row r="738">
      <c r="A738" s="136"/>
      <c r="B738" s="136"/>
      <c r="C738" s="136"/>
      <c r="D738" s="136"/>
      <c r="E738" s="136"/>
      <c r="F738" s="201"/>
      <c r="G738" s="136"/>
      <c r="H738" s="136"/>
      <c r="I738" s="136"/>
      <c r="J738" s="136"/>
      <c r="K738" s="136"/>
      <c r="L738" s="136"/>
      <c r="M738" s="136"/>
      <c r="N738" s="136"/>
      <c r="O738" s="136"/>
      <c r="P738" s="136"/>
      <c r="Q738" s="136"/>
      <c r="R738" s="136"/>
    </row>
    <row r="739">
      <c r="A739" s="136"/>
      <c r="B739" s="136"/>
      <c r="C739" s="136"/>
      <c r="D739" s="136"/>
      <c r="E739" s="136"/>
      <c r="F739" s="201"/>
      <c r="G739" s="136"/>
      <c r="H739" s="136"/>
      <c r="I739" s="136"/>
      <c r="J739" s="136"/>
      <c r="K739" s="136"/>
      <c r="L739" s="136"/>
      <c r="M739" s="136"/>
      <c r="N739" s="136"/>
      <c r="O739" s="136"/>
      <c r="P739" s="136"/>
      <c r="Q739" s="136"/>
      <c r="R739" s="136"/>
    </row>
    <row r="740">
      <c r="A740" s="136"/>
      <c r="B740" s="136"/>
      <c r="C740" s="136"/>
      <c r="D740" s="136"/>
      <c r="E740" s="136"/>
      <c r="F740" s="201"/>
      <c r="G740" s="136"/>
      <c r="H740" s="136"/>
      <c r="I740" s="136"/>
      <c r="J740" s="136"/>
      <c r="K740" s="136"/>
      <c r="L740" s="136"/>
      <c r="M740" s="136"/>
      <c r="N740" s="136"/>
      <c r="O740" s="136"/>
      <c r="P740" s="136"/>
      <c r="Q740" s="136"/>
      <c r="R740" s="136"/>
    </row>
    <row r="741">
      <c r="A741" s="136"/>
      <c r="B741" s="136"/>
      <c r="C741" s="136"/>
      <c r="D741" s="136"/>
      <c r="E741" s="136"/>
      <c r="F741" s="201"/>
      <c r="G741" s="136"/>
      <c r="H741" s="136"/>
      <c r="I741" s="136"/>
      <c r="J741" s="136"/>
      <c r="K741" s="136"/>
      <c r="L741" s="136"/>
      <c r="M741" s="136"/>
      <c r="N741" s="136"/>
      <c r="O741" s="136"/>
      <c r="P741" s="136"/>
      <c r="Q741" s="136"/>
      <c r="R741" s="136"/>
    </row>
    <row r="742">
      <c r="A742" s="136"/>
      <c r="B742" s="136"/>
      <c r="C742" s="136"/>
      <c r="D742" s="136"/>
      <c r="E742" s="136"/>
      <c r="F742" s="201"/>
      <c r="G742" s="136"/>
      <c r="H742" s="136"/>
      <c r="I742" s="136"/>
      <c r="J742" s="136"/>
      <c r="K742" s="136"/>
      <c r="L742" s="136"/>
      <c r="M742" s="136"/>
      <c r="N742" s="136"/>
      <c r="O742" s="136"/>
      <c r="P742" s="136"/>
      <c r="Q742" s="136"/>
      <c r="R742" s="136"/>
    </row>
    <row r="743">
      <c r="A743" s="136"/>
      <c r="B743" s="136"/>
      <c r="C743" s="136"/>
      <c r="D743" s="136"/>
      <c r="E743" s="136"/>
      <c r="F743" s="201"/>
      <c r="G743" s="136"/>
      <c r="H743" s="136"/>
      <c r="I743" s="136"/>
      <c r="J743" s="136"/>
      <c r="K743" s="136"/>
      <c r="L743" s="136"/>
      <c r="M743" s="136"/>
      <c r="N743" s="136"/>
      <c r="O743" s="136"/>
      <c r="P743" s="136"/>
      <c r="Q743" s="136"/>
      <c r="R743" s="136"/>
    </row>
    <row r="744">
      <c r="A744" s="136"/>
      <c r="B744" s="136"/>
      <c r="C744" s="136"/>
      <c r="D744" s="136"/>
      <c r="E744" s="136"/>
      <c r="F744" s="201"/>
      <c r="G744" s="136"/>
      <c r="H744" s="136"/>
      <c r="I744" s="136"/>
      <c r="J744" s="136"/>
      <c r="K744" s="136"/>
      <c r="L744" s="136"/>
      <c r="M744" s="136"/>
      <c r="N744" s="136"/>
      <c r="O744" s="136"/>
      <c r="P744" s="136"/>
      <c r="Q744" s="136"/>
      <c r="R744" s="136"/>
    </row>
    <row r="745">
      <c r="A745" s="136"/>
      <c r="B745" s="136"/>
      <c r="C745" s="136"/>
      <c r="D745" s="136"/>
      <c r="E745" s="136"/>
      <c r="F745" s="201"/>
      <c r="G745" s="136"/>
      <c r="H745" s="136"/>
      <c r="I745" s="136"/>
      <c r="J745" s="136"/>
      <c r="K745" s="136"/>
      <c r="L745" s="136"/>
      <c r="M745" s="136"/>
      <c r="N745" s="136"/>
      <c r="O745" s="136"/>
      <c r="P745" s="136"/>
      <c r="Q745" s="136"/>
      <c r="R745" s="136"/>
    </row>
    <row r="746">
      <c r="A746" s="136"/>
      <c r="B746" s="136"/>
      <c r="C746" s="136"/>
      <c r="D746" s="136"/>
      <c r="E746" s="136"/>
      <c r="F746" s="201"/>
      <c r="G746" s="136"/>
      <c r="H746" s="136"/>
      <c r="I746" s="136"/>
      <c r="J746" s="136"/>
      <c r="K746" s="136"/>
      <c r="L746" s="136"/>
      <c r="M746" s="136"/>
      <c r="N746" s="136"/>
      <c r="O746" s="136"/>
      <c r="P746" s="136"/>
      <c r="Q746" s="136"/>
      <c r="R746" s="136"/>
    </row>
    <row r="747">
      <c r="A747" s="136"/>
      <c r="B747" s="136"/>
      <c r="C747" s="136"/>
      <c r="D747" s="136"/>
      <c r="E747" s="136"/>
      <c r="F747" s="201"/>
      <c r="G747" s="136"/>
      <c r="H747" s="136"/>
      <c r="I747" s="136"/>
      <c r="J747" s="136"/>
      <c r="K747" s="136"/>
      <c r="L747" s="136"/>
      <c r="M747" s="136"/>
      <c r="N747" s="136"/>
      <c r="O747" s="136"/>
      <c r="P747" s="136"/>
      <c r="Q747" s="136"/>
      <c r="R747" s="136"/>
    </row>
    <row r="748">
      <c r="A748" s="136"/>
      <c r="B748" s="136"/>
      <c r="C748" s="136"/>
      <c r="D748" s="136"/>
      <c r="E748" s="136"/>
      <c r="F748" s="201"/>
      <c r="G748" s="136"/>
      <c r="H748" s="136"/>
      <c r="I748" s="136"/>
      <c r="J748" s="136"/>
      <c r="K748" s="136"/>
      <c r="L748" s="136"/>
      <c r="M748" s="136"/>
      <c r="N748" s="136"/>
      <c r="O748" s="136"/>
      <c r="P748" s="136"/>
      <c r="Q748" s="136"/>
      <c r="R748" s="136"/>
    </row>
    <row r="749">
      <c r="A749" s="136"/>
      <c r="B749" s="136"/>
      <c r="C749" s="136"/>
      <c r="D749" s="136"/>
      <c r="E749" s="136"/>
      <c r="F749" s="201"/>
      <c r="G749" s="136"/>
      <c r="H749" s="136"/>
      <c r="I749" s="136"/>
      <c r="J749" s="136"/>
      <c r="K749" s="136"/>
      <c r="L749" s="136"/>
      <c r="M749" s="136"/>
      <c r="N749" s="136"/>
      <c r="O749" s="136"/>
      <c r="P749" s="136"/>
      <c r="Q749" s="136"/>
      <c r="R749" s="136"/>
    </row>
    <row r="750">
      <c r="A750" s="136"/>
      <c r="B750" s="136"/>
      <c r="C750" s="136"/>
      <c r="D750" s="136"/>
      <c r="E750" s="136"/>
      <c r="F750" s="201"/>
      <c r="G750" s="136"/>
      <c r="H750" s="136"/>
      <c r="I750" s="136"/>
      <c r="J750" s="136"/>
      <c r="K750" s="136"/>
      <c r="L750" s="136"/>
      <c r="M750" s="136"/>
      <c r="N750" s="136"/>
      <c r="O750" s="136"/>
      <c r="P750" s="136"/>
      <c r="Q750" s="136"/>
      <c r="R750" s="136"/>
    </row>
    <row r="751">
      <c r="A751" s="136"/>
      <c r="B751" s="136"/>
      <c r="C751" s="136"/>
      <c r="D751" s="136"/>
      <c r="E751" s="136"/>
      <c r="F751" s="201"/>
      <c r="G751" s="136"/>
      <c r="H751" s="136"/>
      <c r="I751" s="136"/>
      <c r="J751" s="136"/>
      <c r="K751" s="136"/>
      <c r="L751" s="136"/>
      <c r="M751" s="136"/>
      <c r="N751" s="136"/>
      <c r="O751" s="136"/>
      <c r="P751" s="136"/>
      <c r="Q751" s="136"/>
      <c r="R751" s="136"/>
    </row>
    <row r="752">
      <c r="A752" s="136"/>
      <c r="B752" s="136"/>
      <c r="C752" s="136"/>
      <c r="D752" s="136"/>
      <c r="E752" s="136"/>
      <c r="F752" s="201"/>
      <c r="G752" s="136"/>
      <c r="H752" s="136"/>
      <c r="I752" s="136"/>
      <c r="J752" s="136"/>
      <c r="K752" s="136"/>
      <c r="L752" s="136"/>
      <c r="M752" s="136"/>
      <c r="N752" s="136"/>
      <c r="O752" s="136"/>
      <c r="P752" s="136"/>
      <c r="Q752" s="136"/>
      <c r="R752" s="136"/>
    </row>
    <row r="753">
      <c r="A753" s="136"/>
      <c r="B753" s="136"/>
      <c r="C753" s="136"/>
      <c r="D753" s="136"/>
      <c r="E753" s="136"/>
      <c r="F753" s="201"/>
      <c r="G753" s="136"/>
      <c r="H753" s="136"/>
      <c r="I753" s="136"/>
      <c r="J753" s="136"/>
      <c r="K753" s="136"/>
      <c r="L753" s="136"/>
      <c r="M753" s="136"/>
      <c r="N753" s="136"/>
      <c r="O753" s="136"/>
      <c r="P753" s="136"/>
      <c r="Q753" s="136"/>
      <c r="R753" s="136"/>
    </row>
    <row r="754">
      <c r="A754" s="136"/>
      <c r="B754" s="136"/>
      <c r="C754" s="136"/>
      <c r="D754" s="136"/>
      <c r="E754" s="136"/>
      <c r="F754" s="201"/>
      <c r="G754" s="136"/>
      <c r="H754" s="136"/>
      <c r="I754" s="136"/>
      <c r="J754" s="136"/>
      <c r="K754" s="136"/>
      <c r="L754" s="136"/>
      <c r="M754" s="136"/>
      <c r="N754" s="136"/>
      <c r="O754" s="136"/>
      <c r="P754" s="136"/>
      <c r="Q754" s="136"/>
      <c r="R754" s="136"/>
    </row>
    <row r="755">
      <c r="A755" s="136"/>
      <c r="B755" s="136"/>
      <c r="C755" s="136"/>
      <c r="D755" s="136"/>
      <c r="E755" s="136"/>
      <c r="F755" s="201"/>
      <c r="G755" s="136"/>
      <c r="H755" s="136"/>
      <c r="I755" s="136"/>
      <c r="J755" s="136"/>
      <c r="K755" s="136"/>
      <c r="L755" s="136"/>
      <c r="M755" s="136"/>
      <c r="N755" s="136"/>
      <c r="O755" s="136"/>
      <c r="P755" s="136"/>
      <c r="Q755" s="136"/>
      <c r="R755" s="136"/>
    </row>
    <row r="756">
      <c r="A756" s="136"/>
      <c r="B756" s="136"/>
      <c r="C756" s="136"/>
      <c r="D756" s="136"/>
      <c r="E756" s="136"/>
      <c r="F756" s="201"/>
      <c r="G756" s="136"/>
      <c r="H756" s="136"/>
      <c r="I756" s="136"/>
      <c r="J756" s="136"/>
      <c r="K756" s="136"/>
      <c r="L756" s="136"/>
      <c r="M756" s="136"/>
      <c r="N756" s="136"/>
      <c r="O756" s="136"/>
      <c r="P756" s="136"/>
      <c r="Q756" s="136"/>
      <c r="R756" s="136"/>
    </row>
    <row r="757">
      <c r="A757" s="136"/>
      <c r="B757" s="136"/>
      <c r="C757" s="136"/>
      <c r="D757" s="136"/>
      <c r="E757" s="136"/>
      <c r="F757" s="201"/>
      <c r="G757" s="136"/>
      <c r="H757" s="136"/>
      <c r="I757" s="136"/>
      <c r="J757" s="136"/>
      <c r="K757" s="136"/>
      <c r="L757" s="136"/>
      <c r="M757" s="136"/>
      <c r="N757" s="136"/>
      <c r="O757" s="136"/>
      <c r="P757" s="136"/>
      <c r="Q757" s="136"/>
      <c r="R757" s="136"/>
    </row>
    <row r="758">
      <c r="A758" s="136"/>
      <c r="B758" s="136"/>
      <c r="C758" s="136"/>
      <c r="D758" s="136"/>
      <c r="E758" s="136"/>
      <c r="F758" s="201"/>
      <c r="G758" s="136"/>
      <c r="H758" s="136"/>
      <c r="I758" s="136"/>
      <c r="J758" s="136"/>
      <c r="K758" s="136"/>
      <c r="L758" s="136"/>
      <c r="M758" s="136"/>
      <c r="N758" s="136"/>
      <c r="O758" s="136"/>
      <c r="P758" s="136"/>
      <c r="Q758" s="136"/>
      <c r="R758" s="136"/>
    </row>
    <row r="759">
      <c r="A759" s="136"/>
      <c r="B759" s="136"/>
      <c r="C759" s="136"/>
      <c r="D759" s="136"/>
      <c r="E759" s="136"/>
      <c r="F759" s="201"/>
      <c r="G759" s="136"/>
      <c r="H759" s="136"/>
      <c r="I759" s="136"/>
      <c r="J759" s="136"/>
      <c r="K759" s="136"/>
      <c r="L759" s="136"/>
      <c r="M759" s="136"/>
      <c r="N759" s="136"/>
      <c r="O759" s="136"/>
      <c r="P759" s="136"/>
      <c r="Q759" s="136"/>
      <c r="R759" s="136"/>
    </row>
    <row r="760">
      <c r="A760" s="136"/>
      <c r="B760" s="136"/>
      <c r="C760" s="136"/>
      <c r="D760" s="136"/>
      <c r="E760" s="136"/>
      <c r="F760" s="201"/>
      <c r="G760" s="136"/>
      <c r="H760" s="136"/>
      <c r="I760" s="136"/>
      <c r="J760" s="136"/>
      <c r="K760" s="136"/>
      <c r="L760" s="136"/>
      <c r="M760" s="136"/>
      <c r="N760" s="136"/>
      <c r="O760" s="136"/>
      <c r="P760" s="136"/>
      <c r="Q760" s="136"/>
      <c r="R760" s="136"/>
    </row>
    <row r="761">
      <c r="A761" s="136"/>
      <c r="B761" s="136"/>
      <c r="C761" s="136"/>
      <c r="D761" s="136"/>
      <c r="E761" s="136"/>
      <c r="F761" s="201"/>
      <c r="G761" s="136"/>
      <c r="H761" s="136"/>
      <c r="I761" s="136"/>
      <c r="J761" s="136"/>
      <c r="K761" s="136"/>
      <c r="L761" s="136"/>
      <c r="M761" s="136"/>
      <c r="N761" s="136"/>
      <c r="O761" s="136"/>
      <c r="P761" s="136"/>
      <c r="Q761" s="136"/>
      <c r="R761" s="136"/>
    </row>
    <row r="762">
      <c r="A762" s="136"/>
      <c r="B762" s="136"/>
      <c r="C762" s="136"/>
      <c r="D762" s="136"/>
      <c r="E762" s="136"/>
      <c r="F762" s="201"/>
      <c r="G762" s="136"/>
      <c r="H762" s="136"/>
      <c r="I762" s="136"/>
      <c r="J762" s="136"/>
      <c r="K762" s="136"/>
      <c r="L762" s="136"/>
      <c r="M762" s="136"/>
      <c r="N762" s="136"/>
      <c r="O762" s="136"/>
      <c r="P762" s="136"/>
      <c r="Q762" s="136"/>
      <c r="R762" s="136"/>
    </row>
    <row r="763">
      <c r="A763" s="136"/>
      <c r="B763" s="136"/>
      <c r="C763" s="136"/>
      <c r="D763" s="136"/>
      <c r="E763" s="136"/>
      <c r="F763" s="201"/>
      <c r="G763" s="136"/>
      <c r="H763" s="136"/>
      <c r="I763" s="136"/>
      <c r="J763" s="136"/>
      <c r="K763" s="136"/>
      <c r="L763" s="136"/>
      <c r="M763" s="136"/>
      <c r="N763" s="136"/>
      <c r="O763" s="136"/>
      <c r="P763" s="136"/>
      <c r="Q763" s="136"/>
      <c r="R763" s="136"/>
    </row>
    <row r="764">
      <c r="A764" s="136"/>
      <c r="B764" s="136"/>
      <c r="C764" s="136"/>
      <c r="D764" s="136"/>
      <c r="E764" s="136"/>
      <c r="F764" s="201"/>
      <c r="G764" s="136"/>
      <c r="H764" s="136"/>
      <c r="I764" s="136"/>
      <c r="J764" s="136"/>
      <c r="K764" s="136"/>
      <c r="L764" s="136"/>
      <c r="M764" s="136"/>
      <c r="N764" s="136"/>
      <c r="O764" s="136"/>
      <c r="P764" s="136"/>
      <c r="Q764" s="136"/>
      <c r="R764" s="136"/>
    </row>
    <row r="765">
      <c r="A765" s="136"/>
      <c r="B765" s="136"/>
      <c r="C765" s="136"/>
      <c r="D765" s="136"/>
      <c r="E765" s="136"/>
      <c r="F765" s="201"/>
      <c r="G765" s="136"/>
      <c r="H765" s="136"/>
      <c r="I765" s="136"/>
      <c r="J765" s="136"/>
      <c r="K765" s="136"/>
      <c r="L765" s="136"/>
      <c r="M765" s="136"/>
      <c r="N765" s="136"/>
      <c r="O765" s="136"/>
      <c r="P765" s="136"/>
      <c r="Q765" s="136"/>
      <c r="R765" s="136"/>
    </row>
    <row r="766">
      <c r="A766" s="136"/>
      <c r="B766" s="136"/>
      <c r="C766" s="136"/>
      <c r="D766" s="136"/>
      <c r="E766" s="136"/>
      <c r="F766" s="201"/>
      <c r="G766" s="136"/>
      <c r="H766" s="136"/>
      <c r="I766" s="136"/>
      <c r="J766" s="136"/>
      <c r="K766" s="136"/>
      <c r="L766" s="136"/>
      <c r="M766" s="136"/>
      <c r="N766" s="136"/>
      <c r="O766" s="136"/>
      <c r="P766" s="136"/>
      <c r="Q766" s="136"/>
      <c r="R766" s="136"/>
    </row>
    <row r="767">
      <c r="A767" s="136"/>
      <c r="B767" s="136"/>
      <c r="C767" s="136"/>
      <c r="D767" s="136"/>
      <c r="E767" s="136"/>
      <c r="F767" s="201"/>
      <c r="G767" s="136"/>
      <c r="H767" s="136"/>
      <c r="I767" s="136"/>
      <c r="J767" s="136"/>
      <c r="K767" s="136"/>
      <c r="L767" s="136"/>
      <c r="M767" s="136"/>
      <c r="N767" s="136"/>
      <c r="O767" s="136"/>
      <c r="P767" s="136"/>
      <c r="Q767" s="136"/>
      <c r="R767" s="136"/>
    </row>
    <row r="768">
      <c r="A768" s="136"/>
      <c r="B768" s="136"/>
      <c r="C768" s="136"/>
      <c r="D768" s="136"/>
      <c r="E768" s="136"/>
      <c r="F768" s="201"/>
      <c r="G768" s="136"/>
      <c r="H768" s="136"/>
      <c r="I768" s="136"/>
      <c r="J768" s="136"/>
      <c r="K768" s="136"/>
      <c r="L768" s="136"/>
      <c r="M768" s="136"/>
      <c r="N768" s="136"/>
      <c r="O768" s="136"/>
      <c r="P768" s="136"/>
      <c r="Q768" s="136"/>
      <c r="R768" s="136"/>
    </row>
    <row r="769">
      <c r="A769" s="136"/>
      <c r="B769" s="136"/>
      <c r="C769" s="136"/>
      <c r="D769" s="136"/>
      <c r="E769" s="136"/>
      <c r="F769" s="201"/>
      <c r="G769" s="136"/>
      <c r="H769" s="136"/>
      <c r="I769" s="136"/>
      <c r="J769" s="136"/>
      <c r="K769" s="136"/>
      <c r="L769" s="136"/>
      <c r="M769" s="136"/>
      <c r="N769" s="136"/>
      <c r="O769" s="136"/>
      <c r="P769" s="136"/>
      <c r="Q769" s="136"/>
      <c r="R769" s="136"/>
    </row>
    <row r="770">
      <c r="A770" s="136"/>
      <c r="B770" s="136"/>
      <c r="C770" s="136"/>
      <c r="D770" s="136"/>
      <c r="E770" s="136"/>
      <c r="F770" s="201"/>
      <c r="G770" s="136"/>
      <c r="H770" s="136"/>
      <c r="I770" s="136"/>
      <c r="J770" s="136"/>
      <c r="K770" s="136"/>
      <c r="L770" s="136"/>
      <c r="M770" s="136"/>
      <c r="N770" s="136"/>
      <c r="O770" s="136"/>
      <c r="P770" s="136"/>
      <c r="Q770" s="136"/>
      <c r="R770" s="136"/>
    </row>
    <row r="771">
      <c r="A771" s="136"/>
      <c r="B771" s="136"/>
      <c r="C771" s="136"/>
      <c r="D771" s="136"/>
      <c r="E771" s="136"/>
      <c r="F771" s="201"/>
      <c r="G771" s="136"/>
      <c r="H771" s="136"/>
      <c r="I771" s="136"/>
      <c r="J771" s="136"/>
      <c r="K771" s="136"/>
      <c r="L771" s="136"/>
      <c r="M771" s="136"/>
      <c r="N771" s="136"/>
      <c r="O771" s="136"/>
      <c r="P771" s="136"/>
      <c r="Q771" s="136"/>
      <c r="R771" s="136"/>
    </row>
    <row r="772">
      <c r="A772" s="136"/>
      <c r="B772" s="136"/>
      <c r="C772" s="136"/>
      <c r="D772" s="136"/>
      <c r="E772" s="136"/>
      <c r="F772" s="201"/>
      <c r="G772" s="136"/>
      <c r="H772" s="136"/>
      <c r="I772" s="136"/>
      <c r="J772" s="136"/>
      <c r="K772" s="136"/>
      <c r="L772" s="136"/>
      <c r="M772" s="136"/>
      <c r="N772" s="136"/>
      <c r="O772" s="136"/>
      <c r="P772" s="136"/>
      <c r="Q772" s="136"/>
      <c r="R772" s="136"/>
    </row>
    <row r="773">
      <c r="A773" s="136"/>
      <c r="B773" s="136"/>
      <c r="C773" s="136"/>
      <c r="D773" s="136"/>
      <c r="E773" s="136"/>
      <c r="F773" s="201"/>
      <c r="G773" s="136"/>
      <c r="H773" s="136"/>
      <c r="I773" s="136"/>
      <c r="J773" s="136"/>
      <c r="K773" s="136"/>
      <c r="L773" s="136"/>
      <c r="M773" s="136"/>
      <c r="N773" s="136"/>
      <c r="O773" s="136"/>
      <c r="P773" s="136"/>
      <c r="Q773" s="136"/>
      <c r="R773" s="136"/>
    </row>
    <row r="774">
      <c r="A774" s="136"/>
      <c r="B774" s="136"/>
      <c r="C774" s="136"/>
      <c r="D774" s="136"/>
      <c r="E774" s="136"/>
      <c r="F774" s="201"/>
      <c r="G774" s="136"/>
      <c r="H774" s="136"/>
      <c r="I774" s="136"/>
      <c r="J774" s="136"/>
      <c r="K774" s="136"/>
      <c r="L774" s="136"/>
      <c r="M774" s="136"/>
      <c r="N774" s="136"/>
      <c r="O774" s="136"/>
      <c r="P774" s="136"/>
      <c r="Q774" s="136"/>
      <c r="R774" s="136"/>
    </row>
    <row r="775">
      <c r="A775" s="136"/>
      <c r="B775" s="136"/>
      <c r="C775" s="136"/>
      <c r="D775" s="136"/>
      <c r="E775" s="136"/>
      <c r="F775" s="201"/>
      <c r="G775" s="136"/>
      <c r="H775" s="136"/>
      <c r="I775" s="136"/>
      <c r="J775" s="136"/>
      <c r="K775" s="136"/>
      <c r="L775" s="136"/>
      <c r="M775" s="136"/>
      <c r="N775" s="136"/>
      <c r="O775" s="136"/>
      <c r="P775" s="136"/>
      <c r="Q775" s="136"/>
      <c r="R775" s="136"/>
    </row>
    <row r="776">
      <c r="A776" s="136"/>
      <c r="B776" s="136"/>
      <c r="C776" s="136"/>
      <c r="D776" s="136"/>
      <c r="E776" s="136"/>
      <c r="F776" s="201"/>
      <c r="G776" s="136"/>
      <c r="H776" s="136"/>
      <c r="I776" s="136"/>
      <c r="J776" s="136"/>
      <c r="K776" s="136"/>
      <c r="L776" s="136"/>
      <c r="M776" s="136"/>
      <c r="N776" s="136"/>
      <c r="O776" s="136"/>
      <c r="P776" s="136"/>
      <c r="Q776" s="136"/>
      <c r="R776" s="136"/>
    </row>
    <row r="777">
      <c r="A777" s="136"/>
      <c r="B777" s="136"/>
      <c r="C777" s="136"/>
      <c r="D777" s="136"/>
      <c r="E777" s="136"/>
      <c r="F777" s="201"/>
      <c r="G777" s="136"/>
      <c r="H777" s="136"/>
      <c r="I777" s="136"/>
      <c r="J777" s="136"/>
      <c r="K777" s="136"/>
      <c r="L777" s="136"/>
      <c r="M777" s="136"/>
      <c r="N777" s="136"/>
      <c r="O777" s="136"/>
      <c r="P777" s="136"/>
      <c r="Q777" s="136"/>
      <c r="R777" s="136"/>
    </row>
    <row r="778">
      <c r="A778" s="136"/>
      <c r="B778" s="136"/>
      <c r="C778" s="136"/>
      <c r="D778" s="136"/>
      <c r="E778" s="136"/>
      <c r="F778" s="201"/>
      <c r="G778" s="136"/>
      <c r="H778" s="136"/>
      <c r="I778" s="136"/>
      <c r="J778" s="136"/>
      <c r="K778" s="136"/>
      <c r="L778" s="136"/>
      <c r="M778" s="136"/>
      <c r="N778" s="136"/>
      <c r="O778" s="136"/>
      <c r="P778" s="136"/>
      <c r="Q778" s="136"/>
      <c r="R778" s="136"/>
    </row>
    <row r="779">
      <c r="A779" s="136"/>
      <c r="B779" s="136"/>
      <c r="C779" s="136"/>
      <c r="D779" s="136"/>
      <c r="E779" s="136"/>
      <c r="F779" s="201"/>
      <c r="G779" s="136"/>
      <c r="H779" s="136"/>
      <c r="I779" s="136"/>
      <c r="J779" s="136"/>
      <c r="K779" s="136"/>
      <c r="L779" s="136"/>
      <c r="M779" s="136"/>
      <c r="N779" s="136"/>
      <c r="O779" s="136"/>
      <c r="P779" s="136"/>
      <c r="Q779" s="136"/>
      <c r="R779" s="136"/>
    </row>
    <row r="780">
      <c r="A780" s="136"/>
      <c r="B780" s="136"/>
      <c r="C780" s="136"/>
      <c r="D780" s="136"/>
      <c r="E780" s="136"/>
      <c r="F780" s="201"/>
      <c r="G780" s="136"/>
      <c r="H780" s="136"/>
      <c r="I780" s="136"/>
      <c r="J780" s="136"/>
      <c r="K780" s="136"/>
      <c r="L780" s="136"/>
      <c r="M780" s="136"/>
      <c r="N780" s="136"/>
      <c r="O780" s="136"/>
      <c r="P780" s="136"/>
      <c r="Q780" s="136"/>
      <c r="R780" s="136"/>
    </row>
    <row r="781">
      <c r="A781" s="136"/>
      <c r="B781" s="136"/>
      <c r="C781" s="136"/>
      <c r="D781" s="136"/>
      <c r="E781" s="136"/>
      <c r="F781" s="201"/>
      <c r="G781" s="136"/>
      <c r="H781" s="136"/>
      <c r="I781" s="136"/>
      <c r="J781" s="136"/>
      <c r="K781" s="136"/>
      <c r="L781" s="136"/>
      <c r="M781" s="136"/>
      <c r="N781" s="136"/>
      <c r="O781" s="136"/>
      <c r="P781" s="136"/>
      <c r="Q781" s="136"/>
      <c r="R781" s="136"/>
    </row>
    <row r="782">
      <c r="A782" s="136"/>
      <c r="B782" s="136"/>
      <c r="C782" s="136"/>
      <c r="D782" s="136"/>
      <c r="E782" s="136"/>
      <c r="F782" s="201"/>
      <c r="G782" s="136"/>
      <c r="H782" s="136"/>
      <c r="I782" s="136"/>
      <c r="J782" s="136"/>
      <c r="K782" s="136"/>
      <c r="L782" s="136"/>
      <c r="M782" s="136"/>
      <c r="N782" s="136"/>
      <c r="O782" s="136"/>
      <c r="P782" s="136"/>
      <c r="Q782" s="136"/>
      <c r="R782" s="136"/>
    </row>
    <row r="783">
      <c r="A783" s="136"/>
      <c r="B783" s="136"/>
      <c r="C783" s="136"/>
      <c r="D783" s="136"/>
      <c r="E783" s="136"/>
      <c r="F783" s="201"/>
      <c r="G783" s="136"/>
      <c r="H783" s="136"/>
      <c r="I783" s="136"/>
      <c r="J783" s="136"/>
      <c r="K783" s="136"/>
      <c r="L783" s="136"/>
      <c r="M783" s="136"/>
      <c r="N783" s="136"/>
      <c r="O783" s="136"/>
      <c r="P783" s="136"/>
      <c r="Q783" s="136"/>
      <c r="R783" s="136"/>
    </row>
    <row r="784">
      <c r="A784" s="136"/>
      <c r="B784" s="136"/>
      <c r="C784" s="136"/>
      <c r="D784" s="136"/>
      <c r="E784" s="136"/>
      <c r="F784" s="201"/>
      <c r="G784" s="136"/>
      <c r="H784" s="136"/>
      <c r="I784" s="136"/>
      <c r="J784" s="136"/>
      <c r="K784" s="136"/>
      <c r="L784" s="136"/>
      <c r="M784" s="136"/>
      <c r="N784" s="136"/>
      <c r="O784" s="136"/>
      <c r="P784" s="136"/>
      <c r="Q784" s="136"/>
      <c r="R784" s="136"/>
    </row>
    <row r="785">
      <c r="A785" s="136"/>
      <c r="B785" s="136"/>
      <c r="C785" s="136"/>
      <c r="D785" s="136"/>
      <c r="E785" s="136"/>
      <c r="F785" s="201"/>
      <c r="G785" s="136"/>
      <c r="H785" s="136"/>
      <c r="I785" s="136"/>
      <c r="J785" s="136"/>
      <c r="K785" s="136"/>
      <c r="L785" s="136"/>
      <c r="M785" s="136"/>
      <c r="N785" s="136"/>
      <c r="O785" s="136"/>
      <c r="P785" s="136"/>
      <c r="Q785" s="136"/>
      <c r="R785" s="136"/>
    </row>
    <row r="786">
      <c r="A786" s="136"/>
      <c r="B786" s="136"/>
      <c r="C786" s="136"/>
      <c r="D786" s="136"/>
      <c r="E786" s="136"/>
      <c r="F786" s="201"/>
      <c r="G786" s="136"/>
      <c r="H786" s="136"/>
      <c r="I786" s="136"/>
      <c r="J786" s="136"/>
      <c r="K786" s="136"/>
      <c r="L786" s="136"/>
      <c r="M786" s="136"/>
      <c r="N786" s="136"/>
      <c r="O786" s="136"/>
      <c r="P786" s="136"/>
      <c r="Q786" s="136"/>
      <c r="R786" s="136"/>
    </row>
    <row r="787">
      <c r="A787" s="136"/>
      <c r="B787" s="136"/>
      <c r="C787" s="136"/>
      <c r="D787" s="136"/>
      <c r="E787" s="136"/>
      <c r="F787" s="201"/>
      <c r="G787" s="136"/>
      <c r="H787" s="136"/>
      <c r="I787" s="136"/>
      <c r="J787" s="136"/>
      <c r="K787" s="136"/>
      <c r="L787" s="136"/>
      <c r="M787" s="136"/>
      <c r="N787" s="136"/>
      <c r="O787" s="136"/>
      <c r="P787" s="136"/>
      <c r="Q787" s="136"/>
      <c r="R787" s="136"/>
    </row>
    <row r="788">
      <c r="A788" s="136"/>
      <c r="B788" s="136"/>
      <c r="C788" s="136"/>
      <c r="D788" s="136"/>
      <c r="E788" s="136"/>
      <c r="F788" s="201"/>
      <c r="G788" s="136"/>
      <c r="H788" s="136"/>
      <c r="I788" s="136"/>
      <c r="J788" s="136"/>
      <c r="K788" s="136"/>
      <c r="L788" s="136"/>
      <c r="M788" s="136"/>
      <c r="N788" s="136"/>
      <c r="O788" s="136"/>
      <c r="P788" s="136"/>
      <c r="Q788" s="136"/>
      <c r="R788" s="136"/>
    </row>
    <row r="789">
      <c r="A789" s="136"/>
      <c r="B789" s="136"/>
      <c r="C789" s="136"/>
      <c r="D789" s="136"/>
      <c r="E789" s="136"/>
      <c r="F789" s="201"/>
      <c r="G789" s="136"/>
      <c r="H789" s="136"/>
      <c r="I789" s="136"/>
      <c r="J789" s="136"/>
      <c r="K789" s="136"/>
      <c r="L789" s="136"/>
      <c r="M789" s="136"/>
      <c r="N789" s="136"/>
      <c r="O789" s="136"/>
      <c r="P789" s="136"/>
      <c r="Q789" s="136"/>
      <c r="R789" s="136"/>
    </row>
    <row r="790">
      <c r="A790" s="136"/>
      <c r="B790" s="136"/>
      <c r="C790" s="136"/>
      <c r="D790" s="136"/>
      <c r="E790" s="136"/>
      <c r="F790" s="201"/>
      <c r="G790" s="136"/>
      <c r="H790" s="136"/>
      <c r="I790" s="136"/>
      <c r="J790" s="136"/>
      <c r="K790" s="136"/>
      <c r="L790" s="136"/>
      <c r="M790" s="136"/>
      <c r="N790" s="136"/>
      <c r="O790" s="136"/>
      <c r="P790" s="136"/>
      <c r="Q790" s="136"/>
      <c r="R790" s="136"/>
    </row>
    <row r="791">
      <c r="A791" s="136"/>
      <c r="B791" s="136"/>
      <c r="C791" s="136"/>
      <c r="D791" s="136"/>
      <c r="E791" s="136"/>
      <c r="F791" s="201"/>
      <c r="G791" s="136"/>
      <c r="H791" s="136"/>
      <c r="I791" s="136"/>
      <c r="J791" s="136"/>
      <c r="K791" s="136"/>
      <c r="L791" s="136"/>
      <c r="M791" s="136"/>
      <c r="N791" s="136"/>
      <c r="O791" s="136"/>
      <c r="P791" s="136"/>
      <c r="Q791" s="136"/>
      <c r="R791" s="136"/>
    </row>
    <row r="792">
      <c r="A792" s="136"/>
      <c r="B792" s="136"/>
      <c r="C792" s="136"/>
      <c r="D792" s="136"/>
      <c r="E792" s="136"/>
      <c r="F792" s="201"/>
      <c r="G792" s="136"/>
      <c r="H792" s="136"/>
      <c r="I792" s="136"/>
      <c r="J792" s="136"/>
      <c r="K792" s="136"/>
      <c r="L792" s="136"/>
      <c r="M792" s="136"/>
      <c r="N792" s="136"/>
      <c r="O792" s="136"/>
      <c r="P792" s="136"/>
      <c r="Q792" s="136"/>
      <c r="R792" s="136"/>
    </row>
    <row r="793">
      <c r="A793" s="136"/>
      <c r="B793" s="136"/>
      <c r="C793" s="136"/>
      <c r="D793" s="136"/>
      <c r="E793" s="136"/>
      <c r="F793" s="201"/>
      <c r="G793" s="136"/>
      <c r="H793" s="136"/>
      <c r="I793" s="136"/>
      <c r="J793" s="136"/>
      <c r="K793" s="136"/>
      <c r="L793" s="136"/>
      <c r="M793" s="136"/>
      <c r="N793" s="136"/>
      <c r="O793" s="136"/>
      <c r="P793" s="136"/>
      <c r="Q793" s="136"/>
      <c r="R793" s="136"/>
    </row>
    <row r="794">
      <c r="A794" s="136"/>
      <c r="B794" s="136"/>
      <c r="C794" s="136"/>
      <c r="D794" s="136"/>
      <c r="E794" s="136"/>
      <c r="F794" s="201"/>
      <c r="G794" s="136"/>
      <c r="H794" s="136"/>
      <c r="I794" s="136"/>
      <c r="J794" s="136"/>
      <c r="K794" s="136"/>
      <c r="L794" s="136"/>
      <c r="M794" s="136"/>
      <c r="N794" s="136"/>
      <c r="O794" s="136"/>
      <c r="P794" s="136"/>
      <c r="Q794" s="136"/>
      <c r="R794" s="136"/>
    </row>
    <row r="795">
      <c r="A795" s="136"/>
      <c r="B795" s="136"/>
      <c r="C795" s="136"/>
      <c r="D795" s="136"/>
      <c r="E795" s="136"/>
      <c r="F795" s="201"/>
      <c r="G795" s="136"/>
      <c r="H795" s="136"/>
      <c r="I795" s="136"/>
      <c r="J795" s="136"/>
      <c r="K795" s="136"/>
      <c r="L795" s="136"/>
      <c r="M795" s="136"/>
      <c r="N795" s="136"/>
      <c r="O795" s="136"/>
      <c r="P795" s="136"/>
      <c r="Q795" s="136"/>
      <c r="R795" s="136"/>
    </row>
    <row r="796">
      <c r="A796" s="136"/>
      <c r="B796" s="136"/>
      <c r="C796" s="136"/>
      <c r="D796" s="136"/>
      <c r="E796" s="136"/>
      <c r="F796" s="201"/>
      <c r="G796" s="136"/>
      <c r="H796" s="136"/>
      <c r="I796" s="136"/>
      <c r="J796" s="136"/>
      <c r="K796" s="136"/>
      <c r="L796" s="136"/>
      <c r="M796" s="136"/>
      <c r="N796" s="136"/>
      <c r="O796" s="136"/>
      <c r="P796" s="136"/>
      <c r="Q796" s="136"/>
      <c r="R796" s="136"/>
    </row>
    <row r="797">
      <c r="A797" s="136"/>
      <c r="B797" s="136"/>
      <c r="C797" s="136"/>
      <c r="D797" s="136"/>
      <c r="E797" s="136"/>
      <c r="F797" s="201"/>
      <c r="G797" s="136"/>
      <c r="H797" s="136"/>
      <c r="I797" s="136"/>
      <c r="J797" s="136"/>
      <c r="K797" s="136"/>
      <c r="L797" s="136"/>
      <c r="M797" s="136"/>
      <c r="N797" s="136"/>
      <c r="O797" s="136"/>
      <c r="P797" s="136"/>
      <c r="Q797" s="136"/>
      <c r="R797" s="136"/>
    </row>
    <row r="798">
      <c r="A798" s="136"/>
      <c r="B798" s="136"/>
      <c r="C798" s="136"/>
      <c r="D798" s="136"/>
      <c r="E798" s="136"/>
      <c r="F798" s="201"/>
      <c r="G798" s="136"/>
      <c r="H798" s="136"/>
      <c r="I798" s="136"/>
      <c r="J798" s="136"/>
      <c r="K798" s="136"/>
      <c r="L798" s="136"/>
      <c r="M798" s="136"/>
      <c r="N798" s="136"/>
      <c r="O798" s="136"/>
      <c r="P798" s="136"/>
      <c r="Q798" s="136"/>
      <c r="R798" s="136"/>
    </row>
    <row r="799">
      <c r="A799" s="136"/>
      <c r="B799" s="136"/>
      <c r="C799" s="136"/>
      <c r="D799" s="136"/>
      <c r="E799" s="136"/>
      <c r="F799" s="201"/>
      <c r="G799" s="136"/>
      <c r="H799" s="136"/>
      <c r="I799" s="136"/>
      <c r="J799" s="136"/>
      <c r="K799" s="136"/>
      <c r="L799" s="136"/>
      <c r="M799" s="136"/>
      <c r="N799" s="136"/>
      <c r="O799" s="136"/>
      <c r="P799" s="136"/>
      <c r="Q799" s="136"/>
      <c r="R799" s="136"/>
    </row>
    <row r="800">
      <c r="A800" s="136"/>
      <c r="B800" s="136"/>
      <c r="C800" s="136"/>
      <c r="D800" s="136"/>
      <c r="E800" s="136"/>
      <c r="F800" s="201"/>
      <c r="G800" s="136"/>
      <c r="H800" s="136"/>
      <c r="I800" s="136"/>
      <c r="J800" s="136"/>
      <c r="K800" s="136"/>
      <c r="L800" s="136"/>
      <c r="M800" s="136"/>
      <c r="N800" s="136"/>
      <c r="O800" s="136"/>
      <c r="P800" s="136"/>
      <c r="Q800" s="136"/>
      <c r="R800" s="136"/>
    </row>
    <row r="801">
      <c r="A801" s="136"/>
      <c r="B801" s="136"/>
      <c r="C801" s="136"/>
      <c r="D801" s="136"/>
      <c r="E801" s="136"/>
      <c r="F801" s="201"/>
      <c r="G801" s="136"/>
      <c r="H801" s="136"/>
      <c r="I801" s="136"/>
      <c r="J801" s="136"/>
      <c r="K801" s="136"/>
      <c r="L801" s="136"/>
      <c r="M801" s="136"/>
      <c r="N801" s="136"/>
      <c r="O801" s="136"/>
      <c r="P801" s="136"/>
      <c r="Q801" s="136"/>
      <c r="R801" s="136"/>
    </row>
    <row r="802">
      <c r="A802" s="136"/>
      <c r="B802" s="136"/>
      <c r="C802" s="136"/>
      <c r="D802" s="136"/>
      <c r="E802" s="136"/>
      <c r="F802" s="201"/>
      <c r="G802" s="136"/>
      <c r="H802" s="136"/>
      <c r="I802" s="136"/>
      <c r="J802" s="136"/>
      <c r="K802" s="136"/>
      <c r="L802" s="136"/>
      <c r="M802" s="136"/>
      <c r="N802" s="136"/>
      <c r="O802" s="136"/>
      <c r="P802" s="136"/>
      <c r="Q802" s="136"/>
      <c r="R802" s="136"/>
    </row>
    <row r="803">
      <c r="A803" s="136"/>
      <c r="B803" s="136"/>
      <c r="C803" s="136"/>
      <c r="D803" s="136"/>
      <c r="E803" s="136"/>
      <c r="F803" s="201"/>
      <c r="G803" s="136"/>
      <c r="H803" s="136"/>
      <c r="I803" s="136"/>
      <c r="J803" s="136"/>
      <c r="K803" s="136"/>
      <c r="L803" s="136"/>
      <c r="M803" s="136"/>
      <c r="N803" s="136"/>
      <c r="O803" s="136"/>
      <c r="P803" s="136"/>
      <c r="Q803" s="136"/>
      <c r="R803" s="136"/>
    </row>
    <row r="804">
      <c r="A804" s="136"/>
      <c r="B804" s="136"/>
      <c r="C804" s="136"/>
      <c r="D804" s="136"/>
      <c r="E804" s="136"/>
      <c r="F804" s="201"/>
      <c r="G804" s="136"/>
      <c r="H804" s="136"/>
      <c r="I804" s="136"/>
      <c r="J804" s="136"/>
      <c r="K804" s="136"/>
      <c r="L804" s="136"/>
      <c r="M804" s="136"/>
      <c r="N804" s="136"/>
      <c r="O804" s="136"/>
      <c r="P804" s="136"/>
      <c r="Q804" s="136"/>
      <c r="R804" s="136"/>
    </row>
    <row r="805">
      <c r="A805" s="136"/>
      <c r="B805" s="136"/>
      <c r="C805" s="136"/>
      <c r="D805" s="136"/>
      <c r="E805" s="136"/>
      <c r="F805" s="201"/>
      <c r="G805" s="136"/>
      <c r="H805" s="136"/>
      <c r="I805" s="136"/>
      <c r="J805" s="136"/>
      <c r="K805" s="136"/>
      <c r="L805" s="136"/>
      <c r="M805" s="136"/>
      <c r="N805" s="136"/>
      <c r="O805" s="136"/>
      <c r="P805" s="136"/>
      <c r="Q805" s="136"/>
      <c r="R805" s="136"/>
    </row>
    <row r="806">
      <c r="A806" s="136"/>
      <c r="B806" s="136"/>
      <c r="C806" s="136"/>
      <c r="D806" s="136"/>
      <c r="E806" s="136"/>
      <c r="F806" s="201"/>
      <c r="G806" s="136"/>
      <c r="H806" s="136"/>
      <c r="I806" s="136"/>
      <c r="J806" s="136"/>
      <c r="K806" s="136"/>
      <c r="L806" s="136"/>
      <c r="M806" s="136"/>
      <c r="N806" s="136"/>
      <c r="O806" s="136"/>
      <c r="P806" s="136"/>
      <c r="Q806" s="136"/>
      <c r="R806" s="136"/>
    </row>
    <row r="807">
      <c r="A807" s="136"/>
      <c r="B807" s="136"/>
      <c r="C807" s="136"/>
      <c r="D807" s="136"/>
      <c r="E807" s="136"/>
      <c r="F807" s="201"/>
      <c r="G807" s="136"/>
      <c r="H807" s="136"/>
      <c r="I807" s="136"/>
      <c r="J807" s="136"/>
      <c r="K807" s="136"/>
      <c r="L807" s="136"/>
      <c r="M807" s="136"/>
      <c r="N807" s="136"/>
      <c r="O807" s="136"/>
      <c r="P807" s="136"/>
      <c r="Q807" s="136"/>
      <c r="R807" s="136"/>
    </row>
    <row r="808">
      <c r="A808" s="136"/>
      <c r="B808" s="136"/>
      <c r="C808" s="136"/>
      <c r="D808" s="136"/>
      <c r="E808" s="136"/>
      <c r="F808" s="201"/>
      <c r="G808" s="136"/>
      <c r="H808" s="136"/>
      <c r="I808" s="136"/>
      <c r="J808" s="136"/>
      <c r="K808" s="136"/>
      <c r="L808" s="136"/>
      <c r="M808" s="136"/>
      <c r="N808" s="136"/>
      <c r="O808" s="136"/>
      <c r="P808" s="136"/>
      <c r="Q808" s="136"/>
      <c r="R808" s="136"/>
    </row>
    <row r="809">
      <c r="A809" s="136"/>
      <c r="B809" s="136"/>
      <c r="C809" s="136"/>
      <c r="D809" s="136"/>
      <c r="E809" s="136"/>
      <c r="F809" s="201"/>
      <c r="G809" s="136"/>
      <c r="H809" s="136"/>
      <c r="I809" s="136"/>
      <c r="J809" s="136"/>
      <c r="K809" s="136"/>
      <c r="L809" s="136"/>
      <c r="M809" s="136"/>
      <c r="N809" s="136"/>
      <c r="O809" s="136"/>
      <c r="P809" s="136"/>
      <c r="Q809" s="136"/>
      <c r="R809" s="136"/>
    </row>
    <row r="810">
      <c r="A810" s="136"/>
      <c r="B810" s="136"/>
      <c r="C810" s="136"/>
      <c r="D810" s="136"/>
      <c r="E810" s="136"/>
      <c r="F810" s="201"/>
      <c r="G810" s="136"/>
      <c r="H810" s="136"/>
      <c r="I810" s="136"/>
      <c r="J810" s="136"/>
      <c r="K810" s="136"/>
      <c r="L810" s="136"/>
      <c r="M810" s="136"/>
      <c r="N810" s="136"/>
      <c r="O810" s="136"/>
      <c r="P810" s="136"/>
      <c r="Q810" s="136"/>
      <c r="R810" s="136"/>
    </row>
    <row r="811">
      <c r="A811" s="136"/>
      <c r="B811" s="136"/>
      <c r="C811" s="136"/>
      <c r="D811" s="136"/>
      <c r="E811" s="136"/>
      <c r="F811" s="201"/>
      <c r="G811" s="136"/>
      <c r="H811" s="136"/>
      <c r="I811" s="136"/>
      <c r="J811" s="136"/>
      <c r="K811" s="136"/>
      <c r="L811" s="136"/>
      <c r="M811" s="136"/>
      <c r="N811" s="136"/>
      <c r="O811" s="136"/>
      <c r="P811" s="136"/>
      <c r="Q811" s="136"/>
      <c r="R811" s="136"/>
    </row>
    <row r="812">
      <c r="A812" s="136"/>
      <c r="B812" s="136"/>
      <c r="C812" s="136"/>
      <c r="D812" s="136"/>
      <c r="E812" s="136"/>
      <c r="F812" s="201"/>
      <c r="G812" s="136"/>
      <c r="H812" s="136"/>
      <c r="I812" s="136"/>
      <c r="J812" s="136"/>
      <c r="K812" s="136"/>
      <c r="L812" s="136"/>
      <c r="M812" s="136"/>
      <c r="N812" s="136"/>
      <c r="O812" s="136"/>
      <c r="P812" s="136"/>
      <c r="Q812" s="136"/>
      <c r="R812" s="136"/>
    </row>
    <row r="813">
      <c r="A813" s="136"/>
      <c r="B813" s="136"/>
      <c r="C813" s="136"/>
      <c r="D813" s="136"/>
      <c r="E813" s="136"/>
      <c r="F813" s="201"/>
      <c r="G813" s="136"/>
      <c r="H813" s="136"/>
      <c r="I813" s="136"/>
      <c r="J813" s="136"/>
      <c r="K813" s="136"/>
      <c r="L813" s="136"/>
      <c r="M813" s="136"/>
      <c r="N813" s="136"/>
      <c r="O813" s="136"/>
      <c r="P813" s="136"/>
      <c r="Q813" s="136"/>
      <c r="R813" s="136"/>
    </row>
    <row r="814">
      <c r="A814" s="136"/>
      <c r="B814" s="136"/>
      <c r="C814" s="136"/>
      <c r="D814" s="136"/>
      <c r="E814" s="136"/>
      <c r="F814" s="201"/>
      <c r="G814" s="136"/>
      <c r="H814" s="136"/>
      <c r="I814" s="136"/>
      <c r="J814" s="136"/>
      <c r="K814" s="136"/>
      <c r="L814" s="136"/>
      <c r="M814" s="136"/>
      <c r="N814" s="136"/>
      <c r="O814" s="136"/>
      <c r="P814" s="136"/>
      <c r="Q814" s="136"/>
      <c r="R814" s="136"/>
    </row>
    <row r="815">
      <c r="A815" s="136"/>
      <c r="B815" s="136"/>
      <c r="C815" s="136"/>
      <c r="D815" s="136"/>
      <c r="E815" s="136"/>
      <c r="F815" s="201"/>
      <c r="G815" s="136"/>
      <c r="H815" s="136"/>
      <c r="I815" s="136"/>
      <c r="J815" s="136"/>
      <c r="K815" s="136"/>
      <c r="L815" s="136"/>
      <c r="M815" s="136"/>
      <c r="N815" s="136"/>
      <c r="O815" s="136"/>
      <c r="P815" s="136"/>
      <c r="Q815" s="136"/>
      <c r="R815" s="136"/>
    </row>
    <row r="816">
      <c r="A816" s="136"/>
      <c r="B816" s="136"/>
      <c r="C816" s="136"/>
      <c r="D816" s="136"/>
      <c r="E816" s="136"/>
      <c r="F816" s="201"/>
      <c r="G816" s="136"/>
      <c r="H816" s="136"/>
      <c r="I816" s="136"/>
      <c r="J816" s="136"/>
      <c r="K816" s="136"/>
      <c r="L816" s="136"/>
      <c r="M816" s="136"/>
      <c r="N816" s="136"/>
      <c r="O816" s="136"/>
      <c r="P816" s="136"/>
      <c r="Q816" s="136"/>
      <c r="R816" s="136"/>
    </row>
    <row r="817">
      <c r="A817" s="136"/>
      <c r="B817" s="136"/>
      <c r="C817" s="136"/>
      <c r="D817" s="136"/>
      <c r="E817" s="136"/>
      <c r="F817" s="201"/>
      <c r="G817" s="136"/>
      <c r="H817" s="136"/>
      <c r="I817" s="136"/>
      <c r="J817" s="136"/>
      <c r="K817" s="136"/>
      <c r="L817" s="136"/>
      <c r="M817" s="136"/>
      <c r="N817" s="136"/>
      <c r="O817" s="136"/>
      <c r="P817" s="136"/>
      <c r="Q817" s="136"/>
      <c r="R817" s="136"/>
    </row>
    <row r="818">
      <c r="A818" s="136"/>
      <c r="B818" s="136"/>
      <c r="C818" s="136"/>
      <c r="D818" s="136"/>
      <c r="E818" s="136"/>
      <c r="F818" s="201"/>
      <c r="G818" s="136"/>
      <c r="H818" s="136"/>
      <c r="I818" s="136"/>
      <c r="J818" s="136"/>
      <c r="K818" s="136"/>
      <c r="L818" s="136"/>
      <c r="M818" s="136"/>
      <c r="N818" s="136"/>
      <c r="O818" s="136"/>
      <c r="P818" s="136"/>
      <c r="Q818" s="136"/>
      <c r="R818" s="136"/>
    </row>
    <row r="819">
      <c r="A819" s="136"/>
      <c r="B819" s="136"/>
      <c r="C819" s="136"/>
      <c r="D819" s="136"/>
      <c r="E819" s="136"/>
      <c r="F819" s="201"/>
      <c r="G819" s="136"/>
      <c r="H819" s="136"/>
      <c r="I819" s="136"/>
      <c r="J819" s="136"/>
      <c r="K819" s="136"/>
      <c r="L819" s="136"/>
      <c r="M819" s="136"/>
      <c r="N819" s="136"/>
      <c r="O819" s="136"/>
      <c r="P819" s="136"/>
      <c r="Q819" s="136"/>
      <c r="R819" s="136"/>
    </row>
    <row r="820">
      <c r="A820" s="136"/>
      <c r="B820" s="136"/>
      <c r="C820" s="136"/>
      <c r="D820" s="136"/>
      <c r="E820" s="136"/>
      <c r="F820" s="201"/>
      <c r="G820" s="136"/>
      <c r="H820" s="136"/>
      <c r="I820" s="136"/>
      <c r="J820" s="136"/>
      <c r="K820" s="136"/>
      <c r="L820" s="136"/>
      <c r="M820" s="136"/>
      <c r="N820" s="136"/>
      <c r="O820" s="136"/>
      <c r="P820" s="136"/>
      <c r="Q820" s="136"/>
      <c r="R820" s="136"/>
    </row>
    <row r="821">
      <c r="A821" s="136"/>
      <c r="B821" s="136"/>
      <c r="C821" s="136"/>
      <c r="D821" s="136"/>
      <c r="E821" s="136"/>
      <c r="F821" s="201"/>
      <c r="G821" s="136"/>
      <c r="H821" s="136"/>
      <c r="I821" s="136"/>
      <c r="J821" s="136"/>
      <c r="K821" s="136"/>
      <c r="L821" s="136"/>
      <c r="M821" s="136"/>
      <c r="N821" s="136"/>
      <c r="O821" s="136"/>
      <c r="P821" s="136"/>
      <c r="Q821" s="136"/>
      <c r="R821" s="136"/>
    </row>
    <row r="822">
      <c r="A822" s="136"/>
      <c r="B822" s="136"/>
      <c r="C822" s="136"/>
      <c r="D822" s="136"/>
      <c r="E822" s="136"/>
      <c r="F822" s="201"/>
      <c r="G822" s="136"/>
      <c r="H822" s="136"/>
      <c r="I822" s="136"/>
      <c r="J822" s="136"/>
      <c r="K822" s="136"/>
      <c r="L822" s="136"/>
      <c r="M822" s="136"/>
      <c r="N822" s="136"/>
      <c r="O822" s="136"/>
      <c r="P822" s="136"/>
      <c r="Q822" s="136"/>
      <c r="R822" s="136"/>
    </row>
    <row r="823">
      <c r="A823" s="136"/>
      <c r="B823" s="136"/>
      <c r="C823" s="136"/>
      <c r="D823" s="136"/>
      <c r="E823" s="136"/>
      <c r="F823" s="201"/>
      <c r="G823" s="136"/>
      <c r="H823" s="136"/>
      <c r="I823" s="136"/>
      <c r="J823" s="136"/>
      <c r="K823" s="136"/>
      <c r="L823" s="136"/>
      <c r="M823" s="136"/>
      <c r="N823" s="136"/>
      <c r="O823" s="136"/>
      <c r="P823" s="136"/>
      <c r="Q823" s="136"/>
      <c r="R823" s="136"/>
    </row>
    <row r="824">
      <c r="A824" s="136"/>
      <c r="B824" s="136"/>
      <c r="C824" s="136"/>
      <c r="D824" s="136"/>
      <c r="E824" s="136"/>
      <c r="F824" s="201"/>
      <c r="G824" s="136"/>
      <c r="H824" s="136"/>
      <c r="I824" s="136"/>
      <c r="J824" s="136"/>
      <c r="K824" s="136"/>
      <c r="L824" s="136"/>
      <c r="M824" s="136"/>
      <c r="N824" s="136"/>
      <c r="O824" s="136"/>
      <c r="P824" s="136"/>
      <c r="Q824" s="136"/>
      <c r="R824" s="136"/>
    </row>
    <row r="825">
      <c r="A825" s="136"/>
      <c r="B825" s="136"/>
      <c r="C825" s="136"/>
      <c r="D825" s="136"/>
      <c r="E825" s="136"/>
      <c r="F825" s="201"/>
      <c r="G825" s="136"/>
      <c r="H825" s="136"/>
      <c r="I825" s="136"/>
      <c r="J825" s="136"/>
      <c r="K825" s="136"/>
      <c r="L825" s="136"/>
      <c r="M825" s="136"/>
      <c r="N825" s="136"/>
      <c r="O825" s="136"/>
      <c r="P825" s="136"/>
      <c r="Q825" s="136"/>
      <c r="R825" s="136"/>
    </row>
    <row r="826">
      <c r="A826" s="136"/>
      <c r="B826" s="136"/>
      <c r="C826" s="136"/>
      <c r="D826" s="136"/>
      <c r="E826" s="136"/>
      <c r="F826" s="201"/>
      <c r="G826" s="136"/>
      <c r="H826" s="136"/>
      <c r="I826" s="136"/>
      <c r="J826" s="136"/>
      <c r="K826" s="136"/>
      <c r="L826" s="136"/>
      <c r="M826" s="136"/>
      <c r="N826" s="136"/>
      <c r="O826" s="136"/>
      <c r="P826" s="136"/>
      <c r="Q826" s="136"/>
      <c r="R826" s="136"/>
    </row>
    <row r="827">
      <c r="A827" s="136"/>
      <c r="B827" s="136"/>
      <c r="C827" s="136"/>
      <c r="D827" s="136"/>
      <c r="E827" s="136"/>
      <c r="F827" s="201"/>
      <c r="G827" s="136"/>
      <c r="H827" s="136"/>
      <c r="I827" s="136"/>
      <c r="J827" s="136"/>
      <c r="K827" s="136"/>
      <c r="L827" s="136"/>
      <c r="M827" s="136"/>
      <c r="N827" s="136"/>
      <c r="O827" s="136"/>
      <c r="P827" s="136"/>
      <c r="Q827" s="136"/>
      <c r="R827" s="136"/>
    </row>
    <row r="828">
      <c r="A828" s="136"/>
      <c r="B828" s="136"/>
      <c r="C828" s="136"/>
      <c r="D828" s="136"/>
      <c r="E828" s="136"/>
      <c r="F828" s="201"/>
      <c r="G828" s="136"/>
      <c r="H828" s="136"/>
      <c r="I828" s="136"/>
      <c r="J828" s="136"/>
      <c r="K828" s="136"/>
      <c r="L828" s="136"/>
      <c r="M828" s="136"/>
      <c r="N828" s="136"/>
      <c r="O828" s="136"/>
      <c r="P828" s="136"/>
      <c r="Q828" s="136"/>
      <c r="R828" s="136"/>
    </row>
    <row r="829">
      <c r="A829" s="136"/>
      <c r="B829" s="136"/>
      <c r="C829" s="136"/>
      <c r="D829" s="136"/>
      <c r="E829" s="136"/>
      <c r="F829" s="201"/>
      <c r="G829" s="136"/>
      <c r="H829" s="136"/>
      <c r="I829" s="136"/>
      <c r="J829" s="136"/>
      <c r="K829" s="136"/>
      <c r="L829" s="136"/>
      <c r="M829" s="136"/>
      <c r="N829" s="136"/>
      <c r="O829" s="136"/>
      <c r="P829" s="136"/>
      <c r="Q829" s="136"/>
      <c r="R829" s="136"/>
    </row>
    <row r="830">
      <c r="A830" s="136"/>
      <c r="B830" s="136"/>
      <c r="C830" s="136"/>
      <c r="D830" s="136"/>
      <c r="E830" s="136"/>
      <c r="F830" s="201"/>
      <c r="G830" s="136"/>
      <c r="H830" s="136"/>
      <c r="I830" s="136"/>
      <c r="J830" s="136"/>
      <c r="K830" s="136"/>
      <c r="L830" s="136"/>
      <c r="M830" s="136"/>
      <c r="N830" s="136"/>
      <c r="O830" s="136"/>
      <c r="P830" s="136"/>
      <c r="Q830" s="136"/>
      <c r="R830" s="136"/>
    </row>
    <row r="831">
      <c r="A831" s="136"/>
      <c r="B831" s="136"/>
      <c r="C831" s="136"/>
      <c r="D831" s="136"/>
      <c r="E831" s="136"/>
      <c r="F831" s="201"/>
      <c r="G831" s="136"/>
      <c r="H831" s="136"/>
      <c r="I831" s="136"/>
      <c r="J831" s="136"/>
      <c r="K831" s="136"/>
      <c r="L831" s="136"/>
      <c r="M831" s="136"/>
      <c r="N831" s="136"/>
      <c r="O831" s="136"/>
      <c r="P831" s="136"/>
      <c r="Q831" s="136"/>
      <c r="R831" s="136"/>
    </row>
    <row r="832">
      <c r="A832" s="136"/>
      <c r="B832" s="136"/>
      <c r="C832" s="136"/>
      <c r="D832" s="136"/>
      <c r="E832" s="136"/>
      <c r="F832" s="201"/>
      <c r="G832" s="136"/>
      <c r="H832" s="136"/>
      <c r="I832" s="136"/>
      <c r="J832" s="136"/>
      <c r="K832" s="136"/>
      <c r="L832" s="136"/>
      <c r="M832" s="136"/>
      <c r="N832" s="136"/>
      <c r="O832" s="136"/>
      <c r="P832" s="136"/>
      <c r="Q832" s="136"/>
      <c r="R832" s="136"/>
    </row>
    <row r="833">
      <c r="A833" s="136"/>
      <c r="B833" s="136"/>
      <c r="C833" s="136"/>
      <c r="D833" s="136"/>
      <c r="E833" s="136"/>
      <c r="F833" s="201"/>
      <c r="G833" s="136"/>
      <c r="H833" s="136"/>
      <c r="I833" s="136"/>
      <c r="J833" s="136"/>
      <c r="K833" s="136"/>
      <c r="L833" s="136"/>
      <c r="M833" s="136"/>
      <c r="N833" s="136"/>
      <c r="O833" s="136"/>
      <c r="P833" s="136"/>
      <c r="Q833" s="136"/>
      <c r="R833" s="136"/>
    </row>
    <row r="834">
      <c r="A834" s="136"/>
      <c r="B834" s="136"/>
      <c r="C834" s="136"/>
      <c r="D834" s="136"/>
      <c r="E834" s="136"/>
      <c r="F834" s="201"/>
      <c r="G834" s="136"/>
      <c r="H834" s="136"/>
      <c r="I834" s="136"/>
      <c r="J834" s="136"/>
      <c r="K834" s="136"/>
      <c r="L834" s="136"/>
      <c r="M834" s="136"/>
      <c r="N834" s="136"/>
      <c r="O834" s="136"/>
      <c r="P834" s="136"/>
      <c r="Q834" s="136"/>
      <c r="R834" s="136"/>
    </row>
    <row r="835">
      <c r="A835" s="136"/>
      <c r="B835" s="136"/>
      <c r="C835" s="136"/>
      <c r="D835" s="136"/>
      <c r="E835" s="136"/>
      <c r="F835" s="201"/>
      <c r="G835" s="136"/>
      <c r="H835" s="136"/>
      <c r="I835" s="136"/>
      <c r="J835" s="136"/>
      <c r="K835" s="136"/>
      <c r="L835" s="136"/>
      <c r="M835" s="136"/>
      <c r="N835" s="136"/>
      <c r="O835" s="136"/>
      <c r="P835" s="136"/>
      <c r="Q835" s="136"/>
      <c r="R835" s="136"/>
    </row>
    <row r="836">
      <c r="A836" s="136"/>
      <c r="B836" s="136"/>
      <c r="C836" s="136"/>
      <c r="D836" s="136"/>
      <c r="E836" s="136"/>
      <c r="F836" s="201"/>
      <c r="G836" s="136"/>
      <c r="H836" s="136"/>
      <c r="I836" s="136"/>
      <c r="J836" s="136"/>
      <c r="K836" s="136"/>
      <c r="L836" s="136"/>
      <c r="M836" s="136"/>
      <c r="N836" s="136"/>
      <c r="O836" s="136"/>
      <c r="P836" s="136"/>
      <c r="Q836" s="136"/>
      <c r="R836" s="136"/>
    </row>
    <row r="837">
      <c r="A837" s="136"/>
      <c r="B837" s="136"/>
      <c r="C837" s="136"/>
      <c r="D837" s="136"/>
      <c r="E837" s="136"/>
      <c r="F837" s="201"/>
      <c r="G837" s="136"/>
      <c r="H837" s="136"/>
      <c r="I837" s="136"/>
      <c r="J837" s="136"/>
      <c r="K837" s="136"/>
      <c r="L837" s="136"/>
      <c r="M837" s="136"/>
      <c r="N837" s="136"/>
      <c r="O837" s="136"/>
      <c r="P837" s="136"/>
      <c r="Q837" s="136"/>
      <c r="R837" s="136"/>
    </row>
    <row r="838">
      <c r="A838" s="136"/>
      <c r="B838" s="136"/>
      <c r="C838" s="136"/>
      <c r="D838" s="136"/>
      <c r="E838" s="136"/>
      <c r="F838" s="201"/>
      <c r="G838" s="136"/>
      <c r="H838" s="136"/>
      <c r="I838" s="136"/>
      <c r="J838" s="136"/>
      <c r="K838" s="136"/>
      <c r="L838" s="136"/>
      <c r="M838" s="136"/>
      <c r="N838" s="136"/>
      <c r="O838" s="136"/>
      <c r="P838" s="136"/>
      <c r="Q838" s="136"/>
      <c r="R838" s="136"/>
    </row>
    <row r="839">
      <c r="A839" s="136"/>
      <c r="B839" s="136"/>
      <c r="C839" s="136"/>
      <c r="D839" s="136"/>
      <c r="E839" s="136"/>
      <c r="F839" s="201"/>
      <c r="G839" s="136"/>
      <c r="H839" s="136"/>
      <c r="I839" s="136"/>
      <c r="J839" s="136"/>
      <c r="K839" s="136"/>
      <c r="L839" s="136"/>
      <c r="M839" s="136"/>
      <c r="N839" s="136"/>
      <c r="O839" s="136"/>
      <c r="P839" s="136"/>
      <c r="Q839" s="136"/>
      <c r="R839" s="136"/>
    </row>
    <row r="840">
      <c r="A840" s="136"/>
      <c r="B840" s="136"/>
      <c r="C840" s="136"/>
      <c r="D840" s="136"/>
      <c r="E840" s="136"/>
      <c r="F840" s="201"/>
      <c r="G840" s="136"/>
      <c r="H840" s="136"/>
      <c r="I840" s="136"/>
      <c r="J840" s="136"/>
      <c r="K840" s="136"/>
      <c r="L840" s="136"/>
      <c r="M840" s="136"/>
      <c r="N840" s="136"/>
      <c r="O840" s="136"/>
      <c r="P840" s="136"/>
      <c r="Q840" s="136"/>
      <c r="R840" s="136"/>
    </row>
    <row r="841">
      <c r="A841" s="136"/>
      <c r="B841" s="136"/>
      <c r="C841" s="136"/>
      <c r="D841" s="136"/>
      <c r="E841" s="136"/>
      <c r="F841" s="201"/>
      <c r="G841" s="136"/>
      <c r="H841" s="136"/>
      <c r="I841" s="136"/>
      <c r="J841" s="136"/>
      <c r="K841" s="136"/>
      <c r="L841" s="136"/>
      <c r="M841" s="136"/>
      <c r="N841" s="136"/>
      <c r="O841" s="136"/>
      <c r="P841" s="136"/>
      <c r="Q841" s="136"/>
      <c r="R841" s="136"/>
    </row>
    <row r="842">
      <c r="A842" s="136"/>
      <c r="B842" s="136"/>
      <c r="C842" s="136"/>
      <c r="D842" s="136"/>
      <c r="E842" s="136"/>
      <c r="F842" s="201"/>
      <c r="G842" s="136"/>
      <c r="H842" s="136"/>
      <c r="I842" s="136"/>
      <c r="J842" s="136"/>
      <c r="K842" s="136"/>
      <c r="L842" s="136"/>
      <c r="M842" s="136"/>
      <c r="N842" s="136"/>
      <c r="O842" s="136"/>
      <c r="P842" s="136"/>
      <c r="Q842" s="136"/>
      <c r="R842" s="136"/>
    </row>
    <row r="843">
      <c r="A843" s="136"/>
      <c r="B843" s="136"/>
      <c r="C843" s="136"/>
      <c r="D843" s="136"/>
      <c r="E843" s="136"/>
      <c r="F843" s="201"/>
      <c r="G843" s="136"/>
      <c r="H843" s="136"/>
      <c r="I843" s="136"/>
      <c r="J843" s="136"/>
      <c r="K843" s="136"/>
      <c r="L843" s="136"/>
      <c r="M843" s="136"/>
      <c r="N843" s="136"/>
      <c r="O843" s="136"/>
      <c r="P843" s="136"/>
      <c r="Q843" s="136"/>
      <c r="R843" s="136"/>
    </row>
    <row r="844">
      <c r="A844" s="136"/>
      <c r="B844" s="136"/>
      <c r="C844" s="136"/>
      <c r="D844" s="136"/>
      <c r="E844" s="136"/>
      <c r="F844" s="201"/>
      <c r="G844" s="136"/>
      <c r="H844" s="136"/>
      <c r="I844" s="136"/>
      <c r="J844" s="136"/>
      <c r="K844" s="136"/>
      <c r="L844" s="136"/>
      <c r="M844" s="136"/>
      <c r="N844" s="136"/>
      <c r="O844" s="136"/>
      <c r="P844" s="136"/>
      <c r="Q844" s="136"/>
      <c r="R844" s="136"/>
    </row>
    <row r="845">
      <c r="A845" s="136"/>
      <c r="B845" s="136"/>
      <c r="C845" s="136"/>
      <c r="D845" s="136"/>
      <c r="E845" s="136"/>
      <c r="F845" s="201"/>
      <c r="G845" s="136"/>
      <c r="H845" s="136"/>
      <c r="I845" s="136"/>
      <c r="J845" s="136"/>
      <c r="K845" s="136"/>
      <c r="L845" s="136"/>
      <c r="M845" s="136"/>
      <c r="N845" s="136"/>
      <c r="O845" s="136"/>
      <c r="P845" s="136"/>
      <c r="Q845" s="136"/>
      <c r="R845" s="136"/>
    </row>
    <row r="846">
      <c r="A846" s="136"/>
      <c r="B846" s="136"/>
      <c r="C846" s="136"/>
      <c r="D846" s="136"/>
      <c r="E846" s="136"/>
      <c r="F846" s="201"/>
      <c r="G846" s="136"/>
      <c r="H846" s="136"/>
      <c r="I846" s="136"/>
      <c r="J846" s="136"/>
      <c r="K846" s="136"/>
      <c r="L846" s="136"/>
      <c r="M846" s="136"/>
      <c r="N846" s="136"/>
      <c r="O846" s="136"/>
      <c r="P846" s="136"/>
      <c r="Q846" s="136"/>
      <c r="R846" s="136"/>
    </row>
    <row r="847">
      <c r="A847" s="136"/>
      <c r="B847" s="136"/>
      <c r="C847" s="136"/>
      <c r="D847" s="136"/>
      <c r="E847" s="136"/>
      <c r="F847" s="201"/>
      <c r="G847" s="136"/>
      <c r="H847" s="136"/>
      <c r="I847" s="136"/>
      <c r="J847" s="136"/>
      <c r="K847" s="136"/>
      <c r="L847" s="136"/>
      <c r="M847" s="136"/>
      <c r="N847" s="136"/>
      <c r="O847" s="136"/>
      <c r="P847" s="136"/>
      <c r="Q847" s="136"/>
      <c r="R847" s="136"/>
    </row>
    <row r="848">
      <c r="A848" s="136"/>
      <c r="B848" s="136"/>
      <c r="C848" s="136"/>
      <c r="D848" s="136"/>
      <c r="E848" s="136"/>
      <c r="F848" s="201"/>
      <c r="G848" s="136"/>
      <c r="H848" s="136"/>
      <c r="I848" s="136"/>
      <c r="J848" s="136"/>
      <c r="K848" s="136"/>
      <c r="L848" s="136"/>
      <c r="M848" s="136"/>
      <c r="N848" s="136"/>
      <c r="O848" s="136"/>
      <c r="P848" s="136"/>
      <c r="Q848" s="136"/>
      <c r="R848" s="136"/>
    </row>
    <row r="849">
      <c r="A849" s="136"/>
      <c r="B849" s="136"/>
      <c r="C849" s="136"/>
      <c r="D849" s="136"/>
      <c r="E849" s="136"/>
      <c r="F849" s="201"/>
      <c r="G849" s="136"/>
      <c r="H849" s="136"/>
      <c r="I849" s="136"/>
      <c r="J849" s="136"/>
      <c r="K849" s="136"/>
      <c r="L849" s="136"/>
      <c r="M849" s="136"/>
      <c r="N849" s="136"/>
      <c r="O849" s="136"/>
      <c r="P849" s="136"/>
      <c r="Q849" s="136"/>
      <c r="R849" s="136"/>
    </row>
    <row r="850">
      <c r="A850" s="136"/>
      <c r="B850" s="136"/>
      <c r="C850" s="136"/>
      <c r="D850" s="136"/>
      <c r="E850" s="136"/>
      <c r="F850" s="201"/>
      <c r="G850" s="136"/>
      <c r="H850" s="136"/>
      <c r="I850" s="136"/>
      <c r="J850" s="136"/>
      <c r="K850" s="136"/>
      <c r="L850" s="136"/>
      <c r="M850" s="136"/>
      <c r="N850" s="136"/>
      <c r="O850" s="136"/>
      <c r="P850" s="136"/>
      <c r="Q850" s="136"/>
      <c r="R850" s="136"/>
    </row>
    <row r="851">
      <c r="A851" s="136"/>
      <c r="B851" s="136"/>
      <c r="C851" s="136"/>
      <c r="D851" s="136"/>
      <c r="E851" s="136"/>
      <c r="F851" s="201"/>
      <c r="G851" s="136"/>
      <c r="H851" s="136"/>
      <c r="I851" s="136"/>
      <c r="J851" s="136"/>
      <c r="K851" s="136"/>
      <c r="L851" s="136"/>
      <c r="M851" s="136"/>
      <c r="N851" s="136"/>
      <c r="O851" s="136"/>
      <c r="P851" s="136"/>
      <c r="Q851" s="136"/>
      <c r="R851" s="136"/>
    </row>
    <row r="852">
      <c r="A852" s="136"/>
      <c r="B852" s="136"/>
      <c r="C852" s="136"/>
      <c r="D852" s="136"/>
      <c r="E852" s="136"/>
      <c r="F852" s="201"/>
      <c r="G852" s="136"/>
      <c r="H852" s="136"/>
      <c r="I852" s="136"/>
      <c r="J852" s="136"/>
      <c r="K852" s="136"/>
      <c r="L852" s="136"/>
      <c r="M852" s="136"/>
      <c r="N852" s="136"/>
      <c r="O852" s="136"/>
      <c r="P852" s="136"/>
      <c r="Q852" s="136"/>
      <c r="R852" s="136"/>
    </row>
    <row r="853">
      <c r="A853" s="136"/>
      <c r="B853" s="136"/>
      <c r="C853" s="136"/>
      <c r="D853" s="136"/>
      <c r="E853" s="136"/>
      <c r="F853" s="201"/>
      <c r="G853" s="136"/>
      <c r="H853" s="136"/>
      <c r="I853" s="136"/>
      <c r="J853" s="136"/>
      <c r="K853" s="136"/>
      <c r="L853" s="136"/>
      <c r="M853" s="136"/>
      <c r="N853" s="136"/>
      <c r="O853" s="136"/>
      <c r="P853" s="136"/>
      <c r="Q853" s="136"/>
      <c r="R853" s="136"/>
    </row>
    <row r="854">
      <c r="A854" s="136"/>
      <c r="B854" s="136"/>
      <c r="C854" s="136"/>
      <c r="D854" s="136"/>
      <c r="E854" s="136"/>
      <c r="F854" s="201"/>
      <c r="G854" s="136"/>
      <c r="H854" s="136"/>
      <c r="I854" s="136"/>
      <c r="J854" s="136"/>
      <c r="K854" s="136"/>
      <c r="L854" s="136"/>
      <c r="M854" s="136"/>
      <c r="N854" s="136"/>
      <c r="O854" s="136"/>
      <c r="P854" s="136"/>
      <c r="Q854" s="136"/>
      <c r="R854" s="136"/>
    </row>
    <row r="855">
      <c r="A855" s="136"/>
      <c r="B855" s="136"/>
      <c r="C855" s="136"/>
      <c r="D855" s="136"/>
      <c r="E855" s="136"/>
      <c r="F855" s="201"/>
      <c r="G855" s="136"/>
      <c r="H855" s="136"/>
      <c r="I855" s="136"/>
      <c r="J855" s="136"/>
      <c r="K855" s="136"/>
      <c r="L855" s="136"/>
      <c r="M855" s="136"/>
      <c r="N855" s="136"/>
      <c r="O855" s="136"/>
      <c r="P855" s="136"/>
      <c r="Q855" s="136"/>
      <c r="R855" s="136"/>
    </row>
    <row r="856">
      <c r="A856" s="136"/>
      <c r="B856" s="136"/>
      <c r="C856" s="136"/>
      <c r="D856" s="136"/>
      <c r="E856" s="136"/>
      <c r="F856" s="201"/>
      <c r="G856" s="136"/>
      <c r="H856" s="136"/>
      <c r="I856" s="136"/>
      <c r="J856" s="136"/>
      <c r="K856" s="136"/>
      <c r="L856" s="136"/>
      <c r="M856" s="136"/>
      <c r="N856" s="136"/>
      <c r="O856" s="136"/>
      <c r="P856" s="136"/>
      <c r="Q856" s="136"/>
      <c r="R856" s="136"/>
    </row>
    <row r="857">
      <c r="A857" s="136"/>
      <c r="B857" s="136"/>
      <c r="C857" s="136"/>
      <c r="D857" s="136"/>
      <c r="E857" s="136"/>
      <c r="F857" s="201"/>
      <c r="G857" s="136"/>
      <c r="H857" s="136"/>
      <c r="I857" s="136"/>
      <c r="J857" s="136"/>
      <c r="K857" s="136"/>
      <c r="L857" s="136"/>
      <c r="M857" s="136"/>
      <c r="N857" s="136"/>
      <c r="O857" s="136"/>
      <c r="P857" s="136"/>
      <c r="Q857" s="136"/>
      <c r="R857" s="136"/>
    </row>
    <row r="858">
      <c r="A858" s="136"/>
      <c r="B858" s="136"/>
      <c r="C858" s="136"/>
      <c r="D858" s="136"/>
      <c r="E858" s="136"/>
      <c r="F858" s="201"/>
      <c r="G858" s="136"/>
      <c r="H858" s="136"/>
      <c r="I858" s="136"/>
      <c r="J858" s="136"/>
      <c r="K858" s="136"/>
      <c r="L858" s="136"/>
      <c r="M858" s="136"/>
      <c r="N858" s="136"/>
      <c r="O858" s="136"/>
      <c r="P858" s="136"/>
      <c r="Q858" s="136"/>
      <c r="R858" s="136"/>
    </row>
    <row r="859">
      <c r="A859" s="136"/>
      <c r="B859" s="136"/>
      <c r="C859" s="136"/>
      <c r="D859" s="136"/>
      <c r="E859" s="136"/>
      <c r="F859" s="201"/>
      <c r="G859" s="136"/>
      <c r="H859" s="136"/>
      <c r="I859" s="136"/>
      <c r="J859" s="136"/>
      <c r="K859" s="136"/>
      <c r="L859" s="136"/>
      <c r="M859" s="136"/>
      <c r="N859" s="136"/>
      <c r="O859" s="136"/>
      <c r="P859" s="136"/>
      <c r="Q859" s="136"/>
      <c r="R859" s="136"/>
    </row>
    <row r="860">
      <c r="A860" s="136"/>
      <c r="B860" s="136"/>
      <c r="C860" s="136"/>
      <c r="D860" s="136"/>
      <c r="E860" s="136"/>
      <c r="F860" s="201"/>
      <c r="G860" s="136"/>
      <c r="H860" s="136"/>
      <c r="I860" s="136"/>
      <c r="J860" s="136"/>
      <c r="K860" s="136"/>
      <c r="L860" s="136"/>
      <c r="M860" s="136"/>
      <c r="N860" s="136"/>
      <c r="O860" s="136"/>
      <c r="P860" s="136"/>
      <c r="Q860" s="136"/>
      <c r="R860" s="136"/>
    </row>
    <row r="861">
      <c r="A861" s="136"/>
      <c r="B861" s="136"/>
      <c r="C861" s="136"/>
      <c r="D861" s="136"/>
      <c r="E861" s="136"/>
      <c r="F861" s="201"/>
      <c r="G861" s="136"/>
      <c r="H861" s="136"/>
      <c r="I861" s="136"/>
      <c r="J861" s="136"/>
      <c r="K861" s="136"/>
      <c r="L861" s="136"/>
      <c r="M861" s="136"/>
      <c r="N861" s="136"/>
      <c r="O861" s="136"/>
      <c r="P861" s="136"/>
      <c r="Q861" s="136"/>
      <c r="R861" s="136"/>
    </row>
    <row r="862">
      <c r="A862" s="136"/>
      <c r="B862" s="136"/>
      <c r="C862" s="136"/>
      <c r="D862" s="136"/>
      <c r="E862" s="136"/>
      <c r="F862" s="201"/>
      <c r="G862" s="136"/>
      <c r="H862" s="136"/>
      <c r="I862" s="136"/>
      <c r="J862" s="136"/>
      <c r="K862" s="136"/>
      <c r="L862" s="136"/>
      <c r="M862" s="136"/>
      <c r="N862" s="136"/>
      <c r="O862" s="136"/>
      <c r="P862" s="136"/>
      <c r="Q862" s="136"/>
      <c r="R862" s="136"/>
    </row>
    <row r="863">
      <c r="A863" s="136"/>
      <c r="B863" s="136"/>
      <c r="C863" s="136"/>
      <c r="D863" s="136"/>
      <c r="E863" s="136"/>
      <c r="F863" s="201"/>
      <c r="G863" s="136"/>
      <c r="H863" s="136"/>
      <c r="I863" s="136"/>
      <c r="J863" s="136"/>
      <c r="K863" s="136"/>
      <c r="L863" s="136"/>
      <c r="M863" s="136"/>
      <c r="N863" s="136"/>
      <c r="O863" s="136"/>
      <c r="P863" s="136"/>
      <c r="Q863" s="136"/>
      <c r="R863" s="136"/>
    </row>
    <row r="864">
      <c r="A864" s="136"/>
      <c r="B864" s="136"/>
      <c r="C864" s="136"/>
      <c r="D864" s="136"/>
      <c r="E864" s="136"/>
      <c r="F864" s="201"/>
      <c r="G864" s="136"/>
      <c r="H864" s="136"/>
      <c r="I864" s="136"/>
      <c r="J864" s="136"/>
      <c r="K864" s="136"/>
      <c r="L864" s="136"/>
      <c r="M864" s="136"/>
      <c r="N864" s="136"/>
      <c r="O864" s="136"/>
      <c r="P864" s="136"/>
      <c r="Q864" s="136"/>
      <c r="R864" s="136"/>
    </row>
    <row r="865">
      <c r="A865" s="136"/>
      <c r="B865" s="136"/>
      <c r="C865" s="136"/>
      <c r="D865" s="136"/>
      <c r="E865" s="136"/>
      <c r="F865" s="201"/>
      <c r="G865" s="136"/>
      <c r="H865" s="136"/>
      <c r="I865" s="136"/>
      <c r="J865" s="136"/>
      <c r="K865" s="136"/>
      <c r="L865" s="136"/>
      <c r="M865" s="136"/>
      <c r="N865" s="136"/>
      <c r="O865" s="136"/>
      <c r="P865" s="136"/>
      <c r="Q865" s="136"/>
      <c r="R865" s="136"/>
    </row>
    <row r="866">
      <c r="A866" s="136"/>
      <c r="B866" s="136"/>
      <c r="C866" s="136"/>
      <c r="D866" s="136"/>
      <c r="E866" s="136"/>
      <c r="F866" s="201"/>
      <c r="G866" s="136"/>
      <c r="H866" s="136"/>
      <c r="I866" s="136"/>
      <c r="J866" s="136"/>
      <c r="K866" s="136"/>
      <c r="L866" s="136"/>
      <c r="M866" s="136"/>
      <c r="N866" s="136"/>
      <c r="O866" s="136"/>
      <c r="P866" s="136"/>
      <c r="Q866" s="136"/>
      <c r="R866" s="136"/>
    </row>
    <row r="867">
      <c r="A867" s="136"/>
      <c r="B867" s="136"/>
      <c r="C867" s="136"/>
      <c r="D867" s="136"/>
      <c r="E867" s="136"/>
      <c r="F867" s="201"/>
      <c r="G867" s="136"/>
      <c r="H867" s="136"/>
      <c r="I867" s="136"/>
      <c r="J867" s="136"/>
      <c r="K867" s="136"/>
      <c r="L867" s="136"/>
      <c r="M867" s="136"/>
      <c r="N867" s="136"/>
      <c r="O867" s="136"/>
      <c r="P867" s="136"/>
      <c r="Q867" s="136"/>
      <c r="R867" s="136"/>
    </row>
    <row r="868">
      <c r="A868" s="136"/>
      <c r="B868" s="136"/>
      <c r="C868" s="136"/>
      <c r="D868" s="136"/>
      <c r="E868" s="136"/>
      <c r="F868" s="201"/>
      <c r="G868" s="136"/>
      <c r="H868" s="136"/>
      <c r="I868" s="136"/>
      <c r="J868" s="136"/>
      <c r="K868" s="136"/>
      <c r="L868" s="136"/>
      <c r="M868" s="136"/>
      <c r="N868" s="136"/>
      <c r="O868" s="136"/>
      <c r="P868" s="136"/>
      <c r="Q868" s="136"/>
      <c r="R868" s="136"/>
    </row>
    <row r="869">
      <c r="A869" s="136"/>
      <c r="B869" s="136"/>
      <c r="C869" s="136"/>
      <c r="D869" s="136"/>
      <c r="E869" s="136"/>
      <c r="F869" s="201"/>
      <c r="G869" s="136"/>
      <c r="H869" s="136"/>
      <c r="I869" s="136"/>
      <c r="J869" s="136"/>
      <c r="K869" s="136"/>
      <c r="L869" s="136"/>
      <c r="M869" s="136"/>
      <c r="N869" s="136"/>
      <c r="O869" s="136"/>
      <c r="P869" s="136"/>
      <c r="Q869" s="136"/>
      <c r="R869" s="136"/>
    </row>
    <row r="870">
      <c r="A870" s="136"/>
      <c r="B870" s="136"/>
      <c r="C870" s="136"/>
      <c r="D870" s="136"/>
      <c r="E870" s="136"/>
      <c r="F870" s="201"/>
      <c r="G870" s="136"/>
      <c r="H870" s="136"/>
      <c r="I870" s="136"/>
      <c r="J870" s="136"/>
      <c r="K870" s="136"/>
      <c r="L870" s="136"/>
      <c r="M870" s="136"/>
      <c r="N870" s="136"/>
      <c r="O870" s="136"/>
      <c r="P870" s="136"/>
      <c r="Q870" s="136"/>
      <c r="R870" s="136"/>
    </row>
    <row r="871">
      <c r="A871" s="136"/>
      <c r="B871" s="136"/>
      <c r="C871" s="136"/>
      <c r="D871" s="136"/>
      <c r="E871" s="136"/>
      <c r="F871" s="201"/>
      <c r="G871" s="136"/>
      <c r="H871" s="136"/>
      <c r="I871" s="136"/>
      <c r="J871" s="136"/>
      <c r="K871" s="136"/>
      <c r="L871" s="136"/>
      <c r="M871" s="136"/>
      <c r="N871" s="136"/>
      <c r="O871" s="136"/>
      <c r="P871" s="136"/>
      <c r="Q871" s="136"/>
      <c r="R871" s="136"/>
    </row>
    <row r="872">
      <c r="A872" s="136"/>
      <c r="B872" s="136"/>
      <c r="C872" s="136"/>
      <c r="D872" s="136"/>
      <c r="E872" s="136"/>
      <c r="F872" s="201"/>
      <c r="G872" s="136"/>
      <c r="H872" s="136"/>
      <c r="I872" s="136"/>
      <c r="J872" s="136"/>
      <c r="K872" s="136"/>
      <c r="L872" s="136"/>
      <c r="M872" s="136"/>
      <c r="N872" s="136"/>
      <c r="O872" s="136"/>
      <c r="P872" s="136"/>
      <c r="Q872" s="136"/>
      <c r="R872" s="136"/>
    </row>
    <row r="873">
      <c r="A873" s="136"/>
      <c r="B873" s="136"/>
      <c r="C873" s="136"/>
      <c r="D873" s="136"/>
      <c r="E873" s="136"/>
      <c r="F873" s="201"/>
      <c r="G873" s="136"/>
      <c r="H873" s="136"/>
      <c r="I873" s="136"/>
      <c r="J873" s="136"/>
      <c r="K873" s="136"/>
      <c r="L873" s="136"/>
      <c r="M873" s="136"/>
      <c r="N873" s="136"/>
      <c r="O873" s="136"/>
      <c r="P873" s="136"/>
      <c r="Q873" s="136"/>
      <c r="R873" s="136"/>
    </row>
    <row r="874">
      <c r="A874" s="136"/>
      <c r="B874" s="136"/>
      <c r="C874" s="136"/>
      <c r="D874" s="136"/>
      <c r="E874" s="136"/>
      <c r="F874" s="201"/>
      <c r="G874" s="136"/>
      <c r="H874" s="136"/>
      <c r="I874" s="136"/>
      <c r="J874" s="136"/>
      <c r="K874" s="136"/>
      <c r="L874" s="136"/>
      <c r="M874" s="136"/>
      <c r="N874" s="136"/>
      <c r="O874" s="136"/>
      <c r="P874" s="136"/>
      <c r="Q874" s="136"/>
      <c r="R874" s="136"/>
    </row>
    <row r="875">
      <c r="A875" s="136"/>
      <c r="B875" s="136"/>
      <c r="C875" s="136"/>
      <c r="D875" s="136"/>
      <c r="E875" s="136"/>
      <c r="F875" s="201"/>
      <c r="G875" s="136"/>
      <c r="H875" s="136"/>
      <c r="I875" s="136"/>
      <c r="J875" s="136"/>
      <c r="K875" s="136"/>
      <c r="L875" s="136"/>
      <c r="M875" s="136"/>
      <c r="N875" s="136"/>
      <c r="O875" s="136"/>
      <c r="P875" s="136"/>
      <c r="Q875" s="136"/>
      <c r="R875" s="136"/>
    </row>
    <row r="876">
      <c r="A876" s="136"/>
      <c r="B876" s="136"/>
      <c r="C876" s="136"/>
      <c r="D876" s="136"/>
      <c r="E876" s="136"/>
      <c r="F876" s="201"/>
      <c r="G876" s="136"/>
      <c r="H876" s="136"/>
      <c r="I876" s="136"/>
      <c r="J876" s="136"/>
      <c r="K876" s="136"/>
      <c r="L876" s="136"/>
      <c r="M876" s="136"/>
      <c r="N876" s="136"/>
      <c r="O876" s="136"/>
      <c r="P876" s="136"/>
      <c r="Q876" s="136"/>
      <c r="R876" s="136"/>
    </row>
    <row r="877">
      <c r="A877" s="136"/>
      <c r="B877" s="136"/>
      <c r="C877" s="136"/>
      <c r="D877" s="136"/>
      <c r="E877" s="136"/>
      <c r="F877" s="201"/>
      <c r="G877" s="136"/>
      <c r="H877" s="136"/>
      <c r="I877" s="136"/>
      <c r="J877" s="136"/>
      <c r="K877" s="136"/>
      <c r="L877" s="136"/>
      <c r="M877" s="136"/>
      <c r="N877" s="136"/>
      <c r="O877" s="136"/>
      <c r="P877" s="136"/>
      <c r="Q877" s="136"/>
      <c r="R877" s="136"/>
    </row>
    <row r="878">
      <c r="A878" s="136"/>
      <c r="B878" s="136"/>
      <c r="C878" s="136"/>
      <c r="D878" s="136"/>
      <c r="E878" s="136"/>
      <c r="F878" s="201"/>
      <c r="G878" s="136"/>
      <c r="H878" s="136"/>
      <c r="I878" s="136"/>
      <c r="J878" s="136"/>
      <c r="K878" s="136"/>
      <c r="L878" s="136"/>
      <c r="M878" s="136"/>
      <c r="N878" s="136"/>
      <c r="O878" s="136"/>
      <c r="P878" s="136"/>
      <c r="Q878" s="136"/>
      <c r="R878" s="136"/>
    </row>
    <row r="879">
      <c r="A879" s="136"/>
      <c r="B879" s="136"/>
      <c r="C879" s="136"/>
      <c r="D879" s="136"/>
      <c r="E879" s="136"/>
      <c r="F879" s="201"/>
      <c r="G879" s="136"/>
      <c r="H879" s="136"/>
      <c r="I879" s="136"/>
      <c r="J879" s="136"/>
      <c r="K879" s="136"/>
      <c r="L879" s="136"/>
      <c r="M879" s="136"/>
      <c r="N879" s="136"/>
      <c r="O879" s="136"/>
      <c r="P879" s="136"/>
      <c r="Q879" s="136"/>
      <c r="R879" s="136"/>
    </row>
    <row r="880">
      <c r="A880" s="136"/>
      <c r="B880" s="136"/>
      <c r="C880" s="136"/>
      <c r="D880" s="136"/>
      <c r="E880" s="136"/>
      <c r="F880" s="201"/>
      <c r="G880" s="136"/>
      <c r="H880" s="136"/>
      <c r="I880" s="136"/>
      <c r="J880" s="136"/>
      <c r="K880" s="136"/>
      <c r="L880" s="136"/>
      <c r="M880" s="136"/>
      <c r="N880" s="136"/>
      <c r="O880" s="136"/>
      <c r="P880" s="136"/>
      <c r="Q880" s="136"/>
      <c r="R880" s="136"/>
    </row>
    <row r="881">
      <c r="A881" s="136"/>
      <c r="B881" s="136"/>
      <c r="C881" s="136"/>
      <c r="D881" s="136"/>
      <c r="E881" s="136"/>
      <c r="F881" s="201"/>
      <c r="G881" s="136"/>
      <c r="H881" s="136"/>
      <c r="I881" s="136"/>
      <c r="J881" s="136"/>
      <c r="K881" s="136"/>
      <c r="L881" s="136"/>
      <c r="M881" s="136"/>
      <c r="N881" s="136"/>
      <c r="O881" s="136"/>
      <c r="P881" s="136"/>
      <c r="Q881" s="136"/>
      <c r="R881" s="136"/>
    </row>
    <row r="882">
      <c r="A882" s="136"/>
      <c r="B882" s="136"/>
      <c r="C882" s="136"/>
      <c r="D882" s="136"/>
      <c r="E882" s="136"/>
      <c r="F882" s="201"/>
      <c r="G882" s="136"/>
      <c r="H882" s="136"/>
      <c r="I882" s="136"/>
      <c r="J882" s="136"/>
      <c r="K882" s="136"/>
      <c r="L882" s="136"/>
      <c r="M882" s="136"/>
      <c r="N882" s="136"/>
      <c r="O882" s="136"/>
      <c r="P882" s="136"/>
      <c r="Q882" s="136"/>
      <c r="R882" s="136"/>
    </row>
    <row r="883">
      <c r="A883" s="136"/>
      <c r="B883" s="136"/>
      <c r="C883" s="136"/>
      <c r="D883" s="136"/>
      <c r="E883" s="136"/>
      <c r="F883" s="201"/>
      <c r="G883" s="136"/>
      <c r="H883" s="136"/>
      <c r="I883" s="136"/>
      <c r="J883" s="136"/>
      <c r="K883" s="136"/>
      <c r="L883" s="136"/>
      <c r="M883" s="136"/>
      <c r="N883" s="136"/>
      <c r="O883" s="136"/>
      <c r="P883" s="136"/>
      <c r="Q883" s="136"/>
      <c r="R883" s="136"/>
    </row>
    <row r="884">
      <c r="A884" s="136"/>
      <c r="B884" s="136"/>
      <c r="C884" s="136"/>
      <c r="D884" s="136"/>
      <c r="E884" s="136"/>
      <c r="F884" s="201"/>
      <c r="G884" s="136"/>
      <c r="H884" s="136"/>
      <c r="I884" s="136"/>
      <c r="J884" s="136"/>
      <c r="K884" s="136"/>
      <c r="L884" s="136"/>
      <c r="M884" s="136"/>
      <c r="N884" s="136"/>
      <c r="O884" s="136"/>
      <c r="P884" s="136"/>
      <c r="Q884" s="136"/>
      <c r="R884" s="136"/>
    </row>
    <row r="885">
      <c r="A885" s="136"/>
      <c r="B885" s="136"/>
      <c r="C885" s="136"/>
      <c r="D885" s="136"/>
      <c r="E885" s="136"/>
      <c r="F885" s="201"/>
      <c r="G885" s="136"/>
      <c r="H885" s="136"/>
      <c r="I885" s="136"/>
      <c r="J885" s="136"/>
      <c r="K885" s="136"/>
      <c r="L885" s="136"/>
      <c r="M885" s="136"/>
      <c r="N885" s="136"/>
      <c r="O885" s="136"/>
      <c r="P885" s="136"/>
      <c r="Q885" s="136"/>
      <c r="R885" s="136"/>
    </row>
    <row r="886">
      <c r="A886" s="136"/>
      <c r="B886" s="136"/>
      <c r="C886" s="136"/>
      <c r="D886" s="136"/>
      <c r="E886" s="136"/>
      <c r="F886" s="201"/>
      <c r="G886" s="136"/>
      <c r="H886" s="136"/>
      <c r="I886" s="136"/>
      <c r="J886" s="136"/>
      <c r="K886" s="136"/>
      <c r="L886" s="136"/>
      <c r="M886" s="136"/>
      <c r="N886" s="136"/>
      <c r="O886" s="136"/>
      <c r="P886" s="136"/>
      <c r="Q886" s="136"/>
      <c r="R886" s="136"/>
    </row>
    <row r="887">
      <c r="A887" s="136"/>
      <c r="B887" s="136"/>
      <c r="C887" s="136"/>
      <c r="D887" s="136"/>
      <c r="E887" s="136"/>
      <c r="F887" s="201"/>
      <c r="G887" s="136"/>
      <c r="H887" s="136"/>
      <c r="I887" s="136"/>
      <c r="J887" s="136"/>
      <c r="K887" s="136"/>
      <c r="L887" s="136"/>
      <c r="M887" s="136"/>
      <c r="N887" s="136"/>
      <c r="O887" s="136"/>
      <c r="P887" s="136"/>
      <c r="Q887" s="136"/>
      <c r="R887" s="136"/>
    </row>
    <row r="888">
      <c r="A888" s="136"/>
      <c r="B888" s="136"/>
      <c r="C888" s="136"/>
      <c r="D888" s="136"/>
      <c r="E888" s="136"/>
      <c r="F888" s="201"/>
      <c r="G888" s="136"/>
      <c r="H888" s="136"/>
      <c r="I888" s="136"/>
      <c r="J888" s="136"/>
      <c r="K888" s="136"/>
      <c r="L888" s="136"/>
      <c r="M888" s="136"/>
      <c r="N888" s="136"/>
      <c r="O888" s="136"/>
      <c r="P888" s="136"/>
      <c r="Q888" s="136"/>
      <c r="R888" s="136"/>
    </row>
    <row r="889">
      <c r="A889" s="136"/>
      <c r="B889" s="136"/>
      <c r="C889" s="136"/>
      <c r="D889" s="136"/>
      <c r="E889" s="136"/>
      <c r="F889" s="201"/>
      <c r="G889" s="136"/>
      <c r="H889" s="136"/>
      <c r="I889" s="136"/>
      <c r="J889" s="136"/>
      <c r="K889" s="136"/>
      <c r="L889" s="136"/>
      <c r="M889" s="136"/>
      <c r="N889" s="136"/>
      <c r="O889" s="136"/>
      <c r="P889" s="136"/>
      <c r="Q889" s="136"/>
      <c r="R889" s="136"/>
    </row>
    <row r="890">
      <c r="A890" s="136"/>
      <c r="B890" s="136"/>
      <c r="C890" s="136"/>
      <c r="D890" s="136"/>
      <c r="E890" s="136"/>
      <c r="F890" s="201"/>
      <c r="G890" s="136"/>
      <c r="H890" s="136"/>
      <c r="I890" s="136"/>
      <c r="J890" s="136"/>
      <c r="K890" s="136"/>
      <c r="L890" s="136"/>
      <c r="M890" s="136"/>
      <c r="N890" s="136"/>
      <c r="O890" s="136"/>
      <c r="P890" s="136"/>
      <c r="Q890" s="136"/>
      <c r="R890" s="136"/>
    </row>
    <row r="891">
      <c r="A891" s="136"/>
      <c r="B891" s="136"/>
      <c r="C891" s="136"/>
      <c r="D891" s="136"/>
      <c r="E891" s="136"/>
      <c r="F891" s="201"/>
      <c r="G891" s="136"/>
      <c r="H891" s="136"/>
      <c r="I891" s="136"/>
      <c r="J891" s="136"/>
      <c r="K891" s="136"/>
      <c r="L891" s="136"/>
      <c r="M891" s="136"/>
      <c r="N891" s="136"/>
      <c r="O891" s="136"/>
      <c r="P891" s="136"/>
      <c r="Q891" s="136"/>
      <c r="R891" s="136"/>
    </row>
    <row r="892">
      <c r="A892" s="136"/>
      <c r="B892" s="136"/>
      <c r="C892" s="136"/>
      <c r="D892" s="136"/>
      <c r="E892" s="136"/>
      <c r="F892" s="201"/>
      <c r="G892" s="136"/>
      <c r="H892" s="136"/>
      <c r="I892" s="136"/>
      <c r="J892" s="136"/>
      <c r="K892" s="136"/>
      <c r="L892" s="136"/>
      <c r="M892" s="136"/>
      <c r="N892" s="136"/>
      <c r="O892" s="136"/>
      <c r="P892" s="136"/>
      <c r="Q892" s="136"/>
      <c r="R892" s="136"/>
    </row>
    <row r="893">
      <c r="A893" s="136"/>
      <c r="B893" s="136"/>
      <c r="C893" s="136"/>
      <c r="D893" s="136"/>
      <c r="E893" s="136"/>
      <c r="F893" s="201"/>
      <c r="G893" s="136"/>
      <c r="H893" s="136"/>
      <c r="I893" s="136"/>
      <c r="J893" s="136"/>
      <c r="K893" s="136"/>
      <c r="L893" s="136"/>
      <c r="M893" s="136"/>
      <c r="N893" s="136"/>
      <c r="O893" s="136"/>
      <c r="P893" s="136"/>
      <c r="Q893" s="136"/>
      <c r="R893" s="136"/>
    </row>
    <row r="894">
      <c r="A894" s="136"/>
      <c r="B894" s="136"/>
      <c r="C894" s="136"/>
      <c r="D894" s="136"/>
      <c r="E894" s="136"/>
      <c r="F894" s="201"/>
      <c r="G894" s="136"/>
      <c r="H894" s="136"/>
      <c r="I894" s="136"/>
      <c r="J894" s="136"/>
      <c r="K894" s="136"/>
      <c r="L894" s="136"/>
      <c r="M894" s="136"/>
      <c r="N894" s="136"/>
      <c r="O894" s="136"/>
      <c r="P894" s="136"/>
      <c r="Q894" s="136"/>
      <c r="R894" s="136"/>
    </row>
    <row r="895">
      <c r="A895" s="136"/>
      <c r="B895" s="136"/>
      <c r="C895" s="136"/>
      <c r="D895" s="136"/>
      <c r="E895" s="136"/>
      <c r="F895" s="201"/>
      <c r="G895" s="136"/>
      <c r="H895" s="136"/>
      <c r="I895" s="136"/>
      <c r="J895" s="136"/>
      <c r="K895" s="136"/>
      <c r="L895" s="136"/>
      <c r="M895" s="136"/>
      <c r="N895" s="136"/>
      <c r="O895" s="136"/>
      <c r="P895" s="136"/>
      <c r="Q895" s="136"/>
      <c r="R895" s="136"/>
    </row>
    <row r="896">
      <c r="A896" s="136"/>
      <c r="B896" s="136"/>
      <c r="C896" s="136"/>
      <c r="D896" s="136"/>
      <c r="E896" s="136"/>
      <c r="F896" s="201"/>
      <c r="G896" s="136"/>
      <c r="H896" s="136"/>
      <c r="I896" s="136"/>
      <c r="J896" s="136"/>
      <c r="K896" s="136"/>
      <c r="L896" s="136"/>
      <c r="M896" s="136"/>
      <c r="N896" s="136"/>
      <c r="O896" s="136"/>
      <c r="P896" s="136"/>
      <c r="Q896" s="136"/>
      <c r="R896" s="136"/>
    </row>
    <row r="897">
      <c r="A897" s="136"/>
      <c r="B897" s="136"/>
      <c r="C897" s="136"/>
      <c r="D897" s="136"/>
      <c r="E897" s="136"/>
      <c r="F897" s="201"/>
      <c r="G897" s="136"/>
      <c r="H897" s="136"/>
      <c r="I897" s="136"/>
      <c r="J897" s="136"/>
      <c r="K897" s="136"/>
      <c r="L897" s="136"/>
      <c r="M897" s="136"/>
      <c r="N897" s="136"/>
      <c r="O897" s="136"/>
      <c r="P897" s="136"/>
      <c r="Q897" s="136"/>
      <c r="R897" s="136"/>
    </row>
    <row r="898">
      <c r="A898" s="136"/>
      <c r="B898" s="136"/>
      <c r="C898" s="136"/>
      <c r="D898" s="136"/>
      <c r="E898" s="136"/>
      <c r="F898" s="201"/>
      <c r="G898" s="136"/>
      <c r="H898" s="136"/>
      <c r="I898" s="136"/>
      <c r="J898" s="136"/>
      <c r="K898" s="136"/>
      <c r="L898" s="136"/>
      <c r="M898" s="136"/>
      <c r="N898" s="136"/>
      <c r="O898" s="136"/>
      <c r="P898" s="136"/>
      <c r="Q898" s="136"/>
      <c r="R898" s="136"/>
    </row>
    <row r="899">
      <c r="A899" s="136"/>
      <c r="B899" s="136"/>
      <c r="C899" s="136"/>
      <c r="D899" s="136"/>
      <c r="E899" s="136"/>
      <c r="F899" s="201"/>
      <c r="G899" s="136"/>
      <c r="H899" s="136"/>
      <c r="I899" s="136"/>
      <c r="J899" s="136"/>
      <c r="K899" s="136"/>
      <c r="L899" s="136"/>
      <c r="M899" s="136"/>
      <c r="N899" s="136"/>
      <c r="O899" s="136"/>
      <c r="P899" s="136"/>
      <c r="Q899" s="136"/>
      <c r="R899" s="136"/>
    </row>
    <row r="900">
      <c r="A900" s="136"/>
      <c r="B900" s="136"/>
      <c r="C900" s="136"/>
      <c r="D900" s="136"/>
      <c r="E900" s="136"/>
      <c r="F900" s="201"/>
      <c r="G900" s="136"/>
      <c r="H900" s="136"/>
      <c r="I900" s="136"/>
      <c r="J900" s="136"/>
      <c r="K900" s="136"/>
      <c r="L900" s="136"/>
      <c r="M900" s="136"/>
      <c r="N900" s="136"/>
      <c r="O900" s="136"/>
      <c r="P900" s="136"/>
      <c r="Q900" s="136"/>
      <c r="R900" s="136"/>
    </row>
    <row r="901">
      <c r="A901" s="136"/>
      <c r="B901" s="136"/>
      <c r="C901" s="136"/>
      <c r="D901" s="136"/>
      <c r="E901" s="136"/>
      <c r="F901" s="201"/>
      <c r="G901" s="136"/>
      <c r="H901" s="136"/>
      <c r="I901" s="136"/>
      <c r="J901" s="136"/>
      <c r="K901" s="136"/>
      <c r="L901" s="136"/>
      <c r="M901" s="136"/>
      <c r="N901" s="136"/>
      <c r="O901" s="136"/>
      <c r="P901" s="136"/>
      <c r="Q901" s="136"/>
      <c r="R901" s="136"/>
    </row>
    <row r="902">
      <c r="A902" s="136"/>
      <c r="B902" s="136"/>
      <c r="C902" s="136"/>
      <c r="D902" s="136"/>
      <c r="E902" s="136"/>
      <c r="F902" s="201"/>
      <c r="G902" s="136"/>
      <c r="H902" s="136"/>
      <c r="I902" s="136"/>
      <c r="J902" s="136"/>
      <c r="K902" s="136"/>
      <c r="L902" s="136"/>
      <c r="M902" s="136"/>
      <c r="N902" s="136"/>
      <c r="O902" s="136"/>
      <c r="P902" s="136"/>
      <c r="Q902" s="136"/>
      <c r="R902" s="136"/>
    </row>
    <row r="903">
      <c r="A903" s="136"/>
      <c r="B903" s="136"/>
      <c r="C903" s="136"/>
      <c r="D903" s="136"/>
      <c r="E903" s="136"/>
      <c r="F903" s="201"/>
      <c r="G903" s="136"/>
      <c r="H903" s="136"/>
      <c r="I903" s="136"/>
      <c r="J903" s="136"/>
      <c r="K903" s="136"/>
      <c r="L903" s="136"/>
      <c r="M903" s="136"/>
      <c r="N903" s="136"/>
      <c r="O903" s="136"/>
      <c r="P903" s="136"/>
      <c r="Q903" s="136"/>
      <c r="R903" s="136"/>
    </row>
    <row r="904">
      <c r="A904" s="136"/>
      <c r="B904" s="136"/>
      <c r="C904" s="136"/>
      <c r="D904" s="136"/>
      <c r="E904" s="136"/>
      <c r="F904" s="201"/>
      <c r="G904" s="136"/>
      <c r="H904" s="136"/>
      <c r="I904" s="136"/>
      <c r="J904" s="136"/>
      <c r="K904" s="136"/>
      <c r="L904" s="136"/>
      <c r="M904" s="136"/>
      <c r="N904" s="136"/>
      <c r="O904" s="136"/>
      <c r="P904" s="136"/>
      <c r="Q904" s="136"/>
      <c r="R904" s="136"/>
    </row>
    <row r="905">
      <c r="A905" s="136"/>
      <c r="B905" s="136"/>
      <c r="C905" s="136"/>
      <c r="D905" s="136"/>
      <c r="E905" s="136"/>
      <c r="F905" s="201"/>
      <c r="G905" s="136"/>
      <c r="H905" s="136"/>
      <c r="I905" s="136"/>
      <c r="J905" s="136"/>
      <c r="K905" s="136"/>
      <c r="L905" s="136"/>
      <c r="M905" s="136"/>
      <c r="N905" s="136"/>
      <c r="O905" s="136"/>
      <c r="P905" s="136"/>
      <c r="Q905" s="136"/>
      <c r="R905" s="136"/>
    </row>
    <row r="906">
      <c r="A906" s="136"/>
      <c r="B906" s="136"/>
      <c r="C906" s="136"/>
      <c r="D906" s="136"/>
      <c r="E906" s="136"/>
      <c r="F906" s="201"/>
      <c r="G906" s="136"/>
      <c r="H906" s="136"/>
      <c r="I906" s="136"/>
      <c r="J906" s="136"/>
      <c r="K906" s="136"/>
      <c r="L906" s="136"/>
      <c r="M906" s="136"/>
      <c r="N906" s="136"/>
      <c r="O906" s="136"/>
      <c r="P906" s="136"/>
      <c r="Q906" s="136"/>
      <c r="R906" s="136"/>
    </row>
    <row r="907">
      <c r="A907" s="136"/>
      <c r="B907" s="136"/>
      <c r="C907" s="136"/>
      <c r="D907" s="136"/>
      <c r="E907" s="136"/>
      <c r="F907" s="201"/>
      <c r="G907" s="136"/>
      <c r="H907" s="136"/>
      <c r="I907" s="136"/>
      <c r="J907" s="136"/>
      <c r="K907" s="136"/>
      <c r="L907" s="136"/>
      <c r="M907" s="136"/>
      <c r="N907" s="136"/>
      <c r="O907" s="136"/>
      <c r="P907" s="136"/>
      <c r="Q907" s="136"/>
      <c r="R907" s="136"/>
    </row>
    <row r="908">
      <c r="A908" s="136"/>
      <c r="B908" s="136"/>
      <c r="C908" s="136"/>
      <c r="D908" s="136"/>
      <c r="E908" s="136"/>
      <c r="F908" s="201"/>
      <c r="G908" s="136"/>
      <c r="H908" s="136"/>
      <c r="I908" s="136"/>
      <c r="J908" s="136"/>
      <c r="K908" s="136"/>
      <c r="L908" s="136"/>
      <c r="M908" s="136"/>
      <c r="N908" s="136"/>
      <c r="O908" s="136"/>
      <c r="P908" s="136"/>
      <c r="Q908" s="136"/>
      <c r="R908" s="136"/>
    </row>
    <row r="909">
      <c r="A909" s="136"/>
      <c r="B909" s="136"/>
      <c r="C909" s="136"/>
      <c r="D909" s="136"/>
      <c r="E909" s="136"/>
      <c r="F909" s="201"/>
      <c r="G909" s="136"/>
      <c r="H909" s="136"/>
      <c r="I909" s="136"/>
      <c r="J909" s="136"/>
      <c r="K909" s="136"/>
      <c r="L909" s="136"/>
      <c r="M909" s="136"/>
      <c r="N909" s="136"/>
      <c r="O909" s="136"/>
      <c r="P909" s="136"/>
      <c r="Q909" s="136"/>
      <c r="R909" s="136"/>
    </row>
    <row r="910">
      <c r="A910" s="136"/>
      <c r="B910" s="136"/>
      <c r="C910" s="136"/>
      <c r="D910" s="136"/>
      <c r="E910" s="136"/>
      <c r="F910" s="201"/>
      <c r="G910" s="136"/>
      <c r="H910" s="136"/>
      <c r="I910" s="136"/>
      <c r="J910" s="136"/>
      <c r="K910" s="136"/>
      <c r="L910" s="136"/>
      <c r="M910" s="136"/>
      <c r="N910" s="136"/>
      <c r="O910" s="136"/>
      <c r="P910" s="136"/>
      <c r="Q910" s="136"/>
      <c r="R910" s="136"/>
    </row>
    <row r="911">
      <c r="A911" s="136"/>
      <c r="B911" s="136"/>
      <c r="C911" s="136"/>
      <c r="D911" s="136"/>
      <c r="E911" s="136"/>
      <c r="F911" s="201"/>
      <c r="G911" s="136"/>
      <c r="H911" s="136"/>
      <c r="I911" s="136"/>
      <c r="J911" s="136"/>
      <c r="K911" s="136"/>
      <c r="L911" s="136"/>
      <c r="M911" s="136"/>
      <c r="N911" s="136"/>
      <c r="O911" s="136"/>
      <c r="P911" s="136"/>
      <c r="Q911" s="136"/>
      <c r="R911" s="136"/>
    </row>
    <row r="912">
      <c r="A912" s="136"/>
      <c r="B912" s="136"/>
      <c r="C912" s="136"/>
      <c r="D912" s="136"/>
      <c r="E912" s="136"/>
      <c r="F912" s="201"/>
      <c r="G912" s="136"/>
      <c r="H912" s="136"/>
      <c r="I912" s="136"/>
      <c r="J912" s="136"/>
      <c r="K912" s="136"/>
      <c r="L912" s="136"/>
      <c r="M912" s="136"/>
      <c r="N912" s="136"/>
      <c r="O912" s="136"/>
      <c r="P912" s="136"/>
      <c r="Q912" s="136"/>
      <c r="R912" s="136"/>
    </row>
    <row r="913">
      <c r="A913" s="136"/>
      <c r="B913" s="136"/>
      <c r="C913" s="136"/>
      <c r="D913" s="136"/>
      <c r="E913" s="136"/>
      <c r="F913" s="201"/>
      <c r="G913" s="136"/>
      <c r="H913" s="136"/>
      <c r="I913" s="136"/>
      <c r="J913" s="136"/>
      <c r="K913" s="136"/>
      <c r="L913" s="136"/>
      <c r="M913" s="136"/>
      <c r="N913" s="136"/>
      <c r="O913" s="136"/>
      <c r="P913" s="136"/>
      <c r="Q913" s="136"/>
      <c r="R913" s="136"/>
    </row>
    <row r="914">
      <c r="A914" s="136"/>
      <c r="B914" s="136"/>
      <c r="C914" s="136"/>
      <c r="D914" s="136"/>
      <c r="E914" s="136"/>
      <c r="F914" s="201"/>
      <c r="G914" s="136"/>
      <c r="H914" s="136"/>
      <c r="I914" s="136"/>
      <c r="J914" s="136"/>
      <c r="K914" s="136"/>
      <c r="L914" s="136"/>
      <c r="M914" s="136"/>
      <c r="N914" s="136"/>
      <c r="O914" s="136"/>
      <c r="P914" s="136"/>
      <c r="Q914" s="136"/>
      <c r="R914" s="136"/>
    </row>
    <row r="915">
      <c r="A915" s="136"/>
      <c r="B915" s="136"/>
      <c r="C915" s="136"/>
      <c r="D915" s="136"/>
      <c r="E915" s="136"/>
      <c r="F915" s="201"/>
      <c r="G915" s="136"/>
      <c r="H915" s="136"/>
      <c r="I915" s="136"/>
      <c r="J915" s="136"/>
      <c r="K915" s="136"/>
      <c r="L915" s="136"/>
      <c r="M915" s="136"/>
      <c r="N915" s="136"/>
      <c r="O915" s="136"/>
      <c r="P915" s="136"/>
      <c r="Q915" s="136"/>
      <c r="R915" s="136"/>
    </row>
    <row r="916">
      <c r="A916" s="136"/>
      <c r="B916" s="136"/>
      <c r="C916" s="136"/>
      <c r="D916" s="136"/>
      <c r="E916" s="136"/>
      <c r="F916" s="201"/>
      <c r="G916" s="136"/>
      <c r="H916" s="136"/>
      <c r="I916" s="136"/>
      <c r="J916" s="136"/>
      <c r="K916" s="136"/>
      <c r="L916" s="136"/>
      <c r="M916" s="136"/>
      <c r="N916" s="136"/>
      <c r="O916" s="136"/>
      <c r="P916" s="136"/>
      <c r="Q916" s="136"/>
      <c r="R916" s="136"/>
    </row>
    <row r="917">
      <c r="A917" s="136"/>
      <c r="B917" s="136"/>
      <c r="C917" s="136"/>
      <c r="D917" s="136"/>
      <c r="E917" s="136"/>
      <c r="F917" s="201"/>
      <c r="G917" s="136"/>
      <c r="H917" s="136"/>
      <c r="I917" s="136"/>
      <c r="J917" s="136"/>
      <c r="K917" s="136"/>
      <c r="L917" s="136"/>
      <c r="M917" s="136"/>
      <c r="N917" s="136"/>
      <c r="O917" s="136"/>
      <c r="P917" s="136"/>
      <c r="Q917" s="136"/>
      <c r="R917" s="136"/>
    </row>
    <row r="918">
      <c r="A918" s="136"/>
      <c r="B918" s="136"/>
      <c r="C918" s="136"/>
      <c r="D918" s="136"/>
      <c r="E918" s="136"/>
      <c r="F918" s="201"/>
      <c r="G918" s="136"/>
      <c r="H918" s="136"/>
      <c r="I918" s="136"/>
      <c r="J918" s="136"/>
      <c r="K918" s="136"/>
      <c r="L918" s="136"/>
      <c r="M918" s="136"/>
      <c r="N918" s="136"/>
      <c r="O918" s="136"/>
      <c r="P918" s="136"/>
      <c r="Q918" s="136"/>
      <c r="R918" s="136"/>
    </row>
    <row r="919">
      <c r="A919" s="136"/>
      <c r="B919" s="136"/>
      <c r="C919" s="136"/>
      <c r="D919" s="136"/>
      <c r="E919" s="136"/>
      <c r="F919" s="201"/>
      <c r="G919" s="136"/>
      <c r="H919" s="136"/>
      <c r="I919" s="136"/>
      <c r="J919" s="136"/>
      <c r="K919" s="136"/>
      <c r="L919" s="136"/>
      <c r="M919" s="136"/>
      <c r="N919" s="136"/>
      <c r="O919" s="136"/>
      <c r="P919" s="136"/>
      <c r="Q919" s="136"/>
      <c r="R919" s="136"/>
    </row>
    <row r="920">
      <c r="A920" s="136"/>
      <c r="B920" s="136"/>
      <c r="C920" s="136"/>
      <c r="D920" s="136"/>
      <c r="E920" s="136"/>
      <c r="F920" s="201"/>
      <c r="G920" s="136"/>
      <c r="H920" s="136"/>
      <c r="I920" s="136"/>
      <c r="J920" s="136"/>
      <c r="K920" s="136"/>
      <c r="L920" s="136"/>
      <c r="M920" s="136"/>
      <c r="N920" s="136"/>
      <c r="O920" s="136"/>
      <c r="P920" s="136"/>
      <c r="Q920" s="136"/>
      <c r="R920" s="136"/>
    </row>
    <row r="921">
      <c r="A921" s="136"/>
      <c r="B921" s="136"/>
      <c r="C921" s="136"/>
      <c r="D921" s="136"/>
      <c r="E921" s="136"/>
      <c r="F921" s="201"/>
      <c r="G921" s="136"/>
      <c r="H921" s="136"/>
      <c r="I921" s="136"/>
      <c r="J921" s="136"/>
      <c r="K921" s="136"/>
      <c r="L921" s="136"/>
      <c r="M921" s="136"/>
      <c r="N921" s="136"/>
      <c r="O921" s="136"/>
      <c r="P921" s="136"/>
      <c r="Q921" s="136"/>
      <c r="R921" s="136"/>
    </row>
    <row r="922">
      <c r="A922" s="136"/>
      <c r="B922" s="136"/>
      <c r="C922" s="136"/>
      <c r="D922" s="136"/>
      <c r="E922" s="136"/>
      <c r="F922" s="201"/>
      <c r="G922" s="136"/>
      <c r="H922" s="136"/>
      <c r="I922" s="136"/>
      <c r="J922" s="136"/>
      <c r="K922" s="136"/>
      <c r="L922" s="136"/>
      <c r="M922" s="136"/>
      <c r="N922" s="136"/>
      <c r="O922" s="136"/>
      <c r="P922" s="136"/>
      <c r="Q922" s="136"/>
      <c r="R922" s="136"/>
    </row>
    <row r="923">
      <c r="A923" s="136"/>
      <c r="B923" s="136"/>
      <c r="C923" s="136"/>
      <c r="D923" s="136"/>
      <c r="E923" s="136"/>
      <c r="F923" s="201"/>
      <c r="G923" s="136"/>
      <c r="H923" s="136"/>
      <c r="I923" s="136"/>
      <c r="J923" s="136"/>
      <c r="K923" s="136"/>
      <c r="L923" s="136"/>
      <c r="M923" s="136"/>
      <c r="N923" s="136"/>
      <c r="O923" s="136"/>
      <c r="P923" s="136"/>
      <c r="Q923" s="136"/>
      <c r="R923" s="136"/>
    </row>
    <row r="924">
      <c r="A924" s="136"/>
      <c r="B924" s="136"/>
      <c r="C924" s="136"/>
      <c r="D924" s="136"/>
      <c r="E924" s="136"/>
      <c r="F924" s="201"/>
      <c r="G924" s="136"/>
      <c r="H924" s="136"/>
      <c r="I924" s="136"/>
      <c r="J924" s="136"/>
      <c r="K924" s="136"/>
      <c r="L924" s="136"/>
      <c r="M924" s="136"/>
      <c r="N924" s="136"/>
      <c r="O924" s="136"/>
      <c r="P924" s="136"/>
      <c r="Q924" s="136"/>
      <c r="R924" s="136"/>
    </row>
    <row r="925">
      <c r="A925" s="136"/>
      <c r="B925" s="136"/>
      <c r="C925" s="136"/>
      <c r="D925" s="136"/>
      <c r="E925" s="136"/>
      <c r="F925" s="201"/>
      <c r="G925" s="136"/>
      <c r="H925" s="136"/>
      <c r="I925" s="136"/>
      <c r="J925" s="136"/>
      <c r="K925" s="136"/>
      <c r="L925" s="136"/>
      <c r="M925" s="136"/>
      <c r="N925" s="136"/>
      <c r="O925" s="136"/>
      <c r="P925" s="136"/>
      <c r="Q925" s="136"/>
      <c r="R925" s="136"/>
    </row>
    <row r="926">
      <c r="A926" s="136"/>
      <c r="B926" s="136"/>
      <c r="C926" s="136"/>
      <c r="D926" s="136"/>
      <c r="E926" s="136"/>
      <c r="F926" s="201"/>
      <c r="G926" s="136"/>
      <c r="H926" s="136"/>
      <c r="I926" s="136"/>
      <c r="J926" s="136"/>
      <c r="K926" s="136"/>
      <c r="L926" s="136"/>
      <c r="M926" s="136"/>
      <c r="N926" s="136"/>
      <c r="O926" s="136"/>
      <c r="P926" s="136"/>
      <c r="Q926" s="136"/>
      <c r="R926" s="136"/>
    </row>
    <row r="927">
      <c r="A927" s="136"/>
      <c r="B927" s="136"/>
      <c r="C927" s="136"/>
      <c r="D927" s="136"/>
      <c r="E927" s="136"/>
      <c r="F927" s="201"/>
      <c r="G927" s="136"/>
      <c r="H927" s="136"/>
      <c r="I927" s="136"/>
      <c r="J927" s="136"/>
      <c r="K927" s="136"/>
      <c r="L927" s="136"/>
      <c r="M927" s="136"/>
      <c r="N927" s="136"/>
      <c r="O927" s="136"/>
      <c r="P927" s="136"/>
      <c r="Q927" s="136"/>
      <c r="R927" s="136"/>
    </row>
    <row r="928">
      <c r="A928" s="136"/>
      <c r="B928" s="136"/>
      <c r="C928" s="136"/>
      <c r="D928" s="136"/>
      <c r="E928" s="136"/>
      <c r="F928" s="201"/>
      <c r="G928" s="136"/>
      <c r="H928" s="136"/>
      <c r="I928" s="136"/>
      <c r="J928" s="136"/>
      <c r="K928" s="136"/>
      <c r="L928" s="136"/>
      <c r="M928" s="136"/>
      <c r="N928" s="136"/>
      <c r="O928" s="136"/>
      <c r="P928" s="136"/>
      <c r="Q928" s="136"/>
      <c r="R928" s="136"/>
    </row>
    <row r="929">
      <c r="A929" s="136"/>
      <c r="B929" s="136"/>
      <c r="C929" s="136"/>
      <c r="D929" s="136"/>
      <c r="E929" s="136"/>
      <c r="F929" s="201"/>
      <c r="G929" s="136"/>
      <c r="H929" s="136"/>
      <c r="I929" s="136"/>
      <c r="J929" s="136"/>
      <c r="K929" s="136"/>
      <c r="L929" s="136"/>
      <c r="M929" s="136"/>
      <c r="N929" s="136"/>
      <c r="O929" s="136"/>
      <c r="P929" s="136"/>
      <c r="Q929" s="136"/>
      <c r="R929" s="136"/>
    </row>
    <row r="930">
      <c r="A930" s="136"/>
      <c r="B930" s="136"/>
      <c r="C930" s="136"/>
      <c r="D930" s="136"/>
      <c r="E930" s="136"/>
      <c r="F930" s="201"/>
      <c r="G930" s="136"/>
      <c r="H930" s="136"/>
      <c r="I930" s="136"/>
      <c r="J930" s="136"/>
      <c r="K930" s="136"/>
      <c r="L930" s="136"/>
      <c r="M930" s="136"/>
      <c r="N930" s="136"/>
      <c r="O930" s="136"/>
      <c r="P930" s="136"/>
      <c r="Q930" s="136"/>
      <c r="R930" s="136"/>
    </row>
    <row r="931">
      <c r="A931" s="136"/>
      <c r="B931" s="136"/>
      <c r="C931" s="136"/>
      <c r="D931" s="136"/>
      <c r="E931" s="136"/>
      <c r="F931" s="201"/>
      <c r="G931" s="136"/>
      <c r="H931" s="136"/>
      <c r="I931" s="136"/>
      <c r="J931" s="136"/>
      <c r="K931" s="136"/>
      <c r="L931" s="136"/>
      <c r="M931" s="136"/>
      <c r="N931" s="136"/>
      <c r="O931" s="136"/>
      <c r="P931" s="136"/>
      <c r="Q931" s="136"/>
      <c r="R931" s="136"/>
    </row>
    <row r="932">
      <c r="A932" s="136"/>
      <c r="B932" s="136"/>
      <c r="C932" s="136"/>
      <c r="D932" s="136"/>
      <c r="E932" s="136"/>
      <c r="F932" s="201"/>
      <c r="G932" s="136"/>
      <c r="H932" s="136"/>
      <c r="I932" s="136"/>
      <c r="J932" s="136"/>
      <c r="K932" s="136"/>
      <c r="L932" s="136"/>
      <c r="M932" s="136"/>
      <c r="N932" s="136"/>
      <c r="O932" s="136"/>
      <c r="P932" s="136"/>
      <c r="Q932" s="136"/>
      <c r="R932" s="136"/>
    </row>
    <row r="933">
      <c r="A933" s="136"/>
      <c r="B933" s="136"/>
      <c r="C933" s="136"/>
      <c r="D933" s="136"/>
      <c r="E933" s="136"/>
      <c r="F933" s="201"/>
      <c r="G933" s="136"/>
      <c r="H933" s="136"/>
      <c r="I933" s="136"/>
      <c r="J933" s="136"/>
      <c r="K933" s="136"/>
      <c r="L933" s="136"/>
      <c r="M933" s="136"/>
      <c r="N933" s="136"/>
      <c r="O933" s="136"/>
      <c r="P933" s="136"/>
      <c r="Q933" s="136"/>
      <c r="R933" s="136"/>
    </row>
    <row r="934">
      <c r="A934" s="136"/>
      <c r="B934" s="136"/>
      <c r="C934" s="136"/>
      <c r="D934" s="136"/>
      <c r="E934" s="136"/>
      <c r="F934" s="201"/>
      <c r="G934" s="136"/>
      <c r="H934" s="136"/>
      <c r="I934" s="136"/>
      <c r="J934" s="136"/>
      <c r="K934" s="136"/>
      <c r="L934" s="136"/>
      <c r="M934" s="136"/>
      <c r="N934" s="136"/>
      <c r="O934" s="136"/>
      <c r="P934" s="136"/>
      <c r="Q934" s="136"/>
      <c r="R934" s="136"/>
    </row>
    <row r="935">
      <c r="A935" s="136"/>
      <c r="B935" s="136"/>
      <c r="C935" s="136"/>
      <c r="D935" s="136"/>
      <c r="E935" s="136"/>
      <c r="F935" s="201"/>
      <c r="G935" s="136"/>
      <c r="H935" s="136"/>
      <c r="I935" s="136"/>
      <c r="J935" s="136"/>
      <c r="K935" s="136"/>
      <c r="L935" s="136"/>
      <c r="M935" s="136"/>
      <c r="N935" s="136"/>
      <c r="O935" s="136"/>
      <c r="P935" s="136"/>
      <c r="Q935" s="136"/>
      <c r="R935" s="136"/>
    </row>
    <row r="936">
      <c r="A936" s="136"/>
      <c r="B936" s="136"/>
      <c r="C936" s="136"/>
      <c r="D936" s="136"/>
      <c r="E936" s="136"/>
      <c r="F936" s="201"/>
      <c r="G936" s="136"/>
      <c r="H936" s="136"/>
      <c r="I936" s="136"/>
      <c r="J936" s="136"/>
      <c r="K936" s="136"/>
      <c r="L936" s="136"/>
      <c r="M936" s="136"/>
      <c r="N936" s="136"/>
      <c r="O936" s="136"/>
      <c r="P936" s="136"/>
      <c r="Q936" s="136"/>
      <c r="R936" s="136"/>
    </row>
    <row r="937">
      <c r="A937" s="136"/>
      <c r="B937" s="136"/>
      <c r="C937" s="136"/>
      <c r="D937" s="136"/>
      <c r="E937" s="136"/>
      <c r="F937" s="201"/>
      <c r="G937" s="136"/>
      <c r="H937" s="136"/>
      <c r="I937" s="136"/>
      <c r="J937" s="136"/>
      <c r="K937" s="136"/>
      <c r="L937" s="136"/>
      <c r="M937" s="136"/>
      <c r="N937" s="136"/>
      <c r="O937" s="136"/>
      <c r="P937" s="136"/>
      <c r="Q937" s="136"/>
      <c r="R937" s="136"/>
    </row>
    <row r="938">
      <c r="A938" s="136"/>
      <c r="B938" s="136"/>
      <c r="C938" s="136"/>
      <c r="D938" s="136"/>
      <c r="E938" s="136"/>
      <c r="F938" s="201"/>
      <c r="G938" s="136"/>
      <c r="H938" s="136"/>
      <c r="I938" s="136"/>
      <c r="J938" s="136"/>
      <c r="K938" s="136"/>
      <c r="L938" s="136"/>
      <c r="M938" s="136"/>
      <c r="N938" s="136"/>
      <c r="O938" s="136"/>
      <c r="P938" s="136"/>
      <c r="Q938" s="136"/>
      <c r="R938" s="136"/>
    </row>
    <row r="939">
      <c r="A939" s="136"/>
      <c r="B939" s="136"/>
      <c r="C939" s="136"/>
      <c r="D939" s="136"/>
      <c r="E939" s="136"/>
      <c r="F939" s="201"/>
      <c r="G939" s="136"/>
      <c r="H939" s="136"/>
      <c r="I939" s="136"/>
      <c r="J939" s="136"/>
      <c r="K939" s="136"/>
      <c r="L939" s="136"/>
      <c r="M939" s="136"/>
      <c r="N939" s="136"/>
      <c r="O939" s="136"/>
      <c r="P939" s="136"/>
      <c r="Q939" s="136"/>
      <c r="R939" s="136"/>
    </row>
    <row r="940">
      <c r="A940" s="136"/>
      <c r="B940" s="136"/>
      <c r="C940" s="136"/>
      <c r="D940" s="136"/>
      <c r="E940" s="136"/>
      <c r="F940" s="201"/>
      <c r="G940" s="136"/>
      <c r="H940" s="136"/>
      <c r="I940" s="136"/>
      <c r="J940" s="136"/>
      <c r="K940" s="136"/>
      <c r="L940" s="136"/>
      <c r="M940" s="136"/>
      <c r="N940" s="136"/>
      <c r="O940" s="136"/>
      <c r="P940" s="136"/>
      <c r="Q940" s="136"/>
      <c r="R940" s="136"/>
    </row>
    <row r="941">
      <c r="A941" s="136"/>
      <c r="B941" s="136"/>
      <c r="C941" s="136"/>
      <c r="D941" s="136"/>
      <c r="E941" s="136"/>
      <c r="F941" s="201"/>
      <c r="G941" s="136"/>
      <c r="H941" s="136"/>
      <c r="I941" s="136"/>
      <c r="J941" s="136"/>
      <c r="K941" s="136"/>
      <c r="L941" s="136"/>
      <c r="M941" s="136"/>
      <c r="N941" s="136"/>
      <c r="O941" s="136"/>
      <c r="P941" s="136"/>
      <c r="Q941" s="136"/>
      <c r="R941" s="136"/>
    </row>
    <row r="942">
      <c r="A942" s="136"/>
      <c r="B942" s="136"/>
      <c r="C942" s="136"/>
      <c r="D942" s="136"/>
      <c r="E942" s="136"/>
      <c r="F942" s="201"/>
      <c r="G942" s="136"/>
      <c r="H942" s="136"/>
      <c r="I942" s="136"/>
      <c r="J942" s="136"/>
      <c r="K942" s="136"/>
      <c r="L942" s="136"/>
      <c r="M942" s="136"/>
      <c r="N942" s="136"/>
      <c r="O942" s="136"/>
      <c r="P942" s="136"/>
      <c r="Q942" s="136"/>
      <c r="R942" s="136"/>
    </row>
    <row r="943">
      <c r="A943" s="136"/>
      <c r="B943" s="136"/>
      <c r="C943" s="136"/>
      <c r="D943" s="136"/>
      <c r="E943" s="136"/>
      <c r="F943" s="201"/>
      <c r="G943" s="136"/>
      <c r="H943" s="136"/>
      <c r="I943" s="136"/>
      <c r="J943" s="136"/>
      <c r="K943" s="136"/>
      <c r="L943" s="136"/>
      <c r="M943" s="136"/>
      <c r="N943" s="136"/>
      <c r="O943" s="136"/>
      <c r="P943" s="136"/>
      <c r="Q943" s="136"/>
      <c r="R943" s="136"/>
    </row>
    <row r="944">
      <c r="A944" s="136"/>
      <c r="B944" s="136"/>
      <c r="C944" s="136"/>
      <c r="D944" s="136"/>
      <c r="E944" s="136"/>
      <c r="F944" s="201"/>
      <c r="G944" s="136"/>
      <c r="H944" s="136"/>
      <c r="I944" s="136"/>
      <c r="J944" s="136"/>
      <c r="K944" s="136"/>
      <c r="L944" s="136"/>
      <c r="M944" s="136"/>
      <c r="N944" s="136"/>
      <c r="O944" s="136"/>
      <c r="P944" s="136"/>
      <c r="Q944" s="136"/>
      <c r="R944" s="136"/>
    </row>
    <row r="945">
      <c r="A945" s="136"/>
      <c r="B945" s="136"/>
      <c r="C945" s="136"/>
      <c r="D945" s="136"/>
      <c r="E945" s="136"/>
      <c r="F945" s="201"/>
      <c r="G945" s="136"/>
      <c r="H945" s="136"/>
      <c r="I945" s="136"/>
      <c r="J945" s="136"/>
      <c r="K945" s="136"/>
      <c r="L945" s="136"/>
      <c r="M945" s="136"/>
      <c r="N945" s="136"/>
      <c r="O945" s="136"/>
      <c r="P945" s="136"/>
      <c r="Q945" s="136"/>
      <c r="R945" s="136"/>
    </row>
    <row r="946">
      <c r="A946" s="136"/>
      <c r="B946" s="136"/>
      <c r="C946" s="136"/>
      <c r="D946" s="136"/>
      <c r="E946" s="136"/>
      <c r="F946" s="201"/>
      <c r="G946" s="136"/>
      <c r="H946" s="136"/>
      <c r="I946" s="136"/>
      <c r="J946" s="136"/>
      <c r="K946" s="136"/>
      <c r="L946" s="136"/>
      <c r="M946" s="136"/>
      <c r="N946" s="136"/>
      <c r="O946" s="136"/>
      <c r="P946" s="136"/>
      <c r="Q946" s="136"/>
      <c r="R946" s="136"/>
    </row>
    <row r="947">
      <c r="A947" s="136"/>
      <c r="B947" s="136"/>
      <c r="C947" s="136"/>
      <c r="D947" s="136"/>
      <c r="E947" s="136"/>
      <c r="F947" s="201"/>
      <c r="G947" s="136"/>
      <c r="H947" s="136"/>
      <c r="I947" s="136"/>
      <c r="J947" s="136"/>
      <c r="K947" s="136"/>
      <c r="L947" s="136"/>
      <c r="M947" s="136"/>
      <c r="N947" s="136"/>
      <c r="O947" s="136"/>
      <c r="P947" s="136"/>
      <c r="Q947" s="136"/>
      <c r="R947" s="136"/>
    </row>
    <row r="948">
      <c r="A948" s="136"/>
      <c r="B948" s="136"/>
      <c r="C948" s="136"/>
      <c r="D948" s="136"/>
      <c r="E948" s="136"/>
      <c r="F948" s="201"/>
      <c r="G948" s="136"/>
      <c r="H948" s="136"/>
      <c r="I948" s="136"/>
      <c r="J948" s="136"/>
      <c r="K948" s="136"/>
      <c r="L948" s="136"/>
      <c r="M948" s="136"/>
      <c r="N948" s="136"/>
      <c r="O948" s="136"/>
      <c r="P948" s="136"/>
      <c r="Q948" s="136"/>
      <c r="R948" s="136"/>
    </row>
    <row r="949">
      <c r="A949" s="136"/>
      <c r="B949" s="136"/>
      <c r="C949" s="136"/>
      <c r="D949" s="136"/>
      <c r="E949" s="136"/>
      <c r="F949" s="201"/>
      <c r="G949" s="136"/>
      <c r="H949" s="136"/>
      <c r="I949" s="136"/>
      <c r="J949" s="136"/>
      <c r="K949" s="136"/>
      <c r="L949" s="136"/>
      <c r="M949" s="136"/>
      <c r="N949" s="136"/>
      <c r="O949" s="136"/>
      <c r="P949" s="136"/>
      <c r="Q949" s="136"/>
      <c r="R949" s="136"/>
    </row>
    <row r="950">
      <c r="A950" s="136"/>
      <c r="B950" s="136"/>
      <c r="C950" s="136"/>
      <c r="D950" s="136"/>
      <c r="E950" s="136"/>
      <c r="F950" s="201"/>
      <c r="G950" s="136"/>
      <c r="H950" s="136"/>
      <c r="I950" s="136"/>
      <c r="J950" s="136"/>
      <c r="K950" s="136"/>
      <c r="L950" s="136"/>
      <c r="M950" s="136"/>
      <c r="N950" s="136"/>
      <c r="O950" s="136"/>
      <c r="P950" s="136"/>
      <c r="Q950" s="136"/>
      <c r="R950" s="136"/>
    </row>
    <row r="951">
      <c r="A951" s="136"/>
      <c r="B951" s="136"/>
      <c r="C951" s="136"/>
      <c r="D951" s="136"/>
      <c r="E951" s="136"/>
      <c r="F951" s="201"/>
      <c r="G951" s="136"/>
      <c r="H951" s="136"/>
      <c r="I951" s="136"/>
      <c r="J951" s="136"/>
      <c r="K951" s="136"/>
      <c r="L951" s="136"/>
      <c r="M951" s="136"/>
      <c r="N951" s="136"/>
      <c r="O951" s="136"/>
      <c r="P951" s="136"/>
      <c r="Q951" s="136"/>
      <c r="R951" s="136"/>
    </row>
    <row r="952">
      <c r="A952" s="136"/>
      <c r="B952" s="136"/>
      <c r="C952" s="136"/>
      <c r="D952" s="136"/>
      <c r="E952" s="136"/>
      <c r="F952" s="201"/>
      <c r="G952" s="136"/>
      <c r="H952" s="136"/>
      <c r="I952" s="136"/>
      <c r="J952" s="136"/>
      <c r="K952" s="136"/>
      <c r="L952" s="136"/>
      <c r="M952" s="136"/>
      <c r="N952" s="136"/>
      <c r="O952" s="136"/>
      <c r="P952" s="136"/>
      <c r="Q952" s="136"/>
      <c r="R952" s="136"/>
    </row>
    <row r="953">
      <c r="A953" s="136"/>
      <c r="B953" s="136"/>
      <c r="C953" s="136"/>
      <c r="D953" s="136"/>
      <c r="E953" s="136"/>
      <c r="F953" s="201"/>
      <c r="G953" s="136"/>
      <c r="H953" s="136"/>
      <c r="I953" s="136"/>
      <c r="J953" s="136"/>
      <c r="K953" s="136"/>
      <c r="L953" s="136"/>
      <c r="M953" s="136"/>
      <c r="N953" s="136"/>
      <c r="O953" s="136"/>
      <c r="P953" s="136"/>
      <c r="Q953" s="136"/>
      <c r="R953" s="136"/>
    </row>
    <row r="954">
      <c r="A954" s="136"/>
      <c r="B954" s="136"/>
      <c r="C954" s="136"/>
      <c r="D954" s="136"/>
      <c r="E954" s="136"/>
      <c r="F954" s="201"/>
      <c r="G954" s="136"/>
      <c r="H954" s="136"/>
      <c r="I954" s="136"/>
      <c r="J954" s="136"/>
      <c r="K954" s="136"/>
      <c r="L954" s="136"/>
      <c r="M954" s="136"/>
      <c r="N954" s="136"/>
      <c r="O954" s="136"/>
      <c r="P954" s="136"/>
      <c r="Q954" s="136"/>
      <c r="R954" s="136"/>
    </row>
    <row r="955">
      <c r="A955" s="136"/>
      <c r="B955" s="136"/>
      <c r="C955" s="136"/>
      <c r="D955" s="136"/>
      <c r="E955" s="136"/>
      <c r="F955" s="201"/>
      <c r="G955" s="136"/>
      <c r="H955" s="136"/>
      <c r="I955" s="136"/>
      <c r="J955" s="136"/>
      <c r="K955" s="136"/>
      <c r="L955" s="136"/>
      <c r="M955" s="136"/>
      <c r="N955" s="136"/>
      <c r="O955" s="136"/>
      <c r="P955" s="136"/>
      <c r="Q955" s="136"/>
      <c r="R955" s="136"/>
    </row>
    <row r="956">
      <c r="A956" s="136"/>
      <c r="B956" s="136"/>
      <c r="C956" s="136"/>
      <c r="D956" s="136"/>
      <c r="E956" s="136"/>
      <c r="F956" s="201"/>
      <c r="G956" s="136"/>
      <c r="H956" s="136"/>
      <c r="I956" s="136"/>
      <c r="J956" s="136"/>
      <c r="K956" s="136"/>
      <c r="L956" s="136"/>
      <c r="M956" s="136"/>
      <c r="N956" s="136"/>
      <c r="O956" s="136"/>
      <c r="P956" s="136"/>
      <c r="Q956" s="136"/>
      <c r="R956" s="136"/>
    </row>
    <row r="957">
      <c r="A957" s="136"/>
      <c r="B957" s="136"/>
      <c r="C957" s="136"/>
      <c r="D957" s="136"/>
      <c r="E957" s="136"/>
      <c r="F957" s="201"/>
      <c r="G957" s="136"/>
      <c r="H957" s="136"/>
      <c r="I957" s="136"/>
      <c r="J957" s="136"/>
      <c r="K957" s="136"/>
      <c r="L957" s="136"/>
      <c r="M957" s="136"/>
      <c r="N957" s="136"/>
      <c r="O957" s="136"/>
      <c r="P957" s="136"/>
      <c r="Q957" s="136"/>
      <c r="R957" s="136"/>
    </row>
    <row r="958">
      <c r="A958" s="136"/>
      <c r="B958" s="136"/>
      <c r="C958" s="136"/>
      <c r="D958" s="136"/>
      <c r="E958" s="136"/>
      <c r="F958" s="201"/>
      <c r="G958" s="136"/>
      <c r="H958" s="136"/>
      <c r="I958" s="136"/>
      <c r="J958" s="136"/>
      <c r="K958" s="136"/>
      <c r="L958" s="136"/>
      <c r="M958" s="136"/>
      <c r="N958" s="136"/>
      <c r="O958" s="136"/>
      <c r="P958" s="136"/>
      <c r="Q958" s="136"/>
      <c r="R958" s="136"/>
    </row>
    <row r="959">
      <c r="A959" s="136"/>
      <c r="B959" s="136"/>
      <c r="C959" s="136"/>
      <c r="D959" s="136"/>
      <c r="E959" s="136"/>
      <c r="F959" s="201"/>
      <c r="G959" s="136"/>
      <c r="H959" s="136"/>
      <c r="I959" s="136"/>
      <c r="J959" s="136"/>
      <c r="K959" s="136"/>
      <c r="L959" s="136"/>
      <c r="M959" s="136"/>
      <c r="N959" s="136"/>
      <c r="O959" s="136"/>
      <c r="P959" s="136"/>
      <c r="Q959" s="136"/>
      <c r="R959" s="136"/>
    </row>
    <row r="960">
      <c r="A960" s="136"/>
      <c r="B960" s="136"/>
      <c r="C960" s="136"/>
      <c r="D960" s="136"/>
      <c r="E960" s="136"/>
      <c r="F960" s="201"/>
      <c r="G960" s="136"/>
      <c r="H960" s="136"/>
      <c r="I960" s="136"/>
      <c r="J960" s="136"/>
      <c r="K960" s="136"/>
      <c r="L960" s="136"/>
      <c r="M960" s="136"/>
      <c r="N960" s="136"/>
      <c r="O960" s="136"/>
      <c r="P960" s="136"/>
      <c r="Q960" s="136"/>
      <c r="R960" s="136"/>
    </row>
    <row r="961">
      <c r="A961" s="136"/>
      <c r="B961" s="136"/>
      <c r="C961" s="136"/>
      <c r="D961" s="136"/>
      <c r="E961" s="136"/>
      <c r="F961" s="201"/>
      <c r="G961" s="136"/>
      <c r="H961" s="136"/>
      <c r="I961" s="136"/>
      <c r="J961" s="136"/>
      <c r="K961" s="136"/>
      <c r="L961" s="136"/>
      <c r="M961" s="136"/>
      <c r="N961" s="136"/>
      <c r="O961" s="136"/>
      <c r="P961" s="136"/>
      <c r="Q961" s="136"/>
      <c r="R961" s="136"/>
    </row>
    <row r="962">
      <c r="A962" s="136"/>
      <c r="B962" s="136"/>
      <c r="C962" s="136"/>
      <c r="D962" s="136"/>
      <c r="E962" s="136"/>
      <c r="F962" s="201"/>
      <c r="G962" s="136"/>
      <c r="H962" s="136"/>
      <c r="I962" s="136"/>
      <c r="J962" s="136"/>
      <c r="K962" s="136"/>
      <c r="L962" s="136"/>
      <c r="M962" s="136"/>
      <c r="N962" s="136"/>
      <c r="O962" s="136"/>
      <c r="P962" s="136"/>
      <c r="Q962" s="136"/>
      <c r="R962" s="136"/>
    </row>
    <row r="963">
      <c r="A963" s="136"/>
      <c r="B963" s="136"/>
      <c r="C963" s="136"/>
      <c r="D963" s="136"/>
      <c r="E963" s="136"/>
      <c r="F963" s="201"/>
      <c r="G963" s="136"/>
      <c r="H963" s="136"/>
      <c r="I963" s="136"/>
      <c r="J963" s="136"/>
      <c r="K963" s="136"/>
      <c r="L963" s="136"/>
      <c r="M963" s="136"/>
      <c r="N963" s="136"/>
      <c r="O963" s="136"/>
      <c r="P963" s="136"/>
      <c r="Q963" s="136"/>
      <c r="R963" s="136"/>
    </row>
    <row r="964">
      <c r="A964" s="136"/>
      <c r="B964" s="136"/>
      <c r="C964" s="136"/>
      <c r="D964" s="136"/>
      <c r="E964" s="136"/>
      <c r="F964" s="201"/>
      <c r="G964" s="136"/>
      <c r="H964" s="136"/>
      <c r="I964" s="136"/>
      <c r="J964" s="136"/>
      <c r="K964" s="136"/>
      <c r="L964" s="136"/>
      <c r="M964" s="136"/>
      <c r="N964" s="136"/>
      <c r="O964" s="136"/>
      <c r="P964" s="136"/>
      <c r="Q964" s="136"/>
      <c r="R964" s="136"/>
    </row>
    <row r="965">
      <c r="A965" s="136"/>
      <c r="B965" s="136"/>
      <c r="C965" s="136"/>
      <c r="D965" s="136"/>
      <c r="E965" s="136"/>
      <c r="F965" s="201"/>
      <c r="G965" s="136"/>
      <c r="H965" s="136"/>
      <c r="I965" s="136"/>
      <c r="J965" s="136"/>
      <c r="K965" s="136"/>
      <c r="L965" s="136"/>
      <c r="M965" s="136"/>
      <c r="N965" s="136"/>
      <c r="O965" s="136"/>
      <c r="P965" s="136"/>
      <c r="Q965" s="136"/>
      <c r="R965" s="136"/>
    </row>
    <row r="966">
      <c r="A966" s="136"/>
      <c r="B966" s="136"/>
      <c r="C966" s="136"/>
      <c r="D966" s="136"/>
      <c r="E966" s="136"/>
      <c r="F966" s="201"/>
      <c r="G966" s="136"/>
      <c r="H966" s="136"/>
      <c r="I966" s="136"/>
      <c r="J966" s="136"/>
      <c r="K966" s="136"/>
      <c r="L966" s="136"/>
      <c r="M966" s="136"/>
      <c r="N966" s="136"/>
      <c r="O966" s="136"/>
      <c r="P966" s="136"/>
      <c r="Q966" s="136"/>
      <c r="R966" s="136"/>
    </row>
    <row r="967">
      <c r="A967" s="136"/>
      <c r="B967" s="136"/>
      <c r="C967" s="136"/>
      <c r="D967" s="136"/>
      <c r="E967" s="136"/>
      <c r="F967" s="201"/>
      <c r="G967" s="136"/>
      <c r="H967" s="136"/>
      <c r="I967" s="136"/>
      <c r="J967" s="136"/>
      <c r="K967" s="136"/>
      <c r="L967" s="136"/>
      <c r="M967" s="136"/>
      <c r="N967" s="136"/>
      <c r="O967" s="136"/>
      <c r="P967" s="136"/>
      <c r="Q967" s="136"/>
      <c r="R967" s="136"/>
    </row>
    <row r="968">
      <c r="A968" s="136"/>
      <c r="B968" s="136"/>
      <c r="C968" s="136"/>
      <c r="D968" s="136"/>
      <c r="E968" s="136"/>
      <c r="F968" s="201"/>
      <c r="G968" s="136"/>
      <c r="H968" s="136"/>
      <c r="I968" s="136"/>
      <c r="J968" s="136"/>
      <c r="K968" s="136"/>
      <c r="L968" s="136"/>
      <c r="M968" s="136"/>
      <c r="N968" s="136"/>
      <c r="O968" s="136"/>
      <c r="P968" s="136"/>
      <c r="Q968" s="136"/>
      <c r="R968" s="136"/>
    </row>
    <row r="969">
      <c r="A969" s="136"/>
      <c r="B969" s="136"/>
      <c r="C969" s="136"/>
      <c r="D969" s="136"/>
      <c r="E969" s="136"/>
      <c r="F969" s="201"/>
      <c r="G969" s="136"/>
      <c r="H969" s="136"/>
      <c r="I969" s="136"/>
      <c r="J969" s="136"/>
      <c r="K969" s="136"/>
      <c r="L969" s="136"/>
      <c r="M969" s="136"/>
      <c r="N969" s="136"/>
      <c r="O969" s="136"/>
      <c r="P969" s="136"/>
      <c r="Q969" s="136"/>
      <c r="R969" s="136"/>
    </row>
    <row r="970">
      <c r="A970" s="136"/>
      <c r="B970" s="136"/>
      <c r="C970" s="136"/>
      <c r="D970" s="136"/>
      <c r="E970" s="136"/>
      <c r="F970" s="201"/>
      <c r="G970" s="136"/>
      <c r="H970" s="136"/>
      <c r="I970" s="136"/>
      <c r="J970" s="136"/>
      <c r="K970" s="136"/>
      <c r="L970" s="136"/>
      <c r="M970" s="136"/>
      <c r="N970" s="136"/>
      <c r="O970" s="136"/>
      <c r="P970" s="136"/>
      <c r="Q970" s="136"/>
      <c r="R970" s="136"/>
    </row>
    <row r="971">
      <c r="A971" s="136"/>
      <c r="B971" s="136"/>
      <c r="C971" s="136"/>
      <c r="D971" s="136"/>
      <c r="E971" s="136"/>
      <c r="F971" s="201"/>
      <c r="G971" s="136"/>
      <c r="H971" s="136"/>
      <c r="I971" s="136"/>
      <c r="J971" s="136"/>
      <c r="K971" s="136"/>
      <c r="L971" s="136"/>
      <c r="M971" s="136"/>
      <c r="N971" s="136"/>
      <c r="O971" s="136"/>
      <c r="P971" s="136"/>
      <c r="Q971" s="136"/>
      <c r="R971" s="136"/>
    </row>
    <row r="972">
      <c r="A972" s="136"/>
      <c r="B972" s="136"/>
      <c r="C972" s="136"/>
      <c r="D972" s="136"/>
      <c r="E972" s="136"/>
      <c r="F972" s="201"/>
      <c r="G972" s="136"/>
      <c r="H972" s="136"/>
      <c r="I972" s="136"/>
      <c r="J972" s="136"/>
      <c r="K972" s="136"/>
      <c r="L972" s="136"/>
      <c r="M972" s="136"/>
      <c r="N972" s="136"/>
      <c r="O972" s="136"/>
      <c r="P972" s="136"/>
      <c r="Q972" s="136"/>
      <c r="R972" s="136"/>
    </row>
    <row r="973">
      <c r="A973" s="136"/>
      <c r="B973" s="136"/>
      <c r="C973" s="136"/>
      <c r="D973" s="136"/>
      <c r="E973" s="136"/>
      <c r="F973" s="201"/>
      <c r="G973" s="136"/>
      <c r="H973" s="136"/>
      <c r="I973" s="136"/>
      <c r="J973" s="136"/>
      <c r="K973" s="136"/>
      <c r="L973" s="136"/>
      <c r="M973" s="136"/>
      <c r="N973" s="136"/>
      <c r="O973" s="136"/>
      <c r="P973" s="136"/>
      <c r="Q973" s="136"/>
      <c r="R973" s="136"/>
    </row>
    <row r="974">
      <c r="A974" s="136"/>
      <c r="B974" s="136"/>
      <c r="C974" s="136"/>
      <c r="D974" s="136"/>
      <c r="E974" s="136"/>
      <c r="F974" s="201"/>
      <c r="G974" s="136"/>
      <c r="H974" s="136"/>
      <c r="I974" s="136"/>
      <c r="J974" s="136"/>
      <c r="K974" s="136"/>
      <c r="L974" s="136"/>
      <c r="M974" s="136"/>
      <c r="N974" s="136"/>
      <c r="O974" s="136"/>
      <c r="P974" s="136"/>
      <c r="Q974" s="136"/>
      <c r="R974" s="136"/>
    </row>
    <row r="975">
      <c r="A975" s="136"/>
      <c r="B975" s="136"/>
      <c r="C975" s="136"/>
      <c r="D975" s="136"/>
      <c r="E975" s="136"/>
      <c r="F975" s="201"/>
      <c r="G975" s="136"/>
      <c r="H975" s="136"/>
      <c r="I975" s="136"/>
      <c r="J975" s="136"/>
      <c r="K975" s="136"/>
      <c r="L975" s="136"/>
      <c r="M975" s="136"/>
      <c r="N975" s="136"/>
      <c r="O975" s="136"/>
      <c r="P975" s="136"/>
      <c r="Q975" s="136"/>
      <c r="R975" s="136"/>
    </row>
    <row r="976">
      <c r="A976" s="136"/>
      <c r="B976" s="136"/>
      <c r="C976" s="136"/>
      <c r="D976" s="136"/>
      <c r="E976" s="136"/>
      <c r="F976" s="201"/>
      <c r="G976" s="136"/>
      <c r="H976" s="136"/>
      <c r="I976" s="136"/>
      <c r="J976" s="136"/>
      <c r="K976" s="136"/>
      <c r="L976" s="136"/>
      <c r="M976" s="136"/>
      <c r="N976" s="136"/>
      <c r="O976" s="136"/>
      <c r="P976" s="136"/>
      <c r="Q976" s="136"/>
      <c r="R976" s="136"/>
    </row>
    <row r="977">
      <c r="A977" s="136"/>
      <c r="B977" s="136"/>
      <c r="C977" s="136"/>
      <c r="D977" s="136"/>
      <c r="E977" s="136"/>
      <c r="F977" s="201"/>
      <c r="G977" s="136"/>
      <c r="H977" s="136"/>
      <c r="I977" s="136"/>
      <c r="J977" s="136"/>
      <c r="K977" s="136"/>
      <c r="L977" s="136"/>
      <c r="M977" s="136"/>
      <c r="N977" s="136"/>
      <c r="O977" s="136"/>
      <c r="P977" s="136"/>
      <c r="Q977" s="136"/>
      <c r="R977" s="136"/>
    </row>
    <row r="978">
      <c r="A978" s="136"/>
      <c r="B978" s="136"/>
      <c r="C978" s="136"/>
      <c r="D978" s="136"/>
      <c r="E978" s="136"/>
      <c r="F978" s="201"/>
      <c r="G978" s="136"/>
      <c r="H978" s="136"/>
      <c r="I978" s="136"/>
      <c r="J978" s="136"/>
      <c r="K978" s="136"/>
      <c r="L978" s="136"/>
      <c r="M978" s="136"/>
      <c r="N978" s="136"/>
      <c r="O978" s="136"/>
      <c r="P978" s="136"/>
      <c r="Q978" s="136"/>
      <c r="R978" s="136"/>
    </row>
    <row r="979">
      <c r="A979" s="136"/>
      <c r="B979" s="136"/>
      <c r="C979" s="136"/>
      <c r="D979" s="136"/>
      <c r="E979" s="136"/>
      <c r="F979" s="201"/>
      <c r="G979" s="136"/>
      <c r="H979" s="136"/>
      <c r="I979" s="136"/>
      <c r="J979" s="136"/>
      <c r="K979" s="136"/>
      <c r="L979" s="136"/>
      <c r="M979" s="136"/>
      <c r="N979" s="136"/>
      <c r="O979" s="136"/>
      <c r="P979" s="136"/>
      <c r="Q979" s="136"/>
      <c r="R979" s="136"/>
    </row>
    <row r="980">
      <c r="A980" s="136"/>
      <c r="B980" s="136"/>
      <c r="C980" s="136"/>
      <c r="D980" s="136"/>
      <c r="E980" s="136"/>
      <c r="F980" s="201"/>
      <c r="G980" s="136"/>
      <c r="H980" s="136"/>
      <c r="I980" s="136"/>
      <c r="J980" s="136"/>
      <c r="K980" s="136"/>
      <c r="L980" s="136"/>
      <c r="M980" s="136"/>
      <c r="N980" s="136"/>
      <c r="O980" s="136"/>
      <c r="P980" s="136"/>
      <c r="Q980" s="136"/>
      <c r="R980" s="136"/>
    </row>
    <row r="981">
      <c r="A981" s="136"/>
      <c r="B981" s="136"/>
      <c r="C981" s="136"/>
      <c r="D981" s="136"/>
      <c r="E981" s="136"/>
      <c r="F981" s="201"/>
      <c r="G981" s="136"/>
      <c r="H981" s="136"/>
      <c r="I981" s="136"/>
      <c r="J981" s="136"/>
      <c r="K981" s="136"/>
      <c r="L981" s="136"/>
      <c r="M981" s="136"/>
      <c r="N981" s="136"/>
      <c r="O981" s="136"/>
      <c r="P981" s="136"/>
      <c r="Q981" s="136"/>
      <c r="R981" s="136"/>
    </row>
    <row r="982">
      <c r="A982" s="136"/>
      <c r="B982" s="136"/>
      <c r="C982" s="136"/>
      <c r="D982" s="136"/>
      <c r="E982" s="136"/>
      <c r="F982" s="201"/>
      <c r="G982" s="136"/>
      <c r="H982" s="136"/>
      <c r="I982" s="136"/>
      <c r="J982" s="136"/>
      <c r="K982" s="136"/>
      <c r="L982" s="136"/>
      <c r="M982" s="136"/>
      <c r="N982" s="136"/>
      <c r="O982" s="136"/>
      <c r="P982" s="136"/>
      <c r="Q982" s="136"/>
      <c r="R982" s="136"/>
    </row>
    <row r="983">
      <c r="A983" s="136"/>
      <c r="B983" s="136"/>
      <c r="C983" s="136"/>
      <c r="D983" s="136"/>
      <c r="E983" s="136"/>
      <c r="F983" s="201"/>
      <c r="G983" s="136"/>
      <c r="H983" s="136"/>
      <c r="I983" s="136"/>
      <c r="J983" s="136"/>
      <c r="K983" s="136"/>
      <c r="L983" s="136"/>
      <c r="M983" s="136"/>
      <c r="N983" s="136"/>
      <c r="O983" s="136"/>
      <c r="P983" s="136"/>
      <c r="Q983" s="136"/>
      <c r="R983" s="136"/>
    </row>
    <row r="984">
      <c r="A984" s="136"/>
      <c r="B984" s="136"/>
      <c r="C984" s="136"/>
      <c r="D984" s="136"/>
      <c r="E984" s="136"/>
      <c r="F984" s="201"/>
      <c r="G984" s="136"/>
      <c r="H984" s="136"/>
      <c r="I984" s="136"/>
      <c r="J984" s="136"/>
      <c r="K984" s="136"/>
      <c r="L984" s="136"/>
      <c r="M984" s="136"/>
      <c r="N984" s="136"/>
      <c r="O984" s="136"/>
      <c r="P984" s="136"/>
      <c r="Q984" s="136"/>
      <c r="R984" s="136"/>
    </row>
    <row r="985">
      <c r="A985" s="136"/>
      <c r="B985" s="136"/>
      <c r="C985" s="136"/>
      <c r="D985" s="136"/>
      <c r="E985" s="136"/>
      <c r="F985" s="201"/>
      <c r="G985" s="136"/>
      <c r="H985" s="136"/>
      <c r="I985" s="136"/>
      <c r="J985" s="136"/>
      <c r="K985" s="136"/>
      <c r="L985" s="136"/>
      <c r="M985" s="136"/>
      <c r="N985" s="136"/>
      <c r="O985" s="136"/>
      <c r="P985" s="136"/>
      <c r="Q985" s="136"/>
      <c r="R985" s="136"/>
    </row>
    <row r="986">
      <c r="A986" s="136"/>
      <c r="B986" s="136"/>
      <c r="C986" s="136"/>
      <c r="D986" s="136"/>
      <c r="E986" s="136"/>
      <c r="F986" s="201"/>
      <c r="G986" s="136"/>
      <c r="H986" s="136"/>
      <c r="I986" s="136"/>
      <c r="J986" s="136"/>
      <c r="K986" s="136"/>
      <c r="L986" s="136"/>
      <c r="M986" s="136"/>
      <c r="N986" s="136"/>
      <c r="O986" s="136"/>
      <c r="P986" s="136"/>
      <c r="Q986" s="136"/>
      <c r="R986" s="136"/>
    </row>
    <row r="987">
      <c r="A987" s="136"/>
      <c r="B987" s="136"/>
      <c r="C987" s="136"/>
      <c r="D987" s="136"/>
      <c r="E987" s="136"/>
      <c r="F987" s="201"/>
      <c r="G987" s="136"/>
      <c r="H987" s="136"/>
      <c r="I987" s="136"/>
      <c r="J987" s="136"/>
      <c r="K987" s="136"/>
      <c r="L987" s="136"/>
      <c r="M987" s="136"/>
      <c r="N987" s="136"/>
      <c r="O987" s="136"/>
      <c r="P987" s="136"/>
      <c r="Q987" s="136"/>
      <c r="R987" s="136"/>
    </row>
    <row r="988">
      <c r="A988" s="136"/>
      <c r="B988" s="136"/>
      <c r="C988" s="136"/>
      <c r="D988" s="136"/>
      <c r="E988" s="136"/>
      <c r="F988" s="201"/>
      <c r="G988" s="136"/>
      <c r="H988" s="136"/>
      <c r="I988" s="136"/>
      <c r="J988" s="136"/>
      <c r="K988" s="136"/>
      <c r="L988" s="136"/>
      <c r="M988" s="136"/>
      <c r="N988" s="136"/>
      <c r="O988" s="136"/>
      <c r="P988" s="136"/>
      <c r="Q988" s="136"/>
      <c r="R988" s="136"/>
    </row>
    <row r="989">
      <c r="A989" s="136"/>
      <c r="B989" s="136"/>
      <c r="C989" s="136"/>
      <c r="D989" s="136"/>
      <c r="E989" s="136"/>
      <c r="F989" s="201"/>
      <c r="G989" s="136"/>
      <c r="H989" s="136"/>
      <c r="I989" s="136"/>
      <c r="J989" s="136"/>
      <c r="K989" s="136"/>
      <c r="L989" s="136"/>
      <c r="M989" s="136"/>
      <c r="N989" s="136"/>
      <c r="O989" s="136"/>
      <c r="P989" s="136"/>
      <c r="Q989" s="136"/>
      <c r="R989" s="136"/>
    </row>
    <row r="990">
      <c r="A990" s="136"/>
      <c r="B990" s="136"/>
      <c r="C990" s="136"/>
      <c r="D990" s="136"/>
      <c r="E990" s="136"/>
      <c r="F990" s="201"/>
      <c r="G990" s="136"/>
      <c r="H990" s="136"/>
      <c r="I990" s="136"/>
      <c r="J990" s="136"/>
      <c r="K990" s="136"/>
      <c r="L990" s="136"/>
      <c r="M990" s="136"/>
      <c r="N990" s="136"/>
      <c r="O990" s="136"/>
      <c r="P990" s="136"/>
      <c r="Q990" s="136"/>
      <c r="R990" s="136"/>
    </row>
    <row r="991">
      <c r="A991" s="136"/>
      <c r="B991" s="136"/>
      <c r="C991" s="136"/>
      <c r="D991" s="136"/>
      <c r="E991" s="136"/>
      <c r="F991" s="201"/>
      <c r="G991" s="136"/>
      <c r="H991" s="136"/>
      <c r="I991" s="136"/>
      <c r="J991" s="136"/>
      <c r="K991" s="136"/>
      <c r="L991" s="136"/>
      <c r="M991" s="136"/>
      <c r="N991" s="136"/>
      <c r="O991" s="136"/>
      <c r="P991" s="136"/>
      <c r="Q991" s="136"/>
      <c r="R991" s="136"/>
    </row>
    <row r="992">
      <c r="A992" s="136"/>
      <c r="B992" s="136"/>
      <c r="C992" s="136"/>
      <c r="D992" s="136"/>
      <c r="E992" s="136"/>
      <c r="F992" s="201"/>
      <c r="G992" s="136"/>
      <c r="H992" s="136"/>
      <c r="I992" s="136"/>
      <c r="J992" s="136"/>
      <c r="K992" s="136"/>
      <c r="L992" s="136"/>
      <c r="M992" s="136"/>
      <c r="N992" s="136"/>
      <c r="O992" s="136"/>
      <c r="P992" s="136"/>
      <c r="Q992" s="136"/>
      <c r="R992" s="136"/>
    </row>
    <row r="993">
      <c r="A993" s="136"/>
      <c r="B993" s="136"/>
      <c r="C993" s="136"/>
      <c r="D993" s="136"/>
      <c r="E993" s="136"/>
      <c r="F993" s="201"/>
      <c r="G993" s="136"/>
      <c r="H993" s="136"/>
      <c r="I993" s="136"/>
      <c r="J993" s="136"/>
      <c r="K993" s="136"/>
      <c r="L993" s="136"/>
      <c r="M993" s="136"/>
      <c r="N993" s="136"/>
      <c r="O993" s="136"/>
      <c r="P993" s="136"/>
      <c r="Q993" s="136"/>
      <c r="R993" s="136"/>
    </row>
    <row r="994">
      <c r="A994" s="136"/>
      <c r="B994" s="136"/>
      <c r="C994" s="136"/>
      <c r="D994" s="136"/>
      <c r="E994" s="136"/>
      <c r="F994" s="201"/>
      <c r="G994" s="136"/>
      <c r="H994" s="136"/>
      <c r="I994" s="136"/>
      <c r="J994" s="136"/>
      <c r="K994" s="136"/>
      <c r="L994" s="136"/>
      <c r="M994" s="136"/>
      <c r="N994" s="136"/>
      <c r="O994" s="136"/>
      <c r="P994" s="136"/>
      <c r="Q994" s="136"/>
      <c r="R994" s="136"/>
    </row>
    <row r="995">
      <c r="A995" s="136"/>
      <c r="B995" s="136"/>
      <c r="C995" s="136"/>
      <c r="D995" s="136"/>
      <c r="E995" s="136"/>
      <c r="F995" s="201"/>
      <c r="G995" s="136"/>
      <c r="H995" s="136"/>
      <c r="I995" s="136"/>
      <c r="J995" s="136"/>
      <c r="K995" s="136"/>
      <c r="L995" s="136"/>
      <c r="M995" s="136"/>
      <c r="N995" s="136"/>
      <c r="O995" s="136"/>
      <c r="P995" s="136"/>
      <c r="Q995" s="136"/>
      <c r="R995" s="136"/>
    </row>
    <row r="996">
      <c r="A996" s="136"/>
      <c r="B996" s="136"/>
      <c r="C996" s="136"/>
      <c r="D996" s="136"/>
      <c r="E996" s="136"/>
      <c r="F996" s="201"/>
      <c r="G996" s="136"/>
      <c r="H996" s="136"/>
      <c r="I996" s="136"/>
      <c r="J996" s="136"/>
      <c r="K996" s="136"/>
      <c r="L996" s="136"/>
      <c r="M996" s="136"/>
      <c r="N996" s="136"/>
      <c r="O996" s="136"/>
      <c r="P996" s="136"/>
      <c r="Q996" s="136"/>
      <c r="R996" s="136"/>
    </row>
    <row r="997">
      <c r="A997" s="136"/>
      <c r="B997" s="136"/>
      <c r="C997" s="136"/>
      <c r="D997" s="136"/>
      <c r="E997" s="136"/>
      <c r="F997" s="201"/>
      <c r="G997" s="136"/>
      <c r="H997" s="136"/>
      <c r="I997" s="136"/>
      <c r="J997" s="136"/>
      <c r="K997" s="136"/>
      <c r="L997" s="136"/>
      <c r="M997" s="136"/>
      <c r="N997" s="136"/>
      <c r="O997" s="136"/>
      <c r="P997" s="136"/>
      <c r="Q997" s="136"/>
      <c r="R997" s="136"/>
    </row>
    <row r="998">
      <c r="A998" s="136"/>
      <c r="B998" s="136"/>
      <c r="C998" s="136"/>
      <c r="D998" s="136"/>
      <c r="E998" s="136"/>
      <c r="F998" s="201"/>
      <c r="G998" s="136"/>
      <c r="H998" s="136"/>
      <c r="I998" s="136"/>
      <c r="J998" s="136"/>
      <c r="K998" s="136"/>
      <c r="L998" s="136"/>
      <c r="M998" s="136"/>
      <c r="N998" s="136"/>
      <c r="O998" s="136"/>
      <c r="P998" s="136"/>
      <c r="Q998" s="136"/>
      <c r="R998" s="136"/>
    </row>
    <row r="999">
      <c r="A999" s="136"/>
      <c r="B999" s="136"/>
      <c r="C999" s="136"/>
      <c r="D999" s="136"/>
      <c r="E999" s="136"/>
      <c r="F999" s="201"/>
      <c r="G999" s="136"/>
      <c r="H999" s="136"/>
      <c r="I999" s="136"/>
      <c r="J999" s="136"/>
      <c r="K999" s="136"/>
      <c r="L999" s="136"/>
      <c r="M999" s="136"/>
      <c r="N999" s="136"/>
      <c r="O999" s="136"/>
      <c r="P999" s="136"/>
      <c r="Q999" s="136"/>
      <c r="R999" s="136"/>
    </row>
    <row r="1000">
      <c r="A1000" s="136"/>
      <c r="B1000" s="136"/>
      <c r="C1000" s="136"/>
      <c r="D1000" s="136"/>
      <c r="E1000" s="136"/>
      <c r="F1000" s="201"/>
      <c r="G1000" s="136"/>
      <c r="H1000" s="136"/>
      <c r="I1000" s="136"/>
      <c r="J1000" s="136"/>
      <c r="K1000" s="136"/>
      <c r="L1000" s="136"/>
      <c r="M1000" s="136"/>
      <c r="N1000" s="136"/>
      <c r="O1000" s="136"/>
      <c r="P1000" s="136"/>
      <c r="Q1000" s="136"/>
      <c r="R1000" s="136"/>
    </row>
    <row r="1001">
      <c r="A1001" s="136"/>
      <c r="B1001" s="136"/>
      <c r="C1001" s="136"/>
      <c r="D1001" s="136"/>
      <c r="E1001" s="136"/>
      <c r="F1001" s="136"/>
      <c r="G1001" s="136"/>
      <c r="H1001" s="136"/>
      <c r="I1001" s="136"/>
      <c r="J1001" s="136"/>
      <c r="K1001" s="136"/>
      <c r="L1001" s="136"/>
      <c r="M1001" s="136"/>
      <c r="N1001" s="136"/>
      <c r="O1001" s="136"/>
      <c r="P1001" s="136"/>
      <c r="Q1001" s="136"/>
      <c r="R1001" s="136"/>
    </row>
    <row r="1002">
      <c r="A1002" s="136"/>
      <c r="B1002" s="136"/>
      <c r="C1002" s="136"/>
      <c r="D1002" s="136"/>
      <c r="E1002" s="136"/>
      <c r="F1002" s="136"/>
      <c r="G1002" s="136"/>
      <c r="H1002" s="136"/>
      <c r="I1002" s="136"/>
      <c r="J1002" s="136"/>
      <c r="K1002" s="136"/>
      <c r="L1002" s="136"/>
      <c r="M1002" s="136"/>
      <c r="N1002" s="136"/>
      <c r="O1002" s="136"/>
      <c r="P1002" s="136"/>
      <c r="Q1002" s="136"/>
      <c r="R1002" s="136"/>
    </row>
    <row r="1003">
      <c r="A1003" s="136"/>
      <c r="B1003" s="136"/>
      <c r="C1003" s="136"/>
      <c r="D1003" s="136"/>
      <c r="E1003" s="136"/>
      <c r="F1003" s="136"/>
      <c r="G1003" s="136"/>
      <c r="H1003" s="136"/>
      <c r="I1003" s="136"/>
      <c r="J1003" s="136"/>
      <c r="K1003" s="136"/>
      <c r="L1003" s="136"/>
      <c r="M1003" s="136"/>
      <c r="N1003" s="136"/>
      <c r="O1003" s="136"/>
      <c r="P1003" s="136"/>
      <c r="Q1003" s="136"/>
      <c r="R1003" s="136"/>
    </row>
    <row r="1004">
      <c r="A1004" s="136"/>
      <c r="B1004" s="136"/>
      <c r="C1004" s="136"/>
      <c r="D1004" s="136"/>
      <c r="E1004" s="136"/>
      <c r="F1004" s="136"/>
      <c r="G1004" s="136"/>
      <c r="H1004" s="136"/>
      <c r="I1004" s="136"/>
      <c r="J1004" s="136"/>
      <c r="K1004" s="136"/>
      <c r="L1004" s="136"/>
      <c r="M1004" s="136"/>
      <c r="N1004" s="136"/>
      <c r="O1004" s="136"/>
      <c r="P1004" s="136"/>
      <c r="Q1004" s="136"/>
      <c r="R1004" s="136"/>
    </row>
    <row r="1005">
      <c r="A1005" s="136"/>
      <c r="B1005" s="136"/>
      <c r="C1005" s="136"/>
      <c r="D1005" s="136"/>
      <c r="E1005" s="136"/>
      <c r="F1005" s="136"/>
      <c r="G1005" s="136"/>
      <c r="H1005" s="136"/>
      <c r="I1005" s="136"/>
      <c r="J1005" s="136"/>
      <c r="K1005" s="136"/>
      <c r="L1005" s="136"/>
      <c r="M1005" s="136"/>
      <c r="N1005" s="136"/>
      <c r="O1005" s="136"/>
      <c r="P1005" s="136"/>
      <c r="Q1005" s="136"/>
      <c r="R1005" s="136"/>
    </row>
    <row r="1006">
      <c r="A1006" s="136"/>
      <c r="B1006" s="136"/>
      <c r="C1006" s="136"/>
      <c r="D1006" s="136"/>
      <c r="E1006" s="136"/>
      <c r="F1006" s="136"/>
      <c r="G1006" s="136"/>
      <c r="H1006" s="136"/>
      <c r="I1006" s="136"/>
      <c r="J1006" s="136"/>
      <c r="K1006" s="136"/>
      <c r="L1006" s="136"/>
      <c r="M1006" s="136"/>
      <c r="N1006" s="136"/>
      <c r="O1006" s="136"/>
      <c r="P1006" s="136"/>
      <c r="Q1006" s="136"/>
      <c r="R1006" s="136"/>
    </row>
    <row r="1007">
      <c r="A1007" s="136"/>
      <c r="B1007" s="136"/>
      <c r="C1007" s="136"/>
      <c r="D1007" s="136"/>
      <c r="E1007" s="136"/>
      <c r="F1007" s="136"/>
      <c r="G1007" s="136"/>
      <c r="H1007" s="136"/>
      <c r="I1007" s="136"/>
      <c r="J1007" s="136"/>
      <c r="K1007" s="136"/>
      <c r="L1007" s="136"/>
      <c r="M1007" s="136"/>
      <c r="N1007" s="136"/>
      <c r="O1007" s="136"/>
      <c r="P1007" s="136"/>
      <c r="Q1007" s="136"/>
      <c r="R1007" s="136"/>
    </row>
    <row r="1008">
      <c r="A1008" s="136"/>
      <c r="B1008" s="136"/>
      <c r="C1008" s="136"/>
      <c r="D1008" s="136"/>
      <c r="E1008" s="136"/>
      <c r="F1008" s="136"/>
      <c r="G1008" s="136"/>
      <c r="H1008" s="136"/>
      <c r="I1008" s="136"/>
      <c r="J1008" s="136"/>
      <c r="K1008" s="136"/>
      <c r="L1008" s="136"/>
      <c r="M1008" s="136"/>
      <c r="N1008" s="136"/>
      <c r="O1008" s="136"/>
      <c r="P1008" s="136"/>
      <c r="Q1008" s="136"/>
      <c r="R1008" s="136"/>
    </row>
    <row r="1009">
      <c r="A1009" s="136"/>
      <c r="B1009" s="136"/>
      <c r="C1009" s="136"/>
      <c r="D1009" s="136"/>
      <c r="E1009" s="136"/>
      <c r="F1009" s="136"/>
      <c r="G1009" s="136"/>
      <c r="H1009" s="136"/>
      <c r="I1009" s="136"/>
      <c r="J1009" s="136"/>
      <c r="K1009" s="136"/>
      <c r="L1009" s="136"/>
      <c r="M1009" s="136"/>
      <c r="N1009" s="136"/>
      <c r="O1009" s="136"/>
      <c r="P1009" s="136"/>
      <c r="Q1009" s="136"/>
      <c r="R1009" s="136"/>
    </row>
    <row r="1010">
      <c r="A1010" s="136"/>
      <c r="B1010" s="136"/>
      <c r="C1010" s="136"/>
      <c r="D1010" s="136"/>
      <c r="E1010" s="136"/>
      <c r="F1010" s="136"/>
      <c r="G1010" s="136"/>
      <c r="H1010" s="136"/>
      <c r="I1010" s="136"/>
      <c r="J1010" s="136"/>
      <c r="K1010" s="136"/>
      <c r="L1010" s="136"/>
      <c r="M1010" s="136"/>
      <c r="N1010" s="136"/>
      <c r="O1010" s="136"/>
      <c r="P1010" s="136"/>
      <c r="Q1010" s="136"/>
      <c r="R1010" s="136"/>
    </row>
    <row r="1011">
      <c r="A1011" s="136"/>
      <c r="B1011" s="136"/>
      <c r="C1011" s="136"/>
      <c r="D1011" s="136"/>
      <c r="E1011" s="136"/>
      <c r="F1011" s="136"/>
      <c r="G1011" s="136"/>
      <c r="H1011" s="136"/>
      <c r="I1011" s="136"/>
      <c r="J1011" s="136"/>
      <c r="K1011" s="136"/>
      <c r="L1011" s="136"/>
      <c r="M1011" s="136"/>
      <c r="N1011" s="136"/>
      <c r="O1011" s="136"/>
      <c r="P1011" s="136"/>
      <c r="Q1011" s="136"/>
      <c r="R1011" s="136"/>
    </row>
    <row r="1012">
      <c r="A1012" s="136"/>
      <c r="B1012" s="136"/>
      <c r="C1012" s="136"/>
      <c r="D1012" s="136"/>
      <c r="E1012" s="136"/>
      <c r="F1012" s="136"/>
      <c r="G1012" s="136"/>
      <c r="H1012" s="136"/>
      <c r="I1012" s="136"/>
      <c r="J1012" s="136"/>
      <c r="K1012" s="136"/>
      <c r="L1012" s="136"/>
      <c r="M1012" s="136"/>
      <c r="N1012" s="136"/>
      <c r="O1012" s="136"/>
      <c r="P1012" s="136"/>
      <c r="Q1012" s="136"/>
      <c r="R1012" s="136"/>
    </row>
    <row r="1013">
      <c r="A1013" s="136"/>
      <c r="B1013" s="136"/>
      <c r="C1013" s="136"/>
      <c r="D1013" s="136"/>
      <c r="E1013" s="136"/>
      <c r="F1013" s="136"/>
      <c r="G1013" s="136"/>
      <c r="H1013" s="136"/>
      <c r="I1013" s="136"/>
      <c r="J1013" s="136"/>
      <c r="K1013" s="136"/>
      <c r="L1013" s="136"/>
      <c r="M1013" s="136"/>
      <c r="N1013" s="136"/>
      <c r="O1013" s="136"/>
      <c r="P1013" s="136"/>
      <c r="Q1013" s="136"/>
      <c r="R1013" s="136"/>
    </row>
    <row r="1014">
      <c r="A1014" s="136"/>
      <c r="B1014" s="136"/>
      <c r="C1014" s="136"/>
      <c r="D1014" s="136"/>
      <c r="E1014" s="136"/>
      <c r="F1014" s="136"/>
      <c r="G1014" s="136"/>
      <c r="H1014" s="136"/>
      <c r="I1014" s="136"/>
      <c r="J1014" s="136"/>
      <c r="K1014" s="136"/>
      <c r="L1014" s="136"/>
      <c r="M1014" s="136"/>
      <c r="N1014" s="136"/>
      <c r="O1014" s="136"/>
      <c r="P1014" s="136"/>
      <c r="Q1014" s="136"/>
      <c r="R1014" s="136"/>
    </row>
    <row r="1015">
      <c r="A1015" s="136"/>
      <c r="B1015" s="136"/>
      <c r="C1015" s="136"/>
      <c r="D1015" s="136"/>
      <c r="E1015" s="136"/>
      <c r="F1015" s="136"/>
      <c r="G1015" s="136"/>
      <c r="H1015" s="136"/>
      <c r="I1015" s="136"/>
      <c r="J1015" s="136"/>
      <c r="K1015" s="136"/>
      <c r="L1015" s="136"/>
      <c r="M1015" s="136"/>
      <c r="N1015" s="136"/>
      <c r="O1015" s="136"/>
      <c r="P1015" s="136"/>
      <c r="Q1015" s="136"/>
      <c r="R1015" s="136"/>
    </row>
    <row r="1016">
      <c r="A1016" s="136"/>
      <c r="B1016" s="136"/>
      <c r="C1016" s="136"/>
      <c r="D1016" s="136"/>
      <c r="E1016" s="136"/>
      <c r="F1016" s="136"/>
      <c r="G1016" s="136"/>
      <c r="H1016" s="136"/>
      <c r="I1016" s="136"/>
      <c r="J1016" s="136"/>
      <c r="K1016" s="136"/>
      <c r="L1016" s="136"/>
      <c r="M1016" s="136"/>
      <c r="N1016" s="136"/>
      <c r="O1016" s="136"/>
      <c r="P1016" s="136"/>
      <c r="Q1016" s="136"/>
      <c r="R1016" s="136"/>
    </row>
    <row r="1017">
      <c r="A1017" s="136"/>
      <c r="B1017" s="136"/>
      <c r="C1017" s="136"/>
      <c r="D1017" s="136"/>
      <c r="E1017" s="136"/>
      <c r="F1017" s="136"/>
      <c r="G1017" s="136"/>
      <c r="H1017" s="136"/>
      <c r="I1017" s="136"/>
      <c r="J1017" s="136"/>
      <c r="K1017" s="136"/>
      <c r="L1017" s="136"/>
      <c r="M1017" s="136"/>
      <c r="N1017" s="136"/>
      <c r="O1017" s="136"/>
      <c r="P1017" s="136"/>
      <c r="Q1017" s="136"/>
      <c r="R1017" s="136"/>
    </row>
    <row r="1018">
      <c r="A1018" s="136"/>
      <c r="B1018" s="136"/>
      <c r="C1018" s="136"/>
      <c r="D1018" s="136"/>
      <c r="E1018" s="136"/>
      <c r="F1018" s="136"/>
      <c r="G1018" s="136"/>
      <c r="H1018" s="136"/>
      <c r="I1018" s="136"/>
      <c r="J1018" s="136"/>
      <c r="K1018" s="136"/>
      <c r="L1018" s="136"/>
      <c r="M1018" s="136"/>
      <c r="N1018" s="136"/>
      <c r="O1018" s="136"/>
      <c r="P1018" s="136"/>
      <c r="Q1018" s="136"/>
      <c r="R1018" s="136"/>
    </row>
    <row r="1019">
      <c r="A1019" s="136"/>
      <c r="B1019" s="136"/>
      <c r="C1019" s="136"/>
      <c r="D1019" s="136"/>
      <c r="E1019" s="136"/>
      <c r="F1019" s="136"/>
      <c r="G1019" s="136"/>
      <c r="H1019" s="136"/>
      <c r="I1019" s="136"/>
      <c r="J1019" s="136"/>
      <c r="K1019" s="136"/>
      <c r="L1019" s="136"/>
      <c r="M1019" s="136"/>
      <c r="N1019" s="136"/>
      <c r="O1019" s="136"/>
      <c r="P1019" s="136"/>
      <c r="Q1019" s="136"/>
      <c r="R1019" s="136"/>
    </row>
    <row r="1020">
      <c r="A1020" s="136"/>
      <c r="B1020" s="136"/>
      <c r="C1020" s="136"/>
      <c r="D1020" s="136"/>
      <c r="E1020" s="136"/>
      <c r="F1020" s="136"/>
      <c r="G1020" s="136"/>
      <c r="H1020" s="136"/>
      <c r="I1020" s="136"/>
      <c r="J1020" s="136"/>
      <c r="K1020" s="136"/>
      <c r="L1020" s="136"/>
      <c r="M1020" s="136"/>
      <c r="N1020" s="136"/>
      <c r="O1020" s="136"/>
      <c r="P1020" s="136"/>
      <c r="Q1020" s="136"/>
      <c r="R1020" s="136"/>
    </row>
    <row r="1021">
      <c r="A1021" s="136"/>
      <c r="B1021" s="136"/>
      <c r="C1021" s="136"/>
      <c r="D1021" s="136"/>
      <c r="E1021" s="136"/>
      <c r="F1021" s="136"/>
      <c r="G1021" s="136"/>
      <c r="H1021" s="136"/>
      <c r="I1021" s="136"/>
      <c r="J1021" s="136"/>
      <c r="K1021" s="136"/>
      <c r="L1021" s="136"/>
      <c r="M1021" s="136"/>
      <c r="N1021" s="136"/>
      <c r="O1021" s="136"/>
      <c r="P1021" s="136"/>
      <c r="Q1021" s="136"/>
      <c r="R1021" s="136"/>
    </row>
    <row r="1022">
      <c r="A1022" s="136"/>
      <c r="B1022" s="136"/>
      <c r="C1022" s="136"/>
      <c r="D1022" s="136"/>
      <c r="E1022" s="136"/>
      <c r="F1022" s="136"/>
      <c r="G1022" s="136"/>
      <c r="H1022" s="136"/>
      <c r="I1022" s="136"/>
      <c r="J1022" s="136"/>
      <c r="K1022" s="136"/>
      <c r="L1022" s="136"/>
      <c r="M1022" s="136"/>
      <c r="N1022" s="136"/>
      <c r="O1022" s="136"/>
      <c r="P1022" s="136"/>
      <c r="Q1022" s="136"/>
      <c r="R1022" s="136"/>
    </row>
  </sheetData>
  <hyperlinks>
    <hyperlink r:id="rId1" ref="A6"/>
    <hyperlink r:id="rId2" ref="B6"/>
    <hyperlink r:id="rId3" ref="C6"/>
    <hyperlink r:id="rId4" ref="D6"/>
    <hyperlink r:id="rId5" ref="E6"/>
    <hyperlink r:id="rId6" ref="F6"/>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43.63"/>
    <col customWidth="1" min="11" max="11" width="54.5"/>
    <col customWidth="1" min="12" max="12" width="51.13"/>
  </cols>
  <sheetData>
    <row r="1" ht="117.75" customHeight="1">
      <c r="A1" s="419" t="s">
        <v>6966</v>
      </c>
      <c r="B1" s="419" t="s">
        <v>6967</v>
      </c>
      <c r="C1" s="303" t="s">
        <v>6968</v>
      </c>
      <c r="D1" s="303" t="str">
        <f>IFERROR(__xludf.DUMMYFUNCTION("GOOGLETRANSLATE(B1,""zh-tw"",""ja"")"),"※このチュートリアルはプレイヤーによって提供されました※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f>
        <v>※このチュートリアルはプレイヤーによって提供されました※
「NVIDIA プログラム」が組み込まれていないコンピューター向けの解決策
Windows 10/11 で NVIDIA グラフィックカードのパフォーマンスを向上させるには、この設定を参照することをお勧めします。</v>
      </c>
      <c r="E1" s="437" t="s">
        <v>6969</v>
      </c>
      <c r="F1" s="420" t="str">
        <f>IFERROR(__xludf.DUMMYFUNCTION("GOOGLETRANSLATE(B1,""zh-tw"",""en"")"),"※This tutorial was provided by a player※
Solution for computers that do not have ""NVIDIA programs"" built-in
For better NVIDIA graphics card performance on Windows 10/11, it is recommended to refer to this setting.")</f>
        <v>※This tutorial was provided by a player※
Solution for computers that do not have "NVIDIA programs" built-in
For better NVIDIA graphics card performance on Windows 10/11, it is recommended to refer to this setting.</v>
      </c>
      <c r="G1" s="438" t="s">
        <v>6970</v>
      </c>
      <c r="H1" s="421" t="str">
        <f>IFERROR(__xludf.DUMMYFUNCTION("GOOGLETRANSLATE(B1,""zh-tw"",""zh"")"),"※本教程由玩家提供※
用于电脑没有内建「NVIDIA程式」的解决方法
为了在 Windows 10/11 上获得更好的 NVIDIA 显示卡性能，推荐参考此设定。")</f>
        <v>※本教程由玩家提供※
用于电脑没有内建「NVIDIA程式」的解决方法
为了在 Windows 10/11 上获得更好的 NVIDIA 显示卡性能，推荐参考此设定。</v>
      </c>
      <c r="I1" s="422" t="s">
        <v>6971</v>
      </c>
      <c r="J1" s="422" t="s">
        <v>6972</v>
      </c>
      <c r="K1" s="439" t="s">
        <v>6973</v>
      </c>
      <c r="L1" s="439" t="s">
        <v>6974</v>
      </c>
      <c r="M1" s="424"/>
      <c r="N1" s="424"/>
      <c r="O1" s="424"/>
      <c r="P1" s="424"/>
      <c r="Q1" s="424"/>
      <c r="R1" s="424"/>
      <c r="S1" s="424"/>
      <c r="T1" s="424"/>
      <c r="U1" s="424"/>
      <c r="V1" s="424"/>
      <c r="W1" s="424"/>
    </row>
    <row r="2">
      <c r="A2" s="425" t="s">
        <v>6975</v>
      </c>
      <c r="B2" s="425" t="s">
        <v>6976</v>
      </c>
      <c r="C2" s="106" t="s">
        <v>6977</v>
      </c>
      <c r="D2" s="106" t="str">
        <f>IFERROR(__xludf.DUMMYFUNCTION("GOOGLETRANSLATE(B2,""zh-tw"",""ja"")"),"1 - Google で「NVIDIA APP インストール」を検索し、NVIDIA アプリケーションを起動します。")</f>
        <v>1 - Google で「NVIDIA APP インストール」を検索し、NVIDIA アプリケーションを起動します。</v>
      </c>
      <c r="E2" s="440" t="s">
        <v>6978</v>
      </c>
      <c r="F2" s="215" t="str">
        <f>IFERROR(__xludf.DUMMYFUNCTION("GOOGLETRANSLATE(B2,""zh-tw"",""en"")"),"1 - Search for ""NVIDIA APP install"" on Google and launch the NVIDIA application.")</f>
        <v>1 - Search for "NVIDIA APP install" on Google and launch the NVIDIA application.</v>
      </c>
      <c r="G2" s="441" t="s">
        <v>6979</v>
      </c>
      <c r="H2" s="426" t="str">
        <f>IFERROR(__xludf.DUMMYFUNCTION("GOOGLETRANSLATE(B2,""zh-tw"",""zh"")"),"1 - 在google上搜寻 NVIDIA APP安装，并启动 NVIDIA 应用程式。")</f>
        <v>1 - 在google上搜寻 NVIDIA APP安装，并启动 NVIDIA 应用程式。</v>
      </c>
      <c r="I2" s="427" t="s">
        <v>6980</v>
      </c>
      <c r="J2" s="427" t="s">
        <v>6981</v>
      </c>
      <c r="K2" s="428" t="s">
        <v>6982</v>
      </c>
      <c r="L2" s="428" t="s">
        <v>6983</v>
      </c>
      <c r="M2" s="136"/>
      <c r="N2" s="136"/>
      <c r="O2" s="136"/>
      <c r="P2" s="136"/>
      <c r="Q2" s="136"/>
      <c r="R2" s="136"/>
      <c r="S2" s="136"/>
      <c r="T2" s="136"/>
      <c r="U2" s="136"/>
      <c r="V2" s="136"/>
      <c r="W2" s="136"/>
    </row>
    <row r="3">
      <c r="A3" s="425" t="s">
        <v>6984</v>
      </c>
      <c r="B3" s="425" t="s">
        <v>6985</v>
      </c>
      <c r="C3" s="106" t="s">
        <v>6986</v>
      </c>
      <c r="D3" s="106" t="str">
        <f>IFERROR(__xludf.DUMMYFUNCTION("GOOGLETRANSLATE(B3,""zh-tw"",""ja"")"),"2 - 最新バージョンに更新した後、NVIDIA アプリケーションを再起動します。")</f>
        <v>2 - 最新バージョンに更新した後、NVIDIA アプリケーションを再起動します。</v>
      </c>
      <c r="E3" s="440" t="s">
        <v>6987</v>
      </c>
      <c r="F3" s="215" t="str">
        <f>IFERROR(__xludf.DUMMYFUNCTION("GOOGLETRANSLATE(B3,""zh-tw"",""en"")"),"2 - Restart the NVIDIA application after updating to the latest version.")</f>
        <v>2 - Restart the NVIDIA application after updating to the latest version.</v>
      </c>
      <c r="G3" s="441" t="s">
        <v>6988</v>
      </c>
      <c r="H3" s="426" t="str">
        <f>IFERROR(__xludf.DUMMYFUNCTION("GOOGLETRANSLATE(B3,""zh-tw"",""zh"")"),"2 - 在更新至最新版本后重新启动 NVIDIA 应用程式。")</f>
        <v>2 - 在更新至最新版本后重新启动 NVIDIA 应用程式。</v>
      </c>
      <c r="I3" s="427" t="s">
        <v>6989</v>
      </c>
      <c r="J3" s="427" t="s">
        <v>6990</v>
      </c>
      <c r="K3" s="428" t="s">
        <v>6991</v>
      </c>
      <c r="L3" s="428" t="s">
        <v>6992</v>
      </c>
      <c r="M3" s="136"/>
      <c r="N3" s="136"/>
      <c r="O3" s="136"/>
      <c r="P3" s="136"/>
      <c r="Q3" s="136"/>
      <c r="R3" s="136"/>
      <c r="S3" s="136"/>
      <c r="T3" s="136"/>
      <c r="U3" s="136"/>
      <c r="V3" s="136"/>
      <c r="W3" s="136"/>
    </row>
    <row r="4">
      <c r="A4" s="425" t="s">
        <v>6993</v>
      </c>
      <c r="B4" s="425" t="s">
        <v>6994</v>
      </c>
      <c r="C4" s="106" t="s">
        <v>6995</v>
      </c>
      <c r="D4" s="106" t="str">
        <f>IFERROR(__xludf.DUMMYFUNCTION("GOOGLETRANSLATE(B4,""zh-tw"",""ja"")"),"3 - NVIDIA アプリケーションで、グラフィック設定領域に移動します。")</f>
        <v>3 - NVIDIA アプリケーションで、グラフィック設定領域に移動します。</v>
      </c>
      <c r="E4" s="440" t="s">
        <v>6996</v>
      </c>
      <c r="F4" s="215" t="str">
        <f>IFERROR(__xludf.DUMMYFUNCTION("GOOGLETRANSLATE(B4,""zh-tw"",""en"")"),"3 - In the NVIDIA application, go to the graphics settings area.")</f>
        <v>3 - In the NVIDIA application, go to the graphics settings area.</v>
      </c>
      <c r="G4" s="441" t="s">
        <v>6997</v>
      </c>
      <c r="H4" s="426" t="str">
        <f>IFERROR(__xludf.DUMMYFUNCTION("GOOGLETRANSLATE(B4,""zh-tw"",""zh"")"),"3 - 在NVIDIA应用程式中，进入图形设置区域。")</f>
        <v>3 - 在NVIDIA应用程式中，进入图形设置区域。</v>
      </c>
      <c r="I4" s="427" t="s">
        <v>6998</v>
      </c>
      <c r="J4" s="427" t="s">
        <v>6999</v>
      </c>
      <c r="K4" s="428" t="s">
        <v>7000</v>
      </c>
      <c r="L4" s="428" t="s">
        <v>7001</v>
      </c>
      <c r="M4" s="136"/>
      <c r="N4" s="136"/>
      <c r="O4" s="136"/>
      <c r="P4" s="136"/>
      <c r="Q4" s="136"/>
      <c r="R4" s="136"/>
      <c r="S4" s="136"/>
      <c r="T4" s="136"/>
      <c r="U4" s="136"/>
      <c r="V4" s="136"/>
      <c r="W4" s="136"/>
    </row>
    <row r="5">
      <c r="A5" s="425" t="s">
        <v>7002</v>
      </c>
      <c r="B5" s="425" t="s">
        <v>7003</v>
      </c>
      <c r="C5" s="106" t="s">
        <v>7004</v>
      </c>
      <c r="D5" s="106" t="str">
        <f>IFERROR(__xludf.DUMMYFUNCTION("GOOGLETRANSLATE(B5,""zh-tw"",""ja"")"),"4 - 「プログラム設定」で、3 つのドットをクリックし、「プログラムの追加」を選択して、ゲームの実行可能ファイルを見つけます。")</f>
        <v>4 - 「プログラム設定」で、3 つのドットをクリックし、「プログラムの追加」を選択して、ゲームの実行可能ファイルを見つけます。</v>
      </c>
      <c r="E5" s="440" t="s">
        <v>7005</v>
      </c>
      <c r="F5" s="215" t="str">
        <f>IFERROR(__xludf.DUMMYFUNCTION("GOOGLETRANSLATE(B5,""zh-tw"",""en"")"),"4 - In ""Program Settings"", click the three dots, select ""Add Program"", and then find the game's executable file.")</f>
        <v>4 - In "Program Settings", click the three dots, select "Add Program", and then find the game's executable file.</v>
      </c>
      <c r="G5" s="441" t="s">
        <v>7006</v>
      </c>
      <c r="H5" s="426" t="str">
        <f>IFERROR(__xludf.DUMMYFUNCTION("GOOGLETRANSLATE(B5,""zh-tw"",""zh"")"),"4 - 在「程式设定」中点击三个点，选择「新增程式」，然后寻找游戏的执行档。")</f>
        <v>4 - 在「程式设定」中点击三个点，选择「新增程式」，然后寻找游戏的执行档。</v>
      </c>
      <c r="I5" s="427" t="s">
        <v>7007</v>
      </c>
      <c r="J5" s="427" t="s">
        <v>7008</v>
      </c>
      <c r="K5" s="428" t="s">
        <v>7009</v>
      </c>
      <c r="L5" s="428" t="s">
        <v>7010</v>
      </c>
      <c r="M5" s="136"/>
      <c r="N5" s="136"/>
      <c r="O5" s="136"/>
      <c r="P5" s="136"/>
      <c r="Q5" s="136"/>
      <c r="R5" s="136"/>
      <c r="S5" s="136"/>
      <c r="T5" s="136"/>
      <c r="U5" s="136"/>
      <c r="V5" s="136"/>
      <c r="W5" s="136"/>
    </row>
    <row r="6">
      <c r="A6" s="425" t="s">
        <v>7011</v>
      </c>
      <c r="B6" s="425" t="s">
        <v>7012</v>
      </c>
      <c r="C6" s="106" t="s">
        <v>7013</v>
      </c>
      <c r="D6" s="106" t="str">
        <f>IFERROR(__xludf.DUMMYFUNCTION("GOOGLETRANSLATE(B6,""zh-tw"",""ja"")"),"5 - 「低遅延モード」を「超高」に、「電源管理モード」を「最適電力」に設定します。")</f>
        <v>5 - 「低遅延モード」を「超高」に、「電源管理モード」を「最適電力」に設定します。</v>
      </c>
      <c r="E6" s="440" t="s">
        <v>7014</v>
      </c>
      <c r="F6" s="215" t="str">
        <f>IFERROR(__xludf.DUMMYFUNCTION("GOOGLETRANSLATE(B6,""zh-tw"",""en"")"),"5 - Set ""Low Latency Mode"" to ""Ultra High"" and ""Power Management Mode"" to ""Optimal Power"".")</f>
        <v>5 - Set "Low Latency Mode" to "Ultra High" and "Power Management Mode" to "Optimal Power".</v>
      </c>
      <c r="G6" s="441" t="s">
        <v>7015</v>
      </c>
      <c r="H6" s="426" t="str">
        <f>IFERROR(__xludf.DUMMYFUNCTION("GOOGLETRANSLATE(B6,""zh-tw"",""zh"")"),"5 - 将「低延迟模式」设为「超高」，电源管理模式设为「最佳电源」。")</f>
        <v>5 - 将「低延迟模式」设为「超高」，电源管理模式设为「最佳电源」。</v>
      </c>
      <c r="I6" s="427" t="s">
        <v>7016</v>
      </c>
      <c r="J6" s="427" t="s">
        <v>7017</v>
      </c>
      <c r="K6" s="428" t="s">
        <v>7018</v>
      </c>
      <c r="L6" s="428" t="s">
        <v>7019</v>
      </c>
      <c r="M6" s="136"/>
      <c r="N6" s="136"/>
      <c r="O6" s="136"/>
      <c r="P6" s="136"/>
      <c r="Q6" s="136"/>
      <c r="R6" s="136"/>
      <c r="S6" s="136"/>
      <c r="T6" s="136"/>
      <c r="U6" s="136"/>
      <c r="V6" s="136"/>
      <c r="W6" s="136"/>
    </row>
    <row r="7">
      <c r="A7" s="425" t="s">
        <v>7020</v>
      </c>
      <c r="B7" s="425" t="s">
        <v>7021</v>
      </c>
      <c r="C7" s="106" t="s">
        <v>7022</v>
      </c>
      <c r="D7" s="106" t="str">
        <f>IFERROR(__xludf.DUMMYFUNCTION("GOOGLETRANSLATE(B7,""zh-tw"",""ja"")"),"6-「垂直同期」を「高速」に設定します。")</f>
        <v>6-「垂直同期」を「高速」に設定します。</v>
      </c>
      <c r="E7" s="440" t="s">
        <v>7023</v>
      </c>
      <c r="F7" s="215" t="str">
        <f>IFERROR(__xludf.DUMMYFUNCTION("GOOGLETRANSLATE(B7,""zh-tw"",""en"")"),"6- Set ""Vertical Sync"" to ""Fast"".")</f>
        <v>6- Set "Vertical Sync" to "Fast".</v>
      </c>
      <c r="G7" s="441" t="s">
        <v>7024</v>
      </c>
      <c r="H7" s="426" t="str">
        <f>IFERROR(__xludf.DUMMYFUNCTION("GOOGLETRANSLATE(B7,""zh-tw"",""zh"")"),"6- 将「垂直同步」设为「快速」。")</f>
        <v>6- 将「垂直同步」设为「快速」。</v>
      </c>
      <c r="I7" s="427" t="s">
        <v>7025</v>
      </c>
      <c r="J7" s="427" t="s">
        <v>7026</v>
      </c>
      <c r="K7" s="428" t="s">
        <v>7027</v>
      </c>
      <c r="L7" s="428" t="s">
        <v>7028</v>
      </c>
      <c r="M7" s="136"/>
      <c r="N7" s="136"/>
      <c r="O7" s="136"/>
      <c r="P7" s="136"/>
      <c r="Q7" s="136"/>
      <c r="R7" s="136"/>
      <c r="S7" s="136"/>
      <c r="T7" s="136"/>
      <c r="U7" s="136"/>
      <c r="V7" s="136"/>
      <c r="W7" s="136"/>
    </row>
    <row r="8">
      <c r="A8" s="425" t="s">
        <v>7029</v>
      </c>
      <c r="B8" s="425" t="s">
        <v>7030</v>
      </c>
      <c r="C8" s="106" t="s">
        <v>7031</v>
      </c>
      <c r="D8" s="106" t="str">
        <f>IFERROR(__xludf.DUMMYFUNCTION("GOOGLETRANSLATE(B8,""zh-tw"",""ja"")"),"7 - コンピュータがこれらのオプションを処理できない場合は、最適なオプションを選択してください。")</f>
        <v>7 - コンピュータがこれらのオプションを処理できない場合は、最適なオプションを選択してください。</v>
      </c>
      <c r="E8" s="440" t="s">
        <v>7032</v>
      </c>
      <c r="F8" s="215" t="str">
        <f>IFERROR(__xludf.DUMMYFUNCTION("GOOGLETRANSLATE(B8,""zh-tw"",""en"")"),"7 - If your computer cannot handle these options, please choose the best option.")</f>
        <v>7 - If your computer cannot handle these options, please choose the best option.</v>
      </c>
      <c r="G8" s="441" t="s">
        <v>7033</v>
      </c>
      <c r="H8" s="426" t="str">
        <f>IFERROR(__xludf.DUMMYFUNCTION("GOOGLETRANSLATE(B8,""zh-tw"",""zh"")"),"7 - 如果你的电脑无法负荷这些选项，请依照最佳的选项即可。")</f>
        <v>7 - 如果你的电脑无法负荷这些选项，请依照最佳的选项即可。</v>
      </c>
      <c r="I8" s="427" t="s">
        <v>7034</v>
      </c>
      <c r="J8" s="427" t="s">
        <v>7035</v>
      </c>
      <c r="K8" s="428" t="s">
        <v>7036</v>
      </c>
      <c r="L8" s="428" t="s">
        <v>7037</v>
      </c>
      <c r="M8" s="136"/>
      <c r="N8" s="136"/>
      <c r="O8" s="136"/>
      <c r="P8" s="136"/>
      <c r="Q8" s="136"/>
      <c r="R8" s="136"/>
      <c r="S8" s="136"/>
      <c r="T8" s="136"/>
      <c r="U8" s="136"/>
      <c r="V8" s="136"/>
      <c r="W8" s="136"/>
    </row>
    <row r="9">
      <c r="A9" s="425" t="s">
        <v>7038</v>
      </c>
      <c r="B9" s="425" t="s">
        <v>7039</v>
      </c>
      <c r="C9" s="106" t="s">
        <v>7040</v>
      </c>
      <c r="D9" s="106" t="str">
        <f>IFERROR(__xludf.DUMMYFUNCTION("GOOGLETRANSLATE(B9,""zh-tw"",""ja"")"),"8- ゲームを起動すると、その優れた安定性を体験できます。")</f>
        <v>8- ゲームを起動すると、その優れた安定性を体験できます。</v>
      </c>
      <c r="E9" s="440" t="s">
        <v>7041</v>
      </c>
      <c r="F9" s="215" t="str">
        <f>IFERROR(__xludf.DUMMYFUNCTION("GOOGLETRANSLATE(B9,""zh-tw"",""en"")"),"8- Now, launch the game and you will experience its excellent stability.")</f>
        <v>8- Now, launch the game and you will experience its excellent stability.</v>
      </c>
      <c r="G9" s="441" t="s">
        <v>7042</v>
      </c>
      <c r="H9" s="426" t="str">
        <f>IFERROR(__xludf.DUMMYFUNCTION("GOOGLETRANSLATE(B9,""zh-tw"",""zh"")"),"8- 现在，将游戏启动，你能体验到良好的稳定性能。")</f>
        <v>8- 现在，将游戏启动，你能体验到良好的稳定性能。</v>
      </c>
      <c r="I9" s="427" t="s">
        <v>7043</v>
      </c>
      <c r="J9" s="427" t="s">
        <v>7044</v>
      </c>
      <c r="K9" s="428" t="s">
        <v>7045</v>
      </c>
      <c r="L9" s="428" t="s">
        <v>7046</v>
      </c>
      <c r="M9" s="136"/>
      <c r="N9" s="136"/>
      <c r="O9" s="136"/>
      <c r="P9" s="136"/>
      <c r="Q9" s="136"/>
      <c r="R9" s="136"/>
      <c r="S9" s="136"/>
      <c r="T9" s="136"/>
      <c r="U9" s="136"/>
      <c r="V9" s="136"/>
      <c r="W9" s="136"/>
    </row>
    <row r="10">
      <c r="A10" s="425"/>
      <c r="B10" s="442" t="s">
        <v>7047</v>
      </c>
      <c r="C10" s="443"/>
      <c r="D10" s="444" t="s">
        <v>7048</v>
      </c>
      <c r="E10" s="445"/>
      <c r="F10" s="446" t="s">
        <v>6962</v>
      </c>
      <c r="G10" s="426"/>
      <c r="H10" s="447" t="s">
        <v>7049</v>
      </c>
      <c r="I10" s="448"/>
      <c r="J10" s="449" t="s">
        <v>6964</v>
      </c>
      <c r="K10" s="450"/>
      <c r="L10" s="434" t="str">
        <f>HYPERLINK("https://www.youtube.com/watch?v=9NSNcMB5M2o&amp;ab_channel=gabrielb", "Video Youtube tham khảo")</f>
        <v>Video Youtube tham khảo</v>
      </c>
      <c r="M10" s="136"/>
      <c r="N10" s="136"/>
      <c r="O10" s="136"/>
      <c r="P10" s="136"/>
      <c r="Q10" s="136"/>
      <c r="R10" s="136"/>
      <c r="S10" s="136"/>
      <c r="T10" s="136"/>
      <c r="U10" s="136"/>
      <c r="V10" s="136"/>
      <c r="W10" s="136"/>
    </row>
    <row r="11">
      <c r="A11" s="435"/>
      <c r="B11" s="435"/>
      <c r="C11" s="136"/>
      <c r="D11" s="136"/>
      <c r="E11" s="136"/>
      <c r="F11" s="435"/>
      <c r="G11" s="136"/>
      <c r="H11" s="136"/>
      <c r="I11" s="136"/>
      <c r="J11" s="436"/>
      <c r="K11" s="451"/>
      <c r="L11" s="451"/>
      <c r="M11" s="136"/>
      <c r="N11" s="136"/>
      <c r="O11" s="136"/>
      <c r="P11" s="136"/>
      <c r="Q11" s="136"/>
      <c r="R11" s="136"/>
      <c r="S11" s="136"/>
      <c r="T11" s="136"/>
      <c r="U11" s="136"/>
      <c r="V11" s="136"/>
      <c r="W11" s="136"/>
    </row>
    <row r="12">
      <c r="A12" s="435"/>
      <c r="B12" s="435"/>
      <c r="C12" s="136"/>
      <c r="D12" s="136"/>
      <c r="E12" s="136"/>
      <c r="F12" s="136"/>
      <c r="G12" s="136"/>
      <c r="H12" s="136"/>
      <c r="I12" s="136"/>
      <c r="J12" s="136"/>
      <c r="K12" s="451"/>
      <c r="L12" s="451"/>
      <c r="M12" s="136"/>
      <c r="N12" s="136"/>
      <c r="O12" s="136"/>
      <c r="P12" s="136"/>
      <c r="Q12" s="136"/>
      <c r="R12" s="136"/>
      <c r="S12" s="136"/>
      <c r="T12" s="136"/>
      <c r="U12" s="136"/>
      <c r="V12" s="136"/>
      <c r="W12" s="136"/>
    </row>
    <row r="13">
      <c r="A13" s="435"/>
      <c r="B13" s="435"/>
      <c r="C13" s="136"/>
      <c r="D13" s="136"/>
      <c r="E13" s="136"/>
      <c r="F13" s="136"/>
      <c r="G13" s="136"/>
      <c r="H13" s="136"/>
      <c r="I13" s="136"/>
      <c r="J13" s="136"/>
      <c r="K13" s="451"/>
      <c r="L13" s="451"/>
      <c r="M13" s="136"/>
      <c r="N13" s="136"/>
      <c r="O13" s="136"/>
      <c r="P13" s="136"/>
      <c r="Q13" s="136"/>
      <c r="R13" s="136"/>
      <c r="S13" s="136"/>
      <c r="T13" s="136"/>
      <c r="U13" s="136"/>
      <c r="V13" s="136"/>
      <c r="W13" s="136"/>
    </row>
    <row r="14">
      <c r="A14" s="435"/>
      <c r="B14" s="435"/>
      <c r="C14" s="136"/>
      <c r="D14" s="136"/>
      <c r="E14" s="136"/>
      <c r="F14" s="136"/>
      <c r="G14" s="136"/>
      <c r="H14" s="136"/>
      <c r="I14" s="136"/>
      <c r="J14" s="136"/>
      <c r="K14" s="451"/>
      <c r="L14" s="451"/>
      <c r="M14" s="136"/>
      <c r="N14" s="136"/>
      <c r="O14" s="136"/>
      <c r="P14" s="136"/>
      <c r="Q14" s="136"/>
      <c r="R14" s="136"/>
      <c r="S14" s="136"/>
      <c r="T14" s="136"/>
      <c r="U14" s="136"/>
      <c r="V14" s="136"/>
      <c r="W14" s="136"/>
    </row>
    <row r="15">
      <c r="A15" s="435"/>
      <c r="B15" s="435"/>
      <c r="C15" s="136"/>
      <c r="D15" s="136"/>
      <c r="E15" s="136"/>
      <c r="F15" s="136"/>
      <c r="G15" s="136"/>
      <c r="H15" s="136"/>
      <c r="I15" s="136"/>
      <c r="J15" s="136"/>
      <c r="K15" s="451"/>
      <c r="L15" s="451"/>
      <c r="M15" s="136"/>
      <c r="N15" s="136"/>
      <c r="O15" s="136"/>
      <c r="P15" s="136"/>
      <c r="Q15" s="136"/>
      <c r="R15" s="136"/>
      <c r="S15" s="136"/>
      <c r="T15" s="136"/>
      <c r="U15" s="136"/>
      <c r="V15" s="136"/>
      <c r="W15" s="136"/>
    </row>
    <row r="16">
      <c r="A16" s="435"/>
      <c r="B16" s="435"/>
      <c r="C16" s="136"/>
      <c r="D16" s="136"/>
      <c r="E16" s="136"/>
      <c r="F16" s="136"/>
      <c r="G16" s="136"/>
      <c r="H16" s="136"/>
      <c r="I16" s="136"/>
      <c r="J16" s="136"/>
      <c r="K16" s="451"/>
      <c r="L16" s="451"/>
      <c r="M16" s="136"/>
      <c r="N16" s="136"/>
      <c r="O16" s="136"/>
      <c r="P16" s="136"/>
      <c r="Q16" s="136"/>
      <c r="R16" s="136"/>
      <c r="S16" s="136"/>
      <c r="T16" s="136"/>
      <c r="U16" s="136"/>
      <c r="V16" s="136"/>
      <c r="W16" s="136"/>
    </row>
    <row r="17">
      <c r="A17" s="435"/>
      <c r="B17" s="435"/>
      <c r="C17" s="136"/>
      <c r="D17" s="136"/>
      <c r="E17" s="136"/>
      <c r="F17" s="136"/>
      <c r="G17" s="136"/>
      <c r="H17" s="136"/>
      <c r="I17" s="136"/>
      <c r="J17" s="136"/>
      <c r="K17" s="451"/>
      <c r="L17" s="451"/>
      <c r="M17" s="136"/>
      <c r="N17" s="136"/>
      <c r="O17" s="136"/>
      <c r="P17" s="136"/>
      <c r="Q17" s="136"/>
      <c r="R17" s="136"/>
      <c r="S17" s="136"/>
      <c r="T17" s="136"/>
      <c r="U17" s="136"/>
      <c r="V17" s="136"/>
      <c r="W17" s="136"/>
    </row>
    <row r="18">
      <c r="A18" s="435"/>
      <c r="B18" s="435"/>
      <c r="C18" s="136"/>
      <c r="D18" s="136"/>
      <c r="E18" s="136"/>
      <c r="F18" s="136"/>
      <c r="G18" s="136"/>
      <c r="H18" s="136"/>
      <c r="I18" s="136"/>
      <c r="J18" s="136"/>
      <c r="K18" s="451"/>
      <c r="L18" s="451"/>
      <c r="M18" s="136"/>
      <c r="N18" s="136"/>
      <c r="O18" s="136"/>
      <c r="P18" s="136"/>
      <c r="Q18" s="136"/>
      <c r="R18" s="136"/>
      <c r="S18" s="136"/>
      <c r="T18" s="136"/>
      <c r="U18" s="136"/>
      <c r="V18" s="136"/>
      <c r="W18" s="136"/>
    </row>
    <row r="19">
      <c r="A19" s="435"/>
      <c r="B19" s="435"/>
      <c r="C19" s="136"/>
      <c r="D19" s="136"/>
      <c r="E19" s="136"/>
      <c r="F19" s="136"/>
      <c r="G19" s="136"/>
      <c r="H19" s="136"/>
      <c r="I19" s="136"/>
      <c r="J19" s="136"/>
      <c r="K19" s="451"/>
      <c r="L19" s="451"/>
      <c r="M19" s="136"/>
      <c r="N19" s="136"/>
      <c r="O19" s="136"/>
      <c r="P19" s="136"/>
      <c r="Q19" s="136"/>
      <c r="R19" s="136"/>
      <c r="S19" s="136"/>
      <c r="T19" s="136"/>
      <c r="U19" s="136"/>
      <c r="V19" s="136"/>
      <c r="W19" s="136"/>
    </row>
    <row r="20">
      <c r="A20" s="435"/>
      <c r="B20" s="435"/>
      <c r="C20" s="136"/>
      <c r="D20" s="136"/>
      <c r="E20" s="136"/>
      <c r="F20" s="136"/>
      <c r="G20" s="136"/>
      <c r="H20" s="136"/>
      <c r="I20" s="136"/>
      <c r="J20" s="136"/>
      <c r="K20" s="451"/>
      <c r="L20" s="451"/>
      <c r="M20" s="136"/>
      <c r="N20" s="136"/>
      <c r="O20" s="136"/>
      <c r="P20" s="136"/>
      <c r="Q20" s="136"/>
      <c r="R20" s="136"/>
      <c r="S20" s="136"/>
      <c r="T20" s="136"/>
      <c r="U20" s="136"/>
      <c r="V20" s="136"/>
      <c r="W20" s="136"/>
    </row>
    <row r="21">
      <c r="A21" s="435"/>
      <c r="B21" s="435"/>
      <c r="C21" s="136"/>
      <c r="D21" s="136"/>
      <c r="E21" s="136"/>
      <c r="F21" s="136"/>
      <c r="G21" s="136"/>
      <c r="H21" s="136"/>
      <c r="I21" s="136"/>
      <c r="J21" s="136"/>
      <c r="K21" s="451"/>
      <c r="L21" s="451"/>
      <c r="M21" s="136"/>
      <c r="N21" s="136"/>
      <c r="O21" s="136"/>
      <c r="P21" s="136"/>
      <c r="Q21" s="136"/>
      <c r="R21" s="136"/>
      <c r="S21" s="136"/>
      <c r="T21" s="136"/>
      <c r="U21" s="136"/>
      <c r="V21" s="136"/>
      <c r="W21" s="136"/>
    </row>
    <row r="22">
      <c r="A22" s="452"/>
      <c r="B22" s="435"/>
      <c r="C22" s="136"/>
      <c r="D22" s="136"/>
      <c r="E22" s="136"/>
      <c r="F22" s="136"/>
      <c r="G22" s="136"/>
      <c r="H22" s="136"/>
      <c r="I22" s="136"/>
      <c r="J22" s="136"/>
      <c r="K22" s="451"/>
      <c r="L22" s="451"/>
      <c r="M22" s="136"/>
      <c r="N22" s="136"/>
      <c r="O22" s="136"/>
      <c r="P22" s="136"/>
      <c r="Q22" s="136"/>
      <c r="R22" s="136"/>
      <c r="S22" s="136"/>
      <c r="T22" s="136"/>
      <c r="U22" s="136"/>
      <c r="V22" s="136"/>
      <c r="W22" s="136"/>
    </row>
    <row r="23">
      <c r="A23" s="435"/>
      <c r="B23" s="435"/>
      <c r="C23" s="136"/>
      <c r="D23" s="136"/>
      <c r="E23" s="136"/>
      <c r="F23" s="136"/>
      <c r="G23" s="136"/>
      <c r="H23" s="136"/>
      <c r="I23" s="136"/>
      <c r="J23" s="136"/>
      <c r="K23" s="451"/>
      <c r="L23" s="451"/>
      <c r="M23" s="136"/>
      <c r="N23" s="136"/>
      <c r="O23" s="136"/>
      <c r="P23" s="136"/>
      <c r="Q23" s="136"/>
      <c r="R23" s="136"/>
      <c r="S23" s="136"/>
      <c r="T23" s="136"/>
      <c r="U23" s="136"/>
      <c r="V23" s="136"/>
      <c r="W23" s="136"/>
    </row>
    <row r="24">
      <c r="A24" s="435"/>
      <c r="B24" s="435"/>
      <c r="C24" s="136"/>
      <c r="D24" s="136"/>
      <c r="E24" s="136"/>
      <c r="F24" s="136"/>
      <c r="G24" s="136"/>
      <c r="H24" s="136"/>
      <c r="I24" s="136"/>
      <c r="J24" s="136"/>
      <c r="K24" s="451"/>
      <c r="L24" s="451"/>
      <c r="M24" s="136"/>
      <c r="N24" s="136"/>
      <c r="O24" s="136"/>
      <c r="P24" s="136"/>
      <c r="Q24" s="136"/>
      <c r="R24" s="136"/>
      <c r="S24" s="136"/>
      <c r="T24" s="136"/>
      <c r="U24" s="136"/>
      <c r="V24" s="136"/>
      <c r="W24" s="136"/>
    </row>
    <row r="25">
      <c r="A25" s="435"/>
      <c r="B25" s="435"/>
      <c r="C25" s="136"/>
      <c r="D25" s="136"/>
      <c r="E25" s="136"/>
      <c r="F25" s="136"/>
      <c r="G25" s="136"/>
      <c r="H25" s="136"/>
      <c r="I25" s="136"/>
      <c r="J25" s="136"/>
      <c r="K25" s="451"/>
      <c r="L25" s="451"/>
      <c r="M25" s="136"/>
      <c r="N25" s="136"/>
      <c r="O25" s="136"/>
      <c r="P25" s="136"/>
      <c r="Q25" s="136"/>
      <c r="R25" s="136"/>
      <c r="S25" s="136"/>
      <c r="T25" s="136"/>
      <c r="U25" s="136"/>
      <c r="V25" s="136"/>
      <c r="W25" s="136"/>
    </row>
    <row r="26">
      <c r="A26" s="435"/>
      <c r="B26" s="435"/>
      <c r="C26" s="136"/>
      <c r="D26" s="136"/>
      <c r="E26" s="136"/>
      <c r="F26" s="136"/>
      <c r="G26" s="136"/>
      <c r="H26" s="136"/>
      <c r="I26" s="136"/>
      <c r="J26" s="136"/>
      <c r="K26" s="451"/>
      <c r="L26" s="451"/>
      <c r="M26" s="136"/>
      <c r="N26" s="136"/>
      <c r="O26" s="136"/>
      <c r="P26" s="136"/>
      <c r="Q26" s="136"/>
      <c r="R26" s="136"/>
      <c r="S26" s="136"/>
      <c r="T26" s="136"/>
      <c r="U26" s="136"/>
      <c r="V26" s="136"/>
      <c r="W26" s="136"/>
    </row>
    <row r="27">
      <c r="A27" s="435"/>
      <c r="B27" s="435"/>
      <c r="C27" s="136"/>
      <c r="D27" s="136"/>
      <c r="E27" s="136"/>
      <c r="F27" s="136"/>
      <c r="G27" s="136"/>
      <c r="H27" s="136"/>
      <c r="I27" s="136"/>
      <c r="J27" s="136"/>
      <c r="K27" s="451"/>
      <c r="L27" s="451"/>
      <c r="M27" s="136"/>
      <c r="N27" s="136"/>
      <c r="O27" s="136"/>
      <c r="P27" s="136"/>
      <c r="Q27" s="136"/>
      <c r="R27" s="136"/>
      <c r="S27" s="136"/>
      <c r="T27" s="136"/>
      <c r="U27" s="136"/>
      <c r="V27" s="136"/>
      <c r="W27" s="136"/>
    </row>
    <row r="28">
      <c r="A28" s="435"/>
      <c r="B28" s="435"/>
      <c r="C28" s="136"/>
      <c r="D28" s="136"/>
      <c r="E28" s="136"/>
      <c r="F28" s="136"/>
      <c r="G28" s="136"/>
      <c r="H28" s="136"/>
      <c r="I28" s="136"/>
      <c r="J28" s="136"/>
      <c r="K28" s="451"/>
      <c r="L28" s="451"/>
      <c r="M28" s="136"/>
      <c r="N28" s="136"/>
      <c r="O28" s="136"/>
      <c r="P28" s="136"/>
      <c r="Q28" s="136"/>
      <c r="R28" s="136"/>
      <c r="S28" s="136"/>
      <c r="T28" s="136"/>
      <c r="U28" s="136"/>
      <c r="V28" s="136"/>
      <c r="W28" s="136"/>
    </row>
    <row r="29">
      <c r="A29" s="435"/>
      <c r="B29" s="435"/>
      <c r="C29" s="136"/>
      <c r="D29" s="136"/>
      <c r="E29" s="136"/>
      <c r="F29" s="136"/>
      <c r="G29" s="136"/>
      <c r="H29" s="136"/>
      <c r="I29" s="136"/>
      <c r="J29" s="136"/>
      <c r="K29" s="451"/>
      <c r="L29" s="451"/>
      <c r="M29" s="136"/>
      <c r="N29" s="136"/>
      <c r="O29" s="136"/>
      <c r="P29" s="136"/>
      <c r="Q29" s="136"/>
      <c r="R29" s="136"/>
      <c r="S29" s="136"/>
      <c r="T29" s="136"/>
      <c r="U29" s="136"/>
      <c r="V29" s="136"/>
      <c r="W29" s="136"/>
    </row>
    <row r="30">
      <c r="A30" s="435"/>
      <c r="B30" s="435"/>
      <c r="C30" s="136"/>
      <c r="D30" s="136"/>
      <c r="E30" s="136"/>
      <c r="F30" s="136"/>
      <c r="G30" s="136"/>
      <c r="H30" s="136"/>
      <c r="I30" s="136"/>
      <c r="J30" s="136"/>
      <c r="K30" s="451"/>
      <c r="L30" s="451"/>
      <c r="M30" s="136"/>
      <c r="N30" s="136"/>
      <c r="O30" s="136"/>
      <c r="P30" s="136"/>
      <c r="Q30" s="136"/>
      <c r="R30" s="136"/>
      <c r="S30" s="136"/>
      <c r="T30" s="136"/>
      <c r="U30" s="136"/>
      <c r="V30" s="136"/>
      <c r="W30" s="136"/>
    </row>
    <row r="31">
      <c r="A31" s="435"/>
      <c r="B31" s="435"/>
      <c r="C31" s="136"/>
      <c r="D31" s="136"/>
      <c r="E31" s="136"/>
      <c r="F31" s="136"/>
      <c r="G31" s="136"/>
      <c r="H31" s="136"/>
      <c r="I31" s="136"/>
      <c r="J31" s="136"/>
      <c r="K31" s="451"/>
      <c r="L31" s="451"/>
      <c r="M31" s="136"/>
      <c r="N31" s="136"/>
      <c r="O31" s="136"/>
      <c r="P31" s="136"/>
      <c r="Q31" s="136"/>
      <c r="R31" s="136"/>
      <c r="S31" s="136"/>
      <c r="T31" s="136"/>
      <c r="U31" s="136"/>
      <c r="V31" s="136"/>
      <c r="W31" s="136"/>
    </row>
    <row r="32">
      <c r="A32" s="435"/>
      <c r="B32" s="435"/>
      <c r="C32" s="136"/>
      <c r="D32" s="136"/>
      <c r="E32" s="136"/>
      <c r="F32" s="136"/>
      <c r="G32" s="136"/>
      <c r="H32" s="136"/>
      <c r="I32" s="136"/>
      <c r="J32" s="136"/>
      <c r="K32" s="451"/>
      <c r="L32" s="451"/>
      <c r="M32" s="136"/>
      <c r="N32" s="136"/>
      <c r="O32" s="136"/>
      <c r="P32" s="136"/>
      <c r="Q32" s="136"/>
      <c r="R32" s="136"/>
      <c r="S32" s="136"/>
      <c r="T32" s="136"/>
      <c r="U32" s="136"/>
      <c r="V32" s="136"/>
      <c r="W32" s="136"/>
    </row>
    <row r="33">
      <c r="A33" s="435"/>
      <c r="B33" s="435"/>
      <c r="C33" s="136"/>
      <c r="D33" s="136"/>
      <c r="E33" s="136"/>
      <c r="F33" s="136"/>
      <c r="G33" s="136"/>
      <c r="H33" s="136"/>
      <c r="I33" s="136"/>
      <c r="J33" s="136"/>
      <c r="K33" s="451"/>
      <c r="L33" s="451"/>
      <c r="M33" s="136"/>
      <c r="N33" s="136"/>
      <c r="O33" s="136"/>
      <c r="P33" s="136"/>
      <c r="Q33" s="136"/>
      <c r="R33" s="136"/>
      <c r="S33" s="136"/>
      <c r="T33" s="136"/>
      <c r="U33" s="136"/>
      <c r="V33" s="136"/>
      <c r="W33" s="136"/>
    </row>
    <row r="34">
      <c r="A34" s="435"/>
      <c r="B34" s="435"/>
      <c r="C34" s="136"/>
      <c r="D34" s="136"/>
      <c r="E34" s="136"/>
      <c r="F34" s="136"/>
      <c r="G34" s="136"/>
      <c r="H34" s="136"/>
      <c r="I34" s="136"/>
      <c r="J34" s="136"/>
      <c r="K34" s="451"/>
      <c r="L34" s="451"/>
      <c r="M34" s="136"/>
      <c r="N34" s="136"/>
      <c r="O34" s="136"/>
      <c r="P34" s="136"/>
      <c r="Q34" s="136"/>
      <c r="R34" s="136"/>
      <c r="S34" s="136"/>
      <c r="T34" s="136"/>
      <c r="U34" s="136"/>
      <c r="V34" s="136"/>
      <c r="W34" s="136"/>
    </row>
    <row r="35">
      <c r="A35" s="435"/>
      <c r="B35" s="435"/>
      <c r="C35" s="136"/>
      <c r="D35" s="136"/>
      <c r="E35" s="136"/>
      <c r="F35" s="136"/>
      <c r="G35" s="136"/>
      <c r="H35" s="136"/>
      <c r="I35" s="136"/>
      <c r="J35" s="136"/>
      <c r="K35" s="451"/>
      <c r="L35" s="451"/>
      <c r="M35" s="136"/>
      <c r="N35" s="136"/>
      <c r="O35" s="136"/>
      <c r="P35" s="136"/>
      <c r="Q35" s="136"/>
      <c r="R35" s="136"/>
      <c r="S35" s="136"/>
      <c r="T35" s="136"/>
      <c r="U35" s="136"/>
      <c r="V35" s="136"/>
      <c r="W35" s="136"/>
    </row>
    <row r="36">
      <c r="A36" s="136"/>
      <c r="B36" s="136"/>
      <c r="C36" s="136"/>
      <c r="D36" s="136"/>
      <c r="E36" s="136"/>
      <c r="F36" s="136"/>
      <c r="G36" s="136"/>
      <c r="H36" s="136"/>
      <c r="I36" s="136"/>
      <c r="J36" s="136"/>
      <c r="K36" s="451"/>
      <c r="L36" s="451"/>
      <c r="M36" s="136"/>
      <c r="N36" s="136"/>
      <c r="O36" s="136"/>
      <c r="P36" s="136"/>
      <c r="Q36" s="136"/>
      <c r="R36" s="136"/>
      <c r="S36" s="136"/>
      <c r="T36" s="136"/>
      <c r="U36" s="136"/>
      <c r="V36" s="136"/>
      <c r="W36" s="136"/>
    </row>
    <row r="37">
      <c r="A37" s="136"/>
      <c r="B37" s="136"/>
      <c r="C37" s="136"/>
      <c r="D37" s="136"/>
      <c r="E37" s="136"/>
      <c r="F37" s="136"/>
      <c r="G37" s="136"/>
      <c r="H37" s="136"/>
      <c r="I37" s="136"/>
      <c r="J37" s="136"/>
      <c r="K37" s="451"/>
      <c r="L37" s="451"/>
      <c r="M37" s="136"/>
      <c r="N37" s="136"/>
      <c r="O37" s="136"/>
      <c r="P37" s="136"/>
      <c r="Q37" s="136"/>
      <c r="R37" s="136"/>
      <c r="S37" s="136"/>
      <c r="T37" s="136"/>
      <c r="U37" s="136"/>
      <c r="V37" s="136"/>
      <c r="W37" s="136"/>
    </row>
    <row r="38">
      <c r="A38" s="136"/>
      <c r="B38" s="136"/>
      <c r="C38" s="136"/>
      <c r="D38" s="136"/>
      <c r="E38" s="136"/>
      <c r="F38" s="136"/>
      <c r="G38" s="136"/>
      <c r="H38" s="136"/>
      <c r="I38" s="136"/>
      <c r="J38" s="136"/>
      <c r="K38" s="451"/>
      <c r="L38" s="451"/>
      <c r="M38" s="136"/>
      <c r="N38" s="136"/>
      <c r="O38" s="136"/>
      <c r="P38" s="136"/>
      <c r="Q38" s="136"/>
      <c r="R38" s="136"/>
      <c r="S38" s="136"/>
      <c r="T38" s="136"/>
      <c r="U38" s="136"/>
      <c r="V38" s="136"/>
      <c r="W38" s="136"/>
    </row>
    <row r="39">
      <c r="A39" s="136"/>
      <c r="B39" s="136"/>
      <c r="C39" s="136"/>
      <c r="D39" s="136"/>
      <c r="E39" s="136"/>
      <c r="F39" s="136"/>
      <c r="G39" s="136"/>
      <c r="H39" s="136"/>
      <c r="I39" s="136"/>
      <c r="J39" s="136"/>
      <c r="K39" s="451"/>
      <c r="L39" s="451"/>
      <c r="M39" s="136"/>
      <c r="N39" s="136"/>
      <c r="O39" s="136"/>
      <c r="P39" s="136"/>
      <c r="Q39" s="136"/>
      <c r="R39" s="136"/>
      <c r="S39" s="136"/>
      <c r="T39" s="136"/>
      <c r="U39" s="136"/>
      <c r="V39" s="136"/>
      <c r="W39" s="136"/>
    </row>
    <row r="40">
      <c r="A40" s="136"/>
      <c r="B40" s="136"/>
      <c r="C40" s="136"/>
      <c r="D40" s="136"/>
      <c r="E40" s="136"/>
      <c r="F40" s="136"/>
      <c r="G40" s="136"/>
      <c r="H40" s="136"/>
      <c r="I40" s="136"/>
      <c r="J40" s="136"/>
      <c r="K40" s="451"/>
      <c r="L40" s="451"/>
      <c r="M40" s="136"/>
      <c r="N40" s="136"/>
      <c r="O40" s="136"/>
      <c r="P40" s="136"/>
      <c r="Q40" s="136"/>
      <c r="R40" s="136"/>
      <c r="S40" s="136"/>
      <c r="T40" s="136"/>
      <c r="U40" s="136"/>
      <c r="V40" s="136"/>
      <c r="W40" s="136"/>
    </row>
    <row r="41">
      <c r="A41" s="136"/>
      <c r="B41" s="136"/>
      <c r="C41" s="136"/>
      <c r="D41" s="136"/>
      <c r="E41" s="136"/>
      <c r="F41" s="136"/>
      <c r="G41" s="136"/>
      <c r="H41" s="136"/>
      <c r="I41" s="136"/>
      <c r="J41" s="136"/>
      <c r="K41" s="451"/>
      <c r="L41" s="451"/>
      <c r="M41" s="136"/>
      <c r="N41" s="136"/>
      <c r="O41" s="136"/>
      <c r="P41" s="136"/>
      <c r="Q41" s="136"/>
      <c r="R41" s="136"/>
      <c r="S41" s="136"/>
      <c r="T41" s="136"/>
      <c r="U41" s="136"/>
      <c r="V41" s="136"/>
      <c r="W41" s="136"/>
    </row>
    <row r="42">
      <c r="A42" s="136"/>
      <c r="B42" s="136"/>
      <c r="C42" s="136"/>
      <c r="D42" s="136"/>
      <c r="E42" s="136"/>
      <c r="F42" s="136"/>
      <c r="G42" s="136"/>
      <c r="H42" s="136"/>
      <c r="I42" s="136"/>
      <c r="J42" s="136"/>
      <c r="K42" s="451"/>
      <c r="L42" s="451"/>
      <c r="M42" s="136"/>
      <c r="N42" s="136"/>
      <c r="O42" s="136"/>
      <c r="P42" s="136"/>
      <c r="Q42" s="136"/>
      <c r="R42" s="136"/>
      <c r="S42" s="136"/>
      <c r="T42" s="136"/>
      <c r="U42" s="136"/>
      <c r="V42" s="136"/>
      <c r="W42" s="136"/>
    </row>
    <row r="43">
      <c r="A43" s="136"/>
      <c r="B43" s="136"/>
      <c r="C43" s="136"/>
      <c r="D43" s="136"/>
      <c r="E43" s="136"/>
      <c r="F43" s="136"/>
      <c r="G43" s="136"/>
      <c r="H43" s="136"/>
      <c r="I43" s="136"/>
      <c r="J43" s="136"/>
      <c r="K43" s="451"/>
      <c r="L43" s="451"/>
      <c r="M43" s="136"/>
      <c r="N43" s="136"/>
      <c r="O43" s="136"/>
      <c r="P43" s="136"/>
      <c r="Q43" s="136"/>
      <c r="R43" s="136"/>
      <c r="S43" s="136"/>
      <c r="T43" s="136"/>
      <c r="U43" s="136"/>
      <c r="V43" s="136"/>
      <c r="W43" s="136"/>
    </row>
    <row r="44">
      <c r="A44" s="136"/>
      <c r="B44" s="136"/>
      <c r="C44" s="136"/>
      <c r="D44" s="136"/>
      <c r="E44" s="136"/>
      <c r="F44" s="136"/>
      <c r="G44" s="136"/>
      <c r="H44" s="136"/>
      <c r="I44" s="136"/>
      <c r="J44" s="136"/>
      <c r="K44" s="451"/>
      <c r="L44" s="451"/>
      <c r="M44" s="136"/>
      <c r="N44" s="136"/>
      <c r="O44" s="136"/>
      <c r="P44" s="136"/>
      <c r="Q44" s="136"/>
      <c r="R44" s="136"/>
      <c r="S44" s="136"/>
      <c r="T44" s="136"/>
      <c r="U44" s="136"/>
      <c r="V44" s="136"/>
      <c r="W44" s="136"/>
    </row>
    <row r="45">
      <c r="A45" s="136"/>
      <c r="B45" s="136"/>
      <c r="C45" s="136"/>
      <c r="D45" s="136"/>
      <c r="E45" s="136"/>
      <c r="F45" s="136"/>
      <c r="G45" s="136"/>
      <c r="H45" s="136"/>
      <c r="I45" s="136"/>
      <c r="J45" s="136"/>
      <c r="K45" s="451"/>
      <c r="L45" s="451"/>
      <c r="M45" s="136"/>
      <c r="N45" s="136"/>
      <c r="O45" s="136"/>
      <c r="P45" s="136"/>
      <c r="Q45" s="136"/>
      <c r="R45" s="136"/>
      <c r="S45" s="136"/>
      <c r="T45" s="136"/>
      <c r="U45" s="136"/>
      <c r="V45" s="136"/>
      <c r="W45" s="136"/>
    </row>
    <row r="46">
      <c r="A46" s="136"/>
      <c r="B46" s="136"/>
      <c r="C46" s="136"/>
      <c r="D46" s="136"/>
      <c r="E46" s="136"/>
      <c r="F46" s="136"/>
      <c r="G46" s="136"/>
      <c r="H46" s="136"/>
      <c r="I46" s="136"/>
      <c r="J46" s="136"/>
      <c r="K46" s="451"/>
      <c r="L46" s="451"/>
      <c r="M46" s="136"/>
      <c r="N46" s="136"/>
      <c r="O46" s="136"/>
      <c r="P46" s="136"/>
      <c r="Q46" s="136"/>
      <c r="R46" s="136"/>
      <c r="S46" s="136"/>
      <c r="T46" s="136"/>
      <c r="U46" s="136"/>
      <c r="V46" s="136"/>
      <c r="W46" s="136"/>
    </row>
    <row r="47">
      <c r="A47" s="136"/>
      <c r="B47" s="136"/>
      <c r="C47" s="136"/>
      <c r="D47" s="136"/>
      <c r="E47" s="136"/>
      <c r="F47" s="136"/>
      <c r="G47" s="136"/>
      <c r="H47" s="136"/>
      <c r="I47" s="136"/>
      <c r="J47" s="136"/>
      <c r="K47" s="451"/>
      <c r="L47" s="451"/>
      <c r="M47" s="136"/>
      <c r="N47" s="136"/>
      <c r="O47" s="136"/>
      <c r="P47" s="136"/>
      <c r="Q47" s="136"/>
      <c r="R47" s="136"/>
      <c r="S47" s="136"/>
      <c r="T47" s="136"/>
      <c r="U47" s="136"/>
      <c r="V47" s="136"/>
      <c r="W47" s="136"/>
    </row>
    <row r="48">
      <c r="A48" s="136"/>
      <c r="B48" s="136"/>
      <c r="C48" s="136"/>
      <c r="D48" s="136"/>
      <c r="E48" s="136"/>
      <c r="F48" s="136"/>
      <c r="G48" s="136"/>
      <c r="H48" s="136"/>
      <c r="I48" s="136"/>
      <c r="J48" s="136"/>
      <c r="K48" s="451"/>
      <c r="L48" s="451"/>
      <c r="M48" s="136"/>
      <c r="N48" s="136"/>
      <c r="O48" s="136"/>
      <c r="P48" s="136"/>
      <c r="Q48" s="136"/>
      <c r="R48" s="136"/>
      <c r="S48" s="136"/>
      <c r="T48" s="136"/>
      <c r="U48" s="136"/>
      <c r="V48" s="136"/>
      <c r="W48" s="136"/>
    </row>
    <row r="49">
      <c r="A49" s="136"/>
      <c r="B49" s="136"/>
      <c r="C49" s="136"/>
      <c r="D49" s="136"/>
      <c r="E49" s="136"/>
      <c r="F49" s="136"/>
      <c r="G49" s="136"/>
      <c r="H49" s="136"/>
      <c r="I49" s="136"/>
      <c r="J49" s="136"/>
      <c r="K49" s="451"/>
      <c r="L49" s="451"/>
      <c r="M49" s="136"/>
      <c r="N49" s="136"/>
      <c r="O49" s="136"/>
      <c r="P49" s="136"/>
      <c r="Q49" s="136"/>
      <c r="R49" s="136"/>
      <c r="S49" s="136"/>
      <c r="T49" s="136"/>
      <c r="U49" s="136"/>
      <c r="V49" s="136"/>
      <c r="W49" s="136"/>
    </row>
    <row r="50">
      <c r="A50" s="136"/>
      <c r="B50" s="136"/>
      <c r="C50" s="136"/>
      <c r="D50" s="136"/>
      <c r="E50" s="136"/>
      <c r="F50" s="136"/>
      <c r="G50" s="136"/>
      <c r="H50" s="136"/>
      <c r="I50" s="136"/>
      <c r="J50" s="136"/>
      <c r="K50" s="451"/>
      <c r="L50" s="451"/>
      <c r="M50" s="136"/>
      <c r="N50" s="136"/>
      <c r="O50" s="136"/>
      <c r="P50" s="136"/>
      <c r="Q50" s="136"/>
      <c r="R50" s="136"/>
      <c r="S50" s="136"/>
      <c r="T50" s="136"/>
      <c r="U50" s="136"/>
      <c r="V50" s="136"/>
      <c r="W50" s="136"/>
    </row>
    <row r="51">
      <c r="A51" s="136"/>
      <c r="B51" s="136"/>
      <c r="C51" s="136"/>
      <c r="D51" s="136"/>
      <c r="E51" s="136"/>
      <c r="F51" s="136"/>
      <c r="G51" s="136"/>
      <c r="H51" s="136"/>
      <c r="I51" s="136"/>
      <c r="J51" s="136"/>
      <c r="K51" s="451"/>
      <c r="L51" s="451"/>
      <c r="M51" s="136"/>
      <c r="N51" s="136"/>
      <c r="O51" s="136"/>
      <c r="P51" s="136"/>
      <c r="Q51" s="136"/>
      <c r="R51" s="136"/>
      <c r="S51" s="136"/>
      <c r="T51" s="136"/>
      <c r="U51" s="136"/>
      <c r="V51" s="136"/>
      <c r="W51" s="136"/>
    </row>
    <row r="52">
      <c r="A52" s="136"/>
      <c r="B52" s="136"/>
      <c r="C52" s="136"/>
      <c r="D52" s="136"/>
      <c r="E52" s="136"/>
      <c r="F52" s="136"/>
      <c r="G52" s="136"/>
      <c r="H52" s="136"/>
      <c r="I52" s="136"/>
      <c r="J52" s="136"/>
      <c r="K52" s="451"/>
      <c r="L52" s="451"/>
      <c r="M52" s="136"/>
      <c r="N52" s="136"/>
      <c r="O52" s="136"/>
      <c r="P52" s="136"/>
      <c r="Q52" s="136"/>
      <c r="R52" s="136"/>
      <c r="S52" s="136"/>
      <c r="T52" s="136"/>
      <c r="U52" s="136"/>
      <c r="V52" s="136"/>
      <c r="W52" s="136"/>
    </row>
    <row r="53">
      <c r="A53" s="136"/>
      <c r="B53" s="136"/>
      <c r="C53" s="136"/>
      <c r="D53" s="136"/>
      <c r="E53" s="136"/>
      <c r="F53" s="136"/>
      <c r="G53" s="136"/>
      <c r="H53" s="136"/>
      <c r="I53" s="136"/>
      <c r="J53" s="136"/>
      <c r="K53" s="451"/>
      <c r="L53" s="451"/>
      <c r="M53" s="136"/>
      <c r="N53" s="136"/>
      <c r="O53" s="136"/>
      <c r="P53" s="136"/>
      <c r="Q53" s="136"/>
      <c r="R53" s="136"/>
      <c r="S53" s="136"/>
      <c r="T53" s="136"/>
      <c r="U53" s="136"/>
      <c r="V53" s="136"/>
      <c r="W53" s="136"/>
    </row>
    <row r="54">
      <c r="A54" s="136"/>
      <c r="B54" s="136"/>
      <c r="C54" s="136"/>
      <c r="D54" s="136"/>
      <c r="E54" s="136"/>
      <c r="F54" s="136"/>
      <c r="G54" s="136"/>
      <c r="H54" s="136"/>
      <c r="I54" s="136"/>
      <c r="J54" s="136"/>
      <c r="K54" s="451"/>
      <c r="L54" s="451"/>
      <c r="M54" s="136"/>
      <c r="N54" s="136"/>
      <c r="O54" s="136"/>
      <c r="P54" s="136"/>
      <c r="Q54" s="136"/>
      <c r="R54" s="136"/>
      <c r="S54" s="136"/>
      <c r="T54" s="136"/>
      <c r="U54" s="136"/>
      <c r="V54" s="136"/>
      <c r="W54" s="136"/>
    </row>
    <row r="55">
      <c r="A55" s="136"/>
      <c r="B55" s="136"/>
      <c r="C55" s="136"/>
      <c r="D55" s="136"/>
      <c r="E55" s="136"/>
      <c r="F55" s="136"/>
      <c r="G55" s="136"/>
      <c r="H55" s="136"/>
      <c r="I55" s="136"/>
      <c r="J55" s="136"/>
      <c r="K55" s="451"/>
      <c r="L55" s="451"/>
      <c r="M55" s="136"/>
      <c r="N55" s="136"/>
      <c r="O55" s="136"/>
      <c r="P55" s="136"/>
      <c r="Q55" s="136"/>
      <c r="R55" s="136"/>
      <c r="S55" s="136"/>
      <c r="T55" s="136"/>
      <c r="U55" s="136"/>
      <c r="V55" s="136"/>
      <c r="W55" s="136"/>
    </row>
    <row r="56">
      <c r="A56" s="136"/>
      <c r="B56" s="136"/>
      <c r="C56" s="136"/>
      <c r="D56" s="136"/>
      <c r="E56" s="136"/>
      <c r="F56" s="136"/>
      <c r="G56" s="136"/>
      <c r="H56" s="136"/>
      <c r="I56" s="136"/>
      <c r="J56" s="136"/>
      <c r="K56" s="451"/>
      <c r="L56" s="451"/>
      <c r="M56" s="136"/>
      <c r="N56" s="136"/>
      <c r="O56" s="136"/>
      <c r="P56" s="136"/>
      <c r="Q56" s="136"/>
      <c r="R56" s="136"/>
      <c r="S56" s="136"/>
      <c r="T56" s="136"/>
      <c r="U56" s="136"/>
      <c r="V56" s="136"/>
      <c r="W56" s="136"/>
    </row>
    <row r="57">
      <c r="A57" s="136"/>
      <c r="B57" s="136"/>
      <c r="C57" s="136"/>
      <c r="D57" s="136"/>
      <c r="E57" s="136"/>
      <c r="F57" s="136"/>
      <c r="G57" s="136"/>
      <c r="H57" s="136"/>
      <c r="I57" s="136"/>
      <c r="J57" s="136"/>
      <c r="K57" s="451"/>
      <c r="L57" s="451"/>
      <c r="M57" s="136"/>
      <c r="N57" s="136"/>
      <c r="O57" s="136"/>
      <c r="P57" s="136"/>
      <c r="Q57" s="136"/>
      <c r="R57" s="136"/>
      <c r="S57" s="136"/>
      <c r="T57" s="136"/>
      <c r="U57" s="136"/>
      <c r="V57" s="136"/>
      <c r="W57" s="136"/>
    </row>
    <row r="58">
      <c r="A58" s="136"/>
      <c r="B58" s="136"/>
      <c r="C58" s="136"/>
      <c r="D58" s="136"/>
      <c r="E58" s="136"/>
      <c r="F58" s="136"/>
      <c r="G58" s="136"/>
      <c r="H58" s="136"/>
      <c r="I58" s="136"/>
      <c r="J58" s="136"/>
      <c r="K58" s="451"/>
      <c r="L58" s="451"/>
      <c r="M58" s="136"/>
      <c r="N58" s="136"/>
      <c r="O58" s="136"/>
      <c r="P58" s="136"/>
      <c r="Q58" s="136"/>
      <c r="R58" s="136"/>
      <c r="S58" s="136"/>
      <c r="T58" s="136"/>
      <c r="U58" s="136"/>
      <c r="V58" s="136"/>
      <c r="W58" s="136"/>
    </row>
    <row r="59">
      <c r="A59" s="136"/>
      <c r="B59" s="136"/>
      <c r="C59" s="136"/>
      <c r="D59" s="136"/>
      <c r="E59" s="136"/>
      <c r="F59" s="136"/>
      <c r="G59" s="136"/>
      <c r="H59" s="136"/>
      <c r="I59" s="136"/>
      <c r="J59" s="136"/>
      <c r="K59" s="451"/>
      <c r="L59" s="451"/>
      <c r="M59" s="136"/>
      <c r="N59" s="136"/>
      <c r="O59" s="136"/>
      <c r="P59" s="136"/>
      <c r="Q59" s="136"/>
      <c r="R59" s="136"/>
      <c r="S59" s="136"/>
      <c r="T59" s="136"/>
      <c r="U59" s="136"/>
      <c r="V59" s="136"/>
      <c r="W59" s="136"/>
    </row>
    <row r="60">
      <c r="A60" s="136"/>
      <c r="B60" s="136"/>
      <c r="C60" s="136"/>
      <c r="D60" s="136"/>
      <c r="E60" s="136"/>
      <c r="F60" s="136"/>
      <c r="G60" s="136"/>
      <c r="H60" s="136"/>
      <c r="I60" s="136"/>
      <c r="J60" s="136"/>
      <c r="K60" s="451"/>
      <c r="L60" s="451"/>
      <c r="M60" s="136"/>
      <c r="N60" s="136"/>
      <c r="O60" s="136"/>
      <c r="P60" s="136"/>
      <c r="Q60" s="136"/>
      <c r="R60" s="136"/>
      <c r="S60" s="136"/>
      <c r="T60" s="136"/>
      <c r="U60" s="136"/>
      <c r="V60" s="136"/>
      <c r="W60" s="136"/>
    </row>
    <row r="61">
      <c r="A61" s="136"/>
      <c r="B61" s="136"/>
      <c r="C61" s="136"/>
      <c r="D61" s="136"/>
      <c r="E61" s="136"/>
      <c r="F61" s="136"/>
      <c r="G61" s="136"/>
      <c r="H61" s="136"/>
      <c r="I61" s="136"/>
      <c r="J61" s="136"/>
      <c r="K61" s="451"/>
      <c r="L61" s="451"/>
      <c r="M61" s="136"/>
      <c r="N61" s="136"/>
      <c r="O61" s="136"/>
      <c r="P61" s="136"/>
      <c r="Q61" s="136"/>
      <c r="R61" s="136"/>
      <c r="S61" s="136"/>
      <c r="T61" s="136"/>
      <c r="U61" s="136"/>
      <c r="V61" s="136"/>
      <c r="W61" s="136"/>
    </row>
    <row r="62">
      <c r="A62" s="136"/>
      <c r="B62" s="136"/>
      <c r="C62" s="136"/>
      <c r="D62" s="136"/>
      <c r="E62" s="136"/>
      <c r="F62" s="136"/>
      <c r="G62" s="136"/>
      <c r="H62" s="136"/>
      <c r="I62" s="136"/>
      <c r="J62" s="136"/>
      <c r="K62" s="451"/>
      <c r="L62" s="451"/>
      <c r="M62" s="136"/>
      <c r="N62" s="136"/>
      <c r="O62" s="136"/>
      <c r="P62" s="136"/>
      <c r="Q62" s="136"/>
      <c r="R62" s="136"/>
      <c r="S62" s="136"/>
      <c r="T62" s="136"/>
      <c r="U62" s="136"/>
      <c r="V62" s="136"/>
      <c r="W62" s="136"/>
    </row>
    <row r="63">
      <c r="A63" s="136"/>
      <c r="B63" s="136"/>
      <c r="C63" s="136"/>
      <c r="D63" s="136"/>
      <c r="E63" s="136"/>
      <c r="F63" s="136"/>
      <c r="G63" s="136"/>
      <c r="H63" s="136"/>
      <c r="I63" s="136"/>
      <c r="J63" s="136"/>
      <c r="K63" s="451"/>
      <c r="L63" s="451"/>
      <c r="M63" s="136"/>
      <c r="N63" s="136"/>
      <c r="O63" s="136"/>
      <c r="P63" s="136"/>
      <c r="Q63" s="136"/>
      <c r="R63" s="136"/>
      <c r="S63" s="136"/>
      <c r="T63" s="136"/>
      <c r="U63" s="136"/>
      <c r="V63" s="136"/>
      <c r="W63" s="136"/>
    </row>
    <row r="64">
      <c r="A64" s="136"/>
      <c r="B64" s="136"/>
      <c r="C64" s="136"/>
      <c r="D64" s="136"/>
      <c r="E64" s="136"/>
      <c r="F64" s="136"/>
      <c r="G64" s="136"/>
      <c r="H64" s="136"/>
      <c r="I64" s="136"/>
      <c r="J64" s="136"/>
      <c r="K64" s="451"/>
      <c r="L64" s="451"/>
      <c r="M64" s="136"/>
      <c r="N64" s="136"/>
      <c r="O64" s="136"/>
      <c r="P64" s="136"/>
      <c r="Q64" s="136"/>
      <c r="R64" s="136"/>
      <c r="S64" s="136"/>
      <c r="T64" s="136"/>
      <c r="U64" s="136"/>
      <c r="V64" s="136"/>
      <c r="W64" s="136"/>
    </row>
    <row r="65">
      <c r="A65" s="136"/>
      <c r="B65" s="136"/>
      <c r="C65" s="136"/>
      <c r="D65" s="136"/>
      <c r="E65" s="136"/>
      <c r="F65" s="136"/>
      <c r="G65" s="136"/>
      <c r="H65" s="136"/>
      <c r="I65" s="136"/>
      <c r="J65" s="136"/>
      <c r="K65" s="451"/>
      <c r="L65" s="451"/>
      <c r="M65" s="136"/>
      <c r="N65" s="136"/>
      <c r="O65" s="136"/>
      <c r="P65" s="136"/>
      <c r="Q65" s="136"/>
      <c r="R65" s="136"/>
      <c r="S65" s="136"/>
      <c r="T65" s="136"/>
      <c r="U65" s="136"/>
      <c r="V65" s="136"/>
      <c r="W65" s="136"/>
    </row>
    <row r="66">
      <c r="A66" s="136"/>
      <c r="B66" s="136"/>
      <c r="C66" s="136"/>
      <c r="D66" s="136"/>
      <c r="E66" s="136"/>
      <c r="F66" s="136"/>
      <c r="G66" s="136"/>
      <c r="H66" s="136"/>
      <c r="I66" s="136"/>
      <c r="J66" s="136"/>
      <c r="K66" s="451"/>
      <c r="L66" s="451"/>
      <c r="M66" s="136"/>
      <c r="N66" s="136"/>
      <c r="O66" s="136"/>
      <c r="P66" s="136"/>
      <c r="Q66" s="136"/>
      <c r="R66" s="136"/>
      <c r="S66" s="136"/>
      <c r="T66" s="136"/>
      <c r="U66" s="136"/>
      <c r="V66" s="136"/>
      <c r="W66" s="136"/>
    </row>
    <row r="67">
      <c r="A67" s="136"/>
      <c r="B67" s="136"/>
      <c r="C67" s="136"/>
      <c r="D67" s="136"/>
      <c r="E67" s="136"/>
      <c r="F67" s="136"/>
      <c r="G67" s="136"/>
      <c r="H67" s="136"/>
      <c r="I67" s="136"/>
      <c r="J67" s="136"/>
      <c r="K67" s="451"/>
      <c r="L67" s="451"/>
      <c r="M67" s="136"/>
      <c r="N67" s="136"/>
      <c r="O67" s="136"/>
      <c r="P67" s="136"/>
      <c r="Q67" s="136"/>
      <c r="R67" s="136"/>
      <c r="S67" s="136"/>
      <c r="T67" s="136"/>
      <c r="U67" s="136"/>
      <c r="V67" s="136"/>
      <c r="W67" s="136"/>
    </row>
    <row r="68">
      <c r="A68" s="136"/>
      <c r="B68" s="136"/>
      <c r="C68" s="136"/>
      <c r="D68" s="136"/>
      <c r="E68" s="136"/>
      <c r="F68" s="136"/>
      <c r="G68" s="136"/>
      <c r="H68" s="136"/>
      <c r="I68" s="136"/>
      <c r="J68" s="136"/>
      <c r="K68" s="451"/>
      <c r="L68" s="451"/>
      <c r="M68" s="136"/>
      <c r="N68" s="136"/>
      <c r="O68" s="136"/>
      <c r="P68" s="136"/>
      <c r="Q68" s="136"/>
      <c r="R68" s="136"/>
      <c r="S68" s="136"/>
      <c r="T68" s="136"/>
      <c r="U68" s="136"/>
      <c r="V68" s="136"/>
      <c r="W68" s="136"/>
    </row>
    <row r="69">
      <c r="A69" s="136"/>
      <c r="B69" s="136"/>
      <c r="C69" s="136"/>
      <c r="D69" s="136"/>
      <c r="E69" s="136"/>
      <c r="F69" s="136"/>
      <c r="G69" s="136"/>
      <c r="H69" s="136"/>
      <c r="I69" s="136"/>
      <c r="J69" s="136"/>
      <c r="K69" s="451"/>
      <c r="L69" s="451"/>
      <c r="M69" s="136"/>
      <c r="N69" s="136"/>
      <c r="O69" s="136"/>
      <c r="P69" s="136"/>
      <c r="Q69" s="136"/>
      <c r="R69" s="136"/>
      <c r="S69" s="136"/>
      <c r="T69" s="136"/>
      <c r="U69" s="136"/>
      <c r="V69" s="136"/>
      <c r="W69" s="136"/>
    </row>
    <row r="70">
      <c r="A70" s="136"/>
      <c r="B70" s="136"/>
      <c r="C70" s="136"/>
      <c r="D70" s="136"/>
      <c r="E70" s="136"/>
      <c r="F70" s="136"/>
      <c r="G70" s="136"/>
      <c r="H70" s="136"/>
      <c r="I70" s="136"/>
      <c r="J70" s="136"/>
      <c r="K70" s="451"/>
      <c r="L70" s="451"/>
      <c r="M70" s="136"/>
      <c r="N70" s="136"/>
      <c r="O70" s="136"/>
      <c r="P70" s="136"/>
      <c r="Q70" s="136"/>
      <c r="R70" s="136"/>
      <c r="S70" s="136"/>
      <c r="T70" s="136"/>
      <c r="U70" s="136"/>
      <c r="V70" s="136"/>
      <c r="W70" s="136"/>
    </row>
    <row r="71">
      <c r="A71" s="136"/>
      <c r="B71" s="136"/>
      <c r="C71" s="136"/>
      <c r="D71" s="136"/>
      <c r="E71" s="136"/>
      <c r="F71" s="136"/>
      <c r="G71" s="136"/>
      <c r="H71" s="136"/>
      <c r="I71" s="136"/>
      <c r="J71" s="136"/>
      <c r="K71" s="451"/>
      <c r="L71" s="451"/>
      <c r="M71" s="136"/>
      <c r="N71" s="136"/>
      <c r="O71" s="136"/>
      <c r="P71" s="136"/>
      <c r="Q71" s="136"/>
      <c r="R71" s="136"/>
      <c r="S71" s="136"/>
      <c r="T71" s="136"/>
      <c r="U71" s="136"/>
      <c r="V71" s="136"/>
      <c r="W71" s="136"/>
    </row>
    <row r="72">
      <c r="A72" s="136"/>
      <c r="B72" s="136"/>
      <c r="C72" s="136"/>
      <c r="D72" s="136"/>
      <c r="E72" s="136"/>
      <c r="F72" s="136"/>
      <c r="G72" s="136"/>
      <c r="H72" s="136"/>
      <c r="I72" s="136"/>
      <c r="J72" s="136"/>
      <c r="K72" s="451"/>
      <c r="L72" s="451"/>
      <c r="M72" s="136"/>
      <c r="N72" s="136"/>
      <c r="O72" s="136"/>
      <c r="P72" s="136"/>
      <c r="Q72" s="136"/>
      <c r="R72" s="136"/>
      <c r="S72" s="136"/>
      <c r="T72" s="136"/>
      <c r="U72" s="136"/>
      <c r="V72" s="136"/>
      <c r="W72" s="136"/>
    </row>
    <row r="73">
      <c r="A73" s="136"/>
      <c r="B73" s="136"/>
      <c r="C73" s="136"/>
      <c r="D73" s="136"/>
      <c r="E73" s="136"/>
      <c r="F73" s="136"/>
      <c r="G73" s="136"/>
      <c r="H73" s="136"/>
      <c r="I73" s="136"/>
      <c r="J73" s="136"/>
      <c r="K73" s="451"/>
      <c r="L73" s="451"/>
      <c r="M73" s="136"/>
      <c r="N73" s="136"/>
      <c r="O73" s="136"/>
      <c r="P73" s="136"/>
      <c r="Q73" s="136"/>
      <c r="R73" s="136"/>
      <c r="S73" s="136"/>
      <c r="T73" s="136"/>
      <c r="U73" s="136"/>
      <c r="V73" s="136"/>
      <c r="W73" s="136"/>
    </row>
    <row r="74">
      <c r="A74" s="136"/>
      <c r="B74" s="136"/>
      <c r="C74" s="136"/>
      <c r="D74" s="136"/>
      <c r="E74" s="136"/>
      <c r="F74" s="136"/>
      <c r="G74" s="136"/>
      <c r="H74" s="136"/>
      <c r="I74" s="136"/>
      <c r="J74" s="136"/>
      <c r="K74" s="451"/>
      <c r="L74" s="451"/>
      <c r="M74" s="136"/>
      <c r="N74" s="136"/>
      <c r="O74" s="136"/>
      <c r="P74" s="136"/>
      <c r="Q74" s="136"/>
      <c r="R74" s="136"/>
      <c r="S74" s="136"/>
      <c r="T74" s="136"/>
      <c r="U74" s="136"/>
      <c r="V74" s="136"/>
      <c r="W74" s="136"/>
    </row>
    <row r="75">
      <c r="A75" s="136"/>
      <c r="B75" s="136"/>
      <c r="C75" s="136"/>
      <c r="D75" s="136"/>
      <c r="E75" s="136"/>
      <c r="F75" s="136"/>
      <c r="G75" s="136"/>
      <c r="H75" s="136"/>
      <c r="I75" s="136"/>
      <c r="J75" s="136"/>
      <c r="K75" s="451"/>
      <c r="L75" s="451"/>
      <c r="M75" s="136"/>
      <c r="N75" s="136"/>
      <c r="O75" s="136"/>
      <c r="P75" s="136"/>
      <c r="Q75" s="136"/>
      <c r="R75" s="136"/>
      <c r="S75" s="136"/>
      <c r="T75" s="136"/>
      <c r="U75" s="136"/>
      <c r="V75" s="136"/>
      <c r="W75" s="136"/>
    </row>
    <row r="76">
      <c r="A76" s="136"/>
      <c r="B76" s="136"/>
      <c r="C76" s="136"/>
      <c r="D76" s="136"/>
      <c r="E76" s="136"/>
      <c r="F76" s="136"/>
      <c r="G76" s="136"/>
      <c r="H76" s="136"/>
      <c r="I76" s="136"/>
      <c r="J76" s="136"/>
      <c r="K76" s="451"/>
      <c r="L76" s="451"/>
      <c r="M76" s="136"/>
      <c r="N76" s="136"/>
      <c r="O76" s="136"/>
      <c r="P76" s="136"/>
      <c r="Q76" s="136"/>
      <c r="R76" s="136"/>
      <c r="S76" s="136"/>
      <c r="T76" s="136"/>
      <c r="U76" s="136"/>
      <c r="V76" s="136"/>
      <c r="W76" s="136"/>
    </row>
    <row r="77">
      <c r="A77" s="136"/>
      <c r="B77" s="136"/>
      <c r="C77" s="136"/>
      <c r="D77" s="136"/>
      <c r="E77" s="136"/>
      <c r="F77" s="136"/>
      <c r="G77" s="136"/>
      <c r="H77" s="136"/>
      <c r="I77" s="136"/>
      <c r="J77" s="136"/>
      <c r="K77" s="451"/>
      <c r="L77" s="451"/>
      <c r="M77" s="136"/>
      <c r="N77" s="136"/>
      <c r="O77" s="136"/>
      <c r="P77" s="136"/>
      <c r="Q77" s="136"/>
      <c r="R77" s="136"/>
      <c r="S77" s="136"/>
      <c r="T77" s="136"/>
      <c r="U77" s="136"/>
      <c r="V77" s="136"/>
      <c r="W77" s="136"/>
    </row>
    <row r="78">
      <c r="A78" s="136"/>
      <c r="B78" s="136"/>
      <c r="C78" s="136"/>
      <c r="D78" s="136"/>
      <c r="E78" s="136"/>
      <c r="F78" s="136"/>
      <c r="G78" s="136"/>
      <c r="H78" s="136"/>
      <c r="I78" s="136"/>
      <c r="J78" s="136"/>
      <c r="K78" s="451"/>
      <c r="L78" s="451"/>
      <c r="M78" s="136"/>
      <c r="N78" s="136"/>
      <c r="O78" s="136"/>
      <c r="P78" s="136"/>
      <c r="Q78" s="136"/>
      <c r="R78" s="136"/>
      <c r="S78" s="136"/>
      <c r="T78" s="136"/>
      <c r="U78" s="136"/>
      <c r="V78" s="136"/>
      <c r="W78" s="136"/>
    </row>
    <row r="79">
      <c r="A79" s="136"/>
      <c r="B79" s="136"/>
      <c r="C79" s="136"/>
      <c r="D79" s="136"/>
      <c r="E79" s="136"/>
      <c r="F79" s="136"/>
      <c r="G79" s="136"/>
      <c r="H79" s="136"/>
      <c r="I79" s="136"/>
      <c r="J79" s="136"/>
      <c r="K79" s="451"/>
      <c r="L79" s="451"/>
      <c r="M79" s="136"/>
      <c r="N79" s="136"/>
      <c r="O79" s="136"/>
      <c r="P79" s="136"/>
      <c r="Q79" s="136"/>
      <c r="R79" s="136"/>
      <c r="S79" s="136"/>
      <c r="T79" s="136"/>
      <c r="U79" s="136"/>
      <c r="V79" s="136"/>
      <c r="W79" s="136"/>
    </row>
    <row r="80">
      <c r="A80" s="136"/>
      <c r="B80" s="136"/>
      <c r="C80" s="136"/>
      <c r="D80" s="136"/>
      <c r="E80" s="136"/>
      <c r="F80" s="136"/>
      <c r="G80" s="136"/>
      <c r="H80" s="136"/>
      <c r="I80" s="136"/>
      <c r="J80" s="136"/>
      <c r="K80" s="451"/>
      <c r="L80" s="451"/>
      <c r="M80" s="136"/>
      <c r="N80" s="136"/>
      <c r="O80" s="136"/>
      <c r="P80" s="136"/>
      <c r="Q80" s="136"/>
      <c r="R80" s="136"/>
      <c r="S80" s="136"/>
      <c r="T80" s="136"/>
      <c r="U80" s="136"/>
      <c r="V80" s="136"/>
      <c r="W80" s="136"/>
    </row>
    <row r="81">
      <c r="A81" s="136"/>
      <c r="B81" s="136"/>
      <c r="C81" s="136"/>
      <c r="D81" s="136"/>
      <c r="E81" s="136"/>
      <c r="F81" s="136"/>
      <c r="G81" s="136"/>
      <c r="H81" s="136"/>
      <c r="I81" s="136"/>
      <c r="J81" s="136"/>
      <c r="K81" s="451"/>
      <c r="L81" s="451"/>
      <c r="M81" s="136"/>
      <c r="N81" s="136"/>
      <c r="O81" s="136"/>
      <c r="P81" s="136"/>
      <c r="Q81" s="136"/>
      <c r="R81" s="136"/>
      <c r="S81" s="136"/>
      <c r="T81" s="136"/>
      <c r="U81" s="136"/>
      <c r="V81" s="136"/>
      <c r="W81" s="136"/>
    </row>
    <row r="82">
      <c r="A82" s="136"/>
      <c r="B82" s="136"/>
      <c r="C82" s="136"/>
      <c r="D82" s="136"/>
      <c r="E82" s="136"/>
      <c r="F82" s="136"/>
      <c r="G82" s="136"/>
      <c r="H82" s="136"/>
      <c r="I82" s="136"/>
      <c r="J82" s="136"/>
      <c r="K82" s="451"/>
      <c r="L82" s="451"/>
      <c r="M82" s="136"/>
      <c r="N82" s="136"/>
      <c r="O82" s="136"/>
      <c r="P82" s="136"/>
      <c r="Q82" s="136"/>
      <c r="R82" s="136"/>
      <c r="S82" s="136"/>
      <c r="T82" s="136"/>
      <c r="U82" s="136"/>
      <c r="V82" s="136"/>
      <c r="W82" s="136"/>
    </row>
    <row r="83">
      <c r="A83" s="136"/>
      <c r="B83" s="136"/>
      <c r="C83" s="136"/>
      <c r="D83" s="136"/>
      <c r="E83" s="136"/>
      <c r="F83" s="136"/>
      <c r="G83" s="136"/>
      <c r="H83" s="136"/>
      <c r="I83" s="136"/>
      <c r="J83" s="136"/>
      <c r="K83" s="451"/>
      <c r="L83" s="451"/>
      <c r="M83" s="136"/>
      <c r="N83" s="136"/>
      <c r="O83" s="136"/>
      <c r="P83" s="136"/>
      <c r="Q83" s="136"/>
      <c r="R83" s="136"/>
      <c r="S83" s="136"/>
      <c r="T83" s="136"/>
      <c r="U83" s="136"/>
      <c r="V83" s="136"/>
      <c r="W83" s="136"/>
    </row>
    <row r="84">
      <c r="A84" s="136"/>
      <c r="B84" s="136"/>
      <c r="C84" s="136"/>
      <c r="D84" s="136"/>
      <c r="E84" s="136"/>
      <c r="F84" s="136"/>
      <c r="G84" s="136"/>
      <c r="H84" s="136"/>
      <c r="I84" s="136"/>
      <c r="J84" s="136"/>
      <c r="K84" s="451"/>
      <c r="L84" s="451"/>
      <c r="M84" s="136"/>
      <c r="N84" s="136"/>
      <c r="O84" s="136"/>
      <c r="P84" s="136"/>
      <c r="Q84" s="136"/>
      <c r="R84" s="136"/>
      <c r="S84" s="136"/>
      <c r="T84" s="136"/>
      <c r="U84" s="136"/>
      <c r="V84" s="136"/>
      <c r="W84" s="136"/>
    </row>
    <row r="85">
      <c r="A85" s="136"/>
      <c r="B85" s="136"/>
      <c r="C85" s="136"/>
      <c r="D85" s="136"/>
      <c r="E85" s="136"/>
      <c r="F85" s="136"/>
      <c r="G85" s="136"/>
      <c r="H85" s="136"/>
      <c r="I85" s="136"/>
      <c r="J85" s="136"/>
      <c r="K85" s="451"/>
      <c r="L85" s="451"/>
      <c r="M85" s="136"/>
      <c r="N85" s="136"/>
      <c r="O85" s="136"/>
      <c r="P85" s="136"/>
      <c r="Q85" s="136"/>
      <c r="R85" s="136"/>
      <c r="S85" s="136"/>
      <c r="T85" s="136"/>
      <c r="U85" s="136"/>
      <c r="V85" s="136"/>
      <c r="W85" s="136"/>
    </row>
    <row r="86">
      <c r="A86" s="136"/>
      <c r="B86" s="136"/>
      <c r="C86" s="136"/>
      <c r="D86" s="136"/>
      <c r="E86" s="136"/>
      <c r="F86" s="136"/>
      <c r="G86" s="136"/>
      <c r="H86" s="136"/>
      <c r="I86" s="136"/>
      <c r="J86" s="136"/>
      <c r="K86" s="451"/>
      <c r="L86" s="451"/>
      <c r="M86" s="136"/>
      <c r="N86" s="136"/>
      <c r="O86" s="136"/>
      <c r="P86" s="136"/>
      <c r="Q86" s="136"/>
      <c r="R86" s="136"/>
      <c r="S86" s="136"/>
      <c r="T86" s="136"/>
      <c r="U86" s="136"/>
      <c r="V86" s="136"/>
      <c r="W86" s="136"/>
    </row>
    <row r="87">
      <c r="A87" s="136"/>
      <c r="B87" s="136"/>
      <c r="C87" s="136"/>
      <c r="D87" s="136"/>
      <c r="E87" s="136"/>
      <c r="F87" s="136"/>
      <c r="G87" s="136"/>
      <c r="H87" s="136"/>
      <c r="I87" s="136"/>
      <c r="J87" s="136"/>
      <c r="K87" s="451"/>
      <c r="L87" s="451"/>
      <c r="M87" s="136"/>
      <c r="N87" s="136"/>
      <c r="O87" s="136"/>
      <c r="P87" s="136"/>
      <c r="Q87" s="136"/>
      <c r="R87" s="136"/>
      <c r="S87" s="136"/>
      <c r="T87" s="136"/>
      <c r="U87" s="136"/>
      <c r="V87" s="136"/>
      <c r="W87" s="136"/>
    </row>
    <row r="88">
      <c r="A88" s="136"/>
      <c r="B88" s="136"/>
      <c r="C88" s="136"/>
      <c r="D88" s="136"/>
      <c r="E88" s="136"/>
      <c r="F88" s="136"/>
      <c r="G88" s="136"/>
      <c r="H88" s="136"/>
      <c r="I88" s="136"/>
      <c r="J88" s="136"/>
      <c r="K88" s="451"/>
      <c r="L88" s="451"/>
      <c r="M88" s="136"/>
      <c r="N88" s="136"/>
      <c r="O88" s="136"/>
      <c r="P88" s="136"/>
      <c r="Q88" s="136"/>
      <c r="R88" s="136"/>
      <c r="S88" s="136"/>
      <c r="T88" s="136"/>
      <c r="U88" s="136"/>
      <c r="V88" s="136"/>
      <c r="W88" s="136"/>
    </row>
    <row r="89">
      <c r="A89" s="136"/>
      <c r="B89" s="136"/>
      <c r="C89" s="136"/>
      <c r="D89" s="136"/>
      <c r="E89" s="136"/>
      <c r="F89" s="136"/>
      <c r="G89" s="136"/>
      <c r="H89" s="136"/>
      <c r="I89" s="136"/>
      <c r="J89" s="136"/>
      <c r="K89" s="451"/>
      <c r="L89" s="451"/>
      <c r="M89" s="136"/>
      <c r="N89" s="136"/>
      <c r="O89" s="136"/>
      <c r="P89" s="136"/>
      <c r="Q89" s="136"/>
      <c r="R89" s="136"/>
      <c r="S89" s="136"/>
      <c r="T89" s="136"/>
      <c r="U89" s="136"/>
      <c r="V89" s="136"/>
      <c r="W89" s="136"/>
    </row>
    <row r="90">
      <c r="A90" s="136"/>
      <c r="B90" s="136"/>
      <c r="C90" s="136"/>
      <c r="D90" s="136"/>
      <c r="E90" s="136"/>
      <c r="F90" s="136"/>
      <c r="G90" s="136"/>
      <c r="H90" s="136"/>
      <c r="I90" s="136"/>
      <c r="J90" s="136"/>
      <c r="K90" s="451"/>
      <c r="L90" s="451"/>
      <c r="M90" s="136"/>
      <c r="N90" s="136"/>
      <c r="O90" s="136"/>
      <c r="P90" s="136"/>
      <c r="Q90" s="136"/>
      <c r="R90" s="136"/>
      <c r="S90" s="136"/>
      <c r="T90" s="136"/>
      <c r="U90" s="136"/>
      <c r="V90" s="136"/>
      <c r="W90" s="136"/>
    </row>
    <row r="91">
      <c r="A91" s="136"/>
      <c r="B91" s="136"/>
      <c r="C91" s="136"/>
      <c r="D91" s="136"/>
      <c r="E91" s="136"/>
      <c r="F91" s="136"/>
      <c r="G91" s="136"/>
      <c r="H91" s="136"/>
      <c r="I91" s="136"/>
      <c r="J91" s="136"/>
      <c r="K91" s="451"/>
      <c r="L91" s="451"/>
      <c r="M91" s="136"/>
      <c r="N91" s="136"/>
      <c r="O91" s="136"/>
      <c r="P91" s="136"/>
      <c r="Q91" s="136"/>
      <c r="R91" s="136"/>
      <c r="S91" s="136"/>
      <c r="T91" s="136"/>
      <c r="U91" s="136"/>
      <c r="V91" s="136"/>
      <c r="W91" s="136"/>
    </row>
    <row r="92">
      <c r="A92" s="136"/>
      <c r="B92" s="136"/>
      <c r="C92" s="136"/>
      <c r="D92" s="136"/>
      <c r="E92" s="136"/>
      <c r="F92" s="136"/>
      <c r="G92" s="136"/>
      <c r="H92" s="136"/>
      <c r="I92" s="136"/>
      <c r="J92" s="136"/>
      <c r="K92" s="451"/>
      <c r="L92" s="451"/>
      <c r="M92" s="136"/>
      <c r="N92" s="136"/>
      <c r="O92" s="136"/>
      <c r="P92" s="136"/>
      <c r="Q92" s="136"/>
      <c r="R92" s="136"/>
      <c r="S92" s="136"/>
      <c r="T92" s="136"/>
      <c r="U92" s="136"/>
      <c r="V92" s="136"/>
      <c r="W92" s="136"/>
    </row>
    <row r="93">
      <c r="A93" s="136"/>
      <c r="B93" s="136"/>
      <c r="C93" s="136"/>
      <c r="D93" s="136"/>
      <c r="E93" s="136"/>
      <c r="F93" s="136"/>
      <c r="G93" s="136"/>
      <c r="H93" s="136"/>
      <c r="I93" s="136"/>
      <c r="J93" s="136"/>
      <c r="K93" s="451"/>
      <c r="L93" s="451"/>
      <c r="M93" s="136"/>
      <c r="N93" s="136"/>
      <c r="O93" s="136"/>
      <c r="P93" s="136"/>
      <c r="Q93" s="136"/>
      <c r="R93" s="136"/>
      <c r="S93" s="136"/>
      <c r="T93" s="136"/>
      <c r="U93" s="136"/>
      <c r="V93" s="136"/>
      <c r="W93" s="136"/>
    </row>
    <row r="94">
      <c r="A94" s="136"/>
      <c r="B94" s="136"/>
      <c r="C94" s="136"/>
      <c r="D94" s="136"/>
      <c r="E94" s="136"/>
      <c r="F94" s="136"/>
      <c r="G94" s="136"/>
      <c r="H94" s="136"/>
      <c r="I94" s="136"/>
      <c r="J94" s="136"/>
      <c r="K94" s="451"/>
      <c r="L94" s="451"/>
      <c r="M94" s="136"/>
      <c r="N94" s="136"/>
      <c r="O94" s="136"/>
      <c r="P94" s="136"/>
      <c r="Q94" s="136"/>
      <c r="R94" s="136"/>
      <c r="S94" s="136"/>
      <c r="T94" s="136"/>
      <c r="U94" s="136"/>
      <c r="V94" s="136"/>
      <c r="W94" s="136"/>
    </row>
    <row r="95">
      <c r="A95" s="136"/>
      <c r="B95" s="136"/>
      <c r="C95" s="136"/>
      <c r="D95" s="136"/>
      <c r="E95" s="136"/>
      <c r="F95" s="136"/>
      <c r="G95" s="136"/>
      <c r="H95" s="136"/>
      <c r="I95" s="136"/>
      <c r="J95" s="136"/>
      <c r="K95" s="451"/>
      <c r="L95" s="451"/>
      <c r="M95" s="136"/>
      <c r="N95" s="136"/>
      <c r="O95" s="136"/>
      <c r="P95" s="136"/>
      <c r="Q95" s="136"/>
      <c r="R95" s="136"/>
      <c r="S95" s="136"/>
      <c r="T95" s="136"/>
      <c r="U95" s="136"/>
      <c r="V95" s="136"/>
      <c r="W95" s="136"/>
    </row>
    <row r="96">
      <c r="A96" s="136"/>
      <c r="B96" s="136"/>
      <c r="C96" s="136"/>
      <c r="D96" s="136"/>
      <c r="E96" s="136"/>
      <c r="F96" s="136"/>
      <c r="G96" s="136"/>
      <c r="H96" s="136"/>
      <c r="I96" s="136"/>
      <c r="J96" s="136"/>
      <c r="K96" s="451"/>
      <c r="L96" s="451"/>
      <c r="M96" s="136"/>
      <c r="N96" s="136"/>
      <c r="O96" s="136"/>
      <c r="P96" s="136"/>
      <c r="Q96" s="136"/>
      <c r="R96" s="136"/>
      <c r="S96" s="136"/>
      <c r="T96" s="136"/>
      <c r="U96" s="136"/>
      <c r="V96" s="136"/>
      <c r="W96" s="136"/>
    </row>
    <row r="97">
      <c r="A97" s="136"/>
      <c r="B97" s="136"/>
      <c r="C97" s="136"/>
      <c r="D97" s="136"/>
      <c r="E97" s="136"/>
      <c r="F97" s="136"/>
      <c r="G97" s="136"/>
      <c r="H97" s="136"/>
      <c r="I97" s="136"/>
      <c r="J97" s="136"/>
      <c r="K97" s="451"/>
      <c r="L97" s="451"/>
      <c r="M97" s="136"/>
      <c r="N97" s="136"/>
      <c r="O97" s="136"/>
      <c r="P97" s="136"/>
      <c r="Q97" s="136"/>
      <c r="R97" s="136"/>
      <c r="S97" s="136"/>
      <c r="T97" s="136"/>
      <c r="U97" s="136"/>
      <c r="V97" s="136"/>
      <c r="W97" s="136"/>
    </row>
    <row r="98">
      <c r="A98" s="136"/>
      <c r="B98" s="136"/>
      <c r="C98" s="136"/>
      <c r="D98" s="136"/>
      <c r="E98" s="136"/>
      <c r="F98" s="136"/>
      <c r="G98" s="136"/>
      <c r="H98" s="136"/>
      <c r="I98" s="136"/>
      <c r="J98" s="136"/>
      <c r="K98" s="451"/>
      <c r="L98" s="451"/>
      <c r="M98" s="136"/>
      <c r="N98" s="136"/>
      <c r="O98" s="136"/>
      <c r="P98" s="136"/>
      <c r="Q98" s="136"/>
      <c r="R98" s="136"/>
      <c r="S98" s="136"/>
      <c r="T98" s="136"/>
      <c r="U98" s="136"/>
      <c r="V98" s="136"/>
      <c r="W98" s="136"/>
    </row>
    <row r="99">
      <c r="A99" s="136"/>
      <c r="B99" s="136"/>
      <c r="C99" s="136"/>
      <c r="D99" s="136"/>
      <c r="E99" s="136"/>
      <c r="F99" s="136"/>
      <c r="G99" s="136"/>
      <c r="H99" s="136"/>
      <c r="I99" s="136"/>
      <c r="J99" s="136"/>
      <c r="K99" s="451"/>
      <c r="L99" s="451"/>
      <c r="M99" s="136"/>
      <c r="N99" s="136"/>
      <c r="O99" s="136"/>
      <c r="P99" s="136"/>
      <c r="Q99" s="136"/>
      <c r="R99" s="136"/>
      <c r="S99" s="136"/>
      <c r="T99" s="136"/>
      <c r="U99" s="136"/>
      <c r="V99" s="136"/>
      <c r="W99" s="136"/>
    </row>
    <row r="100">
      <c r="A100" s="136"/>
      <c r="B100" s="136"/>
      <c r="C100" s="136"/>
      <c r="D100" s="136"/>
      <c r="E100" s="136"/>
      <c r="F100" s="136"/>
      <c r="G100" s="136"/>
      <c r="H100" s="136"/>
      <c r="I100" s="136"/>
      <c r="J100" s="136"/>
      <c r="K100" s="451"/>
      <c r="L100" s="451"/>
      <c r="M100" s="136"/>
      <c r="N100" s="136"/>
      <c r="O100" s="136"/>
      <c r="P100" s="136"/>
      <c r="Q100" s="136"/>
      <c r="R100" s="136"/>
      <c r="S100" s="136"/>
      <c r="T100" s="136"/>
      <c r="U100" s="136"/>
      <c r="V100" s="136"/>
      <c r="W100" s="136"/>
    </row>
    <row r="101">
      <c r="A101" s="136"/>
      <c r="B101" s="136"/>
      <c r="C101" s="136"/>
      <c r="D101" s="136"/>
      <c r="E101" s="136"/>
      <c r="F101" s="136"/>
      <c r="G101" s="136"/>
      <c r="H101" s="136"/>
      <c r="I101" s="136"/>
      <c r="J101" s="136"/>
      <c r="K101" s="451"/>
      <c r="L101" s="451"/>
      <c r="M101" s="136"/>
      <c r="N101" s="136"/>
      <c r="O101" s="136"/>
      <c r="P101" s="136"/>
      <c r="Q101" s="136"/>
      <c r="R101" s="136"/>
      <c r="S101" s="136"/>
      <c r="T101" s="136"/>
      <c r="U101" s="136"/>
      <c r="V101" s="136"/>
      <c r="W101" s="136"/>
    </row>
    <row r="102">
      <c r="A102" s="136"/>
      <c r="B102" s="136"/>
      <c r="C102" s="136"/>
      <c r="D102" s="136"/>
      <c r="E102" s="136"/>
      <c r="F102" s="136"/>
      <c r="G102" s="136"/>
      <c r="H102" s="136"/>
      <c r="I102" s="136"/>
      <c r="J102" s="136"/>
      <c r="K102" s="451"/>
      <c r="L102" s="451"/>
      <c r="M102" s="136"/>
      <c r="N102" s="136"/>
      <c r="O102" s="136"/>
      <c r="P102" s="136"/>
      <c r="Q102" s="136"/>
      <c r="R102" s="136"/>
      <c r="S102" s="136"/>
      <c r="T102" s="136"/>
      <c r="U102" s="136"/>
      <c r="V102" s="136"/>
      <c r="W102" s="136"/>
    </row>
    <row r="103">
      <c r="A103" s="136"/>
      <c r="B103" s="136"/>
      <c r="C103" s="136"/>
      <c r="D103" s="136"/>
      <c r="E103" s="136"/>
      <c r="F103" s="136"/>
      <c r="G103" s="136"/>
      <c r="H103" s="136"/>
      <c r="I103" s="136"/>
      <c r="J103" s="136"/>
      <c r="K103" s="451"/>
      <c r="L103" s="451"/>
      <c r="M103" s="136"/>
      <c r="N103" s="136"/>
      <c r="O103" s="136"/>
      <c r="P103" s="136"/>
      <c r="Q103" s="136"/>
      <c r="R103" s="136"/>
      <c r="S103" s="136"/>
      <c r="T103" s="136"/>
      <c r="U103" s="136"/>
      <c r="V103" s="136"/>
      <c r="W103" s="136"/>
    </row>
    <row r="104">
      <c r="A104" s="136"/>
      <c r="B104" s="136"/>
      <c r="C104" s="136"/>
      <c r="D104" s="136"/>
      <c r="E104" s="136"/>
      <c r="F104" s="136"/>
      <c r="G104" s="136"/>
      <c r="H104" s="136"/>
      <c r="I104" s="136"/>
      <c r="J104" s="136"/>
      <c r="K104" s="451"/>
      <c r="L104" s="451"/>
      <c r="M104" s="136"/>
      <c r="N104" s="136"/>
      <c r="O104" s="136"/>
      <c r="P104" s="136"/>
      <c r="Q104" s="136"/>
      <c r="R104" s="136"/>
      <c r="S104" s="136"/>
      <c r="T104" s="136"/>
      <c r="U104" s="136"/>
      <c r="V104" s="136"/>
      <c r="W104" s="136"/>
    </row>
    <row r="105">
      <c r="A105" s="136"/>
      <c r="B105" s="136"/>
      <c r="C105" s="136"/>
      <c r="D105" s="136"/>
      <c r="E105" s="136"/>
      <c r="F105" s="136"/>
      <c r="G105" s="136"/>
      <c r="H105" s="136"/>
      <c r="I105" s="136"/>
      <c r="J105" s="136"/>
      <c r="K105" s="451"/>
      <c r="L105" s="451"/>
      <c r="M105" s="136"/>
      <c r="N105" s="136"/>
      <c r="O105" s="136"/>
      <c r="P105" s="136"/>
      <c r="Q105" s="136"/>
      <c r="R105" s="136"/>
      <c r="S105" s="136"/>
      <c r="T105" s="136"/>
      <c r="U105" s="136"/>
      <c r="V105" s="136"/>
      <c r="W105" s="136"/>
    </row>
    <row r="106">
      <c r="A106" s="136"/>
      <c r="B106" s="136"/>
      <c r="C106" s="136"/>
      <c r="D106" s="136"/>
      <c r="E106" s="136"/>
      <c r="F106" s="136"/>
      <c r="G106" s="136"/>
      <c r="H106" s="136"/>
      <c r="I106" s="136"/>
      <c r="J106" s="136"/>
      <c r="K106" s="451"/>
      <c r="L106" s="451"/>
      <c r="M106" s="136"/>
      <c r="N106" s="136"/>
      <c r="O106" s="136"/>
      <c r="P106" s="136"/>
      <c r="Q106" s="136"/>
      <c r="R106" s="136"/>
      <c r="S106" s="136"/>
      <c r="T106" s="136"/>
      <c r="U106" s="136"/>
      <c r="V106" s="136"/>
      <c r="W106" s="136"/>
    </row>
    <row r="107">
      <c r="A107" s="136"/>
      <c r="B107" s="136"/>
      <c r="C107" s="136"/>
      <c r="D107" s="136"/>
      <c r="E107" s="136"/>
      <c r="F107" s="136"/>
      <c r="G107" s="136"/>
      <c r="H107" s="136"/>
      <c r="I107" s="136"/>
      <c r="J107" s="136"/>
      <c r="K107" s="451"/>
      <c r="L107" s="451"/>
      <c r="M107" s="136"/>
      <c r="N107" s="136"/>
      <c r="O107" s="136"/>
      <c r="P107" s="136"/>
      <c r="Q107" s="136"/>
      <c r="R107" s="136"/>
      <c r="S107" s="136"/>
      <c r="T107" s="136"/>
      <c r="U107" s="136"/>
      <c r="V107" s="136"/>
      <c r="W107" s="136"/>
    </row>
    <row r="108">
      <c r="A108" s="136"/>
      <c r="B108" s="136"/>
      <c r="C108" s="136"/>
      <c r="D108" s="136"/>
      <c r="E108" s="136"/>
      <c r="F108" s="136"/>
      <c r="G108" s="136"/>
      <c r="H108" s="136"/>
      <c r="I108" s="136"/>
      <c r="J108" s="136"/>
      <c r="K108" s="451"/>
      <c r="L108" s="451"/>
      <c r="M108" s="136"/>
      <c r="N108" s="136"/>
      <c r="O108" s="136"/>
      <c r="P108" s="136"/>
      <c r="Q108" s="136"/>
      <c r="R108" s="136"/>
      <c r="S108" s="136"/>
      <c r="T108" s="136"/>
      <c r="U108" s="136"/>
      <c r="V108" s="136"/>
      <c r="W108" s="136"/>
    </row>
    <row r="109">
      <c r="A109" s="136"/>
      <c r="B109" s="136"/>
      <c r="C109" s="136"/>
      <c r="D109" s="136"/>
      <c r="E109" s="136"/>
      <c r="F109" s="136"/>
      <c r="G109" s="136"/>
      <c r="H109" s="136"/>
      <c r="I109" s="136"/>
      <c r="J109" s="136"/>
      <c r="K109" s="451"/>
      <c r="L109" s="451"/>
      <c r="M109" s="136"/>
      <c r="N109" s="136"/>
      <c r="O109" s="136"/>
      <c r="P109" s="136"/>
      <c r="Q109" s="136"/>
      <c r="R109" s="136"/>
      <c r="S109" s="136"/>
      <c r="T109" s="136"/>
      <c r="U109" s="136"/>
      <c r="V109" s="136"/>
      <c r="W109" s="136"/>
    </row>
    <row r="110">
      <c r="A110" s="136"/>
      <c r="B110" s="136"/>
      <c r="C110" s="136"/>
      <c r="D110" s="136"/>
      <c r="E110" s="136"/>
      <c r="F110" s="136"/>
      <c r="G110" s="136"/>
      <c r="H110" s="136"/>
      <c r="I110" s="136"/>
      <c r="J110" s="136"/>
      <c r="K110" s="451"/>
      <c r="L110" s="451"/>
      <c r="M110" s="136"/>
      <c r="N110" s="136"/>
      <c r="O110" s="136"/>
      <c r="P110" s="136"/>
      <c r="Q110" s="136"/>
      <c r="R110" s="136"/>
      <c r="S110" s="136"/>
      <c r="T110" s="136"/>
      <c r="U110" s="136"/>
      <c r="V110" s="136"/>
      <c r="W110" s="136"/>
    </row>
    <row r="111">
      <c r="A111" s="136"/>
      <c r="B111" s="136"/>
      <c r="C111" s="136"/>
      <c r="D111" s="136"/>
      <c r="E111" s="136"/>
      <c r="F111" s="136"/>
      <c r="G111" s="136"/>
      <c r="H111" s="136"/>
      <c r="I111" s="136"/>
      <c r="J111" s="136"/>
      <c r="K111" s="451"/>
      <c r="L111" s="451"/>
      <c r="M111" s="136"/>
      <c r="N111" s="136"/>
      <c r="O111" s="136"/>
      <c r="P111" s="136"/>
      <c r="Q111" s="136"/>
      <c r="R111" s="136"/>
      <c r="S111" s="136"/>
      <c r="T111" s="136"/>
      <c r="U111" s="136"/>
      <c r="V111" s="136"/>
      <c r="W111" s="136"/>
    </row>
    <row r="112">
      <c r="A112" s="136"/>
      <c r="B112" s="136"/>
      <c r="C112" s="136"/>
      <c r="D112" s="136"/>
      <c r="E112" s="136"/>
      <c r="F112" s="136"/>
      <c r="G112" s="136"/>
      <c r="H112" s="136"/>
      <c r="I112" s="136"/>
      <c r="J112" s="136"/>
      <c r="K112" s="451"/>
      <c r="L112" s="451"/>
      <c r="M112" s="136"/>
      <c r="N112" s="136"/>
      <c r="O112" s="136"/>
      <c r="P112" s="136"/>
      <c r="Q112" s="136"/>
      <c r="R112" s="136"/>
      <c r="S112" s="136"/>
      <c r="T112" s="136"/>
      <c r="U112" s="136"/>
      <c r="V112" s="136"/>
      <c r="W112" s="136"/>
    </row>
    <row r="113">
      <c r="A113" s="136"/>
      <c r="B113" s="136"/>
      <c r="C113" s="136"/>
      <c r="D113" s="136"/>
      <c r="E113" s="136"/>
      <c r="F113" s="136"/>
      <c r="G113" s="136"/>
      <c r="H113" s="136"/>
      <c r="I113" s="136"/>
      <c r="J113" s="136"/>
      <c r="K113" s="451"/>
      <c r="L113" s="451"/>
      <c r="M113" s="136"/>
      <c r="N113" s="136"/>
      <c r="O113" s="136"/>
      <c r="P113" s="136"/>
      <c r="Q113" s="136"/>
      <c r="R113" s="136"/>
      <c r="S113" s="136"/>
      <c r="T113" s="136"/>
      <c r="U113" s="136"/>
      <c r="V113" s="136"/>
      <c r="W113" s="136"/>
    </row>
    <row r="114">
      <c r="A114" s="136"/>
      <c r="B114" s="136"/>
      <c r="C114" s="136"/>
      <c r="D114" s="136"/>
      <c r="E114" s="136"/>
      <c r="F114" s="136"/>
      <c r="G114" s="136"/>
      <c r="H114" s="136"/>
      <c r="I114" s="136"/>
      <c r="J114" s="136"/>
      <c r="K114" s="451"/>
      <c r="L114" s="451"/>
      <c r="M114" s="136"/>
      <c r="N114" s="136"/>
      <c r="O114" s="136"/>
      <c r="P114" s="136"/>
      <c r="Q114" s="136"/>
      <c r="R114" s="136"/>
      <c r="S114" s="136"/>
      <c r="T114" s="136"/>
      <c r="U114" s="136"/>
      <c r="V114" s="136"/>
      <c r="W114" s="136"/>
    </row>
    <row r="115">
      <c r="A115" s="136"/>
      <c r="B115" s="136"/>
      <c r="C115" s="136"/>
      <c r="D115" s="136"/>
      <c r="E115" s="136"/>
      <c r="F115" s="136"/>
      <c r="G115" s="136"/>
      <c r="H115" s="136"/>
      <c r="I115" s="136"/>
      <c r="J115" s="136"/>
      <c r="K115" s="451"/>
      <c r="L115" s="451"/>
      <c r="M115" s="136"/>
      <c r="N115" s="136"/>
      <c r="O115" s="136"/>
      <c r="P115" s="136"/>
      <c r="Q115" s="136"/>
      <c r="R115" s="136"/>
      <c r="S115" s="136"/>
      <c r="T115" s="136"/>
      <c r="U115" s="136"/>
      <c r="V115" s="136"/>
      <c r="W115" s="136"/>
    </row>
    <row r="116">
      <c r="A116" s="136"/>
      <c r="B116" s="136"/>
      <c r="C116" s="136"/>
      <c r="D116" s="136"/>
      <c r="E116" s="136"/>
      <c r="F116" s="136"/>
      <c r="G116" s="136"/>
      <c r="H116" s="136"/>
      <c r="I116" s="136"/>
      <c r="J116" s="136"/>
      <c r="K116" s="451"/>
      <c r="L116" s="451"/>
      <c r="M116" s="136"/>
      <c r="N116" s="136"/>
      <c r="O116" s="136"/>
      <c r="P116" s="136"/>
      <c r="Q116" s="136"/>
      <c r="R116" s="136"/>
      <c r="S116" s="136"/>
      <c r="T116" s="136"/>
      <c r="U116" s="136"/>
      <c r="V116" s="136"/>
      <c r="W116" s="136"/>
    </row>
    <row r="117">
      <c r="A117" s="136"/>
      <c r="B117" s="136"/>
      <c r="C117" s="136"/>
      <c r="D117" s="136"/>
      <c r="E117" s="136"/>
      <c r="F117" s="136"/>
      <c r="G117" s="136"/>
      <c r="H117" s="136"/>
      <c r="I117" s="136"/>
      <c r="J117" s="136"/>
      <c r="K117" s="451"/>
      <c r="L117" s="451"/>
      <c r="M117" s="136"/>
      <c r="N117" s="136"/>
      <c r="O117" s="136"/>
      <c r="P117" s="136"/>
      <c r="Q117" s="136"/>
      <c r="R117" s="136"/>
      <c r="S117" s="136"/>
      <c r="T117" s="136"/>
      <c r="U117" s="136"/>
      <c r="V117" s="136"/>
      <c r="W117" s="136"/>
    </row>
    <row r="118">
      <c r="A118" s="136"/>
      <c r="B118" s="136"/>
      <c r="C118" s="136"/>
      <c r="D118" s="136"/>
      <c r="E118" s="136"/>
      <c r="F118" s="136"/>
      <c r="G118" s="136"/>
      <c r="H118" s="136"/>
      <c r="I118" s="136"/>
      <c r="J118" s="136"/>
      <c r="K118" s="451"/>
      <c r="L118" s="451"/>
      <c r="M118" s="136"/>
      <c r="N118" s="136"/>
      <c r="O118" s="136"/>
      <c r="P118" s="136"/>
      <c r="Q118" s="136"/>
      <c r="R118" s="136"/>
      <c r="S118" s="136"/>
      <c r="T118" s="136"/>
      <c r="U118" s="136"/>
      <c r="V118" s="136"/>
      <c r="W118" s="136"/>
    </row>
    <row r="119">
      <c r="A119" s="136"/>
      <c r="B119" s="136"/>
      <c r="C119" s="136"/>
      <c r="D119" s="136"/>
      <c r="E119" s="136"/>
      <c r="F119" s="136"/>
      <c r="G119" s="136"/>
      <c r="H119" s="136"/>
      <c r="I119" s="136"/>
      <c r="J119" s="136"/>
      <c r="K119" s="451"/>
      <c r="L119" s="451"/>
      <c r="M119" s="136"/>
      <c r="N119" s="136"/>
      <c r="O119" s="136"/>
      <c r="P119" s="136"/>
      <c r="Q119" s="136"/>
      <c r="R119" s="136"/>
      <c r="S119" s="136"/>
      <c r="T119" s="136"/>
      <c r="U119" s="136"/>
      <c r="V119" s="136"/>
      <c r="W119" s="136"/>
    </row>
    <row r="120">
      <c r="A120" s="136"/>
      <c r="B120" s="136"/>
      <c r="C120" s="136"/>
      <c r="D120" s="136"/>
      <c r="E120" s="136"/>
      <c r="F120" s="136"/>
      <c r="G120" s="136"/>
      <c r="H120" s="136"/>
      <c r="I120" s="136"/>
      <c r="J120" s="136"/>
      <c r="K120" s="451"/>
      <c r="L120" s="451"/>
      <c r="M120" s="136"/>
      <c r="N120" s="136"/>
      <c r="O120" s="136"/>
      <c r="P120" s="136"/>
      <c r="Q120" s="136"/>
      <c r="R120" s="136"/>
      <c r="S120" s="136"/>
      <c r="T120" s="136"/>
      <c r="U120" s="136"/>
      <c r="V120" s="136"/>
      <c r="W120" s="136"/>
    </row>
    <row r="121">
      <c r="A121" s="136"/>
      <c r="B121" s="136"/>
      <c r="C121" s="136"/>
      <c r="D121" s="136"/>
      <c r="E121" s="136"/>
      <c r="F121" s="136"/>
      <c r="G121" s="136"/>
      <c r="H121" s="136"/>
      <c r="I121" s="136"/>
      <c r="J121" s="136"/>
      <c r="K121" s="451"/>
      <c r="L121" s="451"/>
      <c r="M121" s="136"/>
      <c r="N121" s="136"/>
      <c r="O121" s="136"/>
      <c r="P121" s="136"/>
      <c r="Q121" s="136"/>
      <c r="R121" s="136"/>
      <c r="S121" s="136"/>
      <c r="T121" s="136"/>
      <c r="U121" s="136"/>
      <c r="V121" s="136"/>
      <c r="W121" s="136"/>
    </row>
    <row r="122">
      <c r="A122" s="136"/>
      <c r="B122" s="136"/>
      <c r="C122" s="136"/>
      <c r="D122" s="136"/>
      <c r="E122" s="136"/>
      <c r="F122" s="136"/>
      <c r="G122" s="136"/>
      <c r="H122" s="136"/>
      <c r="I122" s="136"/>
      <c r="J122" s="136"/>
      <c r="K122" s="451"/>
      <c r="L122" s="451"/>
      <c r="M122" s="136"/>
      <c r="N122" s="136"/>
      <c r="O122" s="136"/>
      <c r="P122" s="136"/>
      <c r="Q122" s="136"/>
      <c r="R122" s="136"/>
      <c r="S122" s="136"/>
      <c r="T122" s="136"/>
      <c r="U122" s="136"/>
      <c r="V122" s="136"/>
      <c r="W122" s="136"/>
    </row>
    <row r="123">
      <c r="A123" s="136"/>
      <c r="B123" s="136"/>
      <c r="C123" s="136"/>
      <c r="D123" s="136"/>
      <c r="E123" s="136"/>
      <c r="F123" s="136"/>
      <c r="G123" s="136"/>
      <c r="H123" s="136"/>
      <c r="I123" s="136"/>
      <c r="J123" s="136"/>
      <c r="K123" s="451"/>
      <c r="L123" s="451"/>
      <c r="M123" s="136"/>
      <c r="N123" s="136"/>
      <c r="O123" s="136"/>
      <c r="P123" s="136"/>
      <c r="Q123" s="136"/>
      <c r="R123" s="136"/>
      <c r="S123" s="136"/>
      <c r="T123" s="136"/>
      <c r="U123" s="136"/>
      <c r="V123" s="136"/>
      <c r="W123" s="136"/>
    </row>
    <row r="124">
      <c r="A124" s="136"/>
      <c r="B124" s="136"/>
      <c r="C124" s="136"/>
      <c r="D124" s="136"/>
      <c r="E124" s="136"/>
      <c r="F124" s="136"/>
      <c r="G124" s="136"/>
      <c r="H124" s="136"/>
      <c r="I124" s="136"/>
      <c r="J124" s="136"/>
      <c r="K124" s="451"/>
      <c r="L124" s="451"/>
      <c r="M124" s="136"/>
      <c r="N124" s="136"/>
      <c r="O124" s="136"/>
      <c r="P124" s="136"/>
      <c r="Q124" s="136"/>
      <c r="R124" s="136"/>
      <c r="S124" s="136"/>
      <c r="T124" s="136"/>
      <c r="U124" s="136"/>
      <c r="V124" s="136"/>
      <c r="W124" s="136"/>
    </row>
    <row r="125">
      <c r="A125" s="136"/>
      <c r="B125" s="136"/>
      <c r="C125" s="136"/>
      <c r="D125" s="136"/>
      <c r="E125" s="136"/>
      <c r="F125" s="136"/>
      <c r="G125" s="136"/>
      <c r="H125" s="136"/>
      <c r="I125" s="136"/>
      <c r="J125" s="136"/>
      <c r="K125" s="451"/>
      <c r="L125" s="451"/>
      <c r="M125" s="136"/>
      <c r="N125" s="136"/>
      <c r="O125" s="136"/>
      <c r="P125" s="136"/>
      <c r="Q125" s="136"/>
      <c r="R125" s="136"/>
      <c r="S125" s="136"/>
      <c r="T125" s="136"/>
      <c r="U125" s="136"/>
      <c r="V125" s="136"/>
      <c r="W125" s="136"/>
    </row>
    <row r="126">
      <c r="A126" s="136"/>
      <c r="B126" s="136"/>
      <c r="C126" s="136"/>
      <c r="D126" s="136"/>
      <c r="E126" s="136"/>
      <c r="F126" s="136"/>
      <c r="G126" s="136"/>
      <c r="H126" s="136"/>
      <c r="I126" s="136"/>
      <c r="J126" s="136"/>
      <c r="K126" s="451"/>
      <c r="L126" s="451"/>
      <c r="M126" s="136"/>
      <c r="N126" s="136"/>
      <c r="O126" s="136"/>
      <c r="P126" s="136"/>
      <c r="Q126" s="136"/>
      <c r="R126" s="136"/>
      <c r="S126" s="136"/>
      <c r="T126" s="136"/>
      <c r="U126" s="136"/>
      <c r="V126" s="136"/>
      <c r="W126" s="136"/>
    </row>
    <row r="127">
      <c r="A127" s="136"/>
      <c r="B127" s="136"/>
      <c r="C127" s="136"/>
      <c r="D127" s="136"/>
      <c r="E127" s="136"/>
      <c r="F127" s="136"/>
      <c r="G127" s="136"/>
      <c r="H127" s="136"/>
      <c r="I127" s="136"/>
      <c r="J127" s="136"/>
      <c r="K127" s="451"/>
      <c r="L127" s="451"/>
      <c r="M127" s="136"/>
      <c r="N127" s="136"/>
      <c r="O127" s="136"/>
      <c r="P127" s="136"/>
      <c r="Q127" s="136"/>
      <c r="R127" s="136"/>
      <c r="S127" s="136"/>
      <c r="T127" s="136"/>
      <c r="U127" s="136"/>
      <c r="V127" s="136"/>
      <c r="W127" s="136"/>
    </row>
    <row r="128">
      <c r="A128" s="136"/>
      <c r="B128" s="136"/>
      <c r="C128" s="136"/>
      <c r="D128" s="136"/>
      <c r="E128" s="136"/>
      <c r="F128" s="136"/>
      <c r="G128" s="136"/>
      <c r="H128" s="136"/>
      <c r="I128" s="136"/>
      <c r="J128" s="136"/>
      <c r="K128" s="451"/>
      <c r="L128" s="451"/>
      <c r="M128" s="136"/>
      <c r="N128" s="136"/>
      <c r="O128" s="136"/>
      <c r="P128" s="136"/>
      <c r="Q128" s="136"/>
      <c r="R128" s="136"/>
      <c r="S128" s="136"/>
      <c r="T128" s="136"/>
      <c r="U128" s="136"/>
      <c r="V128" s="136"/>
      <c r="W128" s="136"/>
    </row>
    <row r="129">
      <c r="A129" s="136"/>
      <c r="B129" s="136"/>
      <c r="C129" s="136"/>
      <c r="D129" s="136"/>
      <c r="E129" s="136"/>
      <c r="F129" s="136"/>
      <c r="G129" s="136"/>
      <c r="H129" s="136"/>
      <c r="I129" s="136"/>
      <c r="J129" s="136"/>
      <c r="K129" s="451"/>
      <c r="L129" s="451"/>
      <c r="M129" s="136"/>
      <c r="N129" s="136"/>
      <c r="O129" s="136"/>
      <c r="P129" s="136"/>
      <c r="Q129" s="136"/>
      <c r="R129" s="136"/>
      <c r="S129" s="136"/>
      <c r="T129" s="136"/>
      <c r="U129" s="136"/>
      <c r="V129" s="136"/>
      <c r="W129" s="136"/>
    </row>
    <row r="130">
      <c r="A130" s="136"/>
      <c r="B130" s="136"/>
      <c r="C130" s="136"/>
      <c r="D130" s="136"/>
      <c r="E130" s="136"/>
      <c r="F130" s="136"/>
      <c r="G130" s="136"/>
      <c r="H130" s="136"/>
      <c r="I130" s="136"/>
      <c r="J130" s="136"/>
      <c r="K130" s="451"/>
      <c r="L130" s="451"/>
      <c r="M130" s="136"/>
      <c r="N130" s="136"/>
      <c r="O130" s="136"/>
      <c r="P130" s="136"/>
      <c r="Q130" s="136"/>
      <c r="R130" s="136"/>
      <c r="S130" s="136"/>
      <c r="T130" s="136"/>
      <c r="U130" s="136"/>
      <c r="V130" s="136"/>
      <c r="W130" s="136"/>
    </row>
    <row r="131">
      <c r="A131" s="136"/>
      <c r="B131" s="136"/>
      <c r="C131" s="136"/>
      <c r="D131" s="136"/>
      <c r="E131" s="136"/>
      <c r="F131" s="136"/>
      <c r="G131" s="136"/>
      <c r="H131" s="136"/>
      <c r="I131" s="136"/>
      <c r="J131" s="136"/>
      <c r="K131" s="451"/>
      <c r="L131" s="451"/>
      <c r="M131" s="136"/>
      <c r="N131" s="136"/>
      <c r="O131" s="136"/>
      <c r="P131" s="136"/>
      <c r="Q131" s="136"/>
      <c r="R131" s="136"/>
      <c r="S131" s="136"/>
      <c r="T131" s="136"/>
      <c r="U131" s="136"/>
      <c r="V131" s="136"/>
      <c r="W131" s="136"/>
    </row>
    <row r="132">
      <c r="A132" s="136"/>
      <c r="B132" s="136"/>
      <c r="C132" s="136"/>
      <c r="D132" s="136"/>
      <c r="E132" s="136"/>
      <c r="F132" s="136"/>
      <c r="G132" s="136"/>
      <c r="H132" s="136"/>
      <c r="I132" s="136"/>
      <c r="J132" s="136"/>
      <c r="K132" s="451"/>
      <c r="L132" s="451"/>
      <c r="M132" s="136"/>
      <c r="N132" s="136"/>
      <c r="O132" s="136"/>
      <c r="P132" s="136"/>
      <c r="Q132" s="136"/>
      <c r="R132" s="136"/>
      <c r="S132" s="136"/>
      <c r="T132" s="136"/>
      <c r="U132" s="136"/>
      <c r="V132" s="136"/>
      <c r="W132" s="136"/>
    </row>
    <row r="133">
      <c r="A133" s="136"/>
      <c r="B133" s="136"/>
      <c r="C133" s="136"/>
      <c r="D133" s="136"/>
      <c r="E133" s="136"/>
      <c r="F133" s="136"/>
      <c r="G133" s="136"/>
      <c r="H133" s="136"/>
      <c r="I133" s="136"/>
      <c r="J133" s="136"/>
      <c r="K133" s="451"/>
      <c r="L133" s="451"/>
      <c r="M133" s="136"/>
      <c r="N133" s="136"/>
      <c r="O133" s="136"/>
      <c r="P133" s="136"/>
      <c r="Q133" s="136"/>
      <c r="R133" s="136"/>
      <c r="S133" s="136"/>
      <c r="T133" s="136"/>
      <c r="U133" s="136"/>
      <c r="V133" s="136"/>
      <c r="W133" s="136"/>
    </row>
    <row r="134">
      <c r="A134" s="136"/>
      <c r="B134" s="136"/>
      <c r="C134" s="136"/>
      <c r="D134" s="136"/>
      <c r="E134" s="136"/>
      <c r="F134" s="136"/>
      <c r="G134" s="136"/>
      <c r="H134" s="136"/>
      <c r="I134" s="136"/>
      <c r="J134" s="136"/>
      <c r="K134" s="451"/>
      <c r="L134" s="451"/>
      <c r="M134" s="136"/>
      <c r="N134" s="136"/>
      <c r="O134" s="136"/>
      <c r="P134" s="136"/>
      <c r="Q134" s="136"/>
      <c r="R134" s="136"/>
      <c r="S134" s="136"/>
      <c r="T134" s="136"/>
      <c r="U134" s="136"/>
      <c r="V134" s="136"/>
      <c r="W134" s="136"/>
    </row>
    <row r="135">
      <c r="A135" s="136"/>
      <c r="B135" s="136"/>
      <c r="C135" s="136"/>
      <c r="D135" s="136"/>
      <c r="E135" s="136"/>
      <c r="F135" s="136"/>
      <c r="G135" s="136"/>
      <c r="H135" s="136"/>
      <c r="I135" s="136"/>
      <c r="J135" s="136"/>
      <c r="K135" s="451"/>
      <c r="L135" s="451"/>
      <c r="M135" s="136"/>
      <c r="N135" s="136"/>
      <c r="O135" s="136"/>
      <c r="P135" s="136"/>
      <c r="Q135" s="136"/>
      <c r="R135" s="136"/>
      <c r="S135" s="136"/>
      <c r="T135" s="136"/>
      <c r="U135" s="136"/>
      <c r="V135" s="136"/>
      <c r="W135" s="136"/>
    </row>
    <row r="136">
      <c r="A136" s="136"/>
      <c r="B136" s="136"/>
      <c r="C136" s="136"/>
      <c r="D136" s="136"/>
      <c r="E136" s="136"/>
      <c r="F136" s="136"/>
      <c r="G136" s="136"/>
      <c r="H136" s="136"/>
      <c r="I136" s="136"/>
      <c r="J136" s="136"/>
      <c r="K136" s="451"/>
      <c r="L136" s="451"/>
      <c r="M136" s="136"/>
      <c r="N136" s="136"/>
      <c r="O136" s="136"/>
      <c r="P136" s="136"/>
      <c r="Q136" s="136"/>
      <c r="R136" s="136"/>
      <c r="S136" s="136"/>
      <c r="T136" s="136"/>
      <c r="U136" s="136"/>
      <c r="V136" s="136"/>
      <c r="W136" s="136"/>
    </row>
    <row r="137">
      <c r="A137" s="136"/>
      <c r="B137" s="136"/>
      <c r="C137" s="136"/>
      <c r="D137" s="136"/>
      <c r="E137" s="136"/>
      <c r="F137" s="136"/>
      <c r="G137" s="136"/>
      <c r="H137" s="136"/>
      <c r="I137" s="136"/>
      <c r="J137" s="136"/>
      <c r="K137" s="451"/>
      <c r="L137" s="451"/>
      <c r="M137" s="136"/>
      <c r="N137" s="136"/>
      <c r="O137" s="136"/>
      <c r="P137" s="136"/>
      <c r="Q137" s="136"/>
      <c r="R137" s="136"/>
      <c r="S137" s="136"/>
      <c r="T137" s="136"/>
      <c r="U137" s="136"/>
      <c r="V137" s="136"/>
      <c r="W137" s="136"/>
    </row>
    <row r="138">
      <c r="A138" s="136"/>
      <c r="B138" s="136"/>
      <c r="C138" s="136"/>
      <c r="D138" s="136"/>
      <c r="E138" s="136"/>
      <c r="F138" s="136"/>
      <c r="G138" s="136"/>
      <c r="H138" s="136"/>
      <c r="I138" s="136"/>
      <c r="J138" s="136"/>
      <c r="K138" s="451"/>
      <c r="L138" s="451"/>
      <c r="M138" s="136"/>
      <c r="N138" s="136"/>
      <c r="O138" s="136"/>
      <c r="P138" s="136"/>
      <c r="Q138" s="136"/>
      <c r="R138" s="136"/>
      <c r="S138" s="136"/>
      <c r="T138" s="136"/>
      <c r="U138" s="136"/>
      <c r="V138" s="136"/>
      <c r="W138" s="136"/>
    </row>
    <row r="139">
      <c r="A139" s="136"/>
      <c r="B139" s="136"/>
      <c r="C139" s="136"/>
      <c r="D139" s="136"/>
      <c r="E139" s="136"/>
      <c r="F139" s="136"/>
      <c r="G139" s="136"/>
      <c r="H139" s="136"/>
      <c r="I139" s="136"/>
      <c r="J139" s="136"/>
      <c r="K139" s="451"/>
      <c r="L139" s="451"/>
      <c r="M139" s="136"/>
      <c r="N139" s="136"/>
      <c r="O139" s="136"/>
      <c r="P139" s="136"/>
      <c r="Q139" s="136"/>
      <c r="R139" s="136"/>
      <c r="S139" s="136"/>
      <c r="T139" s="136"/>
      <c r="U139" s="136"/>
      <c r="V139" s="136"/>
      <c r="W139" s="136"/>
    </row>
    <row r="140">
      <c r="A140" s="136"/>
      <c r="B140" s="136"/>
      <c r="C140" s="136"/>
      <c r="D140" s="136"/>
      <c r="E140" s="136"/>
      <c r="F140" s="136"/>
      <c r="G140" s="136"/>
      <c r="H140" s="136"/>
      <c r="I140" s="136"/>
      <c r="J140" s="136"/>
      <c r="K140" s="451"/>
      <c r="L140" s="451"/>
      <c r="M140" s="136"/>
      <c r="N140" s="136"/>
      <c r="O140" s="136"/>
      <c r="P140" s="136"/>
      <c r="Q140" s="136"/>
      <c r="R140" s="136"/>
      <c r="S140" s="136"/>
      <c r="T140" s="136"/>
      <c r="U140" s="136"/>
      <c r="V140" s="136"/>
      <c r="W140" s="136"/>
    </row>
    <row r="141">
      <c r="A141" s="136"/>
      <c r="B141" s="136"/>
      <c r="C141" s="136"/>
      <c r="D141" s="136"/>
      <c r="E141" s="136"/>
      <c r="F141" s="136"/>
      <c r="G141" s="136"/>
      <c r="H141" s="136"/>
      <c r="I141" s="136"/>
      <c r="J141" s="136"/>
      <c r="K141" s="451"/>
      <c r="L141" s="451"/>
      <c r="M141" s="136"/>
      <c r="N141" s="136"/>
      <c r="O141" s="136"/>
      <c r="P141" s="136"/>
      <c r="Q141" s="136"/>
      <c r="R141" s="136"/>
      <c r="S141" s="136"/>
      <c r="T141" s="136"/>
      <c r="U141" s="136"/>
      <c r="V141" s="136"/>
      <c r="W141" s="136"/>
    </row>
    <row r="142">
      <c r="A142" s="136"/>
      <c r="B142" s="136"/>
      <c r="C142" s="136"/>
      <c r="D142" s="136"/>
      <c r="E142" s="136"/>
      <c r="F142" s="136"/>
      <c r="G142" s="136"/>
      <c r="H142" s="136"/>
      <c r="I142" s="136"/>
      <c r="J142" s="136"/>
      <c r="K142" s="451"/>
      <c r="L142" s="451"/>
      <c r="M142" s="136"/>
      <c r="N142" s="136"/>
      <c r="O142" s="136"/>
      <c r="P142" s="136"/>
      <c r="Q142" s="136"/>
      <c r="R142" s="136"/>
      <c r="S142" s="136"/>
      <c r="T142" s="136"/>
      <c r="U142" s="136"/>
      <c r="V142" s="136"/>
      <c r="W142" s="136"/>
    </row>
    <row r="143">
      <c r="A143" s="136"/>
      <c r="B143" s="136"/>
      <c r="C143" s="136"/>
      <c r="D143" s="136"/>
      <c r="E143" s="136"/>
      <c r="F143" s="136"/>
      <c r="G143" s="136"/>
      <c r="H143" s="136"/>
      <c r="I143" s="136"/>
      <c r="J143" s="136"/>
      <c r="K143" s="451"/>
      <c r="L143" s="451"/>
      <c r="M143" s="136"/>
      <c r="N143" s="136"/>
      <c r="O143" s="136"/>
      <c r="P143" s="136"/>
      <c r="Q143" s="136"/>
      <c r="R143" s="136"/>
      <c r="S143" s="136"/>
      <c r="T143" s="136"/>
      <c r="U143" s="136"/>
      <c r="V143" s="136"/>
      <c r="W143" s="136"/>
    </row>
    <row r="144">
      <c r="A144" s="136"/>
      <c r="B144" s="136"/>
      <c r="C144" s="136"/>
      <c r="D144" s="136"/>
      <c r="E144" s="136"/>
      <c r="F144" s="136"/>
      <c r="G144" s="136"/>
      <c r="H144" s="136"/>
      <c r="I144" s="136"/>
      <c r="J144" s="136"/>
      <c r="K144" s="451"/>
      <c r="L144" s="451"/>
      <c r="M144" s="136"/>
      <c r="N144" s="136"/>
      <c r="O144" s="136"/>
      <c r="P144" s="136"/>
      <c r="Q144" s="136"/>
      <c r="R144" s="136"/>
      <c r="S144" s="136"/>
      <c r="T144" s="136"/>
      <c r="U144" s="136"/>
      <c r="V144" s="136"/>
      <c r="W144" s="136"/>
    </row>
    <row r="145">
      <c r="A145" s="136"/>
      <c r="B145" s="136"/>
      <c r="C145" s="136"/>
      <c r="D145" s="136"/>
      <c r="E145" s="136"/>
      <c r="F145" s="136"/>
      <c r="G145" s="136"/>
      <c r="H145" s="136"/>
      <c r="I145" s="136"/>
      <c r="J145" s="136"/>
      <c r="K145" s="451"/>
      <c r="L145" s="451"/>
      <c r="M145" s="136"/>
      <c r="N145" s="136"/>
      <c r="O145" s="136"/>
      <c r="P145" s="136"/>
      <c r="Q145" s="136"/>
      <c r="R145" s="136"/>
      <c r="S145" s="136"/>
      <c r="T145" s="136"/>
      <c r="U145" s="136"/>
      <c r="V145" s="136"/>
      <c r="W145" s="136"/>
    </row>
    <row r="146">
      <c r="A146" s="136"/>
      <c r="B146" s="136"/>
      <c r="C146" s="136"/>
      <c r="D146" s="136"/>
      <c r="E146" s="136"/>
      <c r="F146" s="136"/>
      <c r="G146" s="136"/>
      <c r="H146" s="136"/>
      <c r="I146" s="136"/>
      <c r="J146" s="136"/>
      <c r="K146" s="451"/>
      <c r="L146" s="451"/>
      <c r="M146" s="136"/>
      <c r="N146" s="136"/>
      <c r="O146" s="136"/>
      <c r="P146" s="136"/>
      <c r="Q146" s="136"/>
      <c r="R146" s="136"/>
      <c r="S146" s="136"/>
      <c r="T146" s="136"/>
      <c r="U146" s="136"/>
      <c r="V146" s="136"/>
      <c r="W146" s="136"/>
    </row>
    <row r="147">
      <c r="A147" s="136"/>
      <c r="B147" s="136"/>
      <c r="C147" s="136"/>
      <c r="D147" s="136"/>
      <c r="E147" s="136"/>
      <c r="F147" s="136"/>
      <c r="G147" s="136"/>
      <c r="H147" s="136"/>
      <c r="I147" s="136"/>
      <c r="J147" s="136"/>
      <c r="K147" s="451"/>
      <c r="L147" s="451"/>
      <c r="M147" s="136"/>
      <c r="N147" s="136"/>
      <c r="O147" s="136"/>
      <c r="P147" s="136"/>
      <c r="Q147" s="136"/>
      <c r="R147" s="136"/>
      <c r="S147" s="136"/>
      <c r="T147" s="136"/>
      <c r="U147" s="136"/>
      <c r="V147" s="136"/>
      <c r="W147" s="136"/>
    </row>
    <row r="148">
      <c r="A148" s="136"/>
      <c r="B148" s="136"/>
      <c r="C148" s="136"/>
      <c r="D148" s="136"/>
      <c r="E148" s="136"/>
      <c r="F148" s="136"/>
      <c r="G148" s="136"/>
      <c r="H148" s="136"/>
      <c r="I148" s="136"/>
      <c r="J148" s="136"/>
      <c r="K148" s="451"/>
      <c r="L148" s="451"/>
      <c r="M148" s="136"/>
      <c r="N148" s="136"/>
      <c r="O148" s="136"/>
      <c r="P148" s="136"/>
      <c r="Q148" s="136"/>
      <c r="R148" s="136"/>
      <c r="S148" s="136"/>
      <c r="T148" s="136"/>
      <c r="U148" s="136"/>
      <c r="V148" s="136"/>
      <c r="W148" s="136"/>
    </row>
    <row r="149">
      <c r="A149" s="136"/>
      <c r="B149" s="136"/>
      <c r="C149" s="136"/>
      <c r="D149" s="136"/>
      <c r="E149" s="136"/>
      <c r="F149" s="136"/>
      <c r="G149" s="136"/>
      <c r="H149" s="136"/>
      <c r="I149" s="136"/>
      <c r="J149" s="136"/>
      <c r="K149" s="451"/>
      <c r="L149" s="451"/>
      <c r="M149" s="136"/>
      <c r="N149" s="136"/>
      <c r="O149" s="136"/>
      <c r="P149" s="136"/>
      <c r="Q149" s="136"/>
      <c r="R149" s="136"/>
      <c r="S149" s="136"/>
      <c r="T149" s="136"/>
      <c r="U149" s="136"/>
      <c r="V149" s="136"/>
      <c r="W149" s="136"/>
    </row>
    <row r="150">
      <c r="A150" s="136"/>
      <c r="B150" s="136"/>
      <c r="C150" s="136"/>
      <c r="D150" s="136"/>
      <c r="E150" s="136"/>
      <c r="F150" s="136"/>
      <c r="G150" s="136"/>
      <c r="H150" s="136"/>
      <c r="I150" s="136"/>
      <c r="J150" s="136"/>
      <c r="K150" s="451"/>
      <c r="L150" s="451"/>
      <c r="M150" s="136"/>
      <c r="N150" s="136"/>
      <c r="O150" s="136"/>
      <c r="P150" s="136"/>
      <c r="Q150" s="136"/>
      <c r="R150" s="136"/>
      <c r="S150" s="136"/>
      <c r="T150" s="136"/>
      <c r="U150" s="136"/>
      <c r="V150" s="136"/>
      <c r="W150" s="136"/>
    </row>
    <row r="151">
      <c r="A151" s="136"/>
      <c r="B151" s="136"/>
      <c r="C151" s="136"/>
      <c r="D151" s="136"/>
      <c r="E151" s="136"/>
      <c r="F151" s="136"/>
      <c r="G151" s="136"/>
      <c r="H151" s="136"/>
      <c r="I151" s="136"/>
      <c r="J151" s="136"/>
      <c r="K151" s="451"/>
      <c r="L151" s="451"/>
      <c r="M151" s="136"/>
      <c r="N151" s="136"/>
      <c r="O151" s="136"/>
      <c r="P151" s="136"/>
      <c r="Q151" s="136"/>
      <c r="R151" s="136"/>
      <c r="S151" s="136"/>
      <c r="T151" s="136"/>
      <c r="U151" s="136"/>
      <c r="V151" s="136"/>
      <c r="W151" s="136"/>
    </row>
    <row r="152">
      <c r="A152" s="136"/>
      <c r="B152" s="136"/>
      <c r="C152" s="136"/>
      <c r="D152" s="136"/>
      <c r="E152" s="136"/>
      <c r="F152" s="136"/>
      <c r="G152" s="136"/>
      <c r="H152" s="136"/>
      <c r="I152" s="136"/>
      <c r="J152" s="136"/>
      <c r="K152" s="451"/>
      <c r="L152" s="451"/>
      <c r="M152" s="136"/>
      <c r="N152" s="136"/>
      <c r="O152" s="136"/>
      <c r="P152" s="136"/>
      <c r="Q152" s="136"/>
      <c r="R152" s="136"/>
      <c r="S152" s="136"/>
      <c r="T152" s="136"/>
      <c r="U152" s="136"/>
      <c r="V152" s="136"/>
      <c r="W152" s="136"/>
    </row>
    <row r="153">
      <c r="A153" s="136"/>
      <c r="B153" s="136"/>
      <c r="C153" s="136"/>
      <c r="D153" s="136"/>
      <c r="E153" s="136"/>
      <c r="F153" s="136"/>
      <c r="G153" s="136"/>
      <c r="H153" s="136"/>
      <c r="I153" s="136"/>
      <c r="J153" s="136"/>
      <c r="K153" s="451"/>
      <c r="L153" s="451"/>
      <c r="M153" s="136"/>
      <c r="N153" s="136"/>
      <c r="O153" s="136"/>
      <c r="P153" s="136"/>
      <c r="Q153" s="136"/>
      <c r="R153" s="136"/>
      <c r="S153" s="136"/>
      <c r="T153" s="136"/>
      <c r="U153" s="136"/>
      <c r="V153" s="136"/>
      <c r="W153" s="136"/>
    </row>
    <row r="154">
      <c r="A154" s="136"/>
      <c r="B154" s="136"/>
      <c r="C154" s="136"/>
      <c r="D154" s="136"/>
      <c r="E154" s="136"/>
      <c r="F154" s="136"/>
      <c r="G154" s="136"/>
      <c r="H154" s="136"/>
      <c r="I154" s="136"/>
      <c r="J154" s="136"/>
      <c r="K154" s="451"/>
      <c r="L154" s="451"/>
      <c r="M154" s="136"/>
      <c r="N154" s="136"/>
      <c r="O154" s="136"/>
      <c r="P154" s="136"/>
      <c r="Q154" s="136"/>
      <c r="R154" s="136"/>
      <c r="S154" s="136"/>
      <c r="T154" s="136"/>
      <c r="U154" s="136"/>
      <c r="V154" s="136"/>
      <c r="W154" s="136"/>
    </row>
    <row r="155">
      <c r="A155" s="136"/>
      <c r="B155" s="136"/>
      <c r="C155" s="136"/>
      <c r="D155" s="136"/>
      <c r="E155" s="136"/>
      <c r="F155" s="136"/>
      <c r="G155" s="136"/>
      <c r="H155" s="136"/>
      <c r="I155" s="136"/>
      <c r="J155" s="136"/>
      <c r="K155" s="451"/>
      <c r="L155" s="451"/>
      <c r="M155" s="136"/>
      <c r="N155" s="136"/>
      <c r="O155" s="136"/>
      <c r="P155" s="136"/>
      <c r="Q155" s="136"/>
      <c r="R155" s="136"/>
      <c r="S155" s="136"/>
      <c r="T155" s="136"/>
      <c r="U155" s="136"/>
      <c r="V155" s="136"/>
      <c r="W155" s="136"/>
    </row>
    <row r="156">
      <c r="A156" s="136"/>
      <c r="B156" s="136"/>
      <c r="C156" s="136"/>
      <c r="D156" s="136"/>
      <c r="E156" s="136"/>
      <c r="F156" s="136"/>
      <c r="G156" s="136"/>
      <c r="H156" s="136"/>
      <c r="I156" s="136"/>
      <c r="J156" s="136"/>
      <c r="K156" s="451"/>
      <c r="L156" s="451"/>
      <c r="M156" s="136"/>
      <c r="N156" s="136"/>
      <c r="O156" s="136"/>
      <c r="P156" s="136"/>
      <c r="Q156" s="136"/>
      <c r="R156" s="136"/>
      <c r="S156" s="136"/>
      <c r="T156" s="136"/>
      <c r="U156" s="136"/>
      <c r="V156" s="136"/>
      <c r="W156" s="136"/>
    </row>
    <row r="157">
      <c r="A157" s="136"/>
      <c r="B157" s="136"/>
      <c r="C157" s="136"/>
      <c r="D157" s="136"/>
      <c r="E157" s="136"/>
      <c r="F157" s="136"/>
      <c r="G157" s="136"/>
      <c r="H157" s="136"/>
      <c r="I157" s="136"/>
      <c r="J157" s="136"/>
      <c r="K157" s="451"/>
      <c r="L157" s="451"/>
      <c r="M157" s="136"/>
      <c r="N157" s="136"/>
      <c r="O157" s="136"/>
      <c r="P157" s="136"/>
      <c r="Q157" s="136"/>
      <c r="R157" s="136"/>
      <c r="S157" s="136"/>
      <c r="T157" s="136"/>
      <c r="U157" s="136"/>
      <c r="V157" s="136"/>
      <c r="W157" s="136"/>
    </row>
    <row r="158">
      <c r="A158" s="136"/>
      <c r="B158" s="136"/>
      <c r="C158" s="136"/>
      <c r="D158" s="136"/>
      <c r="E158" s="136"/>
      <c r="F158" s="136"/>
      <c r="G158" s="136"/>
      <c r="H158" s="136"/>
      <c r="I158" s="136"/>
      <c r="J158" s="136"/>
      <c r="K158" s="451"/>
      <c r="L158" s="451"/>
      <c r="M158" s="136"/>
      <c r="N158" s="136"/>
      <c r="O158" s="136"/>
      <c r="P158" s="136"/>
      <c r="Q158" s="136"/>
      <c r="R158" s="136"/>
      <c r="S158" s="136"/>
      <c r="T158" s="136"/>
      <c r="U158" s="136"/>
      <c r="V158" s="136"/>
      <c r="W158" s="136"/>
    </row>
    <row r="159">
      <c r="A159" s="136"/>
      <c r="B159" s="136"/>
      <c r="C159" s="136"/>
      <c r="D159" s="136"/>
      <c r="E159" s="136"/>
      <c r="F159" s="136"/>
      <c r="G159" s="136"/>
      <c r="H159" s="136"/>
      <c r="I159" s="136"/>
      <c r="J159" s="136"/>
      <c r="K159" s="451"/>
      <c r="L159" s="451"/>
      <c r="M159" s="136"/>
      <c r="N159" s="136"/>
      <c r="O159" s="136"/>
      <c r="P159" s="136"/>
      <c r="Q159" s="136"/>
      <c r="R159" s="136"/>
      <c r="S159" s="136"/>
      <c r="T159" s="136"/>
      <c r="U159" s="136"/>
      <c r="V159" s="136"/>
      <c r="W159" s="136"/>
    </row>
    <row r="160">
      <c r="A160" s="136"/>
      <c r="B160" s="136"/>
      <c r="C160" s="136"/>
      <c r="D160" s="136"/>
      <c r="E160" s="136"/>
      <c r="F160" s="136"/>
      <c r="G160" s="136"/>
      <c r="H160" s="136"/>
      <c r="I160" s="136"/>
      <c r="J160" s="136"/>
      <c r="K160" s="451"/>
      <c r="L160" s="451"/>
      <c r="M160" s="136"/>
      <c r="N160" s="136"/>
      <c r="O160" s="136"/>
      <c r="P160" s="136"/>
      <c r="Q160" s="136"/>
      <c r="R160" s="136"/>
      <c r="S160" s="136"/>
      <c r="T160" s="136"/>
      <c r="U160" s="136"/>
      <c r="V160" s="136"/>
      <c r="W160" s="136"/>
    </row>
    <row r="161">
      <c r="A161" s="136"/>
      <c r="B161" s="136"/>
      <c r="C161" s="136"/>
      <c r="D161" s="136"/>
      <c r="E161" s="136"/>
      <c r="F161" s="136"/>
      <c r="G161" s="136"/>
      <c r="H161" s="136"/>
      <c r="I161" s="136"/>
      <c r="J161" s="136"/>
      <c r="K161" s="451"/>
      <c r="L161" s="451"/>
      <c r="M161" s="136"/>
      <c r="N161" s="136"/>
      <c r="O161" s="136"/>
      <c r="P161" s="136"/>
      <c r="Q161" s="136"/>
      <c r="R161" s="136"/>
      <c r="S161" s="136"/>
      <c r="T161" s="136"/>
      <c r="U161" s="136"/>
      <c r="V161" s="136"/>
      <c r="W161" s="136"/>
    </row>
    <row r="162">
      <c r="A162" s="136"/>
      <c r="B162" s="136"/>
      <c r="C162" s="136"/>
      <c r="D162" s="136"/>
      <c r="E162" s="136"/>
      <c r="F162" s="136"/>
      <c r="G162" s="136"/>
      <c r="H162" s="136"/>
      <c r="I162" s="136"/>
      <c r="J162" s="136"/>
      <c r="K162" s="451"/>
      <c r="L162" s="451"/>
      <c r="M162" s="136"/>
      <c r="N162" s="136"/>
      <c r="O162" s="136"/>
      <c r="P162" s="136"/>
      <c r="Q162" s="136"/>
      <c r="R162" s="136"/>
      <c r="S162" s="136"/>
      <c r="T162" s="136"/>
      <c r="U162" s="136"/>
      <c r="V162" s="136"/>
      <c r="W162" s="136"/>
    </row>
    <row r="163">
      <c r="A163" s="136"/>
      <c r="B163" s="136"/>
      <c r="C163" s="136"/>
      <c r="D163" s="136"/>
      <c r="E163" s="136"/>
      <c r="F163" s="136"/>
      <c r="G163" s="136"/>
      <c r="H163" s="136"/>
      <c r="I163" s="136"/>
      <c r="J163" s="136"/>
      <c r="K163" s="451"/>
      <c r="L163" s="451"/>
      <c r="M163" s="136"/>
      <c r="N163" s="136"/>
      <c r="O163" s="136"/>
      <c r="P163" s="136"/>
      <c r="Q163" s="136"/>
      <c r="R163" s="136"/>
      <c r="S163" s="136"/>
      <c r="T163" s="136"/>
      <c r="U163" s="136"/>
      <c r="V163" s="136"/>
      <c r="W163" s="136"/>
    </row>
    <row r="164">
      <c r="A164" s="136"/>
      <c r="B164" s="136"/>
      <c r="C164" s="136"/>
      <c r="D164" s="136"/>
      <c r="E164" s="136"/>
      <c r="F164" s="136"/>
      <c r="G164" s="136"/>
      <c r="H164" s="136"/>
      <c r="I164" s="136"/>
      <c r="J164" s="136"/>
      <c r="K164" s="451"/>
      <c r="L164" s="451"/>
      <c r="M164" s="136"/>
      <c r="N164" s="136"/>
      <c r="O164" s="136"/>
      <c r="P164" s="136"/>
      <c r="Q164" s="136"/>
      <c r="R164" s="136"/>
      <c r="S164" s="136"/>
      <c r="T164" s="136"/>
      <c r="U164" s="136"/>
      <c r="V164" s="136"/>
      <c r="W164" s="136"/>
    </row>
    <row r="165">
      <c r="A165" s="136"/>
      <c r="B165" s="136"/>
      <c r="C165" s="136"/>
      <c r="D165" s="136"/>
      <c r="E165" s="136"/>
      <c r="F165" s="136"/>
      <c r="G165" s="136"/>
      <c r="H165" s="136"/>
      <c r="I165" s="136"/>
      <c r="J165" s="136"/>
      <c r="K165" s="451"/>
      <c r="L165" s="451"/>
      <c r="M165" s="136"/>
      <c r="N165" s="136"/>
      <c r="O165" s="136"/>
      <c r="P165" s="136"/>
      <c r="Q165" s="136"/>
      <c r="R165" s="136"/>
      <c r="S165" s="136"/>
      <c r="T165" s="136"/>
      <c r="U165" s="136"/>
      <c r="V165" s="136"/>
      <c r="W165" s="136"/>
    </row>
    <row r="166">
      <c r="A166" s="136"/>
      <c r="B166" s="136"/>
      <c r="C166" s="136"/>
      <c r="D166" s="136"/>
      <c r="E166" s="136"/>
      <c r="F166" s="136"/>
      <c r="G166" s="136"/>
      <c r="H166" s="136"/>
      <c r="I166" s="136"/>
      <c r="J166" s="136"/>
      <c r="K166" s="451"/>
      <c r="L166" s="451"/>
      <c r="M166" s="136"/>
      <c r="N166" s="136"/>
      <c r="O166" s="136"/>
      <c r="P166" s="136"/>
      <c r="Q166" s="136"/>
      <c r="R166" s="136"/>
      <c r="S166" s="136"/>
      <c r="T166" s="136"/>
      <c r="U166" s="136"/>
      <c r="V166" s="136"/>
      <c r="W166" s="136"/>
    </row>
    <row r="167">
      <c r="A167" s="136"/>
      <c r="B167" s="136"/>
      <c r="C167" s="136"/>
      <c r="D167" s="136"/>
      <c r="E167" s="136"/>
      <c r="F167" s="136"/>
      <c r="G167" s="136"/>
      <c r="H167" s="136"/>
      <c r="I167" s="136"/>
      <c r="J167" s="136"/>
      <c r="K167" s="451"/>
      <c r="L167" s="451"/>
      <c r="M167" s="136"/>
      <c r="N167" s="136"/>
      <c r="O167" s="136"/>
      <c r="P167" s="136"/>
      <c r="Q167" s="136"/>
      <c r="R167" s="136"/>
      <c r="S167" s="136"/>
      <c r="T167" s="136"/>
      <c r="U167" s="136"/>
      <c r="V167" s="136"/>
      <c r="W167" s="136"/>
    </row>
    <row r="168">
      <c r="A168" s="136"/>
      <c r="B168" s="136"/>
      <c r="C168" s="136"/>
      <c r="D168" s="136"/>
      <c r="E168" s="136"/>
      <c r="F168" s="136"/>
      <c r="G168" s="136"/>
      <c r="H168" s="136"/>
      <c r="I168" s="136"/>
      <c r="J168" s="136"/>
      <c r="K168" s="451"/>
      <c r="L168" s="451"/>
      <c r="M168" s="136"/>
      <c r="N168" s="136"/>
      <c r="O168" s="136"/>
      <c r="P168" s="136"/>
      <c r="Q168" s="136"/>
      <c r="R168" s="136"/>
      <c r="S168" s="136"/>
      <c r="T168" s="136"/>
      <c r="U168" s="136"/>
      <c r="V168" s="136"/>
      <c r="W168" s="136"/>
    </row>
    <row r="169">
      <c r="A169" s="136"/>
      <c r="B169" s="136"/>
      <c r="C169" s="136"/>
      <c r="D169" s="136"/>
      <c r="E169" s="136"/>
      <c r="F169" s="136"/>
      <c r="G169" s="136"/>
      <c r="H169" s="136"/>
      <c r="I169" s="136"/>
      <c r="J169" s="136"/>
      <c r="K169" s="451"/>
      <c r="L169" s="451"/>
      <c r="M169" s="136"/>
      <c r="N169" s="136"/>
      <c r="O169" s="136"/>
      <c r="P169" s="136"/>
      <c r="Q169" s="136"/>
      <c r="R169" s="136"/>
      <c r="S169" s="136"/>
      <c r="T169" s="136"/>
      <c r="U169" s="136"/>
      <c r="V169" s="136"/>
      <c r="W169" s="136"/>
    </row>
    <row r="170">
      <c r="A170" s="136"/>
      <c r="B170" s="136"/>
      <c r="C170" s="136"/>
      <c r="D170" s="136"/>
      <c r="E170" s="136"/>
      <c r="F170" s="136"/>
      <c r="G170" s="136"/>
      <c r="H170" s="136"/>
      <c r="I170" s="136"/>
      <c r="J170" s="136"/>
      <c r="K170" s="451"/>
      <c r="L170" s="451"/>
      <c r="M170" s="136"/>
      <c r="N170" s="136"/>
      <c r="O170" s="136"/>
      <c r="P170" s="136"/>
      <c r="Q170" s="136"/>
      <c r="R170" s="136"/>
      <c r="S170" s="136"/>
      <c r="T170" s="136"/>
      <c r="U170" s="136"/>
      <c r="V170" s="136"/>
      <c r="W170" s="136"/>
    </row>
    <row r="171">
      <c r="A171" s="136"/>
      <c r="B171" s="136"/>
      <c r="C171" s="136"/>
      <c r="D171" s="136"/>
      <c r="E171" s="136"/>
      <c r="F171" s="136"/>
      <c r="G171" s="136"/>
      <c r="H171" s="136"/>
      <c r="I171" s="136"/>
      <c r="J171" s="136"/>
      <c r="K171" s="451"/>
      <c r="L171" s="451"/>
      <c r="M171" s="136"/>
      <c r="N171" s="136"/>
      <c r="O171" s="136"/>
      <c r="P171" s="136"/>
      <c r="Q171" s="136"/>
      <c r="R171" s="136"/>
      <c r="S171" s="136"/>
      <c r="T171" s="136"/>
      <c r="U171" s="136"/>
      <c r="V171" s="136"/>
      <c r="W171" s="136"/>
    </row>
    <row r="172">
      <c r="A172" s="136"/>
      <c r="B172" s="136"/>
      <c r="C172" s="136"/>
      <c r="D172" s="136"/>
      <c r="E172" s="136"/>
      <c r="F172" s="136"/>
      <c r="G172" s="136"/>
      <c r="H172" s="136"/>
      <c r="I172" s="136"/>
      <c r="J172" s="136"/>
      <c r="K172" s="451"/>
      <c r="L172" s="451"/>
      <c r="M172" s="136"/>
      <c r="N172" s="136"/>
      <c r="O172" s="136"/>
      <c r="P172" s="136"/>
      <c r="Q172" s="136"/>
      <c r="R172" s="136"/>
      <c r="S172" s="136"/>
      <c r="T172" s="136"/>
      <c r="U172" s="136"/>
      <c r="V172" s="136"/>
      <c r="W172" s="136"/>
    </row>
    <row r="173">
      <c r="A173" s="136"/>
      <c r="B173" s="136"/>
      <c r="C173" s="136"/>
      <c r="D173" s="136"/>
      <c r="E173" s="136"/>
      <c r="F173" s="136"/>
      <c r="G173" s="136"/>
      <c r="H173" s="136"/>
      <c r="I173" s="136"/>
      <c r="J173" s="136"/>
      <c r="K173" s="451"/>
      <c r="L173" s="451"/>
      <c r="M173" s="136"/>
      <c r="N173" s="136"/>
      <c r="O173" s="136"/>
      <c r="P173" s="136"/>
      <c r="Q173" s="136"/>
      <c r="R173" s="136"/>
      <c r="S173" s="136"/>
      <c r="T173" s="136"/>
      <c r="U173" s="136"/>
      <c r="V173" s="136"/>
      <c r="W173" s="136"/>
    </row>
    <row r="174">
      <c r="A174" s="136"/>
      <c r="B174" s="136"/>
      <c r="C174" s="136"/>
      <c r="D174" s="136"/>
      <c r="E174" s="136"/>
      <c r="F174" s="136"/>
      <c r="G174" s="136"/>
      <c r="H174" s="136"/>
      <c r="I174" s="136"/>
      <c r="J174" s="136"/>
      <c r="K174" s="451"/>
      <c r="L174" s="451"/>
      <c r="M174" s="136"/>
      <c r="N174" s="136"/>
      <c r="O174" s="136"/>
      <c r="P174" s="136"/>
      <c r="Q174" s="136"/>
      <c r="R174" s="136"/>
      <c r="S174" s="136"/>
      <c r="T174" s="136"/>
      <c r="U174" s="136"/>
      <c r="V174" s="136"/>
      <c r="W174" s="136"/>
    </row>
    <row r="175">
      <c r="A175" s="136"/>
      <c r="B175" s="136"/>
      <c r="C175" s="136"/>
      <c r="D175" s="136"/>
      <c r="E175" s="136"/>
      <c r="F175" s="136"/>
      <c r="G175" s="136"/>
      <c r="H175" s="136"/>
      <c r="I175" s="136"/>
      <c r="J175" s="136"/>
      <c r="K175" s="451"/>
      <c r="L175" s="451"/>
      <c r="M175" s="136"/>
      <c r="N175" s="136"/>
      <c r="O175" s="136"/>
      <c r="P175" s="136"/>
      <c r="Q175" s="136"/>
      <c r="R175" s="136"/>
      <c r="S175" s="136"/>
      <c r="T175" s="136"/>
      <c r="U175" s="136"/>
      <c r="V175" s="136"/>
      <c r="W175" s="136"/>
    </row>
    <row r="176">
      <c r="A176" s="136"/>
      <c r="B176" s="136"/>
      <c r="C176" s="136"/>
      <c r="D176" s="136"/>
      <c r="E176" s="136"/>
      <c r="F176" s="136"/>
      <c r="G176" s="136"/>
      <c r="H176" s="136"/>
      <c r="I176" s="136"/>
      <c r="J176" s="136"/>
      <c r="K176" s="451"/>
      <c r="L176" s="451"/>
      <c r="M176" s="136"/>
      <c r="N176" s="136"/>
      <c r="O176" s="136"/>
      <c r="P176" s="136"/>
      <c r="Q176" s="136"/>
      <c r="R176" s="136"/>
      <c r="S176" s="136"/>
      <c r="T176" s="136"/>
      <c r="U176" s="136"/>
      <c r="V176" s="136"/>
      <c r="W176" s="136"/>
    </row>
    <row r="177">
      <c r="A177" s="136"/>
      <c r="B177" s="136"/>
      <c r="C177" s="136"/>
      <c r="D177" s="136"/>
      <c r="E177" s="136"/>
      <c r="F177" s="136"/>
      <c r="G177" s="136"/>
      <c r="H177" s="136"/>
      <c r="I177" s="136"/>
      <c r="J177" s="136"/>
      <c r="K177" s="451"/>
      <c r="L177" s="451"/>
      <c r="M177" s="136"/>
      <c r="N177" s="136"/>
      <c r="O177" s="136"/>
      <c r="P177" s="136"/>
      <c r="Q177" s="136"/>
      <c r="R177" s="136"/>
      <c r="S177" s="136"/>
      <c r="T177" s="136"/>
      <c r="U177" s="136"/>
      <c r="V177" s="136"/>
      <c r="W177" s="136"/>
    </row>
    <row r="178">
      <c r="A178" s="136"/>
      <c r="B178" s="136"/>
      <c r="C178" s="136"/>
      <c r="D178" s="136"/>
      <c r="E178" s="136"/>
      <c r="F178" s="136"/>
      <c r="G178" s="136"/>
      <c r="H178" s="136"/>
      <c r="I178" s="136"/>
      <c r="J178" s="136"/>
      <c r="K178" s="451"/>
      <c r="L178" s="451"/>
      <c r="M178" s="136"/>
      <c r="N178" s="136"/>
      <c r="O178" s="136"/>
      <c r="P178" s="136"/>
      <c r="Q178" s="136"/>
      <c r="R178" s="136"/>
      <c r="S178" s="136"/>
      <c r="T178" s="136"/>
      <c r="U178" s="136"/>
      <c r="V178" s="136"/>
      <c r="W178" s="136"/>
    </row>
    <row r="179">
      <c r="A179" s="136"/>
      <c r="B179" s="136"/>
      <c r="C179" s="136"/>
      <c r="D179" s="136"/>
      <c r="E179" s="136"/>
      <c r="F179" s="136"/>
      <c r="G179" s="136"/>
      <c r="H179" s="136"/>
      <c r="I179" s="136"/>
      <c r="J179" s="136"/>
      <c r="K179" s="451"/>
      <c r="L179" s="451"/>
      <c r="M179" s="136"/>
      <c r="N179" s="136"/>
      <c r="O179" s="136"/>
      <c r="P179" s="136"/>
      <c r="Q179" s="136"/>
      <c r="R179" s="136"/>
      <c r="S179" s="136"/>
      <c r="T179" s="136"/>
      <c r="U179" s="136"/>
      <c r="V179" s="136"/>
      <c r="W179" s="136"/>
    </row>
    <row r="180">
      <c r="A180" s="136"/>
      <c r="B180" s="136"/>
      <c r="C180" s="136"/>
      <c r="D180" s="136"/>
      <c r="E180" s="136"/>
      <c r="F180" s="136"/>
      <c r="G180" s="136"/>
      <c r="H180" s="136"/>
      <c r="I180" s="136"/>
      <c r="J180" s="136"/>
      <c r="K180" s="451"/>
      <c r="L180" s="451"/>
      <c r="M180" s="136"/>
      <c r="N180" s="136"/>
      <c r="O180" s="136"/>
      <c r="P180" s="136"/>
      <c r="Q180" s="136"/>
      <c r="R180" s="136"/>
      <c r="S180" s="136"/>
      <c r="T180" s="136"/>
      <c r="U180" s="136"/>
      <c r="V180" s="136"/>
      <c r="W180" s="136"/>
    </row>
    <row r="181">
      <c r="A181" s="136"/>
      <c r="B181" s="136"/>
      <c r="C181" s="136"/>
      <c r="D181" s="136"/>
      <c r="E181" s="136"/>
      <c r="F181" s="136"/>
      <c r="G181" s="136"/>
      <c r="H181" s="136"/>
      <c r="I181" s="136"/>
      <c r="J181" s="136"/>
      <c r="K181" s="451"/>
      <c r="L181" s="451"/>
      <c r="M181" s="136"/>
      <c r="N181" s="136"/>
      <c r="O181" s="136"/>
      <c r="P181" s="136"/>
      <c r="Q181" s="136"/>
      <c r="R181" s="136"/>
      <c r="S181" s="136"/>
      <c r="T181" s="136"/>
      <c r="U181" s="136"/>
      <c r="V181" s="136"/>
      <c r="W181" s="136"/>
    </row>
    <row r="182">
      <c r="A182" s="136"/>
      <c r="B182" s="136"/>
      <c r="C182" s="136"/>
      <c r="D182" s="136"/>
      <c r="E182" s="136"/>
      <c r="F182" s="136"/>
      <c r="G182" s="136"/>
      <c r="H182" s="136"/>
      <c r="I182" s="136"/>
      <c r="J182" s="136"/>
      <c r="K182" s="451"/>
      <c r="L182" s="451"/>
      <c r="M182" s="136"/>
      <c r="N182" s="136"/>
      <c r="O182" s="136"/>
      <c r="P182" s="136"/>
      <c r="Q182" s="136"/>
      <c r="R182" s="136"/>
      <c r="S182" s="136"/>
      <c r="T182" s="136"/>
      <c r="U182" s="136"/>
      <c r="V182" s="136"/>
      <c r="W182" s="136"/>
    </row>
    <row r="183">
      <c r="A183" s="136"/>
      <c r="B183" s="136"/>
      <c r="C183" s="136"/>
      <c r="D183" s="136"/>
      <c r="E183" s="136"/>
      <c r="F183" s="136"/>
      <c r="G183" s="136"/>
      <c r="H183" s="136"/>
      <c r="I183" s="136"/>
      <c r="J183" s="136"/>
      <c r="K183" s="451"/>
      <c r="L183" s="451"/>
      <c r="M183" s="136"/>
      <c r="N183" s="136"/>
      <c r="O183" s="136"/>
      <c r="P183" s="136"/>
      <c r="Q183" s="136"/>
      <c r="R183" s="136"/>
      <c r="S183" s="136"/>
      <c r="T183" s="136"/>
      <c r="U183" s="136"/>
      <c r="V183" s="136"/>
      <c r="W183" s="136"/>
    </row>
    <row r="184">
      <c r="A184" s="136"/>
      <c r="B184" s="136"/>
      <c r="C184" s="136"/>
      <c r="D184" s="136"/>
      <c r="E184" s="136"/>
      <c r="F184" s="136"/>
      <c r="G184" s="136"/>
      <c r="H184" s="136"/>
      <c r="I184" s="136"/>
      <c r="J184" s="136"/>
      <c r="K184" s="451"/>
      <c r="L184" s="451"/>
      <c r="M184" s="136"/>
      <c r="N184" s="136"/>
      <c r="O184" s="136"/>
      <c r="P184" s="136"/>
      <c r="Q184" s="136"/>
      <c r="R184" s="136"/>
      <c r="S184" s="136"/>
      <c r="T184" s="136"/>
      <c r="U184" s="136"/>
      <c r="V184" s="136"/>
      <c r="W184" s="136"/>
    </row>
    <row r="185">
      <c r="A185" s="136"/>
      <c r="B185" s="136"/>
      <c r="C185" s="136"/>
      <c r="D185" s="136"/>
      <c r="E185" s="136"/>
      <c r="F185" s="136"/>
      <c r="G185" s="136"/>
      <c r="H185" s="136"/>
      <c r="I185" s="136"/>
      <c r="J185" s="136"/>
      <c r="K185" s="451"/>
      <c r="L185" s="451"/>
      <c r="M185" s="136"/>
      <c r="N185" s="136"/>
      <c r="O185" s="136"/>
      <c r="P185" s="136"/>
      <c r="Q185" s="136"/>
      <c r="R185" s="136"/>
      <c r="S185" s="136"/>
      <c r="T185" s="136"/>
      <c r="U185" s="136"/>
      <c r="V185" s="136"/>
      <c r="W185" s="136"/>
    </row>
    <row r="186">
      <c r="A186" s="136"/>
      <c r="B186" s="136"/>
      <c r="C186" s="136"/>
      <c r="D186" s="136"/>
      <c r="E186" s="136"/>
      <c r="F186" s="136"/>
      <c r="G186" s="136"/>
      <c r="H186" s="136"/>
      <c r="I186" s="136"/>
      <c r="J186" s="136"/>
      <c r="K186" s="451"/>
      <c r="L186" s="451"/>
      <c r="M186" s="136"/>
      <c r="N186" s="136"/>
      <c r="O186" s="136"/>
      <c r="P186" s="136"/>
      <c r="Q186" s="136"/>
      <c r="R186" s="136"/>
      <c r="S186" s="136"/>
      <c r="T186" s="136"/>
      <c r="U186" s="136"/>
      <c r="V186" s="136"/>
      <c r="W186" s="136"/>
    </row>
    <row r="187">
      <c r="A187" s="136"/>
      <c r="B187" s="136"/>
      <c r="C187" s="136"/>
      <c r="D187" s="136"/>
      <c r="E187" s="136"/>
      <c r="F187" s="136"/>
      <c r="G187" s="136"/>
      <c r="H187" s="136"/>
      <c r="I187" s="136"/>
      <c r="J187" s="136"/>
      <c r="K187" s="451"/>
      <c r="L187" s="451"/>
      <c r="M187" s="136"/>
      <c r="N187" s="136"/>
      <c r="O187" s="136"/>
      <c r="P187" s="136"/>
      <c r="Q187" s="136"/>
      <c r="R187" s="136"/>
      <c r="S187" s="136"/>
      <c r="T187" s="136"/>
      <c r="U187" s="136"/>
      <c r="V187" s="136"/>
      <c r="W187" s="136"/>
    </row>
    <row r="188">
      <c r="A188" s="136"/>
      <c r="B188" s="136"/>
      <c r="C188" s="136"/>
      <c r="D188" s="136"/>
      <c r="E188" s="136"/>
      <c r="F188" s="136"/>
      <c r="G188" s="136"/>
      <c r="H188" s="136"/>
      <c r="I188" s="136"/>
      <c r="J188" s="136"/>
      <c r="K188" s="451"/>
      <c r="L188" s="451"/>
      <c r="M188" s="136"/>
      <c r="N188" s="136"/>
      <c r="O188" s="136"/>
      <c r="P188" s="136"/>
      <c r="Q188" s="136"/>
      <c r="R188" s="136"/>
      <c r="S188" s="136"/>
      <c r="T188" s="136"/>
      <c r="U188" s="136"/>
      <c r="V188" s="136"/>
      <c r="W188" s="136"/>
    </row>
    <row r="189">
      <c r="A189" s="136"/>
      <c r="B189" s="136"/>
      <c r="C189" s="136"/>
      <c r="D189" s="136"/>
      <c r="E189" s="136"/>
      <c r="F189" s="136"/>
      <c r="G189" s="136"/>
      <c r="H189" s="136"/>
      <c r="I189" s="136"/>
      <c r="J189" s="136"/>
      <c r="K189" s="451"/>
      <c r="L189" s="451"/>
      <c r="M189" s="136"/>
      <c r="N189" s="136"/>
      <c r="O189" s="136"/>
      <c r="P189" s="136"/>
      <c r="Q189" s="136"/>
      <c r="R189" s="136"/>
      <c r="S189" s="136"/>
      <c r="T189" s="136"/>
      <c r="U189" s="136"/>
      <c r="V189" s="136"/>
      <c r="W189" s="136"/>
    </row>
    <row r="190">
      <c r="A190" s="136"/>
      <c r="B190" s="136"/>
      <c r="C190" s="136"/>
      <c r="D190" s="136"/>
      <c r="E190" s="136"/>
      <c r="F190" s="136"/>
      <c r="G190" s="136"/>
      <c r="H190" s="136"/>
      <c r="I190" s="136"/>
      <c r="J190" s="136"/>
      <c r="K190" s="451"/>
      <c r="L190" s="451"/>
      <c r="M190" s="136"/>
      <c r="N190" s="136"/>
      <c r="O190" s="136"/>
      <c r="P190" s="136"/>
      <c r="Q190" s="136"/>
      <c r="R190" s="136"/>
      <c r="S190" s="136"/>
      <c r="T190" s="136"/>
      <c r="U190" s="136"/>
      <c r="V190" s="136"/>
      <c r="W190" s="136"/>
    </row>
    <row r="191">
      <c r="A191" s="136"/>
      <c r="B191" s="136"/>
      <c r="C191" s="136"/>
      <c r="D191" s="136"/>
      <c r="E191" s="136"/>
      <c r="F191" s="136"/>
      <c r="G191" s="136"/>
      <c r="H191" s="136"/>
      <c r="I191" s="136"/>
      <c r="J191" s="136"/>
      <c r="K191" s="451"/>
      <c r="L191" s="451"/>
      <c r="M191" s="136"/>
      <c r="N191" s="136"/>
      <c r="O191" s="136"/>
      <c r="P191" s="136"/>
      <c r="Q191" s="136"/>
      <c r="R191" s="136"/>
      <c r="S191" s="136"/>
      <c r="T191" s="136"/>
      <c r="U191" s="136"/>
      <c r="V191" s="136"/>
      <c r="W191" s="136"/>
    </row>
    <row r="192">
      <c r="A192" s="136"/>
      <c r="B192" s="136"/>
      <c r="C192" s="136"/>
      <c r="D192" s="136"/>
      <c r="E192" s="136"/>
      <c r="F192" s="136"/>
      <c r="G192" s="136"/>
      <c r="H192" s="136"/>
      <c r="I192" s="136"/>
      <c r="J192" s="136"/>
      <c r="K192" s="451"/>
      <c r="L192" s="451"/>
      <c r="M192" s="136"/>
      <c r="N192" s="136"/>
      <c r="O192" s="136"/>
      <c r="P192" s="136"/>
      <c r="Q192" s="136"/>
      <c r="R192" s="136"/>
      <c r="S192" s="136"/>
      <c r="T192" s="136"/>
      <c r="U192" s="136"/>
      <c r="V192" s="136"/>
      <c r="W192" s="136"/>
    </row>
    <row r="193">
      <c r="A193" s="136"/>
      <c r="B193" s="136"/>
      <c r="C193" s="136"/>
      <c r="D193" s="136"/>
      <c r="E193" s="136"/>
      <c r="F193" s="136"/>
      <c r="G193" s="136"/>
      <c r="H193" s="136"/>
      <c r="I193" s="136"/>
      <c r="J193" s="136"/>
      <c r="K193" s="451"/>
      <c r="L193" s="451"/>
      <c r="M193" s="136"/>
      <c r="N193" s="136"/>
      <c r="O193" s="136"/>
      <c r="P193" s="136"/>
      <c r="Q193" s="136"/>
      <c r="R193" s="136"/>
      <c r="S193" s="136"/>
      <c r="T193" s="136"/>
      <c r="U193" s="136"/>
      <c r="V193" s="136"/>
      <c r="W193" s="136"/>
    </row>
    <row r="194">
      <c r="A194" s="136"/>
      <c r="B194" s="136"/>
      <c r="C194" s="136"/>
      <c r="D194" s="136"/>
      <c r="E194" s="136"/>
      <c r="F194" s="136"/>
      <c r="G194" s="136"/>
      <c r="H194" s="136"/>
      <c r="I194" s="136"/>
      <c r="J194" s="136"/>
      <c r="K194" s="451"/>
      <c r="L194" s="451"/>
      <c r="M194" s="136"/>
      <c r="N194" s="136"/>
      <c r="O194" s="136"/>
      <c r="P194" s="136"/>
      <c r="Q194" s="136"/>
      <c r="R194" s="136"/>
      <c r="S194" s="136"/>
      <c r="T194" s="136"/>
      <c r="U194" s="136"/>
      <c r="V194" s="136"/>
      <c r="W194" s="136"/>
    </row>
    <row r="195">
      <c r="A195" s="136"/>
      <c r="B195" s="136"/>
      <c r="C195" s="136"/>
      <c r="D195" s="136"/>
      <c r="E195" s="136"/>
      <c r="F195" s="136"/>
      <c r="G195" s="136"/>
      <c r="H195" s="136"/>
      <c r="I195" s="136"/>
      <c r="J195" s="136"/>
      <c r="K195" s="451"/>
      <c r="L195" s="451"/>
      <c r="M195" s="136"/>
      <c r="N195" s="136"/>
      <c r="O195" s="136"/>
      <c r="P195" s="136"/>
      <c r="Q195" s="136"/>
      <c r="R195" s="136"/>
      <c r="S195" s="136"/>
      <c r="T195" s="136"/>
      <c r="U195" s="136"/>
      <c r="V195" s="136"/>
      <c r="W195" s="136"/>
    </row>
    <row r="196">
      <c r="A196" s="136"/>
      <c r="B196" s="136"/>
      <c r="C196" s="136"/>
      <c r="D196" s="136"/>
      <c r="E196" s="136"/>
      <c r="F196" s="136"/>
      <c r="G196" s="136"/>
      <c r="H196" s="136"/>
      <c r="I196" s="136"/>
      <c r="J196" s="136"/>
      <c r="K196" s="451"/>
      <c r="L196" s="451"/>
      <c r="M196" s="136"/>
      <c r="N196" s="136"/>
      <c r="O196" s="136"/>
      <c r="P196" s="136"/>
      <c r="Q196" s="136"/>
      <c r="R196" s="136"/>
      <c r="S196" s="136"/>
      <c r="T196" s="136"/>
      <c r="U196" s="136"/>
      <c r="V196" s="136"/>
      <c r="W196" s="136"/>
    </row>
    <row r="197">
      <c r="A197" s="136"/>
      <c r="B197" s="136"/>
      <c r="C197" s="136"/>
      <c r="D197" s="136"/>
      <c r="E197" s="136"/>
      <c r="F197" s="136"/>
      <c r="G197" s="136"/>
      <c r="H197" s="136"/>
      <c r="I197" s="136"/>
      <c r="J197" s="136"/>
      <c r="K197" s="451"/>
      <c r="L197" s="451"/>
      <c r="M197" s="136"/>
      <c r="N197" s="136"/>
      <c r="O197" s="136"/>
      <c r="P197" s="136"/>
      <c r="Q197" s="136"/>
      <c r="R197" s="136"/>
      <c r="S197" s="136"/>
      <c r="T197" s="136"/>
      <c r="U197" s="136"/>
      <c r="V197" s="136"/>
      <c r="W197" s="136"/>
    </row>
    <row r="198">
      <c r="A198" s="136"/>
      <c r="B198" s="136"/>
      <c r="C198" s="136"/>
      <c r="D198" s="136"/>
      <c r="E198" s="136"/>
      <c r="F198" s="136"/>
      <c r="G198" s="136"/>
      <c r="H198" s="136"/>
      <c r="I198" s="136"/>
      <c r="J198" s="136"/>
      <c r="K198" s="451"/>
      <c r="L198" s="451"/>
      <c r="M198" s="136"/>
      <c r="N198" s="136"/>
      <c r="O198" s="136"/>
      <c r="P198" s="136"/>
      <c r="Q198" s="136"/>
      <c r="R198" s="136"/>
      <c r="S198" s="136"/>
      <c r="T198" s="136"/>
      <c r="U198" s="136"/>
      <c r="V198" s="136"/>
      <c r="W198" s="136"/>
    </row>
    <row r="199">
      <c r="A199" s="136"/>
      <c r="B199" s="136"/>
      <c r="C199" s="136"/>
      <c r="D199" s="136"/>
      <c r="E199" s="136"/>
      <c r="F199" s="136"/>
      <c r="G199" s="136"/>
      <c r="H199" s="136"/>
      <c r="I199" s="136"/>
      <c r="J199" s="136"/>
      <c r="K199" s="451"/>
      <c r="L199" s="451"/>
      <c r="M199" s="136"/>
      <c r="N199" s="136"/>
      <c r="O199" s="136"/>
      <c r="P199" s="136"/>
      <c r="Q199" s="136"/>
      <c r="R199" s="136"/>
      <c r="S199" s="136"/>
      <c r="T199" s="136"/>
      <c r="U199" s="136"/>
      <c r="V199" s="136"/>
      <c r="W199" s="136"/>
    </row>
    <row r="200">
      <c r="A200" s="136"/>
      <c r="B200" s="136"/>
      <c r="C200" s="136"/>
      <c r="D200" s="136"/>
      <c r="E200" s="136"/>
      <c r="F200" s="136"/>
      <c r="G200" s="136"/>
      <c r="H200" s="136"/>
      <c r="I200" s="136"/>
      <c r="J200" s="136"/>
      <c r="K200" s="451"/>
      <c r="L200" s="451"/>
      <c r="M200" s="136"/>
      <c r="N200" s="136"/>
      <c r="O200" s="136"/>
      <c r="P200" s="136"/>
      <c r="Q200" s="136"/>
      <c r="R200" s="136"/>
      <c r="S200" s="136"/>
      <c r="T200" s="136"/>
      <c r="U200" s="136"/>
      <c r="V200" s="136"/>
      <c r="W200" s="136"/>
    </row>
    <row r="201">
      <c r="A201" s="136"/>
      <c r="B201" s="136"/>
      <c r="C201" s="136"/>
      <c r="D201" s="136"/>
      <c r="E201" s="136"/>
      <c r="F201" s="136"/>
      <c r="G201" s="136"/>
      <c r="H201" s="136"/>
      <c r="I201" s="136"/>
      <c r="J201" s="136"/>
      <c r="K201" s="451"/>
      <c r="L201" s="451"/>
      <c r="M201" s="136"/>
      <c r="N201" s="136"/>
      <c r="O201" s="136"/>
      <c r="P201" s="136"/>
      <c r="Q201" s="136"/>
      <c r="R201" s="136"/>
      <c r="S201" s="136"/>
      <c r="T201" s="136"/>
      <c r="U201" s="136"/>
      <c r="V201" s="136"/>
      <c r="W201" s="136"/>
    </row>
    <row r="202">
      <c r="A202" s="136"/>
      <c r="B202" s="136"/>
      <c r="C202" s="136"/>
      <c r="D202" s="136"/>
      <c r="E202" s="136"/>
      <c r="F202" s="136"/>
      <c r="G202" s="136"/>
      <c r="H202" s="136"/>
      <c r="I202" s="136"/>
      <c r="J202" s="136"/>
      <c r="K202" s="451"/>
      <c r="L202" s="451"/>
      <c r="M202" s="136"/>
      <c r="N202" s="136"/>
      <c r="O202" s="136"/>
      <c r="P202" s="136"/>
      <c r="Q202" s="136"/>
      <c r="R202" s="136"/>
      <c r="S202" s="136"/>
      <c r="T202" s="136"/>
      <c r="U202" s="136"/>
      <c r="V202" s="136"/>
      <c r="W202" s="136"/>
    </row>
    <row r="203">
      <c r="A203" s="136"/>
      <c r="B203" s="136"/>
      <c r="C203" s="136"/>
      <c r="D203" s="136"/>
      <c r="E203" s="136"/>
      <c r="F203" s="136"/>
      <c r="G203" s="136"/>
      <c r="H203" s="136"/>
      <c r="I203" s="136"/>
      <c r="J203" s="136"/>
      <c r="K203" s="451"/>
      <c r="L203" s="451"/>
      <c r="M203" s="136"/>
      <c r="N203" s="136"/>
      <c r="O203" s="136"/>
      <c r="P203" s="136"/>
      <c r="Q203" s="136"/>
      <c r="R203" s="136"/>
      <c r="S203" s="136"/>
      <c r="T203" s="136"/>
      <c r="U203" s="136"/>
      <c r="V203" s="136"/>
      <c r="W203" s="136"/>
    </row>
    <row r="204">
      <c r="A204" s="136"/>
      <c r="B204" s="136"/>
      <c r="C204" s="136"/>
      <c r="D204" s="136"/>
      <c r="E204" s="136"/>
      <c r="F204" s="136"/>
      <c r="G204" s="136"/>
      <c r="H204" s="136"/>
      <c r="I204" s="136"/>
      <c r="J204" s="136"/>
      <c r="K204" s="451"/>
      <c r="L204" s="451"/>
      <c r="M204" s="136"/>
      <c r="N204" s="136"/>
      <c r="O204" s="136"/>
      <c r="P204" s="136"/>
      <c r="Q204" s="136"/>
      <c r="R204" s="136"/>
      <c r="S204" s="136"/>
      <c r="T204" s="136"/>
      <c r="U204" s="136"/>
      <c r="V204" s="136"/>
      <c r="W204" s="136"/>
    </row>
    <row r="205">
      <c r="A205" s="136"/>
      <c r="B205" s="136"/>
      <c r="C205" s="136"/>
      <c r="D205" s="136"/>
      <c r="E205" s="136"/>
      <c r="F205" s="136"/>
      <c r="G205" s="136"/>
      <c r="H205" s="136"/>
      <c r="I205" s="136"/>
      <c r="J205" s="136"/>
      <c r="K205" s="451"/>
      <c r="L205" s="451"/>
      <c r="M205" s="136"/>
      <c r="N205" s="136"/>
      <c r="O205" s="136"/>
      <c r="P205" s="136"/>
      <c r="Q205" s="136"/>
      <c r="R205" s="136"/>
      <c r="S205" s="136"/>
      <c r="T205" s="136"/>
      <c r="U205" s="136"/>
      <c r="V205" s="136"/>
      <c r="W205" s="136"/>
    </row>
    <row r="206">
      <c r="A206" s="136"/>
      <c r="B206" s="136"/>
      <c r="C206" s="136"/>
      <c r="D206" s="136"/>
      <c r="E206" s="136"/>
      <c r="F206" s="136"/>
      <c r="G206" s="136"/>
      <c r="H206" s="136"/>
      <c r="I206" s="136"/>
      <c r="J206" s="136"/>
      <c r="K206" s="451"/>
      <c r="L206" s="451"/>
      <c r="M206" s="136"/>
      <c r="N206" s="136"/>
      <c r="O206" s="136"/>
      <c r="P206" s="136"/>
      <c r="Q206" s="136"/>
      <c r="R206" s="136"/>
      <c r="S206" s="136"/>
      <c r="T206" s="136"/>
      <c r="U206" s="136"/>
      <c r="V206" s="136"/>
      <c r="W206" s="136"/>
    </row>
    <row r="207">
      <c r="A207" s="136"/>
      <c r="B207" s="136"/>
      <c r="C207" s="136"/>
      <c r="D207" s="136"/>
      <c r="E207" s="136"/>
      <c r="F207" s="136"/>
      <c r="G207" s="136"/>
      <c r="H207" s="136"/>
      <c r="I207" s="136"/>
      <c r="J207" s="136"/>
      <c r="K207" s="451"/>
      <c r="L207" s="451"/>
      <c r="M207" s="136"/>
      <c r="N207" s="136"/>
      <c r="O207" s="136"/>
      <c r="P207" s="136"/>
      <c r="Q207" s="136"/>
      <c r="R207" s="136"/>
      <c r="S207" s="136"/>
      <c r="T207" s="136"/>
      <c r="U207" s="136"/>
      <c r="V207" s="136"/>
      <c r="W207" s="136"/>
    </row>
    <row r="208">
      <c r="A208" s="136"/>
      <c r="B208" s="136"/>
      <c r="C208" s="136"/>
      <c r="D208" s="136"/>
      <c r="E208" s="136"/>
      <c r="F208" s="136"/>
      <c r="G208" s="136"/>
      <c r="H208" s="136"/>
      <c r="I208" s="136"/>
      <c r="J208" s="136"/>
      <c r="K208" s="451"/>
      <c r="L208" s="451"/>
      <c r="M208" s="136"/>
      <c r="N208" s="136"/>
      <c r="O208" s="136"/>
      <c r="P208" s="136"/>
      <c r="Q208" s="136"/>
      <c r="R208" s="136"/>
      <c r="S208" s="136"/>
      <c r="T208" s="136"/>
      <c r="U208" s="136"/>
      <c r="V208" s="136"/>
      <c r="W208" s="136"/>
    </row>
    <row r="209">
      <c r="A209" s="136"/>
      <c r="B209" s="136"/>
      <c r="C209" s="136"/>
      <c r="D209" s="136"/>
      <c r="E209" s="136"/>
      <c r="F209" s="136"/>
      <c r="G209" s="136"/>
      <c r="H209" s="136"/>
      <c r="I209" s="136"/>
      <c r="J209" s="136"/>
      <c r="K209" s="451"/>
      <c r="L209" s="451"/>
      <c r="M209" s="136"/>
      <c r="N209" s="136"/>
      <c r="O209" s="136"/>
      <c r="P209" s="136"/>
      <c r="Q209" s="136"/>
      <c r="R209" s="136"/>
      <c r="S209" s="136"/>
      <c r="T209" s="136"/>
      <c r="U209" s="136"/>
      <c r="V209" s="136"/>
      <c r="W209" s="136"/>
    </row>
    <row r="210">
      <c r="A210" s="136"/>
      <c r="B210" s="136"/>
      <c r="C210" s="136"/>
      <c r="D210" s="136"/>
      <c r="E210" s="136"/>
      <c r="F210" s="136"/>
      <c r="G210" s="136"/>
      <c r="H210" s="136"/>
      <c r="I210" s="136"/>
      <c r="J210" s="136"/>
      <c r="K210" s="451"/>
      <c r="L210" s="451"/>
      <c r="M210" s="136"/>
      <c r="N210" s="136"/>
      <c r="O210" s="136"/>
      <c r="P210" s="136"/>
      <c r="Q210" s="136"/>
      <c r="R210" s="136"/>
      <c r="S210" s="136"/>
      <c r="T210" s="136"/>
      <c r="U210" s="136"/>
      <c r="V210" s="136"/>
      <c r="W210" s="136"/>
    </row>
    <row r="211">
      <c r="A211" s="136"/>
      <c r="B211" s="136"/>
      <c r="C211" s="136"/>
      <c r="D211" s="136"/>
      <c r="E211" s="136"/>
      <c r="F211" s="136"/>
      <c r="G211" s="136"/>
      <c r="H211" s="136"/>
      <c r="I211" s="136"/>
      <c r="J211" s="136"/>
      <c r="K211" s="451"/>
      <c r="L211" s="451"/>
      <c r="M211" s="136"/>
      <c r="N211" s="136"/>
      <c r="O211" s="136"/>
      <c r="P211" s="136"/>
      <c r="Q211" s="136"/>
      <c r="R211" s="136"/>
      <c r="S211" s="136"/>
      <c r="T211" s="136"/>
      <c r="U211" s="136"/>
      <c r="V211" s="136"/>
      <c r="W211" s="136"/>
    </row>
    <row r="212">
      <c r="A212" s="136"/>
      <c r="B212" s="136"/>
      <c r="C212" s="136"/>
      <c r="D212" s="136"/>
      <c r="E212" s="136"/>
      <c r="F212" s="136"/>
      <c r="G212" s="136"/>
      <c r="H212" s="136"/>
      <c r="I212" s="136"/>
      <c r="J212" s="136"/>
      <c r="K212" s="451"/>
      <c r="L212" s="451"/>
      <c r="M212" s="136"/>
      <c r="N212" s="136"/>
      <c r="O212" s="136"/>
      <c r="P212" s="136"/>
      <c r="Q212" s="136"/>
      <c r="R212" s="136"/>
      <c r="S212" s="136"/>
      <c r="T212" s="136"/>
      <c r="U212" s="136"/>
      <c r="V212" s="136"/>
      <c r="W212" s="136"/>
    </row>
    <row r="213">
      <c r="A213" s="136"/>
      <c r="B213" s="136"/>
      <c r="C213" s="136"/>
      <c r="D213" s="136"/>
      <c r="E213" s="136"/>
      <c r="F213" s="136"/>
      <c r="G213" s="136"/>
      <c r="H213" s="136"/>
      <c r="I213" s="136"/>
      <c r="J213" s="136"/>
      <c r="K213" s="451"/>
      <c r="L213" s="451"/>
      <c r="M213" s="136"/>
      <c r="N213" s="136"/>
      <c r="O213" s="136"/>
      <c r="P213" s="136"/>
      <c r="Q213" s="136"/>
      <c r="R213" s="136"/>
      <c r="S213" s="136"/>
      <c r="T213" s="136"/>
      <c r="U213" s="136"/>
      <c r="V213" s="136"/>
      <c r="W213" s="136"/>
    </row>
    <row r="214">
      <c r="A214" s="136"/>
      <c r="B214" s="136"/>
      <c r="C214" s="136"/>
      <c r="D214" s="136"/>
      <c r="E214" s="136"/>
      <c r="F214" s="136"/>
      <c r="G214" s="136"/>
      <c r="H214" s="136"/>
      <c r="I214" s="136"/>
      <c r="J214" s="136"/>
      <c r="K214" s="451"/>
      <c r="L214" s="451"/>
      <c r="M214" s="136"/>
      <c r="N214" s="136"/>
      <c r="O214" s="136"/>
      <c r="P214" s="136"/>
      <c r="Q214" s="136"/>
      <c r="R214" s="136"/>
      <c r="S214" s="136"/>
      <c r="T214" s="136"/>
      <c r="U214" s="136"/>
      <c r="V214" s="136"/>
      <c r="W214" s="136"/>
    </row>
    <row r="215">
      <c r="A215" s="136"/>
      <c r="B215" s="136"/>
      <c r="C215" s="136"/>
      <c r="D215" s="136"/>
      <c r="E215" s="136"/>
      <c r="F215" s="136"/>
      <c r="G215" s="136"/>
      <c r="H215" s="136"/>
      <c r="I215" s="136"/>
      <c r="J215" s="136"/>
      <c r="K215" s="451"/>
      <c r="L215" s="451"/>
      <c r="M215" s="136"/>
      <c r="N215" s="136"/>
      <c r="O215" s="136"/>
      <c r="P215" s="136"/>
      <c r="Q215" s="136"/>
      <c r="R215" s="136"/>
      <c r="S215" s="136"/>
      <c r="T215" s="136"/>
      <c r="U215" s="136"/>
      <c r="V215" s="136"/>
      <c r="W215" s="136"/>
    </row>
    <row r="216">
      <c r="A216" s="136"/>
      <c r="B216" s="136"/>
      <c r="C216" s="136"/>
      <c r="D216" s="136"/>
      <c r="E216" s="136"/>
      <c r="F216" s="136"/>
      <c r="G216" s="136"/>
      <c r="H216" s="136"/>
      <c r="I216" s="136"/>
      <c r="J216" s="136"/>
      <c r="K216" s="451"/>
      <c r="L216" s="451"/>
      <c r="M216" s="136"/>
      <c r="N216" s="136"/>
      <c r="O216" s="136"/>
      <c r="P216" s="136"/>
      <c r="Q216" s="136"/>
      <c r="R216" s="136"/>
      <c r="S216" s="136"/>
      <c r="T216" s="136"/>
      <c r="U216" s="136"/>
      <c r="V216" s="136"/>
      <c r="W216" s="136"/>
    </row>
    <row r="217">
      <c r="A217" s="136"/>
      <c r="B217" s="136"/>
      <c r="C217" s="136"/>
      <c r="D217" s="136"/>
      <c r="E217" s="136"/>
      <c r="F217" s="136"/>
      <c r="G217" s="136"/>
      <c r="H217" s="136"/>
      <c r="I217" s="136"/>
      <c r="J217" s="136"/>
      <c r="K217" s="451"/>
      <c r="L217" s="451"/>
      <c r="M217" s="136"/>
      <c r="N217" s="136"/>
      <c r="O217" s="136"/>
      <c r="P217" s="136"/>
      <c r="Q217" s="136"/>
      <c r="R217" s="136"/>
      <c r="S217" s="136"/>
      <c r="T217" s="136"/>
      <c r="U217" s="136"/>
      <c r="V217" s="136"/>
      <c r="W217" s="136"/>
    </row>
    <row r="218">
      <c r="A218" s="136"/>
      <c r="B218" s="136"/>
      <c r="C218" s="136"/>
      <c r="D218" s="136"/>
      <c r="E218" s="136"/>
      <c r="F218" s="136"/>
      <c r="G218" s="136"/>
      <c r="H218" s="136"/>
      <c r="I218" s="136"/>
      <c r="J218" s="136"/>
      <c r="K218" s="451"/>
      <c r="L218" s="451"/>
      <c r="M218" s="136"/>
      <c r="N218" s="136"/>
      <c r="O218" s="136"/>
      <c r="P218" s="136"/>
      <c r="Q218" s="136"/>
      <c r="R218" s="136"/>
      <c r="S218" s="136"/>
      <c r="T218" s="136"/>
      <c r="U218" s="136"/>
      <c r="V218" s="136"/>
      <c r="W218" s="136"/>
    </row>
    <row r="219">
      <c r="A219" s="136"/>
      <c r="B219" s="136"/>
      <c r="C219" s="136"/>
      <c r="D219" s="136"/>
      <c r="E219" s="136"/>
      <c r="F219" s="136"/>
      <c r="G219" s="136"/>
      <c r="H219" s="136"/>
      <c r="I219" s="136"/>
      <c r="J219" s="136"/>
      <c r="K219" s="451"/>
      <c r="L219" s="451"/>
      <c r="M219" s="136"/>
      <c r="N219" s="136"/>
      <c r="O219" s="136"/>
      <c r="P219" s="136"/>
      <c r="Q219" s="136"/>
      <c r="R219" s="136"/>
      <c r="S219" s="136"/>
      <c r="T219" s="136"/>
      <c r="U219" s="136"/>
      <c r="V219" s="136"/>
      <c r="W219" s="136"/>
    </row>
    <row r="220">
      <c r="A220" s="136"/>
      <c r="B220" s="136"/>
      <c r="C220" s="136"/>
      <c r="D220" s="136"/>
      <c r="E220" s="136"/>
      <c r="F220" s="136"/>
      <c r="G220" s="136"/>
      <c r="H220" s="136"/>
      <c r="I220" s="136"/>
      <c r="J220" s="136"/>
      <c r="K220" s="451"/>
      <c r="L220" s="451"/>
      <c r="M220" s="136"/>
      <c r="N220" s="136"/>
      <c r="O220" s="136"/>
      <c r="P220" s="136"/>
      <c r="Q220" s="136"/>
      <c r="R220" s="136"/>
      <c r="S220" s="136"/>
      <c r="T220" s="136"/>
      <c r="U220" s="136"/>
      <c r="V220" s="136"/>
      <c r="W220" s="136"/>
    </row>
    <row r="221">
      <c r="A221" s="136"/>
      <c r="B221" s="136"/>
      <c r="C221" s="136"/>
      <c r="D221" s="136"/>
      <c r="E221" s="136"/>
      <c r="F221" s="136"/>
      <c r="G221" s="136"/>
      <c r="H221" s="136"/>
      <c r="I221" s="136"/>
      <c r="J221" s="136"/>
      <c r="K221" s="451"/>
      <c r="L221" s="451"/>
      <c r="M221" s="136"/>
      <c r="N221" s="136"/>
      <c r="O221" s="136"/>
      <c r="P221" s="136"/>
      <c r="Q221" s="136"/>
      <c r="R221" s="136"/>
      <c r="S221" s="136"/>
      <c r="T221" s="136"/>
      <c r="U221" s="136"/>
      <c r="V221" s="136"/>
      <c r="W221" s="136"/>
    </row>
    <row r="222">
      <c r="A222" s="136"/>
      <c r="B222" s="136"/>
      <c r="C222" s="136"/>
      <c r="D222" s="136"/>
      <c r="E222" s="136"/>
      <c r="F222" s="136"/>
      <c r="G222" s="136"/>
      <c r="H222" s="136"/>
      <c r="I222" s="136"/>
      <c r="J222" s="136"/>
      <c r="K222" s="451"/>
      <c r="L222" s="451"/>
      <c r="M222" s="136"/>
      <c r="N222" s="136"/>
      <c r="O222" s="136"/>
      <c r="P222" s="136"/>
      <c r="Q222" s="136"/>
      <c r="R222" s="136"/>
      <c r="S222" s="136"/>
      <c r="T222" s="136"/>
      <c r="U222" s="136"/>
      <c r="V222" s="136"/>
      <c r="W222" s="136"/>
    </row>
    <row r="223">
      <c r="A223" s="136"/>
      <c r="B223" s="136"/>
      <c r="C223" s="136"/>
      <c r="D223" s="136"/>
      <c r="E223" s="136"/>
      <c r="F223" s="136"/>
      <c r="G223" s="136"/>
      <c r="H223" s="136"/>
      <c r="I223" s="136"/>
      <c r="J223" s="136"/>
      <c r="K223" s="451"/>
      <c r="L223" s="451"/>
      <c r="M223" s="136"/>
      <c r="N223" s="136"/>
      <c r="O223" s="136"/>
      <c r="P223" s="136"/>
      <c r="Q223" s="136"/>
      <c r="R223" s="136"/>
      <c r="S223" s="136"/>
      <c r="T223" s="136"/>
      <c r="U223" s="136"/>
      <c r="V223" s="136"/>
      <c r="W223" s="136"/>
    </row>
    <row r="224">
      <c r="A224" s="136"/>
      <c r="B224" s="136"/>
      <c r="C224" s="136"/>
      <c r="D224" s="136"/>
      <c r="E224" s="136"/>
      <c r="F224" s="136"/>
      <c r="G224" s="136"/>
      <c r="H224" s="136"/>
      <c r="I224" s="136"/>
      <c r="J224" s="136"/>
      <c r="K224" s="451"/>
      <c r="L224" s="451"/>
      <c r="M224" s="136"/>
      <c r="N224" s="136"/>
      <c r="O224" s="136"/>
      <c r="P224" s="136"/>
      <c r="Q224" s="136"/>
      <c r="R224" s="136"/>
      <c r="S224" s="136"/>
      <c r="T224" s="136"/>
      <c r="U224" s="136"/>
      <c r="V224" s="136"/>
      <c r="W224" s="136"/>
    </row>
    <row r="225">
      <c r="A225" s="136"/>
      <c r="B225" s="136"/>
      <c r="C225" s="136"/>
      <c r="D225" s="136"/>
      <c r="E225" s="136"/>
      <c r="F225" s="136"/>
      <c r="G225" s="136"/>
      <c r="H225" s="136"/>
      <c r="I225" s="136"/>
      <c r="J225" s="136"/>
      <c r="K225" s="451"/>
      <c r="L225" s="451"/>
      <c r="M225" s="136"/>
      <c r="N225" s="136"/>
      <c r="O225" s="136"/>
      <c r="P225" s="136"/>
      <c r="Q225" s="136"/>
      <c r="R225" s="136"/>
      <c r="S225" s="136"/>
      <c r="T225" s="136"/>
      <c r="U225" s="136"/>
      <c r="V225" s="136"/>
      <c r="W225" s="136"/>
    </row>
    <row r="226">
      <c r="A226" s="136"/>
      <c r="B226" s="136"/>
      <c r="C226" s="136"/>
      <c r="D226" s="136"/>
      <c r="E226" s="136"/>
      <c r="F226" s="136"/>
      <c r="G226" s="136"/>
      <c r="H226" s="136"/>
      <c r="I226" s="136"/>
      <c r="J226" s="136"/>
      <c r="K226" s="451"/>
      <c r="L226" s="451"/>
      <c r="M226" s="136"/>
      <c r="N226" s="136"/>
      <c r="O226" s="136"/>
      <c r="P226" s="136"/>
      <c r="Q226" s="136"/>
      <c r="R226" s="136"/>
      <c r="S226" s="136"/>
      <c r="T226" s="136"/>
      <c r="U226" s="136"/>
      <c r="V226" s="136"/>
      <c r="W226" s="136"/>
    </row>
    <row r="227">
      <c r="A227" s="136"/>
      <c r="B227" s="136"/>
      <c r="C227" s="136"/>
      <c r="D227" s="136"/>
      <c r="E227" s="136"/>
      <c r="F227" s="136"/>
      <c r="G227" s="136"/>
      <c r="H227" s="136"/>
      <c r="I227" s="136"/>
      <c r="J227" s="136"/>
      <c r="K227" s="451"/>
      <c r="L227" s="451"/>
      <c r="M227" s="136"/>
      <c r="N227" s="136"/>
      <c r="O227" s="136"/>
      <c r="P227" s="136"/>
      <c r="Q227" s="136"/>
      <c r="R227" s="136"/>
      <c r="S227" s="136"/>
      <c r="T227" s="136"/>
      <c r="U227" s="136"/>
      <c r="V227" s="136"/>
      <c r="W227" s="136"/>
    </row>
    <row r="228">
      <c r="A228" s="136"/>
      <c r="B228" s="136"/>
      <c r="C228" s="136"/>
      <c r="D228" s="136"/>
      <c r="E228" s="136"/>
      <c r="F228" s="136"/>
      <c r="G228" s="136"/>
      <c r="H228" s="136"/>
      <c r="I228" s="136"/>
      <c r="J228" s="136"/>
      <c r="K228" s="451"/>
      <c r="L228" s="451"/>
      <c r="M228" s="136"/>
      <c r="N228" s="136"/>
      <c r="O228" s="136"/>
      <c r="P228" s="136"/>
      <c r="Q228" s="136"/>
      <c r="R228" s="136"/>
      <c r="S228" s="136"/>
      <c r="T228" s="136"/>
      <c r="U228" s="136"/>
      <c r="V228" s="136"/>
      <c r="W228" s="136"/>
    </row>
    <row r="229">
      <c r="A229" s="136"/>
      <c r="B229" s="136"/>
      <c r="C229" s="136"/>
      <c r="D229" s="136"/>
      <c r="E229" s="136"/>
      <c r="F229" s="136"/>
      <c r="G229" s="136"/>
      <c r="H229" s="136"/>
      <c r="I229" s="136"/>
      <c r="J229" s="136"/>
      <c r="K229" s="451"/>
      <c r="L229" s="451"/>
      <c r="M229" s="136"/>
      <c r="N229" s="136"/>
      <c r="O229" s="136"/>
      <c r="P229" s="136"/>
      <c r="Q229" s="136"/>
      <c r="R229" s="136"/>
      <c r="S229" s="136"/>
      <c r="T229" s="136"/>
      <c r="U229" s="136"/>
      <c r="V229" s="136"/>
      <c r="W229" s="136"/>
    </row>
    <row r="230">
      <c r="A230" s="136"/>
      <c r="B230" s="136"/>
      <c r="C230" s="136"/>
      <c r="D230" s="136"/>
      <c r="E230" s="136"/>
      <c r="F230" s="136"/>
      <c r="G230" s="136"/>
      <c r="H230" s="136"/>
      <c r="I230" s="136"/>
      <c r="J230" s="136"/>
      <c r="K230" s="451"/>
      <c r="L230" s="451"/>
      <c r="M230" s="136"/>
      <c r="N230" s="136"/>
      <c r="O230" s="136"/>
      <c r="P230" s="136"/>
      <c r="Q230" s="136"/>
      <c r="R230" s="136"/>
      <c r="S230" s="136"/>
      <c r="T230" s="136"/>
      <c r="U230" s="136"/>
      <c r="V230" s="136"/>
      <c r="W230" s="136"/>
    </row>
    <row r="231">
      <c r="A231" s="136"/>
      <c r="B231" s="136"/>
      <c r="C231" s="136"/>
      <c r="D231" s="136"/>
      <c r="E231" s="136"/>
      <c r="F231" s="136"/>
      <c r="G231" s="136"/>
      <c r="H231" s="136"/>
      <c r="I231" s="136"/>
      <c r="J231" s="136"/>
      <c r="K231" s="451"/>
      <c r="L231" s="451"/>
      <c r="M231" s="136"/>
      <c r="N231" s="136"/>
      <c r="O231" s="136"/>
      <c r="P231" s="136"/>
      <c r="Q231" s="136"/>
      <c r="R231" s="136"/>
      <c r="S231" s="136"/>
      <c r="T231" s="136"/>
      <c r="U231" s="136"/>
      <c r="V231" s="136"/>
      <c r="W231" s="136"/>
    </row>
    <row r="232">
      <c r="A232" s="136"/>
      <c r="B232" s="136"/>
      <c r="C232" s="136"/>
      <c r="D232" s="136"/>
      <c r="E232" s="136"/>
      <c r="F232" s="136"/>
      <c r="G232" s="136"/>
      <c r="H232" s="136"/>
      <c r="I232" s="136"/>
      <c r="J232" s="136"/>
      <c r="K232" s="451"/>
      <c r="L232" s="451"/>
      <c r="M232" s="136"/>
      <c r="N232" s="136"/>
      <c r="O232" s="136"/>
      <c r="P232" s="136"/>
      <c r="Q232" s="136"/>
      <c r="R232" s="136"/>
      <c r="S232" s="136"/>
      <c r="T232" s="136"/>
      <c r="U232" s="136"/>
      <c r="V232" s="136"/>
      <c r="W232" s="136"/>
    </row>
    <row r="233">
      <c r="A233" s="136"/>
      <c r="B233" s="136"/>
      <c r="C233" s="136"/>
      <c r="D233" s="136"/>
      <c r="E233" s="136"/>
      <c r="F233" s="136"/>
      <c r="G233" s="136"/>
      <c r="H233" s="136"/>
      <c r="I233" s="136"/>
      <c r="J233" s="136"/>
      <c r="K233" s="451"/>
      <c r="L233" s="451"/>
      <c r="M233" s="136"/>
      <c r="N233" s="136"/>
      <c r="O233" s="136"/>
      <c r="P233" s="136"/>
      <c r="Q233" s="136"/>
      <c r="R233" s="136"/>
      <c r="S233" s="136"/>
      <c r="T233" s="136"/>
      <c r="U233" s="136"/>
      <c r="V233" s="136"/>
      <c r="W233" s="136"/>
    </row>
    <row r="234">
      <c r="A234" s="136"/>
      <c r="B234" s="136"/>
      <c r="C234" s="136"/>
      <c r="D234" s="136"/>
      <c r="E234" s="136"/>
      <c r="F234" s="136"/>
      <c r="G234" s="136"/>
      <c r="H234" s="136"/>
      <c r="I234" s="136"/>
      <c r="J234" s="136"/>
      <c r="K234" s="451"/>
      <c r="L234" s="451"/>
      <c r="M234" s="136"/>
      <c r="N234" s="136"/>
      <c r="O234" s="136"/>
      <c r="P234" s="136"/>
      <c r="Q234" s="136"/>
      <c r="R234" s="136"/>
      <c r="S234" s="136"/>
      <c r="T234" s="136"/>
      <c r="U234" s="136"/>
      <c r="V234" s="136"/>
      <c r="W234" s="136"/>
    </row>
    <row r="235">
      <c r="A235" s="136"/>
      <c r="B235" s="136"/>
      <c r="C235" s="136"/>
      <c r="D235" s="136"/>
      <c r="E235" s="136"/>
      <c r="F235" s="136"/>
      <c r="G235" s="136"/>
      <c r="H235" s="136"/>
      <c r="I235" s="136"/>
      <c r="J235" s="136"/>
      <c r="K235" s="451"/>
      <c r="L235" s="451"/>
      <c r="M235" s="136"/>
      <c r="N235" s="136"/>
      <c r="O235" s="136"/>
      <c r="P235" s="136"/>
      <c r="Q235" s="136"/>
      <c r="R235" s="136"/>
      <c r="S235" s="136"/>
      <c r="T235" s="136"/>
      <c r="U235" s="136"/>
      <c r="V235" s="136"/>
      <c r="W235" s="136"/>
    </row>
    <row r="236">
      <c r="A236" s="136"/>
      <c r="B236" s="136"/>
      <c r="C236" s="136"/>
      <c r="D236" s="136"/>
      <c r="E236" s="136"/>
      <c r="F236" s="136"/>
      <c r="G236" s="136"/>
      <c r="H236" s="136"/>
      <c r="I236" s="136"/>
      <c r="J236" s="136"/>
      <c r="K236" s="451"/>
      <c r="L236" s="451"/>
      <c r="M236" s="136"/>
      <c r="N236" s="136"/>
      <c r="O236" s="136"/>
      <c r="P236" s="136"/>
      <c r="Q236" s="136"/>
      <c r="R236" s="136"/>
      <c r="S236" s="136"/>
      <c r="T236" s="136"/>
      <c r="U236" s="136"/>
      <c r="V236" s="136"/>
      <c r="W236" s="136"/>
    </row>
    <row r="237">
      <c r="A237" s="136"/>
      <c r="B237" s="136"/>
      <c r="C237" s="136"/>
      <c r="D237" s="136"/>
      <c r="E237" s="136"/>
      <c r="F237" s="136"/>
      <c r="G237" s="136"/>
      <c r="H237" s="136"/>
      <c r="I237" s="136"/>
      <c r="J237" s="136"/>
      <c r="K237" s="451"/>
      <c r="L237" s="451"/>
      <c r="M237" s="136"/>
      <c r="N237" s="136"/>
      <c r="O237" s="136"/>
      <c r="P237" s="136"/>
      <c r="Q237" s="136"/>
      <c r="R237" s="136"/>
      <c r="S237" s="136"/>
      <c r="T237" s="136"/>
      <c r="U237" s="136"/>
      <c r="V237" s="136"/>
      <c r="W237" s="136"/>
    </row>
    <row r="238">
      <c r="A238" s="136"/>
      <c r="B238" s="136"/>
      <c r="C238" s="136"/>
      <c r="D238" s="136"/>
      <c r="E238" s="136"/>
      <c r="F238" s="136"/>
      <c r="G238" s="136"/>
      <c r="H238" s="136"/>
      <c r="I238" s="136"/>
      <c r="J238" s="136"/>
      <c r="K238" s="451"/>
      <c r="L238" s="451"/>
      <c r="M238" s="136"/>
      <c r="N238" s="136"/>
      <c r="O238" s="136"/>
      <c r="P238" s="136"/>
      <c r="Q238" s="136"/>
      <c r="R238" s="136"/>
      <c r="S238" s="136"/>
      <c r="T238" s="136"/>
      <c r="U238" s="136"/>
      <c r="V238" s="136"/>
      <c r="W238" s="136"/>
    </row>
    <row r="239">
      <c r="A239" s="136"/>
      <c r="B239" s="136"/>
      <c r="C239" s="136"/>
      <c r="D239" s="136"/>
      <c r="E239" s="136"/>
      <c r="F239" s="136"/>
      <c r="G239" s="136"/>
      <c r="H239" s="136"/>
      <c r="I239" s="136"/>
      <c r="J239" s="136"/>
      <c r="K239" s="451"/>
      <c r="L239" s="451"/>
      <c r="M239" s="136"/>
      <c r="N239" s="136"/>
      <c r="O239" s="136"/>
      <c r="P239" s="136"/>
      <c r="Q239" s="136"/>
      <c r="R239" s="136"/>
      <c r="S239" s="136"/>
      <c r="T239" s="136"/>
      <c r="U239" s="136"/>
      <c r="V239" s="136"/>
      <c r="W239" s="136"/>
    </row>
    <row r="240">
      <c r="A240" s="136"/>
      <c r="B240" s="136"/>
      <c r="C240" s="136"/>
      <c r="D240" s="136"/>
      <c r="E240" s="136"/>
      <c r="F240" s="136"/>
      <c r="G240" s="136"/>
      <c r="H240" s="136"/>
      <c r="I240" s="136"/>
      <c r="J240" s="136"/>
      <c r="K240" s="451"/>
      <c r="L240" s="451"/>
      <c r="M240" s="136"/>
      <c r="N240" s="136"/>
      <c r="O240" s="136"/>
      <c r="P240" s="136"/>
      <c r="Q240" s="136"/>
      <c r="R240" s="136"/>
      <c r="S240" s="136"/>
      <c r="T240" s="136"/>
      <c r="U240" s="136"/>
      <c r="V240" s="136"/>
      <c r="W240" s="136"/>
    </row>
    <row r="241">
      <c r="A241" s="136"/>
      <c r="B241" s="136"/>
      <c r="C241" s="136"/>
      <c r="D241" s="136"/>
      <c r="E241" s="136"/>
      <c r="F241" s="136"/>
      <c r="G241" s="136"/>
      <c r="H241" s="136"/>
      <c r="I241" s="136"/>
      <c r="J241" s="136"/>
      <c r="K241" s="451"/>
      <c r="L241" s="451"/>
      <c r="M241" s="136"/>
      <c r="N241" s="136"/>
      <c r="O241" s="136"/>
      <c r="P241" s="136"/>
      <c r="Q241" s="136"/>
      <c r="R241" s="136"/>
      <c r="S241" s="136"/>
      <c r="T241" s="136"/>
      <c r="U241" s="136"/>
      <c r="V241" s="136"/>
      <c r="W241" s="136"/>
    </row>
    <row r="242">
      <c r="A242" s="136"/>
      <c r="B242" s="136"/>
      <c r="C242" s="136"/>
      <c r="D242" s="136"/>
      <c r="E242" s="136"/>
      <c r="F242" s="136"/>
      <c r="G242" s="136"/>
      <c r="H242" s="136"/>
      <c r="I242" s="136"/>
      <c r="J242" s="136"/>
      <c r="K242" s="451"/>
      <c r="L242" s="451"/>
      <c r="M242" s="136"/>
      <c r="N242" s="136"/>
      <c r="O242" s="136"/>
      <c r="P242" s="136"/>
      <c r="Q242" s="136"/>
      <c r="R242" s="136"/>
      <c r="S242" s="136"/>
      <c r="T242" s="136"/>
      <c r="U242" s="136"/>
      <c r="V242" s="136"/>
      <c r="W242" s="136"/>
    </row>
    <row r="243">
      <c r="A243" s="136"/>
      <c r="B243" s="136"/>
      <c r="C243" s="136"/>
      <c r="D243" s="136"/>
      <c r="E243" s="136"/>
      <c r="F243" s="136"/>
      <c r="G243" s="136"/>
      <c r="H243" s="136"/>
      <c r="I243" s="136"/>
      <c r="J243" s="136"/>
      <c r="K243" s="451"/>
      <c r="L243" s="451"/>
      <c r="M243" s="136"/>
      <c r="N243" s="136"/>
      <c r="O243" s="136"/>
      <c r="P243" s="136"/>
      <c r="Q243" s="136"/>
      <c r="R243" s="136"/>
      <c r="S243" s="136"/>
      <c r="T243" s="136"/>
      <c r="U243" s="136"/>
      <c r="V243" s="136"/>
      <c r="W243" s="136"/>
    </row>
    <row r="244">
      <c r="A244" s="136"/>
      <c r="B244" s="136"/>
      <c r="C244" s="136"/>
      <c r="D244" s="136"/>
      <c r="E244" s="136"/>
      <c r="F244" s="136"/>
      <c r="G244" s="136"/>
      <c r="H244" s="136"/>
      <c r="I244" s="136"/>
      <c r="J244" s="136"/>
      <c r="K244" s="451"/>
      <c r="L244" s="451"/>
      <c r="M244" s="136"/>
      <c r="N244" s="136"/>
      <c r="O244" s="136"/>
      <c r="P244" s="136"/>
      <c r="Q244" s="136"/>
      <c r="R244" s="136"/>
      <c r="S244" s="136"/>
      <c r="T244" s="136"/>
      <c r="U244" s="136"/>
      <c r="V244" s="136"/>
      <c r="W244" s="136"/>
    </row>
    <row r="245">
      <c r="A245" s="136"/>
      <c r="B245" s="136"/>
      <c r="C245" s="136"/>
      <c r="D245" s="136"/>
      <c r="E245" s="136"/>
      <c r="F245" s="136"/>
      <c r="G245" s="136"/>
      <c r="H245" s="136"/>
      <c r="I245" s="136"/>
      <c r="J245" s="136"/>
      <c r="K245" s="451"/>
      <c r="L245" s="451"/>
      <c r="M245" s="136"/>
      <c r="N245" s="136"/>
      <c r="O245" s="136"/>
      <c r="P245" s="136"/>
      <c r="Q245" s="136"/>
      <c r="R245" s="136"/>
      <c r="S245" s="136"/>
      <c r="T245" s="136"/>
      <c r="U245" s="136"/>
      <c r="V245" s="136"/>
      <c r="W245" s="136"/>
    </row>
    <row r="246">
      <c r="A246" s="136"/>
      <c r="B246" s="136"/>
      <c r="C246" s="136"/>
      <c r="D246" s="136"/>
      <c r="E246" s="136"/>
      <c r="F246" s="136"/>
      <c r="G246" s="136"/>
      <c r="H246" s="136"/>
      <c r="I246" s="136"/>
      <c r="J246" s="136"/>
      <c r="K246" s="451"/>
      <c r="L246" s="451"/>
      <c r="M246" s="136"/>
      <c r="N246" s="136"/>
      <c r="O246" s="136"/>
      <c r="P246" s="136"/>
      <c r="Q246" s="136"/>
      <c r="R246" s="136"/>
      <c r="S246" s="136"/>
      <c r="T246" s="136"/>
      <c r="U246" s="136"/>
      <c r="V246" s="136"/>
      <c r="W246" s="136"/>
    </row>
    <row r="247">
      <c r="A247" s="136"/>
      <c r="B247" s="136"/>
      <c r="C247" s="136"/>
      <c r="D247" s="136"/>
      <c r="E247" s="136"/>
      <c r="F247" s="136"/>
      <c r="G247" s="136"/>
      <c r="H247" s="136"/>
      <c r="I247" s="136"/>
      <c r="J247" s="136"/>
      <c r="K247" s="451"/>
      <c r="L247" s="451"/>
      <c r="M247" s="136"/>
      <c r="N247" s="136"/>
      <c r="O247" s="136"/>
      <c r="P247" s="136"/>
      <c r="Q247" s="136"/>
      <c r="R247" s="136"/>
      <c r="S247" s="136"/>
      <c r="T247" s="136"/>
      <c r="U247" s="136"/>
      <c r="V247" s="136"/>
      <c r="W247" s="136"/>
    </row>
    <row r="248">
      <c r="A248" s="136"/>
      <c r="B248" s="136"/>
      <c r="C248" s="136"/>
      <c r="D248" s="136"/>
      <c r="E248" s="136"/>
      <c r="F248" s="136"/>
      <c r="G248" s="136"/>
      <c r="H248" s="136"/>
      <c r="I248" s="136"/>
      <c r="J248" s="136"/>
      <c r="K248" s="451"/>
      <c r="L248" s="451"/>
      <c r="M248" s="136"/>
      <c r="N248" s="136"/>
      <c r="O248" s="136"/>
      <c r="P248" s="136"/>
      <c r="Q248" s="136"/>
      <c r="R248" s="136"/>
      <c r="S248" s="136"/>
      <c r="T248" s="136"/>
      <c r="U248" s="136"/>
      <c r="V248" s="136"/>
      <c r="W248" s="136"/>
    </row>
    <row r="249">
      <c r="A249" s="136"/>
      <c r="B249" s="136"/>
      <c r="C249" s="136"/>
      <c r="D249" s="136"/>
      <c r="E249" s="136"/>
      <c r="F249" s="136"/>
      <c r="G249" s="136"/>
      <c r="H249" s="136"/>
      <c r="I249" s="136"/>
      <c r="J249" s="136"/>
      <c r="K249" s="451"/>
      <c r="L249" s="451"/>
      <c r="M249" s="136"/>
      <c r="N249" s="136"/>
      <c r="O249" s="136"/>
      <c r="P249" s="136"/>
      <c r="Q249" s="136"/>
      <c r="R249" s="136"/>
      <c r="S249" s="136"/>
      <c r="T249" s="136"/>
      <c r="U249" s="136"/>
      <c r="V249" s="136"/>
      <c r="W249" s="136"/>
    </row>
    <row r="250">
      <c r="A250" s="136"/>
      <c r="B250" s="136"/>
      <c r="C250" s="136"/>
      <c r="D250" s="136"/>
      <c r="E250" s="136"/>
      <c r="F250" s="136"/>
      <c r="G250" s="136"/>
      <c r="H250" s="136"/>
      <c r="I250" s="136"/>
      <c r="J250" s="136"/>
      <c r="K250" s="451"/>
      <c r="L250" s="451"/>
      <c r="M250" s="136"/>
      <c r="N250" s="136"/>
      <c r="O250" s="136"/>
      <c r="P250" s="136"/>
      <c r="Q250" s="136"/>
      <c r="R250" s="136"/>
      <c r="S250" s="136"/>
      <c r="T250" s="136"/>
      <c r="U250" s="136"/>
      <c r="V250" s="136"/>
      <c r="W250" s="136"/>
    </row>
    <row r="251">
      <c r="A251" s="136"/>
      <c r="B251" s="136"/>
      <c r="C251" s="136"/>
      <c r="D251" s="136"/>
      <c r="E251" s="136"/>
      <c r="F251" s="136"/>
      <c r="G251" s="136"/>
      <c r="H251" s="136"/>
      <c r="I251" s="136"/>
      <c r="J251" s="136"/>
      <c r="K251" s="451"/>
      <c r="L251" s="451"/>
      <c r="M251" s="136"/>
      <c r="N251" s="136"/>
      <c r="O251" s="136"/>
      <c r="P251" s="136"/>
      <c r="Q251" s="136"/>
      <c r="R251" s="136"/>
      <c r="S251" s="136"/>
      <c r="T251" s="136"/>
      <c r="U251" s="136"/>
      <c r="V251" s="136"/>
      <c r="W251" s="136"/>
    </row>
    <row r="252">
      <c r="A252" s="136"/>
      <c r="B252" s="136"/>
      <c r="C252" s="136"/>
      <c r="D252" s="136"/>
      <c r="E252" s="136"/>
      <c r="F252" s="136"/>
      <c r="G252" s="136"/>
      <c r="H252" s="136"/>
      <c r="I252" s="136"/>
      <c r="J252" s="136"/>
      <c r="K252" s="451"/>
      <c r="L252" s="451"/>
      <c r="M252" s="136"/>
      <c r="N252" s="136"/>
      <c r="O252" s="136"/>
      <c r="P252" s="136"/>
      <c r="Q252" s="136"/>
      <c r="R252" s="136"/>
      <c r="S252" s="136"/>
      <c r="T252" s="136"/>
      <c r="U252" s="136"/>
      <c r="V252" s="136"/>
      <c r="W252" s="136"/>
    </row>
    <row r="253">
      <c r="A253" s="136"/>
      <c r="B253" s="136"/>
      <c r="C253" s="136"/>
      <c r="D253" s="136"/>
      <c r="E253" s="136"/>
      <c r="F253" s="136"/>
      <c r="G253" s="136"/>
      <c r="H253" s="136"/>
      <c r="I253" s="136"/>
      <c r="J253" s="136"/>
      <c r="K253" s="451"/>
      <c r="L253" s="451"/>
      <c r="M253" s="136"/>
      <c r="N253" s="136"/>
      <c r="O253" s="136"/>
      <c r="P253" s="136"/>
      <c r="Q253" s="136"/>
      <c r="R253" s="136"/>
      <c r="S253" s="136"/>
      <c r="T253" s="136"/>
      <c r="U253" s="136"/>
      <c r="V253" s="136"/>
      <c r="W253" s="136"/>
    </row>
    <row r="254">
      <c r="A254" s="136"/>
      <c r="B254" s="136"/>
      <c r="C254" s="136"/>
      <c r="D254" s="136"/>
      <c r="E254" s="136"/>
      <c r="F254" s="136"/>
      <c r="G254" s="136"/>
      <c r="H254" s="136"/>
      <c r="I254" s="136"/>
      <c r="J254" s="136"/>
      <c r="K254" s="451"/>
      <c r="L254" s="451"/>
      <c r="M254" s="136"/>
      <c r="N254" s="136"/>
      <c r="O254" s="136"/>
      <c r="P254" s="136"/>
      <c r="Q254" s="136"/>
      <c r="R254" s="136"/>
      <c r="S254" s="136"/>
      <c r="T254" s="136"/>
      <c r="U254" s="136"/>
      <c r="V254" s="136"/>
      <c r="W254" s="136"/>
    </row>
    <row r="255">
      <c r="A255" s="136"/>
      <c r="B255" s="136"/>
      <c r="C255" s="136"/>
      <c r="D255" s="136"/>
      <c r="E255" s="136"/>
      <c r="F255" s="136"/>
      <c r="G255" s="136"/>
      <c r="H255" s="136"/>
      <c r="I255" s="136"/>
      <c r="J255" s="136"/>
      <c r="K255" s="451"/>
      <c r="L255" s="451"/>
      <c r="M255" s="136"/>
      <c r="N255" s="136"/>
      <c r="O255" s="136"/>
      <c r="P255" s="136"/>
      <c r="Q255" s="136"/>
      <c r="R255" s="136"/>
      <c r="S255" s="136"/>
      <c r="T255" s="136"/>
      <c r="U255" s="136"/>
      <c r="V255" s="136"/>
      <c r="W255" s="136"/>
    </row>
    <row r="256">
      <c r="A256" s="136"/>
      <c r="B256" s="136"/>
      <c r="C256" s="136"/>
      <c r="D256" s="136"/>
      <c r="E256" s="136"/>
      <c r="F256" s="136"/>
      <c r="G256" s="136"/>
      <c r="H256" s="136"/>
      <c r="I256" s="136"/>
      <c r="J256" s="136"/>
      <c r="K256" s="451"/>
      <c r="L256" s="451"/>
      <c r="M256" s="136"/>
      <c r="N256" s="136"/>
      <c r="O256" s="136"/>
      <c r="P256" s="136"/>
      <c r="Q256" s="136"/>
      <c r="R256" s="136"/>
      <c r="S256" s="136"/>
      <c r="T256" s="136"/>
      <c r="U256" s="136"/>
      <c r="V256" s="136"/>
      <c r="W256" s="136"/>
    </row>
    <row r="257">
      <c r="A257" s="136"/>
      <c r="B257" s="136"/>
      <c r="C257" s="136"/>
      <c r="D257" s="136"/>
      <c r="E257" s="136"/>
      <c r="F257" s="136"/>
      <c r="G257" s="136"/>
      <c r="H257" s="136"/>
      <c r="I257" s="136"/>
      <c r="J257" s="136"/>
      <c r="K257" s="451"/>
      <c r="L257" s="451"/>
      <c r="M257" s="136"/>
      <c r="N257" s="136"/>
      <c r="O257" s="136"/>
      <c r="P257" s="136"/>
      <c r="Q257" s="136"/>
      <c r="R257" s="136"/>
      <c r="S257" s="136"/>
      <c r="T257" s="136"/>
      <c r="U257" s="136"/>
      <c r="V257" s="136"/>
      <c r="W257" s="136"/>
    </row>
    <row r="258">
      <c r="A258" s="136"/>
      <c r="B258" s="136"/>
      <c r="C258" s="136"/>
      <c r="D258" s="136"/>
      <c r="E258" s="136"/>
      <c r="F258" s="136"/>
      <c r="G258" s="136"/>
      <c r="H258" s="136"/>
      <c r="I258" s="136"/>
      <c r="J258" s="136"/>
      <c r="K258" s="451"/>
      <c r="L258" s="451"/>
      <c r="M258" s="136"/>
      <c r="N258" s="136"/>
      <c r="O258" s="136"/>
      <c r="P258" s="136"/>
      <c r="Q258" s="136"/>
      <c r="R258" s="136"/>
      <c r="S258" s="136"/>
      <c r="T258" s="136"/>
      <c r="U258" s="136"/>
      <c r="V258" s="136"/>
      <c r="W258" s="136"/>
    </row>
    <row r="259">
      <c r="A259" s="136"/>
      <c r="B259" s="136"/>
      <c r="C259" s="136"/>
      <c r="D259" s="136"/>
      <c r="E259" s="136"/>
      <c r="F259" s="136"/>
      <c r="G259" s="136"/>
      <c r="H259" s="136"/>
      <c r="I259" s="136"/>
      <c r="J259" s="136"/>
      <c r="K259" s="451"/>
      <c r="L259" s="451"/>
      <c r="M259" s="136"/>
      <c r="N259" s="136"/>
      <c r="O259" s="136"/>
      <c r="P259" s="136"/>
      <c r="Q259" s="136"/>
      <c r="R259" s="136"/>
      <c r="S259" s="136"/>
      <c r="T259" s="136"/>
      <c r="U259" s="136"/>
      <c r="V259" s="136"/>
      <c r="W259" s="136"/>
    </row>
    <row r="260">
      <c r="A260" s="136"/>
      <c r="B260" s="136"/>
      <c r="C260" s="136"/>
      <c r="D260" s="136"/>
      <c r="E260" s="136"/>
      <c r="F260" s="136"/>
      <c r="G260" s="136"/>
      <c r="H260" s="136"/>
      <c r="I260" s="136"/>
      <c r="J260" s="136"/>
      <c r="K260" s="451"/>
      <c r="L260" s="451"/>
      <c r="M260" s="136"/>
      <c r="N260" s="136"/>
      <c r="O260" s="136"/>
      <c r="P260" s="136"/>
      <c r="Q260" s="136"/>
      <c r="R260" s="136"/>
      <c r="S260" s="136"/>
      <c r="T260" s="136"/>
      <c r="U260" s="136"/>
      <c r="V260" s="136"/>
      <c r="W260" s="136"/>
    </row>
    <row r="261">
      <c r="A261" s="136"/>
      <c r="B261" s="136"/>
      <c r="C261" s="136"/>
      <c r="D261" s="136"/>
      <c r="E261" s="136"/>
      <c r="F261" s="136"/>
      <c r="G261" s="136"/>
      <c r="H261" s="136"/>
      <c r="I261" s="136"/>
      <c r="J261" s="136"/>
      <c r="K261" s="451"/>
      <c r="L261" s="451"/>
      <c r="M261" s="136"/>
      <c r="N261" s="136"/>
      <c r="O261" s="136"/>
      <c r="P261" s="136"/>
      <c r="Q261" s="136"/>
      <c r="R261" s="136"/>
      <c r="S261" s="136"/>
      <c r="T261" s="136"/>
      <c r="U261" s="136"/>
      <c r="V261" s="136"/>
      <c r="W261" s="136"/>
    </row>
    <row r="262">
      <c r="A262" s="136"/>
      <c r="B262" s="136"/>
      <c r="C262" s="136"/>
      <c r="D262" s="136"/>
      <c r="E262" s="136"/>
      <c r="F262" s="136"/>
      <c r="G262" s="136"/>
      <c r="H262" s="136"/>
      <c r="I262" s="136"/>
      <c r="J262" s="136"/>
      <c r="K262" s="451"/>
      <c r="L262" s="451"/>
      <c r="M262" s="136"/>
      <c r="N262" s="136"/>
      <c r="O262" s="136"/>
      <c r="P262" s="136"/>
      <c r="Q262" s="136"/>
      <c r="R262" s="136"/>
      <c r="S262" s="136"/>
      <c r="T262" s="136"/>
      <c r="U262" s="136"/>
      <c r="V262" s="136"/>
      <c r="W262" s="136"/>
    </row>
    <row r="263">
      <c r="A263" s="136"/>
      <c r="B263" s="136"/>
      <c r="C263" s="136"/>
      <c r="D263" s="136"/>
      <c r="E263" s="136"/>
      <c r="F263" s="136"/>
      <c r="G263" s="136"/>
      <c r="H263" s="136"/>
      <c r="I263" s="136"/>
      <c r="J263" s="136"/>
      <c r="K263" s="451"/>
      <c r="L263" s="451"/>
      <c r="M263" s="136"/>
      <c r="N263" s="136"/>
      <c r="O263" s="136"/>
      <c r="P263" s="136"/>
      <c r="Q263" s="136"/>
      <c r="R263" s="136"/>
      <c r="S263" s="136"/>
      <c r="T263" s="136"/>
      <c r="U263" s="136"/>
      <c r="V263" s="136"/>
      <c r="W263" s="136"/>
    </row>
    <row r="264">
      <c r="A264" s="136"/>
      <c r="B264" s="136"/>
      <c r="C264" s="136"/>
      <c r="D264" s="136"/>
      <c r="E264" s="136"/>
      <c r="F264" s="136"/>
      <c r="G264" s="136"/>
      <c r="H264" s="136"/>
      <c r="I264" s="136"/>
      <c r="J264" s="136"/>
      <c r="K264" s="451"/>
      <c r="L264" s="451"/>
      <c r="M264" s="136"/>
      <c r="N264" s="136"/>
      <c r="O264" s="136"/>
      <c r="P264" s="136"/>
      <c r="Q264" s="136"/>
      <c r="R264" s="136"/>
      <c r="S264" s="136"/>
      <c r="T264" s="136"/>
      <c r="U264" s="136"/>
      <c r="V264" s="136"/>
      <c r="W264" s="136"/>
    </row>
    <row r="265">
      <c r="A265" s="136"/>
      <c r="B265" s="136"/>
      <c r="C265" s="136"/>
      <c r="D265" s="136"/>
      <c r="E265" s="136"/>
      <c r="F265" s="136"/>
      <c r="G265" s="136"/>
      <c r="H265" s="136"/>
      <c r="I265" s="136"/>
      <c r="J265" s="136"/>
      <c r="K265" s="451"/>
      <c r="L265" s="451"/>
      <c r="M265" s="136"/>
      <c r="N265" s="136"/>
      <c r="O265" s="136"/>
      <c r="P265" s="136"/>
      <c r="Q265" s="136"/>
      <c r="R265" s="136"/>
      <c r="S265" s="136"/>
      <c r="T265" s="136"/>
      <c r="U265" s="136"/>
      <c r="V265" s="136"/>
      <c r="W265" s="136"/>
    </row>
    <row r="266">
      <c r="A266" s="136"/>
      <c r="B266" s="136"/>
      <c r="C266" s="136"/>
      <c r="D266" s="136"/>
      <c r="E266" s="136"/>
      <c r="F266" s="136"/>
      <c r="G266" s="136"/>
      <c r="H266" s="136"/>
      <c r="I266" s="136"/>
      <c r="J266" s="136"/>
      <c r="K266" s="451"/>
      <c r="L266" s="451"/>
      <c r="M266" s="136"/>
      <c r="N266" s="136"/>
      <c r="O266" s="136"/>
      <c r="P266" s="136"/>
      <c r="Q266" s="136"/>
      <c r="R266" s="136"/>
      <c r="S266" s="136"/>
      <c r="T266" s="136"/>
      <c r="U266" s="136"/>
      <c r="V266" s="136"/>
      <c r="W266" s="136"/>
    </row>
    <row r="267">
      <c r="A267" s="136"/>
      <c r="B267" s="136"/>
      <c r="C267" s="136"/>
      <c r="D267" s="136"/>
      <c r="E267" s="136"/>
      <c r="F267" s="136"/>
      <c r="G267" s="136"/>
      <c r="H267" s="136"/>
      <c r="I267" s="136"/>
      <c r="J267" s="136"/>
      <c r="K267" s="451"/>
      <c r="L267" s="451"/>
      <c r="M267" s="136"/>
      <c r="N267" s="136"/>
      <c r="O267" s="136"/>
      <c r="P267" s="136"/>
      <c r="Q267" s="136"/>
      <c r="R267" s="136"/>
      <c r="S267" s="136"/>
      <c r="T267" s="136"/>
      <c r="U267" s="136"/>
      <c r="V267" s="136"/>
      <c r="W267" s="136"/>
    </row>
    <row r="268">
      <c r="A268" s="136"/>
      <c r="B268" s="136"/>
      <c r="C268" s="136"/>
      <c r="D268" s="136"/>
      <c r="E268" s="136"/>
      <c r="F268" s="136"/>
      <c r="G268" s="136"/>
      <c r="H268" s="136"/>
      <c r="I268" s="136"/>
      <c r="J268" s="136"/>
      <c r="K268" s="451"/>
      <c r="L268" s="451"/>
      <c r="M268" s="136"/>
      <c r="N268" s="136"/>
      <c r="O268" s="136"/>
      <c r="P268" s="136"/>
      <c r="Q268" s="136"/>
      <c r="R268" s="136"/>
      <c r="S268" s="136"/>
      <c r="T268" s="136"/>
      <c r="U268" s="136"/>
      <c r="V268" s="136"/>
      <c r="W268" s="136"/>
    </row>
    <row r="269">
      <c r="A269" s="136"/>
      <c r="B269" s="136"/>
      <c r="C269" s="136"/>
      <c r="D269" s="136"/>
      <c r="E269" s="136"/>
      <c r="F269" s="136"/>
      <c r="G269" s="136"/>
      <c r="H269" s="136"/>
      <c r="I269" s="136"/>
      <c r="J269" s="136"/>
      <c r="K269" s="451"/>
      <c r="L269" s="451"/>
      <c r="M269" s="136"/>
      <c r="N269" s="136"/>
      <c r="O269" s="136"/>
      <c r="P269" s="136"/>
      <c r="Q269" s="136"/>
      <c r="R269" s="136"/>
      <c r="S269" s="136"/>
      <c r="T269" s="136"/>
      <c r="U269" s="136"/>
      <c r="V269" s="136"/>
      <c r="W269" s="136"/>
    </row>
    <row r="270">
      <c r="A270" s="136"/>
      <c r="B270" s="136"/>
      <c r="C270" s="136"/>
      <c r="D270" s="136"/>
      <c r="E270" s="136"/>
      <c r="F270" s="136"/>
      <c r="G270" s="136"/>
      <c r="H270" s="136"/>
      <c r="I270" s="136"/>
      <c r="J270" s="136"/>
      <c r="K270" s="451"/>
      <c r="L270" s="451"/>
      <c r="M270" s="136"/>
      <c r="N270" s="136"/>
      <c r="O270" s="136"/>
      <c r="P270" s="136"/>
      <c r="Q270" s="136"/>
      <c r="R270" s="136"/>
      <c r="S270" s="136"/>
      <c r="T270" s="136"/>
      <c r="U270" s="136"/>
      <c r="V270" s="136"/>
      <c r="W270" s="136"/>
    </row>
    <row r="271">
      <c r="A271" s="136"/>
      <c r="B271" s="136"/>
      <c r="C271" s="136"/>
      <c r="D271" s="136"/>
      <c r="E271" s="136"/>
      <c r="F271" s="136"/>
      <c r="G271" s="136"/>
      <c r="H271" s="136"/>
      <c r="I271" s="136"/>
      <c r="J271" s="136"/>
      <c r="K271" s="451"/>
      <c r="L271" s="451"/>
      <c r="M271" s="136"/>
      <c r="N271" s="136"/>
      <c r="O271" s="136"/>
      <c r="P271" s="136"/>
      <c r="Q271" s="136"/>
      <c r="R271" s="136"/>
      <c r="S271" s="136"/>
      <c r="T271" s="136"/>
      <c r="U271" s="136"/>
      <c r="V271" s="136"/>
      <c r="W271" s="136"/>
    </row>
    <row r="272">
      <c r="A272" s="136"/>
      <c r="B272" s="136"/>
      <c r="C272" s="136"/>
      <c r="D272" s="136"/>
      <c r="E272" s="136"/>
      <c r="F272" s="136"/>
      <c r="G272" s="136"/>
      <c r="H272" s="136"/>
      <c r="I272" s="136"/>
      <c r="J272" s="136"/>
      <c r="K272" s="451"/>
      <c r="L272" s="451"/>
      <c r="M272" s="136"/>
      <c r="N272" s="136"/>
      <c r="O272" s="136"/>
      <c r="P272" s="136"/>
      <c r="Q272" s="136"/>
      <c r="R272" s="136"/>
      <c r="S272" s="136"/>
      <c r="T272" s="136"/>
      <c r="U272" s="136"/>
      <c r="V272" s="136"/>
      <c r="W272" s="136"/>
    </row>
    <row r="273">
      <c r="A273" s="136"/>
      <c r="B273" s="136"/>
      <c r="C273" s="136"/>
      <c r="D273" s="136"/>
      <c r="E273" s="136"/>
      <c r="F273" s="136"/>
      <c r="G273" s="136"/>
      <c r="H273" s="136"/>
      <c r="I273" s="136"/>
      <c r="J273" s="136"/>
      <c r="K273" s="451"/>
      <c r="L273" s="451"/>
      <c r="M273" s="136"/>
      <c r="N273" s="136"/>
      <c r="O273" s="136"/>
      <c r="P273" s="136"/>
      <c r="Q273" s="136"/>
      <c r="R273" s="136"/>
      <c r="S273" s="136"/>
      <c r="T273" s="136"/>
      <c r="U273" s="136"/>
      <c r="V273" s="136"/>
      <c r="W273" s="136"/>
    </row>
    <row r="274">
      <c r="A274" s="136"/>
      <c r="B274" s="136"/>
      <c r="C274" s="136"/>
      <c r="D274" s="136"/>
      <c r="E274" s="136"/>
      <c r="F274" s="136"/>
      <c r="G274" s="136"/>
      <c r="H274" s="136"/>
      <c r="I274" s="136"/>
      <c r="J274" s="136"/>
      <c r="K274" s="451"/>
      <c r="L274" s="451"/>
      <c r="M274" s="136"/>
      <c r="N274" s="136"/>
      <c r="O274" s="136"/>
      <c r="P274" s="136"/>
      <c r="Q274" s="136"/>
      <c r="R274" s="136"/>
      <c r="S274" s="136"/>
      <c r="T274" s="136"/>
      <c r="U274" s="136"/>
      <c r="V274" s="136"/>
      <c r="W274" s="136"/>
    </row>
    <row r="275">
      <c r="A275" s="136"/>
      <c r="B275" s="136"/>
      <c r="C275" s="136"/>
      <c r="D275" s="136"/>
      <c r="E275" s="136"/>
      <c r="F275" s="136"/>
      <c r="G275" s="136"/>
      <c r="H275" s="136"/>
      <c r="I275" s="136"/>
      <c r="J275" s="136"/>
      <c r="K275" s="451"/>
      <c r="L275" s="451"/>
      <c r="M275" s="136"/>
      <c r="N275" s="136"/>
      <c r="O275" s="136"/>
      <c r="P275" s="136"/>
      <c r="Q275" s="136"/>
      <c r="R275" s="136"/>
      <c r="S275" s="136"/>
      <c r="T275" s="136"/>
      <c r="U275" s="136"/>
      <c r="V275" s="136"/>
      <c r="W275" s="136"/>
    </row>
    <row r="276">
      <c r="A276" s="136"/>
      <c r="B276" s="136"/>
      <c r="C276" s="136"/>
      <c r="D276" s="136"/>
      <c r="E276" s="136"/>
      <c r="F276" s="136"/>
      <c r="G276" s="136"/>
      <c r="H276" s="136"/>
      <c r="I276" s="136"/>
      <c r="J276" s="136"/>
      <c r="K276" s="451"/>
      <c r="L276" s="451"/>
      <c r="M276" s="136"/>
      <c r="N276" s="136"/>
      <c r="O276" s="136"/>
      <c r="P276" s="136"/>
      <c r="Q276" s="136"/>
      <c r="R276" s="136"/>
      <c r="S276" s="136"/>
      <c r="T276" s="136"/>
      <c r="U276" s="136"/>
      <c r="V276" s="136"/>
      <c r="W276" s="136"/>
    </row>
    <row r="277">
      <c r="A277" s="136"/>
      <c r="B277" s="136"/>
      <c r="C277" s="136"/>
      <c r="D277" s="136"/>
      <c r="E277" s="136"/>
      <c r="F277" s="136"/>
      <c r="G277" s="136"/>
      <c r="H277" s="136"/>
      <c r="I277" s="136"/>
      <c r="J277" s="136"/>
      <c r="K277" s="451"/>
      <c r="L277" s="451"/>
      <c r="M277" s="136"/>
      <c r="N277" s="136"/>
      <c r="O277" s="136"/>
      <c r="P277" s="136"/>
      <c r="Q277" s="136"/>
      <c r="R277" s="136"/>
      <c r="S277" s="136"/>
      <c r="T277" s="136"/>
      <c r="U277" s="136"/>
      <c r="V277" s="136"/>
      <c r="W277" s="136"/>
    </row>
    <row r="278">
      <c r="A278" s="136"/>
      <c r="B278" s="136"/>
      <c r="C278" s="136"/>
      <c r="D278" s="136"/>
      <c r="E278" s="136"/>
      <c r="F278" s="136"/>
      <c r="G278" s="136"/>
      <c r="H278" s="136"/>
      <c r="I278" s="136"/>
      <c r="J278" s="136"/>
      <c r="K278" s="451"/>
      <c r="L278" s="451"/>
      <c r="M278" s="136"/>
      <c r="N278" s="136"/>
      <c r="O278" s="136"/>
      <c r="P278" s="136"/>
      <c r="Q278" s="136"/>
      <c r="R278" s="136"/>
      <c r="S278" s="136"/>
      <c r="T278" s="136"/>
      <c r="U278" s="136"/>
      <c r="V278" s="136"/>
      <c r="W278" s="136"/>
    </row>
    <row r="279">
      <c r="A279" s="136"/>
      <c r="B279" s="136"/>
      <c r="C279" s="136"/>
      <c r="D279" s="136"/>
      <c r="E279" s="136"/>
      <c r="F279" s="136"/>
      <c r="G279" s="136"/>
      <c r="H279" s="136"/>
      <c r="I279" s="136"/>
      <c r="J279" s="136"/>
      <c r="K279" s="451"/>
      <c r="L279" s="451"/>
      <c r="M279" s="136"/>
      <c r="N279" s="136"/>
      <c r="O279" s="136"/>
      <c r="P279" s="136"/>
      <c r="Q279" s="136"/>
      <c r="R279" s="136"/>
      <c r="S279" s="136"/>
      <c r="T279" s="136"/>
      <c r="U279" s="136"/>
      <c r="V279" s="136"/>
      <c r="W279" s="136"/>
    </row>
    <row r="280">
      <c r="A280" s="136"/>
      <c r="B280" s="136"/>
      <c r="C280" s="136"/>
      <c r="D280" s="136"/>
      <c r="E280" s="136"/>
      <c r="F280" s="136"/>
      <c r="G280" s="136"/>
      <c r="H280" s="136"/>
      <c r="I280" s="136"/>
      <c r="J280" s="136"/>
      <c r="K280" s="451"/>
      <c r="L280" s="451"/>
      <c r="M280" s="136"/>
      <c r="N280" s="136"/>
      <c r="O280" s="136"/>
      <c r="P280" s="136"/>
      <c r="Q280" s="136"/>
      <c r="R280" s="136"/>
      <c r="S280" s="136"/>
      <c r="T280" s="136"/>
      <c r="U280" s="136"/>
      <c r="V280" s="136"/>
      <c r="W280" s="136"/>
    </row>
    <row r="281">
      <c r="A281" s="136"/>
      <c r="B281" s="136"/>
      <c r="C281" s="136"/>
      <c r="D281" s="136"/>
      <c r="E281" s="136"/>
      <c r="F281" s="136"/>
      <c r="G281" s="136"/>
      <c r="H281" s="136"/>
      <c r="I281" s="136"/>
      <c r="J281" s="136"/>
      <c r="K281" s="451"/>
      <c r="L281" s="451"/>
      <c r="M281" s="136"/>
      <c r="N281" s="136"/>
      <c r="O281" s="136"/>
      <c r="P281" s="136"/>
      <c r="Q281" s="136"/>
      <c r="R281" s="136"/>
      <c r="S281" s="136"/>
      <c r="T281" s="136"/>
      <c r="U281" s="136"/>
      <c r="V281" s="136"/>
      <c r="W281" s="136"/>
    </row>
    <row r="282">
      <c r="A282" s="136"/>
      <c r="B282" s="136"/>
      <c r="C282" s="136"/>
      <c r="D282" s="136"/>
      <c r="E282" s="136"/>
      <c r="F282" s="136"/>
      <c r="G282" s="136"/>
      <c r="H282" s="136"/>
      <c r="I282" s="136"/>
      <c r="J282" s="136"/>
      <c r="K282" s="451"/>
      <c r="L282" s="451"/>
      <c r="M282" s="136"/>
      <c r="N282" s="136"/>
      <c r="O282" s="136"/>
      <c r="P282" s="136"/>
      <c r="Q282" s="136"/>
      <c r="R282" s="136"/>
      <c r="S282" s="136"/>
      <c r="T282" s="136"/>
      <c r="U282" s="136"/>
      <c r="V282" s="136"/>
      <c r="W282" s="136"/>
    </row>
    <row r="283">
      <c r="A283" s="136"/>
      <c r="B283" s="136"/>
      <c r="C283" s="136"/>
      <c r="D283" s="136"/>
      <c r="E283" s="136"/>
      <c r="F283" s="136"/>
      <c r="G283" s="136"/>
      <c r="H283" s="136"/>
      <c r="I283" s="136"/>
      <c r="J283" s="136"/>
      <c r="K283" s="451"/>
      <c r="L283" s="451"/>
      <c r="M283" s="136"/>
      <c r="N283" s="136"/>
      <c r="O283" s="136"/>
      <c r="P283" s="136"/>
      <c r="Q283" s="136"/>
      <c r="R283" s="136"/>
      <c r="S283" s="136"/>
      <c r="T283" s="136"/>
      <c r="U283" s="136"/>
      <c r="V283" s="136"/>
      <c r="W283" s="136"/>
    </row>
    <row r="284">
      <c r="A284" s="136"/>
      <c r="B284" s="136"/>
      <c r="C284" s="136"/>
      <c r="D284" s="136"/>
      <c r="E284" s="136"/>
      <c r="F284" s="136"/>
      <c r="G284" s="136"/>
      <c r="H284" s="136"/>
      <c r="I284" s="136"/>
      <c r="J284" s="136"/>
      <c r="K284" s="451"/>
      <c r="L284" s="451"/>
      <c r="M284" s="136"/>
      <c r="N284" s="136"/>
      <c r="O284" s="136"/>
      <c r="P284" s="136"/>
      <c r="Q284" s="136"/>
      <c r="R284" s="136"/>
      <c r="S284" s="136"/>
      <c r="T284" s="136"/>
      <c r="U284" s="136"/>
      <c r="V284" s="136"/>
      <c r="W284" s="136"/>
    </row>
    <row r="285">
      <c r="A285" s="136"/>
      <c r="B285" s="136"/>
      <c r="C285" s="136"/>
      <c r="D285" s="136"/>
      <c r="E285" s="136"/>
      <c r="F285" s="136"/>
      <c r="G285" s="136"/>
      <c r="H285" s="136"/>
      <c r="I285" s="136"/>
      <c r="J285" s="136"/>
      <c r="K285" s="451"/>
      <c r="L285" s="451"/>
      <c r="M285" s="136"/>
      <c r="N285" s="136"/>
      <c r="O285" s="136"/>
      <c r="P285" s="136"/>
      <c r="Q285" s="136"/>
      <c r="R285" s="136"/>
      <c r="S285" s="136"/>
      <c r="T285" s="136"/>
      <c r="U285" s="136"/>
      <c r="V285" s="136"/>
      <c r="W285" s="136"/>
    </row>
    <row r="286">
      <c r="A286" s="136"/>
      <c r="B286" s="136"/>
      <c r="C286" s="136"/>
      <c r="D286" s="136"/>
      <c r="E286" s="136"/>
      <c r="F286" s="136"/>
      <c r="G286" s="136"/>
      <c r="H286" s="136"/>
      <c r="I286" s="136"/>
      <c r="J286" s="136"/>
      <c r="K286" s="451"/>
      <c r="L286" s="451"/>
      <c r="M286" s="136"/>
      <c r="N286" s="136"/>
      <c r="O286" s="136"/>
      <c r="P286" s="136"/>
      <c r="Q286" s="136"/>
      <c r="R286" s="136"/>
      <c r="S286" s="136"/>
      <c r="T286" s="136"/>
      <c r="U286" s="136"/>
      <c r="V286" s="136"/>
      <c r="W286" s="136"/>
    </row>
    <row r="287">
      <c r="A287" s="136"/>
      <c r="B287" s="136"/>
      <c r="C287" s="136"/>
      <c r="D287" s="136"/>
      <c r="E287" s="136"/>
      <c r="F287" s="136"/>
      <c r="G287" s="136"/>
      <c r="H287" s="136"/>
      <c r="I287" s="136"/>
      <c r="J287" s="136"/>
      <c r="K287" s="451"/>
      <c r="L287" s="451"/>
      <c r="M287" s="136"/>
      <c r="N287" s="136"/>
      <c r="O287" s="136"/>
      <c r="P287" s="136"/>
      <c r="Q287" s="136"/>
      <c r="R287" s="136"/>
      <c r="S287" s="136"/>
      <c r="T287" s="136"/>
      <c r="U287" s="136"/>
      <c r="V287" s="136"/>
      <c r="W287" s="136"/>
    </row>
    <row r="288">
      <c r="A288" s="136"/>
      <c r="B288" s="136"/>
      <c r="C288" s="136"/>
      <c r="D288" s="136"/>
      <c r="E288" s="136"/>
      <c r="F288" s="136"/>
      <c r="G288" s="136"/>
      <c r="H288" s="136"/>
      <c r="I288" s="136"/>
      <c r="J288" s="136"/>
      <c r="K288" s="451"/>
      <c r="L288" s="451"/>
      <c r="M288" s="136"/>
      <c r="N288" s="136"/>
      <c r="O288" s="136"/>
      <c r="P288" s="136"/>
      <c r="Q288" s="136"/>
      <c r="R288" s="136"/>
      <c r="S288" s="136"/>
      <c r="T288" s="136"/>
      <c r="U288" s="136"/>
      <c r="V288" s="136"/>
      <c r="W288" s="136"/>
    </row>
    <row r="289">
      <c r="A289" s="136"/>
      <c r="B289" s="136"/>
      <c r="C289" s="136"/>
      <c r="D289" s="136"/>
      <c r="E289" s="136"/>
      <c r="F289" s="136"/>
      <c r="G289" s="136"/>
      <c r="H289" s="136"/>
      <c r="I289" s="136"/>
      <c r="J289" s="136"/>
      <c r="K289" s="451"/>
      <c r="L289" s="451"/>
      <c r="M289" s="136"/>
      <c r="N289" s="136"/>
      <c r="O289" s="136"/>
      <c r="P289" s="136"/>
      <c r="Q289" s="136"/>
      <c r="R289" s="136"/>
      <c r="S289" s="136"/>
      <c r="T289" s="136"/>
      <c r="U289" s="136"/>
      <c r="V289" s="136"/>
      <c r="W289" s="136"/>
    </row>
    <row r="290">
      <c r="A290" s="136"/>
      <c r="B290" s="136"/>
      <c r="C290" s="136"/>
      <c r="D290" s="136"/>
      <c r="E290" s="136"/>
      <c r="F290" s="136"/>
      <c r="G290" s="136"/>
      <c r="H290" s="136"/>
      <c r="I290" s="136"/>
      <c r="J290" s="136"/>
      <c r="K290" s="451"/>
      <c r="L290" s="451"/>
      <c r="M290" s="136"/>
      <c r="N290" s="136"/>
      <c r="O290" s="136"/>
      <c r="P290" s="136"/>
      <c r="Q290" s="136"/>
      <c r="R290" s="136"/>
      <c r="S290" s="136"/>
      <c r="T290" s="136"/>
      <c r="U290" s="136"/>
      <c r="V290" s="136"/>
      <c r="W290" s="136"/>
    </row>
    <row r="291">
      <c r="A291" s="136"/>
      <c r="B291" s="136"/>
      <c r="C291" s="136"/>
      <c r="D291" s="136"/>
      <c r="E291" s="136"/>
      <c r="F291" s="136"/>
      <c r="G291" s="136"/>
      <c r="H291" s="136"/>
      <c r="I291" s="136"/>
      <c r="J291" s="136"/>
      <c r="K291" s="451"/>
      <c r="L291" s="451"/>
      <c r="M291" s="136"/>
      <c r="N291" s="136"/>
      <c r="O291" s="136"/>
      <c r="P291" s="136"/>
      <c r="Q291" s="136"/>
      <c r="R291" s="136"/>
      <c r="S291" s="136"/>
      <c r="T291" s="136"/>
      <c r="U291" s="136"/>
      <c r="V291" s="136"/>
      <c r="W291" s="136"/>
    </row>
    <row r="292">
      <c r="A292" s="136"/>
      <c r="B292" s="136"/>
      <c r="C292" s="136"/>
      <c r="D292" s="136"/>
      <c r="E292" s="136"/>
      <c r="F292" s="136"/>
      <c r="G292" s="136"/>
      <c r="H292" s="136"/>
      <c r="I292" s="136"/>
      <c r="J292" s="136"/>
      <c r="K292" s="451"/>
      <c r="L292" s="451"/>
      <c r="M292" s="136"/>
      <c r="N292" s="136"/>
      <c r="O292" s="136"/>
      <c r="P292" s="136"/>
      <c r="Q292" s="136"/>
      <c r="R292" s="136"/>
      <c r="S292" s="136"/>
      <c r="T292" s="136"/>
      <c r="U292" s="136"/>
      <c r="V292" s="136"/>
      <c r="W292" s="136"/>
    </row>
    <row r="293">
      <c r="A293" s="136"/>
      <c r="B293" s="136"/>
      <c r="C293" s="136"/>
      <c r="D293" s="136"/>
      <c r="E293" s="136"/>
      <c r="F293" s="136"/>
      <c r="G293" s="136"/>
      <c r="H293" s="136"/>
      <c r="I293" s="136"/>
      <c r="J293" s="136"/>
      <c r="K293" s="451"/>
      <c r="L293" s="451"/>
      <c r="M293" s="136"/>
      <c r="N293" s="136"/>
      <c r="O293" s="136"/>
      <c r="P293" s="136"/>
      <c r="Q293" s="136"/>
      <c r="R293" s="136"/>
      <c r="S293" s="136"/>
      <c r="T293" s="136"/>
      <c r="U293" s="136"/>
      <c r="V293" s="136"/>
      <c r="W293" s="136"/>
    </row>
    <row r="294">
      <c r="A294" s="136"/>
      <c r="B294" s="136"/>
      <c r="C294" s="136"/>
      <c r="D294" s="136"/>
      <c r="E294" s="136"/>
      <c r="F294" s="136"/>
      <c r="G294" s="136"/>
      <c r="H294" s="136"/>
      <c r="I294" s="136"/>
      <c r="J294" s="136"/>
      <c r="K294" s="451"/>
      <c r="L294" s="451"/>
      <c r="M294" s="136"/>
      <c r="N294" s="136"/>
      <c r="O294" s="136"/>
      <c r="P294" s="136"/>
      <c r="Q294" s="136"/>
      <c r="R294" s="136"/>
      <c r="S294" s="136"/>
      <c r="T294" s="136"/>
      <c r="U294" s="136"/>
      <c r="V294" s="136"/>
      <c r="W294" s="136"/>
    </row>
    <row r="295">
      <c r="A295" s="136"/>
      <c r="B295" s="136"/>
      <c r="C295" s="136"/>
      <c r="D295" s="136"/>
      <c r="E295" s="136"/>
      <c r="F295" s="136"/>
      <c r="G295" s="136"/>
      <c r="H295" s="136"/>
      <c r="I295" s="136"/>
      <c r="J295" s="136"/>
      <c r="K295" s="451"/>
      <c r="L295" s="451"/>
      <c r="M295" s="136"/>
      <c r="N295" s="136"/>
      <c r="O295" s="136"/>
      <c r="P295" s="136"/>
      <c r="Q295" s="136"/>
      <c r="R295" s="136"/>
      <c r="S295" s="136"/>
      <c r="T295" s="136"/>
      <c r="U295" s="136"/>
      <c r="V295" s="136"/>
      <c r="W295" s="136"/>
    </row>
    <row r="296">
      <c r="A296" s="136"/>
      <c r="B296" s="136"/>
      <c r="C296" s="136"/>
      <c r="D296" s="136"/>
      <c r="E296" s="136"/>
      <c r="F296" s="136"/>
      <c r="G296" s="136"/>
      <c r="H296" s="136"/>
      <c r="I296" s="136"/>
      <c r="J296" s="136"/>
      <c r="K296" s="451"/>
      <c r="L296" s="451"/>
      <c r="M296" s="136"/>
      <c r="N296" s="136"/>
      <c r="O296" s="136"/>
      <c r="P296" s="136"/>
      <c r="Q296" s="136"/>
      <c r="R296" s="136"/>
      <c r="S296" s="136"/>
      <c r="T296" s="136"/>
      <c r="U296" s="136"/>
      <c r="V296" s="136"/>
      <c r="W296" s="136"/>
    </row>
    <row r="297">
      <c r="A297" s="136"/>
      <c r="B297" s="136"/>
      <c r="C297" s="136"/>
      <c r="D297" s="136"/>
      <c r="E297" s="136"/>
      <c r="F297" s="136"/>
      <c r="G297" s="136"/>
      <c r="H297" s="136"/>
      <c r="I297" s="136"/>
      <c r="J297" s="136"/>
      <c r="K297" s="451"/>
      <c r="L297" s="451"/>
      <c r="M297" s="136"/>
      <c r="N297" s="136"/>
      <c r="O297" s="136"/>
      <c r="P297" s="136"/>
      <c r="Q297" s="136"/>
      <c r="R297" s="136"/>
      <c r="S297" s="136"/>
      <c r="T297" s="136"/>
      <c r="U297" s="136"/>
      <c r="V297" s="136"/>
      <c r="W297" s="136"/>
    </row>
    <row r="298">
      <c r="A298" s="136"/>
      <c r="B298" s="136"/>
      <c r="C298" s="136"/>
      <c r="D298" s="136"/>
      <c r="E298" s="136"/>
      <c r="F298" s="136"/>
      <c r="G298" s="136"/>
      <c r="H298" s="136"/>
      <c r="I298" s="136"/>
      <c r="J298" s="136"/>
      <c r="K298" s="451"/>
      <c r="L298" s="451"/>
      <c r="M298" s="136"/>
      <c r="N298" s="136"/>
      <c r="O298" s="136"/>
      <c r="P298" s="136"/>
      <c r="Q298" s="136"/>
      <c r="R298" s="136"/>
      <c r="S298" s="136"/>
      <c r="T298" s="136"/>
      <c r="U298" s="136"/>
      <c r="V298" s="136"/>
      <c r="W298" s="136"/>
    </row>
    <row r="299">
      <c r="A299" s="136"/>
      <c r="B299" s="136"/>
      <c r="C299" s="136"/>
      <c r="D299" s="136"/>
      <c r="E299" s="136"/>
      <c r="F299" s="136"/>
      <c r="G299" s="136"/>
      <c r="H299" s="136"/>
      <c r="I299" s="136"/>
      <c r="J299" s="136"/>
      <c r="K299" s="451"/>
      <c r="L299" s="451"/>
      <c r="M299" s="136"/>
      <c r="N299" s="136"/>
      <c r="O299" s="136"/>
      <c r="P299" s="136"/>
      <c r="Q299" s="136"/>
      <c r="R299" s="136"/>
      <c r="S299" s="136"/>
      <c r="T299" s="136"/>
      <c r="U299" s="136"/>
      <c r="V299" s="136"/>
      <c r="W299" s="136"/>
    </row>
    <row r="300">
      <c r="A300" s="136"/>
      <c r="B300" s="136"/>
      <c r="C300" s="136"/>
      <c r="D300" s="136"/>
      <c r="E300" s="136"/>
      <c r="F300" s="136"/>
      <c r="G300" s="136"/>
      <c r="H300" s="136"/>
      <c r="I300" s="136"/>
      <c r="J300" s="136"/>
      <c r="K300" s="451"/>
      <c r="L300" s="451"/>
      <c r="M300" s="136"/>
      <c r="N300" s="136"/>
      <c r="O300" s="136"/>
      <c r="P300" s="136"/>
      <c r="Q300" s="136"/>
      <c r="R300" s="136"/>
      <c r="S300" s="136"/>
      <c r="T300" s="136"/>
      <c r="U300" s="136"/>
      <c r="V300" s="136"/>
      <c r="W300" s="136"/>
    </row>
    <row r="301">
      <c r="A301" s="136"/>
      <c r="B301" s="136"/>
      <c r="C301" s="136"/>
      <c r="D301" s="136"/>
      <c r="E301" s="136"/>
      <c r="F301" s="136"/>
      <c r="G301" s="136"/>
      <c r="H301" s="136"/>
      <c r="I301" s="136"/>
      <c r="J301" s="136"/>
      <c r="K301" s="451"/>
      <c r="L301" s="451"/>
      <c r="M301" s="136"/>
      <c r="N301" s="136"/>
      <c r="O301" s="136"/>
      <c r="P301" s="136"/>
      <c r="Q301" s="136"/>
      <c r="R301" s="136"/>
      <c r="S301" s="136"/>
      <c r="T301" s="136"/>
      <c r="U301" s="136"/>
      <c r="V301" s="136"/>
      <c r="W301" s="136"/>
    </row>
    <row r="302">
      <c r="A302" s="136"/>
      <c r="B302" s="136"/>
      <c r="C302" s="136"/>
      <c r="D302" s="136"/>
      <c r="E302" s="136"/>
      <c r="F302" s="136"/>
      <c r="G302" s="136"/>
      <c r="H302" s="136"/>
      <c r="I302" s="136"/>
      <c r="J302" s="136"/>
      <c r="K302" s="451"/>
      <c r="L302" s="451"/>
      <c r="M302" s="136"/>
      <c r="N302" s="136"/>
      <c r="O302" s="136"/>
      <c r="P302" s="136"/>
      <c r="Q302" s="136"/>
      <c r="R302" s="136"/>
      <c r="S302" s="136"/>
      <c r="T302" s="136"/>
      <c r="U302" s="136"/>
      <c r="V302" s="136"/>
      <c r="W302" s="136"/>
    </row>
    <row r="303">
      <c r="A303" s="136"/>
      <c r="B303" s="136"/>
      <c r="C303" s="136"/>
      <c r="D303" s="136"/>
      <c r="E303" s="136"/>
      <c r="F303" s="136"/>
      <c r="G303" s="136"/>
      <c r="H303" s="136"/>
      <c r="I303" s="136"/>
      <c r="J303" s="136"/>
      <c r="K303" s="451"/>
      <c r="L303" s="451"/>
      <c r="M303" s="136"/>
      <c r="N303" s="136"/>
      <c r="O303" s="136"/>
      <c r="P303" s="136"/>
      <c r="Q303" s="136"/>
      <c r="R303" s="136"/>
      <c r="S303" s="136"/>
      <c r="T303" s="136"/>
      <c r="U303" s="136"/>
      <c r="V303" s="136"/>
      <c r="W303" s="136"/>
    </row>
    <row r="304">
      <c r="A304" s="136"/>
      <c r="B304" s="136"/>
      <c r="C304" s="136"/>
      <c r="D304" s="136"/>
      <c r="E304" s="136"/>
      <c r="F304" s="136"/>
      <c r="G304" s="136"/>
      <c r="H304" s="136"/>
      <c r="I304" s="136"/>
      <c r="J304" s="136"/>
      <c r="K304" s="451"/>
      <c r="L304" s="451"/>
      <c r="M304" s="136"/>
      <c r="N304" s="136"/>
      <c r="O304" s="136"/>
      <c r="P304" s="136"/>
      <c r="Q304" s="136"/>
      <c r="R304" s="136"/>
      <c r="S304" s="136"/>
      <c r="T304" s="136"/>
      <c r="U304" s="136"/>
      <c r="V304" s="136"/>
      <c r="W304" s="136"/>
    </row>
    <row r="305">
      <c r="A305" s="136"/>
      <c r="B305" s="136"/>
      <c r="C305" s="136"/>
      <c r="D305" s="136"/>
      <c r="E305" s="136"/>
      <c r="F305" s="136"/>
      <c r="G305" s="136"/>
      <c r="H305" s="136"/>
      <c r="I305" s="136"/>
      <c r="J305" s="136"/>
      <c r="K305" s="451"/>
      <c r="L305" s="451"/>
      <c r="M305" s="136"/>
      <c r="N305" s="136"/>
      <c r="O305" s="136"/>
      <c r="P305" s="136"/>
      <c r="Q305" s="136"/>
      <c r="R305" s="136"/>
      <c r="S305" s="136"/>
      <c r="T305" s="136"/>
      <c r="U305" s="136"/>
      <c r="V305" s="136"/>
      <c r="W305" s="136"/>
    </row>
    <row r="306">
      <c r="A306" s="136"/>
      <c r="B306" s="136"/>
      <c r="C306" s="136"/>
      <c r="D306" s="136"/>
      <c r="E306" s="136"/>
      <c r="F306" s="136"/>
      <c r="G306" s="136"/>
      <c r="H306" s="136"/>
      <c r="I306" s="136"/>
      <c r="J306" s="136"/>
      <c r="K306" s="451"/>
      <c r="L306" s="451"/>
      <c r="M306" s="136"/>
      <c r="N306" s="136"/>
      <c r="O306" s="136"/>
      <c r="P306" s="136"/>
      <c r="Q306" s="136"/>
      <c r="R306" s="136"/>
      <c r="S306" s="136"/>
      <c r="T306" s="136"/>
      <c r="U306" s="136"/>
      <c r="V306" s="136"/>
      <c r="W306" s="136"/>
    </row>
    <row r="307">
      <c r="A307" s="136"/>
      <c r="B307" s="136"/>
      <c r="C307" s="136"/>
      <c r="D307" s="136"/>
      <c r="E307" s="136"/>
      <c r="F307" s="136"/>
      <c r="G307" s="136"/>
      <c r="H307" s="136"/>
      <c r="I307" s="136"/>
      <c r="J307" s="136"/>
      <c r="K307" s="451"/>
      <c r="L307" s="451"/>
      <c r="M307" s="136"/>
      <c r="N307" s="136"/>
      <c r="O307" s="136"/>
      <c r="P307" s="136"/>
      <c r="Q307" s="136"/>
      <c r="R307" s="136"/>
      <c r="S307" s="136"/>
      <c r="T307" s="136"/>
      <c r="U307" s="136"/>
      <c r="V307" s="136"/>
      <c r="W307" s="136"/>
    </row>
    <row r="308">
      <c r="A308" s="136"/>
      <c r="B308" s="136"/>
      <c r="C308" s="136"/>
      <c r="D308" s="136"/>
      <c r="E308" s="136"/>
      <c r="F308" s="136"/>
      <c r="G308" s="136"/>
      <c r="H308" s="136"/>
      <c r="I308" s="136"/>
      <c r="J308" s="136"/>
      <c r="K308" s="451"/>
      <c r="L308" s="451"/>
      <c r="M308" s="136"/>
      <c r="N308" s="136"/>
      <c r="O308" s="136"/>
      <c r="P308" s="136"/>
      <c r="Q308" s="136"/>
      <c r="R308" s="136"/>
      <c r="S308" s="136"/>
      <c r="T308" s="136"/>
      <c r="U308" s="136"/>
      <c r="V308" s="136"/>
      <c r="W308" s="136"/>
    </row>
    <row r="309">
      <c r="A309" s="136"/>
      <c r="B309" s="136"/>
      <c r="C309" s="136"/>
      <c r="D309" s="136"/>
      <c r="E309" s="136"/>
      <c r="F309" s="136"/>
      <c r="G309" s="136"/>
      <c r="H309" s="136"/>
      <c r="I309" s="136"/>
      <c r="J309" s="136"/>
      <c r="K309" s="451"/>
      <c r="L309" s="451"/>
      <c r="M309" s="136"/>
      <c r="N309" s="136"/>
      <c r="O309" s="136"/>
      <c r="P309" s="136"/>
      <c r="Q309" s="136"/>
      <c r="R309" s="136"/>
      <c r="S309" s="136"/>
      <c r="T309" s="136"/>
      <c r="U309" s="136"/>
      <c r="V309" s="136"/>
      <c r="W309" s="136"/>
    </row>
    <row r="310">
      <c r="A310" s="136"/>
      <c r="B310" s="136"/>
      <c r="C310" s="136"/>
      <c r="D310" s="136"/>
      <c r="E310" s="136"/>
      <c r="F310" s="136"/>
      <c r="G310" s="136"/>
      <c r="H310" s="136"/>
      <c r="I310" s="136"/>
      <c r="J310" s="136"/>
      <c r="K310" s="451"/>
      <c r="L310" s="451"/>
      <c r="M310" s="136"/>
      <c r="N310" s="136"/>
      <c r="O310" s="136"/>
      <c r="P310" s="136"/>
      <c r="Q310" s="136"/>
      <c r="R310" s="136"/>
      <c r="S310" s="136"/>
      <c r="T310" s="136"/>
      <c r="U310" s="136"/>
      <c r="V310" s="136"/>
      <c r="W310" s="136"/>
    </row>
    <row r="311">
      <c r="A311" s="136"/>
      <c r="B311" s="136"/>
      <c r="C311" s="136"/>
      <c r="D311" s="136"/>
      <c r="E311" s="136"/>
      <c r="F311" s="136"/>
      <c r="G311" s="136"/>
      <c r="H311" s="136"/>
      <c r="I311" s="136"/>
      <c r="J311" s="136"/>
      <c r="K311" s="451"/>
      <c r="L311" s="451"/>
      <c r="M311" s="136"/>
      <c r="N311" s="136"/>
      <c r="O311" s="136"/>
      <c r="P311" s="136"/>
      <c r="Q311" s="136"/>
      <c r="R311" s="136"/>
      <c r="S311" s="136"/>
      <c r="T311" s="136"/>
      <c r="U311" s="136"/>
      <c r="V311" s="136"/>
      <c r="W311" s="136"/>
    </row>
    <row r="312">
      <c r="A312" s="136"/>
      <c r="B312" s="136"/>
      <c r="C312" s="136"/>
      <c r="D312" s="136"/>
      <c r="E312" s="136"/>
      <c r="F312" s="136"/>
      <c r="G312" s="136"/>
      <c r="H312" s="136"/>
      <c r="I312" s="136"/>
      <c r="J312" s="136"/>
      <c r="K312" s="451"/>
      <c r="L312" s="451"/>
      <c r="M312" s="136"/>
      <c r="N312" s="136"/>
      <c r="O312" s="136"/>
      <c r="P312" s="136"/>
      <c r="Q312" s="136"/>
      <c r="R312" s="136"/>
      <c r="S312" s="136"/>
      <c r="T312" s="136"/>
      <c r="U312" s="136"/>
      <c r="V312" s="136"/>
      <c r="W312" s="136"/>
    </row>
    <row r="313">
      <c r="A313" s="136"/>
      <c r="B313" s="136"/>
      <c r="C313" s="136"/>
      <c r="D313" s="136"/>
      <c r="E313" s="136"/>
      <c r="F313" s="136"/>
      <c r="G313" s="136"/>
      <c r="H313" s="136"/>
      <c r="I313" s="136"/>
      <c r="J313" s="136"/>
      <c r="K313" s="451"/>
      <c r="L313" s="451"/>
      <c r="M313" s="136"/>
      <c r="N313" s="136"/>
      <c r="O313" s="136"/>
      <c r="P313" s="136"/>
      <c r="Q313" s="136"/>
      <c r="R313" s="136"/>
      <c r="S313" s="136"/>
      <c r="T313" s="136"/>
      <c r="U313" s="136"/>
      <c r="V313" s="136"/>
      <c r="W313" s="136"/>
    </row>
    <row r="314">
      <c r="A314" s="136"/>
      <c r="B314" s="136"/>
      <c r="C314" s="136"/>
      <c r="D314" s="136"/>
      <c r="E314" s="136"/>
      <c r="F314" s="136"/>
      <c r="G314" s="136"/>
      <c r="H314" s="136"/>
      <c r="I314" s="136"/>
      <c r="J314" s="136"/>
      <c r="K314" s="451"/>
      <c r="L314" s="451"/>
      <c r="M314" s="136"/>
      <c r="N314" s="136"/>
      <c r="O314" s="136"/>
      <c r="P314" s="136"/>
      <c r="Q314" s="136"/>
      <c r="R314" s="136"/>
      <c r="S314" s="136"/>
      <c r="T314" s="136"/>
      <c r="U314" s="136"/>
      <c r="V314" s="136"/>
      <c r="W314" s="136"/>
    </row>
    <row r="315">
      <c r="A315" s="136"/>
      <c r="B315" s="136"/>
      <c r="C315" s="136"/>
      <c r="D315" s="136"/>
      <c r="E315" s="136"/>
      <c r="F315" s="136"/>
      <c r="G315" s="136"/>
      <c r="H315" s="136"/>
      <c r="I315" s="136"/>
      <c r="J315" s="136"/>
      <c r="K315" s="451"/>
      <c r="L315" s="451"/>
      <c r="M315" s="136"/>
      <c r="N315" s="136"/>
      <c r="O315" s="136"/>
      <c r="P315" s="136"/>
      <c r="Q315" s="136"/>
      <c r="R315" s="136"/>
      <c r="S315" s="136"/>
      <c r="T315" s="136"/>
      <c r="U315" s="136"/>
      <c r="V315" s="136"/>
      <c r="W315" s="136"/>
    </row>
    <row r="316">
      <c r="A316" s="136"/>
      <c r="B316" s="136"/>
      <c r="C316" s="136"/>
      <c r="D316" s="136"/>
      <c r="E316" s="136"/>
      <c r="F316" s="136"/>
      <c r="G316" s="136"/>
      <c r="H316" s="136"/>
      <c r="I316" s="136"/>
      <c r="J316" s="136"/>
      <c r="K316" s="451"/>
      <c r="L316" s="451"/>
      <c r="M316" s="136"/>
      <c r="N316" s="136"/>
      <c r="O316" s="136"/>
      <c r="P316" s="136"/>
      <c r="Q316" s="136"/>
      <c r="R316" s="136"/>
      <c r="S316" s="136"/>
      <c r="T316" s="136"/>
      <c r="U316" s="136"/>
      <c r="V316" s="136"/>
      <c r="W316" s="136"/>
    </row>
    <row r="317">
      <c r="A317" s="136"/>
      <c r="B317" s="136"/>
      <c r="C317" s="136"/>
      <c r="D317" s="136"/>
      <c r="E317" s="136"/>
      <c r="F317" s="136"/>
      <c r="G317" s="136"/>
      <c r="H317" s="136"/>
      <c r="I317" s="136"/>
      <c r="J317" s="136"/>
      <c r="K317" s="451"/>
      <c r="L317" s="451"/>
      <c r="M317" s="136"/>
      <c r="N317" s="136"/>
      <c r="O317" s="136"/>
      <c r="P317" s="136"/>
      <c r="Q317" s="136"/>
      <c r="R317" s="136"/>
      <c r="S317" s="136"/>
      <c r="T317" s="136"/>
      <c r="U317" s="136"/>
      <c r="V317" s="136"/>
      <c r="W317" s="136"/>
    </row>
    <row r="318">
      <c r="A318" s="136"/>
      <c r="B318" s="136"/>
      <c r="C318" s="136"/>
      <c r="D318" s="136"/>
      <c r="E318" s="136"/>
      <c r="F318" s="136"/>
      <c r="G318" s="136"/>
      <c r="H318" s="136"/>
      <c r="I318" s="136"/>
      <c r="J318" s="136"/>
      <c r="K318" s="451"/>
      <c r="L318" s="451"/>
      <c r="M318" s="136"/>
      <c r="N318" s="136"/>
      <c r="O318" s="136"/>
      <c r="P318" s="136"/>
      <c r="Q318" s="136"/>
      <c r="R318" s="136"/>
      <c r="S318" s="136"/>
      <c r="T318" s="136"/>
      <c r="U318" s="136"/>
      <c r="V318" s="136"/>
      <c r="W318" s="136"/>
    </row>
    <row r="319">
      <c r="A319" s="136"/>
      <c r="B319" s="136"/>
      <c r="C319" s="136"/>
      <c r="D319" s="136"/>
      <c r="E319" s="136"/>
      <c r="F319" s="136"/>
      <c r="G319" s="136"/>
      <c r="H319" s="136"/>
      <c r="I319" s="136"/>
      <c r="J319" s="136"/>
      <c r="K319" s="451"/>
      <c r="L319" s="451"/>
      <c r="M319" s="136"/>
      <c r="N319" s="136"/>
      <c r="O319" s="136"/>
      <c r="P319" s="136"/>
      <c r="Q319" s="136"/>
      <c r="R319" s="136"/>
      <c r="S319" s="136"/>
      <c r="T319" s="136"/>
      <c r="U319" s="136"/>
      <c r="V319" s="136"/>
      <c r="W319" s="136"/>
    </row>
    <row r="320">
      <c r="A320" s="136"/>
      <c r="B320" s="136"/>
      <c r="C320" s="136"/>
      <c r="D320" s="136"/>
      <c r="E320" s="136"/>
      <c r="F320" s="136"/>
      <c r="G320" s="136"/>
      <c r="H320" s="136"/>
      <c r="I320" s="136"/>
      <c r="J320" s="136"/>
      <c r="K320" s="451"/>
      <c r="L320" s="451"/>
      <c r="M320" s="136"/>
      <c r="N320" s="136"/>
      <c r="O320" s="136"/>
      <c r="P320" s="136"/>
      <c r="Q320" s="136"/>
      <c r="R320" s="136"/>
      <c r="S320" s="136"/>
      <c r="T320" s="136"/>
      <c r="U320" s="136"/>
      <c r="V320" s="136"/>
      <c r="W320" s="136"/>
    </row>
    <row r="321">
      <c r="A321" s="136"/>
      <c r="B321" s="136"/>
      <c r="C321" s="136"/>
      <c r="D321" s="136"/>
      <c r="E321" s="136"/>
      <c r="F321" s="136"/>
      <c r="G321" s="136"/>
      <c r="H321" s="136"/>
      <c r="I321" s="136"/>
      <c r="J321" s="136"/>
      <c r="K321" s="451"/>
      <c r="L321" s="451"/>
      <c r="M321" s="136"/>
      <c r="N321" s="136"/>
      <c r="O321" s="136"/>
      <c r="P321" s="136"/>
      <c r="Q321" s="136"/>
      <c r="R321" s="136"/>
      <c r="S321" s="136"/>
      <c r="T321" s="136"/>
      <c r="U321" s="136"/>
      <c r="V321" s="136"/>
      <c r="W321" s="136"/>
    </row>
    <row r="322">
      <c r="A322" s="136"/>
      <c r="B322" s="136"/>
      <c r="C322" s="136"/>
      <c r="D322" s="136"/>
      <c r="E322" s="136"/>
      <c r="F322" s="136"/>
      <c r="G322" s="136"/>
      <c r="H322" s="136"/>
      <c r="I322" s="136"/>
      <c r="J322" s="136"/>
      <c r="K322" s="451"/>
      <c r="L322" s="451"/>
      <c r="M322" s="136"/>
      <c r="N322" s="136"/>
      <c r="O322" s="136"/>
      <c r="P322" s="136"/>
      <c r="Q322" s="136"/>
      <c r="R322" s="136"/>
      <c r="S322" s="136"/>
      <c r="T322" s="136"/>
      <c r="U322" s="136"/>
      <c r="V322" s="136"/>
      <c r="W322" s="136"/>
    </row>
    <row r="323">
      <c r="A323" s="136"/>
      <c r="B323" s="136"/>
      <c r="C323" s="136"/>
      <c r="D323" s="136"/>
      <c r="E323" s="136"/>
      <c r="F323" s="136"/>
      <c r="G323" s="136"/>
      <c r="H323" s="136"/>
      <c r="I323" s="136"/>
      <c r="J323" s="136"/>
      <c r="K323" s="451"/>
      <c r="L323" s="451"/>
      <c r="M323" s="136"/>
      <c r="N323" s="136"/>
      <c r="O323" s="136"/>
      <c r="P323" s="136"/>
      <c r="Q323" s="136"/>
      <c r="R323" s="136"/>
      <c r="S323" s="136"/>
      <c r="T323" s="136"/>
      <c r="U323" s="136"/>
      <c r="V323" s="136"/>
      <c r="W323" s="136"/>
    </row>
    <row r="324">
      <c r="A324" s="136"/>
      <c r="B324" s="136"/>
      <c r="C324" s="136"/>
      <c r="D324" s="136"/>
      <c r="E324" s="136"/>
      <c r="F324" s="136"/>
      <c r="G324" s="136"/>
      <c r="H324" s="136"/>
      <c r="I324" s="136"/>
      <c r="J324" s="136"/>
      <c r="K324" s="451"/>
      <c r="L324" s="451"/>
      <c r="M324" s="136"/>
      <c r="N324" s="136"/>
      <c r="O324" s="136"/>
      <c r="P324" s="136"/>
      <c r="Q324" s="136"/>
      <c r="R324" s="136"/>
      <c r="S324" s="136"/>
      <c r="T324" s="136"/>
      <c r="U324" s="136"/>
      <c r="V324" s="136"/>
      <c r="W324" s="136"/>
    </row>
    <row r="325">
      <c r="A325" s="136"/>
      <c r="B325" s="136"/>
      <c r="C325" s="136"/>
      <c r="D325" s="136"/>
      <c r="E325" s="136"/>
      <c r="F325" s="136"/>
      <c r="G325" s="136"/>
      <c r="H325" s="136"/>
      <c r="I325" s="136"/>
      <c r="J325" s="136"/>
      <c r="K325" s="451"/>
      <c r="L325" s="451"/>
      <c r="M325" s="136"/>
      <c r="N325" s="136"/>
      <c r="O325" s="136"/>
      <c r="P325" s="136"/>
      <c r="Q325" s="136"/>
      <c r="R325" s="136"/>
      <c r="S325" s="136"/>
      <c r="T325" s="136"/>
      <c r="U325" s="136"/>
      <c r="V325" s="136"/>
      <c r="W325" s="136"/>
    </row>
    <row r="326">
      <c r="A326" s="136"/>
      <c r="B326" s="136"/>
      <c r="C326" s="136"/>
      <c r="D326" s="136"/>
      <c r="E326" s="136"/>
      <c r="F326" s="136"/>
      <c r="G326" s="136"/>
      <c r="H326" s="136"/>
      <c r="I326" s="136"/>
      <c r="J326" s="136"/>
      <c r="K326" s="451"/>
      <c r="L326" s="451"/>
      <c r="M326" s="136"/>
      <c r="N326" s="136"/>
      <c r="O326" s="136"/>
      <c r="P326" s="136"/>
      <c r="Q326" s="136"/>
      <c r="R326" s="136"/>
      <c r="S326" s="136"/>
      <c r="T326" s="136"/>
      <c r="U326" s="136"/>
      <c r="V326" s="136"/>
      <c r="W326" s="136"/>
    </row>
    <row r="327">
      <c r="A327" s="136"/>
      <c r="B327" s="136"/>
      <c r="C327" s="136"/>
      <c r="D327" s="136"/>
      <c r="E327" s="136"/>
      <c r="F327" s="136"/>
      <c r="G327" s="136"/>
      <c r="H327" s="136"/>
      <c r="I327" s="136"/>
      <c r="J327" s="136"/>
      <c r="K327" s="451"/>
      <c r="L327" s="451"/>
      <c r="M327" s="136"/>
      <c r="N327" s="136"/>
      <c r="O327" s="136"/>
      <c r="P327" s="136"/>
      <c r="Q327" s="136"/>
      <c r="R327" s="136"/>
      <c r="S327" s="136"/>
      <c r="T327" s="136"/>
      <c r="U327" s="136"/>
      <c r="V327" s="136"/>
      <c r="W327" s="136"/>
    </row>
    <row r="328">
      <c r="A328" s="136"/>
      <c r="B328" s="136"/>
      <c r="C328" s="136"/>
      <c r="D328" s="136"/>
      <c r="E328" s="136"/>
      <c r="F328" s="136"/>
      <c r="G328" s="136"/>
      <c r="H328" s="136"/>
      <c r="I328" s="136"/>
      <c r="J328" s="136"/>
      <c r="K328" s="451"/>
      <c r="L328" s="451"/>
      <c r="M328" s="136"/>
      <c r="N328" s="136"/>
      <c r="O328" s="136"/>
      <c r="P328" s="136"/>
      <c r="Q328" s="136"/>
      <c r="R328" s="136"/>
      <c r="S328" s="136"/>
      <c r="T328" s="136"/>
      <c r="U328" s="136"/>
      <c r="V328" s="136"/>
      <c r="W328" s="136"/>
    </row>
    <row r="329">
      <c r="A329" s="136"/>
      <c r="B329" s="136"/>
      <c r="C329" s="136"/>
      <c r="D329" s="136"/>
      <c r="E329" s="136"/>
      <c r="F329" s="136"/>
      <c r="G329" s="136"/>
      <c r="H329" s="136"/>
      <c r="I329" s="136"/>
      <c r="J329" s="136"/>
      <c r="K329" s="451"/>
      <c r="L329" s="451"/>
      <c r="M329" s="136"/>
      <c r="N329" s="136"/>
      <c r="O329" s="136"/>
      <c r="P329" s="136"/>
      <c r="Q329" s="136"/>
      <c r="R329" s="136"/>
      <c r="S329" s="136"/>
      <c r="T329" s="136"/>
      <c r="U329" s="136"/>
      <c r="V329" s="136"/>
      <c r="W329" s="136"/>
    </row>
    <row r="330">
      <c r="A330" s="136"/>
      <c r="B330" s="136"/>
      <c r="C330" s="136"/>
      <c r="D330" s="136"/>
      <c r="E330" s="136"/>
      <c r="F330" s="136"/>
      <c r="G330" s="136"/>
      <c r="H330" s="136"/>
      <c r="I330" s="136"/>
      <c r="J330" s="136"/>
      <c r="K330" s="451"/>
      <c r="L330" s="451"/>
      <c r="M330" s="136"/>
      <c r="N330" s="136"/>
      <c r="O330" s="136"/>
      <c r="P330" s="136"/>
      <c r="Q330" s="136"/>
      <c r="R330" s="136"/>
      <c r="S330" s="136"/>
      <c r="T330" s="136"/>
      <c r="U330" s="136"/>
      <c r="V330" s="136"/>
      <c r="W330" s="136"/>
    </row>
    <row r="331">
      <c r="A331" s="136"/>
      <c r="B331" s="136"/>
      <c r="C331" s="136"/>
      <c r="D331" s="136"/>
      <c r="E331" s="136"/>
      <c r="F331" s="136"/>
      <c r="G331" s="136"/>
      <c r="H331" s="136"/>
      <c r="I331" s="136"/>
      <c r="J331" s="136"/>
      <c r="K331" s="451"/>
      <c r="L331" s="451"/>
      <c r="M331" s="136"/>
      <c r="N331" s="136"/>
      <c r="O331" s="136"/>
      <c r="P331" s="136"/>
      <c r="Q331" s="136"/>
      <c r="R331" s="136"/>
      <c r="S331" s="136"/>
      <c r="T331" s="136"/>
      <c r="U331" s="136"/>
      <c r="V331" s="136"/>
      <c r="W331" s="136"/>
    </row>
    <row r="332">
      <c r="A332" s="136"/>
      <c r="B332" s="136"/>
      <c r="C332" s="136"/>
      <c r="D332" s="136"/>
      <c r="E332" s="136"/>
      <c r="F332" s="136"/>
      <c r="G332" s="136"/>
      <c r="H332" s="136"/>
      <c r="I332" s="136"/>
      <c r="J332" s="136"/>
      <c r="K332" s="451"/>
      <c r="L332" s="451"/>
      <c r="M332" s="136"/>
      <c r="N332" s="136"/>
      <c r="O332" s="136"/>
      <c r="P332" s="136"/>
      <c r="Q332" s="136"/>
      <c r="R332" s="136"/>
      <c r="S332" s="136"/>
      <c r="T332" s="136"/>
      <c r="U332" s="136"/>
      <c r="V332" s="136"/>
      <c r="W332" s="136"/>
    </row>
    <row r="333">
      <c r="A333" s="136"/>
      <c r="B333" s="136"/>
      <c r="C333" s="136"/>
      <c r="D333" s="136"/>
      <c r="E333" s="136"/>
      <c r="F333" s="136"/>
      <c r="G333" s="136"/>
      <c r="H333" s="136"/>
      <c r="I333" s="136"/>
      <c r="J333" s="136"/>
      <c r="K333" s="451"/>
      <c r="L333" s="451"/>
      <c r="M333" s="136"/>
      <c r="N333" s="136"/>
      <c r="O333" s="136"/>
      <c r="P333" s="136"/>
      <c r="Q333" s="136"/>
      <c r="R333" s="136"/>
      <c r="S333" s="136"/>
      <c r="T333" s="136"/>
      <c r="U333" s="136"/>
      <c r="V333" s="136"/>
      <c r="W333" s="136"/>
    </row>
    <row r="334">
      <c r="A334" s="136"/>
      <c r="B334" s="136"/>
      <c r="C334" s="136"/>
      <c r="D334" s="136"/>
      <c r="E334" s="136"/>
      <c r="F334" s="136"/>
      <c r="G334" s="136"/>
      <c r="H334" s="136"/>
      <c r="I334" s="136"/>
      <c r="J334" s="136"/>
      <c r="K334" s="451"/>
      <c r="L334" s="451"/>
      <c r="M334" s="136"/>
      <c r="N334" s="136"/>
      <c r="O334" s="136"/>
      <c r="P334" s="136"/>
      <c r="Q334" s="136"/>
      <c r="R334" s="136"/>
      <c r="S334" s="136"/>
      <c r="T334" s="136"/>
      <c r="U334" s="136"/>
      <c r="V334" s="136"/>
      <c r="W334" s="136"/>
    </row>
    <row r="335">
      <c r="A335" s="136"/>
      <c r="B335" s="136"/>
      <c r="C335" s="136"/>
      <c r="D335" s="136"/>
      <c r="E335" s="136"/>
      <c r="F335" s="136"/>
      <c r="G335" s="136"/>
      <c r="H335" s="136"/>
      <c r="I335" s="136"/>
      <c r="J335" s="136"/>
      <c r="K335" s="451"/>
      <c r="L335" s="451"/>
      <c r="M335" s="136"/>
      <c r="N335" s="136"/>
      <c r="O335" s="136"/>
      <c r="P335" s="136"/>
      <c r="Q335" s="136"/>
      <c r="R335" s="136"/>
      <c r="S335" s="136"/>
      <c r="T335" s="136"/>
      <c r="U335" s="136"/>
      <c r="V335" s="136"/>
      <c r="W335" s="136"/>
    </row>
    <row r="336">
      <c r="A336" s="136"/>
      <c r="B336" s="136"/>
      <c r="C336" s="136"/>
      <c r="D336" s="136"/>
      <c r="E336" s="136"/>
      <c r="F336" s="136"/>
      <c r="G336" s="136"/>
      <c r="H336" s="136"/>
      <c r="I336" s="136"/>
      <c r="J336" s="136"/>
      <c r="K336" s="451"/>
      <c r="L336" s="451"/>
      <c r="M336" s="136"/>
      <c r="N336" s="136"/>
      <c r="O336" s="136"/>
      <c r="P336" s="136"/>
      <c r="Q336" s="136"/>
      <c r="R336" s="136"/>
      <c r="S336" s="136"/>
      <c r="T336" s="136"/>
      <c r="U336" s="136"/>
      <c r="V336" s="136"/>
      <c r="W336" s="136"/>
    </row>
    <row r="337">
      <c r="A337" s="136"/>
      <c r="B337" s="136"/>
      <c r="C337" s="136"/>
      <c r="D337" s="136"/>
      <c r="E337" s="136"/>
      <c r="F337" s="136"/>
      <c r="G337" s="136"/>
      <c r="H337" s="136"/>
      <c r="I337" s="136"/>
      <c r="J337" s="136"/>
      <c r="K337" s="451"/>
      <c r="L337" s="451"/>
      <c r="M337" s="136"/>
      <c r="N337" s="136"/>
      <c r="O337" s="136"/>
      <c r="P337" s="136"/>
      <c r="Q337" s="136"/>
      <c r="R337" s="136"/>
      <c r="S337" s="136"/>
      <c r="T337" s="136"/>
      <c r="U337" s="136"/>
      <c r="V337" s="136"/>
      <c r="W337" s="136"/>
    </row>
    <row r="338">
      <c r="A338" s="136"/>
      <c r="B338" s="136"/>
      <c r="C338" s="136"/>
      <c r="D338" s="136"/>
      <c r="E338" s="136"/>
      <c r="F338" s="136"/>
      <c r="G338" s="136"/>
      <c r="H338" s="136"/>
      <c r="I338" s="136"/>
      <c r="J338" s="136"/>
      <c r="K338" s="451"/>
      <c r="L338" s="451"/>
      <c r="M338" s="136"/>
      <c r="N338" s="136"/>
      <c r="O338" s="136"/>
      <c r="P338" s="136"/>
      <c r="Q338" s="136"/>
      <c r="R338" s="136"/>
      <c r="S338" s="136"/>
      <c r="T338" s="136"/>
      <c r="U338" s="136"/>
      <c r="V338" s="136"/>
      <c r="W338" s="136"/>
    </row>
    <row r="339">
      <c r="A339" s="136"/>
      <c r="B339" s="136"/>
      <c r="C339" s="136"/>
      <c r="D339" s="136"/>
      <c r="E339" s="136"/>
      <c r="F339" s="136"/>
      <c r="G339" s="136"/>
      <c r="H339" s="136"/>
      <c r="I339" s="136"/>
      <c r="J339" s="136"/>
      <c r="K339" s="451"/>
      <c r="L339" s="451"/>
      <c r="M339" s="136"/>
      <c r="N339" s="136"/>
      <c r="O339" s="136"/>
      <c r="P339" s="136"/>
      <c r="Q339" s="136"/>
      <c r="R339" s="136"/>
      <c r="S339" s="136"/>
      <c r="T339" s="136"/>
      <c r="U339" s="136"/>
      <c r="V339" s="136"/>
      <c r="W339" s="136"/>
    </row>
    <row r="340">
      <c r="A340" s="136"/>
      <c r="B340" s="136"/>
      <c r="C340" s="136"/>
      <c r="D340" s="136"/>
      <c r="E340" s="136"/>
      <c r="F340" s="136"/>
      <c r="G340" s="136"/>
      <c r="H340" s="136"/>
      <c r="I340" s="136"/>
      <c r="J340" s="136"/>
      <c r="K340" s="451"/>
      <c r="L340" s="451"/>
      <c r="M340" s="136"/>
      <c r="N340" s="136"/>
      <c r="O340" s="136"/>
      <c r="P340" s="136"/>
      <c r="Q340" s="136"/>
      <c r="R340" s="136"/>
      <c r="S340" s="136"/>
      <c r="T340" s="136"/>
      <c r="U340" s="136"/>
      <c r="V340" s="136"/>
      <c r="W340" s="136"/>
    </row>
    <row r="341">
      <c r="A341" s="136"/>
      <c r="B341" s="136"/>
      <c r="C341" s="136"/>
      <c r="D341" s="136"/>
      <c r="E341" s="136"/>
      <c r="F341" s="136"/>
      <c r="G341" s="136"/>
      <c r="H341" s="136"/>
      <c r="I341" s="136"/>
      <c r="J341" s="136"/>
      <c r="K341" s="451"/>
      <c r="L341" s="451"/>
      <c r="M341" s="136"/>
      <c r="N341" s="136"/>
      <c r="O341" s="136"/>
      <c r="P341" s="136"/>
      <c r="Q341" s="136"/>
      <c r="R341" s="136"/>
      <c r="S341" s="136"/>
      <c r="T341" s="136"/>
      <c r="U341" s="136"/>
      <c r="V341" s="136"/>
      <c r="W341" s="136"/>
    </row>
    <row r="342">
      <c r="A342" s="136"/>
      <c r="B342" s="136"/>
      <c r="C342" s="136"/>
      <c r="D342" s="136"/>
      <c r="E342" s="136"/>
      <c r="F342" s="136"/>
      <c r="G342" s="136"/>
      <c r="H342" s="136"/>
      <c r="I342" s="136"/>
      <c r="J342" s="136"/>
      <c r="K342" s="451"/>
      <c r="L342" s="451"/>
      <c r="M342" s="136"/>
      <c r="N342" s="136"/>
      <c r="O342" s="136"/>
      <c r="P342" s="136"/>
      <c r="Q342" s="136"/>
      <c r="R342" s="136"/>
      <c r="S342" s="136"/>
      <c r="T342" s="136"/>
      <c r="U342" s="136"/>
      <c r="V342" s="136"/>
      <c r="W342" s="136"/>
    </row>
    <row r="343">
      <c r="A343" s="136"/>
      <c r="B343" s="136"/>
      <c r="C343" s="136"/>
      <c r="D343" s="136"/>
      <c r="E343" s="136"/>
      <c r="F343" s="136"/>
      <c r="G343" s="136"/>
      <c r="H343" s="136"/>
      <c r="I343" s="136"/>
      <c r="J343" s="136"/>
      <c r="K343" s="451"/>
      <c r="L343" s="451"/>
      <c r="M343" s="136"/>
      <c r="N343" s="136"/>
      <c r="O343" s="136"/>
      <c r="P343" s="136"/>
      <c r="Q343" s="136"/>
      <c r="R343" s="136"/>
      <c r="S343" s="136"/>
      <c r="T343" s="136"/>
      <c r="U343" s="136"/>
      <c r="V343" s="136"/>
      <c r="W343" s="136"/>
    </row>
    <row r="344">
      <c r="A344" s="136"/>
      <c r="B344" s="136"/>
      <c r="C344" s="136"/>
      <c r="D344" s="136"/>
      <c r="E344" s="136"/>
      <c r="F344" s="136"/>
      <c r="G344" s="136"/>
      <c r="H344" s="136"/>
      <c r="I344" s="136"/>
      <c r="J344" s="136"/>
      <c r="K344" s="451"/>
      <c r="L344" s="451"/>
      <c r="M344" s="136"/>
      <c r="N344" s="136"/>
      <c r="O344" s="136"/>
      <c r="P344" s="136"/>
      <c r="Q344" s="136"/>
      <c r="R344" s="136"/>
      <c r="S344" s="136"/>
      <c r="T344" s="136"/>
      <c r="U344" s="136"/>
      <c r="V344" s="136"/>
      <c r="W344" s="136"/>
    </row>
    <row r="345">
      <c r="A345" s="136"/>
      <c r="B345" s="136"/>
      <c r="C345" s="136"/>
      <c r="D345" s="136"/>
      <c r="E345" s="136"/>
      <c r="F345" s="136"/>
      <c r="G345" s="136"/>
      <c r="H345" s="136"/>
      <c r="I345" s="136"/>
      <c r="J345" s="136"/>
      <c r="K345" s="451"/>
      <c r="L345" s="451"/>
      <c r="M345" s="136"/>
      <c r="N345" s="136"/>
      <c r="O345" s="136"/>
      <c r="P345" s="136"/>
      <c r="Q345" s="136"/>
      <c r="R345" s="136"/>
      <c r="S345" s="136"/>
      <c r="T345" s="136"/>
      <c r="U345" s="136"/>
      <c r="V345" s="136"/>
      <c r="W345" s="136"/>
    </row>
    <row r="346">
      <c r="A346" s="136"/>
      <c r="B346" s="136"/>
      <c r="C346" s="136"/>
      <c r="D346" s="136"/>
      <c r="E346" s="136"/>
      <c r="F346" s="136"/>
      <c r="G346" s="136"/>
      <c r="H346" s="136"/>
      <c r="I346" s="136"/>
      <c r="J346" s="136"/>
      <c r="K346" s="451"/>
      <c r="L346" s="451"/>
      <c r="M346" s="136"/>
      <c r="N346" s="136"/>
      <c r="O346" s="136"/>
      <c r="P346" s="136"/>
      <c r="Q346" s="136"/>
      <c r="R346" s="136"/>
      <c r="S346" s="136"/>
      <c r="T346" s="136"/>
      <c r="U346" s="136"/>
      <c r="V346" s="136"/>
      <c r="W346" s="136"/>
    </row>
    <row r="347">
      <c r="A347" s="136"/>
      <c r="B347" s="136"/>
      <c r="C347" s="136"/>
      <c r="D347" s="136"/>
      <c r="E347" s="136"/>
      <c r="F347" s="136"/>
      <c r="G347" s="136"/>
      <c r="H347" s="136"/>
      <c r="I347" s="136"/>
      <c r="J347" s="136"/>
      <c r="K347" s="451"/>
      <c r="L347" s="451"/>
      <c r="M347" s="136"/>
      <c r="N347" s="136"/>
      <c r="O347" s="136"/>
      <c r="P347" s="136"/>
      <c r="Q347" s="136"/>
      <c r="R347" s="136"/>
      <c r="S347" s="136"/>
      <c r="T347" s="136"/>
      <c r="U347" s="136"/>
      <c r="V347" s="136"/>
      <c r="W347" s="136"/>
    </row>
    <row r="348">
      <c r="A348" s="136"/>
      <c r="B348" s="136"/>
      <c r="C348" s="136"/>
      <c r="D348" s="136"/>
      <c r="E348" s="136"/>
      <c r="F348" s="136"/>
      <c r="G348" s="136"/>
      <c r="H348" s="136"/>
      <c r="I348" s="136"/>
      <c r="J348" s="136"/>
      <c r="K348" s="451"/>
      <c r="L348" s="451"/>
      <c r="M348" s="136"/>
      <c r="N348" s="136"/>
      <c r="O348" s="136"/>
      <c r="P348" s="136"/>
      <c r="Q348" s="136"/>
      <c r="R348" s="136"/>
      <c r="S348" s="136"/>
      <c r="T348" s="136"/>
      <c r="U348" s="136"/>
      <c r="V348" s="136"/>
      <c r="W348" s="136"/>
    </row>
    <row r="349">
      <c r="A349" s="136"/>
      <c r="B349" s="136"/>
      <c r="C349" s="136"/>
      <c r="D349" s="136"/>
      <c r="E349" s="136"/>
      <c r="F349" s="136"/>
      <c r="G349" s="136"/>
      <c r="H349" s="136"/>
      <c r="I349" s="136"/>
      <c r="J349" s="136"/>
      <c r="K349" s="451"/>
      <c r="L349" s="451"/>
      <c r="M349" s="136"/>
      <c r="N349" s="136"/>
      <c r="O349" s="136"/>
      <c r="P349" s="136"/>
      <c r="Q349" s="136"/>
      <c r="R349" s="136"/>
      <c r="S349" s="136"/>
      <c r="T349" s="136"/>
      <c r="U349" s="136"/>
      <c r="V349" s="136"/>
      <c r="W349" s="136"/>
    </row>
    <row r="350">
      <c r="A350" s="136"/>
      <c r="B350" s="136"/>
      <c r="C350" s="136"/>
      <c r="D350" s="136"/>
      <c r="E350" s="136"/>
      <c r="F350" s="136"/>
      <c r="G350" s="136"/>
      <c r="H350" s="136"/>
      <c r="I350" s="136"/>
      <c r="J350" s="136"/>
      <c r="K350" s="451"/>
      <c r="L350" s="451"/>
      <c r="M350" s="136"/>
      <c r="N350" s="136"/>
      <c r="O350" s="136"/>
      <c r="P350" s="136"/>
      <c r="Q350" s="136"/>
      <c r="R350" s="136"/>
      <c r="S350" s="136"/>
      <c r="T350" s="136"/>
      <c r="U350" s="136"/>
      <c r="V350" s="136"/>
      <c r="W350" s="136"/>
    </row>
    <row r="351">
      <c r="A351" s="136"/>
      <c r="B351" s="136"/>
      <c r="C351" s="136"/>
      <c r="D351" s="136"/>
      <c r="E351" s="136"/>
      <c r="F351" s="136"/>
      <c r="G351" s="136"/>
      <c r="H351" s="136"/>
      <c r="I351" s="136"/>
      <c r="J351" s="136"/>
      <c r="K351" s="451"/>
      <c r="L351" s="451"/>
      <c r="M351" s="136"/>
      <c r="N351" s="136"/>
      <c r="O351" s="136"/>
      <c r="P351" s="136"/>
      <c r="Q351" s="136"/>
      <c r="R351" s="136"/>
      <c r="S351" s="136"/>
      <c r="T351" s="136"/>
      <c r="U351" s="136"/>
      <c r="V351" s="136"/>
      <c r="W351" s="136"/>
    </row>
    <row r="352">
      <c r="A352" s="136"/>
      <c r="B352" s="136"/>
      <c r="C352" s="136"/>
      <c r="D352" s="136"/>
      <c r="E352" s="136"/>
      <c r="F352" s="136"/>
      <c r="G352" s="136"/>
      <c r="H352" s="136"/>
      <c r="I352" s="136"/>
      <c r="J352" s="136"/>
      <c r="K352" s="451"/>
      <c r="L352" s="451"/>
      <c r="M352" s="136"/>
      <c r="N352" s="136"/>
      <c r="O352" s="136"/>
      <c r="P352" s="136"/>
      <c r="Q352" s="136"/>
      <c r="R352" s="136"/>
      <c r="S352" s="136"/>
      <c r="T352" s="136"/>
      <c r="U352" s="136"/>
      <c r="V352" s="136"/>
      <c r="W352" s="136"/>
    </row>
    <row r="353">
      <c r="A353" s="136"/>
      <c r="B353" s="136"/>
      <c r="C353" s="136"/>
      <c r="D353" s="136"/>
      <c r="E353" s="136"/>
      <c r="F353" s="136"/>
      <c r="G353" s="136"/>
      <c r="H353" s="136"/>
      <c r="I353" s="136"/>
      <c r="J353" s="136"/>
      <c r="K353" s="451"/>
      <c r="L353" s="451"/>
      <c r="M353" s="136"/>
      <c r="N353" s="136"/>
      <c r="O353" s="136"/>
      <c r="P353" s="136"/>
      <c r="Q353" s="136"/>
      <c r="R353" s="136"/>
      <c r="S353" s="136"/>
      <c r="T353" s="136"/>
      <c r="U353" s="136"/>
      <c r="V353" s="136"/>
      <c r="W353" s="136"/>
    </row>
    <row r="354">
      <c r="A354" s="136"/>
      <c r="B354" s="136"/>
      <c r="C354" s="136"/>
      <c r="D354" s="136"/>
      <c r="E354" s="136"/>
      <c r="F354" s="136"/>
      <c r="G354" s="136"/>
      <c r="H354" s="136"/>
      <c r="I354" s="136"/>
      <c r="J354" s="136"/>
      <c r="K354" s="451"/>
      <c r="L354" s="451"/>
      <c r="M354" s="136"/>
      <c r="N354" s="136"/>
      <c r="O354" s="136"/>
      <c r="P354" s="136"/>
      <c r="Q354" s="136"/>
      <c r="R354" s="136"/>
      <c r="S354" s="136"/>
      <c r="T354" s="136"/>
      <c r="U354" s="136"/>
      <c r="V354" s="136"/>
      <c r="W354" s="136"/>
    </row>
    <row r="355">
      <c r="A355" s="136"/>
      <c r="B355" s="136"/>
      <c r="C355" s="136"/>
      <c r="D355" s="136"/>
      <c r="E355" s="136"/>
      <c r="F355" s="136"/>
      <c r="G355" s="136"/>
      <c r="H355" s="136"/>
      <c r="I355" s="136"/>
      <c r="J355" s="136"/>
      <c r="K355" s="451"/>
      <c r="L355" s="451"/>
      <c r="M355" s="136"/>
      <c r="N355" s="136"/>
      <c r="O355" s="136"/>
      <c r="P355" s="136"/>
      <c r="Q355" s="136"/>
      <c r="R355" s="136"/>
      <c r="S355" s="136"/>
      <c r="T355" s="136"/>
      <c r="U355" s="136"/>
      <c r="V355" s="136"/>
      <c r="W355" s="136"/>
    </row>
    <row r="356">
      <c r="A356" s="136"/>
      <c r="B356" s="136"/>
      <c r="C356" s="136"/>
      <c r="D356" s="136"/>
      <c r="E356" s="136"/>
      <c r="F356" s="136"/>
      <c r="G356" s="136"/>
      <c r="H356" s="136"/>
      <c r="I356" s="136"/>
      <c r="J356" s="136"/>
      <c r="K356" s="451"/>
      <c r="L356" s="451"/>
      <c r="M356" s="136"/>
      <c r="N356" s="136"/>
      <c r="O356" s="136"/>
      <c r="P356" s="136"/>
      <c r="Q356" s="136"/>
      <c r="R356" s="136"/>
      <c r="S356" s="136"/>
      <c r="T356" s="136"/>
      <c r="U356" s="136"/>
      <c r="V356" s="136"/>
      <c r="W356" s="136"/>
    </row>
    <row r="357">
      <c r="A357" s="136"/>
      <c r="B357" s="136"/>
      <c r="C357" s="136"/>
      <c r="D357" s="136"/>
      <c r="E357" s="136"/>
      <c r="F357" s="136"/>
      <c r="G357" s="136"/>
      <c r="H357" s="136"/>
      <c r="I357" s="136"/>
      <c r="J357" s="136"/>
      <c r="K357" s="451"/>
      <c r="L357" s="451"/>
      <c r="M357" s="136"/>
      <c r="N357" s="136"/>
      <c r="O357" s="136"/>
      <c r="P357" s="136"/>
      <c r="Q357" s="136"/>
      <c r="R357" s="136"/>
      <c r="S357" s="136"/>
      <c r="T357" s="136"/>
      <c r="U357" s="136"/>
      <c r="V357" s="136"/>
      <c r="W357" s="136"/>
    </row>
    <row r="358">
      <c r="A358" s="136"/>
      <c r="B358" s="136"/>
      <c r="C358" s="136"/>
      <c r="D358" s="136"/>
      <c r="E358" s="136"/>
      <c r="F358" s="136"/>
      <c r="G358" s="136"/>
      <c r="H358" s="136"/>
      <c r="I358" s="136"/>
      <c r="J358" s="136"/>
      <c r="K358" s="451"/>
      <c r="L358" s="451"/>
      <c r="M358" s="136"/>
      <c r="N358" s="136"/>
      <c r="O358" s="136"/>
      <c r="P358" s="136"/>
      <c r="Q358" s="136"/>
      <c r="R358" s="136"/>
      <c r="S358" s="136"/>
      <c r="T358" s="136"/>
      <c r="U358" s="136"/>
      <c r="V358" s="136"/>
      <c r="W358" s="136"/>
    </row>
    <row r="359">
      <c r="A359" s="136"/>
      <c r="B359" s="136"/>
      <c r="C359" s="136"/>
      <c r="D359" s="136"/>
      <c r="E359" s="136"/>
      <c r="F359" s="136"/>
      <c r="G359" s="136"/>
      <c r="H359" s="136"/>
      <c r="I359" s="136"/>
      <c r="J359" s="136"/>
      <c r="K359" s="451"/>
      <c r="L359" s="451"/>
      <c r="M359" s="136"/>
      <c r="N359" s="136"/>
      <c r="O359" s="136"/>
      <c r="P359" s="136"/>
      <c r="Q359" s="136"/>
      <c r="R359" s="136"/>
      <c r="S359" s="136"/>
      <c r="T359" s="136"/>
      <c r="U359" s="136"/>
      <c r="V359" s="136"/>
      <c r="W359" s="136"/>
    </row>
    <row r="360">
      <c r="A360" s="136"/>
      <c r="B360" s="136"/>
      <c r="C360" s="136"/>
      <c r="D360" s="136"/>
      <c r="E360" s="136"/>
      <c r="F360" s="136"/>
      <c r="G360" s="136"/>
      <c r="H360" s="136"/>
      <c r="I360" s="136"/>
      <c r="J360" s="136"/>
      <c r="K360" s="451"/>
      <c r="L360" s="451"/>
      <c r="M360" s="136"/>
      <c r="N360" s="136"/>
      <c r="O360" s="136"/>
      <c r="P360" s="136"/>
      <c r="Q360" s="136"/>
      <c r="R360" s="136"/>
      <c r="S360" s="136"/>
      <c r="T360" s="136"/>
      <c r="U360" s="136"/>
      <c r="V360" s="136"/>
      <c r="W360" s="136"/>
    </row>
    <row r="361">
      <c r="A361" s="136"/>
      <c r="B361" s="136"/>
      <c r="C361" s="136"/>
      <c r="D361" s="136"/>
      <c r="E361" s="136"/>
      <c r="F361" s="136"/>
      <c r="G361" s="136"/>
      <c r="H361" s="136"/>
      <c r="I361" s="136"/>
      <c r="J361" s="136"/>
      <c r="K361" s="451"/>
      <c r="L361" s="451"/>
      <c r="M361" s="136"/>
      <c r="N361" s="136"/>
      <c r="O361" s="136"/>
      <c r="P361" s="136"/>
      <c r="Q361" s="136"/>
      <c r="R361" s="136"/>
      <c r="S361" s="136"/>
      <c r="T361" s="136"/>
      <c r="U361" s="136"/>
      <c r="V361" s="136"/>
      <c r="W361" s="136"/>
    </row>
    <row r="362">
      <c r="A362" s="136"/>
      <c r="B362" s="136"/>
      <c r="C362" s="136"/>
      <c r="D362" s="136"/>
      <c r="E362" s="136"/>
      <c r="F362" s="136"/>
      <c r="G362" s="136"/>
      <c r="H362" s="136"/>
      <c r="I362" s="136"/>
      <c r="J362" s="136"/>
      <c r="K362" s="451"/>
      <c r="L362" s="451"/>
      <c r="M362" s="136"/>
      <c r="N362" s="136"/>
      <c r="O362" s="136"/>
      <c r="P362" s="136"/>
      <c r="Q362" s="136"/>
      <c r="R362" s="136"/>
      <c r="S362" s="136"/>
      <c r="T362" s="136"/>
      <c r="U362" s="136"/>
      <c r="V362" s="136"/>
      <c r="W362" s="136"/>
    </row>
    <row r="363">
      <c r="A363" s="136"/>
      <c r="B363" s="136"/>
      <c r="C363" s="136"/>
      <c r="D363" s="136"/>
      <c r="E363" s="136"/>
      <c r="F363" s="136"/>
      <c r="G363" s="136"/>
      <c r="H363" s="136"/>
      <c r="I363" s="136"/>
      <c r="J363" s="136"/>
      <c r="K363" s="451"/>
      <c r="L363" s="451"/>
      <c r="M363" s="136"/>
      <c r="N363" s="136"/>
      <c r="O363" s="136"/>
      <c r="P363" s="136"/>
      <c r="Q363" s="136"/>
      <c r="R363" s="136"/>
      <c r="S363" s="136"/>
      <c r="T363" s="136"/>
      <c r="U363" s="136"/>
      <c r="V363" s="136"/>
      <c r="W363" s="136"/>
    </row>
    <row r="364">
      <c r="A364" s="136"/>
      <c r="B364" s="136"/>
      <c r="C364" s="136"/>
      <c r="D364" s="136"/>
      <c r="E364" s="136"/>
      <c r="F364" s="136"/>
      <c r="G364" s="136"/>
      <c r="H364" s="136"/>
      <c r="I364" s="136"/>
      <c r="J364" s="136"/>
      <c r="K364" s="451"/>
      <c r="L364" s="451"/>
      <c r="M364" s="136"/>
      <c r="N364" s="136"/>
      <c r="O364" s="136"/>
      <c r="P364" s="136"/>
      <c r="Q364" s="136"/>
      <c r="R364" s="136"/>
      <c r="S364" s="136"/>
      <c r="T364" s="136"/>
      <c r="U364" s="136"/>
      <c r="V364" s="136"/>
      <c r="W364" s="136"/>
    </row>
    <row r="365">
      <c r="A365" s="136"/>
      <c r="B365" s="136"/>
      <c r="C365" s="136"/>
      <c r="D365" s="136"/>
      <c r="E365" s="136"/>
      <c r="F365" s="136"/>
      <c r="G365" s="136"/>
      <c r="H365" s="136"/>
      <c r="I365" s="136"/>
      <c r="J365" s="136"/>
      <c r="K365" s="451"/>
      <c r="L365" s="451"/>
      <c r="M365" s="136"/>
      <c r="N365" s="136"/>
      <c r="O365" s="136"/>
      <c r="P365" s="136"/>
      <c r="Q365" s="136"/>
      <c r="R365" s="136"/>
      <c r="S365" s="136"/>
      <c r="T365" s="136"/>
      <c r="U365" s="136"/>
      <c r="V365" s="136"/>
      <c r="W365" s="136"/>
    </row>
    <row r="366">
      <c r="A366" s="136"/>
      <c r="B366" s="136"/>
      <c r="C366" s="136"/>
      <c r="D366" s="136"/>
      <c r="E366" s="136"/>
      <c r="F366" s="136"/>
      <c r="G366" s="136"/>
      <c r="H366" s="136"/>
      <c r="I366" s="136"/>
      <c r="J366" s="136"/>
      <c r="K366" s="451"/>
      <c r="L366" s="451"/>
      <c r="M366" s="136"/>
      <c r="N366" s="136"/>
      <c r="O366" s="136"/>
      <c r="P366" s="136"/>
      <c r="Q366" s="136"/>
      <c r="R366" s="136"/>
      <c r="S366" s="136"/>
      <c r="T366" s="136"/>
      <c r="U366" s="136"/>
      <c r="V366" s="136"/>
      <c r="W366" s="136"/>
    </row>
    <row r="367">
      <c r="A367" s="136"/>
      <c r="B367" s="136"/>
      <c r="C367" s="136"/>
      <c r="D367" s="136"/>
      <c r="E367" s="136"/>
      <c r="F367" s="136"/>
      <c r="G367" s="136"/>
      <c r="H367" s="136"/>
      <c r="I367" s="136"/>
      <c r="J367" s="136"/>
      <c r="K367" s="451"/>
      <c r="L367" s="451"/>
      <c r="M367" s="136"/>
      <c r="N367" s="136"/>
      <c r="O367" s="136"/>
      <c r="P367" s="136"/>
      <c r="Q367" s="136"/>
      <c r="R367" s="136"/>
      <c r="S367" s="136"/>
      <c r="T367" s="136"/>
      <c r="U367" s="136"/>
      <c r="V367" s="136"/>
      <c r="W367" s="136"/>
    </row>
    <row r="368">
      <c r="A368" s="136"/>
      <c r="B368" s="136"/>
      <c r="C368" s="136"/>
      <c r="D368" s="136"/>
      <c r="E368" s="136"/>
      <c r="F368" s="136"/>
      <c r="G368" s="136"/>
      <c r="H368" s="136"/>
      <c r="I368" s="136"/>
      <c r="J368" s="136"/>
      <c r="K368" s="451"/>
      <c r="L368" s="451"/>
      <c r="M368" s="136"/>
      <c r="N368" s="136"/>
      <c r="O368" s="136"/>
      <c r="P368" s="136"/>
      <c r="Q368" s="136"/>
      <c r="R368" s="136"/>
      <c r="S368" s="136"/>
      <c r="T368" s="136"/>
      <c r="U368" s="136"/>
      <c r="V368" s="136"/>
      <c r="W368" s="136"/>
    </row>
    <row r="369">
      <c r="A369" s="136"/>
      <c r="B369" s="136"/>
      <c r="C369" s="136"/>
      <c r="D369" s="136"/>
      <c r="E369" s="136"/>
      <c r="F369" s="136"/>
      <c r="G369" s="136"/>
      <c r="H369" s="136"/>
      <c r="I369" s="136"/>
      <c r="J369" s="136"/>
      <c r="K369" s="451"/>
      <c r="L369" s="451"/>
      <c r="M369" s="136"/>
      <c r="N369" s="136"/>
      <c r="O369" s="136"/>
      <c r="P369" s="136"/>
      <c r="Q369" s="136"/>
      <c r="R369" s="136"/>
      <c r="S369" s="136"/>
      <c r="T369" s="136"/>
      <c r="U369" s="136"/>
      <c r="V369" s="136"/>
      <c r="W369" s="136"/>
    </row>
    <row r="370">
      <c r="A370" s="136"/>
      <c r="B370" s="136"/>
      <c r="C370" s="136"/>
      <c r="D370" s="136"/>
      <c r="E370" s="136"/>
      <c r="F370" s="136"/>
      <c r="G370" s="136"/>
      <c r="H370" s="136"/>
      <c r="I370" s="136"/>
      <c r="J370" s="136"/>
      <c r="K370" s="451"/>
      <c r="L370" s="451"/>
      <c r="M370" s="136"/>
      <c r="N370" s="136"/>
      <c r="O370" s="136"/>
      <c r="P370" s="136"/>
      <c r="Q370" s="136"/>
      <c r="R370" s="136"/>
      <c r="S370" s="136"/>
      <c r="T370" s="136"/>
      <c r="U370" s="136"/>
      <c r="V370" s="136"/>
      <c r="W370" s="136"/>
    </row>
    <row r="371">
      <c r="A371" s="136"/>
      <c r="B371" s="136"/>
      <c r="C371" s="136"/>
      <c r="D371" s="136"/>
      <c r="E371" s="136"/>
      <c r="F371" s="136"/>
      <c r="G371" s="136"/>
      <c r="H371" s="136"/>
      <c r="I371" s="136"/>
      <c r="J371" s="136"/>
      <c r="K371" s="451"/>
      <c r="L371" s="451"/>
      <c r="M371" s="136"/>
      <c r="N371" s="136"/>
      <c r="O371" s="136"/>
      <c r="P371" s="136"/>
      <c r="Q371" s="136"/>
      <c r="R371" s="136"/>
      <c r="S371" s="136"/>
      <c r="T371" s="136"/>
      <c r="U371" s="136"/>
      <c r="V371" s="136"/>
      <c r="W371" s="136"/>
    </row>
    <row r="372">
      <c r="A372" s="136"/>
      <c r="B372" s="136"/>
      <c r="C372" s="136"/>
      <c r="D372" s="136"/>
      <c r="E372" s="136"/>
      <c r="F372" s="136"/>
      <c r="G372" s="136"/>
      <c r="H372" s="136"/>
      <c r="I372" s="136"/>
      <c r="J372" s="136"/>
      <c r="K372" s="451"/>
      <c r="L372" s="451"/>
      <c r="M372" s="136"/>
      <c r="N372" s="136"/>
      <c r="O372" s="136"/>
      <c r="P372" s="136"/>
      <c r="Q372" s="136"/>
      <c r="R372" s="136"/>
      <c r="S372" s="136"/>
      <c r="T372" s="136"/>
      <c r="U372" s="136"/>
      <c r="V372" s="136"/>
      <c r="W372" s="136"/>
    </row>
    <row r="373">
      <c r="A373" s="136"/>
      <c r="B373" s="136"/>
      <c r="C373" s="136"/>
      <c r="D373" s="136"/>
      <c r="E373" s="136"/>
      <c r="F373" s="136"/>
      <c r="G373" s="136"/>
      <c r="H373" s="136"/>
      <c r="I373" s="136"/>
      <c r="J373" s="136"/>
      <c r="K373" s="451"/>
      <c r="L373" s="451"/>
      <c r="M373" s="136"/>
      <c r="N373" s="136"/>
      <c r="O373" s="136"/>
      <c r="P373" s="136"/>
      <c r="Q373" s="136"/>
      <c r="R373" s="136"/>
      <c r="S373" s="136"/>
      <c r="T373" s="136"/>
      <c r="U373" s="136"/>
      <c r="V373" s="136"/>
      <c r="W373" s="136"/>
    </row>
    <row r="374">
      <c r="A374" s="136"/>
      <c r="B374" s="136"/>
      <c r="C374" s="136"/>
      <c r="D374" s="136"/>
      <c r="E374" s="136"/>
      <c r="F374" s="136"/>
      <c r="G374" s="136"/>
      <c r="H374" s="136"/>
      <c r="I374" s="136"/>
      <c r="J374" s="136"/>
      <c r="K374" s="451"/>
      <c r="L374" s="451"/>
      <c r="M374" s="136"/>
      <c r="N374" s="136"/>
      <c r="O374" s="136"/>
      <c r="P374" s="136"/>
      <c r="Q374" s="136"/>
      <c r="R374" s="136"/>
      <c r="S374" s="136"/>
      <c r="T374" s="136"/>
      <c r="U374" s="136"/>
      <c r="V374" s="136"/>
      <c r="W374" s="136"/>
    </row>
    <row r="375">
      <c r="A375" s="136"/>
      <c r="B375" s="136"/>
      <c r="C375" s="136"/>
      <c r="D375" s="136"/>
      <c r="E375" s="136"/>
      <c r="F375" s="136"/>
      <c r="G375" s="136"/>
      <c r="H375" s="136"/>
      <c r="I375" s="136"/>
      <c r="J375" s="136"/>
      <c r="K375" s="451"/>
      <c r="L375" s="451"/>
      <c r="M375" s="136"/>
      <c r="N375" s="136"/>
      <c r="O375" s="136"/>
      <c r="P375" s="136"/>
      <c r="Q375" s="136"/>
      <c r="R375" s="136"/>
      <c r="S375" s="136"/>
      <c r="T375" s="136"/>
      <c r="U375" s="136"/>
      <c r="V375" s="136"/>
      <c r="W375" s="136"/>
    </row>
    <row r="376">
      <c r="A376" s="136"/>
      <c r="B376" s="136"/>
      <c r="C376" s="136"/>
      <c r="D376" s="136"/>
      <c r="E376" s="136"/>
      <c r="F376" s="136"/>
      <c r="G376" s="136"/>
      <c r="H376" s="136"/>
      <c r="I376" s="136"/>
      <c r="J376" s="136"/>
      <c r="K376" s="451"/>
      <c r="L376" s="451"/>
      <c r="M376" s="136"/>
      <c r="N376" s="136"/>
      <c r="O376" s="136"/>
      <c r="P376" s="136"/>
      <c r="Q376" s="136"/>
      <c r="R376" s="136"/>
      <c r="S376" s="136"/>
      <c r="T376" s="136"/>
      <c r="U376" s="136"/>
      <c r="V376" s="136"/>
      <c r="W376" s="136"/>
    </row>
    <row r="377">
      <c r="A377" s="136"/>
      <c r="B377" s="136"/>
      <c r="C377" s="136"/>
      <c r="D377" s="136"/>
      <c r="E377" s="136"/>
      <c r="F377" s="136"/>
      <c r="G377" s="136"/>
      <c r="H377" s="136"/>
      <c r="I377" s="136"/>
      <c r="J377" s="136"/>
      <c r="K377" s="451"/>
      <c r="L377" s="451"/>
      <c r="M377" s="136"/>
      <c r="N377" s="136"/>
      <c r="O377" s="136"/>
      <c r="P377" s="136"/>
      <c r="Q377" s="136"/>
      <c r="R377" s="136"/>
      <c r="S377" s="136"/>
      <c r="T377" s="136"/>
      <c r="U377" s="136"/>
      <c r="V377" s="136"/>
      <c r="W377" s="136"/>
    </row>
    <row r="378">
      <c r="A378" s="136"/>
      <c r="B378" s="136"/>
      <c r="C378" s="136"/>
      <c r="D378" s="136"/>
      <c r="E378" s="136"/>
      <c r="F378" s="136"/>
      <c r="G378" s="136"/>
      <c r="H378" s="136"/>
      <c r="I378" s="136"/>
      <c r="J378" s="136"/>
      <c r="K378" s="451"/>
      <c r="L378" s="451"/>
      <c r="M378" s="136"/>
      <c r="N378" s="136"/>
      <c r="O378" s="136"/>
      <c r="P378" s="136"/>
      <c r="Q378" s="136"/>
      <c r="R378" s="136"/>
      <c r="S378" s="136"/>
      <c r="T378" s="136"/>
      <c r="U378" s="136"/>
      <c r="V378" s="136"/>
      <c r="W378" s="136"/>
    </row>
    <row r="379">
      <c r="A379" s="136"/>
      <c r="B379" s="136"/>
      <c r="C379" s="136"/>
      <c r="D379" s="136"/>
      <c r="E379" s="136"/>
      <c r="F379" s="136"/>
      <c r="G379" s="136"/>
      <c r="H379" s="136"/>
      <c r="I379" s="136"/>
      <c r="J379" s="136"/>
      <c r="K379" s="451"/>
      <c r="L379" s="451"/>
      <c r="M379" s="136"/>
      <c r="N379" s="136"/>
      <c r="O379" s="136"/>
      <c r="P379" s="136"/>
      <c r="Q379" s="136"/>
      <c r="R379" s="136"/>
      <c r="S379" s="136"/>
      <c r="T379" s="136"/>
      <c r="U379" s="136"/>
      <c r="V379" s="136"/>
      <c r="W379" s="136"/>
    </row>
    <row r="380">
      <c r="A380" s="136"/>
      <c r="B380" s="136"/>
      <c r="C380" s="136"/>
      <c r="D380" s="136"/>
      <c r="E380" s="136"/>
      <c r="F380" s="136"/>
      <c r="G380" s="136"/>
      <c r="H380" s="136"/>
      <c r="I380" s="136"/>
      <c r="J380" s="136"/>
      <c r="K380" s="451"/>
      <c r="L380" s="451"/>
      <c r="M380" s="136"/>
      <c r="N380" s="136"/>
      <c r="O380" s="136"/>
      <c r="P380" s="136"/>
      <c r="Q380" s="136"/>
      <c r="R380" s="136"/>
      <c r="S380" s="136"/>
      <c r="T380" s="136"/>
      <c r="U380" s="136"/>
      <c r="V380" s="136"/>
      <c r="W380" s="136"/>
    </row>
    <row r="381">
      <c r="A381" s="136"/>
      <c r="B381" s="136"/>
      <c r="C381" s="136"/>
      <c r="D381" s="136"/>
      <c r="E381" s="136"/>
      <c r="F381" s="136"/>
      <c r="G381" s="136"/>
      <c r="H381" s="136"/>
      <c r="I381" s="136"/>
      <c r="J381" s="136"/>
      <c r="K381" s="451"/>
      <c r="L381" s="451"/>
      <c r="M381" s="136"/>
      <c r="N381" s="136"/>
      <c r="O381" s="136"/>
      <c r="P381" s="136"/>
      <c r="Q381" s="136"/>
      <c r="R381" s="136"/>
      <c r="S381" s="136"/>
      <c r="T381" s="136"/>
      <c r="U381" s="136"/>
      <c r="V381" s="136"/>
      <c r="W381" s="136"/>
    </row>
    <row r="382">
      <c r="A382" s="136"/>
      <c r="B382" s="136"/>
      <c r="C382" s="136"/>
      <c r="D382" s="136"/>
      <c r="E382" s="136"/>
      <c r="F382" s="136"/>
      <c r="G382" s="136"/>
      <c r="H382" s="136"/>
      <c r="I382" s="136"/>
      <c r="J382" s="136"/>
      <c r="K382" s="451"/>
      <c r="L382" s="451"/>
      <c r="M382" s="136"/>
      <c r="N382" s="136"/>
      <c r="O382" s="136"/>
      <c r="P382" s="136"/>
      <c r="Q382" s="136"/>
      <c r="R382" s="136"/>
      <c r="S382" s="136"/>
      <c r="T382" s="136"/>
      <c r="U382" s="136"/>
      <c r="V382" s="136"/>
      <c r="W382" s="136"/>
    </row>
    <row r="383">
      <c r="A383" s="136"/>
      <c r="B383" s="136"/>
      <c r="C383" s="136"/>
      <c r="D383" s="136"/>
      <c r="E383" s="136"/>
      <c r="F383" s="136"/>
      <c r="G383" s="136"/>
      <c r="H383" s="136"/>
      <c r="I383" s="136"/>
      <c r="J383" s="136"/>
      <c r="K383" s="451"/>
      <c r="L383" s="451"/>
      <c r="M383" s="136"/>
      <c r="N383" s="136"/>
      <c r="O383" s="136"/>
      <c r="P383" s="136"/>
      <c r="Q383" s="136"/>
      <c r="R383" s="136"/>
      <c r="S383" s="136"/>
      <c r="T383" s="136"/>
      <c r="U383" s="136"/>
      <c r="V383" s="136"/>
      <c r="W383" s="136"/>
    </row>
    <row r="384">
      <c r="A384" s="136"/>
      <c r="B384" s="136"/>
      <c r="C384" s="136"/>
      <c r="D384" s="136"/>
      <c r="E384" s="136"/>
      <c r="F384" s="136"/>
      <c r="G384" s="136"/>
      <c r="H384" s="136"/>
      <c r="I384" s="136"/>
      <c r="J384" s="136"/>
      <c r="K384" s="451"/>
      <c r="L384" s="451"/>
      <c r="M384" s="136"/>
      <c r="N384" s="136"/>
      <c r="O384" s="136"/>
      <c r="P384" s="136"/>
      <c r="Q384" s="136"/>
      <c r="R384" s="136"/>
      <c r="S384" s="136"/>
      <c r="T384" s="136"/>
      <c r="U384" s="136"/>
      <c r="V384" s="136"/>
      <c r="W384" s="136"/>
    </row>
    <row r="385">
      <c r="A385" s="136"/>
      <c r="B385" s="136"/>
      <c r="C385" s="136"/>
      <c r="D385" s="136"/>
      <c r="E385" s="136"/>
      <c r="F385" s="136"/>
      <c r="G385" s="136"/>
      <c r="H385" s="136"/>
      <c r="I385" s="136"/>
      <c r="J385" s="136"/>
      <c r="K385" s="451"/>
      <c r="L385" s="451"/>
      <c r="M385" s="136"/>
      <c r="N385" s="136"/>
      <c r="O385" s="136"/>
      <c r="P385" s="136"/>
      <c r="Q385" s="136"/>
      <c r="R385" s="136"/>
      <c r="S385" s="136"/>
      <c r="T385" s="136"/>
      <c r="U385" s="136"/>
      <c r="V385" s="136"/>
      <c r="W385" s="136"/>
    </row>
    <row r="386">
      <c r="A386" s="136"/>
      <c r="B386" s="136"/>
      <c r="C386" s="136"/>
      <c r="D386" s="136"/>
      <c r="E386" s="136"/>
      <c r="F386" s="136"/>
      <c r="G386" s="136"/>
      <c r="H386" s="136"/>
      <c r="I386" s="136"/>
      <c r="J386" s="136"/>
      <c r="K386" s="451"/>
      <c r="L386" s="451"/>
      <c r="M386" s="136"/>
      <c r="N386" s="136"/>
      <c r="O386" s="136"/>
      <c r="P386" s="136"/>
      <c r="Q386" s="136"/>
      <c r="R386" s="136"/>
      <c r="S386" s="136"/>
      <c r="T386" s="136"/>
      <c r="U386" s="136"/>
      <c r="V386" s="136"/>
      <c r="W386" s="136"/>
    </row>
    <row r="387">
      <c r="A387" s="136"/>
      <c r="B387" s="136"/>
      <c r="C387" s="136"/>
      <c r="D387" s="136"/>
      <c r="E387" s="136"/>
      <c r="F387" s="136"/>
      <c r="G387" s="136"/>
      <c r="H387" s="136"/>
      <c r="I387" s="136"/>
      <c r="J387" s="136"/>
      <c r="K387" s="451"/>
      <c r="L387" s="451"/>
      <c r="M387" s="136"/>
      <c r="N387" s="136"/>
      <c r="O387" s="136"/>
      <c r="P387" s="136"/>
      <c r="Q387" s="136"/>
      <c r="R387" s="136"/>
      <c r="S387" s="136"/>
      <c r="T387" s="136"/>
      <c r="U387" s="136"/>
      <c r="V387" s="136"/>
      <c r="W387" s="136"/>
    </row>
    <row r="388">
      <c r="A388" s="136"/>
      <c r="B388" s="136"/>
      <c r="C388" s="136"/>
      <c r="D388" s="136"/>
      <c r="E388" s="136"/>
      <c r="F388" s="136"/>
      <c r="G388" s="136"/>
      <c r="H388" s="136"/>
      <c r="I388" s="136"/>
      <c r="J388" s="136"/>
      <c r="K388" s="451"/>
      <c r="L388" s="451"/>
      <c r="M388" s="136"/>
      <c r="N388" s="136"/>
      <c r="O388" s="136"/>
      <c r="P388" s="136"/>
      <c r="Q388" s="136"/>
      <c r="R388" s="136"/>
      <c r="S388" s="136"/>
      <c r="T388" s="136"/>
      <c r="U388" s="136"/>
      <c r="V388" s="136"/>
      <c r="W388" s="136"/>
    </row>
    <row r="389">
      <c r="A389" s="136"/>
      <c r="B389" s="136"/>
      <c r="C389" s="136"/>
      <c r="D389" s="136"/>
      <c r="E389" s="136"/>
      <c r="F389" s="136"/>
      <c r="G389" s="136"/>
      <c r="H389" s="136"/>
      <c r="I389" s="136"/>
      <c r="J389" s="136"/>
      <c r="K389" s="451"/>
      <c r="L389" s="451"/>
      <c r="M389" s="136"/>
      <c r="N389" s="136"/>
      <c r="O389" s="136"/>
      <c r="P389" s="136"/>
      <c r="Q389" s="136"/>
      <c r="R389" s="136"/>
      <c r="S389" s="136"/>
      <c r="T389" s="136"/>
      <c r="U389" s="136"/>
      <c r="V389" s="136"/>
      <c r="W389" s="136"/>
    </row>
    <row r="390">
      <c r="A390" s="136"/>
      <c r="B390" s="136"/>
      <c r="C390" s="136"/>
      <c r="D390" s="136"/>
      <c r="E390" s="136"/>
      <c r="F390" s="136"/>
      <c r="G390" s="136"/>
      <c r="H390" s="136"/>
      <c r="I390" s="136"/>
      <c r="J390" s="136"/>
      <c r="K390" s="451"/>
      <c r="L390" s="451"/>
      <c r="M390" s="136"/>
      <c r="N390" s="136"/>
      <c r="O390" s="136"/>
      <c r="P390" s="136"/>
      <c r="Q390" s="136"/>
      <c r="R390" s="136"/>
      <c r="S390" s="136"/>
      <c r="T390" s="136"/>
      <c r="U390" s="136"/>
      <c r="V390" s="136"/>
      <c r="W390" s="136"/>
    </row>
    <row r="391">
      <c r="A391" s="136"/>
      <c r="B391" s="136"/>
      <c r="C391" s="136"/>
      <c r="D391" s="136"/>
      <c r="E391" s="136"/>
      <c r="F391" s="136"/>
      <c r="G391" s="136"/>
      <c r="H391" s="136"/>
      <c r="I391" s="136"/>
      <c r="J391" s="136"/>
      <c r="K391" s="451"/>
      <c r="L391" s="451"/>
      <c r="M391" s="136"/>
      <c r="N391" s="136"/>
      <c r="O391" s="136"/>
      <c r="P391" s="136"/>
      <c r="Q391" s="136"/>
      <c r="R391" s="136"/>
      <c r="S391" s="136"/>
      <c r="T391" s="136"/>
      <c r="U391" s="136"/>
      <c r="V391" s="136"/>
      <c r="W391" s="136"/>
    </row>
    <row r="392">
      <c r="A392" s="136"/>
      <c r="B392" s="136"/>
      <c r="C392" s="136"/>
      <c r="D392" s="136"/>
      <c r="E392" s="136"/>
      <c r="F392" s="136"/>
      <c r="G392" s="136"/>
      <c r="H392" s="136"/>
      <c r="I392" s="136"/>
      <c r="J392" s="136"/>
      <c r="K392" s="451"/>
      <c r="L392" s="451"/>
      <c r="M392" s="136"/>
      <c r="N392" s="136"/>
      <c r="O392" s="136"/>
      <c r="P392" s="136"/>
      <c r="Q392" s="136"/>
      <c r="R392" s="136"/>
      <c r="S392" s="136"/>
      <c r="T392" s="136"/>
      <c r="U392" s="136"/>
      <c r="V392" s="136"/>
      <c r="W392" s="136"/>
    </row>
    <row r="393">
      <c r="A393" s="136"/>
      <c r="B393" s="136"/>
      <c r="C393" s="136"/>
      <c r="D393" s="136"/>
      <c r="E393" s="136"/>
      <c r="F393" s="136"/>
      <c r="G393" s="136"/>
      <c r="H393" s="136"/>
      <c r="I393" s="136"/>
      <c r="J393" s="136"/>
      <c r="K393" s="451"/>
      <c r="L393" s="451"/>
      <c r="M393" s="136"/>
      <c r="N393" s="136"/>
      <c r="O393" s="136"/>
      <c r="P393" s="136"/>
      <c r="Q393" s="136"/>
      <c r="R393" s="136"/>
      <c r="S393" s="136"/>
      <c r="T393" s="136"/>
      <c r="U393" s="136"/>
      <c r="V393" s="136"/>
      <c r="W393" s="136"/>
    </row>
    <row r="394">
      <c r="A394" s="136"/>
      <c r="B394" s="136"/>
      <c r="C394" s="136"/>
      <c r="D394" s="136"/>
      <c r="E394" s="136"/>
      <c r="F394" s="136"/>
      <c r="G394" s="136"/>
      <c r="H394" s="136"/>
      <c r="I394" s="136"/>
      <c r="J394" s="136"/>
      <c r="K394" s="451"/>
      <c r="L394" s="451"/>
      <c r="M394" s="136"/>
      <c r="N394" s="136"/>
      <c r="O394" s="136"/>
      <c r="P394" s="136"/>
      <c r="Q394" s="136"/>
      <c r="R394" s="136"/>
      <c r="S394" s="136"/>
      <c r="T394" s="136"/>
      <c r="U394" s="136"/>
      <c r="V394" s="136"/>
      <c r="W394" s="136"/>
    </row>
    <row r="395">
      <c r="A395" s="136"/>
      <c r="B395" s="136"/>
      <c r="C395" s="136"/>
      <c r="D395" s="136"/>
      <c r="E395" s="136"/>
      <c r="F395" s="136"/>
      <c r="G395" s="136"/>
      <c r="H395" s="136"/>
      <c r="I395" s="136"/>
      <c r="J395" s="136"/>
      <c r="K395" s="451"/>
      <c r="L395" s="451"/>
      <c r="M395" s="136"/>
      <c r="N395" s="136"/>
      <c r="O395" s="136"/>
      <c r="P395" s="136"/>
      <c r="Q395" s="136"/>
      <c r="R395" s="136"/>
      <c r="S395" s="136"/>
      <c r="T395" s="136"/>
      <c r="U395" s="136"/>
      <c r="V395" s="136"/>
      <c r="W395" s="136"/>
    </row>
    <row r="396">
      <c r="A396" s="136"/>
      <c r="B396" s="136"/>
      <c r="C396" s="136"/>
      <c r="D396" s="136"/>
      <c r="E396" s="136"/>
      <c r="F396" s="136"/>
      <c r="G396" s="136"/>
      <c r="H396" s="136"/>
      <c r="I396" s="136"/>
      <c r="J396" s="136"/>
      <c r="K396" s="451"/>
      <c r="L396" s="451"/>
      <c r="M396" s="136"/>
      <c r="N396" s="136"/>
      <c r="O396" s="136"/>
      <c r="P396" s="136"/>
      <c r="Q396" s="136"/>
      <c r="R396" s="136"/>
      <c r="S396" s="136"/>
      <c r="T396" s="136"/>
      <c r="U396" s="136"/>
      <c r="V396" s="136"/>
      <c r="W396" s="136"/>
    </row>
    <row r="397">
      <c r="A397" s="136"/>
      <c r="B397" s="136"/>
      <c r="C397" s="136"/>
      <c r="D397" s="136"/>
      <c r="E397" s="136"/>
      <c r="F397" s="136"/>
      <c r="G397" s="136"/>
      <c r="H397" s="136"/>
      <c r="I397" s="136"/>
      <c r="J397" s="136"/>
      <c r="K397" s="451"/>
      <c r="L397" s="451"/>
      <c r="M397" s="136"/>
      <c r="N397" s="136"/>
      <c r="O397" s="136"/>
      <c r="P397" s="136"/>
      <c r="Q397" s="136"/>
      <c r="R397" s="136"/>
      <c r="S397" s="136"/>
      <c r="T397" s="136"/>
      <c r="U397" s="136"/>
      <c r="V397" s="136"/>
      <c r="W397" s="136"/>
    </row>
    <row r="398">
      <c r="A398" s="136"/>
      <c r="B398" s="136"/>
      <c r="C398" s="136"/>
      <c r="D398" s="136"/>
      <c r="E398" s="136"/>
      <c r="F398" s="136"/>
      <c r="G398" s="136"/>
      <c r="H398" s="136"/>
      <c r="I398" s="136"/>
      <c r="J398" s="136"/>
      <c r="K398" s="451"/>
      <c r="L398" s="451"/>
      <c r="M398" s="136"/>
      <c r="N398" s="136"/>
      <c r="O398" s="136"/>
      <c r="P398" s="136"/>
      <c r="Q398" s="136"/>
      <c r="R398" s="136"/>
      <c r="S398" s="136"/>
      <c r="T398" s="136"/>
      <c r="U398" s="136"/>
      <c r="V398" s="136"/>
      <c r="W398" s="136"/>
    </row>
    <row r="399">
      <c r="A399" s="136"/>
      <c r="B399" s="136"/>
      <c r="C399" s="136"/>
      <c r="D399" s="136"/>
      <c r="E399" s="136"/>
      <c r="F399" s="136"/>
      <c r="G399" s="136"/>
      <c r="H399" s="136"/>
      <c r="I399" s="136"/>
      <c r="J399" s="136"/>
      <c r="K399" s="451"/>
      <c r="L399" s="451"/>
      <c r="M399" s="136"/>
      <c r="N399" s="136"/>
      <c r="O399" s="136"/>
      <c r="P399" s="136"/>
      <c r="Q399" s="136"/>
      <c r="R399" s="136"/>
      <c r="S399" s="136"/>
      <c r="T399" s="136"/>
      <c r="U399" s="136"/>
      <c r="V399" s="136"/>
      <c r="W399" s="136"/>
    </row>
    <row r="400">
      <c r="A400" s="136"/>
      <c r="B400" s="136"/>
      <c r="C400" s="136"/>
      <c r="D400" s="136"/>
      <c r="E400" s="136"/>
      <c r="F400" s="136"/>
      <c r="G400" s="136"/>
      <c r="H400" s="136"/>
      <c r="I400" s="136"/>
      <c r="J400" s="136"/>
      <c r="K400" s="451"/>
      <c r="L400" s="451"/>
      <c r="M400" s="136"/>
      <c r="N400" s="136"/>
      <c r="O400" s="136"/>
      <c r="P400" s="136"/>
      <c r="Q400" s="136"/>
      <c r="R400" s="136"/>
      <c r="S400" s="136"/>
      <c r="T400" s="136"/>
      <c r="U400" s="136"/>
      <c r="V400" s="136"/>
      <c r="W400" s="136"/>
    </row>
    <row r="401">
      <c r="A401" s="136"/>
      <c r="B401" s="136"/>
      <c r="C401" s="136"/>
      <c r="D401" s="136"/>
      <c r="E401" s="136"/>
      <c r="F401" s="136"/>
      <c r="G401" s="136"/>
      <c r="H401" s="136"/>
      <c r="I401" s="136"/>
      <c r="J401" s="136"/>
      <c r="K401" s="451"/>
      <c r="L401" s="451"/>
      <c r="M401" s="136"/>
      <c r="N401" s="136"/>
      <c r="O401" s="136"/>
      <c r="P401" s="136"/>
      <c r="Q401" s="136"/>
      <c r="R401" s="136"/>
      <c r="S401" s="136"/>
      <c r="T401" s="136"/>
      <c r="U401" s="136"/>
      <c r="V401" s="136"/>
      <c r="W401" s="136"/>
    </row>
    <row r="402">
      <c r="A402" s="136"/>
      <c r="B402" s="136"/>
      <c r="C402" s="136"/>
      <c r="D402" s="136"/>
      <c r="E402" s="136"/>
      <c r="F402" s="136"/>
      <c r="G402" s="136"/>
      <c r="H402" s="136"/>
      <c r="I402" s="136"/>
      <c r="J402" s="136"/>
      <c r="K402" s="451"/>
      <c r="L402" s="451"/>
      <c r="M402" s="136"/>
      <c r="N402" s="136"/>
      <c r="O402" s="136"/>
      <c r="P402" s="136"/>
      <c r="Q402" s="136"/>
      <c r="R402" s="136"/>
      <c r="S402" s="136"/>
      <c r="T402" s="136"/>
      <c r="U402" s="136"/>
      <c r="V402" s="136"/>
      <c r="W402" s="136"/>
    </row>
    <row r="403">
      <c r="A403" s="136"/>
      <c r="B403" s="136"/>
      <c r="C403" s="136"/>
      <c r="D403" s="136"/>
      <c r="E403" s="136"/>
      <c r="F403" s="136"/>
      <c r="G403" s="136"/>
      <c r="H403" s="136"/>
      <c r="I403" s="136"/>
      <c r="J403" s="136"/>
      <c r="K403" s="451"/>
      <c r="L403" s="451"/>
      <c r="M403" s="136"/>
      <c r="N403" s="136"/>
      <c r="O403" s="136"/>
      <c r="P403" s="136"/>
      <c r="Q403" s="136"/>
      <c r="R403" s="136"/>
      <c r="S403" s="136"/>
      <c r="T403" s="136"/>
      <c r="U403" s="136"/>
      <c r="V403" s="136"/>
      <c r="W403" s="136"/>
    </row>
    <row r="404">
      <c r="A404" s="136"/>
      <c r="B404" s="136"/>
      <c r="C404" s="136"/>
      <c r="D404" s="136"/>
      <c r="E404" s="136"/>
      <c r="F404" s="136"/>
      <c r="G404" s="136"/>
      <c r="H404" s="136"/>
      <c r="I404" s="136"/>
      <c r="J404" s="136"/>
      <c r="K404" s="451"/>
      <c r="L404" s="451"/>
      <c r="M404" s="136"/>
      <c r="N404" s="136"/>
      <c r="O404" s="136"/>
      <c r="P404" s="136"/>
      <c r="Q404" s="136"/>
      <c r="R404" s="136"/>
      <c r="S404" s="136"/>
      <c r="T404" s="136"/>
      <c r="U404" s="136"/>
      <c r="V404" s="136"/>
      <c r="W404" s="136"/>
    </row>
    <row r="405">
      <c r="A405" s="136"/>
      <c r="B405" s="136"/>
      <c r="C405" s="136"/>
      <c r="D405" s="136"/>
      <c r="E405" s="136"/>
      <c r="F405" s="136"/>
      <c r="G405" s="136"/>
      <c r="H405" s="136"/>
      <c r="I405" s="136"/>
      <c r="J405" s="136"/>
      <c r="K405" s="451"/>
      <c r="L405" s="451"/>
      <c r="M405" s="136"/>
      <c r="N405" s="136"/>
      <c r="O405" s="136"/>
      <c r="P405" s="136"/>
      <c r="Q405" s="136"/>
      <c r="R405" s="136"/>
      <c r="S405" s="136"/>
      <c r="T405" s="136"/>
      <c r="U405" s="136"/>
      <c r="V405" s="136"/>
      <c r="W405" s="136"/>
    </row>
    <row r="406">
      <c r="A406" s="136"/>
      <c r="B406" s="136"/>
      <c r="C406" s="136"/>
      <c r="D406" s="136"/>
      <c r="E406" s="136"/>
      <c r="F406" s="136"/>
      <c r="G406" s="136"/>
      <c r="H406" s="136"/>
      <c r="I406" s="136"/>
      <c r="J406" s="136"/>
      <c r="K406" s="451"/>
      <c r="L406" s="451"/>
      <c r="M406" s="136"/>
      <c r="N406" s="136"/>
      <c r="O406" s="136"/>
      <c r="P406" s="136"/>
      <c r="Q406" s="136"/>
      <c r="R406" s="136"/>
      <c r="S406" s="136"/>
      <c r="T406" s="136"/>
      <c r="U406" s="136"/>
      <c r="V406" s="136"/>
      <c r="W406" s="136"/>
    </row>
    <row r="407">
      <c r="A407" s="136"/>
      <c r="B407" s="136"/>
      <c r="C407" s="136"/>
      <c r="D407" s="136"/>
      <c r="E407" s="136"/>
      <c r="F407" s="136"/>
      <c r="G407" s="136"/>
      <c r="H407" s="136"/>
      <c r="I407" s="136"/>
      <c r="J407" s="136"/>
      <c r="K407" s="451"/>
      <c r="L407" s="451"/>
      <c r="M407" s="136"/>
      <c r="N407" s="136"/>
      <c r="O407" s="136"/>
      <c r="P407" s="136"/>
      <c r="Q407" s="136"/>
      <c r="R407" s="136"/>
      <c r="S407" s="136"/>
      <c r="T407" s="136"/>
      <c r="U407" s="136"/>
      <c r="V407" s="136"/>
      <c r="W407" s="136"/>
    </row>
    <row r="408">
      <c r="A408" s="136"/>
      <c r="B408" s="136"/>
      <c r="C408" s="136"/>
      <c r="D408" s="136"/>
      <c r="E408" s="136"/>
      <c r="F408" s="136"/>
      <c r="G408" s="136"/>
      <c r="H408" s="136"/>
      <c r="I408" s="136"/>
      <c r="J408" s="136"/>
      <c r="K408" s="451"/>
      <c r="L408" s="451"/>
      <c r="M408" s="136"/>
      <c r="N408" s="136"/>
      <c r="O408" s="136"/>
      <c r="P408" s="136"/>
      <c r="Q408" s="136"/>
      <c r="R408" s="136"/>
      <c r="S408" s="136"/>
      <c r="T408" s="136"/>
      <c r="U408" s="136"/>
      <c r="V408" s="136"/>
      <c r="W408" s="136"/>
    </row>
    <row r="409">
      <c r="A409" s="136"/>
      <c r="B409" s="136"/>
      <c r="C409" s="136"/>
      <c r="D409" s="136"/>
      <c r="E409" s="136"/>
      <c r="F409" s="136"/>
      <c r="G409" s="136"/>
      <c r="H409" s="136"/>
      <c r="I409" s="136"/>
      <c r="J409" s="136"/>
      <c r="K409" s="451"/>
      <c r="L409" s="451"/>
      <c r="M409" s="136"/>
      <c r="N409" s="136"/>
      <c r="O409" s="136"/>
      <c r="P409" s="136"/>
      <c r="Q409" s="136"/>
      <c r="R409" s="136"/>
      <c r="S409" s="136"/>
      <c r="T409" s="136"/>
      <c r="U409" s="136"/>
      <c r="V409" s="136"/>
      <c r="W409" s="136"/>
    </row>
    <row r="410">
      <c r="A410" s="136"/>
      <c r="B410" s="136"/>
      <c r="C410" s="136"/>
      <c r="D410" s="136"/>
      <c r="E410" s="136"/>
      <c r="F410" s="136"/>
      <c r="G410" s="136"/>
      <c r="H410" s="136"/>
      <c r="I410" s="136"/>
      <c r="J410" s="136"/>
      <c r="K410" s="451"/>
      <c r="L410" s="451"/>
      <c r="M410" s="136"/>
      <c r="N410" s="136"/>
      <c r="O410" s="136"/>
      <c r="P410" s="136"/>
      <c r="Q410" s="136"/>
      <c r="R410" s="136"/>
      <c r="S410" s="136"/>
      <c r="T410" s="136"/>
      <c r="U410" s="136"/>
      <c r="V410" s="136"/>
      <c r="W410" s="136"/>
    </row>
    <row r="411">
      <c r="A411" s="136"/>
      <c r="B411" s="136"/>
      <c r="C411" s="136"/>
      <c r="D411" s="136"/>
      <c r="E411" s="136"/>
      <c r="F411" s="136"/>
      <c r="G411" s="136"/>
      <c r="H411" s="136"/>
      <c r="I411" s="136"/>
      <c r="J411" s="136"/>
      <c r="K411" s="451"/>
      <c r="L411" s="451"/>
      <c r="M411" s="136"/>
      <c r="N411" s="136"/>
      <c r="O411" s="136"/>
      <c r="P411" s="136"/>
      <c r="Q411" s="136"/>
      <c r="R411" s="136"/>
      <c r="S411" s="136"/>
      <c r="T411" s="136"/>
      <c r="U411" s="136"/>
      <c r="V411" s="136"/>
      <c r="W411" s="136"/>
    </row>
    <row r="412">
      <c r="A412" s="136"/>
      <c r="B412" s="136"/>
      <c r="C412" s="136"/>
      <c r="D412" s="136"/>
      <c r="E412" s="136"/>
      <c r="F412" s="136"/>
      <c r="G412" s="136"/>
      <c r="H412" s="136"/>
      <c r="I412" s="136"/>
      <c r="J412" s="136"/>
      <c r="K412" s="451"/>
      <c r="L412" s="451"/>
      <c r="M412" s="136"/>
      <c r="N412" s="136"/>
      <c r="O412" s="136"/>
      <c r="P412" s="136"/>
      <c r="Q412" s="136"/>
      <c r="R412" s="136"/>
      <c r="S412" s="136"/>
      <c r="T412" s="136"/>
      <c r="U412" s="136"/>
      <c r="V412" s="136"/>
      <c r="W412" s="136"/>
    </row>
    <row r="413">
      <c r="A413" s="136"/>
      <c r="B413" s="136"/>
      <c r="C413" s="136"/>
      <c r="D413" s="136"/>
      <c r="E413" s="136"/>
      <c r="F413" s="136"/>
      <c r="G413" s="136"/>
      <c r="H413" s="136"/>
      <c r="I413" s="136"/>
      <c r="J413" s="136"/>
      <c r="K413" s="451"/>
      <c r="L413" s="451"/>
      <c r="M413" s="136"/>
      <c r="N413" s="136"/>
      <c r="O413" s="136"/>
      <c r="P413" s="136"/>
      <c r="Q413" s="136"/>
      <c r="R413" s="136"/>
      <c r="S413" s="136"/>
      <c r="T413" s="136"/>
      <c r="U413" s="136"/>
      <c r="V413" s="136"/>
      <c r="W413" s="136"/>
    </row>
    <row r="414">
      <c r="A414" s="136"/>
      <c r="B414" s="136"/>
      <c r="C414" s="136"/>
      <c r="D414" s="136"/>
      <c r="E414" s="136"/>
      <c r="F414" s="136"/>
      <c r="G414" s="136"/>
      <c r="H414" s="136"/>
      <c r="I414" s="136"/>
      <c r="J414" s="136"/>
      <c r="K414" s="451"/>
      <c r="L414" s="451"/>
      <c r="M414" s="136"/>
      <c r="N414" s="136"/>
      <c r="O414" s="136"/>
      <c r="P414" s="136"/>
      <c r="Q414" s="136"/>
      <c r="R414" s="136"/>
      <c r="S414" s="136"/>
      <c r="T414" s="136"/>
      <c r="U414" s="136"/>
      <c r="V414" s="136"/>
      <c r="W414" s="136"/>
    </row>
    <row r="415">
      <c r="A415" s="136"/>
      <c r="B415" s="136"/>
      <c r="C415" s="136"/>
      <c r="D415" s="136"/>
      <c r="E415" s="136"/>
      <c r="F415" s="136"/>
      <c r="G415" s="136"/>
      <c r="H415" s="136"/>
      <c r="I415" s="136"/>
      <c r="J415" s="136"/>
      <c r="K415" s="451"/>
      <c r="L415" s="451"/>
      <c r="M415" s="136"/>
      <c r="N415" s="136"/>
      <c r="O415" s="136"/>
      <c r="P415" s="136"/>
      <c r="Q415" s="136"/>
      <c r="R415" s="136"/>
      <c r="S415" s="136"/>
      <c r="T415" s="136"/>
      <c r="U415" s="136"/>
      <c r="V415" s="136"/>
      <c r="W415" s="136"/>
    </row>
    <row r="416">
      <c r="A416" s="136"/>
      <c r="B416" s="136"/>
      <c r="C416" s="136"/>
      <c r="D416" s="136"/>
      <c r="E416" s="136"/>
      <c r="F416" s="136"/>
      <c r="G416" s="136"/>
      <c r="H416" s="136"/>
      <c r="I416" s="136"/>
      <c r="J416" s="136"/>
      <c r="K416" s="451"/>
      <c r="L416" s="451"/>
      <c r="M416" s="136"/>
      <c r="N416" s="136"/>
      <c r="O416" s="136"/>
      <c r="P416" s="136"/>
      <c r="Q416" s="136"/>
      <c r="R416" s="136"/>
      <c r="S416" s="136"/>
      <c r="T416" s="136"/>
      <c r="U416" s="136"/>
      <c r="V416" s="136"/>
      <c r="W416" s="136"/>
    </row>
    <row r="417">
      <c r="A417" s="136"/>
      <c r="B417" s="136"/>
      <c r="C417" s="136"/>
      <c r="D417" s="136"/>
      <c r="E417" s="136"/>
      <c r="F417" s="136"/>
      <c r="G417" s="136"/>
      <c r="H417" s="136"/>
      <c r="I417" s="136"/>
      <c r="J417" s="136"/>
      <c r="K417" s="451"/>
      <c r="L417" s="451"/>
      <c r="M417" s="136"/>
      <c r="N417" s="136"/>
      <c r="O417" s="136"/>
      <c r="P417" s="136"/>
      <c r="Q417" s="136"/>
      <c r="R417" s="136"/>
      <c r="S417" s="136"/>
      <c r="T417" s="136"/>
      <c r="U417" s="136"/>
      <c r="V417" s="136"/>
      <c r="W417" s="136"/>
    </row>
    <row r="418">
      <c r="A418" s="136"/>
      <c r="B418" s="136"/>
      <c r="C418" s="136"/>
      <c r="D418" s="136"/>
      <c r="E418" s="136"/>
      <c r="F418" s="136"/>
      <c r="G418" s="136"/>
      <c r="H418" s="136"/>
      <c r="I418" s="136"/>
      <c r="J418" s="136"/>
      <c r="K418" s="451"/>
      <c r="L418" s="451"/>
      <c r="M418" s="136"/>
      <c r="N418" s="136"/>
      <c r="O418" s="136"/>
      <c r="P418" s="136"/>
      <c r="Q418" s="136"/>
      <c r="R418" s="136"/>
      <c r="S418" s="136"/>
      <c r="T418" s="136"/>
      <c r="U418" s="136"/>
      <c r="V418" s="136"/>
      <c r="W418" s="136"/>
    </row>
    <row r="419">
      <c r="A419" s="136"/>
      <c r="B419" s="136"/>
      <c r="C419" s="136"/>
      <c r="D419" s="136"/>
      <c r="E419" s="136"/>
      <c r="F419" s="136"/>
      <c r="G419" s="136"/>
      <c r="H419" s="136"/>
      <c r="I419" s="136"/>
      <c r="J419" s="136"/>
      <c r="K419" s="451"/>
      <c r="L419" s="451"/>
      <c r="M419" s="136"/>
      <c r="N419" s="136"/>
      <c r="O419" s="136"/>
      <c r="P419" s="136"/>
      <c r="Q419" s="136"/>
      <c r="R419" s="136"/>
      <c r="S419" s="136"/>
      <c r="T419" s="136"/>
      <c r="U419" s="136"/>
      <c r="V419" s="136"/>
      <c r="W419" s="136"/>
    </row>
    <row r="420">
      <c r="A420" s="136"/>
      <c r="B420" s="136"/>
      <c r="C420" s="136"/>
      <c r="D420" s="136"/>
      <c r="E420" s="136"/>
      <c r="F420" s="136"/>
      <c r="G420" s="136"/>
      <c r="H420" s="136"/>
      <c r="I420" s="136"/>
      <c r="J420" s="136"/>
      <c r="K420" s="451"/>
      <c r="L420" s="451"/>
      <c r="M420" s="136"/>
      <c r="N420" s="136"/>
      <c r="O420" s="136"/>
      <c r="P420" s="136"/>
      <c r="Q420" s="136"/>
      <c r="R420" s="136"/>
      <c r="S420" s="136"/>
      <c r="T420" s="136"/>
      <c r="U420" s="136"/>
      <c r="V420" s="136"/>
      <c r="W420" s="136"/>
    </row>
    <row r="421">
      <c r="A421" s="136"/>
      <c r="B421" s="136"/>
      <c r="C421" s="136"/>
      <c r="D421" s="136"/>
      <c r="E421" s="136"/>
      <c r="F421" s="136"/>
      <c r="G421" s="136"/>
      <c r="H421" s="136"/>
      <c r="I421" s="136"/>
      <c r="J421" s="136"/>
      <c r="K421" s="451"/>
      <c r="L421" s="451"/>
      <c r="M421" s="136"/>
      <c r="N421" s="136"/>
      <c r="O421" s="136"/>
      <c r="P421" s="136"/>
      <c r="Q421" s="136"/>
      <c r="R421" s="136"/>
      <c r="S421" s="136"/>
      <c r="T421" s="136"/>
      <c r="U421" s="136"/>
      <c r="V421" s="136"/>
      <c r="W421" s="136"/>
    </row>
    <row r="422">
      <c r="A422" s="136"/>
      <c r="B422" s="136"/>
      <c r="C422" s="136"/>
      <c r="D422" s="136"/>
      <c r="E422" s="136"/>
      <c r="F422" s="136"/>
      <c r="G422" s="136"/>
      <c r="H422" s="136"/>
      <c r="I422" s="136"/>
      <c r="J422" s="136"/>
      <c r="K422" s="451"/>
      <c r="L422" s="451"/>
      <c r="M422" s="136"/>
      <c r="N422" s="136"/>
      <c r="O422" s="136"/>
      <c r="P422" s="136"/>
      <c r="Q422" s="136"/>
      <c r="R422" s="136"/>
      <c r="S422" s="136"/>
      <c r="T422" s="136"/>
      <c r="U422" s="136"/>
      <c r="V422" s="136"/>
      <c r="W422" s="136"/>
    </row>
    <row r="423">
      <c r="A423" s="136"/>
      <c r="B423" s="136"/>
      <c r="C423" s="136"/>
      <c r="D423" s="136"/>
      <c r="E423" s="136"/>
      <c r="F423" s="136"/>
      <c r="G423" s="136"/>
      <c r="H423" s="136"/>
      <c r="I423" s="136"/>
      <c r="J423" s="136"/>
      <c r="K423" s="451"/>
      <c r="L423" s="451"/>
      <c r="M423" s="136"/>
      <c r="N423" s="136"/>
      <c r="O423" s="136"/>
      <c r="P423" s="136"/>
      <c r="Q423" s="136"/>
      <c r="R423" s="136"/>
      <c r="S423" s="136"/>
      <c r="T423" s="136"/>
      <c r="U423" s="136"/>
      <c r="V423" s="136"/>
      <c r="W423" s="136"/>
    </row>
    <row r="424">
      <c r="A424" s="136"/>
      <c r="B424" s="136"/>
      <c r="C424" s="136"/>
      <c r="D424" s="136"/>
      <c r="E424" s="136"/>
      <c r="F424" s="136"/>
      <c r="G424" s="136"/>
      <c r="H424" s="136"/>
      <c r="I424" s="136"/>
      <c r="J424" s="136"/>
      <c r="K424" s="451"/>
      <c r="L424" s="451"/>
      <c r="M424" s="136"/>
      <c r="N424" s="136"/>
      <c r="O424" s="136"/>
      <c r="P424" s="136"/>
      <c r="Q424" s="136"/>
      <c r="R424" s="136"/>
      <c r="S424" s="136"/>
      <c r="T424" s="136"/>
      <c r="U424" s="136"/>
      <c r="V424" s="136"/>
      <c r="W424" s="136"/>
    </row>
    <row r="425">
      <c r="A425" s="136"/>
      <c r="B425" s="136"/>
      <c r="C425" s="136"/>
      <c r="D425" s="136"/>
      <c r="E425" s="136"/>
      <c r="F425" s="136"/>
      <c r="G425" s="136"/>
      <c r="H425" s="136"/>
      <c r="I425" s="136"/>
      <c r="J425" s="136"/>
      <c r="K425" s="451"/>
      <c r="L425" s="451"/>
      <c r="M425" s="136"/>
      <c r="N425" s="136"/>
      <c r="O425" s="136"/>
      <c r="P425" s="136"/>
      <c r="Q425" s="136"/>
      <c r="R425" s="136"/>
      <c r="S425" s="136"/>
      <c r="T425" s="136"/>
      <c r="U425" s="136"/>
      <c r="V425" s="136"/>
      <c r="W425" s="136"/>
    </row>
    <row r="426">
      <c r="A426" s="136"/>
      <c r="B426" s="136"/>
      <c r="C426" s="136"/>
      <c r="D426" s="136"/>
      <c r="E426" s="136"/>
      <c r="F426" s="136"/>
      <c r="G426" s="136"/>
      <c r="H426" s="136"/>
      <c r="I426" s="136"/>
      <c r="J426" s="136"/>
      <c r="K426" s="451"/>
      <c r="L426" s="451"/>
      <c r="M426" s="136"/>
      <c r="N426" s="136"/>
      <c r="O426" s="136"/>
      <c r="P426" s="136"/>
      <c r="Q426" s="136"/>
      <c r="R426" s="136"/>
      <c r="S426" s="136"/>
      <c r="T426" s="136"/>
      <c r="U426" s="136"/>
      <c r="V426" s="136"/>
      <c r="W426" s="136"/>
    </row>
    <row r="427">
      <c r="A427" s="136"/>
      <c r="B427" s="136"/>
      <c r="C427" s="136"/>
      <c r="D427" s="136"/>
      <c r="E427" s="136"/>
      <c r="F427" s="136"/>
      <c r="G427" s="136"/>
      <c r="H427" s="136"/>
      <c r="I427" s="136"/>
      <c r="J427" s="136"/>
      <c r="K427" s="451"/>
      <c r="L427" s="451"/>
      <c r="M427" s="136"/>
      <c r="N427" s="136"/>
      <c r="O427" s="136"/>
      <c r="P427" s="136"/>
      <c r="Q427" s="136"/>
      <c r="R427" s="136"/>
      <c r="S427" s="136"/>
      <c r="T427" s="136"/>
      <c r="U427" s="136"/>
      <c r="V427" s="136"/>
      <c r="W427" s="136"/>
    </row>
    <row r="428">
      <c r="A428" s="136"/>
      <c r="B428" s="136"/>
      <c r="C428" s="136"/>
      <c r="D428" s="136"/>
      <c r="E428" s="136"/>
      <c r="F428" s="136"/>
      <c r="G428" s="136"/>
      <c r="H428" s="136"/>
      <c r="I428" s="136"/>
      <c r="J428" s="136"/>
      <c r="K428" s="451"/>
      <c r="L428" s="451"/>
      <c r="M428" s="136"/>
      <c r="N428" s="136"/>
      <c r="O428" s="136"/>
      <c r="P428" s="136"/>
      <c r="Q428" s="136"/>
      <c r="R428" s="136"/>
      <c r="S428" s="136"/>
      <c r="T428" s="136"/>
      <c r="U428" s="136"/>
      <c r="V428" s="136"/>
      <c r="W428" s="136"/>
    </row>
    <row r="429">
      <c r="A429" s="136"/>
      <c r="B429" s="136"/>
      <c r="C429" s="136"/>
      <c r="D429" s="136"/>
      <c r="E429" s="136"/>
      <c r="F429" s="136"/>
      <c r="G429" s="136"/>
      <c r="H429" s="136"/>
      <c r="I429" s="136"/>
      <c r="J429" s="136"/>
      <c r="K429" s="451"/>
      <c r="L429" s="451"/>
      <c r="M429" s="136"/>
      <c r="N429" s="136"/>
      <c r="O429" s="136"/>
      <c r="P429" s="136"/>
      <c r="Q429" s="136"/>
      <c r="R429" s="136"/>
      <c r="S429" s="136"/>
      <c r="T429" s="136"/>
      <c r="U429" s="136"/>
      <c r="V429" s="136"/>
      <c r="W429" s="136"/>
    </row>
    <row r="430">
      <c r="A430" s="136"/>
      <c r="B430" s="136"/>
      <c r="C430" s="136"/>
      <c r="D430" s="136"/>
      <c r="E430" s="136"/>
      <c r="F430" s="136"/>
      <c r="G430" s="136"/>
      <c r="H430" s="136"/>
      <c r="I430" s="136"/>
      <c r="J430" s="136"/>
      <c r="K430" s="451"/>
      <c r="L430" s="451"/>
      <c r="M430" s="136"/>
      <c r="N430" s="136"/>
      <c r="O430" s="136"/>
      <c r="P430" s="136"/>
      <c r="Q430" s="136"/>
      <c r="R430" s="136"/>
      <c r="S430" s="136"/>
      <c r="T430" s="136"/>
      <c r="U430" s="136"/>
      <c r="V430" s="136"/>
      <c r="W430" s="136"/>
    </row>
    <row r="431">
      <c r="A431" s="136"/>
      <c r="B431" s="136"/>
      <c r="C431" s="136"/>
      <c r="D431" s="136"/>
      <c r="E431" s="136"/>
      <c r="F431" s="136"/>
      <c r="G431" s="136"/>
      <c r="H431" s="136"/>
      <c r="I431" s="136"/>
      <c r="J431" s="136"/>
      <c r="K431" s="451"/>
      <c r="L431" s="451"/>
      <c r="M431" s="136"/>
      <c r="N431" s="136"/>
      <c r="O431" s="136"/>
      <c r="P431" s="136"/>
      <c r="Q431" s="136"/>
      <c r="R431" s="136"/>
      <c r="S431" s="136"/>
      <c r="T431" s="136"/>
      <c r="U431" s="136"/>
      <c r="V431" s="136"/>
      <c r="W431" s="136"/>
    </row>
    <row r="432">
      <c r="A432" s="136"/>
      <c r="B432" s="136"/>
      <c r="C432" s="136"/>
      <c r="D432" s="136"/>
      <c r="E432" s="136"/>
      <c r="F432" s="136"/>
      <c r="G432" s="136"/>
      <c r="H432" s="136"/>
      <c r="I432" s="136"/>
      <c r="J432" s="136"/>
      <c r="K432" s="451"/>
      <c r="L432" s="451"/>
      <c r="M432" s="136"/>
      <c r="N432" s="136"/>
      <c r="O432" s="136"/>
      <c r="P432" s="136"/>
      <c r="Q432" s="136"/>
      <c r="R432" s="136"/>
      <c r="S432" s="136"/>
      <c r="T432" s="136"/>
      <c r="U432" s="136"/>
      <c r="V432" s="136"/>
      <c r="W432" s="136"/>
    </row>
    <row r="433">
      <c r="A433" s="136"/>
      <c r="B433" s="136"/>
      <c r="C433" s="136"/>
      <c r="D433" s="136"/>
      <c r="E433" s="136"/>
      <c r="F433" s="136"/>
      <c r="G433" s="136"/>
      <c r="H433" s="136"/>
      <c r="I433" s="136"/>
      <c r="J433" s="136"/>
      <c r="K433" s="451"/>
      <c r="L433" s="451"/>
      <c r="M433" s="136"/>
      <c r="N433" s="136"/>
      <c r="O433" s="136"/>
      <c r="P433" s="136"/>
      <c r="Q433" s="136"/>
      <c r="R433" s="136"/>
      <c r="S433" s="136"/>
      <c r="T433" s="136"/>
      <c r="U433" s="136"/>
      <c r="V433" s="136"/>
      <c r="W433" s="136"/>
    </row>
    <row r="434">
      <c r="A434" s="136"/>
      <c r="B434" s="136"/>
      <c r="C434" s="136"/>
      <c r="D434" s="136"/>
      <c r="E434" s="136"/>
      <c r="F434" s="136"/>
      <c r="G434" s="136"/>
      <c r="H434" s="136"/>
      <c r="I434" s="136"/>
      <c r="J434" s="136"/>
      <c r="K434" s="451"/>
      <c r="L434" s="451"/>
      <c r="M434" s="136"/>
      <c r="N434" s="136"/>
      <c r="O434" s="136"/>
      <c r="P434" s="136"/>
      <c r="Q434" s="136"/>
      <c r="R434" s="136"/>
      <c r="S434" s="136"/>
      <c r="T434" s="136"/>
      <c r="U434" s="136"/>
      <c r="V434" s="136"/>
      <c r="W434" s="136"/>
    </row>
    <row r="435">
      <c r="A435" s="136"/>
      <c r="B435" s="136"/>
      <c r="C435" s="136"/>
      <c r="D435" s="136"/>
      <c r="E435" s="136"/>
      <c r="F435" s="136"/>
      <c r="G435" s="136"/>
      <c r="H435" s="136"/>
      <c r="I435" s="136"/>
      <c r="J435" s="136"/>
      <c r="K435" s="451"/>
      <c r="L435" s="451"/>
      <c r="M435" s="136"/>
      <c r="N435" s="136"/>
      <c r="O435" s="136"/>
      <c r="P435" s="136"/>
      <c r="Q435" s="136"/>
      <c r="R435" s="136"/>
      <c r="S435" s="136"/>
      <c r="T435" s="136"/>
      <c r="U435" s="136"/>
      <c r="V435" s="136"/>
      <c r="W435" s="136"/>
    </row>
    <row r="436">
      <c r="A436" s="136"/>
      <c r="B436" s="136"/>
      <c r="C436" s="136"/>
      <c r="D436" s="136"/>
      <c r="E436" s="136"/>
      <c r="F436" s="136"/>
      <c r="G436" s="136"/>
      <c r="H436" s="136"/>
      <c r="I436" s="136"/>
      <c r="J436" s="136"/>
      <c r="K436" s="451"/>
      <c r="L436" s="451"/>
      <c r="M436" s="136"/>
      <c r="N436" s="136"/>
      <c r="O436" s="136"/>
      <c r="P436" s="136"/>
      <c r="Q436" s="136"/>
      <c r="R436" s="136"/>
      <c r="S436" s="136"/>
      <c r="T436" s="136"/>
      <c r="U436" s="136"/>
      <c r="V436" s="136"/>
      <c r="W436" s="136"/>
    </row>
    <row r="437">
      <c r="A437" s="136"/>
      <c r="B437" s="136"/>
      <c r="C437" s="136"/>
      <c r="D437" s="136"/>
      <c r="E437" s="136"/>
      <c r="F437" s="136"/>
      <c r="G437" s="136"/>
      <c r="H437" s="136"/>
      <c r="I437" s="136"/>
      <c r="J437" s="136"/>
      <c r="K437" s="451"/>
      <c r="L437" s="451"/>
      <c r="M437" s="136"/>
      <c r="N437" s="136"/>
      <c r="O437" s="136"/>
      <c r="P437" s="136"/>
      <c r="Q437" s="136"/>
      <c r="R437" s="136"/>
      <c r="S437" s="136"/>
      <c r="T437" s="136"/>
      <c r="U437" s="136"/>
      <c r="V437" s="136"/>
      <c r="W437" s="136"/>
    </row>
    <row r="438">
      <c r="A438" s="136"/>
      <c r="B438" s="136"/>
      <c r="C438" s="136"/>
      <c r="D438" s="136"/>
      <c r="E438" s="136"/>
      <c r="F438" s="136"/>
      <c r="G438" s="136"/>
      <c r="H438" s="136"/>
      <c r="I438" s="136"/>
      <c r="J438" s="136"/>
      <c r="K438" s="451"/>
      <c r="L438" s="451"/>
      <c r="M438" s="136"/>
      <c r="N438" s="136"/>
      <c r="O438" s="136"/>
      <c r="P438" s="136"/>
      <c r="Q438" s="136"/>
      <c r="R438" s="136"/>
      <c r="S438" s="136"/>
      <c r="T438" s="136"/>
      <c r="U438" s="136"/>
      <c r="V438" s="136"/>
      <c r="W438" s="136"/>
    </row>
    <row r="439">
      <c r="A439" s="136"/>
      <c r="B439" s="136"/>
      <c r="C439" s="136"/>
      <c r="D439" s="136"/>
      <c r="E439" s="136"/>
      <c r="F439" s="136"/>
      <c r="G439" s="136"/>
      <c r="H439" s="136"/>
      <c r="I439" s="136"/>
      <c r="J439" s="136"/>
      <c r="K439" s="451"/>
      <c r="L439" s="451"/>
      <c r="M439" s="136"/>
      <c r="N439" s="136"/>
      <c r="O439" s="136"/>
      <c r="P439" s="136"/>
      <c r="Q439" s="136"/>
      <c r="R439" s="136"/>
      <c r="S439" s="136"/>
      <c r="T439" s="136"/>
      <c r="U439" s="136"/>
      <c r="V439" s="136"/>
      <c r="W439" s="136"/>
    </row>
    <row r="440">
      <c r="A440" s="136"/>
      <c r="B440" s="136"/>
      <c r="C440" s="136"/>
      <c r="D440" s="136"/>
      <c r="E440" s="136"/>
      <c r="F440" s="136"/>
      <c r="G440" s="136"/>
      <c r="H440" s="136"/>
      <c r="I440" s="136"/>
      <c r="J440" s="136"/>
      <c r="K440" s="451"/>
      <c r="L440" s="451"/>
      <c r="M440" s="136"/>
      <c r="N440" s="136"/>
      <c r="O440" s="136"/>
      <c r="P440" s="136"/>
      <c r="Q440" s="136"/>
      <c r="R440" s="136"/>
      <c r="S440" s="136"/>
      <c r="T440" s="136"/>
      <c r="U440" s="136"/>
      <c r="V440" s="136"/>
      <c r="W440" s="136"/>
    </row>
    <row r="441">
      <c r="A441" s="136"/>
      <c r="B441" s="136"/>
      <c r="C441" s="136"/>
      <c r="D441" s="136"/>
      <c r="E441" s="136"/>
      <c r="F441" s="136"/>
      <c r="G441" s="136"/>
      <c r="H441" s="136"/>
      <c r="I441" s="136"/>
      <c r="J441" s="136"/>
      <c r="K441" s="451"/>
      <c r="L441" s="451"/>
      <c r="M441" s="136"/>
      <c r="N441" s="136"/>
      <c r="O441" s="136"/>
      <c r="P441" s="136"/>
      <c r="Q441" s="136"/>
      <c r="R441" s="136"/>
      <c r="S441" s="136"/>
      <c r="T441" s="136"/>
      <c r="U441" s="136"/>
      <c r="V441" s="136"/>
      <c r="W441" s="136"/>
    </row>
    <row r="442">
      <c r="A442" s="136"/>
      <c r="B442" s="136"/>
      <c r="C442" s="136"/>
      <c r="D442" s="136"/>
      <c r="E442" s="136"/>
      <c r="F442" s="136"/>
      <c r="G442" s="136"/>
      <c r="H442" s="136"/>
      <c r="I442" s="136"/>
      <c r="J442" s="136"/>
      <c r="K442" s="451"/>
      <c r="L442" s="451"/>
      <c r="M442" s="136"/>
      <c r="N442" s="136"/>
      <c r="O442" s="136"/>
      <c r="P442" s="136"/>
      <c r="Q442" s="136"/>
      <c r="R442" s="136"/>
      <c r="S442" s="136"/>
      <c r="T442" s="136"/>
      <c r="U442" s="136"/>
      <c r="V442" s="136"/>
      <c r="W442" s="136"/>
    </row>
    <row r="443">
      <c r="A443" s="136"/>
      <c r="B443" s="136"/>
      <c r="C443" s="136"/>
      <c r="D443" s="136"/>
      <c r="E443" s="136"/>
      <c r="F443" s="136"/>
      <c r="G443" s="136"/>
      <c r="H443" s="136"/>
      <c r="I443" s="136"/>
      <c r="J443" s="136"/>
      <c r="K443" s="451"/>
      <c r="L443" s="451"/>
      <c r="M443" s="136"/>
      <c r="N443" s="136"/>
      <c r="O443" s="136"/>
      <c r="P443" s="136"/>
      <c r="Q443" s="136"/>
      <c r="R443" s="136"/>
      <c r="S443" s="136"/>
      <c r="T443" s="136"/>
      <c r="U443" s="136"/>
      <c r="V443" s="136"/>
      <c r="W443" s="136"/>
    </row>
    <row r="444">
      <c r="A444" s="136"/>
      <c r="B444" s="136"/>
      <c r="C444" s="136"/>
      <c r="D444" s="136"/>
      <c r="E444" s="136"/>
      <c r="F444" s="136"/>
      <c r="G444" s="136"/>
      <c r="H444" s="136"/>
      <c r="I444" s="136"/>
      <c r="J444" s="136"/>
      <c r="K444" s="451"/>
      <c r="L444" s="451"/>
      <c r="M444" s="136"/>
      <c r="N444" s="136"/>
      <c r="O444" s="136"/>
      <c r="P444" s="136"/>
      <c r="Q444" s="136"/>
      <c r="R444" s="136"/>
      <c r="S444" s="136"/>
      <c r="T444" s="136"/>
      <c r="U444" s="136"/>
      <c r="V444" s="136"/>
      <c r="W444" s="136"/>
    </row>
    <row r="445">
      <c r="A445" s="136"/>
      <c r="B445" s="136"/>
      <c r="C445" s="136"/>
      <c r="D445" s="136"/>
      <c r="E445" s="136"/>
      <c r="F445" s="136"/>
      <c r="G445" s="136"/>
      <c r="H445" s="136"/>
      <c r="I445" s="136"/>
      <c r="J445" s="136"/>
      <c r="K445" s="451"/>
      <c r="L445" s="451"/>
      <c r="M445" s="136"/>
      <c r="N445" s="136"/>
      <c r="O445" s="136"/>
      <c r="P445" s="136"/>
      <c r="Q445" s="136"/>
      <c r="R445" s="136"/>
      <c r="S445" s="136"/>
      <c r="T445" s="136"/>
      <c r="U445" s="136"/>
      <c r="V445" s="136"/>
      <c r="W445" s="136"/>
    </row>
    <row r="446">
      <c r="A446" s="136"/>
      <c r="B446" s="136"/>
      <c r="C446" s="136"/>
      <c r="D446" s="136"/>
      <c r="E446" s="136"/>
      <c r="F446" s="136"/>
      <c r="G446" s="136"/>
      <c r="H446" s="136"/>
      <c r="I446" s="136"/>
      <c r="J446" s="136"/>
      <c r="K446" s="451"/>
      <c r="L446" s="451"/>
      <c r="M446" s="136"/>
      <c r="N446" s="136"/>
      <c r="O446" s="136"/>
      <c r="P446" s="136"/>
      <c r="Q446" s="136"/>
      <c r="R446" s="136"/>
      <c r="S446" s="136"/>
      <c r="T446" s="136"/>
      <c r="U446" s="136"/>
      <c r="V446" s="136"/>
      <c r="W446" s="136"/>
    </row>
    <row r="447">
      <c r="A447" s="136"/>
      <c r="B447" s="136"/>
      <c r="C447" s="136"/>
      <c r="D447" s="136"/>
      <c r="E447" s="136"/>
      <c r="F447" s="136"/>
      <c r="G447" s="136"/>
      <c r="H447" s="136"/>
      <c r="I447" s="136"/>
      <c r="J447" s="136"/>
      <c r="K447" s="451"/>
      <c r="L447" s="451"/>
      <c r="M447" s="136"/>
      <c r="N447" s="136"/>
      <c r="O447" s="136"/>
      <c r="P447" s="136"/>
      <c r="Q447" s="136"/>
      <c r="R447" s="136"/>
      <c r="S447" s="136"/>
      <c r="T447" s="136"/>
      <c r="U447" s="136"/>
      <c r="V447" s="136"/>
      <c r="W447" s="136"/>
    </row>
    <row r="448">
      <c r="A448" s="136"/>
      <c r="B448" s="136"/>
      <c r="C448" s="136"/>
      <c r="D448" s="136"/>
      <c r="E448" s="136"/>
      <c r="F448" s="136"/>
      <c r="G448" s="136"/>
      <c r="H448" s="136"/>
      <c r="I448" s="136"/>
      <c r="J448" s="136"/>
      <c r="K448" s="451"/>
      <c r="L448" s="451"/>
      <c r="M448" s="136"/>
      <c r="N448" s="136"/>
      <c r="O448" s="136"/>
      <c r="P448" s="136"/>
      <c r="Q448" s="136"/>
      <c r="R448" s="136"/>
      <c r="S448" s="136"/>
      <c r="T448" s="136"/>
      <c r="U448" s="136"/>
      <c r="V448" s="136"/>
      <c r="W448" s="136"/>
    </row>
    <row r="449">
      <c r="A449" s="136"/>
      <c r="B449" s="136"/>
      <c r="C449" s="136"/>
      <c r="D449" s="136"/>
      <c r="E449" s="136"/>
      <c r="F449" s="136"/>
      <c r="G449" s="136"/>
      <c r="H449" s="136"/>
      <c r="I449" s="136"/>
      <c r="J449" s="136"/>
      <c r="K449" s="451"/>
      <c r="L449" s="451"/>
      <c r="M449" s="136"/>
      <c r="N449" s="136"/>
      <c r="O449" s="136"/>
      <c r="P449" s="136"/>
      <c r="Q449" s="136"/>
      <c r="R449" s="136"/>
      <c r="S449" s="136"/>
      <c r="T449" s="136"/>
      <c r="U449" s="136"/>
      <c r="V449" s="136"/>
      <c r="W449" s="136"/>
    </row>
    <row r="450">
      <c r="A450" s="136"/>
      <c r="B450" s="136"/>
      <c r="C450" s="136"/>
      <c r="D450" s="136"/>
      <c r="E450" s="136"/>
      <c r="F450" s="136"/>
      <c r="G450" s="136"/>
      <c r="H450" s="136"/>
      <c r="I450" s="136"/>
      <c r="J450" s="136"/>
      <c r="K450" s="451"/>
      <c r="L450" s="451"/>
      <c r="M450" s="136"/>
      <c r="N450" s="136"/>
      <c r="O450" s="136"/>
      <c r="P450" s="136"/>
      <c r="Q450" s="136"/>
      <c r="R450" s="136"/>
      <c r="S450" s="136"/>
      <c r="T450" s="136"/>
      <c r="U450" s="136"/>
      <c r="V450" s="136"/>
      <c r="W450" s="136"/>
    </row>
    <row r="451">
      <c r="A451" s="136"/>
      <c r="B451" s="136"/>
      <c r="C451" s="136"/>
      <c r="D451" s="136"/>
      <c r="E451" s="136"/>
      <c r="F451" s="136"/>
      <c r="G451" s="136"/>
      <c r="H451" s="136"/>
      <c r="I451" s="136"/>
      <c r="J451" s="136"/>
      <c r="K451" s="451"/>
      <c r="L451" s="451"/>
      <c r="M451" s="136"/>
      <c r="N451" s="136"/>
      <c r="O451" s="136"/>
      <c r="P451" s="136"/>
      <c r="Q451" s="136"/>
      <c r="R451" s="136"/>
      <c r="S451" s="136"/>
      <c r="T451" s="136"/>
      <c r="U451" s="136"/>
      <c r="V451" s="136"/>
      <c r="W451" s="136"/>
    </row>
    <row r="452">
      <c r="A452" s="136"/>
      <c r="B452" s="136"/>
      <c r="C452" s="136"/>
      <c r="D452" s="136"/>
      <c r="E452" s="136"/>
      <c r="F452" s="136"/>
      <c r="G452" s="136"/>
      <c r="H452" s="136"/>
      <c r="I452" s="136"/>
      <c r="J452" s="136"/>
      <c r="K452" s="451"/>
      <c r="L452" s="451"/>
      <c r="M452" s="136"/>
      <c r="N452" s="136"/>
      <c r="O452" s="136"/>
      <c r="P452" s="136"/>
      <c r="Q452" s="136"/>
      <c r="R452" s="136"/>
      <c r="S452" s="136"/>
      <c r="T452" s="136"/>
      <c r="U452" s="136"/>
      <c r="V452" s="136"/>
      <c r="W452" s="136"/>
    </row>
    <row r="453">
      <c r="A453" s="136"/>
      <c r="B453" s="136"/>
      <c r="C453" s="136"/>
      <c r="D453" s="136"/>
      <c r="E453" s="136"/>
      <c r="F453" s="136"/>
      <c r="G453" s="136"/>
      <c r="H453" s="136"/>
      <c r="I453" s="136"/>
      <c r="J453" s="136"/>
      <c r="K453" s="451"/>
      <c r="L453" s="451"/>
      <c r="M453" s="136"/>
      <c r="N453" s="136"/>
      <c r="O453" s="136"/>
      <c r="P453" s="136"/>
      <c r="Q453" s="136"/>
      <c r="R453" s="136"/>
      <c r="S453" s="136"/>
      <c r="T453" s="136"/>
      <c r="U453" s="136"/>
      <c r="V453" s="136"/>
      <c r="W453" s="136"/>
    </row>
    <row r="454">
      <c r="A454" s="136"/>
      <c r="B454" s="136"/>
      <c r="C454" s="136"/>
      <c r="D454" s="136"/>
      <c r="E454" s="136"/>
      <c r="F454" s="136"/>
      <c r="G454" s="136"/>
      <c r="H454" s="136"/>
      <c r="I454" s="136"/>
      <c r="J454" s="136"/>
      <c r="K454" s="451"/>
      <c r="L454" s="451"/>
      <c r="M454" s="136"/>
      <c r="N454" s="136"/>
      <c r="O454" s="136"/>
      <c r="P454" s="136"/>
      <c r="Q454" s="136"/>
      <c r="R454" s="136"/>
      <c r="S454" s="136"/>
      <c r="T454" s="136"/>
      <c r="U454" s="136"/>
      <c r="V454" s="136"/>
      <c r="W454" s="136"/>
    </row>
    <row r="455">
      <c r="A455" s="136"/>
      <c r="B455" s="136"/>
      <c r="C455" s="136"/>
      <c r="D455" s="136"/>
      <c r="E455" s="136"/>
      <c r="F455" s="136"/>
      <c r="G455" s="136"/>
      <c r="H455" s="136"/>
      <c r="I455" s="136"/>
      <c r="J455" s="136"/>
      <c r="K455" s="451"/>
      <c r="L455" s="451"/>
      <c r="M455" s="136"/>
      <c r="N455" s="136"/>
      <c r="O455" s="136"/>
      <c r="P455" s="136"/>
      <c r="Q455" s="136"/>
      <c r="R455" s="136"/>
      <c r="S455" s="136"/>
      <c r="T455" s="136"/>
      <c r="U455" s="136"/>
      <c r="V455" s="136"/>
      <c r="W455" s="136"/>
    </row>
    <row r="456">
      <c r="A456" s="136"/>
      <c r="B456" s="136"/>
      <c r="C456" s="136"/>
      <c r="D456" s="136"/>
      <c r="E456" s="136"/>
      <c r="F456" s="136"/>
      <c r="G456" s="136"/>
      <c r="H456" s="136"/>
      <c r="I456" s="136"/>
      <c r="J456" s="136"/>
      <c r="K456" s="451"/>
      <c r="L456" s="451"/>
      <c r="M456" s="136"/>
      <c r="N456" s="136"/>
      <c r="O456" s="136"/>
      <c r="P456" s="136"/>
      <c r="Q456" s="136"/>
      <c r="R456" s="136"/>
      <c r="S456" s="136"/>
      <c r="T456" s="136"/>
      <c r="U456" s="136"/>
      <c r="V456" s="136"/>
      <c r="W456" s="136"/>
    </row>
    <row r="457">
      <c r="A457" s="136"/>
      <c r="B457" s="136"/>
      <c r="C457" s="136"/>
      <c r="D457" s="136"/>
      <c r="E457" s="136"/>
      <c r="F457" s="136"/>
      <c r="G457" s="136"/>
      <c r="H457" s="136"/>
      <c r="I457" s="136"/>
      <c r="J457" s="136"/>
      <c r="K457" s="451"/>
      <c r="L457" s="451"/>
      <c r="M457" s="136"/>
      <c r="N457" s="136"/>
      <c r="O457" s="136"/>
      <c r="P457" s="136"/>
      <c r="Q457" s="136"/>
      <c r="R457" s="136"/>
      <c r="S457" s="136"/>
      <c r="T457" s="136"/>
      <c r="U457" s="136"/>
      <c r="V457" s="136"/>
      <c r="W457" s="136"/>
    </row>
    <row r="458">
      <c r="A458" s="136"/>
      <c r="B458" s="136"/>
      <c r="C458" s="136"/>
      <c r="D458" s="136"/>
      <c r="E458" s="136"/>
      <c r="F458" s="136"/>
      <c r="G458" s="136"/>
      <c r="H458" s="136"/>
      <c r="I458" s="136"/>
      <c r="J458" s="136"/>
      <c r="K458" s="451"/>
      <c r="L458" s="451"/>
      <c r="M458" s="136"/>
      <c r="N458" s="136"/>
      <c r="O458" s="136"/>
      <c r="P458" s="136"/>
      <c r="Q458" s="136"/>
      <c r="R458" s="136"/>
      <c r="S458" s="136"/>
      <c r="T458" s="136"/>
      <c r="U458" s="136"/>
      <c r="V458" s="136"/>
      <c r="W458" s="136"/>
    </row>
    <row r="459">
      <c r="A459" s="136"/>
      <c r="B459" s="136"/>
      <c r="C459" s="136"/>
      <c r="D459" s="136"/>
      <c r="E459" s="136"/>
      <c r="F459" s="136"/>
      <c r="G459" s="136"/>
      <c r="H459" s="136"/>
      <c r="I459" s="136"/>
      <c r="J459" s="136"/>
      <c r="K459" s="451"/>
      <c r="L459" s="451"/>
      <c r="M459" s="136"/>
      <c r="N459" s="136"/>
      <c r="O459" s="136"/>
      <c r="P459" s="136"/>
      <c r="Q459" s="136"/>
      <c r="R459" s="136"/>
      <c r="S459" s="136"/>
      <c r="T459" s="136"/>
      <c r="U459" s="136"/>
      <c r="V459" s="136"/>
      <c r="W459" s="136"/>
    </row>
    <row r="460">
      <c r="A460" s="136"/>
      <c r="B460" s="136"/>
      <c r="C460" s="136"/>
      <c r="D460" s="136"/>
      <c r="E460" s="136"/>
      <c r="F460" s="136"/>
      <c r="G460" s="136"/>
      <c r="H460" s="136"/>
      <c r="I460" s="136"/>
      <c r="J460" s="136"/>
      <c r="K460" s="451"/>
      <c r="L460" s="451"/>
      <c r="M460" s="136"/>
      <c r="N460" s="136"/>
      <c r="O460" s="136"/>
      <c r="P460" s="136"/>
      <c r="Q460" s="136"/>
      <c r="R460" s="136"/>
      <c r="S460" s="136"/>
      <c r="T460" s="136"/>
      <c r="U460" s="136"/>
      <c r="V460" s="136"/>
      <c r="W460" s="136"/>
    </row>
    <row r="461">
      <c r="A461" s="136"/>
      <c r="B461" s="136"/>
      <c r="C461" s="136"/>
      <c r="D461" s="136"/>
      <c r="E461" s="136"/>
      <c r="F461" s="136"/>
      <c r="G461" s="136"/>
      <c r="H461" s="136"/>
      <c r="I461" s="136"/>
      <c r="J461" s="136"/>
      <c r="K461" s="451"/>
      <c r="L461" s="451"/>
      <c r="M461" s="136"/>
      <c r="N461" s="136"/>
      <c r="O461" s="136"/>
      <c r="P461" s="136"/>
      <c r="Q461" s="136"/>
      <c r="R461" s="136"/>
      <c r="S461" s="136"/>
      <c r="T461" s="136"/>
      <c r="U461" s="136"/>
      <c r="V461" s="136"/>
      <c r="W461" s="136"/>
    </row>
    <row r="462">
      <c r="A462" s="136"/>
      <c r="B462" s="136"/>
      <c r="C462" s="136"/>
      <c r="D462" s="136"/>
      <c r="E462" s="136"/>
      <c r="F462" s="136"/>
      <c r="G462" s="136"/>
      <c r="H462" s="136"/>
      <c r="I462" s="136"/>
      <c r="J462" s="136"/>
      <c r="K462" s="451"/>
      <c r="L462" s="451"/>
      <c r="M462" s="136"/>
      <c r="N462" s="136"/>
      <c r="O462" s="136"/>
      <c r="P462" s="136"/>
      <c r="Q462" s="136"/>
      <c r="R462" s="136"/>
      <c r="S462" s="136"/>
      <c r="T462" s="136"/>
      <c r="U462" s="136"/>
      <c r="V462" s="136"/>
      <c r="W462" s="136"/>
    </row>
    <row r="463">
      <c r="A463" s="136"/>
      <c r="B463" s="136"/>
      <c r="C463" s="136"/>
      <c r="D463" s="136"/>
      <c r="E463" s="136"/>
      <c r="F463" s="136"/>
      <c r="G463" s="136"/>
      <c r="H463" s="136"/>
      <c r="I463" s="136"/>
      <c r="J463" s="136"/>
      <c r="K463" s="451"/>
      <c r="L463" s="451"/>
      <c r="M463" s="136"/>
      <c r="N463" s="136"/>
      <c r="O463" s="136"/>
      <c r="P463" s="136"/>
      <c r="Q463" s="136"/>
      <c r="R463" s="136"/>
      <c r="S463" s="136"/>
      <c r="T463" s="136"/>
      <c r="U463" s="136"/>
      <c r="V463" s="136"/>
      <c r="W463" s="136"/>
    </row>
    <row r="464">
      <c r="A464" s="136"/>
      <c r="B464" s="136"/>
      <c r="C464" s="136"/>
      <c r="D464" s="136"/>
      <c r="E464" s="136"/>
      <c r="F464" s="136"/>
      <c r="G464" s="136"/>
      <c r="H464" s="136"/>
      <c r="I464" s="136"/>
      <c r="J464" s="136"/>
      <c r="K464" s="451"/>
      <c r="L464" s="451"/>
      <c r="M464" s="136"/>
      <c r="N464" s="136"/>
      <c r="O464" s="136"/>
      <c r="P464" s="136"/>
      <c r="Q464" s="136"/>
      <c r="R464" s="136"/>
      <c r="S464" s="136"/>
      <c r="T464" s="136"/>
      <c r="U464" s="136"/>
      <c r="V464" s="136"/>
      <c r="W464" s="136"/>
    </row>
    <row r="465">
      <c r="A465" s="136"/>
      <c r="B465" s="136"/>
      <c r="C465" s="136"/>
      <c r="D465" s="136"/>
      <c r="E465" s="136"/>
      <c r="F465" s="136"/>
      <c r="G465" s="136"/>
      <c r="H465" s="136"/>
      <c r="I465" s="136"/>
      <c r="J465" s="136"/>
      <c r="K465" s="451"/>
      <c r="L465" s="451"/>
      <c r="M465" s="136"/>
      <c r="N465" s="136"/>
      <c r="O465" s="136"/>
      <c r="P465" s="136"/>
      <c r="Q465" s="136"/>
      <c r="R465" s="136"/>
      <c r="S465" s="136"/>
      <c r="T465" s="136"/>
      <c r="U465" s="136"/>
      <c r="V465" s="136"/>
      <c r="W465" s="136"/>
    </row>
    <row r="466">
      <c r="A466" s="136"/>
      <c r="B466" s="136"/>
      <c r="C466" s="136"/>
      <c r="D466" s="136"/>
      <c r="E466" s="136"/>
      <c r="F466" s="136"/>
      <c r="G466" s="136"/>
      <c r="H466" s="136"/>
      <c r="I466" s="136"/>
      <c r="J466" s="136"/>
      <c r="K466" s="451"/>
      <c r="L466" s="451"/>
      <c r="M466" s="136"/>
      <c r="N466" s="136"/>
      <c r="O466" s="136"/>
      <c r="P466" s="136"/>
      <c r="Q466" s="136"/>
      <c r="R466" s="136"/>
      <c r="S466" s="136"/>
      <c r="T466" s="136"/>
      <c r="U466" s="136"/>
      <c r="V466" s="136"/>
      <c r="W466" s="136"/>
    </row>
    <row r="467">
      <c r="A467" s="136"/>
      <c r="B467" s="136"/>
      <c r="C467" s="136"/>
      <c r="D467" s="136"/>
      <c r="E467" s="136"/>
      <c r="F467" s="136"/>
      <c r="G467" s="136"/>
      <c r="H467" s="136"/>
      <c r="I467" s="136"/>
      <c r="J467" s="136"/>
      <c r="K467" s="451"/>
      <c r="L467" s="451"/>
      <c r="M467" s="136"/>
      <c r="N467" s="136"/>
      <c r="O467" s="136"/>
      <c r="P467" s="136"/>
      <c r="Q467" s="136"/>
      <c r="R467" s="136"/>
      <c r="S467" s="136"/>
      <c r="T467" s="136"/>
      <c r="U467" s="136"/>
      <c r="V467" s="136"/>
      <c r="W467" s="136"/>
    </row>
    <row r="468">
      <c r="A468" s="136"/>
      <c r="B468" s="136"/>
      <c r="C468" s="136"/>
      <c r="D468" s="136"/>
      <c r="E468" s="136"/>
      <c r="F468" s="136"/>
      <c r="G468" s="136"/>
      <c r="H468" s="136"/>
      <c r="I468" s="136"/>
      <c r="J468" s="136"/>
      <c r="K468" s="451"/>
      <c r="L468" s="451"/>
      <c r="M468" s="136"/>
      <c r="N468" s="136"/>
      <c r="O468" s="136"/>
      <c r="P468" s="136"/>
      <c r="Q468" s="136"/>
      <c r="R468" s="136"/>
      <c r="S468" s="136"/>
      <c r="T468" s="136"/>
      <c r="U468" s="136"/>
      <c r="V468" s="136"/>
      <c r="W468" s="136"/>
    </row>
    <row r="469">
      <c r="A469" s="136"/>
      <c r="B469" s="136"/>
      <c r="C469" s="136"/>
      <c r="D469" s="136"/>
      <c r="E469" s="136"/>
      <c r="F469" s="136"/>
      <c r="G469" s="136"/>
      <c r="H469" s="136"/>
      <c r="I469" s="136"/>
      <c r="J469" s="136"/>
      <c r="K469" s="451"/>
      <c r="L469" s="451"/>
      <c r="M469" s="136"/>
      <c r="N469" s="136"/>
      <c r="O469" s="136"/>
      <c r="P469" s="136"/>
      <c r="Q469" s="136"/>
      <c r="R469" s="136"/>
      <c r="S469" s="136"/>
      <c r="T469" s="136"/>
      <c r="U469" s="136"/>
      <c r="V469" s="136"/>
      <c r="W469" s="136"/>
    </row>
    <row r="470">
      <c r="A470" s="136"/>
      <c r="B470" s="136"/>
      <c r="C470" s="136"/>
      <c r="D470" s="136"/>
      <c r="E470" s="136"/>
      <c r="F470" s="136"/>
      <c r="G470" s="136"/>
      <c r="H470" s="136"/>
      <c r="I470" s="136"/>
      <c r="J470" s="136"/>
      <c r="K470" s="451"/>
      <c r="L470" s="451"/>
      <c r="M470" s="136"/>
      <c r="N470" s="136"/>
      <c r="O470" s="136"/>
      <c r="P470" s="136"/>
      <c r="Q470" s="136"/>
      <c r="R470" s="136"/>
      <c r="S470" s="136"/>
      <c r="T470" s="136"/>
      <c r="U470" s="136"/>
      <c r="V470" s="136"/>
      <c r="W470" s="136"/>
    </row>
    <row r="471">
      <c r="A471" s="136"/>
      <c r="B471" s="136"/>
      <c r="C471" s="136"/>
      <c r="D471" s="136"/>
      <c r="E471" s="136"/>
      <c r="F471" s="136"/>
      <c r="G471" s="136"/>
      <c r="H471" s="136"/>
      <c r="I471" s="136"/>
      <c r="J471" s="136"/>
      <c r="K471" s="451"/>
      <c r="L471" s="451"/>
      <c r="M471" s="136"/>
      <c r="N471" s="136"/>
      <c r="O471" s="136"/>
      <c r="P471" s="136"/>
      <c r="Q471" s="136"/>
      <c r="R471" s="136"/>
      <c r="S471" s="136"/>
      <c r="T471" s="136"/>
      <c r="U471" s="136"/>
      <c r="V471" s="136"/>
      <c r="W471" s="136"/>
    </row>
    <row r="472">
      <c r="A472" s="136"/>
      <c r="B472" s="136"/>
      <c r="C472" s="136"/>
      <c r="D472" s="136"/>
      <c r="E472" s="136"/>
      <c r="F472" s="136"/>
      <c r="G472" s="136"/>
      <c r="H472" s="136"/>
      <c r="I472" s="136"/>
      <c r="J472" s="136"/>
      <c r="K472" s="451"/>
      <c r="L472" s="451"/>
      <c r="M472" s="136"/>
      <c r="N472" s="136"/>
      <c r="O472" s="136"/>
      <c r="P472" s="136"/>
      <c r="Q472" s="136"/>
      <c r="R472" s="136"/>
      <c r="S472" s="136"/>
      <c r="T472" s="136"/>
      <c r="U472" s="136"/>
      <c r="V472" s="136"/>
      <c r="W472" s="136"/>
    </row>
    <row r="473">
      <c r="A473" s="136"/>
      <c r="B473" s="136"/>
      <c r="C473" s="136"/>
      <c r="D473" s="136"/>
      <c r="E473" s="136"/>
      <c r="F473" s="136"/>
      <c r="G473" s="136"/>
      <c r="H473" s="136"/>
      <c r="I473" s="136"/>
      <c r="J473" s="136"/>
      <c r="K473" s="451"/>
      <c r="L473" s="451"/>
      <c r="M473" s="136"/>
      <c r="N473" s="136"/>
      <c r="O473" s="136"/>
      <c r="P473" s="136"/>
      <c r="Q473" s="136"/>
      <c r="R473" s="136"/>
      <c r="S473" s="136"/>
      <c r="T473" s="136"/>
      <c r="U473" s="136"/>
      <c r="V473" s="136"/>
      <c r="W473" s="136"/>
    </row>
    <row r="474">
      <c r="A474" s="136"/>
      <c r="B474" s="136"/>
      <c r="C474" s="136"/>
      <c r="D474" s="136"/>
      <c r="E474" s="136"/>
      <c r="F474" s="136"/>
      <c r="G474" s="136"/>
      <c r="H474" s="136"/>
      <c r="I474" s="136"/>
      <c r="J474" s="136"/>
      <c r="K474" s="451"/>
      <c r="L474" s="451"/>
      <c r="M474" s="136"/>
      <c r="N474" s="136"/>
      <c r="O474" s="136"/>
      <c r="P474" s="136"/>
      <c r="Q474" s="136"/>
      <c r="R474" s="136"/>
      <c r="S474" s="136"/>
      <c r="T474" s="136"/>
      <c r="U474" s="136"/>
      <c r="V474" s="136"/>
      <c r="W474" s="136"/>
    </row>
    <row r="475">
      <c r="A475" s="136"/>
      <c r="B475" s="136"/>
      <c r="C475" s="136"/>
      <c r="D475" s="136"/>
      <c r="E475" s="136"/>
      <c r="F475" s="136"/>
      <c r="G475" s="136"/>
      <c r="H475" s="136"/>
      <c r="I475" s="136"/>
      <c r="J475" s="136"/>
      <c r="K475" s="451"/>
      <c r="L475" s="451"/>
      <c r="M475" s="136"/>
      <c r="N475" s="136"/>
      <c r="O475" s="136"/>
      <c r="P475" s="136"/>
      <c r="Q475" s="136"/>
      <c r="R475" s="136"/>
      <c r="S475" s="136"/>
      <c r="T475" s="136"/>
      <c r="U475" s="136"/>
      <c r="V475" s="136"/>
      <c r="W475" s="136"/>
    </row>
    <row r="476">
      <c r="A476" s="136"/>
      <c r="B476" s="136"/>
      <c r="C476" s="136"/>
      <c r="D476" s="136"/>
      <c r="E476" s="136"/>
      <c r="F476" s="136"/>
      <c r="G476" s="136"/>
      <c r="H476" s="136"/>
      <c r="I476" s="136"/>
      <c r="J476" s="136"/>
      <c r="K476" s="451"/>
      <c r="L476" s="451"/>
      <c r="M476" s="136"/>
      <c r="N476" s="136"/>
      <c r="O476" s="136"/>
      <c r="P476" s="136"/>
      <c r="Q476" s="136"/>
      <c r="R476" s="136"/>
      <c r="S476" s="136"/>
      <c r="T476" s="136"/>
      <c r="U476" s="136"/>
      <c r="V476" s="136"/>
      <c r="W476" s="136"/>
    </row>
    <row r="477">
      <c r="A477" s="136"/>
      <c r="B477" s="136"/>
      <c r="C477" s="136"/>
      <c r="D477" s="136"/>
      <c r="E477" s="136"/>
      <c r="F477" s="136"/>
      <c r="G477" s="136"/>
      <c r="H477" s="136"/>
      <c r="I477" s="136"/>
      <c r="J477" s="136"/>
      <c r="K477" s="451"/>
      <c r="L477" s="451"/>
      <c r="M477" s="136"/>
      <c r="N477" s="136"/>
      <c r="O477" s="136"/>
      <c r="P477" s="136"/>
      <c r="Q477" s="136"/>
      <c r="R477" s="136"/>
      <c r="S477" s="136"/>
      <c r="T477" s="136"/>
      <c r="U477" s="136"/>
      <c r="V477" s="136"/>
      <c r="W477" s="136"/>
    </row>
    <row r="478">
      <c r="A478" s="136"/>
      <c r="B478" s="136"/>
      <c r="C478" s="136"/>
      <c r="D478" s="136"/>
      <c r="E478" s="136"/>
      <c r="F478" s="136"/>
      <c r="G478" s="136"/>
      <c r="H478" s="136"/>
      <c r="I478" s="136"/>
      <c r="J478" s="136"/>
      <c r="K478" s="451"/>
      <c r="L478" s="451"/>
      <c r="M478" s="136"/>
      <c r="N478" s="136"/>
      <c r="O478" s="136"/>
      <c r="P478" s="136"/>
      <c r="Q478" s="136"/>
      <c r="R478" s="136"/>
      <c r="S478" s="136"/>
      <c r="T478" s="136"/>
      <c r="U478" s="136"/>
      <c r="V478" s="136"/>
      <c r="W478" s="136"/>
    </row>
    <row r="479">
      <c r="A479" s="136"/>
      <c r="B479" s="136"/>
      <c r="C479" s="136"/>
      <c r="D479" s="136"/>
      <c r="E479" s="136"/>
      <c r="F479" s="136"/>
      <c r="G479" s="136"/>
      <c r="H479" s="136"/>
      <c r="I479" s="136"/>
      <c r="J479" s="136"/>
      <c r="K479" s="451"/>
      <c r="L479" s="451"/>
      <c r="M479" s="136"/>
      <c r="N479" s="136"/>
      <c r="O479" s="136"/>
      <c r="P479" s="136"/>
      <c r="Q479" s="136"/>
      <c r="R479" s="136"/>
      <c r="S479" s="136"/>
      <c r="T479" s="136"/>
      <c r="U479" s="136"/>
      <c r="V479" s="136"/>
      <c r="W479" s="136"/>
    </row>
    <row r="480">
      <c r="A480" s="136"/>
      <c r="B480" s="136"/>
      <c r="C480" s="136"/>
      <c r="D480" s="136"/>
      <c r="E480" s="136"/>
      <c r="F480" s="136"/>
      <c r="G480" s="136"/>
      <c r="H480" s="136"/>
      <c r="I480" s="136"/>
      <c r="J480" s="136"/>
      <c r="K480" s="451"/>
      <c r="L480" s="451"/>
      <c r="M480" s="136"/>
      <c r="N480" s="136"/>
      <c r="O480" s="136"/>
      <c r="P480" s="136"/>
      <c r="Q480" s="136"/>
      <c r="R480" s="136"/>
      <c r="S480" s="136"/>
      <c r="T480" s="136"/>
      <c r="U480" s="136"/>
      <c r="V480" s="136"/>
      <c r="W480" s="136"/>
    </row>
    <row r="481">
      <c r="A481" s="136"/>
      <c r="B481" s="136"/>
      <c r="C481" s="136"/>
      <c r="D481" s="136"/>
      <c r="E481" s="136"/>
      <c r="F481" s="136"/>
      <c r="G481" s="136"/>
      <c r="H481" s="136"/>
      <c r="I481" s="136"/>
      <c r="J481" s="136"/>
      <c r="K481" s="451"/>
      <c r="L481" s="451"/>
      <c r="M481" s="136"/>
      <c r="N481" s="136"/>
      <c r="O481" s="136"/>
      <c r="P481" s="136"/>
      <c r="Q481" s="136"/>
      <c r="R481" s="136"/>
      <c r="S481" s="136"/>
      <c r="T481" s="136"/>
      <c r="U481" s="136"/>
      <c r="V481" s="136"/>
      <c r="W481" s="136"/>
    </row>
    <row r="482">
      <c r="A482" s="136"/>
      <c r="B482" s="136"/>
      <c r="C482" s="136"/>
      <c r="D482" s="136"/>
      <c r="E482" s="136"/>
      <c r="F482" s="136"/>
      <c r="G482" s="136"/>
      <c r="H482" s="136"/>
      <c r="I482" s="136"/>
      <c r="J482" s="136"/>
      <c r="K482" s="451"/>
      <c r="L482" s="451"/>
      <c r="M482" s="136"/>
      <c r="N482" s="136"/>
      <c r="O482" s="136"/>
      <c r="P482" s="136"/>
      <c r="Q482" s="136"/>
      <c r="R482" s="136"/>
      <c r="S482" s="136"/>
      <c r="T482" s="136"/>
      <c r="U482" s="136"/>
      <c r="V482" s="136"/>
      <c r="W482" s="136"/>
    </row>
    <row r="483">
      <c r="A483" s="136"/>
      <c r="B483" s="136"/>
      <c r="C483" s="136"/>
      <c r="D483" s="136"/>
      <c r="E483" s="136"/>
      <c r="F483" s="136"/>
      <c r="G483" s="136"/>
      <c r="H483" s="136"/>
      <c r="I483" s="136"/>
      <c r="J483" s="136"/>
      <c r="K483" s="451"/>
      <c r="L483" s="451"/>
      <c r="M483" s="136"/>
      <c r="N483" s="136"/>
      <c r="O483" s="136"/>
      <c r="P483" s="136"/>
      <c r="Q483" s="136"/>
      <c r="R483" s="136"/>
      <c r="S483" s="136"/>
      <c r="T483" s="136"/>
      <c r="U483" s="136"/>
      <c r="V483" s="136"/>
      <c r="W483" s="136"/>
    </row>
    <row r="484">
      <c r="A484" s="136"/>
      <c r="B484" s="136"/>
      <c r="C484" s="136"/>
      <c r="D484" s="136"/>
      <c r="E484" s="136"/>
      <c r="F484" s="136"/>
      <c r="G484" s="136"/>
      <c r="H484" s="136"/>
      <c r="I484" s="136"/>
      <c r="J484" s="136"/>
      <c r="K484" s="451"/>
      <c r="L484" s="451"/>
      <c r="M484" s="136"/>
      <c r="N484" s="136"/>
      <c r="O484" s="136"/>
      <c r="P484" s="136"/>
      <c r="Q484" s="136"/>
      <c r="R484" s="136"/>
      <c r="S484" s="136"/>
      <c r="T484" s="136"/>
      <c r="U484" s="136"/>
      <c r="V484" s="136"/>
      <c r="W484" s="136"/>
    </row>
    <row r="485">
      <c r="A485" s="136"/>
      <c r="B485" s="136"/>
      <c r="C485" s="136"/>
      <c r="D485" s="136"/>
      <c r="E485" s="136"/>
      <c r="F485" s="136"/>
      <c r="G485" s="136"/>
      <c r="H485" s="136"/>
      <c r="I485" s="136"/>
      <c r="J485" s="136"/>
      <c r="K485" s="451"/>
      <c r="L485" s="451"/>
      <c r="M485" s="136"/>
      <c r="N485" s="136"/>
      <c r="O485" s="136"/>
      <c r="P485" s="136"/>
      <c r="Q485" s="136"/>
      <c r="R485" s="136"/>
      <c r="S485" s="136"/>
      <c r="T485" s="136"/>
      <c r="U485" s="136"/>
      <c r="V485" s="136"/>
      <c r="W485" s="136"/>
    </row>
    <row r="486">
      <c r="A486" s="136"/>
      <c r="B486" s="136"/>
      <c r="C486" s="136"/>
      <c r="D486" s="136"/>
      <c r="E486" s="136"/>
      <c r="F486" s="136"/>
      <c r="G486" s="136"/>
      <c r="H486" s="136"/>
      <c r="I486" s="136"/>
      <c r="J486" s="136"/>
      <c r="K486" s="451"/>
      <c r="L486" s="451"/>
      <c r="M486" s="136"/>
      <c r="N486" s="136"/>
      <c r="O486" s="136"/>
      <c r="P486" s="136"/>
      <c r="Q486" s="136"/>
      <c r="R486" s="136"/>
      <c r="S486" s="136"/>
      <c r="T486" s="136"/>
      <c r="U486" s="136"/>
      <c r="V486" s="136"/>
      <c r="W486" s="136"/>
    </row>
    <row r="487">
      <c r="A487" s="136"/>
      <c r="B487" s="136"/>
      <c r="C487" s="136"/>
      <c r="D487" s="136"/>
      <c r="E487" s="136"/>
      <c r="F487" s="136"/>
      <c r="G487" s="136"/>
      <c r="H487" s="136"/>
      <c r="I487" s="136"/>
      <c r="J487" s="136"/>
      <c r="K487" s="451"/>
      <c r="L487" s="451"/>
      <c r="M487" s="136"/>
      <c r="N487" s="136"/>
      <c r="O487" s="136"/>
      <c r="P487" s="136"/>
      <c r="Q487" s="136"/>
      <c r="R487" s="136"/>
      <c r="S487" s="136"/>
      <c r="T487" s="136"/>
      <c r="U487" s="136"/>
      <c r="V487" s="136"/>
      <c r="W487" s="136"/>
    </row>
    <row r="488">
      <c r="A488" s="136"/>
      <c r="B488" s="136"/>
      <c r="C488" s="136"/>
      <c r="D488" s="136"/>
      <c r="E488" s="136"/>
      <c r="F488" s="136"/>
      <c r="G488" s="136"/>
      <c r="H488" s="136"/>
      <c r="I488" s="136"/>
      <c r="J488" s="136"/>
      <c r="K488" s="451"/>
      <c r="L488" s="451"/>
      <c r="M488" s="136"/>
      <c r="N488" s="136"/>
      <c r="O488" s="136"/>
      <c r="P488" s="136"/>
      <c r="Q488" s="136"/>
      <c r="R488" s="136"/>
      <c r="S488" s="136"/>
      <c r="T488" s="136"/>
      <c r="U488" s="136"/>
      <c r="V488" s="136"/>
      <c r="W488" s="136"/>
    </row>
    <row r="489">
      <c r="A489" s="136"/>
      <c r="B489" s="136"/>
      <c r="C489" s="136"/>
      <c r="D489" s="136"/>
      <c r="E489" s="136"/>
      <c r="F489" s="136"/>
      <c r="G489" s="136"/>
      <c r="H489" s="136"/>
      <c r="I489" s="136"/>
      <c r="J489" s="136"/>
      <c r="K489" s="451"/>
      <c r="L489" s="451"/>
      <c r="M489" s="136"/>
      <c r="N489" s="136"/>
      <c r="O489" s="136"/>
      <c r="P489" s="136"/>
      <c r="Q489" s="136"/>
      <c r="R489" s="136"/>
      <c r="S489" s="136"/>
      <c r="T489" s="136"/>
      <c r="U489" s="136"/>
      <c r="V489" s="136"/>
      <c r="W489" s="136"/>
    </row>
    <row r="490">
      <c r="A490" s="136"/>
      <c r="B490" s="136"/>
      <c r="C490" s="136"/>
      <c r="D490" s="136"/>
      <c r="E490" s="136"/>
      <c r="F490" s="136"/>
      <c r="G490" s="136"/>
      <c r="H490" s="136"/>
      <c r="I490" s="136"/>
      <c r="J490" s="136"/>
      <c r="K490" s="451"/>
      <c r="L490" s="451"/>
      <c r="M490" s="136"/>
      <c r="N490" s="136"/>
      <c r="O490" s="136"/>
      <c r="P490" s="136"/>
      <c r="Q490" s="136"/>
      <c r="R490" s="136"/>
      <c r="S490" s="136"/>
      <c r="T490" s="136"/>
      <c r="U490" s="136"/>
      <c r="V490" s="136"/>
      <c r="W490" s="136"/>
    </row>
    <row r="491">
      <c r="A491" s="136"/>
      <c r="B491" s="136"/>
      <c r="C491" s="136"/>
      <c r="D491" s="136"/>
      <c r="E491" s="136"/>
      <c r="F491" s="136"/>
      <c r="G491" s="136"/>
      <c r="H491" s="136"/>
      <c r="I491" s="136"/>
      <c r="J491" s="136"/>
      <c r="K491" s="451"/>
      <c r="L491" s="451"/>
      <c r="M491" s="136"/>
      <c r="N491" s="136"/>
      <c r="O491" s="136"/>
      <c r="P491" s="136"/>
      <c r="Q491" s="136"/>
      <c r="R491" s="136"/>
      <c r="S491" s="136"/>
      <c r="T491" s="136"/>
      <c r="U491" s="136"/>
      <c r="V491" s="136"/>
      <c r="W491" s="136"/>
    </row>
    <row r="492">
      <c r="A492" s="136"/>
      <c r="B492" s="136"/>
      <c r="C492" s="136"/>
      <c r="D492" s="136"/>
      <c r="E492" s="136"/>
      <c r="F492" s="136"/>
      <c r="G492" s="136"/>
      <c r="H492" s="136"/>
      <c r="I492" s="136"/>
      <c r="J492" s="136"/>
      <c r="K492" s="451"/>
      <c r="L492" s="451"/>
      <c r="M492" s="136"/>
      <c r="N492" s="136"/>
      <c r="O492" s="136"/>
      <c r="P492" s="136"/>
      <c r="Q492" s="136"/>
      <c r="R492" s="136"/>
      <c r="S492" s="136"/>
      <c r="T492" s="136"/>
      <c r="U492" s="136"/>
      <c r="V492" s="136"/>
      <c r="W492" s="136"/>
    </row>
    <row r="493">
      <c r="A493" s="136"/>
      <c r="B493" s="136"/>
      <c r="C493" s="136"/>
      <c r="D493" s="136"/>
      <c r="E493" s="136"/>
      <c r="F493" s="136"/>
      <c r="G493" s="136"/>
      <c r="H493" s="136"/>
      <c r="I493" s="136"/>
      <c r="J493" s="136"/>
      <c r="K493" s="451"/>
      <c r="L493" s="451"/>
      <c r="M493" s="136"/>
      <c r="N493" s="136"/>
      <c r="O493" s="136"/>
      <c r="P493" s="136"/>
      <c r="Q493" s="136"/>
      <c r="R493" s="136"/>
      <c r="S493" s="136"/>
      <c r="T493" s="136"/>
      <c r="U493" s="136"/>
      <c r="V493" s="136"/>
      <c r="W493" s="136"/>
    </row>
    <row r="494">
      <c r="A494" s="136"/>
      <c r="B494" s="136"/>
      <c r="C494" s="136"/>
      <c r="D494" s="136"/>
      <c r="E494" s="136"/>
      <c r="F494" s="136"/>
      <c r="G494" s="136"/>
      <c r="H494" s="136"/>
      <c r="I494" s="136"/>
      <c r="J494" s="136"/>
      <c r="K494" s="451"/>
      <c r="L494" s="451"/>
      <c r="M494" s="136"/>
      <c r="N494" s="136"/>
      <c r="O494" s="136"/>
      <c r="P494" s="136"/>
      <c r="Q494" s="136"/>
      <c r="R494" s="136"/>
      <c r="S494" s="136"/>
      <c r="T494" s="136"/>
      <c r="U494" s="136"/>
      <c r="V494" s="136"/>
      <c r="W494" s="136"/>
    </row>
    <row r="495">
      <c r="A495" s="136"/>
      <c r="B495" s="136"/>
      <c r="C495" s="136"/>
      <c r="D495" s="136"/>
      <c r="E495" s="136"/>
      <c r="F495" s="136"/>
      <c r="G495" s="136"/>
      <c r="H495" s="136"/>
      <c r="I495" s="136"/>
      <c r="J495" s="136"/>
      <c r="K495" s="451"/>
      <c r="L495" s="451"/>
      <c r="M495" s="136"/>
      <c r="N495" s="136"/>
      <c r="O495" s="136"/>
      <c r="P495" s="136"/>
      <c r="Q495" s="136"/>
      <c r="R495" s="136"/>
      <c r="S495" s="136"/>
      <c r="T495" s="136"/>
      <c r="U495" s="136"/>
      <c r="V495" s="136"/>
      <c r="W495" s="136"/>
    </row>
    <row r="496">
      <c r="A496" s="136"/>
      <c r="B496" s="136"/>
      <c r="C496" s="136"/>
      <c r="D496" s="136"/>
      <c r="E496" s="136"/>
      <c r="F496" s="136"/>
      <c r="G496" s="136"/>
      <c r="H496" s="136"/>
      <c r="I496" s="136"/>
      <c r="J496" s="136"/>
      <c r="K496" s="451"/>
      <c r="L496" s="451"/>
      <c r="M496" s="136"/>
      <c r="N496" s="136"/>
      <c r="O496" s="136"/>
      <c r="P496" s="136"/>
      <c r="Q496" s="136"/>
      <c r="R496" s="136"/>
      <c r="S496" s="136"/>
      <c r="T496" s="136"/>
      <c r="U496" s="136"/>
      <c r="V496" s="136"/>
      <c r="W496" s="136"/>
    </row>
    <row r="497">
      <c r="A497" s="136"/>
      <c r="B497" s="136"/>
      <c r="C497" s="136"/>
      <c r="D497" s="136"/>
      <c r="E497" s="136"/>
      <c r="F497" s="136"/>
      <c r="G497" s="136"/>
      <c r="H497" s="136"/>
      <c r="I497" s="136"/>
      <c r="J497" s="136"/>
      <c r="K497" s="451"/>
      <c r="L497" s="451"/>
      <c r="M497" s="136"/>
      <c r="N497" s="136"/>
      <c r="O497" s="136"/>
      <c r="P497" s="136"/>
      <c r="Q497" s="136"/>
      <c r="R497" s="136"/>
      <c r="S497" s="136"/>
      <c r="T497" s="136"/>
      <c r="U497" s="136"/>
      <c r="V497" s="136"/>
      <c r="W497" s="136"/>
    </row>
    <row r="498">
      <c r="A498" s="136"/>
      <c r="B498" s="136"/>
      <c r="C498" s="136"/>
      <c r="D498" s="136"/>
      <c r="E498" s="136"/>
      <c r="F498" s="136"/>
      <c r="G498" s="136"/>
      <c r="H498" s="136"/>
      <c r="I498" s="136"/>
      <c r="J498" s="136"/>
      <c r="K498" s="451"/>
      <c r="L498" s="451"/>
      <c r="M498" s="136"/>
      <c r="N498" s="136"/>
      <c r="O498" s="136"/>
      <c r="P498" s="136"/>
      <c r="Q498" s="136"/>
      <c r="R498" s="136"/>
      <c r="S498" s="136"/>
      <c r="T498" s="136"/>
      <c r="U498" s="136"/>
      <c r="V498" s="136"/>
      <c r="W498" s="136"/>
    </row>
    <row r="499">
      <c r="A499" s="136"/>
      <c r="B499" s="136"/>
      <c r="C499" s="136"/>
      <c r="D499" s="136"/>
      <c r="E499" s="136"/>
      <c r="F499" s="136"/>
      <c r="G499" s="136"/>
      <c r="H499" s="136"/>
      <c r="I499" s="136"/>
      <c r="J499" s="136"/>
      <c r="K499" s="451"/>
      <c r="L499" s="451"/>
      <c r="M499" s="136"/>
      <c r="N499" s="136"/>
      <c r="O499" s="136"/>
      <c r="P499" s="136"/>
      <c r="Q499" s="136"/>
      <c r="R499" s="136"/>
      <c r="S499" s="136"/>
      <c r="T499" s="136"/>
      <c r="U499" s="136"/>
      <c r="V499" s="136"/>
      <c r="W499" s="136"/>
    </row>
    <row r="500">
      <c r="A500" s="136"/>
      <c r="B500" s="136"/>
      <c r="C500" s="136"/>
      <c r="D500" s="136"/>
      <c r="E500" s="136"/>
      <c r="F500" s="136"/>
      <c r="G500" s="136"/>
      <c r="H500" s="136"/>
      <c r="I500" s="136"/>
      <c r="J500" s="136"/>
      <c r="K500" s="451"/>
      <c r="L500" s="451"/>
      <c r="M500" s="136"/>
      <c r="N500" s="136"/>
      <c r="O500" s="136"/>
      <c r="P500" s="136"/>
      <c r="Q500" s="136"/>
      <c r="R500" s="136"/>
      <c r="S500" s="136"/>
      <c r="T500" s="136"/>
      <c r="U500" s="136"/>
      <c r="V500" s="136"/>
      <c r="W500" s="136"/>
    </row>
    <row r="501">
      <c r="A501" s="136"/>
      <c r="B501" s="136"/>
      <c r="C501" s="136"/>
      <c r="D501" s="136"/>
      <c r="E501" s="136"/>
      <c r="F501" s="136"/>
      <c r="G501" s="136"/>
      <c r="H501" s="136"/>
      <c r="I501" s="136"/>
      <c r="J501" s="136"/>
      <c r="K501" s="451"/>
      <c r="L501" s="451"/>
      <c r="M501" s="136"/>
      <c r="N501" s="136"/>
      <c r="O501" s="136"/>
      <c r="P501" s="136"/>
      <c r="Q501" s="136"/>
      <c r="R501" s="136"/>
      <c r="S501" s="136"/>
      <c r="T501" s="136"/>
      <c r="U501" s="136"/>
      <c r="V501" s="136"/>
      <c r="W501" s="136"/>
    </row>
    <row r="502">
      <c r="A502" s="136"/>
      <c r="B502" s="136"/>
      <c r="C502" s="136"/>
      <c r="D502" s="136"/>
      <c r="E502" s="136"/>
      <c r="F502" s="136"/>
      <c r="G502" s="136"/>
      <c r="H502" s="136"/>
      <c r="I502" s="136"/>
      <c r="J502" s="136"/>
      <c r="K502" s="451"/>
      <c r="L502" s="451"/>
      <c r="M502" s="136"/>
      <c r="N502" s="136"/>
      <c r="O502" s="136"/>
      <c r="P502" s="136"/>
      <c r="Q502" s="136"/>
      <c r="R502" s="136"/>
      <c r="S502" s="136"/>
      <c r="T502" s="136"/>
      <c r="U502" s="136"/>
      <c r="V502" s="136"/>
      <c r="W502" s="136"/>
    </row>
    <row r="503">
      <c r="A503" s="136"/>
      <c r="B503" s="136"/>
      <c r="C503" s="136"/>
      <c r="D503" s="136"/>
      <c r="E503" s="136"/>
      <c r="F503" s="136"/>
      <c r="G503" s="136"/>
      <c r="H503" s="136"/>
      <c r="I503" s="136"/>
      <c r="J503" s="136"/>
      <c r="K503" s="451"/>
      <c r="L503" s="451"/>
      <c r="M503" s="136"/>
      <c r="N503" s="136"/>
      <c r="O503" s="136"/>
      <c r="P503" s="136"/>
      <c r="Q503" s="136"/>
      <c r="R503" s="136"/>
      <c r="S503" s="136"/>
      <c r="T503" s="136"/>
      <c r="U503" s="136"/>
      <c r="V503" s="136"/>
      <c r="W503" s="136"/>
    </row>
    <row r="504">
      <c r="A504" s="136"/>
      <c r="B504" s="136"/>
      <c r="C504" s="136"/>
      <c r="D504" s="136"/>
      <c r="E504" s="136"/>
      <c r="F504" s="136"/>
      <c r="G504" s="136"/>
      <c r="H504" s="136"/>
      <c r="I504" s="136"/>
      <c r="J504" s="136"/>
      <c r="K504" s="451"/>
      <c r="L504" s="451"/>
      <c r="M504" s="136"/>
      <c r="N504" s="136"/>
      <c r="O504" s="136"/>
      <c r="P504" s="136"/>
      <c r="Q504" s="136"/>
      <c r="R504" s="136"/>
      <c r="S504" s="136"/>
      <c r="T504" s="136"/>
      <c r="U504" s="136"/>
      <c r="V504" s="136"/>
      <c r="W504" s="136"/>
    </row>
    <row r="505">
      <c r="A505" s="136"/>
      <c r="B505" s="136"/>
      <c r="C505" s="136"/>
      <c r="D505" s="136"/>
      <c r="E505" s="136"/>
      <c r="F505" s="136"/>
      <c r="G505" s="136"/>
      <c r="H505" s="136"/>
      <c r="I505" s="136"/>
      <c r="J505" s="136"/>
      <c r="K505" s="451"/>
      <c r="L505" s="451"/>
      <c r="M505" s="136"/>
      <c r="N505" s="136"/>
      <c r="O505" s="136"/>
      <c r="P505" s="136"/>
      <c r="Q505" s="136"/>
      <c r="R505" s="136"/>
      <c r="S505" s="136"/>
      <c r="T505" s="136"/>
      <c r="U505" s="136"/>
      <c r="V505" s="136"/>
      <c r="W505" s="136"/>
    </row>
    <row r="506">
      <c r="A506" s="136"/>
      <c r="B506" s="136"/>
      <c r="C506" s="136"/>
      <c r="D506" s="136"/>
      <c r="E506" s="136"/>
      <c r="F506" s="136"/>
      <c r="G506" s="136"/>
      <c r="H506" s="136"/>
      <c r="I506" s="136"/>
      <c r="J506" s="136"/>
      <c r="K506" s="451"/>
      <c r="L506" s="451"/>
      <c r="M506" s="136"/>
      <c r="N506" s="136"/>
      <c r="O506" s="136"/>
      <c r="P506" s="136"/>
      <c r="Q506" s="136"/>
      <c r="R506" s="136"/>
      <c r="S506" s="136"/>
      <c r="T506" s="136"/>
      <c r="U506" s="136"/>
      <c r="V506" s="136"/>
      <c r="W506" s="136"/>
    </row>
    <row r="507">
      <c r="A507" s="136"/>
      <c r="B507" s="136"/>
      <c r="C507" s="136"/>
      <c r="D507" s="136"/>
      <c r="E507" s="136"/>
      <c r="F507" s="136"/>
      <c r="G507" s="136"/>
      <c r="H507" s="136"/>
      <c r="I507" s="136"/>
      <c r="J507" s="136"/>
      <c r="K507" s="451"/>
      <c r="L507" s="451"/>
      <c r="M507" s="136"/>
      <c r="N507" s="136"/>
      <c r="O507" s="136"/>
      <c r="P507" s="136"/>
      <c r="Q507" s="136"/>
      <c r="R507" s="136"/>
      <c r="S507" s="136"/>
      <c r="T507" s="136"/>
      <c r="U507" s="136"/>
      <c r="V507" s="136"/>
      <c r="W507" s="136"/>
    </row>
    <row r="508">
      <c r="A508" s="136"/>
      <c r="B508" s="136"/>
      <c r="C508" s="136"/>
      <c r="D508" s="136"/>
      <c r="E508" s="136"/>
      <c r="F508" s="136"/>
      <c r="G508" s="136"/>
      <c r="H508" s="136"/>
      <c r="I508" s="136"/>
      <c r="J508" s="136"/>
      <c r="K508" s="451"/>
      <c r="L508" s="451"/>
      <c r="M508" s="136"/>
      <c r="N508" s="136"/>
      <c r="O508" s="136"/>
      <c r="P508" s="136"/>
      <c r="Q508" s="136"/>
      <c r="R508" s="136"/>
      <c r="S508" s="136"/>
      <c r="T508" s="136"/>
      <c r="U508" s="136"/>
      <c r="V508" s="136"/>
      <c r="W508" s="136"/>
    </row>
    <row r="509">
      <c r="A509" s="136"/>
      <c r="B509" s="136"/>
      <c r="C509" s="136"/>
      <c r="D509" s="136"/>
      <c r="E509" s="136"/>
      <c r="F509" s="136"/>
      <c r="G509" s="136"/>
      <c r="H509" s="136"/>
      <c r="I509" s="136"/>
      <c r="J509" s="136"/>
      <c r="K509" s="451"/>
      <c r="L509" s="451"/>
      <c r="M509" s="136"/>
      <c r="N509" s="136"/>
      <c r="O509" s="136"/>
      <c r="P509" s="136"/>
      <c r="Q509" s="136"/>
      <c r="R509" s="136"/>
      <c r="S509" s="136"/>
      <c r="T509" s="136"/>
      <c r="U509" s="136"/>
      <c r="V509" s="136"/>
      <c r="W509" s="136"/>
    </row>
    <row r="510">
      <c r="A510" s="136"/>
      <c r="B510" s="136"/>
      <c r="C510" s="136"/>
      <c r="D510" s="136"/>
      <c r="E510" s="136"/>
      <c r="F510" s="136"/>
      <c r="G510" s="136"/>
      <c r="H510" s="136"/>
      <c r="I510" s="136"/>
      <c r="J510" s="136"/>
      <c r="K510" s="451"/>
      <c r="L510" s="451"/>
      <c r="M510" s="136"/>
      <c r="N510" s="136"/>
      <c r="O510" s="136"/>
      <c r="P510" s="136"/>
      <c r="Q510" s="136"/>
      <c r="R510" s="136"/>
      <c r="S510" s="136"/>
      <c r="T510" s="136"/>
      <c r="U510" s="136"/>
      <c r="V510" s="136"/>
      <c r="W510" s="136"/>
    </row>
    <row r="511">
      <c r="A511" s="136"/>
      <c r="B511" s="136"/>
      <c r="C511" s="136"/>
      <c r="D511" s="136"/>
      <c r="E511" s="136"/>
      <c r="F511" s="136"/>
      <c r="G511" s="136"/>
      <c r="H511" s="136"/>
      <c r="I511" s="136"/>
      <c r="J511" s="136"/>
      <c r="K511" s="451"/>
      <c r="L511" s="451"/>
      <c r="M511" s="136"/>
      <c r="N511" s="136"/>
      <c r="O511" s="136"/>
      <c r="P511" s="136"/>
      <c r="Q511" s="136"/>
      <c r="R511" s="136"/>
      <c r="S511" s="136"/>
      <c r="T511" s="136"/>
      <c r="U511" s="136"/>
      <c r="V511" s="136"/>
      <c r="W511" s="136"/>
    </row>
    <row r="512">
      <c r="A512" s="136"/>
      <c r="B512" s="136"/>
      <c r="C512" s="136"/>
      <c r="D512" s="136"/>
      <c r="E512" s="136"/>
      <c r="F512" s="136"/>
      <c r="G512" s="136"/>
      <c r="H512" s="136"/>
      <c r="I512" s="136"/>
      <c r="J512" s="136"/>
      <c r="K512" s="451"/>
      <c r="L512" s="451"/>
      <c r="M512" s="136"/>
      <c r="N512" s="136"/>
      <c r="O512" s="136"/>
      <c r="P512" s="136"/>
      <c r="Q512" s="136"/>
      <c r="R512" s="136"/>
      <c r="S512" s="136"/>
      <c r="T512" s="136"/>
      <c r="U512" s="136"/>
      <c r="V512" s="136"/>
      <c r="W512" s="136"/>
    </row>
    <row r="513">
      <c r="A513" s="136"/>
      <c r="B513" s="136"/>
      <c r="C513" s="136"/>
      <c r="D513" s="136"/>
      <c r="E513" s="136"/>
      <c r="F513" s="136"/>
      <c r="G513" s="136"/>
      <c r="H513" s="136"/>
      <c r="I513" s="136"/>
      <c r="J513" s="136"/>
      <c r="K513" s="451"/>
      <c r="L513" s="451"/>
      <c r="M513" s="136"/>
      <c r="N513" s="136"/>
      <c r="O513" s="136"/>
      <c r="P513" s="136"/>
      <c r="Q513" s="136"/>
      <c r="R513" s="136"/>
      <c r="S513" s="136"/>
      <c r="T513" s="136"/>
      <c r="U513" s="136"/>
      <c r="V513" s="136"/>
      <c r="W513" s="136"/>
    </row>
    <row r="514">
      <c r="A514" s="136"/>
      <c r="B514" s="136"/>
      <c r="C514" s="136"/>
      <c r="D514" s="136"/>
      <c r="E514" s="136"/>
      <c r="F514" s="136"/>
      <c r="G514" s="136"/>
      <c r="H514" s="136"/>
      <c r="I514" s="136"/>
      <c r="J514" s="136"/>
      <c r="K514" s="451"/>
      <c r="L514" s="451"/>
      <c r="M514" s="136"/>
      <c r="N514" s="136"/>
      <c r="O514" s="136"/>
      <c r="P514" s="136"/>
      <c r="Q514" s="136"/>
      <c r="R514" s="136"/>
      <c r="S514" s="136"/>
      <c r="T514" s="136"/>
      <c r="U514" s="136"/>
      <c r="V514" s="136"/>
      <c r="W514" s="136"/>
    </row>
    <row r="515">
      <c r="A515" s="136"/>
      <c r="B515" s="136"/>
      <c r="C515" s="136"/>
      <c r="D515" s="136"/>
      <c r="E515" s="136"/>
      <c r="F515" s="136"/>
      <c r="G515" s="136"/>
      <c r="H515" s="136"/>
      <c r="I515" s="136"/>
      <c r="J515" s="136"/>
      <c r="K515" s="451"/>
      <c r="L515" s="451"/>
      <c r="M515" s="136"/>
      <c r="N515" s="136"/>
      <c r="O515" s="136"/>
      <c r="P515" s="136"/>
      <c r="Q515" s="136"/>
      <c r="R515" s="136"/>
      <c r="S515" s="136"/>
      <c r="T515" s="136"/>
      <c r="U515" s="136"/>
      <c r="V515" s="136"/>
      <c r="W515" s="136"/>
    </row>
    <row r="516">
      <c r="A516" s="136"/>
      <c r="B516" s="136"/>
      <c r="C516" s="136"/>
      <c r="D516" s="136"/>
      <c r="E516" s="136"/>
      <c r="F516" s="136"/>
      <c r="G516" s="136"/>
      <c r="H516" s="136"/>
      <c r="I516" s="136"/>
      <c r="J516" s="136"/>
      <c r="K516" s="451"/>
      <c r="L516" s="451"/>
      <c r="M516" s="136"/>
      <c r="N516" s="136"/>
      <c r="O516" s="136"/>
      <c r="P516" s="136"/>
      <c r="Q516" s="136"/>
      <c r="R516" s="136"/>
      <c r="S516" s="136"/>
      <c r="T516" s="136"/>
      <c r="U516" s="136"/>
      <c r="V516" s="136"/>
      <c r="W516" s="136"/>
    </row>
    <row r="517">
      <c r="A517" s="136"/>
      <c r="B517" s="136"/>
      <c r="C517" s="136"/>
      <c r="D517" s="136"/>
      <c r="E517" s="136"/>
      <c r="F517" s="136"/>
      <c r="G517" s="136"/>
      <c r="H517" s="136"/>
      <c r="I517" s="136"/>
      <c r="J517" s="136"/>
      <c r="K517" s="451"/>
      <c r="L517" s="451"/>
      <c r="M517" s="136"/>
      <c r="N517" s="136"/>
      <c r="O517" s="136"/>
      <c r="P517" s="136"/>
      <c r="Q517" s="136"/>
      <c r="R517" s="136"/>
      <c r="S517" s="136"/>
      <c r="T517" s="136"/>
      <c r="U517" s="136"/>
      <c r="V517" s="136"/>
      <c r="W517" s="136"/>
    </row>
    <row r="518">
      <c r="A518" s="136"/>
      <c r="B518" s="136"/>
      <c r="C518" s="136"/>
      <c r="D518" s="136"/>
      <c r="E518" s="136"/>
      <c r="F518" s="136"/>
      <c r="G518" s="136"/>
      <c r="H518" s="136"/>
      <c r="I518" s="136"/>
      <c r="J518" s="136"/>
      <c r="K518" s="451"/>
      <c r="L518" s="451"/>
      <c r="M518" s="136"/>
      <c r="N518" s="136"/>
      <c r="O518" s="136"/>
      <c r="P518" s="136"/>
      <c r="Q518" s="136"/>
      <c r="R518" s="136"/>
      <c r="S518" s="136"/>
      <c r="T518" s="136"/>
      <c r="U518" s="136"/>
      <c r="V518" s="136"/>
      <c r="W518" s="136"/>
    </row>
    <row r="519">
      <c r="A519" s="136"/>
      <c r="B519" s="136"/>
      <c r="C519" s="136"/>
      <c r="D519" s="136"/>
      <c r="E519" s="136"/>
      <c r="F519" s="136"/>
      <c r="G519" s="136"/>
      <c r="H519" s="136"/>
      <c r="I519" s="136"/>
      <c r="J519" s="136"/>
      <c r="K519" s="451"/>
      <c r="L519" s="451"/>
      <c r="M519" s="136"/>
      <c r="N519" s="136"/>
      <c r="O519" s="136"/>
      <c r="P519" s="136"/>
      <c r="Q519" s="136"/>
      <c r="R519" s="136"/>
      <c r="S519" s="136"/>
      <c r="T519" s="136"/>
      <c r="U519" s="136"/>
      <c r="V519" s="136"/>
      <c r="W519" s="136"/>
    </row>
    <row r="520">
      <c r="A520" s="136"/>
      <c r="B520" s="136"/>
      <c r="C520" s="136"/>
      <c r="D520" s="136"/>
      <c r="E520" s="136"/>
      <c r="F520" s="136"/>
      <c r="G520" s="136"/>
      <c r="H520" s="136"/>
      <c r="I520" s="136"/>
      <c r="J520" s="136"/>
      <c r="K520" s="451"/>
      <c r="L520" s="451"/>
      <c r="M520" s="136"/>
      <c r="N520" s="136"/>
      <c r="O520" s="136"/>
      <c r="P520" s="136"/>
      <c r="Q520" s="136"/>
      <c r="R520" s="136"/>
      <c r="S520" s="136"/>
      <c r="T520" s="136"/>
      <c r="U520" s="136"/>
      <c r="V520" s="136"/>
      <c r="W520" s="136"/>
    </row>
    <row r="521">
      <c r="A521" s="136"/>
      <c r="B521" s="136"/>
      <c r="C521" s="136"/>
      <c r="D521" s="136"/>
      <c r="E521" s="136"/>
      <c r="F521" s="136"/>
      <c r="G521" s="136"/>
      <c r="H521" s="136"/>
      <c r="I521" s="136"/>
      <c r="J521" s="136"/>
      <c r="K521" s="451"/>
      <c r="L521" s="451"/>
      <c r="M521" s="136"/>
      <c r="N521" s="136"/>
      <c r="O521" s="136"/>
      <c r="P521" s="136"/>
      <c r="Q521" s="136"/>
      <c r="R521" s="136"/>
      <c r="S521" s="136"/>
      <c r="T521" s="136"/>
      <c r="U521" s="136"/>
      <c r="V521" s="136"/>
      <c r="W521" s="136"/>
    </row>
    <row r="522">
      <c r="A522" s="136"/>
      <c r="B522" s="136"/>
      <c r="C522" s="136"/>
      <c r="D522" s="136"/>
      <c r="E522" s="136"/>
      <c r="F522" s="136"/>
      <c r="G522" s="136"/>
      <c r="H522" s="136"/>
      <c r="I522" s="136"/>
      <c r="J522" s="136"/>
      <c r="K522" s="451"/>
      <c r="L522" s="451"/>
      <c r="M522" s="136"/>
      <c r="N522" s="136"/>
      <c r="O522" s="136"/>
      <c r="P522" s="136"/>
      <c r="Q522" s="136"/>
      <c r="R522" s="136"/>
      <c r="S522" s="136"/>
      <c r="T522" s="136"/>
      <c r="U522" s="136"/>
      <c r="V522" s="136"/>
      <c r="W522" s="136"/>
    </row>
    <row r="523">
      <c r="A523" s="136"/>
      <c r="B523" s="136"/>
      <c r="C523" s="136"/>
      <c r="D523" s="136"/>
      <c r="E523" s="136"/>
      <c r="F523" s="136"/>
      <c r="G523" s="136"/>
      <c r="H523" s="136"/>
      <c r="I523" s="136"/>
      <c r="J523" s="136"/>
      <c r="K523" s="451"/>
      <c r="L523" s="451"/>
      <c r="M523" s="136"/>
      <c r="N523" s="136"/>
      <c r="O523" s="136"/>
      <c r="P523" s="136"/>
      <c r="Q523" s="136"/>
      <c r="R523" s="136"/>
      <c r="S523" s="136"/>
      <c r="T523" s="136"/>
      <c r="U523" s="136"/>
      <c r="V523" s="136"/>
      <c r="W523" s="136"/>
    </row>
    <row r="524">
      <c r="A524" s="136"/>
      <c r="B524" s="136"/>
      <c r="C524" s="136"/>
      <c r="D524" s="136"/>
      <c r="E524" s="136"/>
      <c r="F524" s="136"/>
      <c r="G524" s="136"/>
      <c r="H524" s="136"/>
      <c r="I524" s="136"/>
      <c r="J524" s="136"/>
      <c r="K524" s="451"/>
      <c r="L524" s="451"/>
      <c r="M524" s="136"/>
      <c r="N524" s="136"/>
      <c r="O524" s="136"/>
      <c r="P524" s="136"/>
      <c r="Q524" s="136"/>
      <c r="R524" s="136"/>
      <c r="S524" s="136"/>
      <c r="T524" s="136"/>
      <c r="U524" s="136"/>
      <c r="V524" s="136"/>
      <c r="W524" s="136"/>
    </row>
    <row r="525">
      <c r="A525" s="136"/>
      <c r="B525" s="136"/>
      <c r="C525" s="136"/>
      <c r="D525" s="136"/>
      <c r="E525" s="136"/>
      <c r="F525" s="136"/>
      <c r="G525" s="136"/>
      <c r="H525" s="136"/>
      <c r="I525" s="136"/>
      <c r="J525" s="136"/>
      <c r="K525" s="451"/>
      <c r="L525" s="451"/>
      <c r="M525" s="136"/>
      <c r="N525" s="136"/>
      <c r="O525" s="136"/>
      <c r="P525" s="136"/>
      <c r="Q525" s="136"/>
      <c r="R525" s="136"/>
      <c r="S525" s="136"/>
      <c r="T525" s="136"/>
      <c r="U525" s="136"/>
      <c r="V525" s="136"/>
      <c r="W525" s="136"/>
    </row>
    <row r="526">
      <c r="A526" s="136"/>
      <c r="B526" s="136"/>
      <c r="C526" s="136"/>
      <c r="D526" s="136"/>
      <c r="E526" s="136"/>
      <c r="F526" s="136"/>
      <c r="G526" s="136"/>
      <c r="H526" s="136"/>
      <c r="I526" s="136"/>
      <c r="J526" s="136"/>
      <c r="K526" s="451"/>
      <c r="L526" s="451"/>
      <c r="M526" s="136"/>
      <c r="N526" s="136"/>
      <c r="O526" s="136"/>
      <c r="P526" s="136"/>
      <c r="Q526" s="136"/>
      <c r="R526" s="136"/>
      <c r="S526" s="136"/>
      <c r="T526" s="136"/>
      <c r="U526" s="136"/>
      <c r="V526" s="136"/>
      <c r="W526" s="136"/>
    </row>
    <row r="527">
      <c r="A527" s="136"/>
      <c r="B527" s="136"/>
      <c r="C527" s="136"/>
      <c r="D527" s="136"/>
      <c r="E527" s="136"/>
      <c r="F527" s="136"/>
      <c r="G527" s="136"/>
      <c r="H527" s="136"/>
      <c r="I527" s="136"/>
      <c r="J527" s="136"/>
      <c r="K527" s="451"/>
      <c r="L527" s="451"/>
      <c r="M527" s="136"/>
      <c r="N527" s="136"/>
      <c r="O527" s="136"/>
      <c r="P527" s="136"/>
      <c r="Q527" s="136"/>
      <c r="R527" s="136"/>
      <c r="S527" s="136"/>
      <c r="T527" s="136"/>
      <c r="U527" s="136"/>
      <c r="V527" s="136"/>
      <c r="W527" s="136"/>
    </row>
    <row r="528">
      <c r="A528" s="136"/>
      <c r="B528" s="136"/>
      <c r="C528" s="136"/>
      <c r="D528" s="136"/>
      <c r="E528" s="136"/>
      <c r="F528" s="136"/>
      <c r="G528" s="136"/>
      <c r="H528" s="136"/>
      <c r="I528" s="136"/>
      <c r="J528" s="136"/>
      <c r="K528" s="451"/>
      <c r="L528" s="451"/>
      <c r="M528" s="136"/>
      <c r="N528" s="136"/>
      <c r="O528" s="136"/>
      <c r="P528" s="136"/>
      <c r="Q528" s="136"/>
      <c r="R528" s="136"/>
      <c r="S528" s="136"/>
      <c r="T528" s="136"/>
      <c r="U528" s="136"/>
      <c r="V528" s="136"/>
      <c r="W528" s="136"/>
    </row>
    <row r="529">
      <c r="A529" s="136"/>
      <c r="B529" s="136"/>
      <c r="C529" s="136"/>
      <c r="D529" s="136"/>
      <c r="E529" s="136"/>
      <c r="F529" s="136"/>
      <c r="G529" s="136"/>
      <c r="H529" s="136"/>
      <c r="I529" s="136"/>
      <c r="J529" s="136"/>
      <c r="K529" s="451"/>
      <c r="L529" s="451"/>
      <c r="M529" s="136"/>
      <c r="N529" s="136"/>
      <c r="O529" s="136"/>
      <c r="P529" s="136"/>
      <c r="Q529" s="136"/>
      <c r="R529" s="136"/>
      <c r="S529" s="136"/>
      <c r="T529" s="136"/>
      <c r="U529" s="136"/>
      <c r="V529" s="136"/>
      <c r="W529" s="136"/>
    </row>
    <row r="530">
      <c r="A530" s="136"/>
      <c r="B530" s="136"/>
      <c r="C530" s="136"/>
      <c r="D530" s="136"/>
      <c r="E530" s="136"/>
      <c r="F530" s="136"/>
      <c r="G530" s="136"/>
      <c r="H530" s="136"/>
      <c r="I530" s="136"/>
      <c r="J530" s="136"/>
      <c r="K530" s="451"/>
      <c r="L530" s="451"/>
      <c r="M530" s="136"/>
      <c r="N530" s="136"/>
      <c r="O530" s="136"/>
      <c r="P530" s="136"/>
      <c r="Q530" s="136"/>
      <c r="R530" s="136"/>
      <c r="S530" s="136"/>
      <c r="T530" s="136"/>
      <c r="U530" s="136"/>
      <c r="V530" s="136"/>
      <c r="W530" s="136"/>
    </row>
    <row r="531">
      <c r="A531" s="136"/>
      <c r="B531" s="136"/>
      <c r="C531" s="136"/>
      <c r="D531" s="136"/>
      <c r="E531" s="136"/>
      <c r="F531" s="136"/>
      <c r="G531" s="136"/>
      <c r="H531" s="136"/>
      <c r="I531" s="136"/>
      <c r="J531" s="136"/>
      <c r="K531" s="451"/>
      <c r="L531" s="451"/>
      <c r="M531" s="136"/>
      <c r="N531" s="136"/>
      <c r="O531" s="136"/>
      <c r="P531" s="136"/>
      <c r="Q531" s="136"/>
      <c r="R531" s="136"/>
      <c r="S531" s="136"/>
      <c r="T531" s="136"/>
      <c r="U531" s="136"/>
      <c r="V531" s="136"/>
      <c r="W531" s="136"/>
    </row>
    <row r="532">
      <c r="A532" s="136"/>
      <c r="B532" s="136"/>
      <c r="C532" s="136"/>
      <c r="D532" s="136"/>
      <c r="E532" s="136"/>
      <c r="F532" s="136"/>
      <c r="G532" s="136"/>
      <c r="H532" s="136"/>
      <c r="I532" s="136"/>
      <c r="J532" s="136"/>
      <c r="K532" s="451"/>
      <c r="L532" s="451"/>
      <c r="M532" s="136"/>
      <c r="N532" s="136"/>
      <c r="O532" s="136"/>
      <c r="P532" s="136"/>
      <c r="Q532" s="136"/>
      <c r="R532" s="136"/>
      <c r="S532" s="136"/>
      <c r="T532" s="136"/>
      <c r="U532" s="136"/>
      <c r="V532" s="136"/>
      <c r="W532" s="136"/>
    </row>
    <row r="533">
      <c r="A533" s="136"/>
      <c r="B533" s="136"/>
      <c r="C533" s="136"/>
      <c r="D533" s="136"/>
      <c r="E533" s="136"/>
      <c r="F533" s="136"/>
      <c r="G533" s="136"/>
      <c r="H533" s="136"/>
      <c r="I533" s="136"/>
      <c r="J533" s="136"/>
      <c r="K533" s="451"/>
      <c r="L533" s="451"/>
      <c r="M533" s="136"/>
      <c r="N533" s="136"/>
      <c r="O533" s="136"/>
      <c r="P533" s="136"/>
      <c r="Q533" s="136"/>
      <c r="R533" s="136"/>
      <c r="S533" s="136"/>
      <c r="T533" s="136"/>
      <c r="U533" s="136"/>
      <c r="V533" s="136"/>
      <c r="W533" s="136"/>
    </row>
    <row r="534">
      <c r="A534" s="136"/>
      <c r="B534" s="136"/>
      <c r="C534" s="136"/>
      <c r="D534" s="136"/>
      <c r="E534" s="136"/>
      <c r="F534" s="136"/>
      <c r="G534" s="136"/>
      <c r="H534" s="136"/>
      <c r="I534" s="136"/>
      <c r="J534" s="136"/>
      <c r="K534" s="451"/>
      <c r="L534" s="451"/>
      <c r="M534" s="136"/>
      <c r="N534" s="136"/>
      <c r="O534" s="136"/>
      <c r="P534" s="136"/>
      <c r="Q534" s="136"/>
      <c r="R534" s="136"/>
      <c r="S534" s="136"/>
      <c r="T534" s="136"/>
      <c r="U534" s="136"/>
      <c r="V534" s="136"/>
      <c r="W534" s="136"/>
    </row>
    <row r="535">
      <c r="A535" s="136"/>
      <c r="B535" s="136"/>
      <c r="C535" s="136"/>
      <c r="D535" s="136"/>
      <c r="E535" s="136"/>
      <c r="F535" s="136"/>
      <c r="G535" s="136"/>
      <c r="H535" s="136"/>
      <c r="I535" s="136"/>
      <c r="J535" s="136"/>
      <c r="K535" s="451"/>
      <c r="L535" s="451"/>
      <c r="M535" s="136"/>
      <c r="N535" s="136"/>
      <c r="O535" s="136"/>
      <c r="P535" s="136"/>
      <c r="Q535" s="136"/>
      <c r="R535" s="136"/>
      <c r="S535" s="136"/>
      <c r="T535" s="136"/>
      <c r="U535" s="136"/>
      <c r="V535" s="136"/>
      <c r="W535" s="136"/>
    </row>
    <row r="536">
      <c r="A536" s="136"/>
      <c r="B536" s="136"/>
      <c r="C536" s="136"/>
      <c r="D536" s="136"/>
      <c r="E536" s="136"/>
      <c r="F536" s="136"/>
      <c r="G536" s="136"/>
      <c r="H536" s="136"/>
      <c r="I536" s="136"/>
      <c r="J536" s="136"/>
      <c r="K536" s="451"/>
      <c r="L536" s="451"/>
      <c r="M536" s="136"/>
      <c r="N536" s="136"/>
      <c r="O536" s="136"/>
      <c r="P536" s="136"/>
      <c r="Q536" s="136"/>
      <c r="R536" s="136"/>
      <c r="S536" s="136"/>
      <c r="T536" s="136"/>
      <c r="U536" s="136"/>
      <c r="V536" s="136"/>
      <c r="W536" s="136"/>
    </row>
    <row r="537">
      <c r="A537" s="136"/>
      <c r="B537" s="136"/>
      <c r="C537" s="136"/>
      <c r="D537" s="136"/>
      <c r="E537" s="136"/>
      <c r="F537" s="136"/>
      <c r="G537" s="136"/>
      <c r="H537" s="136"/>
      <c r="I537" s="136"/>
      <c r="J537" s="136"/>
      <c r="K537" s="451"/>
      <c r="L537" s="451"/>
      <c r="M537" s="136"/>
      <c r="N537" s="136"/>
      <c r="O537" s="136"/>
      <c r="P537" s="136"/>
      <c r="Q537" s="136"/>
      <c r="R537" s="136"/>
      <c r="S537" s="136"/>
      <c r="T537" s="136"/>
      <c r="U537" s="136"/>
      <c r="V537" s="136"/>
      <c r="W537" s="136"/>
    </row>
    <row r="538">
      <c r="A538" s="136"/>
      <c r="B538" s="136"/>
      <c r="C538" s="136"/>
      <c r="D538" s="136"/>
      <c r="E538" s="136"/>
      <c r="F538" s="136"/>
      <c r="G538" s="136"/>
      <c r="H538" s="136"/>
      <c r="I538" s="136"/>
      <c r="J538" s="136"/>
      <c r="K538" s="451"/>
      <c r="L538" s="451"/>
      <c r="M538" s="136"/>
      <c r="N538" s="136"/>
      <c r="O538" s="136"/>
      <c r="P538" s="136"/>
      <c r="Q538" s="136"/>
      <c r="R538" s="136"/>
      <c r="S538" s="136"/>
      <c r="T538" s="136"/>
      <c r="U538" s="136"/>
      <c r="V538" s="136"/>
      <c r="W538" s="136"/>
    </row>
    <row r="539">
      <c r="A539" s="136"/>
      <c r="B539" s="136"/>
      <c r="C539" s="136"/>
      <c r="D539" s="136"/>
      <c r="E539" s="136"/>
      <c r="F539" s="136"/>
      <c r="G539" s="136"/>
      <c r="H539" s="136"/>
      <c r="I539" s="136"/>
      <c r="J539" s="136"/>
      <c r="K539" s="451"/>
      <c r="L539" s="451"/>
      <c r="M539" s="136"/>
      <c r="N539" s="136"/>
      <c r="O539" s="136"/>
      <c r="P539" s="136"/>
      <c r="Q539" s="136"/>
      <c r="R539" s="136"/>
      <c r="S539" s="136"/>
      <c r="T539" s="136"/>
      <c r="U539" s="136"/>
      <c r="V539" s="136"/>
      <c r="W539" s="136"/>
    </row>
    <row r="540">
      <c r="A540" s="136"/>
      <c r="B540" s="136"/>
      <c r="C540" s="136"/>
      <c r="D540" s="136"/>
      <c r="E540" s="136"/>
      <c r="F540" s="136"/>
      <c r="G540" s="136"/>
      <c r="H540" s="136"/>
      <c r="I540" s="136"/>
      <c r="J540" s="136"/>
      <c r="K540" s="451"/>
      <c r="L540" s="451"/>
      <c r="M540" s="136"/>
      <c r="N540" s="136"/>
      <c r="O540" s="136"/>
      <c r="P540" s="136"/>
      <c r="Q540" s="136"/>
      <c r="R540" s="136"/>
      <c r="S540" s="136"/>
      <c r="T540" s="136"/>
      <c r="U540" s="136"/>
      <c r="V540" s="136"/>
      <c r="W540" s="136"/>
    </row>
    <row r="541">
      <c r="A541" s="136"/>
      <c r="B541" s="136"/>
      <c r="C541" s="136"/>
      <c r="D541" s="136"/>
      <c r="E541" s="136"/>
      <c r="F541" s="136"/>
      <c r="G541" s="136"/>
      <c r="H541" s="136"/>
      <c r="I541" s="136"/>
      <c r="J541" s="136"/>
      <c r="K541" s="451"/>
      <c r="L541" s="451"/>
      <c r="M541" s="136"/>
      <c r="N541" s="136"/>
      <c r="O541" s="136"/>
      <c r="P541" s="136"/>
      <c r="Q541" s="136"/>
      <c r="R541" s="136"/>
      <c r="S541" s="136"/>
      <c r="T541" s="136"/>
      <c r="U541" s="136"/>
      <c r="V541" s="136"/>
      <c r="W541" s="136"/>
    </row>
    <row r="542">
      <c r="A542" s="136"/>
      <c r="B542" s="136"/>
      <c r="C542" s="136"/>
      <c r="D542" s="136"/>
      <c r="E542" s="136"/>
      <c r="F542" s="136"/>
      <c r="G542" s="136"/>
      <c r="H542" s="136"/>
      <c r="I542" s="136"/>
      <c r="J542" s="136"/>
      <c r="K542" s="451"/>
      <c r="L542" s="451"/>
      <c r="M542" s="136"/>
      <c r="N542" s="136"/>
      <c r="O542" s="136"/>
      <c r="P542" s="136"/>
      <c r="Q542" s="136"/>
      <c r="R542" s="136"/>
      <c r="S542" s="136"/>
      <c r="T542" s="136"/>
      <c r="U542" s="136"/>
      <c r="V542" s="136"/>
      <c r="W542" s="136"/>
    </row>
    <row r="543">
      <c r="A543" s="136"/>
      <c r="B543" s="136"/>
      <c r="C543" s="136"/>
      <c r="D543" s="136"/>
      <c r="E543" s="136"/>
      <c r="F543" s="136"/>
      <c r="G543" s="136"/>
      <c r="H543" s="136"/>
      <c r="I543" s="136"/>
      <c r="J543" s="136"/>
      <c r="K543" s="451"/>
      <c r="L543" s="451"/>
      <c r="M543" s="136"/>
      <c r="N543" s="136"/>
      <c r="O543" s="136"/>
      <c r="P543" s="136"/>
      <c r="Q543" s="136"/>
      <c r="R543" s="136"/>
      <c r="S543" s="136"/>
      <c r="T543" s="136"/>
      <c r="U543" s="136"/>
      <c r="V543" s="136"/>
      <c r="W543" s="136"/>
    </row>
    <row r="544">
      <c r="A544" s="136"/>
      <c r="B544" s="136"/>
      <c r="C544" s="136"/>
      <c r="D544" s="136"/>
      <c r="E544" s="136"/>
      <c r="F544" s="136"/>
      <c r="G544" s="136"/>
      <c r="H544" s="136"/>
      <c r="I544" s="136"/>
      <c r="J544" s="136"/>
      <c r="K544" s="451"/>
      <c r="L544" s="451"/>
      <c r="M544" s="136"/>
      <c r="N544" s="136"/>
      <c r="O544" s="136"/>
      <c r="P544" s="136"/>
      <c r="Q544" s="136"/>
      <c r="R544" s="136"/>
      <c r="S544" s="136"/>
      <c r="T544" s="136"/>
      <c r="U544" s="136"/>
      <c r="V544" s="136"/>
      <c r="W544" s="136"/>
    </row>
    <row r="545">
      <c r="A545" s="136"/>
      <c r="B545" s="136"/>
      <c r="C545" s="136"/>
      <c r="D545" s="136"/>
      <c r="E545" s="136"/>
      <c r="F545" s="136"/>
      <c r="G545" s="136"/>
      <c r="H545" s="136"/>
      <c r="I545" s="136"/>
      <c r="J545" s="136"/>
      <c r="K545" s="451"/>
      <c r="L545" s="451"/>
      <c r="M545" s="136"/>
      <c r="N545" s="136"/>
      <c r="O545" s="136"/>
      <c r="P545" s="136"/>
      <c r="Q545" s="136"/>
      <c r="R545" s="136"/>
      <c r="S545" s="136"/>
      <c r="T545" s="136"/>
      <c r="U545" s="136"/>
      <c r="V545" s="136"/>
      <c r="W545" s="136"/>
    </row>
    <row r="546">
      <c r="A546" s="136"/>
      <c r="B546" s="136"/>
      <c r="C546" s="136"/>
      <c r="D546" s="136"/>
      <c r="E546" s="136"/>
      <c r="F546" s="136"/>
      <c r="G546" s="136"/>
      <c r="H546" s="136"/>
      <c r="I546" s="136"/>
      <c r="J546" s="136"/>
      <c r="K546" s="451"/>
      <c r="L546" s="451"/>
      <c r="M546" s="136"/>
      <c r="N546" s="136"/>
      <c r="O546" s="136"/>
      <c r="P546" s="136"/>
      <c r="Q546" s="136"/>
      <c r="R546" s="136"/>
      <c r="S546" s="136"/>
      <c r="T546" s="136"/>
      <c r="U546" s="136"/>
      <c r="V546" s="136"/>
      <c r="W546" s="136"/>
    </row>
    <row r="547">
      <c r="A547" s="136"/>
      <c r="B547" s="136"/>
      <c r="C547" s="136"/>
      <c r="D547" s="136"/>
      <c r="E547" s="136"/>
      <c r="F547" s="136"/>
      <c r="G547" s="136"/>
      <c r="H547" s="136"/>
      <c r="I547" s="136"/>
      <c r="J547" s="136"/>
      <c r="K547" s="451"/>
      <c r="L547" s="451"/>
      <c r="M547" s="136"/>
      <c r="N547" s="136"/>
      <c r="O547" s="136"/>
      <c r="P547" s="136"/>
      <c r="Q547" s="136"/>
      <c r="R547" s="136"/>
      <c r="S547" s="136"/>
      <c r="T547" s="136"/>
      <c r="U547" s="136"/>
      <c r="V547" s="136"/>
      <c r="W547" s="136"/>
    </row>
    <row r="548">
      <c r="A548" s="136"/>
      <c r="B548" s="136"/>
      <c r="C548" s="136"/>
      <c r="D548" s="136"/>
      <c r="E548" s="136"/>
      <c r="F548" s="136"/>
      <c r="G548" s="136"/>
      <c r="H548" s="136"/>
      <c r="I548" s="136"/>
      <c r="J548" s="136"/>
      <c r="K548" s="451"/>
      <c r="L548" s="451"/>
      <c r="M548" s="136"/>
      <c r="N548" s="136"/>
      <c r="O548" s="136"/>
      <c r="P548" s="136"/>
      <c r="Q548" s="136"/>
      <c r="R548" s="136"/>
      <c r="S548" s="136"/>
      <c r="T548" s="136"/>
      <c r="U548" s="136"/>
      <c r="V548" s="136"/>
      <c r="W548" s="136"/>
    </row>
    <row r="549">
      <c r="A549" s="136"/>
      <c r="B549" s="136"/>
      <c r="C549" s="136"/>
      <c r="D549" s="136"/>
      <c r="E549" s="136"/>
      <c r="F549" s="136"/>
      <c r="G549" s="136"/>
      <c r="H549" s="136"/>
      <c r="I549" s="136"/>
      <c r="J549" s="136"/>
      <c r="K549" s="451"/>
      <c r="L549" s="451"/>
      <c r="M549" s="136"/>
      <c r="N549" s="136"/>
      <c r="O549" s="136"/>
      <c r="P549" s="136"/>
      <c r="Q549" s="136"/>
      <c r="R549" s="136"/>
      <c r="S549" s="136"/>
      <c r="T549" s="136"/>
      <c r="U549" s="136"/>
      <c r="V549" s="136"/>
      <c r="W549" s="136"/>
    </row>
    <row r="550">
      <c r="A550" s="136"/>
      <c r="B550" s="136"/>
      <c r="C550" s="136"/>
      <c r="D550" s="136"/>
      <c r="E550" s="136"/>
      <c r="F550" s="136"/>
      <c r="G550" s="136"/>
      <c r="H550" s="136"/>
      <c r="I550" s="136"/>
      <c r="J550" s="136"/>
      <c r="K550" s="451"/>
      <c r="L550" s="451"/>
      <c r="M550" s="136"/>
      <c r="N550" s="136"/>
      <c r="O550" s="136"/>
      <c r="P550" s="136"/>
      <c r="Q550" s="136"/>
      <c r="R550" s="136"/>
      <c r="S550" s="136"/>
      <c r="T550" s="136"/>
      <c r="U550" s="136"/>
      <c r="V550" s="136"/>
      <c r="W550" s="136"/>
    </row>
    <row r="551">
      <c r="A551" s="136"/>
      <c r="B551" s="136"/>
      <c r="C551" s="136"/>
      <c r="D551" s="136"/>
      <c r="E551" s="136"/>
      <c r="F551" s="136"/>
      <c r="G551" s="136"/>
      <c r="H551" s="136"/>
      <c r="I551" s="136"/>
      <c r="J551" s="136"/>
      <c r="K551" s="451"/>
      <c r="L551" s="451"/>
      <c r="M551" s="136"/>
      <c r="N551" s="136"/>
      <c r="O551" s="136"/>
      <c r="P551" s="136"/>
      <c r="Q551" s="136"/>
      <c r="R551" s="136"/>
      <c r="S551" s="136"/>
      <c r="T551" s="136"/>
      <c r="U551" s="136"/>
      <c r="V551" s="136"/>
      <c r="W551" s="136"/>
    </row>
    <row r="552">
      <c r="A552" s="136"/>
      <c r="B552" s="136"/>
      <c r="C552" s="136"/>
      <c r="D552" s="136"/>
      <c r="E552" s="136"/>
      <c r="F552" s="136"/>
      <c r="G552" s="136"/>
      <c r="H552" s="136"/>
      <c r="I552" s="136"/>
      <c r="J552" s="136"/>
      <c r="K552" s="451"/>
      <c r="L552" s="451"/>
      <c r="M552" s="136"/>
      <c r="N552" s="136"/>
      <c r="O552" s="136"/>
      <c r="P552" s="136"/>
      <c r="Q552" s="136"/>
      <c r="R552" s="136"/>
      <c r="S552" s="136"/>
      <c r="T552" s="136"/>
      <c r="U552" s="136"/>
      <c r="V552" s="136"/>
      <c r="W552" s="136"/>
    </row>
    <row r="553">
      <c r="A553" s="136"/>
      <c r="B553" s="136"/>
      <c r="C553" s="136"/>
      <c r="D553" s="136"/>
      <c r="E553" s="136"/>
      <c r="F553" s="136"/>
      <c r="G553" s="136"/>
      <c r="H553" s="136"/>
      <c r="I553" s="136"/>
      <c r="J553" s="136"/>
      <c r="K553" s="451"/>
      <c r="L553" s="451"/>
      <c r="M553" s="136"/>
      <c r="N553" s="136"/>
      <c r="O553" s="136"/>
      <c r="P553" s="136"/>
      <c r="Q553" s="136"/>
      <c r="R553" s="136"/>
      <c r="S553" s="136"/>
      <c r="T553" s="136"/>
      <c r="U553" s="136"/>
      <c r="V553" s="136"/>
      <c r="W553" s="136"/>
    </row>
    <row r="554">
      <c r="A554" s="136"/>
      <c r="B554" s="136"/>
      <c r="C554" s="136"/>
      <c r="D554" s="136"/>
      <c r="E554" s="136"/>
      <c r="F554" s="136"/>
      <c r="G554" s="136"/>
      <c r="H554" s="136"/>
      <c r="I554" s="136"/>
      <c r="J554" s="136"/>
      <c r="K554" s="451"/>
      <c r="L554" s="451"/>
      <c r="M554" s="136"/>
      <c r="N554" s="136"/>
      <c r="O554" s="136"/>
      <c r="P554" s="136"/>
      <c r="Q554" s="136"/>
      <c r="R554" s="136"/>
      <c r="S554" s="136"/>
      <c r="T554" s="136"/>
      <c r="U554" s="136"/>
      <c r="V554" s="136"/>
      <c r="W554" s="136"/>
    </row>
    <row r="555">
      <c r="A555" s="136"/>
      <c r="B555" s="136"/>
      <c r="C555" s="136"/>
      <c r="D555" s="136"/>
      <c r="E555" s="136"/>
      <c r="F555" s="136"/>
      <c r="G555" s="136"/>
      <c r="H555" s="136"/>
      <c r="I555" s="136"/>
      <c r="J555" s="136"/>
      <c r="K555" s="451"/>
      <c r="L555" s="451"/>
      <c r="M555" s="136"/>
      <c r="N555" s="136"/>
      <c r="O555" s="136"/>
      <c r="P555" s="136"/>
      <c r="Q555" s="136"/>
      <c r="R555" s="136"/>
      <c r="S555" s="136"/>
      <c r="T555" s="136"/>
      <c r="U555" s="136"/>
      <c r="V555" s="136"/>
      <c r="W555" s="136"/>
    </row>
    <row r="556">
      <c r="A556" s="136"/>
      <c r="B556" s="136"/>
      <c r="C556" s="136"/>
      <c r="D556" s="136"/>
      <c r="E556" s="136"/>
      <c r="F556" s="136"/>
      <c r="G556" s="136"/>
      <c r="H556" s="136"/>
      <c r="I556" s="136"/>
      <c r="J556" s="136"/>
      <c r="K556" s="451"/>
      <c r="L556" s="451"/>
      <c r="M556" s="136"/>
      <c r="N556" s="136"/>
      <c r="O556" s="136"/>
      <c r="P556" s="136"/>
      <c r="Q556" s="136"/>
      <c r="R556" s="136"/>
      <c r="S556" s="136"/>
      <c r="T556" s="136"/>
      <c r="U556" s="136"/>
      <c r="V556" s="136"/>
      <c r="W556" s="136"/>
    </row>
    <row r="557">
      <c r="A557" s="136"/>
      <c r="B557" s="136"/>
      <c r="C557" s="136"/>
      <c r="D557" s="136"/>
      <c r="E557" s="136"/>
      <c r="F557" s="136"/>
      <c r="G557" s="136"/>
      <c r="H557" s="136"/>
      <c r="I557" s="136"/>
      <c r="J557" s="136"/>
      <c r="K557" s="451"/>
      <c r="L557" s="451"/>
      <c r="M557" s="136"/>
      <c r="N557" s="136"/>
      <c r="O557" s="136"/>
      <c r="P557" s="136"/>
      <c r="Q557" s="136"/>
      <c r="R557" s="136"/>
      <c r="S557" s="136"/>
      <c r="T557" s="136"/>
      <c r="U557" s="136"/>
      <c r="V557" s="136"/>
      <c r="W557" s="136"/>
    </row>
    <row r="558">
      <c r="A558" s="136"/>
      <c r="B558" s="136"/>
      <c r="C558" s="136"/>
      <c r="D558" s="136"/>
      <c r="E558" s="136"/>
      <c r="F558" s="136"/>
      <c r="G558" s="136"/>
      <c r="H558" s="136"/>
      <c r="I558" s="136"/>
      <c r="J558" s="136"/>
      <c r="K558" s="451"/>
      <c r="L558" s="451"/>
      <c r="M558" s="136"/>
      <c r="N558" s="136"/>
      <c r="O558" s="136"/>
      <c r="P558" s="136"/>
      <c r="Q558" s="136"/>
      <c r="R558" s="136"/>
      <c r="S558" s="136"/>
      <c r="T558" s="136"/>
      <c r="U558" s="136"/>
      <c r="V558" s="136"/>
      <c r="W558" s="136"/>
    </row>
    <row r="559">
      <c r="A559" s="136"/>
      <c r="B559" s="136"/>
      <c r="C559" s="136"/>
      <c r="D559" s="136"/>
      <c r="E559" s="136"/>
      <c r="F559" s="136"/>
      <c r="G559" s="136"/>
      <c r="H559" s="136"/>
      <c r="I559" s="136"/>
      <c r="J559" s="136"/>
      <c r="K559" s="451"/>
      <c r="L559" s="451"/>
      <c r="M559" s="136"/>
      <c r="N559" s="136"/>
      <c r="O559" s="136"/>
      <c r="P559" s="136"/>
      <c r="Q559" s="136"/>
      <c r="R559" s="136"/>
      <c r="S559" s="136"/>
      <c r="T559" s="136"/>
      <c r="U559" s="136"/>
      <c r="V559" s="136"/>
      <c r="W559" s="136"/>
    </row>
    <row r="560">
      <c r="A560" s="136"/>
      <c r="B560" s="136"/>
      <c r="C560" s="136"/>
      <c r="D560" s="136"/>
      <c r="E560" s="136"/>
      <c r="F560" s="136"/>
      <c r="G560" s="136"/>
      <c r="H560" s="136"/>
      <c r="I560" s="136"/>
      <c r="J560" s="136"/>
      <c r="K560" s="451"/>
      <c r="L560" s="451"/>
      <c r="M560" s="136"/>
      <c r="N560" s="136"/>
      <c r="O560" s="136"/>
      <c r="P560" s="136"/>
      <c r="Q560" s="136"/>
      <c r="R560" s="136"/>
      <c r="S560" s="136"/>
      <c r="T560" s="136"/>
      <c r="U560" s="136"/>
      <c r="V560" s="136"/>
      <c r="W560" s="136"/>
    </row>
    <row r="561">
      <c r="A561" s="136"/>
      <c r="B561" s="136"/>
      <c r="C561" s="136"/>
      <c r="D561" s="136"/>
      <c r="E561" s="136"/>
      <c r="F561" s="136"/>
      <c r="G561" s="136"/>
      <c r="H561" s="136"/>
      <c r="I561" s="136"/>
      <c r="J561" s="136"/>
      <c r="K561" s="451"/>
      <c r="L561" s="451"/>
      <c r="M561" s="136"/>
      <c r="N561" s="136"/>
      <c r="O561" s="136"/>
      <c r="P561" s="136"/>
      <c r="Q561" s="136"/>
      <c r="R561" s="136"/>
      <c r="S561" s="136"/>
      <c r="T561" s="136"/>
      <c r="U561" s="136"/>
      <c r="V561" s="136"/>
      <c r="W561" s="136"/>
    </row>
    <row r="562">
      <c r="A562" s="136"/>
      <c r="B562" s="136"/>
      <c r="C562" s="136"/>
      <c r="D562" s="136"/>
      <c r="E562" s="136"/>
      <c r="F562" s="136"/>
      <c r="G562" s="136"/>
      <c r="H562" s="136"/>
      <c r="I562" s="136"/>
      <c r="J562" s="136"/>
      <c r="K562" s="451"/>
      <c r="L562" s="451"/>
      <c r="M562" s="136"/>
      <c r="N562" s="136"/>
      <c r="O562" s="136"/>
      <c r="P562" s="136"/>
      <c r="Q562" s="136"/>
      <c r="R562" s="136"/>
      <c r="S562" s="136"/>
      <c r="T562" s="136"/>
      <c r="U562" s="136"/>
      <c r="V562" s="136"/>
      <c r="W562" s="136"/>
    </row>
    <row r="563">
      <c r="A563" s="136"/>
      <c r="B563" s="136"/>
      <c r="C563" s="136"/>
      <c r="D563" s="136"/>
      <c r="E563" s="136"/>
      <c r="F563" s="136"/>
      <c r="G563" s="136"/>
      <c r="H563" s="136"/>
      <c r="I563" s="136"/>
      <c r="J563" s="136"/>
      <c r="K563" s="451"/>
      <c r="L563" s="451"/>
      <c r="M563" s="136"/>
      <c r="N563" s="136"/>
      <c r="O563" s="136"/>
      <c r="P563" s="136"/>
      <c r="Q563" s="136"/>
      <c r="R563" s="136"/>
      <c r="S563" s="136"/>
      <c r="T563" s="136"/>
      <c r="U563" s="136"/>
      <c r="V563" s="136"/>
      <c r="W563" s="136"/>
    </row>
    <row r="564">
      <c r="A564" s="136"/>
      <c r="B564" s="136"/>
      <c r="C564" s="136"/>
      <c r="D564" s="136"/>
      <c r="E564" s="136"/>
      <c r="F564" s="136"/>
      <c r="G564" s="136"/>
      <c r="H564" s="136"/>
      <c r="I564" s="136"/>
      <c r="J564" s="136"/>
      <c r="K564" s="451"/>
      <c r="L564" s="451"/>
      <c r="M564" s="136"/>
      <c r="N564" s="136"/>
      <c r="O564" s="136"/>
      <c r="P564" s="136"/>
      <c r="Q564" s="136"/>
      <c r="R564" s="136"/>
      <c r="S564" s="136"/>
      <c r="T564" s="136"/>
      <c r="U564" s="136"/>
      <c r="V564" s="136"/>
      <c r="W564" s="136"/>
    </row>
    <row r="565">
      <c r="A565" s="136"/>
      <c r="B565" s="136"/>
      <c r="C565" s="136"/>
      <c r="D565" s="136"/>
      <c r="E565" s="136"/>
      <c r="F565" s="136"/>
      <c r="G565" s="136"/>
      <c r="H565" s="136"/>
      <c r="I565" s="136"/>
      <c r="J565" s="136"/>
      <c r="K565" s="451"/>
      <c r="L565" s="451"/>
      <c r="M565" s="136"/>
      <c r="N565" s="136"/>
      <c r="O565" s="136"/>
      <c r="P565" s="136"/>
      <c r="Q565" s="136"/>
      <c r="R565" s="136"/>
      <c r="S565" s="136"/>
      <c r="T565" s="136"/>
      <c r="U565" s="136"/>
      <c r="V565" s="136"/>
      <c r="W565" s="136"/>
    </row>
    <row r="566">
      <c r="A566" s="136"/>
      <c r="B566" s="136"/>
      <c r="C566" s="136"/>
      <c r="D566" s="136"/>
      <c r="E566" s="136"/>
      <c r="F566" s="136"/>
      <c r="G566" s="136"/>
      <c r="H566" s="136"/>
      <c r="I566" s="136"/>
      <c r="J566" s="136"/>
      <c r="K566" s="451"/>
      <c r="L566" s="451"/>
      <c r="M566" s="136"/>
      <c r="N566" s="136"/>
      <c r="O566" s="136"/>
      <c r="P566" s="136"/>
      <c r="Q566" s="136"/>
      <c r="R566" s="136"/>
      <c r="S566" s="136"/>
      <c r="T566" s="136"/>
      <c r="U566" s="136"/>
      <c r="V566" s="136"/>
      <c r="W566" s="136"/>
    </row>
    <row r="567">
      <c r="A567" s="136"/>
      <c r="B567" s="136"/>
      <c r="C567" s="136"/>
      <c r="D567" s="136"/>
      <c r="E567" s="136"/>
      <c r="F567" s="136"/>
      <c r="G567" s="136"/>
      <c r="H567" s="136"/>
      <c r="I567" s="136"/>
      <c r="J567" s="136"/>
      <c r="K567" s="451"/>
      <c r="L567" s="451"/>
      <c r="M567" s="136"/>
      <c r="N567" s="136"/>
      <c r="O567" s="136"/>
      <c r="P567" s="136"/>
      <c r="Q567" s="136"/>
      <c r="R567" s="136"/>
      <c r="S567" s="136"/>
      <c r="T567" s="136"/>
      <c r="U567" s="136"/>
      <c r="V567" s="136"/>
      <c r="W567" s="136"/>
    </row>
    <row r="568">
      <c r="A568" s="136"/>
      <c r="B568" s="136"/>
      <c r="C568" s="136"/>
      <c r="D568" s="136"/>
      <c r="E568" s="136"/>
      <c r="F568" s="136"/>
      <c r="G568" s="136"/>
      <c r="H568" s="136"/>
      <c r="I568" s="136"/>
      <c r="J568" s="136"/>
      <c r="K568" s="451"/>
      <c r="L568" s="451"/>
      <c r="M568" s="136"/>
      <c r="N568" s="136"/>
      <c r="O568" s="136"/>
      <c r="P568" s="136"/>
      <c r="Q568" s="136"/>
      <c r="R568" s="136"/>
      <c r="S568" s="136"/>
      <c r="T568" s="136"/>
      <c r="U568" s="136"/>
      <c r="V568" s="136"/>
      <c r="W568" s="136"/>
    </row>
    <row r="569">
      <c r="A569" s="136"/>
      <c r="B569" s="136"/>
      <c r="C569" s="136"/>
      <c r="D569" s="136"/>
      <c r="E569" s="136"/>
      <c r="F569" s="136"/>
      <c r="G569" s="136"/>
      <c r="H569" s="136"/>
      <c r="I569" s="136"/>
      <c r="J569" s="136"/>
      <c r="K569" s="451"/>
      <c r="L569" s="451"/>
      <c r="M569" s="136"/>
      <c r="N569" s="136"/>
      <c r="O569" s="136"/>
      <c r="P569" s="136"/>
      <c r="Q569" s="136"/>
      <c r="R569" s="136"/>
      <c r="S569" s="136"/>
      <c r="T569" s="136"/>
      <c r="U569" s="136"/>
      <c r="V569" s="136"/>
      <c r="W569" s="136"/>
    </row>
    <row r="570">
      <c r="A570" s="136"/>
      <c r="B570" s="136"/>
      <c r="C570" s="136"/>
      <c r="D570" s="136"/>
      <c r="E570" s="136"/>
      <c r="F570" s="136"/>
      <c r="G570" s="136"/>
      <c r="H570" s="136"/>
      <c r="I570" s="136"/>
      <c r="J570" s="136"/>
      <c r="K570" s="451"/>
      <c r="L570" s="451"/>
      <c r="M570" s="136"/>
      <c r="N570" s="136"/>
      <c r="O570" s="136"/>
      <c r="P570" s="136"/>
      <c r="Q570" s="136"/>
      <c r="R570" s="136"/>
      <c r="S570" s="136"/>
      <c r="T570" s="136"/>
      <c r="U570" s="136"/>
      <c r="V570" s="136"/>
      <c r="W570" s="136"/>
    </row>
    <row r="571">
      <c r="A571" s="136"/>
      <c r="B571" s="136"/>
      <c r="C571" s="136"/>
      <c r="D571" s="136"/>
      <c r="E571" s="136"/>
      <c r="F571" s="136"/>
      <c r="G571" s="136"/>
      <c r="H571" s="136"/>
      <c r="I571" s="136"/>
      <c r="J571" s="136"/>
      <c r="K571" s="451"/>
      <c r="L571" s="451"/>
      <c r="M571" s="136"/>
      <c r="N571" s="136"/>
      <c r="O571" s="136"/>
      <c r="P571" s="136"/>
      <c r="Q571" s="136"/>
      <c r="R571" s="136"/>
      <c r="S571" s="136"/>
      <c r="T571" s="136"/>
      <c r="U571" s="136"/>
      <c r="V571" s="136"/>
      <c r="W571" s="136"/>
    </row>
    <row r="572">
      <c r="A572" s="136"/>
      <c r="B572" s="136"/>
      <c r="C572" s="136"/>
      <c r="D572" s="136"/>
      <c r="E572" s="136"/>
      <c r="F572" s="136"/>
      <c r="G572" s="136"/>
      <c r="H572" s="136"/>
      <c r="I572" s="136"/>
      <c r="J572" s="136"/>
      <c r="K572" s="451"/>
      <c r="L572" s="451"/>
      <c r="M572" s="136"/>
      <c r="N572" s="136"/>
      <c r="O572" s="136"/>
      <c r="P572" s="136"/>
      <c r="Q572" s="136"/>
      <c r="R572" s="136"/>
      <c r="S572" s="136"/>
      <c r="T572" s="136"/>
      <c r="U572" s="136"/>
      <c r="V572" s="136"/>
      <c r="W572" s="136"/>
    </row>
    <row r="573">
      <c r="A573" s="136"/>
      <c r="B573" s="136"/>
      <c r="C573" s="136"/>
      <c r="D573" s="136"/>
      <c r="E573" s="136"/>
      <c r="F573" s="136"/>
      <c r="G573" s="136"/>
      <c r="H573" s="136"/>
      <c r="I573" s="136"/>
      <c r="J573" s="136"/>
      <c r="K573" s="451"/>
      <c r="L573" s="451"/>
      <c r="M573" s="136"/>
      <c r="N573" s="136"/>
      <c r="O573" s="136"/>
      <c r="P573" s="136"/>
      <c r="Q573" s="136"/>
      <c r="R573" s="136"/>
      <c r="S573" s="136"/>
      <c r="T573" s="136"/>
      <c r="U573" s="136"/>
      <c r="V573" s="136"/>
      <c r="W573" s="136"/>
    </row>
    <row r="574">
      <c r="A574" s="136"/>
      <c r="B574" s="136"/>
      <c r="C574" s="136"/>
      <c r="D574" s="136"/>
      <c r="E574" s="136"/>
      <c r="F574" s="136"/>
      <c r="G574" s="136"/>
      <c r="H574" s="136"/>
      <c r="I574" s="136"/>
      <c r="J574" s="136"/>
      <c r="K574" s="451"/>
      <c r="L574" s="451"/>
      <c r="M574" s="136"/>
      <c r="N574" s="136"/>
      <c r="O574" s="136"/>
      <c r="P574" s="136"/>
      <c r="Q574" s="136"/>
      <c r="R574" s="136"/>
      <c r="S574" s="136"/>
      <c r="T574" s="136"/>
      <c r="U574" s="136"/>
      <c r="V574" s="136"/>
      <c r="W574" s="136"/>
    </row>
    <row r="575">
      <c r="A575" s="136"/>
      <c r="B575" s="136"/>
      <c r="C575" s="136"/>
      <c r="D575" s="136"/>
      <c r="E575" s="136"/>
      <c r="F575" s="136"/>
      <c r="G575" s="136"/>
      <c r="H575" s="136"/>
      <c r="I575" s="136"/>
      <c r="J575" s="136"/>
      <c r="K575" s="451"/>
      <c r="L575" s="451"/>
      <c r="M575" s="136"/>
      <c r="N575" s="136"/>
      <c r="O575" s="136"/>
      <c r="P575" s="136"/>
      <c r="Q575" s="136"/>
      <c r="R575" s="136"/>
      <c r="S575" s="136"/>
      <c r="T575" s="136"/>
      <c r="U575" s="136"/>
      <c r="V575" s="136"/>
      <c r="W575" s="136"/>
    </row>
    <row r="576">
      <c r="A576" s="136"/>
      <c r="B576" s="136"/>
      <c r="C576" s="136"/>
      <c r="D576" s="136"/>
      <c r="E576" s="136"/>
      <c r="F576" s="136"/>
      <c r="G576" s="136"/>
      <c r="H576" s="136"/>
      <c r="I576" s="136"/>
      <c r="J576" s="136"/>
      <c r="K576" s="451"/>
      <c r="L576" s="451"/>
      <c r="M576" s="136"/>
      <c r="N576" s="136"/>
      <c r="O576" s="136"/>
      <c r="P576" s="136"/>
      <c r="Q576" s="136"/>
      <c r="R576" s="136"/>
      <c r="S576" s="136"/>
      <c r="T576" s="136"/>
      <c r="U576" s="136"/>
      <c r="V576" s="136"/>
      <c r="W576" s="136"/>
    </row>
    <row r="577">
      <c r="A577" s="136"/>
      <c r="B577" s="136"/>
      <c r="C577" s="136"/>
      <c r="D577" s="136"/>
      <c r="E577" s="136"/>
      <c r="F577" s="136"/>
      <c r="G577" s="136"/>
      <c r="H577" s="136"/>
      <c r="I577" s="136"/>
      <c r="J577" s="136"/>
      <c r="K577" s="451"/>
      <c r="L577" s="451"/>
      <c r="M577" s="136"/>
      <c r="N577" s="136"/>
      <c r="O577" s="136"/>
      <c r="P577" s="136"/>
      <c r="Q577" s="136"/>
      <c r="R577" s="136"/>
      <c r="S577" s="136"/>
      <c r="T577" s="136"/>
      <c r="U577" s="136"/>
      <c r="V577" s="136"/>
      <c r="W577" s="136"/>
    </row>
    <row r="578">
      <c r="A578" s="136"/>
      <c r="B578" s="136"/>
      <c r="C578" s="136"/>
      <c r="D578" s="136"/>
      <c r="E578" s="136"/>
      <c r="F578" s="136"/>
      <c r="G578" s="136"/>
      <c r="H578" s="136"/>
      <c r="I578" s="136"/>
      <c r="J578" s="136"/>
      <c r="K578" s="451"/>
      <c r="L578" s="451"/>
      <c r="M578" s="136"/>
      <c r="N578" s="136"/>
      <c r="O578" s="136"/>
      <c r="P578" s="136"/>
      <c r="Q578" s="136"/>
      <c r="R578" s="136"/>
      <c r="S578" s="136"/>
      <c r="T578" s="136"/>
      <c r="U578" s="136"/>
      <c r="V578" s="136"/>
      <c r="W578" s="136"/>
    </row>
    <row r="579">
      <c r="A579" s="136"/>
      <c r="B579" s="136"/>
      <c r="C579" s="136"/>
      <c r="D579" s="136"/>
      <c r="E579" s="136"/>
      <c r="F579" s="136"/>
      <c r="G579" s="136"/>
      <c r="H579" s="136"/>
      <c r="I579" s="136"/>
      <c r="J579" s="136"/>
      <c r="K579" s="451"/>
      <c r="L579" s="451"/>
      <c r="M579" s="136"/>
      <c r="N579" s="136"/>
      <c r="O579" s="136"/>
      <c r="P579" s="136"/>
      <c r="Q579" s="136"/>
      <c r="R579" s="136"/>
      <c r="S579" s="136"/>
      <c r="T579" s="136"/>
      <c r="U579" s="136"/>
      <c r="V579" s="136"/>
      <c r="W579" s="136"/>
    </row>
    <row r="580">
      <c r="A580" s="136"/>
      <c r="B580" s="136"/>
      <c r="C580" s="136"/>
      <c r="D580" s="136"/>
      <c r="E580" s="136"/>
      <c r="F580" s="136"/>
      <c r="G580" s="136"/>
      <c r="H580" s="136"/>
      <c r="I580" s="136"/>
      <c r="J580" s="136"/>
      <c r="K580" s="451"/>
      <c r="L580" s="451"/>
      <c r="M580" s="136"/>
      <c r="N580" s="136"/>
      <c r="O580" s="136"/>
      <c r="P580" s="136"/>
      <c r="Q580" s="136"/>
      <c r="R580" s="136"/>
      <c r="S580" s="136"/>
      <c r="T580" s="136"/>
      <c r="U580" s="136"/>
      <c r="V580" s="136"/>
      <c r="W580" s="136"/>
    </row>
    <row r="581">
      <c r="A581" s="136"/>
      <c r="B581" s="136"/>
      <c r="C581" s="136"/>
      <c r="D581" s="136"/>
      <c r="E581" s="136"/>
      <c r="F581" s="136"/>
      <c r="G581" s="136"/>
      <c r="H581" s="136"/>
      <c r="I581" s="136"/>
      <c r="J581" s="136"/>
      <c r="K581" s="451"/>
      <c r="L581" s="451"/>
      <c r="M581" s="136"/>
      <c r="N581" s="136"/>
      <c r="O581" s="136"/>
      <c r="P581" s="136"/>
      <c r="Q581" s="136"/>
      <c r="R581" s="136"/>
      <c r="S581" s="136"/>
      <c r="T581" s="136"/>
      <c r="U581" s="136"/>
      <c r="V581" s="136"/>
      <c r="W581" s="136"/>
    </row>
    <row r="582">
      <c r="A582" s="136"/>
      <c r="B582" s="136"/>
      <c r="C582" s="136"/>
      <c r="D582" s="136"/>
      <c r="E582" s="136"/>
      <c r="F582" s="136"/>
      <c r="G582" s="136"/>
      <c r="H582" s="136"/>
      <c r="I582" s="136"/>
      <c r="J582" s="136"/>
      <c r="K582" s="451"/>
      <c r="L582" s="451"/>
      <c r="M582" s="136"/>
      <c r="N582" s="136"/>
      <c r="O582" s="136"/>
      <c r="P582" s="136"/>
      <c r="Q582" s="136"/>
      <c r="R582" s="136"/>
      <c r="S582" s="136"/>
      <c r="T582" s="136"/>
      <c r="U582" s="136"/>
      <c r="V582" s="136"/>
      <c r="W582" s="136"/>
    </row>
    <row r="583">
      <c r="A583" s="136"/>
      <c r="B583" s="136"/>
      <c r="C583" s="136"/>
      <c r="D583" s="136"/>
      <c r="E583" s="136"/>
      <c r="F583" s="136"/>
      <c r="G583" s="136"/>
      <c r="H583" s="136"/>
      <c r="I583" s="136"/>
      <c r="J583" s="136"/>
      <c r="K583" s="451"/>
      <c r="L583" s="451"/>
      <c r="M583" s="136"/>
      <c r="N583" s="136"/>
      <c r="O583" s="136"/>
      <c r="P583" s="136"/>
      <c r="Q583" s="136"/>
      <c r="R583" s="136"/>
      <c r="S583" s="136"/>
      <c r="T583" s="136"/>
      <c r="U583" s="136"/>
      <c r="V583" s="136"/>
      <c r="W583" s="136"/>
    </row>
    <row r="584">
      <c r="A584" s="136"/>
      <c r="B584" s="136"/>
      <c r="C584" s="136"/>
      <c r="D584" s="136"/>
      <c r="E584" s="136"/>
      <c r="F584" s="136"/>
      <c r="G584" s="136"/>
      <c r="H584" s="136"/>
      <c r="I584" s="136"/>
      <c r="J584" s="136"/>
      <c r="K584" s="451"/>
      <c r="L584" s="451"/>
      <c r="M584" s="136"/>
      <c r="N584" s="136"/>
      <c r="O584" s="136"/>
      <c r="P584" s="136"/>
      <c r="Q584" s="136"/>
      <c r="R584" s="136"/>
      <c r="S584" s="136"/>
      <c r="T584" s="136"/>
      <c r="U584" s="136"/>
      <c r="V584" s="136"/>
      <c r="W584" s="136"/>
    </row>
    <row r="585">
      <c r="A585" s="136"/>
      <c r="B585" s="136"/>
      <c r="C585" s="136"/>
      <c r="D585" s="136"/>
      <c r="E585" s="136"/>
      <c r="F585" s="136"/>
      <c r="G585" s="136"/>
      <c r="H585" s="136"/>
      <c r="I585" s="136"/>
      <c r="J585" s="136"/>
      <c r="K585" s="451"/>
      <c r="L585" s="451"/>
      <c r="M585" s="136"/>
      <c r="N585" s="136"/>
      <c r="O585" s="136"/>
      <c r="P585" s="136"/>
      <c r="Q585" s="136"/>
      <c r="R585" s="136"/>
      <c r="S585" s="136"/>
      <c r="T585" s="136"/>
      <c r="U585" s="136"/>
      <c r="V585" s="136"/>
      <c r="W585" s="136"/>
    </row>
    <row r="586">
      <c r="A586" s="136"/>
      <c r="B586" s="136"/>
      <c r="C586" s="136"/>
      <c r="D586" s="136"/>
      <c r="E586" s="136"/>
      <c r="F586" s="136"/>
      <c r="G586" s="136"/>
      <c r="H586" s="136"/>
      <c r="I586" s="136"/>
      <c r="J586" s="136"/>
      <c r="K586" s="451"/>
      <c r="L586" s="451"/>
      <c r="M586" s="136"/>
      <c r="N586" s="136"/>
      <c r="O586" s="136"/>
      <c r="P586" s="136"/>
      <c r="Q586" s="136"/>
      <c r="R586" s="136"/>
      <c r="S586" s="136"/>
      <c r="T586" s="136"/>
      <c r="U586" s="136"/>
      <c r="V586" s="136"/>
      <c r="W586" s="136"/>
    </row>
    <row r="587">
      <c r="A587" s="136"/>
      <c r="B587" s="136"/>
      <c r="C587" s="136"/>
      <c r="D587" s="136"/>
      <c r="E587" s="136"/>
      <c r="F587" s="136"/>
      <c r="G587" s="136"/>
      <c r="H587" s="136"/>
      <c r="I587" s="136"/>
      <c r="J587" s="136"/>
      <c r="K587" s="451"/>
      <c r="L587" s="451"/>
      <c r="M587" s="136"/>
      <c r="N587" s="136"/>
      <c r="O587" s="136"/>
      <c r="P587" s="136"/>
      <c r="Q587" s="136"/>
      <c r="R587" s="136"/>
      <c r="S587" s="136"/>
      <c r="T587" s="136"/>
      <c r="U587" s="136"/>
      <c r="V587" s="136"/>
      <c r="W587" s="136"/>
    </row>
    <row r="588">
      <c r="A588" s="136"/>
      <c r="B588" s="136"/>
      <c r="C588" s="136"/>
      <c r="D588" s="136"/>
      <c r="E588" s="136"/>
      <c r="F588" s="136"/>
      <c r="G588" s="136"/>
      <c r="H588" s="136"/>
      <c r="I588" s="136"/>
      <c r="J588" s="136"/>
      <c r="K588" s="451"/>
      <c r="L588" s="451"/>
      <c r="M588" s="136"/>
      <c r="N588" s="136"/>
      <c r="O588" s="136"/>
      <c r="P588" s="136"/>
      <c r="Q588" s="136"/>
      <c r="R588" s="136"/>
      <c r="S588" s="136"/>
      <c r="T588" s="136"/>
      <c r="U588" s="136"/>
      <c r="V588" s="136"/>
      <c r="W588" s="136"/>
    </row>
    <row r="589">
      <c r="A589" s="136"/>
      <c r="B589" s="136"/>
      <c r="C589" s="136"/>
      <c r="D589" s="136"/>
      <c r="E589" s="136"/>
      <c r="F589" s="136"/>
      <c r="G589" s="136"/>
      <c r="H589" s="136"/>
      <c r="I589" s="136"/>
      <c r="J589" s="136"/>
      <c r="K589" s="451"/>
      <c r="L589" s="451"/>
      <c r="M589" s="136"/>
      <c r="N589" s="136"/>
      <c r="O589" s="136"/>
      <c r="P589" s="136"/>
      <c r="Q589" s="136"/>
      <c r="R589" s="136"/>
      <c r="S589" s="136"/>
      <c r="T589" s="136"/>
      <c r="U589" s="136"/>
      <c r="V589" s="136"/>
      <c r="W589" s="136"/>
    </row>
    <row r="590">
      <c r="A590" s="136"/>
      <c r="B590" s="136"/>
      <c r="C590" s="136"/>
      <c r="D590" s="136"/>
      <c r="E590" s="136"/>
      <c r="F590" s="136"/>
      <c r="G590" s="136"/>
      <c r="H590" s="136"/>
      <c r="I590" s="136"/>
      <c r="J590" s="136"/>
      <c r="K590" s="451"/>
      <c r="L590" s="451"/>
      <c r="M590" s="136"/>
      <c r="N590" s="136"/>
      <c r="O590" s="136"/>
      <c r="P590" s="136"/>
      <c r="Q590" s="136"/>
      <c r="R590" s="136"/>
      <c r="S590" s="136"/>
      <c r="T590" s="136"/>
      <c r="U590" s="136"/>
      <c r="V590" s="136"/>
      <c r="W590" s="136"/>
    </row>
    <row r="591">
      <c r="A591" s="136"/>
      <c r="B591" s="136"/>
      <c r="C591" s="136"/>
      <c r="D591" s="136"/>
      <c r="E591" s="136"/>
      <c r="F591" s="136"/>
      <c r="G591" s="136"/>
      <c r="H591" s="136"/>
      <c r="I591" s="136"/>
      <c r="J591" s="136"/>
      <c r="K591" s="451"/>
      <c r="L591" s="451"/>
      <c r="M591" s="136"/>
      <c r="N591" s="136"/>
      <c r="O591" s="136"/>
      <c r="P591" s="136"/>
      <c r="Q591" s="136"/>
      <c r="R591" s="136"/>
      <c r="S591" s="136"/>
      <c r="T591" s="136"/>
      <c r="U591" s="136"/>
      <c r="V591" s="136"/>
      <c r="W591" s="136"/>
    </row>
    <row r="592">
      <c r="A592" s="136"/>
      <c r="B592" s="136"/>
      <c r="C592" s="136"/>
      <c r="D592" s="136"/>
      <c r="E592" s="136"/>
      <c r="F592" s="136"/>
      <c r="G592" s="136"/>
      <c r="H592" s="136"/>
      <c r="I592" s="136"/>
      <c r="J592" s="136"/>
      <c r="K592" s="451"/>
      <c r="L592" s="451"/>
      <c r="M592" s="136"/>
      <c r="N592" s="136"/>
      <c r="O592" s="136"/>
      <c r="P592" s="136"/>
      <c r="Q592" s="136"/>
      <c r="R592" s="136"/>
      <c r="S592" s="136"/>
      <c r="T592" s="136"/>
      <c r="U592" s="136"/>
      <c r="V592" s="136"/>
      <c r="W592" s="136"/>
    </row>
    <row r="593">
      <c r="A593" s="136"/>
      <c r="B593" s="136"/>
      <c r="C593" s="136"/>
      <c r="D593" s="136"/>
      <c r="E593" s="136"/>
      <c r="F593" s="136"/>
      <c r="G593" s="136"/>
      <c r="H593" s="136"/>
      <c r="I593" s="136"/>
      <c r="J593" s="136"/>
      <c r="K593" s="451"/>
      <c r="L593" s="451"/>
      <c r="M593" s="136"/>
      <c r="N593" s="136"/>
      <c r="O593" s="136"/>
      <c r="P593" s="136"/>
      <c r="Q593" s="136"/>
      <c r="R593" s="136"/>
      <c r="S593" s="136"/>
      <c r="T593" s="136"/>
      <c r="U593" s="136"/>
      <c r="V593" s="136"/>
      <c r="W593" s="136"/>
    </row>
    <row r="594">
      <c r="A594" s="136"/>
      <c r="B594" s="136"/>
      <c r="C594" s="136"/>
      <c r="D594" s="136"/>
      <c r="E594" s="136"/>
      <c r="F594" s="136"/>
      <c r="G594" s="136"/>
      <c r="H594" s="136"/>
      <c r="I594" s="136"/>
      <c r="J594" s="136"/>
      <c r="K594" s="451"/>
      <c r="L594" s="451"/>
      <c r="M594" s="136"/>
      <c r="N594" s="136"/>
      <c r="O594" s="136"/>
      <c r="P594" s="136"/>
      <c r="Q594" s="136"/>
      <c r="R594" s="136"/>
      <c r="S594" s="136"/>
      <c r="T594" s="136"/>
      <c r="U594" s="136"/>
      <c r="V594" s="136"/>
      <c r="W594" s="136"/>
    </row>
    <row r="595">
      <c r="A595" s="136"/>
      <c r="B595" s="136"/>
      <c r="C595" s="136"/>
      <c r="D595" s="136"/>
      <c r="E595" s="136"/>
      <c r="F595" s="136"/>
      <c r="G595" s="136"/>
      <c r="H595" s="136"/>
      <c r="I595" s="136"/>
      <c r="J595" s="136"/>
      <c r="K595" s="451"/>
      <c r="L595" s="451"/>
      <c r="M595" s="136"/>
      <c r="N595" s="136"/>
      <c r="O595" s="136"/>
      <c r="P595" s="136"/>
      <c r="Q595" s="136"/>
      <c r="R595" s="136"/>
      <c r="S595" s="136"/>
      <c r="T595" s="136"/>
      <c r="U595" s="136"/>
      <c r="V595" s="136"/>
      <c r="W595" s="136"/>
    </row>
    <row r="596">
      <c r="A596" s="136"/>
      <c r="B596" s="136"/>
      <c r="C596" s="136"/>
      <c r="D596" s="136"/>
      <c r="E596" s="136"/>
      <c r="F596" s="136"/>
      <c r="G596" s="136"/>
      <c r="H596" s="136"/>
      <c r="I596" s="136"/>
      <c r="J596" s="136"/>
      <c r="K596" s="451"/>
      <c r="L596" s="451"/>
      <c r="M596" s="136"/>
      <c r="N596" s="136"/>
      <c r="O596" s="136"/>
      <c r="P596" s="136"/>
      <c r="Q596" s="136"/>
      <c r="R596" s="136"/>
      <c r="S596" s="136"/>
      <c r="T596" s="136"/>
      <c r="U596" s="136"/>
      <c r="V596" s="136"/>
      <c r="W596" s="136"/>
    </row>
    <row r="597">
      <c r="A597" s="136"/>
      <c r="B597" s="136"/>
      <c r="C597" s="136"/>
      <c r="D597" s="136"/>
      <c r="E597" s="136"/>
      <c r="F597" s="136"/>
      <c r="G597" s="136"/>
      <c r="H597" s="136"/>
      <c r="I597" s="136"/>
      <c r="J597" s="136"/>
      <c r="K597" s="451"/>
      <c r="L597" s="451"/>
      <c r="M597" s="136"/>
      <c r="N597" s="136"/>
      <c r="O597" s="136"/>
      <c r="P597" s="136"/>
      <c r="Q597" s="136"/>
      <c r="R597" s="136"/>
      <c r="S597" s="136"/>
      <c r="T597" s="136"/>
      <c r="U597" s="136"/>
      <c r="V597" s="136"/>
      <c r="W597" s="136"/>
    </row>
    <row r="598">
      <c r="A598" s="136"/>
      <c r="B598" s="136"/>
      <c r="C598" s="136"/>
      <c r="D598" s="136"/>
      <c r="E598" s="136"/>
      <c r="F598" s="136"/>
      <c r="G598" s="136"/>
      <c r="H598" s="136"/>
      <c r="I598" s="136"/>
      <c r="J598" s="136"/>
      <c r="K598" s="451"/>
      <c r="L598" s="451"/>
      <c r="M598" s="136"/>
      <c r="N598" s="136"/>
      <c r="O598" s="136"/>
      <c r="P598" s="136"/>
      <c r="Q598" s="136"/>
      <c r="R598" s="136"/>
      <c r="S598" s="136"/>
      <c r="T598" s="136"/>
      <c r="U598" s="136"/>
      <c r="V598" s="136"/>
      <c r="W598" s="136"/>
    </row>
    <row r="599">
      <c r="A599" s="136"/>
      <c r="B599" s="136"/>
      <c r="C599" s="136"/>
      <c r="D599" s="136"/>
      <c r="E599" s="136"/>
      <c r="F599" s="136"/>
      <c r="G599" s="136"/>
      <c r="H599" s="136"/>
      <c r="I599" s="136"/>
      <c r="J599" s="136"/>
      <c r="K599" s="451"/>
      <c r="L599" s="451"/>
      <c r="M599" s="136"/>
      <c r="N599" s="136"/>
      <c r="O599" s="136"/>
      <c r="P599" s="136"/>
      <c r="Q599" s="136"/>
      <c r="R599" s="136"/>
      <c r="S599" s="136"/>
      <c r="T599" s="136"/>
      <c r="U599" s="136"/>
      <c r="V599" s="136"/>
      <c r="W599" s="136"/>
    </row>
    <row r="600">
      <c r="A600" s="136"/>
      <c r="B600" s="136"/>
      <c r="C600" s="136"/>
      <c r="D600" s="136"/>
      <c r="E600" s="136"/>
      <c r="F600" s="136"/>
      <c r="G600" s="136"/>
      <c r="H600" s="136"/>
      <c r="I600" s="136"/>
      <c r="J600" s="136"/>
      <c r="K600" s="451"/>
      <c r="L600" s="451"/>
      <c r="M600" s="136"/>
      <c r="N600" s="136"/>
      <c r="O600" s="136"/>
      <c r="P600" s="136"/>
      <c r="Q600" s="136"/>
      <c r="R600" s="136"/>
      <c r="S600" s="136"/>
      <c r="T600" s="136"/>
      <c r="U600" s="136"/>
      <c r="V600" s="136"/>
      <c r="W600" s="136"/>
    </row>
    <row r="601">
      <c r="A601" s="136"/>
      <c r="B601" s="136"/>
      <c r="C601" s="136"/>
      <c r="D601" s="136"/>
      <c r="E601" s="136"/>
      <c r="F601" s="136"/>
      <c r="G601" s="136"/>
      <c r="H601" s="136"/>
      <c r="I601" s="136"/>
      <c r="J601" s="136"/>
      <c r="K601" s="451"/>
      <c r="L601" s="451"/>
      <c r="M601" s="136"/>
      <c r="N601" s="136"/>
      <c r="O601" s="136"/>
      <c r="P601" s="136"/>
      <c r="Q601" s="136"/>
      <c r="R601" s="136"/>
      <c r="S601" s="136"/>
      <c r="T601" s="136"/>
      <c r="U601" s="136"/>
      <c r="V601" s="136"/>
      <c r="W601" s="136"/>
    </row>
    <row r="602">
      <c r="A602" s="136"/>
      <c r="B602" s="136"/>
      <c r="C602" s="136"/>
      <c r="D602" s="136"/>
      <c r="E602" s="136"/>
      <c r="F602" s="136"/>
      <c r="G602" s="136"/>
      <c r="H602" s="136"/>
      <c r="I602" s="136"/>
      <c r="J602" s="136"/>
      <c r="K602" s="451"/>
      <c r="L602" s="451"/>
      <c r="M602" s="136"/>
      <c r="N602" s="136"/>
      <c r="O602" s="136"/>
      <c r="P602" s="136"/>
      <c r="Q602" s="136"/>
      <c r="R602" s="136"/>
      <c r="S602" s="136"/>
      <c r="T602" s="136"/>
      <c r="U602" s="136"/>
      <c r="V602" s="136"/>
      <c r="W602" s="136"/>
    </row>
    <row r="603">
      <c r="A603" s="136"/>
      <c r="B603" s="136"/>
      <c r="C603" s="136"/>
      <c r="D603" s="136"/>
      <c r="E603" s="136"/>
      <c r="F603" s="136"/>
      <c r="G603" s="136"/>
      <c r="H603" s="136"/>
      <c r="I603" s="136"/>
      <c r="J603" s="136"/>
      <c r="K603" s="451"/>
      <c r="L603" s="451"/>
      <c r="M603" s="136"/>
      <c r="N603" s="136"/>
      <c r="O603" s="136"/>
      <c r="P603" s="136"/>
      <c r="Q603" s="136"/>
      <c r="R603" s="136"/>
      <c r="S603" s="136"/>
      <c r="T603" s="136"/>
      <c r="U603" s="136"/>
      <c r="V603" s="136"/>
      <c r="W603" s="136"/>
    </row>
    <row r="604">
      <c r="A604" s="136"/>
      <c r="B604" s="136"/>
      <c r="C604" s="136"/>
      <c r="D604" s="136"/>
      <c r="E604" s="136"/>
      <c r="F604" s="136"/>
      <c r="G604" s="136"/>
      <c r="H604" s="136"/>
      <c r="I604" s="136"/>
      <c r="J604" s="136"/>
      <c r="K604" s="451"/>
      <c r="L604" s="451"/>
      <c r="M604" s="136"/>
      <c r="N604" s="136"/>
      <c r="O604" s="136"/>
      <c r="P604" s="136"/>
      <c r="Q604" s="136"/>
      <c r="R604" s="136"/>
      <c r="S604" s="136"/>
      <c r="T604" s="136"/>
      <c r="U604" s="136"/>
      <c r="V604" s="136"/>
      <c r="W604" s="136"/>
    </row>
    <row r="605">
      <c r="A605" s="136"/>
      <c r="B605" s="136"/>
      <c r="C605" s="136"/>
      <c r="D605" s="136"/>
      <c r="E605" s="136"/>
      <c r="F605" s="136"/>
      <c r="G605" s="136"/>
      <c r="H605" s="136"/>
      <c r="I605" s="136"/>
      <c r="J605" s="136"/>
      <c r="K605" s="451"/>
      <c r="L605" s="451"/>
      <c r="M605" s="136"/>
      <c r="N605" s="136"/>
      <c r="O605" s="136"/>
      <c r="P605" s="136"/>
      <c r="Q605" s="136"/>
      <c r="R605" s="136"/>
      <c r="S605" s="136"/>
      <c r="T605" s="136"/>
      <c r="U605" s="136"/>
      <c r="V605" s="136"/>
      <c r="W605" s="136"/>
    </row>
    <row r="606">
      <c r="A606" s="136"/>
      <c r="B606" s="136"/>
      <c r="C606" s="136"/>
      <c r="D606" s="136"/>
      <c r="E606" s="136"/>
      <c r="F606" s="136"/>
      <c r="G606" s="136"/>
      <c r="H606" s="136"/>
      <c r="I606" s="136"/>
      <c r="J606" s="136"/>
      <c r="K606" s="451"/>
      <c r="L606" s="451"/>
      <c r="M606" s="136"/>
      <c r="N606" s="136"/>
      <c r="O606" s="136"/>
      <c r="P606" s="136"/>
      <c r="Q606" s="136"/>
      <c r="R606" s="136"/>
      <c r="S606" s="136"/>
      <c r="T606" s="136"/>
      <c r="U606" s="136"/>
      <c r="V606" s="136"/>
      <c r="W606" s="136"/>
    </row>
    <row r="607">
      <c r="A607" s="136"/>
      <c r="B607" s="136"/>
      <c r="C607" s="136"/>
      <c r="D607" s="136"/>
      <c r="E607" s="136"/>
      <c r="F607" s="136"/>
      <c r="G607" s="136"/>
      <c r="H607" s="136"/>
      <c r="I607" s="136"/>
      <c r="J607" s="136"/>
      <c r="K607" s="451"/>
      <c r="L607" s="451"/>
      <c r="M607" s="136"/>
      <c r="N607" s="136"/>
      <c r="O607" s="136"/>
      <c r="P607" s="136"/>
      <c r="Q607" s="136"/>
      <c r="R607" s="136"/>
      <c r="S607" s="136"/>
      <c r="T607" s="136"/>
      <c r="U607" s="136"/>
      <c r="V607" s="136"/>
      <c r="W607" s="136"/>
    </row>
    <row r="608">
      <c r="A608" s="136"/>
      <c r="B608" s="136"/>
      <c r="C608" s="136"/>
      <c r="D608" s="136"/>
      <c r="E608" s="136"/>
      <c r="F608" s="136"/>
      <c r="G608" s="136"/>
      <c r="H608" s="136"/>
      <c r="I608" s="136"/>
      <c r="J608" s="136"/>
      <c r="K608" s="451"/>
      <c r="L608" s="451"/>
      <c r="M608" s="136"/>
      <c r="N608" s="136"/>
      <c r="O608" s="136"/>
      <c r="P608" s="136"/>
      <c r="Q608" s="136"/>
      <c r="R608" s="136"/>
      <c r="S608" s="136"/>
      <c r="T608" s="136"/>
      <c r="U608" s="136"/>
      <c r="V608" s="136"/>
      <c r="W608" s="136"/>
    </row>
    <row r="609">
      <c r="A609" s="136"/>
      <c r="B609" s="136"/>
      <c r="C609" s="136"/>
      <c r="D609" s="136"/>
      <c r="E609" s="136"/>
      <c r="F609" s="136"/>
      <c r="G609" s="136"/>
      <c r="H609" s="136"/>
      <c r="I609" s="136"/>
      <c r="J609" s="136"/>
      <c r="K609" s="451"/>
      <c r="L609" s="451"/>
      <c r="M609" s="136"/>
      <c r="N609" s="136"/>
      <c r="O609" s="136"/>
      <c r="P609" s="136"/>
      <c r="Q609" s="136"/>
      <c r="R609" s="136"/>
      <c r="S609" s="136"/>
      <c r="T609" s="136"/>
      <c r="U609" s="136"/>
      <c r="V609" s="136"/>
      <c r="W609" s="136"/>
    </row>
    <row r="610">
      <c r="A610" s="136"/>
      <c r="B610" s="136"/>
      <c r="C610" s="136"/>
      <c r="D610" s="136"/>
      <c r="E610" s="136"/>
      <c r="F610" s="136"/>
      <c r="G610" s="136"/>
      <c r="H610" s="136"/>
      <c r="I610" s="136"/>
      <c r="J610" s="136"/>
      <c r="K610" s="451"/>
      <c r="L610" s="451"/>
      <c r="M610" s="136"/>
      <c r="N610" s="136"/>
      <c r="O610" s="136"/>
      <c r="P610" s="136"/>
      <c r="Q610" s="136"/>
      <c r="R610" s="136"/>
      <c r="S610" s="136"/>
      <c r="T610" s="136"/>
      <c r="U610" s="136"/>
      <c r="V610" s="136"/>
      <c r="W610" s="136"/>
    </row>
    <row r="611">
      <c r="A611" s="136"/>
      <c r="B611" s="136"/>
      <c r="C611" s="136"/>
      <c r="D611" s="136"/>
      <c r="E611" s="136"/>
      <c r="F611" s="136"/>
      <c r="G611" s="136"/>
      <c r="H611" s="136"/>
      <c r="I611" s="136"/>
      <c r="J611" s="136"/>
      <c r="K611" s="451"/>
      <c r="L611" s="451"/>
      <c r="M611" s="136"/>
      <c r="N611" s="136"/>
      <c r="O611" s="136"/>
      <c r="P611" s="136"/>
      <c r="Q611" s="136"/>
      <c r="R611" s="136"/>
      <c r="S611" s="136"/>
      <c r="T611" s="136"/>
      <c r="U611" s="136"/>
      <c r="V611" s="136"/>
      <c r="W611" s="136"/>
    </row>
    <row r="612">
      <c r="A612" s="136"/>
      <c r="B612" s="136"/>
      <c r="C612" s="136"/>
      <c r="D612" s="136"/>
      <c r="E612" s="136"/>
      <c r="F612" s="136"/>
      <c r="G612" s="136"/>
      <c r="H612" s="136"/>
      <c r="I612" s="136"/>
      <c r="J612" s="136"/>
      <c r="K612" s="451"/>
      <c r="L612" s="451"/>
      <c r="M612" s="136"/>
      <c r="N612" s="136"/>
      <c r="O612" s="136"/>
      <c r="P612" s="136"/>
      <c r="Q612" s="136"/>
      <c r="R612" s="136"/>
      <c r="S612" s="136"/>
      <c r="T612" s="136"/>
      <c r="U612" s="136"/>
      <c r="V612" s="136"/>
      <c r="W612" s="136"/>
    </row>
    <row r="613">
      <c r="A613" s="136"/>
      <c r="B613" s="136"/>
      <c r="C613" s="136"/>
      <c r="D613" s="136"/>
      <c r="E613" s="136"/>
      <c r="F613" s="136"/>
      <c r="G613" s="136"/>
      <c r="H613" s="136"/>
      <c r="I613" s="136"/>
      <c r="J613" s="136"/>
      <c r="K613" s="451"/>
      <c r="L613" s="451"/>
      <c r="M613" s="136"/>
      <c r="N613" s="136"/>
      <c r="O613" s="136"/>
      <c r="P613" s="136"/>
      <c r="Q613" s="136"/>
      <c r="R613" s="136"/>
      <c r="S613" s="136"/>
      <c r="T613" s="136"/>
      <c r="U613" s="136"/>
      <c r="V613" s="136"/>
      <c r="W613" s="136"/>
    </row>
    <row r="614">
      <c r="A614" s="136"/>
      <c r="B614" s="136"/>
      <c r="C614" s="136"/>
      <c r="D614" s="136"/>
      <c r="E614" s="136"/>
      <c r="F614" s="136"/>
      <c r="G614" s="136"/>
      <c r="H614" s="136"/>
      <c r="I614" s="136"/>
      <c r="J614" s="136"/>
      <c r="K614" s="451"/>
      <c r="L614" s="451"/>
      <c r="M614" s="136"/>
      <c r="N614" s="136"/>
      <c r="O614" s="136"/>
      <c r="P614" s="136"/>
      <c r="Q614" s="136"/>
      <c r="R614" s="136"/>
      <c r="S614" s="136"/>
      <c r="T614" s="136"/>
      <c r="U614" s="136"/>
      <c r="V614" s="136"/>
      <c r="W614" s="136"/>
    </row>
    <row r="615">
      <c r="A615" s="136"/>
      <c r="B615" s="136"/>
      <c r="C615" s="136"/>
      <c r="D615" s="136"/>
      <c r="E615" s="136"/>
      <c r="F615" s="136"/>
      <c r="G615" s="136"/>
      <c r="H615" s="136"/>
      <c r="I615" s="136"/>
      <c r="J615" s="136"/>
      <c r="K615" s="451"/>
      <c r="L615" s="451"/>
      <c r="M615" s="136"/>
      <c r="N615" s="136"/>
      <c r="O615" s="136"/>
      <c r="P615" s="136"/>
      <c r="Q615" s="136"/>
      <c r="R615" s="136"/>
      <c r="S615" s="136"/>
      <c r="T615" s="136"/>
      <c r="U615" s="136"/>
      <c r="V615" s="136"/>
      <c r="W615" s="136"/>
    </row>
    <row r="616">
      <c r="A616" s="136"/>
      <c r="B616" s="136"/>
      <c r="C616" s="136"/>
      <c r="D616" s="136"/>
      <c r="E616" s="136"/>
      <c r="F616" s="136"/>
      <c r="G616" s="136"/>
      <c r="H616" s="136"/>
      <c r="I616" s="136"/>
      <c r="J616" s="136"/>
      <c r="K616" s="451"/>
      <c r="L616" s="451"/>
      <c r="M616" s="136"/>
      <c r="N616" s="136"/>
      <c r="O616" s="136"/>
      <c r="P616" s="136"/>
      <c r="Q616" s="136"/>
      <c r="R616" s="136"/>
      <c r="S616" s="136"/>
      <c r="T616" s="136"/>
      <c r="U616" s="136"/>
      <c r="V616" s="136"/>
      <c r="W616" s="136"/>
    </row>
    <row r="617">
      <c r="A617" s="136"/>
      <c r="B617" s="136"/>
      <c r="C617" s="136"/>
      <c r="D617" s="136"/>
      <c r="E617" s="136"/>
      <c r="F617" s="136"/>
      <c r="G617" s="136"/>
      <c r="H617" s="136"/>
      <c r="I617" s="136"/>
      <c r="J617" s="136"/>
      <c r="K617" s="451"/>
      <c r="L617" s="451"/>
      <c r="M617" s="136"/>
      <c r="N617" s="136"/>
      <c r="O617" s="136"/>
      <c r="P617" s="136"/>
      <c r="Q617" s="136"/>
      <c r="R617" s="136"/>
      <c r="S617" s="136"/>
      <c r="T617" s="136"/>
      <c r="U617" s="136"/>
      <c r="V617" s="136"/>
      <c r="W617" s="136"/>
    </row>
    <row r="618">
      <c r="A618" s="136"/>
      <c r="B618" s="136"/>
      <c r="C618" s="136"/>
      <c r="D618" s="136"/>
      <c r="E618" s="136"/>
      <c r="F618" s="136"/>
      <c r="G618" s="136"/>
      <c r="H618" s="136"/>
      <c r="I618" s="136"/>
      <c r="J618" s="136"/>
      <c r="K618" s="451"/>
      <c r="L618" s="451"/>
      <c r="M618" s="136"/>
      <c r="N618" s="136"/>
      <c r="O618" s="136"/>
      <c r="P618" s="136"/>
      <c r="Q618" s="136"/>
      <c r="R618" s="136"/>
      <c r="S618" s="136"/>
      <c r="T618" s="136"/>
      <c r="U618" s="136"/>
      <c r="V618" s="136"/>
      <c r="W618" s="136"/>
    </row>
    <row r="619">
      <c r="A619" s="136"/>
      <c r="B619" s="136"/>
      <c r="C619" s="136"/>
      <c r="D619" s="136"/>
      <c r="E619" s="136"/>
      <c r="F619" s="136"/>
      <c r="G619" s="136"/>
      <c r="H619" s="136"/>
      <c r="I619" s="136"/>
      <c r="J619" s="136"/>
      <c r="K619" s="451"/>
      <c r="L619" s="451"/>
      <c r="M619" s="136"/>
      <c r="N619" s="136"/>
      <c r="O619" s="136"/>
      <c r="P619" s="136"/>
      <c r="Q619" s="136"/>
      <c r="R619" s="136"/>
      <c r="S619" s="136"/>
      <c r="T619" s="136"/>
      <c r="U619" s="136"/>
      <c r="V619" s="136"/>
      <c r="W619" s="136"/>
    </row>
    <row r="620">
      <c r="A620" s="136"/>
      <c r="B620" s="136"/>
      <c r="C620" s="136"/>
      <c r="D620" s="136"/>
      <c r="E620" s="136"/>
      <c r="F620" s="136"/>
      <c r="G620" s="136"/>
      <c r="H620" s="136"/>
      <c r="I620" s="136"/>
      <c r="J620" s="136"/>
      <c r="K620" s="451"/>
      <c r="L620" s="451"/>
      <c r="M620" s="136"/>
      <c r="N620" s="136"/>
      <c r="O620" s="136"/>
      <c r="P620" s="136"/>
      <c r="Q620" s="136"/>
      <c r="R620" s="136"/>
      <c r="S620" s="136"/>
      <c r="T620" s="136"/>
      <c r="U620" s="136"/>
      <c r="V620" s="136"/>
      <c r="W620" s="136"/>
    </row>
    <row r="621">
      <c r="A621" s="136"/>
      <c r="B621" s="136"/>
      <c r="C621" s="136"/>
      <c r="D621" s="136"/>
      <c r="E621" s="136"/>
      <c r="F621" s="136"/>
      <c r="G621" s="136"/>
      <c r="H621" s="136"/>
      <c r="I621" s="136"/>
      <c r="J621" s="136"/>
      <c r="K621" s="451"/>
      <c r="L621" s="451"/>
      <c r="M621" s="136"/>
      <c r="N621" s="136"/>
      <c r="O621" s="136"/>
      <c r="P621" s="136"/>
      <c r="Q621" s="136"/>
      <c r="R621" s="136"/>
      <c r="S621" s="136"/>
      <c r="T621" s="136"/>
      <c r="U621" s="136"/>
      <c r="V621" s="136"/>
      <c r="W621" s="136"/>
    </row>
    <row r="622">
      <c r="A622" s="136"/>
      <c r="B622" s="136"/>
      <c r="C622" s="136"/>
      <c r="D622" s="136"/>
      <c r="E622" s="136"/>
      <c r="F622" s="136"/>
      <c r="G622" s="136"/>
      <c r="H622" s="136"/>
      <c r="I622" s="136"/>
      <c r="J622" s="136"/>
      <c r="K622" s="451"/>
      <c r="L622" s="451"/>
      <c r="M622" s="136"/>
      <c r="N622" s="136"/>
      <c r="O622" s="136"/>
      <c r="P622" s="136"/>
      <c r="Q622" s="136"/>
      <c r="R622" s="136"/>
      <c r="S622" s="136"/>
      <c r="T622" s="136"/>
      <c r="U622" s="136"/>
      <c r="V622" s="136"/>
      <c r="W622" s="136"/>
    </row>
    <row r="623">
      <c r="A623" s="136"/>
      <c r="B623" s="136"/>
      <c r="C623" s="136"/>
      <c r="D623" s="136"/>
      <c r="E623" s="136"/>
      <c r="F623" s="136"/>
      <c r="G623" s="136"/>
      <c r="H623" s="136"/>
      <c r="I623" s="136"/>
      <c r="J623" s="136"/>
      <c r="K623" s="451"/>
      <c r="L623" s="451"/>
      <c r="M623" s="136"/>
      <c r="N623" s="136"/>
      <c r="O623" s="136"/>
      <c r="P623" s="136"/>
      <c r="Q623" s="136"/>
      <c r="R623" s="136"/>
      <c r="S623" s="136"/>
      <c r="T623" s="136"/>
      <c r="U623" s="136"/>
      <c r="V623" s="136"/>
      <c r="W623" s="136"/>
    </row>
    <row r="624">
      <c r="A624" s="136"/>
      <c r="B624" s="136"/>
      <c r="C624" s="136"/>
      <c r="D624" s="136"/>
      <c r="E624" s="136"/>
      <c r="F624" s="136"/>
      <c r="G624" s="136"/>
      <c r="H624" s="136"/>
      <c r="I624" s="136"/>
      <c r="J624" s="136"/>
      <c r="K624" s="451"/>
      <c r="L624" s="451"/>
      <c r="M624" s="136"/>
      <c r="N624" s="136"/>
      <c r="O624" s="136"/>
      <c r="P624" s="136"/>
      <c r="Q624" s="136"/>
      <c r="R624" s="136"/>
      <c r="S624" s="136"/>
      <c r="T624" s="136"/>
      <c r="U624" s="136"/>
      <c r="V624" s="136"/>
      <c r="W624" s="136"/>
    </row>
    <row r="625">
      <c r="A625" s="136"/>
      <c r="B625" s="136"/>
      <c r="C625" s="136"/>
      <c r="D625" s="136"/>
      <c r="E625" s="136"/>
      <c r="F625" s="136"/>
      <c r="G625" s="136"/>
      <c r="H625" s="136"/>
      <c r="I625" s="136"/>
      <c r="J625" s="136"/>
      <c r="K625" s="451"/>
      <c r="L625" s="451"/>
      <c r="M625" s="136"/>
      <c r="N625" s="136"/>
      <c r="O625" s="136"/>
      <c r="P625" s="136"/>
      <c r="Q625" s="136"/>
      <c r="R625" s="136"/>
      <c r="S625" s="136"/>
      <c r="T625" s="136"/>
      <c r="U625" s="136"/>
      <c r="V625" s="136"/>
      <c r="W625" s="136"/>
    </row>
    <row r="626">
      <c r="A626" s="136"/>
      <c r="B626" s="136"/>
      <c r="C626" s="136"/>
      <c r="D626" s="136"/>
      <c r="E626" s="136"/>
      <c r="F626" s="136"/>
      <c r="G626" s="136"/>
      <c r="H626" s="136"/>
      <c r="I626" s="136"/>
      <c r="J626" s="136"/>
      <c r="K626" s="451"/>
      <c r="L626" s="451"/>
      <c r="M626" s="136"/>
      <c r="N626" s="136"/>
      <c r="O626" s="136"/>
      <c r="P626" s="136"/>
      <c r="Q626" s="136"/>
      <c r="R626" s="136"/>
      <c r="S626" s="136"/>
      <c r="T626" s="136"/>
      <c r="U626" s="136"/>
      <c r="V626" s="136"/>
      <c r="W626" s="136"/>
    </row>
    <row r="627">
      <c r="A627" s="136"/>
      <c r="B627" s="136"/>
      <c r="C627" s="136"/>
      <c r="D627" s="136"/>
      <c r="E627" s="136"/>
      <c r="F627" s="136"/>
      <c r="G627" s="136"/>
      <c r="H627" s="136"/>
      <c r="I627" s="136"/>
      <c r="J627" s="136"/>
      <c r="K627" s="451"/>
      <c r="L627" s="451"/>
      <c r="M627" s="136"/>
      <c r="N627" s="136"/>
      <c r="O627" s="136"/>
      <c r="P627" s="136"/>
      <c r="Q627" s="136"/>
      <c r="R627" s="136"/>
      <c r="S627" s="136"/>
      <c r="T627" s="136"/>
      <c r="U627" s="136"/>
      <c r="V627" s="136"/>
      <c r="W627" s="136"/>
    </row>
    <row r="628">
      <c r="A628" s="136"/>
      <c r="B628" s="136"/>
      <c r="C628" s="136"/>
      <c r="D628" s="136"/>
      <c r="E628" s="136"/>
      <c r="F628" s="136"/>
      <c r="G628" s="136"/>
      <c r="H628" s="136"/>
      <c r="I628" s="136"/>
      <c r="J628" s="136"/>
      <c r="K628" s="451"/>
      <c r="L628" s="451"/>
      <c r="M628" s="136"/>
      <c r="N628" s="136"/>
      <c r="O628" s="136"/>
      <c r="P628" s="136"/>
      <c r="Q628" s="136"/>
      <c r="R628" s="136"/>
      <c r="S628" s="136"/>
      <c r="T628" s="136"/>
      <c r="U628" s="136"/>
      <c r="V628" s="136"/>
      <c r="W628" s="136"/>
    </row>
    <row r="629">
      <c r="A629" s="136"/>
      <c r="B629" s="136"/>
      <c r="C629" s="136"/>
      <c r="D629" s="136"/>
      <c r="E629" s="136"/>
      <c r="F629" s="136"/>
      <c r="G629" s="136"/>
      <c r="H629" s="136"/>
      <c r="I629" s="136"/>
      <c r="J629" s="136"/>
      <c r="K629" s="451"/>
      <c r="L629" s="451"/>
      <c r="M629" s="136"/>
      <c r="N629" s="136"/>
      <c r="O629" s="136"/>
      <c r="P629" s="136"/>
      <c r="Q629" s="136"/>
      <c r="R629" s="136"/>
      <c r="S629" s="136"/>
      <c r="T629" s="136"/>
      <c r="U629" s="136"/>
      <c r="V629" s="136"/>
      <c r="W629" s="136"/>
    </row>
    <row r="630">
      <c r="A630" s="136"/>
      <c r="B630" s="136"/>
      <c r="C630" s="136"/>
      <c r="D630" s="136"/>
      <c r="E630" s="136"/>
      <c r="F630" s="136"/>
      <c r="G630" s="136"/>
      <c r="H630" s="136"/>
      <c r="I630" s="136"/>
      <c r="J630" s="136"/>
      <c r="K630" s="451"/>
      <c r="L630" s="451"/>
      <c r="M630" s="136"/>
      <c r="N630" s="136"/>
      <c r="O630" s="136"/>
      <c r="P630" s="136"/>
      <c r="Q630" s="136"/>
      <c r="R630" s="136"/>
      <c r="S630" s="136"/>
      <c r="T630" s="136"/>
      <c r="U630" s="136"/>
      <c r="V630" s="136"/>
      <c r="W630" s="136"/>
    </row>
    <row r="631">
      <c r="A631" s="136"/>
      <c r="B631" s="136"/>
      <c r="C631" s="136"/>
      <c r="D631" s="136"/>
      <c r="E631" s="136"/>
      <c r="F631" s="136"/>
      <c r="G631" s="136"/>
      <c r="H631" s="136"/>
      <c r="I631" s="136"/>
      <c r="J631" s="136"/>
      <c r="K631" s="451"/>
      <c r="L631" s="451"/>
      <c r="M631" s="136"/>
      <c r="N631" s="136"/>
      <c r="O631" s="136"/>
      <c r="P631" s="136"/>
      <c r="Q631" s="136"/>
      <c r="R631" s="136"/>
      <c r="S631" s="136"/>
      <c r="T631" s="136"/>
      <c r="U631" s="136"/>
      <c r="V631" s="136"/>
      <c r="W631" s="136"/>
    </row>
    <row r="632">
      <c r="A632" s="136"/>
      <c r="B632" s="136"/>
      <c r="C632" s="136"/>
      <c r="D632" s="136"/>
      <c r="E632" s="136"/>
      <c r="F632" s="136"/>
      <c r="G632" s="136"/>
      <c r="H632" s="136"/>
      <c r="I632" s="136"/>
      <c r="J632" s="136"/>
      <c r="K632" s="451"/>
      <c r="L632" s="451"/>
      <c r="M632" s="136"/>
      <c r="N632" s="136"/>
      <c r="O632" s="136"/>
      <c r="P632" s="136"/>
      <c r="Q632" s="136"/>
      <c r="R632" s="136"/>
      <c r="S632" s="136"/>
      <c r="T632" s="136"/>
      <c r="U632" s="136"/>
      <c r="V632" s="136"/>
      <c r="W632" s="136"/>
    </row>
    <row r="633">
      <c r="A633" s="136"/>
      <c r="B633" s="136"/>
      <c r="C633" s="136"/>
      <c r="D633" s="136"/>
      <c r="E633" s="136"/>
      <c r="F633" s="136"/>
      <c r="G633" s="136"/>
      <c r="H633" s="136"/>
      <c r="I633" s="136"/>
      <c r="J633" s="136"/>
      <c r="K633" s="451"/>
      <c r="L633" s="451"/>
      <c r="M633" s="136"/>
      <c r="N633" s="136"/>
      <c r="O633" s="136"/>
      <c r="P633" s="136"/>
      <c r="Q633" s="136"/>
      <c r="R633" s="136"/>
      <c r="S633" s="136"/>
      <c r="T633" s="136"/>
      <c r="U633" s="136"/>
      <c r="V633" s="136"/>
      <c r="W633" s="136"/>
    </row>
    <row r="634">
      <c r="A634" s="136"/>
      <c r="B634" s="136"/>
      <c r="C634" s="136"/>
      <c r="D634" s="136"/>
      <c r="E634" s="136"/>
      <c r="F634" s="136"/>
      <c r="G634" s="136"/>
      <c r="H634" s="136"/>
      <c r="I634" s="136"/>
      <c r="J634" s="136"/>
      <c r="K634" s="451"/>
      <c r="L634" s="451"/>
      <c r="M634" s="136"/>
      <c r="N634" s="136"/>
      <c r="O634" s="136"/>
      <c r="P634" s="136"/>
      <c r="Q634" s="136"/>
      <c r="R634" s="136"/>
      <c r="S634" s="136"/>
      <c r="T634" s="136"/>
      <c r="U634" s="136"/>
      <c r="V634" s="136"/>
      <c r="W634" s="136"/>
    </row>
    <row r="635">
      <c r="A635" s="136"/>
      <c r="B635" s="136"/>
      <c r="C635" s="136"/>
      <c r="D635" s="136"/>
      <c r="E635" s="136"/>
      <c r="F635" s="136"/>
      <c r="G635" s="136"/>
      <c r="H635" s="136"/>
      <c r="I635" s="136"/>
      <c r="J635" s="136"/>
      <c r="K635" s="451"/>
      <c r="L635" s="451"/>
      <c r="M635" s="136"/>
      <c r="N635" s="136"/>
      <c r="O635" s="136"/>
      <c r="P635" s="136"/>
      <c r="Q635" s="136"/>
      <c r="R635" s="136"/>
      <c r="S635" s="136"/>
      <c r="T635" s="136"/>
      <c r="U635" s="136"/>
      <c r="V635" s="136"/>
      <c r="W635" s="136"/>
    </row>
    <row r="636">
      <c r="A636" s="136"/>
      <c r="B636" s="136"/>
      <c r="C636" s="136"/>
      <c r="D636" s="136"/>
      <c r="E636" s="136"/>
      <c r="F636" s="136"/>
      <c r="G636" s="136"/>
      <c r="H636" s="136"/>
      <c r="I636" s="136"/>
      <c r="J636" s="136"/>
      <c r="K636" s="451"/>
      <c r="L636" s="451"/>
      <c r="M636" s="136"/>
      <c r="N636" s="136"/>
      <c r="O636" s="136"/>
      <c r="P636" s="136"/>
      <c r="Q636" s="136"/>
      <c r="R636" s="136"/>
      <c r="S636" s="136"/>
      <c r="T636" s="136"/>
      <c r="U636" s="136"/>
      <c r="V636" s="136"/>
      <c r="W636" s="136"/>
    </row>
    <row r="637">
      <c r="A637" s="136"/>
      <c r="B637" s="136"/>
      <c r="C637" s="136"/>
      <c r="D637" s="136"/>
      <c r="E637" s="136"/>
      <c r="F637" s="136"/>
      <c r="G637" s="136"/>
      <c r="H637" s="136"/>
      <c r="I637" s="136"/>
      <c r="J637" s="136"/>
      <c r="K637" s="451"/>
      <c r="L637" s="451"/>
      <c r="M637" s="136"/>
      <c r="N637" s="136"/>
      <c r="O637" s="136"/>
      <c r="P637" s="136"/>
      <c r="Q637" s="136"/>
      <c r="R637" s="136"/>
      <c r="S637" s="136"/>
      <c r="T637" s="136"/>
      <c r="U637" s="136"/>
      <c r="V637" s="136"/>
      <c r="W637" s="136"/>
    </row>
    <row r="638">
      <c r="A638" s="136"/>
      <c r="B638" s="136"/>
      <c r="C638" s="136"/>
      <c r="D638" s="136"/>
      <c r="E638" s="136"/>
      <c r="F638" s="136"/>
      <c r="G638" s="136"/>
      <c r="H638" s="136"/>
      <c r="I638" s="136"/>
      <c r="J638" s="136"/>
      <c r="K638" s="451"/>
      <c r="L638" s="451"/>
      <c r="M638" s="136"/>
      <c r="N638" s="136"/>
      <c r="O638" s="136"/>
      <c r="P638" s="136"/>
      <c r="Q638" s="136"/>
      <c r="R638" s="136"/>
      <c r="S638" s="136"/>
      <c r="T638" s="136"/>
      <c r="U638" s="136"/>
      <c r="V638" s="136"/>
      <c r="W638" s="136"/>
    </row>
    <row r="639">
      <c r="A639" s="136"/>
      <c r="B639" s="136"/>
      <c r="C639" s="136"/>
      <c r="D639" s="136"/>
      <c r="E639" s="136"/>
      <c r="F639" s="136"/>
      <c r="G639" s="136"/>
      <c r="H639" s="136"/>
      <c r="I639" s="136"/>
      <c r="J639" s="136"/>
      <c r="K639" s="451"/>
      <c r="L639" s="451"/>
      <c r="M639" s="136"/>
      <c r="N639" s="136"/>
      <c r="O639" s="136"/>
      <c r="P639" s="136"/>
      <c r="Q639" s="136"/>
      <c r="R639" s="136"/>
      <c r="S639" s="136"/>
      <c r="T639" s="136"/>
      <c r="U639" s="136"/>
      <c r="V639" s="136"/>
      <c r="W639" s="136"/>
    </row>
    <row r="640">
      <c r="A640" s="136"/>
      <c r="B640" s="136"/>
      <c r="C640" s="136"/>
      <c r="D640" s="136"/>
      <c r="E640" s="136"/>
      <c r="F640" s="136"/>
      <c r="G640" s="136"/>
      <c r="H640" s="136"/>
      <c r="I640" s="136"/>
      <c r="J640" s="136"/>
      <c r="K640" s="451"/>
      <c r="L640" s="451"/>
      <c r="M640" s="136"/>
      <c r="N640" s="136"/>
      <c r="O640" s="136"/>
      <c r="P640" s="136"/>
      <c r="Q640" s="136"/>
      <c r="R640" s="136"/>
      <c r="S640" s="136"/>
      <c r="T640" s="136"/>
      <c r="U640" s="136"/>
      <c r="V640" s="136"/>
      <c r="W640" s="136"/>
    </row>
    <row r="641">
      <c r="A641" s="136"/>
      <c r="B641" s="136"/>
      <c r="C641" s="136"/>
      <c r="D641" s="136"/>
      <c r="E641" s="136"/>
      <c r="F641" s="136"/>
      <c r="G641" s="136"/>
      <c r="H641" s="136"/>
      <c r="I641" s="136"/>
      <c r="J641" s="136"/>
      <c r="K641" s="451"/>
      <c r="L641" s="451"/>
      <c r="M641" s="136"/>
      <c r="N641" s="136"/>
      <c r="O641" s="136"/>
      <c r="P641" s="136"/>
      <c r="Q641" s="136"/>
      <c r="R641" s="136"/>
      <c r="S641" s="136"/>
      <c r="T641" s="136"/>
      <c r="U641" s="136"/>
      <c r="V641" s="136"/>
      <c r="W641" s="136"/>
    </row>
    <row r="642">
      <c r="A642" s="136"/>
      <c r="B642" s="136"/>
      <c r="C642" s="136"/>
      <c r="D642" s="136"/>
      <c r="E642" s="136"/>
      <c r="F642" s="136"/>
      <c r="G642" s="136"/>
      <c r="H642" s="136"/>
      <c r="I642" s="136"/>
      <c r="J642" s="136"/>
      <c r="K642" s="451"/>
      <c r="L642" s="451"/>
      <c r="M642" s="136"/>
      <c r="N642" s="136"/>
      <c r="O642" s="136"/>
      <c r="P642" s="136"/>
      <c r="Q642" s="136"/>
      <c r="R642" s="136"/>
      <c r="S642" s="136"/>
      <c r="T642" s="136"/>
      <c r="U642" s="136"/>
      <c r="V642" s="136"/>
      <c r="W642" s="136"/>
    </row>
    <row r="643">
      <c r="A643" s="136"/>
      <c r="B643" s="136"/>
      <c r="C643" s="136"/>
      <c r="D643" s="136"/>
      <c r="E643" s="136"/>
      <c r="F643" s="136"/>
      <c r="G643" s="136"/>
      <c r="H643" s="136"/>
      <c r="I643" s="136"/>
      <c r="J643" s="136"/>
      <c r="K643" s="451"/>
      <c r="L643" s="451"/>
      <c r="M643" s="136"/>
      <c r="N643" s="136"/>
      <c r="O643" s="136"/>
      <c r="P643" s="136"/>
      <c r="Q643" s="136"/>
      <c r="R643" s="136"/>
      <c r="S643" s="136"/>
      <c r="T643" s="136"/>
      <c r="U643" s="136"/>
      <c r="V643" s="136"/>
      <c r="W643" s="136"/>
    </row>
    <row r="644">
      <c r="A644" s="136"/>
      <c r="B644" s="136"/>
      <c r="C644" s="136"/>
      <c r="D644" s="136"/>
      <c r="E644" s="136"/>
      <c r="F644" s="136"/>
      <c r="G644" s="136"/>
      <c r="H644" s="136"/>
      <c r="I644" s="136"/>
      <c r="J644" s="136"/>
      <c r="K644" s="451"/>
      <c r="L644" s="451"/>
      <c r="M644" s="136"/>
      <c r="N644" s="136"/>
      <c r="O644" s="136"/>
      <c r="P644" s="136"/>
      <c r="Q644" s="136"/>
      <c r="R644" s="136"/>
      <c r="S644" s="136"/>
      <c r="T644" s="136"/>
      <c r="U644" s="136"/>
      <c r="V644" s="136"/>
      <c r="W644" s="136"/>
    </row>
    <row r="645">
      <c r="A645" s="136"/>
      <c r="B645" s="136"/>
      <c r="C645" s="136"/>
      <c r="D645" s="136"/>
      <c r="E645" s="136"/>
      <c r="F645" s="136"/>
      <c r="G645" s="136"/>
      <c r="H645" s="136"/>
      <c r="I645" s="136"/>
      <c r="J645" s="136"/>
      <c r="K645" s="451"/>
      <c r="L645" s="451"/>
      <c r="M645" s="136"/>
      <c r="N645" s="136"/>
      <c r="O645" s="136"/>
      <c r="P645" s="136"/>
      <c r="Q645" s="136"/>
      <c r="R645" s="136"/>
      <c r="S645" s="136"/>
      <c r="T645" s="136"/>
      <c r="U645" s="136"/>
      <c r="V645" s="136"/>
      <c r="W645" s="136"/>
    </row>
    <row r="646">
      <c r="A646" s="136"/>
      <c r="B646" s="136"/>
      <c r="C646" s="136"/>
      <c r="D646" s="136"/>
      <c r="E646" s="136"/>
      <c r="F646" s="136"/>
      <c r="G646" s="136"/>
      <c r="H646" s="136"/>
      <c r="I646" s="136"/>
      <c r="J646" s="136"/>
      <c r="K646" s="451"/>
      <c r="L646" s="451"/>
      <c r="M646" s="136"/>
      <c r="N646" s="136"/>
      <c r="O646" s="136"/>
      <c r="P646" s="136"/>
      <c r="Q646" s="136"/>
      <c r="R646" s="136"/>
      <c r="S646" s="136"/>
      <c r="T646" s="136"/>
      <c r="U646" s="136"/>
      <c r="V646" s="136"/>
      <c r="W646" s="136"/>
    </row>
    <row r="647">
      <c r="A647" s="136"/>
      <c r="B647" s="136"/>
      <c r="C647" s="136"/>
      <c r="D647" s="136"/>
      <c r="E647" s="136"/>
      <c r="F647" s="136"/>
      <c r="G647" s="136"/>
      <c r="H647" s="136"/>
      <c r="I647" s="136"/>
      <c r="J647" s="136"/>
      <c r="K647" s="451"/>
      <c r="L647" s="451"/>
      <c r="M647" s="136"/>
      <c r="N647" s="136"/>
      <c r="O647" s="136"/>
      <c r="P647" s="136"/>
      <c r="Q647" s="136"/>
      <c r="R647" s="136"/>
      <c r="S647" s="136"/>
      <c r="T647" s="136"/>
      <c r="U647" s="136"/>
      <c r="V647" s="136"/>
      <c r="W647" s="136"/>
    </row>
    <row r="648">
      <c r="A648" s="136"/>
      <c r="B648" s="136"/>
      <c r="C648" s="136"/>
      <c r="D648" s="136"/>
      <c r="E648" s="136"/>
      <c r="F648" s="136"/>
      <c r="G648" s="136"/>
      <c r="H648" s="136"/>
      <c r="I648" s="136"/>
      <c r="J648" s="136"/>
      <c r="K648" s="451"/>
      <c r="L648" s="451"/>
      <c r="M648" s="136"/>
      <c r="N648" s="136"/>
      <c r="O648" s="136"/>
      <c r="P648" s="136"/>
      <c r="Q648" s="136"/>
      <c r="R648" s="136"/>
      <c r="S648" s="136"/>
      <c r="T648" s="136"/>
      <c r="U648" s="136"/>
      <c r="V648" s="136"/>
      <c r="W648" s="136"/>
    </row>
    <row r="649">
      <c r="A649" s="136"/>
      <c r="B649" s="136"/>
      <c r="C649" s="136"/>
      <c r="D649" s="136"/>
      <c r="E649" s="136"/>
      <c r="F649" s="136"/>
      <c r="G649" s="136"/>
      <c r="H649" s="136"/>
      <c r="I649" s="136"/>
      <c r="J649" s="136"/>
      <c r="K649" s="451"/>
      <c r="L649" s="451"/>
      <c r="M649" s="136"/>
      <c r="N649" s="136"/>
      <c r="O649" s="136"/>
      <c r="P649" s="136"/>
      <c r="Q649" s="136"/>
      <c r="R649" s="136"/>
      <c r="S649" s="136"/>
      <c r="T649" s="136"/>
      <c r="U649" s="136"/>
      <c r="V649" s="136"/>
      <c r="W649" s="136"/>
    </row>
    <row r="650">
      <c r="A650" s="136"/>
      <c r="B650" s="136"/>
      <c r="C650" s="136"/>
      <c r="D650" s="136"/>
      <c r="E650" s="136"/>
      <c r="F650" s="136"/>
      <c r="G650" s="136"/>
      <c r="H650" s="136"/>
      <c r="I650" s="136"/>
      <c r="J650" s="136"/>
      <c r="K650" s="451"/>
      <c r="L650" s="451"/>
      <c r="M650" s="136"/>
      <c r="N650" s="136"/>
      <c r="O650" s="136"/>
      <c r="P650" s="136"/>
      <c r="Q650" s="136"/>
      <c r="R650" s="136"/>
      <c r="S650" s="136"/>
      <c r="T650" s="136"/>
      <c r="U650" s="136"/>
      <c r="V650" s="136"/>
      <c r="W650" s="136"/>
    </row>
    <row r="651">
      <c r="A651" s="136"/>
      <c r="B651" s="136"/>
      <c r="C651" s="136"/>
      <c r="D651" s="136"/>
      <c r="E651" s="136"/>
      <c r="F651" s="136"/>
      <c r="G651" s="136"/>
      <c r="H651" s="136"/>
      <c r="I651" s="136"/>
      <c r="J651" s="136"/>
      <c r="K651" s="451"/>
      <c r="L651" s="451"/>
      <c r="M651" s="136"/>
      <c r="N651" s="136"/>
      <c r="O651" s="136"/>
      <c r="P651" s="136"/>
      <c r="Q651" s="136"/>
      <c r="R651" s="136"/>
      <c r="S651" s="136"/>
      <c r="T651" s="136"/>
      <c r="U651" s="136"/>
      <c r="V651" s="136"/>
      <c r="W651" s="136"/>
    </row>
    <row r="652">
      <c r="A652" s="136"/>
      <c r="B652" s="136"/>
      <c r="C652" s="136"/>
      <c r="D652" s="136"/>
      <c r="E652" s="136"/>
      <c r="F652" s="136"/>
      <c r="G652" s="136"/>
      <c r="H652" s="136"/>
      <c r="I652" s="136"/>
      <c r="J652" s="136"/>
      <c r="K652" s="451"/>
      <c r="L652" s="451"/>
      <c r="M652" s="136"/>
      <c r="N652" s="136"/>
      <c r="O652" s="136"/>
      <c r="P652" s="136"/>
      <c r="Q652" s="136"/>
      <c r="R652" s="136"/>
      <c r="S652" s="136"/>
      <c r="T652" s="136"/>
      <c r="U652" s="136"/>
      <c r="V652" s="136"/>
      <c r="W652" s="136"/>
    </row>
    <row r="653">
      <c r="A653" s="136"/>
      <c r="B653" s="136"/>
      <c r="C653" s="136"/>
      <c r="D653" s="136"/>
      <c r="E653" s="136"/>
      <c r="F653" s="136"/>
      <c r="G653" s="136"/>
      <c r="H653" s="136"/>
      <c r="I653" s="136"/>
      <c r="J653" s="136"/>
      <c r="K653" s="451"/>
      <c r="L653" s="451"/>
      <c r="M653" s="136"/>
      <c r="N653" s="136"/>
      <c r="O653" s="136"/>
      <c r="P653" s="136"/>
      <c r="Q653" s="136"/>
      <c r="R653" s="136"/>
      <c r="S653" s="136"/>
      <c r="T653" s="136"/>
      <c r="U653" s="136"/>
      <c r="V653" s="136"/>
      <c r="W653" s="136"/>
    </row>
    <row r="654">
      <c r="A654" s="136"/>
      <c r="B654" s="136"/>
      <c r="C654" s="136"/>
      <c r="D654" s="136"/>
      <c r="E654" s="136"/>
      <c r="F654" s="136"/>
      <c r="G654" s="136"/>
      <c r="H654" s="136"/>
      <c r="I654" s="136"/>
      <c r="J654" s="136"/>
      <c r="K654" s="451"/>
      <c r="L654" s="451"/>
      <c r="M654" s="136"/>
      <c r="N654" s="136"/>
      <c r="O654" s="136"/>
      <c r="P654" s="136"/>
      <c r="Q654" s="136"/>
      <c r="R654" s="136"/>
      <c r="S654" s="136"/>
      <c r="T654" s="136"/>
      <c r="U654" s="136"/>
      <c r="V654" s="136"/>
      <c r="W654" s="136"/>
    </row>
    <row r="655">
      <c r="A655" s="136"/>
      <c r="B655" s="136"/>
      <c r="C655" s="136"/>
      <c r="D655" s="136"/>
      <c r="E655" s="136"/>
      <c r="F655" s="136"/>
      <c r="G655" s="136"/>
      <c r="H655" s="136"/>
      <c r="I655" s="136"/>
      <c r="J655" s="136"/>
      <c r="K655" s="451"/>
      <c r="L655" s="451"/>
      <c r="M655" s="136"/>
      <c r="N655" s="136"/>
      <c r="O655" s="136"/>
      <c r="P655" s="136"/>
      <c r="Q655" s="136"/>
      <c r="R655" s="136"/>
      <c r="S655" s="136"/>
      <c r="T655" s="136"/>
      <c r="U655" s="136"/>
      <c r="V655" s="136"/>
      <c r="W655" s="136"/>
    </row>
    <row r="656">
      <c r="A656" s="136"/>
      <c r="B656" s="136"/>
      <c r="C656" s="136"/>
      <c r="D656" s="136"/>
      <c r="E656" s="136"/>
      <c r="F656" s="136"/>
      <c r="G656" s="136"/>
      <c r="H656" s="136"/>
      <c r="I656" s="136"/>
      <c r="J656" s="136"/>
      <c r="K656" s="451"/>
      <c r="L656" s="451"/>
      <c r="M656" s="136"/>
      <c r="N656" s="136"/>
      <c r="O656" s="136"/>
      <c r="P656" s="136"/>
      <c r="Q656" s="136"/>
      <c r="R656" s="136"/>
      <c r="S656" s="136"/>
      <c r="T656" s="136"/>
      <c r="U656" s="136"/>
      <c r="V656" s="136"/>
      <c r="W656" s="136"/>
    </row>
    <row r="657">
      <c r="A657" s="136"/>
      <c r="B657" s="136"/>
      <c r="C657" s="136"/>
      <c r="D657" s="136"/>
      <c r="E657" s="136"/>
      <c r="F657" s="136"/>
      <c r="G657" s="136"/>
      <c r="H657" s="136"/>
      <c r="I657" s="136"/>
      <c r="J657" s="136"/>
      <c r="K657" s="451"/>
      <c r="L657" s="451"/>
      <c r="M657" s="136"/>
      <c r="N657" s="136"/>
      <c r="O657" s="136"/>
      <c r="P657" s="136"/>
      <c r="Q657" s="136"/>
      <c r="R657" s="136"/>
      <c r="S657" s="136"/>
      <c r="T657" s="136"/>
      <c r="U657" s="136"/>
      <c r="V657" s="136"/>
      <c r="W657" s="136"/>
    </row>
    <row r="658">
      <c r="A658" s="136"/>
      <c r="B658" s="136"/>
      <c r="C658" s="136"/>
      <c r="D658" s="136"/>
      <c r="E658" s="136"/>
      <c r="F658" s="136"/>
      <c r="G658" s="136"/>
      <c r="H658" s="136"/>
      <c r="I658" s="136"/>
      <c r="J658" s="136"/>
      <c r="K658" s="451"/>
      <c r="L658" s="451"/>
      <c r="M658" s="136"/>
      <c r="N658" s="136"/>
      <c r="O658" s="136"/>
      <c r="P658" s="136"/>
      <c r="Q658" s="136"/>
      <c r="R658" s="136"/>
      <c r="S658" s="136"/>
      <c r="T658" s="136"/>
      <c r="U658" s="136"/>
      <c r="V658" s="136"/>
      <c r="W658" s="136"/>
    </row>
    <row r="659">
      <c r="A659" s="136"/>
      <c r="B659" s="136"/>
      <c r="C659" s="136"/>
      <c r="D659" s="136"/>
      <c r="E659" s="136"/>
      <c r="F659" s="136"/>
      <c r="G659" s="136"/>
      <c r="H659" s="136"/>
      <c r="I659" s="136"/>
      <c r="J659" s="136"/>
      <c r="K659" s="451"/>
      <c r="L659" s="451"/>
      <c r="M659" s="136"/>
      <c r="N659" s="136"/>
      <c r="O659" s="136"/>
      <c r="P659" s="136"/>
      <c r="Q659" s="136"/>
      <c r="R659" s="136"/>
      <c r="S659" s="136"/>
      <c r="T659" s="136"/>
      <c r="U659" s="136"/>
      <c r="V659" s="136"/>
      <c r="W659" s="136"/>
    </row>
    <row r="660">
      <c r="A660" s="136"/>
      <c r="B660" s="136"/>
      <c r="C660" s="136"/>
      <c r="D660" s="136"/>
      <c r="E660" s="136"/>
      <c r="F660" s="136"/>
      <c r="G660" s="136"/>
      <c r="H660" s="136"/>
      <c r="I660" s="136"/>
      <c r="J660" s="136"/>
      <c r="K660" s="451"/>
      <c r="L660" s="451"/>
      <c r="M660" s="136"/>
      <c r="N660" s="136"/>
      <c r="O660" s="136"/>
      <c r="P660" s="136"/>
      <c r="Q660" s="136"/>
      <c r="R660" s="136"/>
      <c r="S660" s="136"/>
      <c r="T660" s="136"/>
      <c r="U660" s="136"/>
      <c r="V660" s="136"/>
      <c r="W660" s="136"/>
    </row>
    <row r="661">
      <c r="A661" s="136"/>
      <c r="B661" s="136"/>
      <c r="C661" s="136"/>
      <c r="D661" s="136"/>
      <c r="E661" s="136"/>
      <c r="F661" s="136"/>
      <c r="G661" s="136"/>
      <c r="H661" s="136"/>
      <c r="I661" s="136"/>
      <c r="J661" s="136"/>
      <c r="K661" s="451"/>
      <c r="L661" s="451"/>
      <c r="M661" s="136"/>
      <c r="N661" s="136"/>
      <c r="O661" s="136"/>
      <c r="P661" s="136"/>
      <c r="Q661" s="136"/>
      <c r="R661" s="136"/>
      <c r="S661" s="136"/>
      <c r="T661" s="136"/>
      <c r="U661" s="136"/>
      <c r="V661" s="136"/>
      <c r="W661" s="136"/>
    </row>
    <row r="662">
      <c r="A662" s="136"/>
      <c r="B662" s="136"/>
      <c r="C662" s="136"/>
      <c r="D662" s="136"/>
      <c r="E662" s="136"/>
      <c r="F662" s="136"/>
      <c r="G662" s="136"/>
      <c r="H662" s="136"/>
      <c r="I662" s="136"/>
      <c r="J662" s="136"/>
      <c r="K662" s="451"/>
      <c r="L662" s="451"/>
      <c r="M662" s="136"/>
      <c r="N662" s="136"/>
      <c r="O662" s="136"/>
      <c r="P662" s="136"/>
      <c r="Q662" s="136"/>
      <c r="R662" s="136"/>
      <c r="S662" s="136"/>
      <c r="T662" s="136"/>
      <c r="U662" s="136"/>
      <c r="V662" s="136"/>
      <c r="W662" s="136"/>
    </row>
    <row r="663">
      <c r="A663" s="136"/>
      <c r="B663" s="136"/>
      <c r="C663" s="136"/>
      <c r="D663" s="136"/>
      <c r="E663" s="136"/>
      <c r="F663" s="136"/>
      <c r="G663" s="136"/>
      <c r="H663" s="136"/>
      <c r="I663" s="136"/>
      <c r="J663" s="136"/>
      <c r="K663" s="451"/>
      <c r="L663" s="451"/>
      <c r="M663" s="136"/>
      <c r="N663" s="136"/>
      <c r="O663" s="136"/>
      <c r="P663" s="136"/>
      <c r="Q663" s="136"/>
      <c r="R663" s="136"/>
      <c r="S663" s="136"/>
      <c r="T663" s="136"/>
      <c r="U663" s="136"/>
      <c r="V663" s="136"/>
      <c r="W663" s="136"/>
    </row>
    <row r="664">
      <c r="A664" s="136"/>
      <c r="B664" s="136"/>
      <c r="C664" s="136"/>
      <c r="D664" s="136"/>
      <c r="E664" s="136"/>
      <c r="F664" s="136"/>
      <c r="G664" s="136"/>
      <c r="H664" s="136"/>
      <c r="I664" s="136"/>
      <c r="J664" s="136"/>
      <c r="K664" s="451"/>
      <c r="L664" s="451"/>
      <c r="M664" s="136"/>
      <c r="N664" s="136"/>
      <c r="O664" s="136"/>
      <c r="P664" s="136"/>
      <c r="Q664" s="136"/>
      <c r="R664" s="136"/>
      <c r="S664" s="136"/>
      <c r="T664" s="136"/>
      <c r="U664" s="136"/>
      <c r="V664" s="136"/>
      <c r="W664" s="136"/>
    </row>
    <row r="665">
      <c r="A665" s="136"/>
      <c r="B665" s="136"/>
      <c r="C665" s="136"/>
      <c r="D665" s="136"/>
      <c r="E665" s="136"/>
      <c r="F665" s="136"/>
      <c r="G665" s="136"/>
      <c r="H665" s="136"/>
      <c r="I665" s="136"/>
      <c r="J665" s="136"/>
      <c r="K665" s="451"/>
      <c r="L665" s="451"/>
      <c r="M665" s="136"/>
      <c r="N665" s="136"/>
      <c r="O665" s="136"/>
      <c r="P665" s="136"/>
      <c r="Q665" s="136"/>
      <c r="R665" s="136"/>
      <c r="S665" s="136"/>
      <c r="T665" s="136"/>
      <c r="U665" s="136"/>
      <c r="V665" s="136"/>
      <c r="W665" s="136"/>
    </row>
    <row r="666">
      <c r="A666" s="136"/>
      <c r="B666" s="136"/>
      <c r="C666" s="136"/>
      <c r="D666" s="136"/>
      <c r="E666" s="136"/>
      <c r="F666" s="136"/>
      <c r="G666" s="136"/>
      <c r="H666" s="136"/>
      <c r="I666" s="136"/>
      <c r="J666" s="136"/>
      <c r="K666" s="451"/>
      <c r="L666" s="451"/>
      <c r="M666" s="136"/>
      <c r="N666" s="136"/>
      <c r="O666" s="136"/>
      <c r="P666" s="136"/>
      <c r="Q666" s="136"/>
      <c r="R666" s="136"/>
      <c r="S666" s="136"/>
      <c r="T666" s="136"/>
      <c r="U666" s="136"/>
      <c r="V666" s="136"/>
      <c r="W666" s="136"/>
    </row>
    <row r="667">
      <c r="A667" s="136"/>
      <c r="B667" s="136"/>
      <c r="C667" s="136"/>
      <c r="D667" s="136"/>
      <c r="E667" s="136"/>
      <c r="F667" s="136"/>
      <c r="G667" s="136"/>
      <c r="H667" s="136"/>
      <c r="I667" s="136"/>
      <c r="J667" s="136"/>
      <c r="K667" s="451"/>
      <c r="L667" s="451"/>
      <c r="M667" s="136"/>
      <c r="N667" s="136"/>
      <c r="O667" s="136"/>
      <c r="P667" s="136"/>
      <c r="Q667" s="136"/>
      <c r="R667" s="136"/>
      <c r="S667" s="136"/>
      <c r="T667" s="136"/>
      <c r="U667" s="136"/>
      <c r="V667" s="136"/>
      <c r="W667" s="136"/>
    </row>
    <row r="668">
      <c r="A668" s="136"/>
      <c r="B668" s="136"/>
      <c r="C668" s="136"/>
      <c r="D668" s="136"/>
      <c r="E668" s="136"/>
      <c r="F668" s="136"/>
      <c r="G668" s="136"/>
      <c r="H668" s="136"/>
      <c r="I668" s="136"/>
      <c r="J668" s="136"/>
      <c r="K668" s="451"/>
      <c r="L668" s="451"/>
      <c r="M668" s="136"/>
      <c r="N668" s="136"/>
      <c r="O668" s="136"/>
      <c r="P668" s="136"/>
      <c r="Q668" s="136"/>
      <c r="R668" s="136"/>
      <c r="S668" s="136"/>
      <c r="T668" s="136"/>
      <c r="U668" s="136"/>
      <c r="V668" s="136"/>
      <c r="W668" s="136"/>
    </row>
    <row r="669">
      <c r="A669" s="136"/>
      <c r="B669" s="136"/>
      <c r="C669" s="136"/>
      <c r="D669" s="136"/>
      <c r="E669" s="136"/>
      <c r="F669" s="136"/>
      <c r="G669" s="136"/>
      <c r="H669" s="136"/>
      <c r="I669" s="136"/>
      <c r="J669" s="136"/>
      <c r="K669" s="451"/>
      <c r="L669" s="451"/>
      <c r="M669" s="136"/>
      <c r="N669" s="136"/>
      <c r="O669" s="136"/>
      <c r="P669" s="136"/>
      <c r="Q669" s="136"/>
      <c r="R669" s="136"/>
      <c r="S669" s="136"/>
      <c r="T669" s="136"/>
      <c r="U669" s="136"/>
      <c r="V669" s="136"/>
      <c r="W669" s="136"/>
    </row>
    <row r="670">
      <c r="A670" s="136"/>
      <c r="B670" s="136"/>
      <c r="C670" s="136"/>
      <c r="D670" s="136"/>
      <c r="E670" s="136"/>
      <c r="F670" s="136"/>
      <c r="G670" s="136"/>
      <c r="H670" s="136"/>
      <c r="I670" s="136"/>
      <c r="J670" s="136"/>
      <c r="K670" s="451"/>
      <c r="L670" s="451"/>
      <c r="M670" s="136"/>
      <c r="N670" s="136"/>
      <c r="O670" s="136"/>
      <c r="P670" s="136"/>
      <c r="Q670" s="136"/>
      <c r="R670" s="136"/>
      <c r="S670" s="136"/>
      <c r="T670" s="136"/>
      <c r="U670" s="136"/>
      <c r="V670" s="136"/>
      <c r="W670" s="136"/>
    </row>
    <row r="671">
      <c r="A671" s="136"/>
      <c r="B671" s="136"/>
      <c r="C671" s="136"/>
      <c r="D671" s="136"/>
      <c r="E671" s="136"/>
      <c r="F671" s="136"/>
      <c r="G671" s="136"/>
      <c r="H671" s="136"/>
      <c r="I671" s="136"/>
      <c r="J671" s="136"/>
      <c r="K671" s="451"/>
      <c r="L671" s="451"/>
      <c r="M671" s="136"/>
      <c r="N671" s="136"/>
      <c r="O671" s="136"/>
      <c r="P671" s="136"/>
      <c r="Q671" s="136"/>
      <c r="R671" s="136"/>
      <c r="S671" s="136"/>
      <c r="T671" s="136"/>
      <c r="U671" s="136"/>
      <c r="V671" s="136"/>
      <c r="W671" s="136"/>
    </row>
    <row r="672">
      <c r="A672" s="136"/>
      <c r="B672" s="136"/>
      <c r="C672" s="136"/>
      <c r="D672" s="136"/>
      <c r="E672" s="136"/>
      <c r="F672" s="136"/>
      <c r="G672" s="136"/>
      <c r="H672" s="136"/>
      <c r="I672" s="136"/>
      <c r="J672" s="136"/>
      <c r="K672" s="451"/>
      <c r="L672" s="451"/>
      <c r="M672" s="136"/>
      <c r="N672" s="136"/>
      <c r="O672" s="136"/>
      <c r="P672" s="136"/>
      <c r="Q672" s="136"/>
      <c r="R672" s="136"/>
      <c r="S672" s="136"/>
      <c r="T672" s="136"/>
      <c r="U672" s="136"/>
      <c r="V672" s="136"/>
      <c r="W672" s="136"/>
    </row>
    <row r="673">
      <c r="A673" s="136"/>
      <c r="B673" s="136"/>
      <c r="C673" s="136"/>
      <c r="D673" s="136"/>
      <c r="E673" s="136"/>
      <c r="F673" s="136"/>
      <c r="G673" s="136"/>
      <c r="H673" s="136"/>
      <c r="I673" s="136"/>
      <c r="J673" s="136"/>
      <c r="K673" s="451"/>
      <c r="L673" s="451"/>
      <c r="M673" s="136"/>
      <c r="N673" s="136"/>
      <c r="O673" s="136"/>
      <c r="P673" s="136"/>
      <c r="Q673" s="136"/>
      <c r="R673" s="136"/>
      <c r="S673" s="136"/>
      <c r="T673" s="136"/>
      <c r="U673" s="136"/>
      <c r="V673" s="136"/>
      <c r="W673" s="136"/>
    </row>
    <row r="674">
      <c r="A674" s="136"/>
      <c r="B674" s="136"/>
      <c r="C674" s="136"/>
      <c r="D674" s="136"/>
      <c r="E674" s="136"/>
      <c r="F674" s="136"/>
      <c r="G674" s="136"/>
      <c r="H674" s="136"/>
      <c r="I674" s="136"/>
      <c r="J674" s="136"/>
      <c r="K674" s="451"/>
      <c r="L674" s="451"/>
      <c r="M674" s="136"/>
      <c r="N674" s="136"/>
      <c r="O674" s="136"/>
      <c r="P674" s="136"/>
      <c r="Q674" s="136"/>
      <c r="R674" s="136"/>
      <c r="S674" s="136"/>
      <c r="T674" s="136"/>
      <c r="U674" s="136"/>
      <c r="V674" s="136"/>
      <c r="W674" s="136"/>
    </row>
    <row r="675">
      <c r="A675" s="136"/>
      <c r="B675" s="136"/>
      <c r="C675" s="136"/>
      <c r="D675" s="136"/>
      <c r="E675" s="136"/>
      <c r="F675" s="136"/>
      <c r="G675" s="136"/>
      <c r="H675" s="136"/>
      <c r="I675" s="136"/>
      <c r="J675" s="136"/>
      <c r="K675" s="451"/>
      <c r="L675" s="451"/>
      <c r="M675" s="136"/>
      <c r="N675" s="136"/>
      <c r="O675" s="136"/>
      <c r="P675" s="136"/>
      <c r="Q675" s="136"/>
      <c r="R675" s="136"/>
      <c r="S675" s="136"/>
      <c r="T675" s="136"/>
      <c r="U675" s="136"/>
      <c r="V675" s="136"/>
      <c r="W675" s="136"/>
    </row>
    <row r="676">
      <c r="A676" s="136"/>
      <c r="B676" s="136"/>
      <c r="C676" s="136"/>
      <c r="D676" s="136"/>
      <c r="E676" s="136"/>
      <c r="F676" s="136"/>
      <c r="G676" s="136"/>
      <c r="H676" s="136"/>
      <c r="I676" s="136"/>
      <c r="J676" s="136"/>
      <c r="K676" s="451"/>
      <c r="L676" s="451"/>
      <c r="M676" s="136"/>
      <c r="N676" s="136"/>
      <c r="O676" s="136"/>
      <c r="P676" s="136"/>
      <c r="Q676" s="136"/>
      <c r="R676" s="136"/>
      <c r="S676" s="136"/>
      <c r="T676" s="136"/>
      <c r="U676" s="136"/>
      <c r="V676" s="136"/>
      <c r="W676" s="136"/>
    </row>
    <row r="677">
      <c r="A677" s="136"/>
      <c r="B677" s="136"/>
      <c r="C677" s="136"/>
      <c r="D677" s="136"/>
      <c r="E677" s="136"/>
      <c r="F677" s="136"/>
      <c r="G677" s="136"/>
      <c r="H677" s="136"/>
      <c r="I677" s="136"/>
      <c r="J677" s="136"/>
      <c r="K677" s="451"/>
      <c r="L677" s="451"/>
      <c r="M677" s="136"/>
      <c r="N677" s="136"/>
      <c r="O677" s="136"/>
      <c r="P677" s="136"/>
      <c r="Q677" s="136"/>
      <c r="R677" s="136"/>
      <c r="S677" s="136"/>
      <c r="T677" s="136"/>
      <c r="U677" s="136"/>
      <c r="V677" s="136"/>
      <c r="W677" s="136"/>
    </row>
    <row r="678">
      <c r="A678" s="136"/>
      <c r="B678" s="136"/>
      <c r="C678" s="136"/>
      <c r="D678" s="136"/>
      <c r="E678" s="136"/>
      <c r="F678" s="136"/>
      <c r="G678" s="136"/>
      <c r="H678" s="136"/>
      <c r="I678" s="136"/>
      <c r="J678" s="136"/>
      <c r="K678" s="451"/>
      <c r="L678" s="451"/>
      <c r="M678" s="136"/>
      <c r="N678" s="136"/>
      <c r="O678" s="136"/>
      <c r="P678" s="136"/>
      <c r="Q678" s="136"/>
      <c r="R678" s="136"/>
      <c r="S678" s="136"/>
      <c r="T678" s="136"/>
      <c r="U678" s="136"/>
      <c r="V678" s="136"/>
      <c r="W678" s="136"/>
    </row>
    <row r="679">
      <c r="A679" s="136"/>
      <c r="B679" s="136"/>
      <c r="C679" s="136"/>
      <c r="D679" s="136"/>
      <c r="E679" s="136"/>
      <c r="F679" s="136"/>
      <c r="G679" s="136"/>
      <c r="H679" s="136"/>
      <c r="I679" s="136"/>
      <c r="J679" s="136"/>
      <c r="K679" s="451"/>
      <c r="L679" s="451"/>
      <c r="M679" s="136"/>
      <c r="N679" s="136"/>
      <c r="O679" s="136"/>
      <c r="P679" s="136"/>
      <c r="Q679" s="136"/>
      <c r="R679" s="136"/>
      <c r="S679" s="136"/>
      <c r="T679" s="136"/>
      <c r="U679" s="136"/>
      <c r="V679" s="136"/>
      <c r="W679" s="136"/>
    </row>
    <row r="680">
      <c r="A680" s="136"/>
      <c r="B680" s="136"/>
      <c r="C680" s="136"/>
      <c r="D680" s="136"/>
      <c r="E680" s="136"/>
      <c r="F680" s="136"/>
      <c r="G680" s="136"/>
      <c r="H680" s="136"/>
      <c r="I680" s="136"/>
      <c r="J680" s="136"/>
      <c r="K680" s="451"/>
      <c r="L680" s="451"/>
      <c r="M680" s="136"/>
      <c r="N680" s="136"/>
      <c r="O680" s="136"/>
      <c r="P680" s="136"/>
      <c r="Q680" s="136"/>
      <c r="R680" s="136"/>
      <c r="S680" s="136"/>
      <c r="T680" s="136"/>
      <c r="U680" s="136"/>
      <c r="V680" s="136"/>
      <c r="W680" s="136"/>
    </row>
    <row r="681">
      <c r="A681" s="136"/>
      <c r="B681" s="136"/>
      <c r="C681" s="136"/>
      <c r="D681" s="136"/>
      <c r="E681" s="136"/>
      <c r="F681" s="136"/>
      <c r="G681" s="136"/>
      <c r="H681" s="136"/>
      <c r="I681" s="136"/>
      <c r="J681" s="136"/>
      <c r="K681" s="451"/>
      <c r="L681" s="451"/>
      <c r="M681" s="136"/>
      <c r="N681" s="136"/>
      <c r="O681" s="136"/>
      <c r="P681" s="136"/>
      <c r="Q681" s="136"/>
      <c r="R681" s="136"/>
      <c r="S681" s="136"/>
      <c r="T681" s="136"/>
      <c r="U681" s="136"/>
      <c r="V681" s="136"/>
      <c r="W681" s="136"/>
    </row>
    <row r="682">
      <c r="A682" s="136"/>
      <c r="B682" s="136"/>
      <c r="C682" s="136"/>
      <c r="D682" s="136"/>
      <c r="E682" s="136"/>
      <c r="F682" s="136"/>
      <c r="G682" s="136"/>
      <c r="H682" s="136"/>
      <c r="I682" s="136"/>
      <c r="J682" s="136"/>
      <c r="K682" s="451"/>
      <c r="L682" s="451"/>
      <c r="M682" s="136"/>
      <c r="N682" s="136"/>
      <c r="O682" s="136"/>
      <c r="P682" s="136"/>
      <c r="Q682" s="136"/>
      <c r="R682" s="136"/>
      <c r="S682" s="136"/>
      <c r="T682" s="136"/>
      <c r="U682" s="136"/>
      <c r="V682" s="136"/>
      <c r="W682" s="136"/>
    </row>
    <row r="683">
      <c r="A683" s="136"/>
      <c r="B683" s="136"/>
      <c r="C683" s="136"/>
      <c r="D683" s="136"/>
      <c r="E683" s="136"/>
      <c r="F683" s="136"/>
      <c r="G683" s="136"/>
      <c r="H683" s="136"/>
      <c r="I683" s="136"/>
      <c r="J683" s="136"/>
      <c r="K683" s="451"/>
      <c r="L683" s="451"/>
      <c r="M683" s="136"/>
      <c r="N683" s="136"/>
      <c r="O683" s="136"/>
      <c r="P683" s="136"/>
      <c r="Q683" s="136"/>
      <c r="R683" s="136"/>
      <c r="S683" s="136"/>
      <c r="T683" s="136"/>
      <c r="U683" s="136"/>
      <c r="V683" s="136"/>
      <c r="W683" s="136"/>
    </row>
    <row r="684">
      <c r="A684" s="136"/>
      <c r="B684" s="136"/>
      <c r="C684" s="136"/>
      <c r="D684" s="136"/>
      <c r="E684" s="136"/>
      <c r="F684" s="136"/>
      <c r="G684" s="136"/>
      <c r="H684" s="136"/>
      <c r="I684" s="136"/>
      <c r="J684" s="136"/>
      <c r="K684" s="451"/>
      <c r="L684" s="451"/>
      <c r="M684" s="136"/>
      <c r="N684" s="136"/>
      <c r="O684" s="136"/>
      <c r="P684" s="136"/>
      <c r="Q684" s="136"/>
      <c r="R684" s="136"/>
      <c r="S684" s="136"/>
      <c r="T684" s="136"/>
      <c r="U684" s="136"/>
      <c r="V684" s="136"/>
      <c r="W684" s="136"/>
    </row>
    <row r="685">
      <c r="A685" s="136"/>
      <c r="B685" s="136"/>
      <c r="C685" s="136"/>
      <c r="D685" s="136"/>
      <c r="E685" s="136"/>
      <c r="F685" s="136"/>
      <c r="G685" s="136"/>
      <c r="H685" s="136"/>
      <c r="I685" s="136"/>
      <c r="J685" s="136"/>
      <c r="K685" s="451"/>
      <c r="L685" s="451"/>
      <c r="M685" s="136"/>
      <c r="N685" s="136"/>
      <c r="O685" s="136"/>
      <c r="P685" s="136"/>
      <c r="Q685" s="136"/>
      <c r="R685" s="136"/>
      <c r="S685" s="136"/>
      <c r="T685" s="136"/>
      <c r="U685" s="136"/>
      <c r="V685" s="136"/>
      <c r="W685" s="136"/>
    </row>
    <row r="686">
      <c r="A686" s="136"/>
      <c r="B686" s="136"/>
      <c r="C686" s="136"/>
      <c r="D686" s="136"/>
      <c r="E686" s="136"/>
      <c r="F686" s="136"/>
      <c r="G686" s="136"/>
      <c r="H686" s="136"/>
      <c r="I686" s="136"/>
      <c r="J686" s="136"/>
      <c r="K686" s="451"/>
      <c r="L686" s="451"/>
      <c r="M686" s="136"/>
      <c r="N686" s="136"/>
      <c r="O686" s="136"/>
      <c r="P686" s="136"/>
      <c r="Q686" s="136"/>
      <c r="R686" s="136"/>
      <c r="S686" s="136"/>
      <c r="T686" s="136"/>
      <c r="U686" s="136"/>
      <c r="V686" s="136"/>
      <c r="W686" s="136"/>
    </row>
    <row r="687">
      <c r="A687" s="136"/>
      <c r="B687" s="136"/>
      <c r="C687" s="136"/>
      <c r="D687" s="136"/>
      <c r="E687" s="136"/>
      <c r="F687" s="136"/>
      <c r="G687" s="136"/>
      <c r="H687" s="136"/>
      <c r="I687" s="136"/>
      <c r="J687" s="136"/>
      <c r="K687" s="451"/>
      <c r="L687" s="451"/>
      <c r="M687" s="136"/>
      <c r="N687" s="136"/>
      <c r="O687" s="136"/>
      <c r="P687" s="136"/>
      <c r="Q687" s="136"/>
      <c r="R687" s="136"/>
      <c r="S687" s="136"/>
      <c r="T687" s="136"/>
      <c r="U687" s="136"/>
      <c r="V687" s="136"/>
      <c r="W687" s="136"/>
    </row>
    <row r="688">
      <c r="A688" s="136"/>
      <c r="B688" s="136"/>
      <c r="C688" s="136"/>
      <c r="D688" s="136"/>
      <c r="E688" s="136"/>
      <c r="F688" s="136"/>
      <c r="G688" s="136"/>
      <c r="H688" s="136"/>
      <c r="I688" s="136"/>
      <c r="J688" s="136"/>
      <c r="K688" s="451"/>
      <c r="L688" s="451"/>
      <c r="M688" s="136"/>
      <c r="N688" s="136"/>
      <c r="O688" s="136"/>
      <c r="P688" s="136"/>
      <c r="Q688" s="136"/>
      <c r="R688" s="136"/>
      <c r="S688" s="136"/>
      <c r="T688" s="136"/>
      <c r="U688" s="136"/>
      <c r="V688" s="136"/>
      <c r="W688" s="136"/>
    </row>
    <row r="689">
      <c r="A689" s="136"/>
      <c r="B689" s="136"/>
      <c r="C689" s="136"/>
      <c r="D689" s="136"/>
      <c r="E689" s="136"/>
      <c r="F689" s="136"/>
      <c r="G689" s="136"/>
      <c r="H689" s="136"/>
      <c r="I689" s="136"/>
      <c r="J689" s="136"/>
      <c r="K689" s="451"/>
      <c r="L689" s="451"/>
      <c r="M689" s="136"/>
      <c r="N689" s="136"/>
      <c r="O689" s="136"/>
      <c r="P689" s="136"/>
      <c r="Q689" s="136"/>
      <c r="R689" s="136"/>
      <c r="S689" s="136"/>
      <c r="T689" s="136"/>
      <c r="U689" s="136"/>
      <c r="V689" s="136"/>
      <c r="W689" s="136"/>
    </row>
    <row r="690">
      <c r="A690" s="136"/>
      <c r="B690" s="136"/>
      <c r="C690" s="136"/>
      <c r="D690" s="136"/>
      <c r="E690" s="136"/>
      <c r="F690" s="136"/>
      <c r="G690" s="136"/>
      <c r="H690" s="136"/>
      <c r="I690" s="136"/>
      <c r="J690" s="136"/>
      <c r="K690" s="451"/>
      <c r="L690" s="451"/>
      <c r="M690" s="136"/>
      <c r="N690" s="136"/>
      <c r="O690" s="136"/>
      <c r="P690" s="136"/>
      <c r="Q690" s="136"/>
      <c r="R690" s="136"/>
      <c r="S690" s="136"/>
      <c r="T690" s="136"/>
      <c r="U690" s="136"/>
      <c r="V690" s="136"/>
      <c r="W690" s="136"/>
    </row>
    <row r="691">
      <c r="A691" s="136"/>
      <c r="B691" s="136"/>
      <c r="C691" s="136"/>
      <c r="D691" s="136"/>
      <c r="E691" s="136"/>
      <c r="F691" s="136"/>
      <c r="G691" s="136"/>
      <c r="H691" s="136"/>
      <c r="I691" s="136"/>
      <c r="J691" s="136"/>
      <c r="K691" s="451"/>
      <c r="L691" s="451"/>
      <c r="M691" s="136"/>
      <c r="N691" s="136"/>
      <c r="O691" s="136"/>
      <c r="P691" s="136"/>
      <c r="Q691" s="136"/>
      <c r="R691" s="136"/>
      <c r="S691" s="136"/>
      <c r="T691" s="136"/>
      <c r="U691" s="136"/>
      <c r="V691" s="136"/>
      <c r="W691" s="136"/>
    </row>
    <row r="692">
      <c r="A692" s="136"/>
      <c r="B692" s="136"/>
      <c r="C692" s="136"/>
      <c r="D692" s="136"/>
      <c r="E692" s="136"/>
      <c r="F692" s="136"/>
      <c r="G692" s="136"/>
      <c r="H692" s="136"/>
      <c r="I692" s="136"/>
      <c r="J692" s="136"/>
      <c r="K692" s="451"/>
      <c r="L692" s="451"/>
      <c r="M692" s="136"/>
      <c r="N692" s="136"/>
      <c r="O692" s="136"/>
      <c r="P692" s="136"/>
      <c r="Q692" s="136"/>
      <c r="R692" s="136"/>
      <c r="S692" s="136"/>
      <c r="T692" s="136"/>
      <c r="U692" s="136"/>
      <c r="V692" s="136"/>
      <c r="W692" s="136"/>
    </row>
    <row r="693">
      <c r="A693" s="136"/>
      <c r="B693" s="136"/>
      <c r="C693" s="136"/>
      <c r="D693" s="136"/>
      <c r="E693" s="136"/>
      <c r="F693" s="136"/>
      <c r="G693" s="136"/>
      <c r="H693" s="136"/>
      <c r="I693" s="136"/>
      <c r="J693" s="136"/>
      <c r="K693" s="451"/>
      <c r="L693" s="451"/>
      <c r="M693" s="136"/>
      <c r="N693" s="136"/>
      <c r="O693" s="136"/>
      <c r="P693" s="136"/>
      <c r="Q693" s="136"/>
      <c r="R693" s="136"/>
      <c r="S693" s="136"/>
      <c r="T693" s="136"/>
      <c r="U693" s="136"/>
      <c r="V693" s="136"/>
      <c r="W693" s="136"/>
    </row>
    <row r="694">
      <c r="A694" s="136"/>
      <c r="B694" s="136"/>
      <c r="C694" s="136"/>
      <c r="D694" s="136"/>
      <c r="E694" s="136"/>
      <c r="F694" s="136"/>
      <c r="G694" s="136"/>
      <c r="H694" s="136"/>
      <c r="I694" s="136"/>
      <c r="J694" s="136"/>
      <c r="K694" s="451"/>
      <c r="L694" s="451"/>
      <c r="M694" s="136"/>
      <c r="N694" s="136"/>
      <c r="O694" s="136"/>
      <c r="P694" s="136"/>
      <c r="Q694" s="136"/>
      <c r="R694" s="136"/>
      <c r="S694" s="136"/>
      <c r="T694" s="136"/>
      <c r="U694" s="136"/>
      <c r="V694" s="136"/>
      <c r="W694" s="136"/>
    </row>
    <row r="695">
      <c r="A695" s="136"/>
      <c r="B695" s="136"/>
      <c r="C695" s="136"/>
      <c r="D695" s="136"/>
      <c r="E695" s="136"/>
      <c r="F695" s="136"/>
      <c r="G695" s="136"/>
      <c r="H695" s="136"/>
      <c r="I695" s="136"/>
      <c r="J695" s="136"/>
      <c r="K695" s="451"/>
      <c r="L695" s="451"/>
      <c r="M695" s="136"/>
      <c r="N695" s="136"/>
      <c r="O695" s="136"/>
      <c r="P695" s="136"/>
      <c r="Q695" s="136"/>
      <c r="R695" s="136"/>
      <c r="S695" s="136"/>
      <c r="T695" s="136"/>
      <c r="U695" s="136"/>
      <c r="V695" s="136"/>
      <c r="W695" s="136"/>
    </row>
    <row r="696">
      <c r="A696" s="136"/>
      <c r="B696" s="136"/>
      <c r="C696" s="136"/>
      <c r="D696" s="136"/>
      <c r="E696" s="136"/>
      <c r="F696" s="136"/>
      <c r="G696" s="136"/>
      <c r="H696" s="136"/>
      <c r="I696" s="136"/>
      <c r="J696" s="136"/>
      <c r="K696" s="451"/>
      <c r="L696" s="451"/>
      <c r="M696" s="136"/>
      <c r="N696" s="136"/>
      <c r="O696" s="136"/>
      <c r="P696" s="136"/>
      <c r="Q696" s="136"/>
      <c r="R696" s="136"/>
      <c r="S696" s="136"/>
      <c r="T696" s="136"/>
      <c r="U696" s="136"/>
      <c r="V696" s="136"/>
      <c r="W696" s="136"/>
    </row>
    <row r="697">
      <c r="A697" s="136"/>
      <c r="B697" s="136"/>
      <c r="C697" s="136"/>
      <c r="D697" s="136"/>
      <c r="E697" s="136"/>
      <c r="F697" s="136"/>
      <c r="G697" s="136"/>
      <c r="H697" s="136"/>
      <c r="I697" s="136"/>
      <c r="J697" s="136"/>
      <c r="K697" s="451"/>
      <c r="L697" s="451"/>
      <c r="M697" s="136"/>
      <c r="N697" s="136"/>
      <c r="O697" s="136"/>
      <c r="P697" s="136"/>
      <c r="Q697" s="136"/>
      <c r="R697" s="136"/>
      <c r="S697" s="136"/>
      <c r="T697" s="136"/>
      <c r="U697" s="136"/>
      <c r="V697" s="136"/>
      <c r="W697" s="136"/>
    </row>
    <row r="698">
      <c r="A698" s="136"/>
      <c r="B698" s="136"/>
      <c r="C698" s="136"/>
      <c r="D698" s="136"/>
      <c r="E698" s="136"/>
      <c r="F698" s="136"/>
      <c r="G698" s="136"/>
      <c r="H698" s="136"/>
      <c r="I698" s="136"/>
      <c r="J698" s="136"/>
      <c r="K698" s="451"/>
      <c r="L698" s="451"/>
      <c r="M698" s="136"/>
      <c r="N698" s="136"/>
      <c r="O698" s="136"/>
      <c r="P698" s="136"/>
      <c r="Q698" s="136"/>
      <c r="R698" s="136"/>
      <c r="S698" s="136"/>
      <c r="T698" s="136"/>
      <c r="U698" s="136"/>
      <c r="V698" s="136"/>
      <c r="W698" s="136"/>
    </row>
    <row r="699">
      <c r="A699" s="136"/>
      <c r="B699" s="136"/>
      <c r="C699" s="136"/>
      <c r="D699" s="136"/>
      <c r="E699" s="136"/>
      <c r="F699" s="136"/>
      <c r="G699" s="136"/>
      <c r="H699" s="136"/>
      <c r="I699" s="136"/>
      <c r="J699" s="136"/>
      <c r="K699" s="451"/>
      <c r="L699" s="451"/>
      <c r="M699" s="136"/>
      <c r="N699" s="136"/>
      <c r="O699" s="136"/>
      <c r="P699" s="136"/>
      <c r="Q699" s="136"/>
      <c r="R699" s="136"/>
      <c r="S699" s="136"/>
      <c r="T699" s="136"/>
      <c r="U699" s="136"/>
      <c r="V699" s="136"/>
      <c r="W699" s="136"/>
    </row>
    <row r="700">
      <c r="A700" s="136"/>
      <c r="B700" s="136"/>
      <c r="C700" s="136"/>
      <c r="D700" s="136"/>
      <c r="E700" s="136"/>
      <c r="F700" s="136"/>
      <c r="G700" s="136"/>
      <c r="H700" s="136"/>
      <c r="I700" s="136"/>
      <c r="J700" s="136"/>
      <c r="K700" s="451"/>
      <c r="L700" s="451"/>
      <c r="M700" s="136"/>
      <c r="N700" s="136"/>
      <c r="O700" s="136"/>
      <c r="P700" s="136"/>
      <c r="Q700" s="136"/>
      <c r="R700" s="136"/>
      <c r="S700" s="136"/>
      <c r="T700" s="136"/>
      <c r="U700" s="136"/>
      <c r="V700" s="136"/>
      <c r="W700" s="136"/>
    </row>
    <row r="701">
      <c r="A701" s="136"/>
      <c r="B701" s="136"/>
      <c r="C701" s="136"/>
      <c r="D701" s="136"/>
      <c r="E701" s="136"/>
      <c r="F701" s="136"/>
      <c r="G701" s="136"/>
      <c r="H701" s="136"/>
      <c r="I701" s="136"/>
      <c r="J701" s="136"/>
      <c r="K701" s="451"/>
      <c r="L701" s="451"/>
      <c r="M701" s="136"/>
      <c r="N701" s="136"/>
      <c r="O701" s="136"/>
      <c r="P701" s="136"/>
      <c r="Q701" s="136"/>
      <c r="R701" s="136"/>
      <c r="S701" s="136"/>
      <c r="T701" s="136"/>
      <c r="U701" s="136"/>
      <c r="V701" s="136"/>
      <c r="W701" s="136"/>
    </row>
    <row r="702">
      <c r="A702" s="136"/>
      <c r="B702" s="136"/>
      <c r="C702" s="136"/>
      <c r="D702" s="136"/>
      <c r="E702" s="136"/>
      <c r="F702" s="136"/>
      <c r="G702" s="136"/>
      <c r="H702" s="136"/>
      <c r="I702" s="136"/>
      <c r="J702" s="136"/>
      <c r="K702" s="451"/>
      <c r="L702" s="451"/>
      <c r="M702" s="136"/>
      <c r="N702" s="136"/>
      <c r="O702" s="136"/>
      <c r="P702" s="136"/>
      <c r="Q702" s="136"/>
      <c r="R702" s="136"/>
      <c r="S702" s="136"/>
      <c r="T702" s="136"/>
      <c r="U702" s="136"/>
      <c r="V702" s="136"/>
      <c r="W702" s="136"/>
    </row>
    <row r="703">
      <c r="A703" s="136"/>
      <c r="B703" s="136"/>
      <c r="C703" s="136"/>
      <c r="D703" s="136"/>
      <c r="E703" s="136"/>
      <c r="F703" s="136"/>
      <c r="G703" s="136"/>
      <c r="H703" s="136"/>
      <c r="I703" s="136"/>
      <c r="J703" s="136"/>
      <c r="K703" s="451"/>
      <c r="L703" s="451"/>
      <c r="M703" s="136"/>
      <c r="N703" s="136"/>
      <c r="O703" s="136"/>
      <c r="P703" s="136"/>
      <c r="Q703" s="136"/>
      <c r="R703" s="136"/>
      <c r="S703" s="136"/>
      <c r="T703" s="136"/>
      <c r="U703" s="136"/>
      <c r="V703" s="136"/>
      <c r="W703" s="136"/>
    </row>
    <row r="704">
      <c r="A704" s="136"/>
      <c r="B704" s="136"/>
      <c r="C704" s="136"/>
      <c r="D704" s="136"/>
      <c r="E704" s="136"/>
      <c r="F704" s="136"/>
      <c r="G704" s="136"/>
      <c r="H704" s="136"/>
      <c r="I704" s="136"/>
      <c r="J704" s="136"/>
      <c r="K704" s="451"/>
      <c r="L704" s="451"/>
      <c r="M704" s="136"/>
      <c r="N704" s="136"/>
      <c r="O704" s="136"/>
      <c r="P704" s="136"/>
      <c r="Q704" s="136"/>
      <c r="R704" s="136"/>
      <c r="S704" s="136"/>
      <c r="T704" s="136"/>
      <c r="U704" s="136"/>
      <c r="V704" s="136"/>
      <c r="W704" s="136"/>
    </row>
    <row r="705">
      <c r="A705" s="136"/>
      <c r="B705" s="136"/>
      <c r="C705" s="136"/>
      <c r="D705" s="136"/>
      <c r="E705" s="136"/>
      <c r="F705" s="136"/>
      <c r="G705" s="136"/>
      <c r="H705" s="136"/>
      <c r="I705" s="136"/>
      <c r="J705" s="136"/>
      <c r="K705" s="451"/>
      <c r="L705" s="451"/>
      <c r="M705" s="136"/>
      <c r="N705" s="136"/>
      <c r="O705" s="136"/>
      <c r="P705" s="136"/>
      <c r="Q705" s="136"/>
      <c r="R705" s="136"/>
      <c r="S705" s="136"/>
      <c r="T705" s="136"/>
      <c r="U705" s="136"/>
      <c r="V705" s="136"/>
      <c r="W705" s="136"/>
    </row>
    <row r="706">
      <c r="A706" s="136"/>
      <c r="B706" s="136"/>
      <c r="C706" s="136"/>
      <c r="D706" s="136"/>
      <c r="E706" s="136"/>
      <c r="F706" s="136"/>
      <c r="G706" s="136"/>
      <c r="H706" s="136"/>
      <c r="I706" s="136"/>
      <c r="J706" s="136"/>
      <c r="K706" s="451"/>
      <c r="L706" s="451"/>
      <c r="M706" s="136"/>
      <c r="N706" s="136"/>
      <c r="O706" s="136"/>
      <c r="P706" s="136"/>
      <c r="Q706" s="136"/>
      <c r="R706" s="136"/>
      <c r="S706" s="136"/>
      <c r="T706" s="136"/>
      <c r="U706" s="136"/>
      <c r="V706" s="136"/>
      <c r="W706" s="136"/>
    </row>
    <row r="707">
      <c r="A707" s="136"/>
      <c r="B707" s="136"/>
      <c r="C707" s="136"/>
      <c r="D707" s="136"/>
      <c r="E707" s="136"/>
      <c r="F707" s="136"/>
      <c r="G707" s="136"/>
      <c r="H707" s="136"/>
      <c r="I707" s="136"/>
      <c r="J707" s="136"/>
      <c r="K707" s="451"/>
      <c r="L707" s="451"/>
      <c r="M707" s="136"/>
      <c r="N707" s="136"/>
      <c r="O707" s="136"/>
      <c r="P707" s="136"/>
      <c r="Q707" s="136"/>
      <c r="R707" s="136"/>
      <c r="S707" s="136"/>
      <c r="T707" s="136"/>
      <c r="U707" s="136"/>
      <c r="V707" s="136"/>
      <c r="W707" s="136"/>
    </row>
    <row r="708">
      <c r="A708" s="136"/>
      <c r="B708" s="136"/>
      <c r="C708" s="136"/>
      <c r="D708" s="136"/>
      <c r="E708" s="136"/>
      <c r="F708" s="136"/>
      <c r="G708" s="136"/>
      <c r="H708" s="136"/>
      <c r="I708" s="136"/>
      <c r="J708" s="136"/>
      <c r="K708" s="451"/>
      <c r="L708" s="451"/>
      <c r="M708" s="136"/>
      <c r="N708" s="136"/>
      <c r="O708" s="136"/>
      <c r="P708" s="136"/>
      <c r="Q708" s="136"/>
      <c r="R708" s="136"/>
      <c r="S708" s="136"/>
      <c r="T708" s="136"/>
      <c r="U708" s="136"/>
      <c r="V708" s="136"/>
      <c r="W708" s="136"/>
    </row>
    <row r="709">
      <c r="A709" s="136"/>
      <c r="B709" s="136"/>
      <c r="C709" s="136"/>
      <c r="D709" s="136"/>
      <c r="E709" s="136"/>
      <c r="F709" s="136"/>
      <c r="G709" s="136"/>
      <c r="H709" s="136"/>
      <c r="I709" s="136"/>
      <c r="J709" s="136"/>
      <c r="K709" s="451"/>
      <c r="L709" s="451"/>
      <c r="M709" s="136"/>
      <c r="N709" s="136"/>
      <c r="O709" s="136"/>
      <c r="P709" s="136"/>
      <c r="Q709" s="136"/>
      <c r="R709" s="136"/>
      <c r="S709" s="136"/>
      <c r="T709" s="136"/>
      <c r="U709" s="136"/>
      <c r="V709" s="136"/>
      <c r="W709" s="136"/>
    </row>
    <row r="710">
      <c r="A710" s="136"/>
      <c r="B710" s="136"/>
      <c r="C710" s="136"/>
      <c r="D710" s="136"/>
      <c r="E710" s="136"/>
      <c r="F710" s="136"/>
      <c r="G710" s="136"/>
      <c r="H710" s="136"/>
      <c r="I710" s="136"/>
      <c r="J710" s="136"/>
      <c r="K710" s="451"/>
      <c r="L710" s="451"/>
      <c r="M710" s="136"/>
      <c r="N710" s="136"/>
      <c r="O710" s="136"/>
      <c r="P710" s="136"/>
      <c r="Q710" s="136"/>
      <c r="R710" s="136"/>
      <c r="S710" s="136"/>
      <c r="T710" s="136"/>
      <c r="U710" s="136"/>
      <c r="V710" s="136"/>
      <c r="W710" s="136"/>
    </row>
    <row r="711">
      <c r="A711" s="136"/>
      <c r="B711" s="136"/>
      <c r="C711" s="136"/>
      <c r="D711" s="136"/>
      <c r="E711" s="136"/>
      <c r="F711" s="136"/>
      <c r="G711" s="136"/>
      <c r="H711" s="136"/>
      <c r="I711" s="136"/>
      <c r="J711" s="136"/>
      <c r="K711" s="451"/>
      <c r="L711" s="451"/>
      <c r="M711" s="136"/>
      <c r="N711" s="136"/>
      <c r="O711" s="136"/>
      <c r="P711" s="136"/>
      <c r="Q711" s="136"/>
      <c r="R711" s="136"/>
      <c r="S711" s="136"/>
      <c r="T711" s="136"/>
      <c r="U711" s="136"/>
      <c r="V711" s="136"/>
      <c r="W711" s="136"/>
    </row>
    <row r="712">
      <c r="A712" s="136"/>
      <c r="B712" s="136"/>
      <c r="C712" s="136"/>
      <c r="D712" s="136"/>
      <c r="E712" s="136"/>
      <c r="F712" s="136"/>
      <c r="G712" s="136"/>
      <c r="H712" s="136"/>
      <c r="I712" s="136"/>
      <c r="J712" s="136"/>
      <c r="K712" s="451"/>
      <c r="L712" s="451"/>
      <c r="M712" s="136"/>
      <c r="N712" s="136"/>
      <c r="O712" s="136"/>
      <c r="P712" s="136"/>
      <c r="Q712" s="136"/>
      <c r="R712" s="136"/>
      <c r="S712" s="136"/>
      <c r="T712" s="136"/>
      <c r="U712" s="136"/>
      <c r="V712" s="136"/>
      <c r="W712" s="136"/>
    </row>
    <row r="713">
      <c r="A713" s="136"/>
      <c r="B713" s="136"/>
      <c r="C713" s="136"/>
      <c r="D713" s="136"/>
      <c r="E713" s="136"/>
      <c r="F713" s="136"/>
      <c r="G713" s="136"/>
      <c r="H713" s="136"/>
      <c r="I713" s="136"/>
      <c r="J713" s="136"/>
      <c r="K713" s="451"/>
      <c r="L713" s="451"/>
      <c r="M713" s="136"/>
      <c r="N713" s="136"/>
      <c r="O713" s="136"/>
      <c r="P713" s="136"/>
      <c r="Q713" s="136"/>
      <c r="R713" s="136"/>
      <c r="S713" s="136"/>
      <c r="T713" s="136"/>
      <c r="U713" s="136"/>
      <c r="V713" s="136"/>
      <c r="W713" s="136"/>
    </row>
    <row r="714">
      <c r="A714" s="136"/>
      <c r="B714" s="136"/>
      <c r="C714" s="136"/>
      <c r="D714" s="136"/>
      <c r="E714" s="136"/>
      <c r="F714" s="136"/>
      <c r="G714" s="136"/>
      <c r="H714" s="136"/>
      <c r="I714" s="136"/>
      <c r="J714" s="136"/>
      <c r="K714" s="451"/>
      <c r="L714" s="451"/>
      <c r="M714" s="136"/>
      <c r="N714" s="136"/>
      <c r="O714" s="136"/>
      <c r="P714" s="136"/>
      <c r="Q714" s="136"/>
      <c r="R714" s="136"/>
      <c r="S714" s="136"/>
      <c r="T714" s="136"/>
      <c r="U714" s="136"/>
      <c r="V714" s="136"/>
      <c r="W714" s="136"/>
    </row>
    <row r="715">
      <c r="A715" s="136"/>
      <c r="B715" s="136"/>
      <c r="C715" s="136"/>
      <c r="D715" s="136"/>
      <c r="E715" s="136"/>
      <c r="F715" s="136"/>
      <c r="G715" s="136"/>
      <c r="H715" s="136"/>
      <c r="I715" s="136"/>
      <c r="J715" s="136"/>
      <c r="K715" s="451"/>
      <c r="L715" s="451"/>
      <c r="M715" s="136"/>
      <c r="N715" s="136"/>
      <c r="O715" s="136"/>
      <c r="P715" s="136"/>
      <c r="Q715" s="136"/>
      <c r="R715" s="136"/>
      <c r="S715" s="136"/>
      <c r="T715" s="136"/>
      <c r="U715" s="136"/>
      <c r="V715" s="136"/>
      <c r="W715" s="136"/>
    </row>
    <row r="716">
      <c r="A716" s="136"/>
      <c r="B716" s="136"/>
      <c r="C716" s="136"/>
      <c r="D716" s="136"/>
      <c r="E716" s="136"/>
      <c r="F716" s="136"/>
      <c r="G716" s="136"/>
      <c r="H716" s="136"/>
      <c r="I716" s="136"/>
      <c r="J716" s="136"/>
      <c r="K716" s="451"/>
      <c r="L716" s="451"/>
      <c r="M716" s="136"/>
      <c r="N716" s="136"/>
      <c r="O716" s="136"/>
      <c r="P716" s="136"/>
      <c r="Q716" s="136"/>
      <c r="R716" s="136"/>
      <c r="S716" s="136"/>
      <c r="T716" s="136"/>
      <c r="U716" s="136"/>
      <c r="V716" s="136"/>
      <c r="W716" s="136"/>
    </row>
    <row r="717">
      <c r="A717" s="136"/>
      <c r="B717" s="136"/>
      <c r="C717" s="136"/>
      <c r="D717" s="136"/>
      <c r="E717" s="136"/>
      <c r="F717" s="136"/>
      <c r="G717" s="136"/>
      <c r="H717" s="136"/>
      <c r="I717" s="136"/>
      <c r="J717" s="136"/>
      <c r="K717" s="451"/>
      <c r="L717" s="451"/>
      <c r="M717" s="136"/>
      <c r="N717" s="136"/>
      <c r="O717" s="136"/>
      <c r="P717" s="136"/>
      <c r="Q717" s="136"/>
      <c r="R717" s="136"/>
      <c r="S717" s="136"/>
      <c r="T717" s="136"/>
      <c r="U717" s="136"/>
      <c r="V717" s="136"/>
      <c r="W717" s="136"/>
    </row>
    <row r="718">
      <c r="A718" s="136"/>
      <c r="B718" s="136"/>
      <c r="C718" s="136"/>
      <c r="D718" s="136"/>
      <c r="E718" s="136"/>
      <c r="F718" s="136"/>
      <c r="G718" s="136"/>
      <c r="H718" s="136"/>
      <c r="I718" s="136"/>
      <c r="J718" s="136"/>
      <c r="K718" s="451"/>
      <c r="L718" s="451"/>
      <c r="M718" s="136"/>
      <c r="N718" s="136"/>
      <c r="O718" s="136"/>
      <c r="P718" s="136"/>
      <c r="Q718" s="136"/>
      <c r="R718" s="136"/>
      <c r="S718" s="136"/>
      <c r="T718" s="136"/>
      <c r="U718" s="136"/>
      <c r="V718" s="136"/>
      <c r="W718" s="136"/>
    </row>
    <row r="719">
      <c r="A719" s="136"/>
      <c r="B719" s="136"/>
      <c r="C719" s="136"/>
      <c r="D719" s="136"/>
      <c r="E719" s="136"/>
      <c r="F719" s="136"/>
      <c r="G719" s="136"/>
      <c r="H719" s="136"/>
      <c r="I719" s="136"/>
      <c r="J719" s="136"/>
      <c r="K719" s="451"/>
      <c r="L719" s="451"/>
      <c r="M719" s="136"/>
      <c r="N719" s="136"/>
      <c r="O719" s="136"/>
      <c r="P719" s="136"/>
      <c r="Q719" s="136"/>
      <c r="R719" s="136"/>
      <c r="S719" s="136"/>
      <c r="T719" s="136"/>
      <c r="U719" s="136"/>
      <c r="V719" s="136"/>
      <c r="W719" s="136"/>
    </row>
    <row r="720">
      <c r="A720" s="136"/>
      <c r="B720" s="136"/>
      <c r="C720" s="136"/>
      <c r="D720" s="136"/>
      <c r="E720" s="136"/>
      <c r="F720" s="136"/>
      <c r="G720" s="136"/>
      <c r="H720" s="136"/>
      <c r="I720" s="136"/>
      <c r="J720" s="136"/>
      <c r="K720" s="451"/>
      <c r="L720" s="451"/>
      <c r="M720" s="136"/>
      <c r="N720" s="136"/>
      <c r="O720" s="136"/>
      <c r="P720" s="136"/>
      <c r="Q720" s="136"/>
      <c r="R720" s="136"/>
      <c r="S720" s="136"/>
      <c r="T720" s="136"/>
      <c r="U720" s="136"/>
      <c r="V720" s="136"/>
      <c r="W720" s="136"/>
    </row>
    <row r="721">
      <c r="A721" s="136"/>
      <c r="B721" s="136"/>
      <c r="C721" s="136"/>
      <c r="D721" s="136"/>
      <c r="E721" s="136"/>
      <c r="F721" s="136"/>
      <c r="G721" s="136"/>
      <c r="H721" s="136"/>
      <c r="I721" s="136"/>
      <c r="J721" s="136"/>
      <c r="K721" s="451"/>
      <c r="L721" s="451"/>
      <c r="M721" s="136"/>
      <c r="N721" s="136"/>
      <c r="O721" s="136"/>
      <c r="P721" s="136"/>
      <c r="Q721" s="136"/>
      <c r="R721" s="136"/>
      <c r="S721" s="136"/>
      <c r="T721" s="136"/>
      <c r="U721" s="136"/>
      <c r="V721" s="136"/>
      <c r="W721" s="136"/>
    </row>
    <row r="722">
      <c r="A722" s="136"/>
      <c r="B722" s="136"/>
      <c r="C722" s="136"/>
      <c r="D722" s="136"/>
      <c r="E722" s="136"/>
      <c r="F722" s="136"/>
      <c r="G722" s="136"/>
      <c r="H722" s="136"/>
      <c r="I722" s="136"/>
      <c r="J722" s="136"/>
      <c r="K722" s="451"/>
      <c r="L722" s="451"/>
      <c r="M722" s="136"/>
      <c r="N722" s="136"/>
      <c r="O722" s="136"/>
      <c r="P722" s="136"/>
      <c r="Q722" s="136"/>
      <c r="R722" s="136"/>
      <c r="S722" s="136"/>
      <c r="T722" s="136"/>
      <c r="U722" s="136"/>
      <c r="V722" s="136"/>
      <c r="W722" s="136"/>
    </row>
    <row r="723">
      <c r="A723" s="136"/>
      <c r="B723" s="136"/>
      <c r="C723" s="136"/>
      <c r="D723" s="136"/>
      <c r="E723" s="136"/>
      <c r="F723" s="136"/>
      <c r="G723" s="136"/>
      <c r="H723" s="136"/>
      <c r="I723" s="136"/>
      <c r="J723" s="136"/>
      <c r="K723" s="451"/>
      <c r="L723" s="451"/>
      <c r="M723" s="136"/>
      <c r="N723" s="136"/>
      <c r="O723" s="136"/>
      <c r="P723" s="136"/>
      <c r="Q723" s="136"/>
      <c r="R723" s="136"/>
      <c r="S723" s="136"/>
      <c r="T723" s="136"/>
      <c r="U723" s="136"/>
      <c r="V723" s="136"/>
      <c r="W723" s="136"/>
    </row>
    <row r="724">
      <c r="A724" s="136"/>
      <c r="B724" s="136"/>
      <c r="C724" s="136"/>
      <c r="D724" s="136"/>
      <c r="E724" s="136"/>
      <c r="F724" s="136"/>
      <c r="G724" s="136"/>
      <c r="H724" s="136"/>
      <c r="I724" s="136"/>
      <c r="J724" s="136"/>
      <c r="K724" s="451"/>
      <c r="L724" s="451"/>
      <c r="M724" s="136"/>
      <c r="N724" s="136"/>
      <c r="O724" s="136"/>
      <c r="P724" s="136"/>
      <c r="Q724" s="136"/>
      <c r="R724" s="136"/>
      <c r="S724" s="136"/>
      <c r="T724" s="136"/>
      <c r="U724" s="136"/>
      <c r="V724" s="136"/>
      <c r="W724" s="136"/>
    </row>
    <row r="725">
      <c r="A725" s="136"/>
      <c r="B725" s="136"/>
      <c r="C725" s="136"/>
      <c r="D725" s="136"/>
      <c r="E725" s="136"/>
      <c r="F725" s="136"/>
      <c r="G725" s="136"/>
      <c r="H725" s="136"/>
      <c r="I725" s="136"/>
      <c r="J725" s="136"/>
      <c r="K725" s="451"/>
      <c r="L725" s="451"/>
      <c r="M725" s="136"/>
      <c r="N725" s="136"/>
      <c r="O725" s="136"/>
      <c r="P725" s="136"/>
      <c r="Q725" s="136"/>
      <c r="R725" s="136"/>
      <c r="S725" s="136"/>
      <c r="T725" s="136"/>
      <c r="U725" s="136"/>
      <c r="V725" s="136"/>
      <c r="W725" s="136"/>
    </row>
    <row r="726">
      <c r="A726" s="136"/>
      <c r="B726" s="136"/>
      <c r="C726" s="136"/>
      <c r="D726" s="136"/>
      <c r="E726" s="136"/>
      <c r="F726" s="136"/>
      <c r="G726" s="136"/>
      <c r="H726" s="136"/>
      <c r="I726" s="136"/>
      <c r="J726" s="136"/>
      <c r="K726" s="451"/>
      <c r="L726" s="451"/>
      <c r="M726" s="136"/>
      <c r="N726" s="136"/>
      <c r="O726" s="136"/>
      <c r="P726" s="136"/>
      <c r="Q726" s="136"/>
      <c r="R726" s="136"/>
      <c r="S726" s="136"/>
      <c r="T726" s="136"/>
      <c r="U726" s="136"/>
      <c r="V726" s="136"/>
      <c r="W726" s="136"/>
    </row>
    <row r="727">
      <c r="A727" s="136"/>
      <c r="B727" s="136"/>
      <c r="C727" s="136"/>
      <c r="D727" s="136"/>
      <c r="E727" s="136"/>
      <c r="F727" s="136"/>
      <c r="G727" s="136"/>
      <c r="H727" s="136"/>
      <c r="I727" s="136"/>
      <c r="J727" s="136"/>
      <c r="K727" s="451"/>
      <c r="L727" s="451"/>
      <c r="M727" s="136"/>
      <c r="N727" s="136"/>
      <c r="O727" s="136"/>
      <c r="P727" s="136"/>
      <c r="Q727" s="136"/>
      <c r="R727" s="136"/>
      <c r="S727" s="136"/>
      <c r="T727" s="136"/>
      <c r="U727" s="136"/>
      <c r="V727" s="136"/>
      <c r="W727" s="136"/>
    </row>
    <row r="728">
      <c r="A728" s="136"/>
      <c r="B728" s="136"/>
      <c r="C728" s="136"/>
      <c r="D728" s="136"/>
      <c r="E728" s="136"/>
      <c r="F728" s="136"/>
      <c r="G728" s="136"/>
      <c r="H728" s="136"/>
      <c r="I728" s="136"/>
      <c r="J728" s="136"/>
      <c r="K728" s="451"/>
      <c r="L728" s="451"/>
      <c r="M728" s="136"/>
      <c r="N728" s="136"/>
      <c r="O728" s="136"/>
      <c r="P728" s="136"/>
      <c r="Q728" s="136"/>
      <c r="R728" s="136"/>
      <c r="S728" s="136"/>
      <c r="T728" s="136"/>
      <c r="U728" s="136"/>
      <c r="V728" s="136"/>
      <c r="W728" s="136"/>
    </row>
    <row r="729">
      <c r="A729" s="136"/>
      <c r="B729" s="136"/>
      <c r="C729" s="136"/>
      <c r="D729" s="136"/>
      <c r="E729" s="136"/>
      <c r="F729" s="136"/>
      <c r="G729" s="136"/>
      <c r="H729" s="136"/>
      <c r="I729" s="136"/>
      <c r="J729" s="136"/>
      <c r="K729" s="451"/>
      <c r="L729" s="451"/>
      <c r="M729" s="136"/>
      <c r="N729" s="136"/>
      <c r="O729" s="136"/>
      <c r="P729" s="136"/>
      <c r="Q729" s="136"/>
      <c r="R729" s="136"/>
      <c r="S729" s="136"/>
      <c r="T729" s="136"/>
      <c r="U729" s="136"/>
      <c r="V729" s="136"/>
      <c r="W729" s="136"/>
    </row>
    <row r="730">
      <c r="A730" s="136"/>
      <c r="B730" s="136"/>
      <c r="C730" s="136"/>
      <c r="D730" s="136"/>
      <c r="E730" s="136"/>
      <c r="F730" s="136"/>
      <c r="G730" s="136"/>
      <c r="H730" s="136"/>
      <c r="I730" s="136"/>
      <c r="J730" s="136"/>
      <c r="K730" s="451"/>
      <c r="L730" s="451"/>
      <c r="M730" s="136"/>
      <c r="N730" s="136"/>
      <c r="O730" s="136"/>
      <c r="P730" s="136"/>
      <c r="Q730" s="136"/>
      <c r="R730" s="136"/>
      <c r="S730" s="136"/>
      <c r="T730" s="136"/>
      <c r="U730" s="136"/>
      <c r="V730" s="136"/>
      <c r="W730" s="136"/>
    </row>
    <row r="731">
      <c r="A731" s="136"/>
      <c r="B731" s="136"/>
      <c r="C731" s="136"/>
      <c r="D731" s="136"/>
      <c r="E731" s="136"/>
      <c r="F731" s="136"/>
      <c r="G731" s="136"/>
      <c r="H731" s="136"/>
      <c r="I731" s="136"/>
      <c r="J731" s="136"/>
      <c r="K731" s="451"/>
      <c r="L731" s="451"/>
      <c r="M731" s="136"/>
      <c r="N731" s="136"/>
      <c r="O731" s="136"/>
      <c r="P731" s="136"/>
      <c r="Q731" s="136"/>
      <c r="R731" s="136"/>
      <c r="S731" s="136"/>
      <c r="T731" s="136"/>
      <c r="U731" s="136"/>
      <c r="V731" s="136"/>
      <c r="W731" s="136"/>
    </row>
    <row r="732">
      <c r="A732" s="136"/>
      <c r="B732" s="136"/>
      <c r="C732" s="136"/>
      <c r="D732" s="136"/>
      <c r="E732" s="136"/>
      <c r="F732" s="136"/>
      <c r="G732" s="136"/>
      <c r="H732" s="136"/>
      <c r="I732" s="136"/>
      <c r="J732" s="136"/>
      <c r="K732" s="451"/>
      <c r="L732" s="451"/>
      <c r="M732" s="136"/>
      <c r="N732" s="136"/>
      <c r="O732" s="136"/>
      <c r="P732" s="136"/>
      <c r="Q732" s="136"/>
      <c r="R732" s="136"/>
      <c r="S732" s="136"/>
      <c r="T732" s="136"/>
      <c r="U732" s="136"/>
      <c r="V732" s="136"/>
      <c r="W732" s="136"/>
    </row>
    <row r="733">
      <c r="A733" s="136"/>
      <c r="B733" s="136"/>
      <c r="C733" s="136"/>
      <c r="D733" s="136"/>
      <c r="E733" s="136"/>
      <c r="F733" s="136"/>
      <c r="G733" s="136"/>
      <c r="H733" s="136"/>
      <c r="I733" s="136"/>
      <c r="J733" s="136"/>
      <c r="K733" s="451"/>
      <c r="L733" s="451"/>
      <c r="M733" s="136"/>
      <c r="N733" s="136"/>
      <c r="O733" s="136"/>
      <c r="P733" s="136"/>
      <c r="Q733" s="136"/>
      <c r="R733" s="136"/>
      <c r="S733" s="136"/>
      <c r="T733" s="136"/>
      <c r="U733" s="136"/>
      <c r="V733" s="136"/>
      <c r="W733" s="136"/>
    </row>
    <row r="734">
      <c r="A734" s="136"/>
      <c r="B734" s="136"/>
      <c r="C734" s="136"/>
      <c r="D734" s="136"/>
      <c r="E734" s="136"/>
      <c r="F734" s="136"/>
      <c r="G734" s="136"/>
      <c r="H734" s="136"/>
      <c r="I734" s="136"/>
      <c r="J734" s="136"/>
      <c r="K734" s="451"/>
      <c r="L734" s="451"/>
      <c r="M734" s="136"/>
      <c r="N734" s="136"/>
      <c r="O734" s="136"/>
      <c r="P734" s="136"/>
      <c r="Q734" s="136"/>
      <c r="R734" s="136"/>
      <c r="S734" s="136"/>
      <c r="T734" s="136"/>
      <c r="U734" s="136"/>
      <c r="V734" s="136"/>
      <c r="W734" s="136"/>
    </row>
    <row r="735">
      <c r="A735" s="136"/>
      <c r="B735" s="136"/>
      <c r="C735" s="136"/>
      <c r="D735" s="136"/>
      <c r="E735" s="136"/>
      <c r="F735" s="136"/>
      <c r="G735" s="136"/>
      <c r="H735" s="136"/>
      <c r="I735" s="136"/>
      <c r="J735" s="136"/>
      <c r="K735" s="451"/>
      <c r="L735" s="451"/>
      <c r="M735" s="136"/>
      <c r="N735" s="136"/>
      <c r="O735" s="136"/>
      <c r="P735" s="136"/>
      <c r="Q735" s="136"/>
      <c r="R735" s="136"/>
      <c r="S735" s="136"/>
      <c r="T735" s="136"/>
      <c r="U735" s="136"/>
      <c r="V735" s="136"/>
      <c r="W735" s="136"/>
    </row>
    <row r="736">
      <c r="A736" s="136"/>
      <c r="B736" s="136"/>
      <c r="C736" s="136"/>
      <c r="D736" s="136"/>
      <c r="E736" s="136"/>
      <c r="F736" s="136"/>
      <c r="G736" s="136"/>
      <c r="H736" s="136"/>
      <c r="I736" s="136"/>
      <c r="J736" s="136"/>
      <c r="K736" s="451"/>
      <c r="L736" s="451"/>
      <c r="M736" s="136"/>
      <c r="N736" s="136"/>
      <c r="O736" s="136"/>
      <c r="P736" s="136"/>
      <c r="Q736" s="136"/>
      <c r="R736" s="136"/>
      <c r="S736" s="136"/>
      <c r="T736" s="136"/>
      <c r="U736" s="136"/>
      <c r="V736" s="136"/>
      <c r="W736" s="136"/>
    </row>
    <row r="737">
      <c r="A737" s="136"/>
      <c r="B737" s="136"/>
      <c r="C737" s="136"/>
      <c r="D737" s="136"/>
      <c r="E737" s="136"/>
      <c r="F737" s="136"/>
      <c r="G737" s="136"/>
      <c r="H737" s="136"/>
      <c r="I737" s="136"/>
      <c r="J737" s="136"/>
      <c r="K737" s="451"/>
      <c r="L737" s="451"/>
      <c r="M737" s="136"/>
      <c r="N737" s="136"/>
      <c r="O737" s="136"/>
      <c r="P737" s="136"/>
      <c r="Q737" s="136"/>
      <c r="R737" s="136"/>
      <c r="S737" s="136"/>
      <c r="T737" s="136"/>
      <c r="U737" s="136"/>
      <c r="V737" s="136"/>
      <c r="W737" s="136"/>
    </row>
    <row r="738">
      <c r="A738" s="136"/>
      <c r="B738" s="136"/>
      <c r="C738" s="136"/>
      <c r="D738" s="136"/>
      <c r="E738" s="136"/>
      <c r="F738" s="136"/>
      <c r="G738" s="136"/>
      <c r="H738" s="136"/>
      <c r="I738" s="136"/>
      <c r="J738" s="136"/>
      <c r="K738" s="451"/>
      <c r="L738" s="451"/>
      <c r="M738" s="136"/>
      <c r="N738" s="136"/>
      <c r="O738" s="136"/>
      <c r="P738" s="136"/>
      <c r="Q738" s="136"/>
      <c r="R738" s="136"/>
      <c r="S738" s="136"/>
      <c r="T738" s="136"/>
      <c r="U738" s="136"/>
      <c r="V738" s="136"/>
      <c r="W738" s="136"/>
    </row>
    <row r="739">
      <c r="A739" s="136"/>
      <c r="B739" s="136"/>
      <c r="C739" s="136"/>
      <c r="D739" s="136"/>
      <c r="E739" s="136"/>
      <c r="F739" s="136"/>
      <c r="G739" s="136"/>
      <c r="H739" s="136"/>
      <c r="I739" s="136"/>
      <c r="J739" s="136"/>
      <c r="K739" s="451"/>
      <c r="L739" s="451"/>
      <c r="M739" s="136"/>
      <c r="N739" s="136"/>
      <c r="O739" s="136"/>
      <c r="P739" s="136"/>
      <c r="Q739" s="136"/>
      <c r="R739" s="136"/>
      <c r="S739" s="136"/>
      <c r="T739" s="136"/>
      <c r="U739" s="136"/>
      <c r="V739" s="136"/>
      <c r="W739" s="136"/>
    </row>
    <row r="740">
      <c r="A740" s="136"/>
      <c r="B740" s="136"/>
      <c r="C740" s="136"/>
      <c r="D740" s="136"/>
      <c r="E740" s="136"/>
      <c r="F740" s="136"/>
      <c r="G740" s="136"/>
      <c r="H740" s="136"/>
      <c r="I740" s="136"/>
      <c r="J740" s="136"/>
      <c r="K740" s="451"/>
      <c r="L740" s="451"/>
      <c r="M740" s="136"/>
      <c r="N740" s="136"/>
      <c r="O740" s="136"/>
      <c r="P740" s="136"/>
      <c r="Q740" s="136"/>
      <c r="R740" s="136"/>
      <c r="S740" s="136"/>
      <c r="T740" s="136"/>
      <c r="U740" s="136"/>
      <c r="V740" s="136"/>
      <c r="W740" s="136"/>
    </row>
    <row r="741">
      <c r="A741" s="136"/>
      <c r="B741" s="136"/>
      <c r="C741" s="136"/>
      <c r="D741" s="136"/>
      <c r="E741" s="136"/>
      <c r="F741" s="136"/>
      <c r="G741" s="136"/>
      <c r="H741" s="136"/>
      <c r="I741" s="136"/>
      <c r="J741" s="136"/>
      <c r="K741" s="451"/>
      <c r="L741" s="451"/>
      <c r="M741" s="136"/>
      <c r="N741" s="136"/>
      <c r="O741" s="136"/>
      <c r="P741" s="136"/>
      <c r="Q741" s="136"/>
      <c r="R741" s="136"/>
      <c r="S741" s="136"/>
      <c r="T741" s="136"/>
      <c r="U741" s="136"/>
      <c r="V741" s="136"/>
      <c r="W741" s="136"/>
    </row>
    <row r="742">
      <c r="A742" s="136"/>
      <c r="B742" s="136"/>
      <c r="C742" s="136"/>
      <c r="D742" s="136"/>
      <c r="E742" s="136"/>
      <c r="F742" s="136"/>
      <c r="G742" s="136"/>
      <c r="H742" s="136"/>
      <c r="I742" s="136"/>
      <c r="J742" s="136"/>
      <c r="K742" s="451"/>
      <c r="L742" s="451"/>
      <c r="M742" s="136"/>
      <c r="N742" s="136"/>
      <c r="O742" s="136"/>
      <c r="P742" s="136"/>
      <c r="Q742" s="136"/>
      <c r="R742" s="136"/>
      <c r="S742" s="136"/>
      <c r="T742" s="136"/>
      <c r="U742" s="136"/>
      <c r="V742" s="136"/>
      <c r="W742" s="136"/>
    </row>
    <row r="743">
      <c r="A743" s="136"/>
      <c r="B743" s="136"/>
      <c r="C743" s="136"/>
      <c r="D743" s="136"/>
      <c r="E743" s="136"/>
      <c r="F743" s="136"/>
      <c r="G743" s="136"/>
      <c r="H743" s="136"/>
      <c r="I743" s="136"/>
      <c r="J743" s="136"/>
      <c r="K743" s="451"/>
      <c r="L743" s="451"/>
      <c r="M743" s="136"/>
      <c r="N743" s="136"/>
      <c r="O743" s="136"/>
      <c r="P743" s="136"/>
      <c r="Q743" s="136"/>
      <c r="R743" s="136"/>
      <c r="S743" s="136"/>
      <c r="T743" s="136"/>
      <c r="U743" s="136"/>
      <c r="V743" s="136"/>
      <c r="W743" s="136"/>
    </row>
    <row r="744">
      <c r="A744" s="136"/>
      <c r="B744" s="136"/>
      <c r="C744" s="136"/>
      <c r="D744" s="136"/>
      <c r="E744" s="136"/>
      <c r="F744" s="136"/>
      <c r="G744" s="136"/>
      <c r="H744" s="136"/>
      <c r="I744" s="136"/>
      <c r="J744" s="136"/>
      <c r="K744" s="451"/>
      <c r="L744" s="451"/>
      <c r="M744" s="136"/>
      <c r="N744" s="136"/>
      <c r="O744" s="136"/>
      <c r="P744" s="136"/>
      <c r="Q744" s="136"/>
      <c r="R744" s="136"/>
      <c r="S744" s="136"/>
      <c r="T744" s="136"/>
      <c r="U744" s="136"/>
      <c r="V744" s="136"/>
      <c r="W744" s="136"/>
    </row>
    <row r="745">
      <c r="A745" s="136"/>
      <c r="B745" s="136"/>
      <c r="C745" s="136"/>
      <c r="D745" s="136"/>
      <c r="E745" s="136"/>
      <c r="F745" s="136"/>
      <c r="G745" s="136"/>
      <c r="H745" s="136"/>
      <c r="I745" s="136"/>
      <c r="J745" s="136"/>
      <c r="K745" s="451"/>
      <c r="L745" s="451"/>
      <c r="M745" s="136"/>
      <c r="N745" s="136"/>
      <c r="O745" s="136"/>
      <c r="P745" s="136"/>
      <c r="Q745" s="136"/>
      <c r="R745" s="136"/>
      <c r="S745" s="136"/>
      <c r="T745" s="136"/>
      <c r="U745" s="136"/>
      <c r="V745" s="136"/>
      <c r="W745" s="136"/>
    </row>
    <row r="746">
      <c r="A746" s="136"/>
      <c r="B746" s="136"/>
      <c r="C746" s="136"/>
      <c r="D746" s="136"/>
      <c r="E746" s="136"/>
      <c r="F746" s="136"/>
      <c r="G746" s="136"/>
      <c r="H746" s="136"/>
      <c r="I746" s="136"/>
      <c r="J746" s="136"/>
      <c r="K746" s="451"/>
      <c r="L746" s="451"/>
      <c r="M746" s="136"/>
      <c r="N746" s="136"/>
      <c r="O746" s="136"/>
      <c r="P746" s="136"/>
      <c r="Q746" s="136"/>
      <c r="R746" s="136"/>
      <c r="S746" s="136"/>
      <c r="T746" s="136"/>
      <c r="U746" s="136"/>
      <c r="V746" s="136"/>
      <c r="W746" s="136"/>
    </row>
    <row r="747">
      <c r="A747" s="136"/>
      <c r="B747" s="136"/>
      <c r="C747" s="136"/>
      <c r="D747" s="136"/>
      <c r="E747" s="136"/>
      <c r="F747" s="136"/>
      <c r="G747" s="136"/>
      <c r="H747" s="136"/>
      <c r="I747" s="136"/>
      <c r="J747" s="136"/>
      <c r="K747" s="451"/>
      <c r="L747" s="451"/>
      <c r="M747" s="136"/>
      <c r="N747" s="136"/>
      <c r="O747" s="136"/>
      <c r="P747" s="136"/>
      <c r="Q747" s="136"/>
      <c r="R747" s="136"/>
      <c r="S747" s="136"/>
      <c r="T747" s="136"/>
      <c r="U747" s="136"/>
      <c r="V747" s="136"/>
      <c r="W747" s="136"/>
    </row>
    <row r="748">
      <c r="A748" s="136"/>
      <c r="B748" s="136"/>
      <c r="C748" s="136"/>
      <c r="D748" s="136"/>
      <c r="E748" s="136"/>
      <c r="F748" s="136"/>
      <c r="G748" s="136"/>
      <c r="H748" s="136"/>
      <c r="I748" s="136"/>
      <c r="J748" s="136"/>
      <c r="K748" s="451"/>
      <c r="L748" s="451"/>
      <c r="M748" s="136"/>
      <c r="N748" s="136"/>
      <c r="O748" s="136"/>
      <c r="P748" s="136"/>
      <c r="Q748" s="136"/>
      <c r="R748" s="136"/>
      <c r="S748" s="136"/>
      <c r="T748" s="136"/>
      <c r="U748" s="136"/>
      <c r="V748" s="136"/>
      <c r="W748" s="136"/>
    </row>
    <row r="749">
      <c r="A749" s="136"/>
      <c r="B749" s="136"/>
      <c r="C749" s="136"/>
      <c r="D749" s="136"/>
      <c r="E749" s="136"/>
      <c r="F749" s="136"/>
      <c r="G749" s="136"/>
      <c r="H749" s="136"/>
      <c r="I749" s="136"/>
      <c r="J749" s="136"/>
      <c r="K749" s="451"/>
      <c r="L749" s="451"/>
      <c r="M749" s="136"/>
      <c r="N749" s="136"/>
      <c r="O749" s="136"/>
      <c r="P749" s="136"/>
      <c r="Q749" s="136"/>
      <c r="R749" s="136"/>
      <c r="S749" s="136"/>
      <c r="T749" s="136"/>
      <c r="U749" s="136"/>
      <c r="V749" s="136"/>
      <c r="W749" s="136"/>
    </row>
    <row r="750">
      <c r="A750" s="136"/>
      <c r="B750" s="136"/>
      <c r="C750" s="136"/>
      <c r="D750" s="136"/>
      <c r="E750" s="136"/>
      <c r="F750" s="136"/>
      <c r="G750" s="136"/>
      <c r="H750" s="136"/>
      <c r="I750" s="136"/>
      <c r="J750" s="136"/>
      <c r="K750" s="451"/>
      <c r="L750" s="451"/>
      <c r="M750" s="136"/>
      <c r="N750" s="136"/>
      <c r="O750" s="136"/>
      <c r="P750" s="136"/>
      <c r="Q750" s="136"/>
      <c r="R750" s="136"/>
      <c r="S750" s="136"/>
      <c r="T750" s="136"/>
      <c r="U750" s="136"/>
      <c r="V750" s="136"/>
      <c r="W750" s="136"/>
    </row>
    <row r="751">
      <c r="A751" s="136"/>
      <c r="B751" s="136"/>
      <c r="C751" s="136"/>
      <c r="D751" s="136"/>
      <c r="E751" s="136"/>
      <c r="F751" s="136"/>
      <c r="G751" s="136"/>
      <c r="H751" s="136"/>
      <c r="I751" s="136"/>
      <c r="J751" s="136"/>
      <c r="K751" s="451"/>
      <c r="L751" s="451"/>
      <c r="M751" s="136"/>
      <c r="N751" s="136"/>
      <c r="O751" s="136"/>
      <c r="P751" s="136"/>
      <c r="Q751" s="136"/>
      <c r="R751" s="136"/>
      <c r="S751" s="136"/>
      <c r="T751" s="136"/>
      <c r="U751" s="136"/>
      <c r="V751" s="136"/>
      <c r="W751" s="136"/>
    </row>
    <row r="752">
      <c r="A752" s="136"/>
      <c r="B752" s="136"/>
      <c r="C752" s="136"/>
      <c r="D752" s="136"/>
      <c r="E752" s="136"/>
      <c r="F752" s="136"/>
      <c r="G752" s="136"/>
      <c r="H752" s="136"/>
      <c r="I752" s="136"/>
      <c r="J752" s="136"/>
      <c r="K752" s="451"/>
      <c r="L752" s="451"/>
      <c r="M752" s="136"/>
      <c r="N752" s="136"/>
      <c r="O752" s="136"/>
      <c r="P752" s="136"/>
      <c r="Q752" s="136"/>
      <c r="R752" s="136"/>
      <c r="S752" s="136"/>
      <c r="T752" s="136"/>
      <c r="U752" s="136"/>
      <c r="V752" s="136"/>
      <c r="W752" s="136"/>
    </row>
    <row r="753">
      <c r="A753" s="136"/>
      <c r="B753" s="136"/>
      <c r="C753" s="136"/>
      <c r="D753" s="136"/>
      <c r="E753" s="136"/>
      <c r="F753" s="136"/>
      <c r="G753" s="136"/>
      <c r="H753" s="136"/>
      <c r="I753" s="136"/>
      <c r="J753" s="136"/>
      <c r="K753" s="451"/>
      <c r="L753" s="451"/>
      <c r="M753" s="136"/>
      <c r="N753" s="136"/>
      <c r="O753" s="136"/>
      <c r="P753" s="136"/>
      <c r="Q753" s="136"/>
      <c r="R753" s="136"/>
      <c r="S753" s="136"/>
      <c r="T753" s="136"/>
      <c r="U753" s="136"/>
      <c r="V753" s="136"/>
      <c r="W753" s="136"/>
    </row>
    <row r="754">
      <c r="A754" s="136"/>
      <c r="B754" s="136"/>
      <c r="C754" s="136"/>
      <c r="D754" s="136"/>
      <c r="E754" s="136"/>
      <c r="F754" s="136"/>
      <c r="G754" s="136"/>
      <c r="H754" s="136"/>
      <c r="I754" s="136"/>
      <c r="J754" s="136"/>
      <c r="K754" s="451"/>
      <c r="L754" s="451"/>
      <c r="M754" s="136"/>
      <c r="N754" s="136"/>
      <c r="O754" s="136"/>
      <c r="P754" s="136"/>
      <c r="Q754" s="136"/>
      <c r="R754" s="136"/>
      <c r="S754" s="136"/>
      <c r="T754" s="136"/>
      <c r="U754" s="136"/>
      <c r="V754" s="136"/>
      <c r="W754" s="136"/>
    </row>
    <row r="755">
      <c r="A755" s="136"/>
      <c r="B755" s="136"/>
      <c r="C755" s="136"/>
      <c r="D755" s="136"/>
      <c r="E755" s="136"/>
      <c r="F755" s="136"/>
      <c r="G755" s="136"/>
      <c r="H755" s="136"/>
      <c r="I755" s="136"/>
      <c r="J755" s="136"/>
      <c r="K755" s="451"/>
      <c r="L755" s="451"/>
      <c r="M755" s="136"/>
      <c r="N755" s="136"/>
      <c r="O755" s="136"/>
      <c r="P755" s="136"/>
      <c r="Q755" s="136"/>
      <c r="R755" s="136"/>
      <c r="S755" s="136"/>
      <c r="T755" s="136"/>
      <c r="U755" s="136"/>
      <c r="V755" s="136"/>
      <c r="W755" s="136"/>
    </row>
    <row r="756">
      <c r="A756" s="136"/>
      <c r="B756" s="136"/>
      <c r="C756" s="136"/>
      <c r="D756" s="136"/>
      <c r="E756" s="136"/>
      <c r="F756" s="136"/>
      <c r="G756" s="136"/>
      <c r="H756" s="136"/>
      <c r="I756" s="136"/>
      <c r="J756" s="136"/>
      <c r="K756" s="451"/>
      <c r="L756" s="451"/>
      <c r="M756" s="136"/>
      <c r="N756" s="136"/>
      <c r="O756" s="136"/>
      <c r="P756" s="136"/>
      <c r="Q756" s="136"/>
      <c r="R756" s="136"/>
      <c r="S756" s="136"/>
      <c r="T756" s="136"/>
      <c r="U756" s="136"/>
      <c r="V756" s="136"/>
      <c r="W756" s="136"/>
    </row>
    <row r="757">
      <c r="A757" s="136"/>
      <c r="B757" s="136"/>
      <c r="C757" s="136"/>
      <c r="D757" s="136"/>
      <c r="E757" s="136"/>
      <c r="F757" s="136"/>
      <c r="G757" s="136"/>
      <c r="H757" s="136"/>
      <c r="I757" s="136"/>
      <c r="J757" s="136"/>
      <c r="K757" s="451"/>
      <c r="L757" s="451"/>
      <c r="M757" s="136"/>
      <c r="N757" s="136"/>
      <c r="O757" s="136"/>
      <c r="P757" s="136"/>
      <c r="Q757" s="136"/>
      <c r="R757" s="136"/>
      <c r="S757" s="136"/>
      <c r="T757" s="136"/>
      <c r="U757" s="136"/>
      <c r="V757" s="136"/>
      <c r="W757" s="136"/>
    </row>
    <row r="758">
      <c r="A758" s="136"/>
      <c r="B758" s="136"/>
      <c r="C758" s="136"/>
      <c r="D758" s="136"/>
      <c r="E758" s="136"/>
      <c r="F758" s="136"/>
      <c r="G758" s="136"/>
      <c r="H758" s="136"/>
      <c r="I758" s="136"/>
      <c r="J758" s="136"/>
      <c r="K758" s="451"/>
      <c r="L758" s="451"/>
      <c r="M758" s="136"/>
      <c r="N758" s="136"/>
      <c r="O758" s="136"/>
      <c r="P758" s="136"/>
      <c r="Q758" s="136"/>
      <c r="R758" s="136"/>
      <c r="S758" s="136"/>
      <c r="T758" s="136"/>
      <c r="U758" s="136"/>
      <c r="V758" s="136"/>
      <c r="W758" s="136"/>
    </row>
    <row r="759">
      <c r="A759" s="136"/>
      <c r="B759" s="136"/>
      <c r="C759" s="136"/>
      <c r="D759" s="136"/>
      <c r="E759" s="136"/>
      <c r="F759" s="136"/>
      <c r="G759" s="136"/>
      <c r="H759" s="136"/>
      <c r="I759" s="136"/>
      <c r="J759" s="136"/>
      <c r="K759" s="451"/>
      <c r="L759" s="451"/>
      <c r="M759" s="136"/>
      <c r="N759" s="136"/>
      <c r="O759" s="136"/>
      <c r="P759" s="136"/>
      <c r="Q759" s="136"/>
      <c r="R759" s="136"/>
      <c r="S759" s="136"/>
      <c r="T759" s="136"/>
      <c r="U759" s="136"/>
      <c r="V759" s="136"/>
      <c r="W759" s="136"/>
    </row>
    <row r="760">
      <c r="A760" s="136"/>
      <c r="B760" s="136"/>
      <c r="C760" s="136"/>
      <c r="D760" s="136"/>
      <c r="E760" s="136"/>
      <c r="F760" s="136"/>
      <c r="G760" s="136"/>
      <c r="H760" s="136"/>
      <c r="I760" s="136"/>
      <c r="J760" s="136"/>
      <c r="K760" s="451"/>
      <c r="L760" s="451"/>
      <c r="M760" s="136"/>
      <c r="N760" s="136"/>
      <c r="O760" s="136"/>
      <c r="P760" s="136"/>
      <c r="Q760" s="136"/>
      <c r="R760" s="136"/>
      <c r="S760" s="136"/>
      <c r="T760" s="136"/>
      <c r="U760" s="136"/>
      <c r="V760" s="136"/>
      <c r="W760" s="136"/>
    </row>
    <row r="761">
      <c r="A761" s="136"/>
      <c r="B761" s="136"/>
      <c r="C761" s="136"/>
      <c r="D761" s="136"/>
      <c r="E761" s="136"/>
      <c r="F761" s="136"/>
      <c r="G761" s="136"/>
      <c r="H761" s="136"/>
      <c r="I761" s="136"/>
      <c r="J761" s="136"/>
      <c r="K761" s="451"/>
      <c r="L761" s="451"/>
      <c r="M761" s="136"/>
      <c r="N761" s="136"/>
      <c r="O761" s="136"/>
      <c r="P761" s="136"/>
      <c r="Q761" s="136"/>
      <c r="R761" s="136"/>
      <c r="S761" s="136"/>
      <c r="T761" s="136"/>
      <c r="U761" s="136"/>
      <c r="V761" s="136"/>
      <c r="W761" s="136"/>
    </row>
    <row r="762">
      <c r="A762" s="136"/>
      <c r="B762" s="136"/>
      <c r="C762" s="136"/>
      <c r="D762" s="136"/>
      <c r="E762" s="136"/>
      <c r="F762" s="136"/>
      <c r="G762" s="136"/>
      <c r="H762" s="136"/>
      <c r="I762" s="136"/>
      <c r="J762" s="136"/>
      <c r="K762" s="451"/>
      <c r="L762" s="451"/>
      <c r="M762" s="136"/>
      <c r="N762" s="136"/>
      <c r="O762" s="136"/>
      <c r="P762" s="136"/>
      <c r="Q762" s="136"/>
      <c r="R762" s="136"/>
      <c r="S762" s="136"/>
      <c r="T762" s="136"/>
      <c r="U762" s="136"/>
      <c r="V762" s="136"/>
      <c r="W762" s="136"/>
    </row>
    <row r="763">
      <c r="A763" s="136"/>
      <c r="B763" s="136"/>
      <c r="C763" s="136"/>
      <c r="D763" s="136"/>
      <c r="E763" s="136"/>
      <c r="F763" s="136"/>
      <c r="G763" s="136"/>
      <c r="H763" s="136"/>
      <c r="I763" s="136"/>
      <c r="J763" s="136"/>
      <c r="K763" s="451"/>
      <c r="L763" s="451"/>
      <c r="M763" s="136"/>
      <c r="N763" s="136"/>
      <c r="O763" s="136"/>
      <c r="P763" s="136"/>
      <c r="Q763" s="136"/>
      <c r="R763" s="136"/>
      <c r="S763" s="136"/>
      <c r="T763" s="136"/>
      <c r="U763" s="136"/>
      <c r="V763" s="136"/>
      <c r="W763" s="136"/>
    </row>
    <row r="764">
      <c r="A764" s="136"/>
      <c r="B764" s="136"/>
      <c r="C764" s="136"/>
      <c r="D764" s="136"/>
      <c r="E764" s="136"/>
      <c r="F764" s="136"/>
      <c r="G764" s="136"/>
      <c r="H764" s="136"/>
      <c r="I764" s="136"/>
      <c r="J764" s="136"/>
      <c r="K764" s="451"/>
      <c r="L764" s="451"/>
      <c r="M764" s="136"/>
      <c r="N764" s="136"/>
      <c r="O764" s="136"/>
      <c r="P764" s="136"/>
      <c r="Q764" s="136"/>
      <c r="R764" s="136"/>
      <c r="S764" s="136"/>
      <c r="T764" s="136"/>
      <c r="U764" s="136"/>
      <c r="V764" s="136"/>
      <c r="W764" s="136"/>
    </row>
    <row r="765">
      <c r="A765" s="136"/>
      <c r="B765" s="136"/>
      <c r="C765" s="136"/>
      <c r="D765" s="136"/>
      <c r="E765" s="136"/>
      <c r="F765" s="136"/>
      <c r="G765" s="136"/>
      <c r="H765" s="136"/>
      <c r="I765" s="136"/>
      <c r="J765" s="136"/>
      <c r="K765" s="451"/>
      <c r="L765" s="451"/>
      <c r="M765" s="136"/>
      <c r="N765" s="136"/>
      <c r="O765" s="136"/>
      <c r="P765" s="136"/>
      <c r="Q765" s="136"/>
      <c r="R765" s="136"/>
      <c r="S765" s="136"/>
      <c r="T765" s="136"/>
      <c r="U765" s="136"/>
      <c r="V765" s="136"/>
      <c r="W765" s="136"/>
    </row>
    <row r="766">
      <c r="A766" s="136"/>
      <c r="B766" s="136"/>
      <c r="C766" s="136"/>
      <c r="D766" s="136"/>
      <c r="E766" s="136"/>
      <c r="F766" s="136"/>
      <c r="G766" s="136"/>
      <c r="H766" s="136"/>
      <c r="I766" s="136"/>
      <c r="J766" s="136"/>
      <c r="K766" s="451"/>
      <c r="L766" s="451"/>
      <c r="M766" s="136"/>
      <c r="N766" s="136"/>
      <c r="O766" s="136"/>
      <c r="P766" s="136"/>
      <c r="Q766" s="136"/>
      <c r="R766" s="136"/>
      <c r="S766" s="136"/>
      <c r="T766" s="136"/>
      <c r="U766" s="136"/>
      <c r="V766" s="136"/>
      <c r="W766" s="136"/>
    </row>
    <row r="767">
      <c r="A767" s="136"/>
      <c r="B767" s="136"/>
      <c r="C767" s="136"/>
      <c r="D767" s="136"/>
      <c r="E767" s="136"/>
      <c r="F767" s="136"/>
      <c r="G767" s="136"/>
      <c r="H767" s="136"/>
      <c r="I767" s="136"/>
      <c r="J767" s="136"/>
      <c r="K767" s="451"/>
      <c r="L767" s="451"/>
      <c r="M767" s="136"/>
      <c r="N767" s="136"/>
      <c r="O767" s="136"/>
      <c r="P767" s="136"/>
      <c r="Q767" s="136"/>
      <c r="R767" s="136"/>
      <c r="S767" s="136"/>
      <c r="T767" s="136"/>
      <c r="U767" s="136"/>
      <c r="V767" s="136"/>
      <c r="W767" s="136"/>
    </row>
    <row r="768">
      <c r="A768" s="136"/>
      <c r="B768" s="136"/>
      <c r="C768" s="136"/>
      <c r="D768" s="136"/>
      <c r="E768" s="136"/>
      <c r="F768" s="136"/>
      <c r="G768" s="136"/>
      <c r="H768" s="136"/>
      <c r="I768" s="136"/>
      <c r="J768" s="136"/>
      <c r="K768" s="451"/>
      <c r="L768" s="451"/>
      <c r="M768" s="136"/>
      <c r="N768" s="136"/>
      <c r="O768" s="136"/>
      <c r="P768" s="136"/>
      <c r="Q768" s="136"/>
      <c r="R768" s="136"/>
      <c r="S768" s="136"/>
      <c r="T768" s="136"/>
      <c r="U768" s="136"/>
      <c r="V768" s="136"/>
      <c r="W768" s="136"/>
    </row>
    <row r="769">
      <c r="A769" s="136"/>
      <c r="B769" s="136"/>
      <c r="C769" s="136"/>
      <c r="D769" s="136"/>
      <c r="E769" s="136"/>
      <c r="F769" s="136"/>
      <c r="G769" s="136"/>
      <c r="H769" s="136"/>
      <c r="I769" s="136"/>
      <c r="J769" s="136"/>
      <c r="K769" s="451"/>
      <c r="L769" s="451"/>
      <c r="M769" s="136"/>
      <c r="N769" s="136"/>
      <c r="O769" s="136"/>
      <c r="P769" s="136"/>
      <c r="Q769" s="136"/>
      <c r="R769" s="136"/>
      <c r="S769" s="136"/>
      <c r="T769" s="136"/>
      <c r="U769" s="136"/>
      <c r="V769" s="136"/>
      <c r="W769" s="136"/>
    </row>
    <row r="770">
      <c r="A770" s="136"/>
      <c r="B770" s="136"/>
      <c r="C770" s="136"/>
      <c r="D770" s="136"/>
      <c r="E770" s="136"/>
      <c r="F770" s="136"/>
      <c r="G770" s="136"/>
      <c r="H770" s="136"/>
      <c r="I770" s="136"/>
      <c r="J770" s="136"/>
      <c r="K770" s="451"/>
      <c r="L770" s="451"/>
      <c r="M770" s="136"/>
      <c r="N770" s="136"/>
      <c r="O770" s="136"/>
      <c r="P770" s="136"/>
      <c r="Q770" s="136"/>
      <c r="R770" s="136"/>
      <c r="S770" s="136"/>
      <c r="T770" s="136"/>
      <c r="U770" s="136"/>
      <c r="V770" s="136"/>
      <c r="W770" s="136"/>
    </row>
    <row r="771">
      <c r="A771" s="136"/>
      <c r="B771" s="136"/>
      <c r="C771" s="136"/>
      <c r="D771" s="136"/>
      <c r="E771" s="136"/>
      <c r="F771" s="136"/>
      <c r="G771" s="136"/>
      <c r="H771" s="136"/>
      <c r="I771" s="136"/>
      <c r="J771" s="136"/>
      <c r="K771" s="451"/>
      <c r="L771" s="451"/>
      <c r="M771" s="136"/>
      <c r="N771" s="136"/>
      <c r="O771" s="136"/>
      <c r="P771" s="136"/>
      <c r="Q771" s="136"/>
      <c r="R771" s="136"/>
      <c r="S771" s="136"/>
      <c r="T771" s="136"/>
      <c r="U771" s="136"/>
      <c r="V771" s="136"/>
      <c r="W771" s="136"/>
    </row>
    <row r="772">
      <c r="A772" s="136"/>
      <c r="B772" s="136"/>
      <c r="C772" s="136"/>
      <c r="D772" s="136"/>
      <c r="E772" s="136"/>
      <c r="F772" s="136"/>
      <c r="G772" s="136"/>
      <c r="H772" s="136"/>
      <c r="I772" s="136"/>
      <c r="J772" s="136"/>
      <c r="K772" s="451"/>
      <c r="L772" s="451"/>
      <c r="M772" s="136"/>
      <c r="N772" s="136"/>
      <c r="O772" s="136"/>
      <c r="P772" s="136"/>
      <c r="Q772" s="136"/>
      <c r="R772" s="136"/>
      <c r="S772" s="136"/>
      <c r="T772" s="136"/>
      <c r="U772" s="136"/>
      <c r="V772" s="136"/>
      <c r="W772" s="136"/>
    </row>
    <row r="773">
      <c r="A773" s="136"/>
      <c r="B773" s="136"/>
      <c r="C773" s="136"/>
      <c r="D773" s="136"/>
      <c r="E773" s="136"/>
      <c r="F773" s="136"/>
      <c r="G773" s="136"/>
      <c r="H773" s="136"/>
      <c r="I773" s="136"/>
      <c r="J773" s="136"/>
      <c r="K773" s="451"/>
      <c r="L773" s="451"/>
      <c r="M773" s="136"/>
      <c r="N773" s="136"/>
      <c r="O773" s="136"/>
      <c r="P773" s="136"/>
      <c r="Q773" s="136"/>
      <c r="R773" s="136"/>
      <c r="S773" s="136"/>
      <c r="T773" s="136"/>
      <c r="U773" s="136"/>
      <c r="V773" s="136"/>
      <c r="W773" s="136"/>
    </row>
    <row r="774">
      <c r="A774" s="136"/>
      <c r="B774" s="136"/>
      <c r="C774" s="136"/>
      <c r="D774" s="136"/>
      <c r="E774" s="136"/>
      <c r="F774" s="136"/>
      <c r="G774" s="136"/>
      <c r="H774" s="136"/>
      <c r="I774" s="136"/>
      <c r="J774" s="136"/>
      <c r="K774" s="451"/>
      <c r="L774" s="451"/>
      <c r="M774" s="136"/>
      <c r="N774" s="136"/>
      <c r="O774" s="136"/>
      <c r="P774" s="136"/>
      <c r="Q774" s="136"/>
      <c r="R774" s="136"/>
      <c r="S774" s="136"/>
      <c r="T774" s="136"/>
      <c r="U774" s="136"/>
      <c r="V774" s="136"/>
      <c r="W774" s="136"/>
    </row>
    <row r="775">
      <c r="A775" s="136"/>
      <c r="B775" s="136"/>
      <c r="C775" s="136"/>
      <c r="D775" s="136"/>
      <c r="E775" s="136"/>
      <c r="F775" s="136"/>
      <c r="G775" s="136"/>
      <c r="H775" s="136"/>
      <c r="I775" s="136"/>
      <c r="J775" s="136"/>
      <c r="K775" s="451"/>
      <c r="L775" s="451"/>
      <c r="M775" s="136"/>
      <c r="N775" s="136"/>
      <c r="O775" s="136"/>
      <c r="P775" s="136"/>
      <c r="Q775" s="136"/>
      <c r="R775" s="136"/>
      <c r="S775" s="136"/>
      <c r="T775" s="136"/>
      <c r="U775" s="136"/>
      <c r="V775" s="136"/>
      <c r="W775" s="136"/>
    </row>
    <row r="776">
      <c r="A776" s="136"/>
      <c r="B776" s="136"/>
      <c r="C776" s="136"/>
      <c r="D776" s="136"/>
      <c r="E776" s="136"/>
      <c r="F776" s="136"/>
      <c r="G776" s="136"/>
      <c r="H776" s="136"/>
      <c r="I776" s="136"/>
      <c r="J776" s="136"/>
      <c r="K776" s="451"/>
      <c r="L776" s="451"/>
      <c r="M776" s="136"/>
      <c r="N776" s="136"/>
      <c r="O776" s="136"/>
      <c r="P776" s="136"/>
      <c r="Q776" s="136"/>
      <c r="R776" s="136"/>
      <c r="S776" s="136"/>
      <c r="T776" s="136"/>
      <c r="U776" s="136"/>
      <c r="V776" s="136"/>
      <c r="W776" s="136"/>
    </row>
    <row r="777">
      <c r="A777" s="136"/>
      <c r="B777" s="136"/>
      <c r="C777" s="136"/>
      <c r="D777" s="136"/>
      <c r="E777" s="136"/>
      <c r="F777" s="136"/>
      <c r="G777" s="136"/>
      <c r="H777" s="136"/>
      <c r="I777" s="136"/>
      <c r="J777" s="136"/>
      <c r="K777" s="451"/>
      <c r="L777" s="451"/>
      <c r="M777" s="136"/>
      <c r="N777" s="136"/>
      <c r="O777" s="136"/>
      <c r="P777" s="136"/>
      <c r="Q777" s="136"/>
      <c r="R777" s="136"/>
      <c r="S777" s="136"/>
      <c r="T777" s="136"/>
      <c r="U777" s="136"/>
      <c r="V777" s="136"/>
      <c r="W777" s="136"/>
    </row>
    <row r="778">
      <c r="A778" s="136"/>
      <c r="B778" s="136"/>
      <c r="C778" s="136"/>
      <c r="D778" s="136"/>
      <c r="E778" s="136"/>
      <c r="F778" s="136"/>
      <c r="G778" s="136"/>
      <c r="H778" s="136"/>
      <c r="I778" s="136"/>
      <c r="J778" s="136"/>
      <c r="K778" s="451"/>
      <c r="L778" s="451"/>
      <c r="M778" s="136"/>
      <c r="N778" s="136"/>
      <c r="O778" s="136"/>
      <c r="P778" s="136"/>
      <c r="Q778" s="136"/>
      <c r="R778" s="136"/>
      <c r="S778" s="136"/>
      <c r="T778" s="136"/>
      <c r="U778" s="136"/>
      <c r="V778" s="136"/>
      <c r="W778" s="136"/>
    </row>
    <row r="779">
      <c r="A779" s="136"/>
      <c r="B779" s="136"/>
      <c r="C779" s="136"/>
      <c r="D779" s="136"/>
      <c r="E779" s="136"/>
      <c r="F779" s="136"/>
      <c r="G779" s="136"/>
      <c r="H779" s="136"/>
      <c r="I779" s="136"/>
      <c r="J779" s="136"/>
      <c r="K779" s="451"/>
      <c r="L779" s="451"/>
      <c r="M779" s="136"/>
      <c r="N779" s="136"/>
      <c r="O779" s="136"/>
      <c r="P779" s="136"/>
      <c r="Q779" s="136"/>
      <c r="R779" s="136"/>
      <c r="S779" s="136"/>
      <c r="T779" s="136"/>
      <c r="U779" s="136"/>
      <c r="V779" s="136"/>
      <c r="W779" s="136"/>
    </row>
    <row r="780">
      <c r="A780" s="136"/>
      <c r="B780" s="136"/>
      <c r="C780" s="136"/>
      <c r="D780" s="136"/>
      <c r="E780" s="136"/>
      <c r="F780" s="136"/>
      <c r="G780" s="136"/>
      <c r="H780" s="136"/>
      <c r="I780" s="136"/>
      <c r="J780" s="136"/>
      <c r="K780" s="451"/>
      <c r="L780" s="451"/>
      <c r="M780" s="136"/>
      <c r="N780" s="136"/>
      <c r="O780" s="136"/>
      <c r="P780" s="136"/>
      <c r="Q780" s="136"/>
      <c r="R780" s="136"/>
      <c r="S780" s="136"/>
      <c r="T780" s="136"/>
      <c r="U780" s="136"/>
      <c r="V780" s="136"/>
      <c r="W780" s="136"/>
    </row>
    <row r="781">
      <c r="A781" s="136"/>
      <c r="B781" s="136"/>
      <c r="C781" s="136"/>
      <c r="D781" s="136"/>
      <c r="E781" s="136"/>
      <c r="F781" s="136"/>
      <c r="G781" s="136"/>
      <c r="H781" s="136"/>
      <c r="I781" s="136"/>
      <c r="J781" s="136"/>
      <c r="K781" s="451"/>
      <c r="L781" s="451"/>
      <c r="M781" s="136"/>
      <c r="N781" s="136"/>
      <c r="O781" s="136"/>
      <c r="P781" s="136"/>
      <c r="Q781" s="136"/>
      <c r="R781" s="136"/>
      <c r="S781" s="136"/>
      <c r="T781" s="136"/>
      <c r="U781" s="136"/>
      <c r="V781" s="136"/>
      <c r="W781" s="136"/>
    </row>
    <row r="782">
      <c r="A782" s="136"/>
      <c r="B782" s="136"/>
      <c r="C782" s="136"/>
      <c r="D782" s="136"/>
      <c r="E782" s="136"/>
      <c r="F782" s="136"/>
      <c r="G782" s="136"/>
      <c r="H782" s="136"/>
      <c r="I782" s="136"/>
      <c r="J782" s="136"/>
      <c r="K782" s="451"/>
      <c r="L782" s="451"/>
      <c r="M782" s="136"/>
      <c r="N782" s="136"/>
      <c r="O782" s="136"/>
      <c r="P782" s="136"/>
      <c r="Q782" s="136"/>
      <c r="R782" s="136"/>
      <c r="S782" s="136"/>
      <c r="T782" s="136"/>
      <c r="U782" s="136"/>
      <c r="V782" s="136"/>
      <c r="W782" s="136"/>
    </row>
    <row r="783">
      <c r="A783" s="136"/>
      <c r="B783" s="136"/>
      <c r="C783" s="136"/>
      <c r="D783" s="136"/>
      <c r="E783" s="136"/>
      <c r="F783" s="136"/>
      <c r="G783" s="136"/>
      <c r="H783" s="136"/>
      <c r="I783" s="136"/>
      <c r="J783" s="136"/>
      <c r="K783" s="451"/>
      <c r="L783" s="451"/>
      <c r="M783" s="136"/>
      <c r="N783" s="136"/>
      <c r="O783" s="136"/>
      <c r="P783" s="136"/>
      <c r="Q783" s="136"/>
      <c r="R783" s="136"/>
      <c r="S783" s="136"/>
      <c r="T783" s="136"/>
      <c r="U783" s="136"/>
      <c r="V783" s="136"/>
      <c r="W783" s="136"/>
    </row>
    <row r="784">
      <c r="A784" s="136"/>
      <c r="B784" s="136"/>
      <c r="C784" s="136"/>
      <c r="D784" s="136"/>
      <c r="E784" s="136"/>
      <c r="F784" s="136"/>
      <c r="G784" s="136"/>
      <c r="H784" s="136"/>
      <c r="I784" s="136"/>
      <c r="J784" s="136"/>
      <c r="K784" s="451"/>
      <c r="L784" s="451"/>
      <c r="M784" s="136"/>
      <c r="N784" s="136"/>
      <c r="O784" s="136"/>
      <c r="P784" s="136"/>
      <c r="Q784" s="136"/>
      <c r="R784" s="136"/>
      <c r="S784" s="136"/>
      <c r="T784" s="136"/>
      <c r="U784" s="136"/>
      <c r="V784" s="136"/>
      <c r="W784" s="136"/>
    </row>
    <row r="785">
      <c r="A785" s="136"/>
      <c r="B785" s="136"/>
      <c r="C785" s="136"/>
      <c r="D785" s="136"/>
      <c r="E785" s="136"/>
      <c r="F785" s="136"/>
      <c r="G785" s="136"/>
      <c r="H785" s="136"/>
      <c r="I785" s="136"/>
      <c r="J785" s="136"/>
      <c r="K785" s="451"/>
      <c r="L785" s="451"/>
      <c r="M785" s="136"/>
      <c r="N785" s="136"/>
      <c r="O785" s="136"/>
      <c r="P785" s="136"/>
      <c r="Q785" s="136"/>
      <c r="R785" s="136"/>
      <c r="S785" s="136"/>
      <c r="T785" s="136"/>
      <c r="U785" s="136"/>
      <c r="V785" s="136"/>
      <c r="W785" s="136"/>
    </row>
    <row r="786">
      <c r="A786" s="136"/>
      <c r="B786" s="136"/>
      <c r="C786" s="136"/>
      <c r="D786" s="136"/>
      <c r="E786" s="136"/>
      <c r="F786" s="136"/>
      <c r="G786" s="136"/>
      <c r="H786" s="136"/>
      <c r="I786" s="136"/>
      <c r="J786" s="136"/>
      <c r="K786" s="451"/>
      <c r="L786" s="451"/>
      <c r="M786" s="136"/>
      <c r="N786" s="136"/>
      <c r="O786" s="136"/>
      <c r="P786" s="136"/>
      <c r="Q786" s="136"/>
      <c r="R786" s="136"/>
      <c r="S786" s="136"/>
      <c r="T786" s="136"/>
      <c r="U786" s="136"/>
      <c r="V786" s="136"/>
      <c r="W786" s="136"/>
    </row>
    <row r="787">
      <c r="A787" s="136"/>
      <c r="B787" s="136"/>
      <c r="C787" s="136"/>
      <c r="D787" s="136"/>
      <c r="E787" s="136"/>
      <c r="F787" s="136"/>
      <c r="G787" s="136"/>
      <c r="H787" s="136"/>
      <c r="I787" s="136"/>
      <c r="J787" s="136"/>
      <c r="K787" s="451"/>
      <c r="L787" s="451"/>
      <c r="M787" s="136"/>
      <c r="N787" s="136"/>
      <c r="O787" s="136"/>
      <c r="P787" s="136"/>
      <c r="Q787" s="136"/>
      <c r="R787" s="136"/>
      <c r="S787" s="136"/>
      <c r="T787" s="136"/>
      <c r="U787" s="136"/>
      <c r="V787" s="136"/>
      <c r="W787" s="136"/>
    </row>
    <row r="788">
      <c r="A788" s="136"/>
      <c r="B788" s="136"/>
      <c r="C788" s="136"/>
      <c r="D788" s="136"/>
      <c r="E788" s="136"/>
      <c r="F788" s="136"/>
      <c r="G788" s="136"/>
      <c r="H788" s="136"/>
      <c r="I788" s="136"/>
      <c r="J788" s="136"/>
      <c r="K788" s="451"/>
      <c r="L788" s="451"/>
      <c r="M788" s="136"/>
      <c r="N788" s="136"/>
      <c r="O788" s="136"/>
      <c r="P788" s="136"/>
      <c r="Q788" s="136"/>
      <c r="R788" s="136"/>
      <c r="S788" s="136"/>
      <c r="T788" s="136"/>
      <c r="U788" s="136"/>
      <c r="V788" s="136"/>
      <c r="W788" s="136"/>
    </row>
    <row r="789">
      <c r="A789" s="136"/>
      <c r="B789" s="136"/>
      <c r="C789" s="136"/>
      <c r="D789" s="136"/>
      <c r="E789" s="136"/>
      <c r="F789" s="136"/>
      <c r="G789" s="136"/>
      <c r="H789" s="136"/>
      <c r="I789" s="136"/>
      <c r="J789" s="136"/>
      <c r="K789" s="451"/>
      <c r="L789" s="451"/>
      <c r="M789" s="136"/>
      <c r="N789" s="136"/>
      <c r="O789" s="136"/>
      <c r="P789" s="136"/>
      <c r="Q789" s="136"/>
      <c r="R789" s="136"/>
      <c r="S789" s="136"/>
      <c r="T789" s="136"/>
      <c r="U789" s="136"/>
      <c r="V789" s="136"/>
      <c r="W789" s="136"/>
    </row>
    <row r="790">
      <c r="A790" s="136"/>
      <c r="B790" s="136"/>
      <c r="C790" s="136"/>
      <c r="D790" s="136"/>
      <c r="E790" s="136"/>
      <c r="F790" s="136"/>
      <c r="G790" s="136"/>
      <c r="H790" s="136"/>
      <c r="I790" s="136"/>
      <c r="J790" s="136"/>
      <c r="K790" s="451"/>
      <c r="L790" s="451"/>
      <c r="M790" s="136"/>
      <c r="N790" s="136"/>
      <c r="O790" s="136"/>
      <c r="P790" s="136"/>
      <c r="Q790" s="136"/>
      <c r="R790" s="136"/>
      <c r="S790" s="136"/>
      <c r="T790" s="136"/>
      <c r="U790" s="136"/>
      <c r="V790" s="136"/>
      <c r="W790" s="136"/>
    </row>
    <row r="791">
      <c r="A791" s="136"/>
      <c r="B791" s="136"/>
      <c r="C791" s="136"/>
      <c r="D791" s="136"/>
      <c r="E791" s="136"/>
      <c r="F791" s="136"/>
      <c r="G791" s="136"/>
      <c r="H791" s="136"/>
      <c r="I791" s="136"/>
      <c r="J791" s="136"/>
      <c r="K791" s="451"/>
      <c r="L791" s="451"/>
      <c r="M791" s="136"/>
      <c r="N791" s="136"/>
      <c r="O791" s="136"/>
      <c r="P791" s="136"/>
      <c r="Q791" s="136"/>
      <c r="R791" s="136"/>
      <c r="S791" s="136"/>
      <c r="T791" s="136"/>
      <c r="U791" s="136"/>
      <c r="V791" s="136"/>
      <c r="W791" s="136"/>
    </row>
    <row r="792">
      <c r="A792" s="136"/>
      <c r="B792" s="136"/>
      <c r="C792" s="136"/>
      <c r="D792" s="136"/>
      <c r="E792" s="136"/>
      <c r="F792" s="136"/>
      <c r="G792" s="136"/>
      <c r="H792" s="136"/>
      <c r="I792" s="136"/>
      <c r="J792" s="136"/>
      <c r="K792" s="451"/>
      <c r="L792" s="451"/>
      <c r="M792" s="136"/>
      <c r="N792" s="136"/>
      <c r="O792" s="136"/>
      <c r="P792" s="136"/>
      <c r="Q792" s="136"/>
      <c r="R792" s="136"/>
      <c r="S792" s="136"/>
      <c r="T792" s="136"/>
      <c r="U792" s="136"/>
      <c r="V792" s="136"/>
      <c r="W792" s="136"/>
    </row>
    <row r="793">
      <c r="A793" s="136"/>
      <c r="B793" s="136"/>
      <c r="C793" s="136"/>
      <c r="D793" s="136"/>
      <c r="E793" s="136"/>
      <c r="F793" s="136"/>
      <c r="G793" s="136"/>
      <c r="H793" s="136"/>
      <c r="I793" s="136"/>
      <c r="J793" s="136"/>
      <c r="K793" s="451"/>
      <c r="L793" s="451"/>
      <c r="M793" s="136"/>
      <c r="N793" s="136"/>
      <c r="O793" s="136"/>
      <c r="P793" s="136"/>
      <c r="Q793" s="136"/>
      <c r="R793" s="136"/>
      <c r="S793" s="136"/>
      <c r="T793" s="136"/>
      <c r="U793" s="136"/>
      <c r="V793" s="136"/>
      <c r="W793" s="136"/>
    </row>
    <row r="794">
      <c r="A794" s="136"/>
      <c r="B794" s="136"/>
      <c r="C794" s="136"/>
      <c r="D794" s="136"/>
      <c r="E794" s="136"/>
      <c r="F794" s="136"/>
      <c r="G794" s="136"/>
      <c r="H794" s="136"/>
      <c r="I794" s="136"/>
      <c r="J794" s="136"/>
      <c r="K794" s="451"/>
      <c r="L794" s="451"/>
      <c r="M794" s="136"/>
      <c r="N794" s="136"/>
      <c r="O794" s="136"/>
      <c r="P794" s="136"/>
      <c r="Q794" s="136"/>
      <c r="R794" s="136"/>
      <c r="S794" s="136"/>
      <c r="T794" s="136"/>
      <c r="U794" s="136"/>
      <c r="V794" s="136"/>
      <c r="W794" s="136"/>
    </row>
    <row r="795">
      <c r="A795" s="136"/>
      <c r="B795" s="136"/>
      <c r="C795" s="136"/>
      <c r="D795" s="136"/>
      <c r="E795" s="136"/>
      <c r="F795" s="136"/>
      <c r="G795" s="136"/>
      <c r="H795" s="136"/>
      <c r="I795" s="136"/>
      <c r="J795" s="136"/>
      <c r="K795" s="451"/>
      <c r="L795" s="451"/>
      <c r="M795" s="136"/>
      <c r="N795" s="136"/>
      <c r="O795" s="136"/>
      <c r="P795" s="136"/>
      <c r="Q795" s="136"/>
      <c r="R795" s="136"/>
      <c r="S795" s="136"/>
      <c r="T795" s="136"/>
      <c r="U795" s="136"/>
      <c r="V795" s="136"/>
      <c r="W795" s="136"/>
    </row>
    <row r="796">
      <c r="A796" s="136"/>
      <c r="B796" s="136"/>
      <c r="C796" s="136"/>
      <c r="D796" s="136"/>
      <c r="E796" s="136"/>
      <c r="F796" s="136"/>
      <c r="G796" s="136"/>
      <c r="H796" s="136"/>
      <c r="I796" s="136"/>
      <c r="J796" s="136"/>
      <c r="K796" s="451"/>
      <c r="L796" s="451"/>
      <c r="M796" s="136"/>
      <c r="N796" s="136"/>
      <c r="O796" s="136"/>
      <c r="P796" s="136"/>
      <c r="Q796" s="136"/>
      <c r="R796" s="136"/>
      <c r="S796" s="136"/>
      <c r="T796" s="136"/>
      <c r="U796" s="136"/>
      <c r="V796" s="136"/>
      <c r="W796" s="136"/>
    </row>
    <row r="797">
      <c r="A797" s="136"/>
      <c r="B797" s="136"/>
      <c r="C797" s="136"/>
      <c r="D797" s="136"/>
      <c r="E797" s="136"/>
      <c r="F797" s="136"/>
      <c r="G797" s="136"/>
      <c r="H797" s="136"/>
      <c r="I797" s="136"/>
      <c r="J797" s="136"/>
      <c r="K797" s="451"/>
      <c r="L797" s="451"/>
      <c r="M797" s="136"/>
      <c r="N797" s="136"/>
      <c r="O797" s="136"/>
      <c r="P797" s="136"/>
      <c r="Q797" s="136"/>
      <c r="R797" s="136"/>
      <c r="S797" s="136"/>
      <c r="T797" s="136"/>
      <c r="U797" s="136"/>
      <c r="V797" s="136"/>
      <c r="W797" s="136"/>
    </row>
    <row r="798">
      <c r="A798" s="136"/>
      <c r="B798" s="136"/>
      <c r="C798" s="136"/>
      <c r="D798" s="136"/>
      <c r="E798" s="136"/>
      <c r="F798" s="136"/>
      <c r="G798" s="136"/>
      <c r="H798" s="136"/>
      <c r="I798" s="136"/>
      <c r="J798" s="136"/>
      <c r="K798" s="451"/>
      <c r="L798" s="451"/>
      <c r="M798" s="136"/>
      <c r="N798" s="136"/>
      <c r="O798" s="136"/>
      <c r="P798" s="136"/>
      <c r="Q798" s="136"/>
      <c r="R798" s="136"/>
      <c r="S798" s="136"/>
      <c r="T798" s="136"/>
      <c r="U798" s="136"/>
      <c r="V798" s="136"/>
      <c r="W798" s="136"/>
    </row>
    <row r="799">
      <c r="A799" s="136"/>
      <c r="B799" s="136"/>
      <c r="C799" s="136"/>
      <c r="D799" s="136"/>
      <c r="E799" s="136"/>
      <c r="F799" s="136"/>
      <c r="G799" s="136"/>
      <c r="H799" s="136"/>
      <c r="I799" s="136"/>
      <c r="J799" s="136"/>
      <c r="K799" s="451"/>
      <c r="L799" s="451"/>
      <c r="M799" s="136"/>
      <c r="N799" s="136"/>
      <c r="O799" s="136"/>
      <c r="P799" s="136"/>
      <c r="Q799" s="136"/>
      <c r="R799" s="136"/>
      <c r="S799" s="136"/>
      <c r="T799" s="136"/>
      <c r="U799" s="136"/>
      <c r="V799" s="136"/>
      <c r="W799" s="136"/>
    </row>
    <row r="800">
      <c r="A800" s="136"/>
      <c r="B800" s="136"/>
      <c r="C800" s="136"/>
      <c r="D800" s="136"/>
      <c r="E800" s="136"/>
      <c r="F800" s="136"/>
      <c r="G800" s="136"/>
      <c r="H800" s="136"/>
      <c r="I800" s="136"/>
      <c r="J800" s="136"/>
      <c r="K800" s="451"/>
      <c r="L800" s="451"/>
      <c r="M800" s="136"/>
      <c r="N800" s="136"/>
      <c r="O800" s="136"/>
      <c r="P800" s="136"/>
      <c r="Q800" s="136"/>
      <c r="R800" s="136"/>
      <c r="S800" s="136"/>
      <c r="T800" s="136"/>
      <c r="U800" s="136"/>
      <c r="V800" s="136"/>
      <c r="W800" s="136"/>
    </row>
    <row r="801">
      <c r="A801" s="136"/>
      <c r="B801" s="136"/>
      <c r="C801" s="136"/>
      <c r="D801" s="136"/>
      <c r="E801" s="136"/>
      <c r="F801" s="136"/>
      <c r="G801" s="136"/>
      <c r="H801" s="136"/>
      <c r="I801" s="136"/>
      <c r="J801" s="136"/>
      <c r="K801" s="451"/>
      <c r="L801" s="451"/>
      <c r="M801" s="136"/>
      <c r="N801" s="136"/>
      <c r="O801" s="136"/>
      <c r="P801" s="136"/>
      <c r="Q801" s="136"/>
      <c r="R801" s="136"/>
      <c r="S801" s="136"/>
      <c r="T801" s="136"/>
      <c r="U801" s="136"/>
      <c r="V801" s="136"/>
      <c r="W801" s="136"/>
    </row>
    <row r="802">
      <c r="A802" s="136"/>
      <c r="B802" s="136"/>
      <c r="C802" s="136"/>
      <c r="D802" s="136"/>
      <c r="E802" s="136"/>
      <c r="F802" s="136"/>
      <c r="G802" s="136"/>
      <c r="H802" s="136"/>
      <c r="I802" s="136"/>
      <c r="J802" s="136"/>
      <c r="K802" s="451"/>
      <c r="L802" s="451"/>
      <c r="M802" s="136"/>
      <c r="N802" s="136"/>
      <c r="O802" s="136"/>
      <c r="P802" s="136"/>
      <c r="Q802" s="136"/>
      <c r="R802" s="136"/>
      <c r="S802" s="136"/>
      <c r="T802" s="136"/>
      <c r="U802" s="136"/>
      <c r="V802" s="136"/>
      <c r="W802" s="136"/>
    </row>
    <row r="803">
      <c r="A803" s="136"/>
      <c r="B803" s="136"/>
      <c r="C803" s="136"/>
      <c r="D803" s="136"/>
      <c r="E803" s="136"/>
      <c r="F803" s="136"/>
      <c r="G803" s="136"/>
      <c r="H803" s="136"/>
      <c r="I803" s="136"/>
      <c r="J803" s="136"/>
      <c r="K803" s="451"/>
      <c r="L803" s="451"/>
      <c r="M803" s="136"/>
      <c r="N803" s="136"/>
      <c r="O803" s="136"/>
      <c r="P803" s="136"/>
      <c r="Q803" s="136"/>
      <c r="R803" s="136"/>
      <c r="S803" s="136"/>
      <c r="T803" s="136"/>
      <c r="U803" s="136"/>
      <c r="V803" s="136"/>
      <c r="W803" s="136"/>
    </row>
    <row r="804">
      <c r="A804" s="136"/>
      <c r="B804" s="136"/>
      <c r="C804" s="136"/>
      <c r="D804" s="136"/>
      <c r="E804" s="136"/>
      <c r="F804" s="136"/>
      <c r="G804" s="136"/>
      <c r="H804" s="136"/>
      <c r="I804" s="136"/>
      <c r="J804" s="136"/>
      <c r="K804" s="451"/>
      <c r="L804" s="451"/>
      <c r="M804" s="136"/>
      <c r="N804" s="136"/>
      <c r="O804" s="136"/>
      <c r="P804" s="136"/>
      <c r="Q804" s="136"/>
      <c r="R804" s="136"/>
      <c r="S804" s="136"/>
      <c r="T804" s="136"/>
      <c r="U804" s="136"/>
      <c r="V804" s="136"/>
      <c r="W804" s="136"/>
    </row>
    <row r="805">
      <c r="A805" s="136"/>
      <c r="B805" s="136"/>
      <c r="C805" s="136"/>
      <c r="D805" s="136"/>
      <c r="E805" s="136"/>
      <c r="F805" s="136"/>
      <c r="G805" s="136"/>
      <c r="H805" s="136"/>
      <c r="I805" s="136"/>
      <c r="J805" s="136"/>
      <c r="K805" s="451"/>
      <c r="L805" s="451"/>
      <c r="M805" s="136"/>
      <c r="N805" s="136"/>
      <c r="O805" s="136"/>
      <c r="P805" s="136"/>
      <c r="Q805" s="136"/>
      <c r="R805" s="136"/>
      <c r="S805" s="136"/>
      <c r="T805" s="136"/>
      <c r="U805" s="136"/>
      <c r="V805" s="136"/>
      <c r="W805" s="136"/>
    </row>
    <row r="806">
      <c r="A806" s="136"/>
      <c r="B806" s="136"/>
      <c r="C806" s="136"/>
      <c r="D806" s="136"/>
      <c r="E806" s="136"/>
      <c r="F806" s="136"/>
      <c r="G806" s="136"/>
      <c r="H806" s="136"/>
      <c r="I806" s="136"/>
      <c r="J806" s="136"/>
      <c r="K806" s="451"/>
      <c r="L806" s="451"/>
      <c r="M806" s="136"/>
      <c r="N806" s="136"/>
      <c r="O806" s="136"/>
      <c r="P806" s="136"/>
      <c r="Q806" s="136"/>
      <c r="R806" s="136"/>
      <c r="S806" s="136"/>
      <c r="T806" s="136"/>
      <c r="U806" s="136"/>
      <c r="V806" s="136"/>
      <c r="W806" s="136"/>
    </row>
    <row r="807">
      <c r="A807" s="136"/>
      <c r="B807" s="136"/>
      <c r="C807" s="136"/>
      <c r="D807" s="136"/>
      <c r="E807" s="136"/>
      <c r="F807" s="136"/>
      <c r="G807" s="136"/>
      <c r="H807" s="136"/>
      <c r="I807" s="136"/>
      <c r="J807" s="136"/>
      <c r="K807" s="451"/>
      <c r="L807" s="451"/>
      <c r="M807" s="136"/>
      <c r="N807" s="136"/>
      <c r="O807" s="136"/>
      <c r="P807" s="136"/>
      <c r="Q807" s="136"/>
      <c r="R807" s="136"/>
      <c r="S807" s="136"/>
      <c r="T807" s="136"/>
      <c r="U807" s="136"/>
      <c r="V807" s="136"/>
      <c r="W807" s="136"/>
    </row>
    <row r="808">
      <c r="A808" s="136"/>
      <c r="B808" s="136"/>
      <c r="C808" s="136"/>
      <c r="D808" s="136"/>
      <c r="E808" s="136"/>
      <c r="F808" s="136"/>
      <c r="G808" s="136"/>
      <c r="H808" s="136"/>
      <c r="I808" s="136"/>
      <c r="J808" s="136"/>
      <c r="K808" s="451"/>
      <c r="L808" s="451"/>
      <c r="M808" s="136"/>
      <c r="N808" s="136"/>
      <c r="O808" s="136"/>
      <c r="P808" s="136"/>
      <c r="Q808" s="136"/>
      <c r="R808" s="136"/>
      <c r="S808" s="136"/>
      <c r="T808" s="136"/>
      <c r="U808" s="136"/>
      <c r="V808" s="136"/>
      <c r="W808" s="136"/>
    </row>
    <row r="809">
      <c r="A809" s="136"/>
      <c r="B809" s="136"/>
      <c r="C809" s="136"/>
      <c r="D809" s="136"/>
      <c r="E809" s="136"/>
      <c r="F809" s="136"/>
      <c r="G809" s="136"/>
      <c r="H809" s="136"/>
      <c r="I809" s="136"/>
      <c r="J809" s="136"/>
      <c r="K809" s="451"/>
      <c r="L809" s="451"/>
      <c r="M809" s="136"/>
      <c r="N809" s="136"/>
      <c r="O809" s="136"/>
      <c r="P809" s="136"/>
      <c r="Q809" s="136"/>
      <c r="R809" s="136"/>
      <c r="S809" s="136"/>
      <c r="T809" s="136"/>
      <c r="U809" s="136"/>
      <c r="V809" s="136"/>
      <c r="W809" s="136"/>
    </row>
    <row r="810">
      <c r="A810" s="136"/>
      <c r="B810" s="136"/>
      <c r="C810" s="136"/>
      <c r="D810" s="136"/>
      <c r="E810" s="136"/>
      <c r="F810" s="136"/>
      <c r="G810" s="136"/>
      <c r="H810" s="136"/>
      <c r="I810" s="136"/>
      <c r="J810" s="136"/>
      <c r="K810" s="451"/>
      <c r="L810" s="451"/>
      <c r="M810" s="136"/>
      <c r="N810" s="136"/>
      <c r="O810" s="136"/>
      <c r="P810" s="136"/>
      <c r="Q810" s="136"/>
      <c r="R810" s="136"/>
      <c r="S810" s="136"/>
      <c r="T810" s="136"/>
      <c r="U810" s="136"/>
      <c r="V810" s="136"/>
      <c r="W810" s="136"/>
    </row>
    <row r="811">
      <c r="A811" s="136"/>
      <c r="B811" s="136"/>
      <c r="C811" s="136"/>
      <c r="D811" s="136"/>
      <c r="E811" s="136"/>
      <c r="F811" s="136"/>
      <c r="G811" s="136"/>
      <c r="H811" s="136"/>
      <c r="I811" s="136"/>
      <c r="J811" s="136"/>
      <c r="K811" s="451"/>
      <c r="L811" s="451"/>
      <c r="M811" s="136"/>
      <c r="N811" s="136"/>
      <c r="O811" s="136"/>
      <c r="P811" s="136"/>
      <c r="Q811" s="136"/>
      <c r="R811" s="136"/>
      <c r="S811" s="136"/>
      <c r="T811" s="136"/>
      <c r="U811" s="136"/>
      <c r="V811" s="136"/>
      <c r="W811" s="136"/>
    </row>
    <row r="812">
      <c r="A812" s="136"/>
      <c r="B812" s="136"/>
      <c r="C812" s="136"/>
      <c r="D812" s="136"/>
      <c r="E812" s="136"/>
      <c r="F812" s="136"/>
      <c r="G812" s="136"/>
      <c r="H812" s="136"/>
      <c r="I812" s="136"/>
      <c r="J812" s="136"/>
      <c r="K812" s="451"/>
      <c r="L812" s="451"/>
      <c r="M812" s="136"/>
      <c r="N812" s="136"/>
      <c r="O812" s="136"/>
      <c r="P812" s="136"/>
      <c r="Q812" s="136"/>
      <c r="R812" s="136"/>
      <c r="S812" s="136"/>
      <c r="T812" s="136"/>
      <c r="U812" s="136"/>
      <c r="V812" s="136"/>
      <c r="W812" s="136"/>
    </row>
    <row r="813">
      <c r="A813" s="136"/>
      <c r="B813" s="136"/>
      <c r="C813" s="136"/>
      <c r="D813" s="136"/>
      <c r="E813" s="136"/>
      <c r="F813" s="136"/>
      <c r="G813" s="136"/>
      <c r="H813" s="136"/>
      <c r="I813" s="136"/>
      <c r="J813" s="136"/>
      <c r="K813" s="451"/>
      <c r="L813" s="451"/>
      <c r="M813" s="136"/>
      <c r="N813" s="136"/>
      <c r="O813" s="136"/>
      <c r="P813" s="136"/>
      <c r="Q813" s="136"/>
      <c r="R813" s="136"/>
      <c r="S813" s="136"/>
      <c r="T813" s="136"/>
      <c r="U813" s="136"/>
      <c r="V813" s="136"/>
      <c r="W813" s="136"/>
    </row>
    <row r="814">
      <c r="A814" s="136"/>
      <c r="B814" s="136"/>
      <c r="C814" s="136"/>
      <c r="D814" s="136"/>
      <c r="E814" s="136"/>
      <c r="F814" s="136"/>
      <c r="G814" s="136"/>
      <c r="H814" s="136"/>
      <c r="I814" s="136"/>
      <c r="J814" s="136"/>
      <c r="K814" s="451"/>
      <c r="L814" s="451"/>
      <c r="M814" s="136"/>
      <c r="N814" s="136"/>
      <c r="O814" s="136"/>
      <c r="P814" s="136"/>
      <c r="Q814" s="136"/>
      <c r="R814" s="136"/>
      <c r="S814" s="136"/>
      <c r="T814" s="136"/>
      <c r="U814" s="136"/>
      <c r="V814" s="136"/>
      <c r="W814" s="136"/>
    </row>
    <row r="815">
      <c r="A815" s="136"/>
      <c r="B815" s="136"/>
      <c r="C815" s="136"/>
      <c r="D815" s="136"/>
      <c r="E815" s="136"/>
      <c r="F815" s="136"/>
      <c r="G815" s="136"/>
      <c r="H815" s="136"/>
      <c r="I815" s="136"/>
      <c r="J815" s="136"/>
      <c r="K815" s="451"/>
      <c r="L815" s="451"/>
      <c r="M815" s="136"/>
      <c r="N815" s="136"/>
      <c r="O815" s="136"/>
      <c r="P815" s="136"/>
      <c r="Q815" s="136"/>
      <c r="R815" s="136"/>
      <c r="S815" s="136"/>
      <c r="T815" s="136"/>
      <c r="U815" s="136"/>
      <c r="V815" s="136"/>
      <c r="W815" s="136"/>
    </row>
    <row r="816">
      <c r="A816" s="136"/>
      <c r="B816" s="136"/>
      <c r="C816" s="136"/>
      <c r="D816" s="136"/>
      <c r="E816" s="136"/>
      <c r="F816" s="136"/>
      <c r="G816" s="136"/>
      <c r="H816" s="136"/>
      <c r="I816" s="136"/>
      <c r="J816" s="136"/>
      <c r="K816" s="451"/>
      <c r="L816" s="451"/>
      <c r="M816" s="136"/>
      <c r="N816" s="136"/>
      <c r="O816" s="136"/>
      <c r="P816" s="136"/>
      <c r="Q816" s="136"/>
      <c r="R816" s="136"/>
      <c r="S816" s="136"/>
      <c r="T816" s="136"/>
      <c r="U816" s="136"/>
      <c r="V816" s="136"/>
      <c r="W816" s="136"/>
    </row>
    <row r="817">
      <c r="A817" s="136"/>
      <c r="B817" s="136"/>
      <c r="C817" s="136"/>
      <c r="D817" s="136"/>
      <c r="E817" s="136"/>
      <c r="F817" s="136"/>
      <c r="G817" s="136"/>
      <c r="H817" s="136"/>
      <c r="I817" s="136"/>
      <c r="J817" s="136"/>
      <c r="K817" s="451"/>
      <c r="L817" s="451"/>
      <c r="M817" s="136"/>
      <c r="N817" s="136"/>
      <c r="O817" s="136"/>
      <c r="P817" s="136"/>
      <c r="Q817" s="136"/>
      <c r="R817" s="136"/>
      <c r="S817" s="136"/>
      <c r="T817" s="136"/>
      <c r="U817" s="136"/>
      <c r="V817" s="136"/>
      <c r="W817" s="136"/>
    </row>
    <row r="818">
      <c r="A818" s="136"/>
      <c r="B818" s="136"/>
      <c r="C818" s="136"/>
      <c r="D818" s="136"/>
      <c r="E818" s="136"/>
      <c r="F818" s="136"/>
      <c r="G818" s="136"/>
      <c r="H818" s="136"/>
      <c r="I818" s="136"/>
      <c r="J818" s="136"/>
      <c r="K818" s="451"/>
      <c r="L818" s="451"/>
      <c r="M818" s="136"/>
      <c r="N818" s="136"/>
      <c r="O818" s="136"/>
      <c r="P818" s="136"/>
      <c r="Q818" s="136"/>
      <c r="R818" s="136"/>
      <c r="S818" s="136"/>
      <c r="T818" s="136"/>
      <c r="U818" s="136"/>
      <c r="V818" s="136"/>
      <c r="W818" s="136"/>
    </row>
    <row r="819">
      <c r="A819" s="136"/>
      <c r="B819" s="136"/>
      <c r="C819" s="136"/>
      <c r="D819" s="136"/>
      <c r="E819" s="136"/>
      <c r="F819" s="136"/>
      <c r="G819" s="136"/>
      <c r="H819" s="136"/>
      <c r="I819" s="136"/>
      <c r="J819" s="136"/>
      <c r="K819" s="451"/>
      <c r="L819" s="451"/>
      <c r="M819" s="136"/>
      <c r="N819" s="136"/>
      <c r="O819" s="136"/>
      <c r="P819" s="136"/>
      <c r="Q819" s="136"/>
      <c r="R819" s="136"/>
      <c r="S819" s="136"/>
      <c r="T819" s="136"/>
      <c r="U819" s="136"/>
      <c r="V819" s="136"/>
      <c r="W819" s="136"/>
    </row>
    <row r="820">
      <c r="A820" s="136"/>
      <c r="B820" s="136"/>
      <c r="C820" s="136"/>
      <c r="D820" s="136"/>
      <c r="E820" s="136"/>
      <c r="F820" s="136"/>
      <c r="G820" s="136"/>
      <c r="H820" s="136"/>
      <c r="I820" s="136"/>
      <c r="J820" s="136"/>
      <c r="K820" s="451"/>
      <c r="L820" s="451"/>
      <c r="M820" s="136"/>
      <c r="N820" s="136"/>
      <c r="O820" s="136"/>
      <c r="P820" s="136"/>
      <c r="Q820" s="136"/>
      <c r="R820" s="136"/>
      <c r="S820" s="136"/>
      <c r="T820" s="136"/>
      <c r="U820" s="136"/>
      <c r="V820" s="136"/>
      <c r="W820" s="136"/>
    </row>
    <row r="821">
      <c r="A821" s="136"/>
      <c r="B821" s="136"/>
      <c r="C821" s="136"/>
      <c r="D821" s="136"/>
      <c r="E821" s="136"/>
      <c r="F821" s="136"/>
      <c r="G821" s="136"/>
      <c r="H821" s="136"/>
      <c r="I821" s="136"/>
      <c r="J821" s="136"/>
      <c r="K821" s="451"/>
      <c r="L821" s="451"/>
      <c r="M821" s="136"/>
      <c r="N821" s="136"/>
      <c r="O821" s="136"/>
      <c r="P821" s="136"/>
      <c r="Q821" s="136"/>
      <c r="R821" s="136"/>
      <c r="S821" s="136"/>
      <c r="T821" s="136"/>
      <c r="U821" s="136"/>
      <c r="V821" s="136"/>
      <c r="W821" s="136"/>
    </row>
    <row r="822">
      <c r="A822" s="136"/>
      <c r="B822" s="136"/>
      <c r="C822" s="136"/>
      <c r="D822" s="136"/>
      <c r="E822" s="136"/>
      <c r="F822" s="136"/>
      <c r="G822" s="136"/>
      <c r="H822" s="136"/>
      <c r="I822" s="136"/>
      <c r="J822" s="136"/>
      <c r="K822" s="451"/>
      <c r="L822" s="451"/>
      <c r="M822" s="136"/>
      <c r="N822" s="136"/>
      <c r="O822" s="136"/>
      <c r="P822" s="136"/>
      <c r="Q822" s="136"/>
      <c r="R822" s="136"/>
      <c r="S822" s="136"/>
      <c r="T822" s="136"/>
      <c r="U822" s="136"/>
      <c r="V822" s="136"/>
      <c r="W822" s="136"/>
    </row>
    <row r="823">
      <c r="A823" s="136"/>
      <c r="B823" s="136"/>
      <c r="C823" s="136"/>
      <c r="D823" s="136"/>
      <c r="E823" s="136"/>
      <c r="F823" s="136"/>
      <c r="G823" s="136"/>
      <c r="H823" s="136"/>
      <c r="I823" s="136"/>
      <c r="J823" s="136"/>
      <c r="K823" s="451"/>
      <c r="L823" s="451"/>
      <c r="M823" s="136"/>
      <c r="N823" s="136"/>
      <c r="O823" s="136"/>
      <c r="P823" s="136"/>
      <c r="Q823" s="136"/>
      <c r="R823" s="136"/>
      <c r="S823" s="136"/>
      <c r="T823" s="136"/>
      <c r="U823" s="136"/>
      <c r="V823" s="136"/>
      <c r="W823" s="136"/>
    </row>
    <row r="824">
      <c r="A824" s="136"/>
      <c r="B824" s="136"/>
      <c r="C824" s="136"/>
      <c r="D824" s="136"/>
      <c r="E824" s="136"/>
      <c r="F824" s="136"/>
      <c r="G824" s="136"/>
      <c r="H824" s="136"/>
      <c r="I824" s="136"/>
      <c r="J824" s="136"/>
      <c r="K824" s="451"/>
      <c r="L824" s="451"/>
      <c r="M824" s="136"/>
      <c r="N824" s="136"/>
      <c r="O824" s="136"/>
      <c r="P824" s="136"/>
      <c r="Q824" s="136"/>
      <c r="R824" s="136"/>
      <c r="S824" s="136"/>
      <c r="T824" s="136"/>
      <c r="U824" s="136"/>
      <c r="V824" s="136"/>
      <c r="W824" s="136"/>
    </row>
    <row r="825">
      <c r="A825" s="136"/>
      <c r="B825" s="136"/>
      <c r="C825" s="136"/>
      <c r="D825" s="136"/>
      <c r="E825" s="136"/>
      <c r="F825" s="136"/>
      <c r="G825" s="136"/>
      <c r="H825" s="136"/>
      <c r="I825" s="136"/>
      <c r="J825" s="136"/>
      <c r="K825" s="451"/>
      <c r="L825" s="451"/>
      <c r="M825" s="136"/>
      <c r="N825" s="136"/>
      <c r="O825" s="136"/>
      <c r="P825" s="136"/>
      <c r="Q825" s="136"/>
      <c r="R825" s="136"/>
      <c r="S825" s="136"/>
      <c r="T825" s="136"/>
      <c r="U825" s="136"/>
      <c r="V825" s="136"/>
      <c r="W825" s="136"/>
    </row>
    <row r="826">
      <c r="A826" s="136"/>
      <c r="B826" s="136"/>
      <c r="C826" s="136"/>
      <c r="D826" s="136"/>
      <c r="E826" s="136"/>
      <c r="F826" s="136"/>
      <c r="G826" s="136"/>
      <c r="H826" s="136"/>
      <c r="I826" s="136"/>
      <c r="J826" s="136"/>
      <c r="K826" s="451"/>
      <c r="L826" s="451"/>
      <c r="M826" s="136"/>
      <c r="N826" s="136"/>
      <c r="O826" s="136"/>
      <c r="P826" s="136"/>
      <c r="Q826" s="136"/>
      <c r="R826" s="136"/>
      <c r="S826" s="136"/>
      <c r="T826" s="136"/>
      <c r="U826" s="136"/>
      <c r="V826" s="136"/>
      <c r="W826" s="136"/>
    </row>
    <row r="827">
      <c r="A827" s="136"/>
      <c r="B827" s="136"/>
      <c r="C827" s="136"/>
      <c r="D827" s="136"/>
      <c r="E827" s="136"/>
      <c r="F827" s="136"/>
      <c r="G827" s="136"/>
      <c r="H827" s="136"/>
      <c r="I827" s="136"/>
      <c r="J827" s="136"/>
      <c r="K827" s="451"/>
      <c r="L827" s="451"/>
      <c r="M827" s="136"/>
      <c r="N827" s="136"/>
      <c r="O827" s="136"/>
      <c r="P827" s="136"/>
      <c r="Q827" s="136"/>
      <c r="R827" s="136"/>
      <c r="S827" s="136"/>
      <c r="T827" s="136"/>
      <c r="U827" s="136"/>
      <c r="V827" s="136"/>
      <c r="W827" s="136"/>
    </row>
    <row r="828">
      <c r="A828" s="136"/>
      <c r="B828" s="136"/>
      <c r="C828" s="136"/>
      <c r="D828" s="136"/>
      <c r="E828" s="136"/>
      <c r="F828" s="136"/>
      <c r="G828" s="136"/>
      <c r="H828" s="136"/>
      <c r="I828" s="136"/>
      <c r="J828" s="136"/>
      <c r="K828" s="451"/>
      <c r="L828" s="451"/>
      <c r="M828" s="136"/>
      <c r="N828" s="136"/>
      <c r="O828" s="136"/>
      <c r="P828" s="136"/>
      <c r="Q828" s="136"/>
      <c r="R828" s="136"/>
      <c r="S828" s="136"/>
      <c r="T828" s="136"/>
      <c r="U828" s="136"/>
      <c r="V828" s="136"/>
      <c r="W828" s="136"/>
    </row>
    <row r="829">
      <c r="A829" s="136"/>
      <c r="B829" s="136"/>
      <c r="C829" s="136"/>
      <c r="D829" s="136"/>
      <c r="E829" s="136"/>
      <c r="F829" s="136"/>
      <c r="G829" s="136"/>
      <c r="H829" s="136"/>
      <c r="I829" s="136"/>
      <c r="J829" s="136"/>
      <c r="K829" s="451"/>
      <c r="L829" s="451"/>
      <c r="M829" s="136"/>
      <c r="N829" s="136"/>
      <c r="O829" s="136"/>
      <c r="P829" s="136"/>
      <c r="Q829" s="136"/>
      <c r="R829" s="136"/>
      <c r="S829" s="136"/>
      <c r="T829" s="136"/>
      <c r="U829" s="136"/>
      <c r="V829" s="136"/>
      <c r="W829" s="136"/>
    </row>
    <row r="830">
      <c r="A830" s="136"/>
      <c r="B830" s="136"/>
      <c r="C830" s="136"/>
      <c r="D830" s="136"/>
      <c r="E830" s="136"/>
      <c r="F830" s="136"/>
      <c r="G830" s="136"/>
      <c r="H830" s="136"/>
      <c r="I830" s="136"/>
      <c r="J830" s="136"/>
      <c r="K830" s="451"/>
      <c r="L830" s="451"/>
      <c r="M830" s="136"/>
      <c r="N830" s="136"/>
      <c r="O830" s="136"/>
      <c r="P830" s="136"/>
      <c r="Q830" s="136"/>
      <c r="R830" s="136"/>
      <c r="S830" s="136"/>
      <c r="T830" s="136"/>
      <c r="U830" s="136"/>
      <c r="V830" s="136"/>
      <c r="W830" s="136"/>
    </row>
    <row r="831">
      <c r="A831" s="136"/>
      <c r="B831" s="136"/>
      <c r="C831" s="136"/>
      <c r="D831" s="136"/>
      <c r="E831" s="136"/>
      <c r="F831" s="136"/>
      <c r="G831" s="136"/>
      <c r="H831" s="136"/>
      <c r="I831" s="136"/>
      <c r="J831" s="136"/>
      <c r="K831" s="451"/>
      <c r="L831" s="451"/>
      <c r="M831" s="136"/>
      <c r="N831" s="136"/>
      <c r="O831" s="136"/>
      <c r="P831" s="136"/>
      <c r="Q831" s="136"/>
      <c r="R831" s="136"/>
      <c r="S831" s="136"/>
      <c r="T831" s="136"/>
      <c r="U831" s="136"/>
      <c r="V831" s="136"/>
      <c r="W831" s="136"/>
    </row>
    <row r="832">
      <c r="A832" s="136"/>
      <c r="B832" s="136"/>
      <c r="C832" s="136"/>
      <c r="D832" s="136"/>
      <c r="E832" s="136"/>
      <c r="F832" s="136"/>
      <c r="G832" s="136"/>
      <c r="H832" s="136"/>
      <c r="I832" s="136"/>
      <c r="J832" s="136"/>
      <c r="K832" s="451"/>
      <c r="L832" s="451"/>
      <c r="M832" s="136"/>
      <c r="N832" s="136"/>
      <c r="O832" s="136"/>
      <c r="P832" s="136"/>
      <c r="Q832" s="136"/>
      <c r="R832" s="136"/>
      <c r="S832" s="136"/>
      <c r="T832" s="136"/>
      <c r="U832" s="136"/>
      <c r="V832" s="136"/>
      <c r="W832" s="136"/>
    </row>
    <row r="833">
      <c r="A833" s="136"/>
      <c r="B833" s="136"/>
      <c r="C833" s="136"/>
      <c r="D833" s="136"/>
      <c r="E833" s="136"/>
      <c r="F833" s="136"/>
      <c r="G833" s="136"/>
      <c r="H833" s="136"/>
      <c r="I833" s="136"/>
      <c r="J833" s="136"/>
      <c r="K833" s="451"/>
      <c r="L833" s="451"/>
      <c r="M833" s="136"/>
      <c r="N833" s="136"/>
      <c r="O833" s="136"/>
      <c r="P833" s="136"/>
      <c r="Q833" s="136"/>
      <c r="R833" s="136"/>
      <c r="S833" s="136"/>
      <c r="T833" s="136"/>
      <c r="U833" s="136"/>
      <c r="V833" s="136"/>
      <c r="W833" s="136"/>
    </row>
    <row r="834">
      <c r="A834" s="136"/>
      <c r="B834" s="136"/>
      <c r="C834" s="136"/>
      <c r="D834" s="136"/>
      <c r="E834" s="136"/>
      <c r="F834" s="136"/>
      <c r="G834" s="136"/>
      <c r="H834" s="136"/>
      <c r="I834" s="136"/>
      <c r="J834" s="136"/>
      <c r="K834" s="451"/>
      <c r="L834" s="451"/>
      <c r="M834" s="136"/>
      <c r="N834" s="136"/>
      <c r="O834" s="136"/>
      <c r="P834" s="136"/>
      <c r="Q834" s="136"/>
      <c r="R834" s="136"/>
      <c r="S834" s="136"/>
      <c r="T834" s="136"/>
      <c r="U834" s="136"/>
      <c r="V834" s="136"/>
      <c r="W834" s="136"/>
    </row>
    <row r="835">
      <c r="A835" s="136"/>
      <c r="B835" s="136"/>
      <c r="C835" s="136"/>
      <c r="D835" s="136"/>
      <c r="E835" s="136"/>
      <c r="F835" s="136"/>
      <c r="G835" s="136"/>
      <c r="H835" s="136"/>
      <c r="I835" s="136"/>
      <c r="J835" s="136"/>
      <c r="K835" s="451"/>
      <c r="L835" s="451"/>
      <c r="M835" s="136"/>
      <c r="N835" s="136"/>
      <c r="O835" s="136"/>
      <c r="P835" s="136"/>
      <c r="Q835" s="136"/>
      <c r="R835" s="136"/>
      <c r="S835" s="136"/>
      <c r="T835" s="136"/>
      <c r="U835" s="136"/>
      <c r="V835" s="136"/>
      <c r="W835" s="136"/>
    </row>
    <row r="836">
      <c r="A836" s="136"/>
      <c r="B836" s="136"/>
      <c r="C836" s="136"/>
      <c r="D836" s="136"/>
      <c r="E836" s="136"/>
      <c r="F836" s="136"/>
      <c r="G836" s="136"/>
      <c r="H836" s="136"/>
      <c r="I836" s="136"/>
      <c r="J836" s="136"/>
      <c r="K836" s="451"/>
      <c r="L836" s="451"/>
      <c r="M836" s="136"/>
      <c r="N836" s="136"/>
      <c r="O836" s="136"/>
      <c r="P836" s="136"/>
      <c r="Q836" s="136"/>
      <c r="R836" s="136"/>
      <c r="S836" s="136"/>
      <c r="T836" s="136"/>
      <c r="U836" s="136"/>
      <c r="V836" s="136"/>
      <c r="W836" s="136"/>
    </row>
    <row r="837">
      <c r="A837" s="136"/>
      <c r="B837" s="136"/>
      <c r="C837" s="136"/>
      <c r="D837" s="136"/>
      <c r="E837" s="136"/>
      <c r="F837" s="136"/>
      <c r="G837" s="136"/>
      <c r="H837" s="136"/>
      <c r="I837" s="136"/>
      <c r="J837" s="136"/>
      <c r="K837" s="451"/>
      <c r="L837" s="451"/>
      <c r="M837" s="136"/>
      <c r="N837" s="136"/>
      <c r="O837" s="136"/>
      <c r="P837" s="136"/>
      <c r="Q837" s="136"/>
      <c r="R837" s="136"/>
      <c r="S837" s="136"/>
      <c r="T837" s="136"/>
      <c r="U837" s="136"/>
      <c r="V837" s="136"/>
      <c r="W837" s="136"/>
    </row>
    <row r="838">
      <c r="A838" s="136"/>
      <c r="B838" s="136"/>
      <c r="C838" s="136"/>
      <c r="D838" s="136"/>
      <c r="E838" s="136"/>
      <c r="F838" s="136"/>
      <c r="G838" s="136"/>
      <c r="H838" s="136"/>
      <c r="I838" s="136"/>
      <c r="J838" s="136"/>
      <c r="K838" s="451"/>
      <c r="L838" s="451"/>
      <c r="M838" s="136"/>
      <c r="N838" s="136"/>
      <c r="O838" s="136"/>
      <c r="P838" s="136"/>
      <c r="Q838" s="136"/>
      <c r="R838" s="136"/>
      <c r="S838" s="136"/>
      <c r="T838" s="136"/>
      <c r="U838" s="136"/>
      <c r="V838" s="136"/>
      <c r="W838" s="136"/>
    </row>
    <row r="839">
      <c r="A839" s="136"/>
      <c r="B839" s="136"/>
      <c r="C839" s="136"/>
      <c r="D839" s="136"/>
      <c r="E839" s="136"/>
      <c r="F839" s="136"/>
      <c r="G839" s="136"/>
      <c r="H839" s="136"/>
      <c r="I839" s="136"/>
      <c r="J839" s="136"/>
      <c r="K839" s="451"/>
      <c r="L839" s="451"/>
      <c r="M839" s="136"/>
      <c r="N839" s="136"/>
      <c r="O839" s="136"/>
      <c r="P839" s="136"/>
      <c r="Q839" s="136"/>
      <c r="R839" s="136"/>
      <c r="S839" s="136"/>
      <c r="T839" s="136"/>
      <c r="U839" s="136"/>
      <c r="V839" s="136"/>
      <c r="W839" s="136"/>
    </row>
    <row r="840">
      <c r="A840" s="136"/>
      <c r="B840" s="136"/>
      <c r="C840" s="136"/>
      <c r="D840" s="136"/>
      <c r="E840" s="136"/>
      <c r="F840" s="136"/>
      <c r="G840" s="136"/>
      <c r="H840" s="136"/>
      <c r="I840" s="136"/>
      <c r="J840" s="136"/>
      <c r="K840" s="451"/>
      <c r="L840" s="451"/>
      <c r="M840" s="136"/>
      <c r="N840" s="136"/>
      <c r="O840" s="136"/>
      <c r="P840" s="136"/>
      <c r="Q840" s="136"/>
      <c r="R840" s="136"/>
      <c r="S840" s="136"/>
      <c r="T840" s="136"/>
      <c r="U840" s="136"/>
      <c r="V840" s="136"/>
      <c r="W840" s="136"/>
    </row>
    <row r="841">
      <c r="A841" s="136"/>
      <c r="B841" s="136"/>
      <c r="C841" s="136"/>
      <c r="D841" s="136"/>
      <c r="E841" s="136"/>
      <c r="F841" s="136"/>
      <c r="G841" s="136"/>
      <c r="H841" s="136"/>
      <c r="I841" s="136"/>
      <c r="J841" s="136"/>
      <c r="K841" s="451"/>
      <c r="L841" s="451"/>
      <c r="M841" s="136"/>
      <c r="N841" s="136"/>
      <c r="O841" s="136"/>
      <c r="P841" s="136"/>
      <c r="Q841" s="136"/>
      <c r="R841" s="136"/>
      <c r="S841" s="136"/>
      <c r="T841" s="136"/>
      <c r="U841" s="136"/>
      <c r="V841" s="136"/>
      <c r="W841" s="136"/>
    </row>
    <row r="842">
      <c r="A842" s="136"/>
      <c r="B842" s="136"/>
      <c r="C842" s="136"/>
      <c r="D842" s="136"/>
      <c r="E842" s="136"/>
      <c r="F842" s="136"/>
      <c r="G842" s="136"/>
      <c r="H842" s="136"/>
      <c r="I842" s="136"/>
      <c r="J842" s="136"/>
      <c r="K842" s="451"/>
      <c r="L842" s="451"/>
      <c r="M842" s="136"/>
      <c r="N842" s="136"/>
      <c r="O842" s="136"/>
      <c r="P842" s="136"/>
      <c r="Q842" s="136"/>
      <c r="R842" s="136"/>
      <c r="S842" s="136"/>
      <c r="T842" s="136"/>
      <c r="U842" s="136"/>
      <c r="V842" s="136"/>
      <c r="W842" s="136"/>
    </row>
    <row r="843">
      <c r="A843" s="136"/>
      <c r="B843" s="136"/>
      <c r="C843" s="136"/>
      <c r="D843" s="136"/>
      <c r="E843" s="136"/>
      <c r="F843" s="136"/>
      <c r="G843" s="136"/>
      <c r="H843" s="136"/>
      <c r="I843" s="136"/>
      <c r="J843" s="136"/>
      <c r="K843" s="451"/>
      <c r="L843" s="451"/>
      <c r="M843" s="136"/>
      <c r="N843" s="136"/>
      <c r="O843" s="136"/>
      <c r="P843" s="136"/>
      <c r="Q843" s="136"/>
      <c r="R843" s="136"/>
      <c r="S843" s="136"/>
      <c r="T843" s="136"/>
      <c r="U843" s="136"/>
      <c r="V843" s="136"/>
      <c r="W843" s="136"/>
    </row>
    <row r="844">
      <c r="A844" s="136"/>
      <c r="B844" s="136"/>
      <c r="C844" s="136"/>
      <c r="D844" s="136"/>
      <c r="E844" s="136"/>
      <c r="F844" s="136"/>
      <c r="G844" s="136"/>
      <c r="H844" s="136"/>
      <c r="I844" s="136"/>
      <c r="J844" s="136"/>
      <c r="K844" s="451"/>
      <c r="L844" s="451"/>
      <c r="M844" s="136"/>
      <c r="N844" s="136"/>
      <c r="O844" s="136"/>
      <c r="P844" s="136"/>
      <c r="Q844" s="136"/>
      <c r="R844" s="136"/>
      <c r="S844" s="136"/>
      <c r="T844" s="136"/>
      <c r="U844" s="136"/>
      <c r="V844" s="136"/>
      <c r="W844" s="136"/>
    </row>
    <row r="845">
      <c r="A845" s="136"/>
      <c r="B845" s="136"/>
      <c r="C845" s="136"/>
      <c r="D845" s="136"/>
      <c r="E845" s="136"/>
      <c r="F845" s="136"/>
      <c r="G845" s="136"/>
      <c r="H845" s="136"/>
      <c r="I845" s="136"/>
      <c r="J845" s="136"/>
      <c r="K845" s="451"/>
      <c r="L845" s="451"/>
      <c r="M845" s="136"/>
      <c r="N845" s="136"/>
      <c r="O845" s="136"/>
      <c r="P845" s="136"/>
      <c r="Q845" s="136"/>
      <c r="R845" s="136"/>
      <c r="S845" s="136"/>
      <c r="T845" s="136"/>
      <c r="U845" s="136"/>
      <c r="V845" s="136"/>
      <c r="W845" s="136"/>
    </row>
    <row r="846">
      <c r="A846" s="136"/>
      <c r="B846" s="136"/>
      <c r="C846" s="136"/>
      <c r="D846" s="136"/>
      <c r="E846" s="136"/>
      <c r="F846" s="136"/>
      <c r="G846" s="136"/>
      <c r="H846" s="136"/>
      <c r="I846" s="136"/>
      <c r="J846" s="136"/>
      <c r="K846" s="451"/>
      <c r="L846" s="451"/>
      <c r="M846" s="136"/>
      <c r="N846" s="136"/>
      <c r="O846" s="136"/>
      <c r="P846" s="136"/>
      <c r="Q846" s="136"/>
      <c r="R846" s="136"/>
      <c r="S846" s="136"/>
      <c r="T846" s="136"/>
      <c r="U846" s="136"/>
      <c r="V846" s="136"/>
      <c r="W846" s="136"/>
    </row>
    <row r="847">
      <c r="A847" s="136"/>
      <c r="B847" s="136"/>
      <c r="C847" s="136"/>
      <c r="D847" s="136"/>
      <c r="E847" s="136"/>
      <c r="F847" s="136"/>
      <c r="G847" s="136"/>
      <c r="H847" s="136"/>
      <c r="I847" s="136"/>
      <c r="J847" s="136"/>
      <c r="K847" s="451"/>
      <c r="L847" s="451"/>
      <c r="M847" s="136"/>
      <c r="N847" s="136"/>
      <c r="O847" s="136"/>
      <c r="P847" s="136"/>
      <c r="Q847" s="136"/>
      <c r="R847" s="136"/>
      <c r="S847" s="136"/>
      <c r="T847" s="136"/>
      <c r="U847" s="136"/>
      <c r="V847" s="136"/>
      <c r="W847" s="136"/>
    </row>
    <row r="848">
      <c r="A848" s="136"/>
      <c r="B848" s="136"/>
      <c r="C848" s="136"/>
      <c r="D848" s="136"/>
      <c r="E848" s="136"/>
      <c r="F848" s="136"/>
      <c r="G848" s="136"/>
      <c r="H848" s="136"/>
      <c r="I848" s="136"/>
      <c r="J848" s="136"/>
      <c r="K848" s="451"/>
      <c r="L848" s="451"/>
      <c r="M848" s="136"/>
      <c r="N848" s="136"/>
      <c r="O848" s="136"/>
      <c r="P848" s="136"/>
      <c r="Q848" s="136"/>
      <c r="R848" s="136"/>
      <c r="S848" s="136"/>
      <c r="T848" s="136"/>
      <c r="U848" s="136"/>
      <c r="V848" s="136"/>
      <c r="W848" s="136"/>
    </row>
    <row r="849">
      <c r="A849" s="136"/>
      <c r="B849" s="136"/>
      <c r="C849" s="136"/>
      <c r="D849" s="136"/>
      <c r="E849" s="136"/>
      <c r="F849" s="136"/>
      <c r="G849" s="136"/>
      <c r="H849" s="136"/>
      <c r="I849" s="136"/>
      <c r="J849" s="136"/>
      <c r="K849" s="451"/>
      <c r="L849" s="451"/>
      <c r="M849" s="136"/>
      <c r="N849" s="136"/>
      <c r="O849" s="136"/>
      <c r="P849" s="136"/>
      <c r="Q849" s="136"/>
      <c r="R849" s="136"/>
      <c r="S849" s="136"/>
      <c r="T849" s="136"/>
      <c r="U849" s="136"/>
      <c r="V849" s="136"/>
      <c r="W849" s="136"/>
    </row>
    <row r="850">
      <c r="A850" s="136"/>
      <c r="B850" s="136"/>
      <c r="C850" s="136"/>
      <c r="D850" s="136"/>
      <c r="E850" s="136"/>
      <c r="F850" s="136"/>
      <c r="G850" s="136"/>
      <c r="H850" s="136"/>
      <c r="I850" s="136"/>
      <c r="J850" s="136"/>
      <c r="K850" s="451"/>
      <c r="L850" s="451"/>
      <c r="M850" s="136"/>
      <c r="N850" s="136"/>
      <c r="O850" s="136"/>
      <c r="P850" s="136"/>
      <c r="Q850" s="136"/>
      <c r="R850" s="136"/>
      <c r="S850" s="136"/>
      <c r="T850" s="136"/>
      <c r="U850" s="136"/>
      <c r="V850" s="136"/>
      <c r="W850" s="136"/>
    </row>
    <row r="851">
      <c r="A851" s="136"/>
      <c r="B851" s="136"/>
      <c r="C851" s="136"/>
      <c r="D851" s="136"/>
      <c r="E851" s="136"/>
      <c r="F851" s="136"/>
      <c r="G851" s="136"/>
      <c r="H851" s="136"/>
      <c r="I851" s="136"/>
      <c r="J851" s="136"/>
      <c r="K851" s="451"/>
      <c r="L851" s="451"/>
      <c r="M851" s="136"/>
      <c r="N851" s="136"/>
      <c r="O851" s="136"/>
      <c r="P851" s="136"/>
      <c r="Q851" s="136"/>
      <c r="R851" s="136"/>
      <c r="S851" s="136"/>
      <c r="T851" s="136"/>
      <c r="U851" s="136"/>
      <c r="V851" s="136"/>
      <c r="W851" s="136"/>
    </row>
    <row r="852">
      <c r="A852" s="136"/>
      <c r="B852" s="136"/>
      <c r="C852" s="136"/>
      <c r="D852" s="136"/>
      <c r="E852" s="136"/>
      <c r="F852" s="136"/>
      <c r="G852" s="136"/>
      <c r="H852" s="136"/>
      <c r="I852" s="136"/>
      <c r="J852" s="136"/>
      <c r="K852" s="451"/>
      <c r="L852" s="451"/>
      <c r="M852" s="136"/>
      <c r="N852" s="136"/>
      <c r="O852" s="136"/>
      <c r="P852" s="136"/>
      <c r="Q852" s="136"/>
      <c r="R852" s="136"/>
      <c r="S852" s="136"/>
      <c r="T852" s="136"/>
      <c r="U852" s="136"/>
      <c r="V852" s="136"/>
      <c r="W852" s="136"/>
    </row>
    <row r="853">
      <c r="A853" s="136"/>
      <c r="B853" s="136"/>
      <c r="C853" s="136"/>
      <c r="D853" s="136"/>
      <c r="E853" s="136"/>
      <c r="F853" s="136"/>
      <c r="G853" s="136"/>
      <c r="H853" s="136"/>
      <c r="I853" s="136"/>
      <c r="J853" s="136"/>
      <c r="K853" s="451"/>
      <c r="L853" s="451"/>
      <c r="M853" s="136"/>
      <c r="N853" s="136"/>
      <c r="O853" s="136"/>
      <c r="P853" s="136"/>
      <c r="Q853" s="136"/>
      <c r="R853" s="136"/>
      <c r="S853" s="136"/>
      <c r="T853" s="136"/>
      <c r="U853" s="136"/>
      <c r="V853" s="136"/>
      <c r="W853" s="136"/>
    </row>
    <row r="854">
      <c r="A854" s="136"/>
      <c r="B854" s="136"/>
      <c r="C854" s="136"/>
      <c r="D854" s="136"/>
      <c r="E854" s="136"/>
      <c r="F854" s="136"/>
      <c r="G854" s="136"/>
      <c r="H854" s="136"/>
      <c r="I854" s="136"/>
      <c r="J854" s="136"/>
      <c r="K854" s="451"/>
      <c r="L854" s="451"/>
      <c r="M854" s="136"/>
      <c r="N854" s="136"/>
      <c r="O854" s="136"/>
      <c r="P854" s="136"/>
      <c r="Q854" s="136"/>
      <c r="R854" s="136"/>
      <c r="S854" s="136"/>
      <c r="T854" s="136"/>
      <c r="U854" s="136"/>
      <c r="V854" s="136"/>
      <c r="W854" s="136"/>
    </row>
    <row r="855">
      <c r="A855" s="136"/>
      <c r="B855" s="136"/>
      <c r="C855" s="136"/>
      <c r="D855" s="136"/>
      <c r="E855" s="136"/>
      <c r="F855" s="136"/>
      <c r="G855" s="136"/>
      <c r="H855" s="136"/>
      <c r="I855" s="136"/>
      <c r="J855" s="136"/>
      <c r="K855" s="451"/>
      <c r="L855" s="451"/>
      <c r="M855" s="136"/>
      <c r="N855" s="136"/>
      <c r="O855" s="136"/>
      <c r="P855" s="136"/>
      <c r="Q855" s="136"/>
      <c r="R855" s="136"/>
      <c r="S855" s="136"/>
      <c r="T855" s="136"/>
      <c r="U855" s="136"/>
      <c r="V855" s="136"/>
      <c r="W855" s="136"/>
    </row>
    <row r="856">
      <c r="A856" s="136"/>
      <c r="B856" s="136"/>
      <c r="C856" s="136"/>
      <c r="D856" s="136"/>
      <c r="E856" s="136"/>
      <c r="F856" s="136"/>
      <c r="G856" s="136"/>
      <c r="H856" s="136"/>
      <c r="I856" s="136"/>
      <c r="J856" s="136"/>
      <c r="K856" s="451"/>
      <c r="L856" s="451"/>
      <c r="M856" s="136"/>
      <c r="N856" s="136"/>
      <c r="O856" s="136"/>
      <c r="P856" s="136"/>
      <c r="Q856" s="136"/>
      <c r="R856" s="136"/>
      <c r="S856" s="136"/>
      <c r="T856" s="136"/>
      <c r="U856" s="136"/>
      <c r="V856" s="136"/>
      <c r="W856" s="136"/>
    </row>
    <row r="857">
      <c r="A857" s="136"/>
      <c r="B857" s="136"/>
      <c r="C857" s="136"/>
      <c r="D857" s="136"/>
      <c r="E857" s="136"/>
      <c r="F857" s="136"/>
      <c r="G857" s="136"/>
      <c r="H857" s="136"/>
      <c r="I857" s="136"/>
      <c r="J857" s="136"/>
      <c r="K857" s="451"/>
      <c r="L857" s="451"/>
      <c r="M857" s="136"/>
      <c r="N857" s="136"/>
      <c r="O857" s="136"/>
      <c r="P857" s="136"/>
      <c r="Q857" s="136"/>
      <c r="R857" s="136"/>
      <c r="S857" s="136"/>
      <c r="T857" s="136"/>
      <c r="U857" s="136"/>
      <c r="V857" s="136"/>
      <c r="W857" s="136"/>
    </row>
    <row r="858">
      <c r="A858" s="136"/>
      <c r="B858" s="136"/>
      <c r="C858" s="136"/>
      <c r="D858" s="136"/>
      <c r="E858" s="136"/>
      <c r="F858" s="136"/>
      <c r="G858" s="136"/>
      <c r="H858" s="136"/>
      <c r="I858" s="136"/>
      <c r="J858" s="136"/>
      <c r="K858" s="451"/>
      <c r="L858" s="451"/>
      <c r="M858" s="136"/>
      <c r="N858" s="136"/>
      <c r="O858" s="136"/>
      <c r="P858" s="136"/>
      <c r="Q858" s="136"/>
      <c r="R858" s="136"/>
      <c r="S858" s="136"/>
      <c r="T858" s="136"/>
      <c r="U858" s="136"/>
      <c r="V858" s="136"/>
      <c r="W858" s="136"/>
    </row>
    <row r="859">
      <c r="A859" s="136"/>
      <c r="B859" s="136"/>
      <c r="C859" s="136"/>
      <c r="D859" s="136"/>
      <c r="E859" s="136"/>
      <c r="F859" s="136"/>
      <c r="G859" s="136"/>
      <c r="H859" s="136"/>
      <c r="I859" s="136"/>
      <c r="J859" s="136"/>
      <c r="K859" s="451"/>
      <c r="L859" s="451"/>
      <c r="M859" s="136"/>
      <c r="N859" s="136"/>
      <c r="O859" s="136"/>
      <c r="P859" s="136"/>
      <c r="Q859" s="136"/>
      <c r="R859" s="136"/>
      <c r="S859" s="136"/>
      <c r="T859" s="136"/>
      <c r="U859" s="136"/>
      <c r="V859" s="136"/>
      <c r="W859" s="136"/>
    </row>
    <row r="860">
      <c r="A860" s="136"/>
      <c r="B860" s="136"/>
      <c r="C860" s="136"/>
      <c r="D860" s="136"/>
      <c r="E860" s="136"/>
      <c r="F860" s="136"/>
      <c r="G860" s="136"/>
      <c r="H860" s="136"/>
      <c r="I860" s="136"/>
      <c r="J860" s="136"/>
      <c r="K860" s="451"/>
      <c r="L860" s="451"/>
      <c r="M860" s="136"/>
      <c r="N860" s="136"/>
      <c r="O860" s="136"/>
      <c r="P860" s="136"/>
      <c r="Q860" s="136"/>
      <c r="R860" s="136"/>
      <c r="S860" s="136"/>
      <c r="T860" s="136"/>
      <c r="U860" s="136"/>
      <c r="V860" s="136"/>
      <c r="W860" s="136"/>
    </row>
    <row r="861">
      <c r="A861" s="136"/>
      <c r="B861" s="136"/>
      <c r="C861" s="136"/>
      <c r="D861" s="136"/>
      <c r="E861" s="136"/>
      <c r="F861" s="136"/>
      <c r="G861" s="136"/>
      <c r="H861" s="136"/>
      <c r="I861" s="136"/>
      <c r="J861" s="136"/>
      <c r="K861" s="451"/>
      <c r="L861" s="451"/>
      <c r="M861" s="136"/>
      <c r="N861" s="136"/>
      <c r="O861" s="136"/>
      <c r="P861" s="136"/>
      <c r="Q861" s="136"/>
      <c r="R861" s="136"/>
      <c r="S861" s="136"/>
      <c r="T861" s="136"/>
      <c r="U861" s="136"/>
      <c r="V861" s="136"/>
      <c r="W861" s="136"/>
    </row>
    <row r="862">
      <c r="A862" s="136"/>
      <c r="B862" s="136"/>
      <c r="C862" s="136"/>
      <c r="D862" s="136"/>
      <c r="E862" s="136"/>
      <c r="F862" s="136"/>
      <c r="G862" s="136"/>
      <c r="H862" s="136"/>
      <c r="I862" s="136"/>
      <c r="J862" s="136"/>
      <c r="K862" s="451"/>
      <c r="L862" s="451"/>
      <c r="M862" s="136"/>
      <c r="N862" s="136"/>
      <c r="O862" s="136"/>
      <c r="P862" s="136"/>
      <c r="Q862" s="136"/>
      <c r="R862" s="136"/>
      <c r="S862" s="136"/>
      <c r="T862" s="136"/>
      <c r="U862" s="136"/>
      <c r="V862" s="136"/>
      <c r="W862" s="136"/>
    </row>
    <row r="863">
      <c r="A863" s="136"/>
      <c r="B863" s="136"/>
      <c r="C863" s="136"/>
      <c r="D863" s="136"/>
      <c r="E863" s="136"/>
      <c r="F863" s="136"/>
      <c r="G863" s="136"/>
      <c r="H863" s="136"/>
      <c r="I863" s="136"/>
      <c r="J863" s="136"/>
      <c r="K863" s="451"/>
      <c r="L863" s="451"/>
      <c r="M863" s="136"/>
      <c r="N863" s="136"/>
      <c r="O863" s="136"/>
      <c r="P863" s="136"/>
      <c r="Q863" s="136"/>
      <c r="R863" s="136"/>
      <c r="S863" s="136"/>
      <c r="T863" s="136"/>
      <c r="U863" s="136"/>
      <c r="V863" s="136"/>
      <c r="W863" s="136"/>
    </row>
    <row r="864">
      <c r="A864" s="136"/>
      <c r="B864" s="136"/>
      <c r="C864" s="136"/>
      <c r="D864" s="136"/>
      <c r="E864" s="136"/>
      <c r="F864" s="136"/>
      <c r="G864" s="136"/>
      <c r="H864" s="136"/>
      <c r="I864" s="136"/>
      <c r="J864" s="136"/>
      <c r="K864" s="451"/>
      <c r="L864" s="451"/>
      <c r="M864" s="136"/>
      <c r="N864" s="136"/>
      <c r="O864" s="136"/>
      <c r="P864" s="136"/>
      <c r="Q864" s="136"/>
      <c r="R864" s="136"/>
      <c r="S864" s="136"/>
      <c r="T864" s="136"/>
      <c r="U864" s="136"/>
      <c r="V864" s="136"/>
      <c r="W864" s="136"/>
    </row>
    <row r="865">
      <c r="A865" s="136"/>
      <c r="B865" s="136"/>
      <c r="C865" s="136"/>
      <c r="D865" s="136"/>
      <c r="E865" s="136"/>
      <c r="F865" s="136"/>
      <c r="G865" s="136"/>
      <c r="H865" s="136"/>
      <c r="I865" s="136"/>
      <c r="J865" s="136"/>
      <c r="K865" s="451"/>
      <c r="L865" s="451"/>
      <c r="M865" s="136"/>
      <c r="N865" s="136"/>
      <c r="O865" s="136"/>
      <c r="P865" s="136"/>
      <c r="Q865" s="136"/>
      <c r="R865" s="136"/>
      <c r="S865" s="136"/>
      <c r="T865" s="136"/>
      <c r="U865" s="136"/>
      <c r="V865" s="136"/>
      <c r="W865" s="136"/>
    </row>
    <row r="866">
      <c r="A866" s="136"/>
      <c r="B866" s="136"/>
      <c r="C866" s="136"/>
      <c r="D866" s="136"/>
      <c r="E866" s="136"/>
      <c r="F866" s="136"/>
      <c r="G866" s="136"/>
      <c r="H866" s="136"/>
      <c r="I866" s="136"/>
      <c r="J866" s="136"/>
      <c r="K866" s="451"/>
      <c r="L866" s="451"/>
      <c r="M866" s="136"/>
      <c r="N866" s="136"/>
      <c r="O866" s="136"/>
      <c r="P866" s="136"/>
      <c r="Q866" s="136"/>
      <c r="R866" s="136"/>
      <c r="S866" s="136"/>
      <c r="T866" s="136"/>
      <c r="U866" s="136"/>
      <c r="V866" s="136"/>
      <c r="W866" s="136"/>
    </row>
    <row r="867">
      <c r="A867" s="136"/>
      <c r="B867" s="136"/>
      <c r="C867" s="136"/>
      <c r="D867" s="136"/>
      <c r="E867" s="136"/>
      <c r="F867" s="136"/>
      <c r="G867" s="136"/>
      <c r="H867" s="136"/>
      <c r="I867" s="136"/>
      <c r="J867" s="136"/>
      <c r="K867" s="451"/>
      <c r="L867" s="451"/>
      <c r="M867" s="136"/>
      <c r="N867" s="136"/>
      <c r="O867" s="136"/>
      <c r="P867" s="136"/>
      <c r="Q867" s="136"/>
      <c r="R867" s="136"/>
      <c r="S867" s="136"/>
      <c r="T867" s="136"/>
      <c r="U867" s="136"/>
      <c r="V867" s="136"/>
      <c r="W867" s="136"/>
    </row>
    <row r="868">
      <c r="A868" s="136"/>
      <c r="B868" s="136"/>
      <c r="C868" s="136"/>
      <c r="D868" s="136"/>
      <c r="E868" s="136"/>
      <c r="F868" s="136"/>
      <c r="G868" s="136"/>
      <c r="H868" s="136"/>
      <c r="I868" s="136"/>
      <c r="J868" s="136"/>
      <c r="K868" s="451"/>
      <c r="L868" s="451"/>
      <c r="M868" s="136"/>
      <c r="N868" s="136"/>
      <c r="O868" s="136"/>
      <c r="P868" s="136"/>
      <c r="Q868" s="136"/>
      <c r="R868" s="136"/>
      <c r="S868" s="136"/>
      <c r="T868" s="136"/>
      <c r="U868" s="136"/>
      <c r="V868" s="136"/>
      <c r="W868" s="136"/>
    </row>
    <row r="869">
      <c r="A869" s="136"/>
      <c r="B869" s="136"/>
      <c r="C869" s="136"/>
      <c r="D869" s="136"/>
      <c r="E869" s="136"/>
      <c r="F869" s="136"/>
      <c r="G869" s="136"/>
      <c r="H869" s="136"/>
      <c r="I869" s="136"/>
      <c r="J869" s="136"/>
      <c r="K869" s="451"/>
      <c r="L869" s="451"/>
      <c r="M869" s="136"/>
      <c r="N869" s="136"/>
      <c r="O869" s="136"/>
      <c r="P869" s="136"/>
      <c r="Q869" s="136"/>
      <c r="R869" s="136"/>
      <c r="S869" s="136"/>
      <c r="T869" s="136"/>
      <c r="U869" s="136"/>
      <c r="V869" s="136"/>
      <c r="W869" s="136"/>
    </row>
    <row r="870">
      <c r="A870" s="136"/>
      <c r="B870" s="136"/>
      <c r="C870" s="136"/>
      <c r="D870" s="136"/>
      <c r="E870" s="136"/>
      <c r="F870" s="136"/>
      <c r="G870" s="136"/>
      <c r="H870" s="136"/>
      <c r="I870" s="136"/>
      <c r="J870" s="136"/>
      <c r="K870" s="451"/>
      <c r="L870" s="451"/>
      <c r="M870" s="136"/>
      <c r="N870" s="136"/>
      <c r="O870" s="136"/>
      <c r="P870" s="136"/>
      <c r="Q870" s="136"/>
      <c r="R870" s="136"/>
      <c r="S870" s="136"/>
      <c r="T870" s="136"/>
      <c r="U870" s="136"/>
      <c r="V870" s="136"/>
      <c r="W870" s="136"/>
    </row>
    <row r="871">
      <c r="A871" s="136"/>
      <c r="B871" s="136"/>
      <c r="C871" s="136"/>
      <c r="D871" s="136"/>
      <c r="E871" s="136"/>
      <c r="F871" s="136"/>
      <c r="G871" s="136"/>
      <c r="H871" s="136"/>
      <c r="I871" s="136"/>
      <c r="J871" s="136"/>
      <c r="K871" s="451"/>
      <c r="L871" s="451"/>
      <c r="M871" s="136"/>
      <c r="N871" s="136"/>
      <c r="O871" s="136"/>
      <c r="P871" s="136"/>
      <c r="Q871" s="136"/>
      <c r="R871" s="136"/>
      <c r="S871" s="136"/>
      <c r="T871" s="136"/>
      <c r="U871" s="136"/>
      <c r="V871" s="136"/>
      <c r="W871" s="136"/>
    </row>
    <row r="872">
      <c r="A872" s="136"/>
      <c r="B872" s="136"/>
      <c r="C872" s="136"/>
      <c r="D872" s="136"/>
      <c r="E872" s="136"/>
      <c r="F872" s="136"/>
      <c r="G872" s="136"/>
      <c r="H872" s="136"/>
      <c r="I872" s="136"/>
      <c r="J872" s="136"/>
      <c r="K872" s="451"/>
      <c r="L872" s="451"/>
      <c r="M872" s="136"/>
      <c r="N872" s="136"/>
      <c r="O872" s="136"/>
      <c r="P872" s="136"/>
      <c r="Q872" s="136"/>
      <c r="R872" s="136"/>
      <c r="S872" s="136"/>
      <c r="T872" s="136"/>
      <c r="U872" s="136"/>
      <c r="V872" s="136"/>
      <c r="W872" s="136"/>
    </row>
    <row r="873">
      <c r="A873" s="136"/>
      <c r="B873" s="136"/>
      <c r="C873" s="136"/>
      <c r="D873" s="136"/>
      <c r="E873" s="136"/>
      <c r="F873" s="136"/>
      <c r="G873" s="136"/>
      <c r="H873" s="136"/>
      <c r="I873" s="136"/>
      <c r="J873" s="136"/>
      <c r="K873" s="451"/>
      <c r="L873" s="451"/>
      <c r="M873" s="136"/>
      <c r="N873" s="136"/>
      <c r="O873" s="136"/>
      <c r="P873" s="136"/>
      <c r="Q873" s="136"/>
      <c r="R873" s="136"/>
      <c r="S873" s="136"/>
      <c r="T873" s="136"/>
      <c r="U873" s="136"/>
      <c r="V873" s="136"/>
      <c r="W873" s="136"/>
    </row>
    <row r="874">
      <c r="A874" s="136"/>
      <c r="B874" s="136"/>
      <c r="C874" s="136"/>
      <c r="D874" s="136"/>
      <c r="E874" s="136"/>
      <c r="F874" s="136"/>
      <c r="G874" s="136"/>
      <c r="H874" s="136"/>
      <c r="I874" s="136"/>
      <c r="J874" s="136"/>
      <c r="K874" s="451"/>
      <c r="L874" s="451"/>
      <c r="M874" s="136"/>
      <c r="N874" s="136"/>
      <c r="O874" s="136"/>
      <c r="P874" s="136"/>
      <c r="Q874" s="136"/>
      <c r="R874" s="136"/>
      <c r="S874" s="136"/>
      <c r="T874" s="136"/>
      <c r="U874" s="136"/>
      <c r="V874" s="136"/>
      <c r="W874" s="136"/>
    </row>
    <row r="875">
      <c r="A875" s="136"/>
      <c r="B875" s="136"/>
      <c r="C875" s="136"/>
      <c r="D875" s="136"/>
      <c r="E875" s="136"/>
      <c r="F875" s="136"/>
      <c r="G875" s="136"/>
      <c r="H875" s="136"/>
      <c r="I875" s="136"/>
      <c r="J875" s="136"/>
      <c r="K875" s="451"/>
      <c r="L875" s="451"/>
      <c r="M875" s="136"/>
      <c r="N875" s="136"/>
      <c r="O875" s="136"/>
      <c r="P875" s="136"/>
      <c r="Q875" s="136"/>
      <c r="R875" s="136"/>
      <c r="S875" s="136"/>
      <c r="T875" s="136"/>
      <c r="U875" s="136"/>
      <c r="V875" s="136"/>
      <c r="W875" s="136"/>
    </row>
    <row r="876">
      <c r="A876" s="136"/>
      <c r="B876" s="136"/>
      <c r="C876" s="136"/>
      <c r="D876" s="136"/>
      <c r="E876" s="136"/>
      <c r="F876" s="136"/>
      <c r="G876" s="136"/>
      <c r="H876" s="136"/>
      <c r="I876" s="136"/>
      <c r="J876" s="136"/>
      <c r="K876" s="451"/>
      <c r="L876" s="451"/>
      <c r="M876" s="136"/>
      <c r="N876" s="136"/>
      <c r="O876" s="136"/>
      <c r="P876" s="136"/>
      <c r="Q876" s="136"/>
      <c r="R876" s="136"/>
      <c r="S876" s="136"/>
      <c r="T876" s="136"/>
      <c r="U876" s="136"/>
      <c r="V876" s="136"/>
      <c r="W876" s="136"/>
    </row>
    <row r="877">
      <c r="A877" s="136"/>
      <c r="B877" s="136"/>
      <c r="C877" s="136"/>
      <c r="D877" s="136"/>
      <c r="E877" s="136"/>
      <c r="F877" s="136"/>
      <c r="G877" s="136"/>
      <c r="H877" s="136"/>
      <c r="I877" s="136"/>
      <c r="J877" s="136"/>
      <c r="K877" s="451"/>
      <c r="L877" s="451"/>
      <c r="M877" s="136"/>
      <c r="N877" s="136"/>
      <c r="O877" s="136"/>
      <c r="P877" s="136"/>
      <c r="Q877" s="136"/>
      <c r="R877" s="136"/>
      <c r="S877" s="136"/>
      <c r="T877" s="136"/>
      <c r="U877" s="136"/>
      <c r="V877" s="136"/>
      <c r="W877" s="136"/>
    </row>
    <row r="878">
      <c r="A878" s="136"/>
      <c r="B878" s="136"/>
      <c r="C878" s="136"/>
      <c r="D878" s="136"/>
      <c r="E878" s="136"/>
      <c r="F878" s="136"/>
      <c r="G878" s="136"/>
      <c r="H878" s="136"/>
      <c r="I878" s="136"/>
      <c r="J878" s="136"/>
      <c r="K878" s="451"/>
      <c r="L878" s="451"/>
      <c r="M878" s="136"/>
      <c r="N878" s="136"/>
      <c r="O878" s="136"/>
      <c r="P878" s="136"/>
      <c r="Q878" s="136"/>
      <c r="R878" s="136"/>
      <c r="S878" s="136"/>
      <c r="T878" s="136"/>
      <c r="U878" s="136"/>
      <c r="V878" s="136"/>
      <c r="W878" s="136"/>
    </row>
    <row r="879">
      <c r="A879" s="136"/>
      <c r="B879" s="136"/>
      <c r="C879" s="136"/>
      <c r="D879" s="136"/>
      <c r="E879" s="136"/>
      <c r="F879" s="136"/>
      <c r="G879" s="136"/>
      <c r="H879" s="136"/>
      <c r="I879" s="136"/>
      <c r="J879" s="136"/>
      <c r="K879" s="451"/>
      <c r="L879" s="451"/>
      <c r="M879" s="136"/>
      <c r="N879" s="136"/>
      <c r="O879" s="136"/>
      <c r="P879" s="136"/>
      <c r="Q879" s="136"/>
      <c r="R879" s="136"/>
      <c r="S879" s="136"/>
      <c r="T879" s="136"/>
      <c r="U879" s="136"/>
      <c r="V879" s="136"/>
      <c r="W879" s="136"/>
    </row>
    <row r="880">
      <c r="A880" s="136"/>
      <c r="B880" s="136"/>
      <c r="C880" s="136"/>
      <c r="D880" s="136"/>
      <c r="E880" s="136"/>
      <c r="F880" s="136"/>
      <c r="G880" s="136"/>
      <c r="H880" s="136"/>
      <c r="I880" s="136"/>
      <c r="J880" s="136"/>
      <c r="K880" s="451"/>
      <c r="L880" s="451"/>
      <c r="M880" s="136"/>
      <c r="N880" s="136"/>
      <c r="O880" s="136"/>
      <c r="P880" s="136"/>
      <c r="Q880" s="136"/>
      <c r="R880" s="136"/>
      <c r="S880" s="136"/>
      <c r="T880" s="136"/>
      <c r="U880" s="136"/>
      <c r="V880" s="136"/>
      <c r="W880" s="136"/>
    </row>
    <row r="881">
      <c r="A881" s="136"/>
      <c r="B881" s="136"/>
      <c r="C881" s="136"/>
      <c r="D881" s="136"/>
      <c r="E881" s="136"/>
      <c r="F881" s="136"/>
      <c r="G881" s="136"/>
      <c r="H881" s="136"/>
      <c r="I881" s="136"/>
      <c r="J881" s="136"/>
      <c r="K881" s="451"/>
      <c r="L881" s="451"/>
      <c r="M881" s="136"/>
      <c r="N881" s="136"/>
      <c r="O881" s="136"/>
      <c r="P881" s="136"/>
      <c r="Q881" s="136"/>
      <c r="R881" s="136"/>
      <c r="S881" s="136"/>
      <c r="T881" s="136"/>
      <c r="U881" s="136"/>
      <c r="V881" s="136"/>
      <c r="W881" s="136"/>
    </row>
    <row r="882">
      <c r="A882" s="136"/>
      <c r="B882" s="136"/>
      <c r="C882" s="136"/>
      <c r="D882" s="136"/>
      <c r="E882" s="136"/>
      <c r="F882" s="136"/>
      <c r="G882" s="136"/>
      <c r="H882" s="136"/>
      <c r="I882" s="136"/>
      <c r="J882" s="136"/>
      <c r="K882" s="451"/>
      <c r="L882" s="451"/>
      <c r="M882" s="136"/>
      <c r="N882" s="136"/>
      <c r="O882" s="136"/>
      <c r="P882" s="136"/>
      <c r="Q882" s="136"/>
      <c r="R882" s="136"/>
      <c r="S882" s="136"/>
      <c r="T882" s="136"/>
      <c r="U882" s="136"/>
      <c r="V882" s="136"/>
      <c r="W882" s="136"/>
    </row>
    <row r="883">
      <c r="A883" s="136"/>
      <c r="B883" s="136"/>
      <c r="C883" s="136"/>
      <c r="D883" s="136"/>
      <c r="E883" s="136"/>
      <c r="F883" s="136"/>
      <c r="G883" s="136"/>
      <c r="H883" s="136"/>
      <c r="I883" s="136"/>
      <c r="J883" s="136"/>
      <c r="K883" s="451"/>
      <c r="L883" s="451"/>
      <c r="M883" s="136"/>
      <c r="N883" s="136"/>
      <c r="O883" s="136"/>
      <c r="P883" s="136"/>
      <c r="Q883" s="136"/>
      <c r="R883" s="136"/>
      <c r="S883" s="136"/>
      <c r="T883" s="136"/>
      <c r="U883" s="136"/>
      <c r="V883" s="136"/>
      <c r="W883" s="136"/>
    </row>
    <row r="884">
      <c r="A884" s="136"/>
      <c r="B884" s="136"/>
      <c r="C884" s="136"/>
      <c r="D884" s="136"/>
      <c r="E884" s="136"/>
      <c r="F884" s="136"/>
      <c r="G884" s="136"/>
      <c r="H884" s="136"/>
      <c r="I884" s="136"/>
      <c r="J884" s="136"/>
      <c r="K884" s="451"/>
      <c r="L884" s="451"/>
      <c r="M884" s="136"/>
      <c r="N884" s="136"/>
      <c r="O884" s="136"/>
      <c r="P884" s="136"/>
      <c r="Q884" s="136"/>
      <c r="R884" s="136"/>
      <c r="S884" s="136"/>
      <c r="T884" s="136"/>
      <c r="U884" s="136"/>
      <c r="V884" s="136"/>
      <c r="W884" s="136"/>
    </row>
    <row r="885">
      <c r="A885" s="136"/>
      <c r="B885" s="136"/>
      <c r="C885" s="136"/>
      <c r="D885" s="136"/>
      <c r="E885" s="136"/>
      <c r="F885" s="136"/>
      <c r="G885" s="136"/>
      <c r="H885" s="136"/>
      <c r="I885" s="136"/>
      <c r="J885" s="136"/>
      <c r="K885" s="451"/>
      <c r="L885" s="451"/>
      <c r="M885" s="136"/>
      <c r="N885" s="136"/>
      <c r="O885" s="136"/>
      <c r="P885" s="136"/>
      <c r="Q885" s="136"/>
      <c r="R885" s="136"/>
      <c r="S885" s="136"/>
      <c r="T885" s="136"/>
      <c r="U885" s="136"/>
      <c r="V885" s="136"/>
      <c r="W885" s="136"/>
    </row>
    <row r="886">
      <c r="A886" s="136"/>
      <c r="B886" s="136"/>
      <c r="C886" s="136"/>
      <c r="D886" s="136"/>
      <c r="E886" s="136"/>
      <c r="F886" s="136"/>
      <c r="G886" s="136"/>
      <c r="H886" s="136"/>
      <c r="I886" s="136"/>
      <c r="J886" s="136"/>
      <c r="K886" s="451"/>
      <c r="L886" s="451"/>
      <c r="M886" s="136"/>
      <c r="N886" s="136"/>
      <c r="O886" s="136"/>
      <c r="P886" s="136"/>
      <c r="Q886" s="136"/>
      <c r="R886" s="136"/>
      <c r="S886" s="136"/>
      <c r="T886" s="136"/>
      <c r="U886" s="136"/>
      <c r="V886" s="136"/>
      <c r="W886" s="136"/>
    </row>
    <row r="887">
      <c r="A887" s="136"/>
      <c r="B887" s="136"/>
      <c r="C887" s="136"/>
      <c r="D887" s="136"/>
      <c r="E887" s="136"/>
      <c r="F887" s="136"/>
      <c r="G887" s="136"/>
      <c r="H887" s="136"/>
      <c r="I887" s="136"/>
      <c r="J887" s="136"/>
      <c r="K887" s="451"/>
      <c r="L887" s="451"/>
      <c r="M887" s="136"/>
      <c r="N887" s="136"/>
      <c r="O887" s="136"/>
      <c r="P887" s="136"/>
      <c r="Q887" s="136"/>
      <c r="R887" s="136"/>
      <c r="S887" s="136"/>
      <c r="T887" s="136"/>
      <c r="U887" s="136"/>
      <c r="V887" s="136"/>
      <c r="W887" s="136"/>
    </row>
    <row r="888">
      <c r="A888" s="136"/>
      <c r="B888" s="136"/>
      <c r="C888" s="136"/>
      <c r="D888" s="136"/>
      <c r="E888" s="136"/>
      <c r="F888" s="136"/>
      <c r="G888" s="136"/>
      <c r="H888" s="136"/>
      <c r="I888" s="136"/>
      <c r="J888" s="136"/>
      <c r="K888" s="451"/>
      <c r="L888" s="451"/>
      <c r="M888" s="136"/>
      <c r="N888" s="136"/>
      <c r="O888" s="136"/>
      <c r="P888" s="136"/>
      <c r="Q888" s="136"/>
      <c r="R888" s="136"/>
      <c r="S888" s="136"/>
      <c r="T888" s="136"/>
      <c r="U888" s="136"/>
      <c r="V888" s="136"/>
      <c r="W888" s="136"/>
    </row>
    <row r="889">
      <c r="A889" s="136"/>
      <c r="B889" s="136"/>
      <c r="C889" s="136"/>
      <c r="D889" s="136"/>
      <c r="E889" s="136"/>
      <c r="F889" s="136"/>
      <c r="G889" s="136"/>
      <c r="H889" s="136"/>
      <c r="I889" s="136"/>
      <c r="J889" s="136"/>
      <c r="K889" s="451"/>
      <c r="L889" s="451"/>
      <c r="M889" s="136"/>
      <c r="N889" s="136"/>
      <c r="O889" s="136"/>
      <c r="P889" s="136"/>
      <c r="Q889" s="136"/>
      <c r="R889" s="136"/>
      <c r="S889" s="136"/>
      <c r="T889" s="136"/>
      <c r="U889" s="136"/>
      <c r="V889" s="136"/>
      <c r="W889" s="136"/>
    </row>
    <row r="890">
      <c r="A890" s="136"/>
      <c r="B890" s="136"/>
      <c r="C890" s="136"/>
      <c r="D890" s="136"/>
      <c r="E890" s="136"/>
      <c r="F890" s="136"/>
      <c r="G890" s="136"/>
      <c r="H890" s="136"/>
      <c r="I890" s="136"/>
      <c r="J890" s="136"/>
      <c r="K890" s="451"/>
      <c r="L890" s="451"/>
      <c r="M890" s="136"/>
      <c r="N890" s="136"/>
      <c r="O890" s="136"/>
      <c r="P890" s="136"/>
      <c r="Q890" s="136"/>
      <c r="R890" s="136"/>
      <c r="S890" s="136"/>
      <c r="T890" s="136"/>
      <c r="U890" s="136"/>
      <c r="V890" s="136"/>
      <c r="W890" s="136"/>
    </row>
    <row r="891">
      <c r="A891" s="136"/>
      <c r="B891" s="136"/>
      <c r="C891" s="136"/>
      <c r="D891" s="136"/>
      <c r="E891" s="136"/>
      <c r="F891" s="136"/>
      <c r="G891" s="136"/>
      <c r="H891" s="136"/>
      <c r="I891" s="136"/>
      <c r="J891" s="136"/>
      <c r="K891" s="451"/>
      <c r="L891" s="451"/>
      <c r="M891" s="136"/>
      <c r="N891" s="136"/>
      <c r="O891" s="136"/>
      <c r="P891" s="136"/>
      <c r="Q891" s="136"/>
      <c r="R891" s="136"/>
      <c r="S891" s="136"/>
      <c r="T891" s="136"/>
      <c r="U891" s="136"/>
      <c r="V891" s="136"/>
      <c r="W891" s="136"/>
    </row>
    <row r="892">
      <c r="A892" s="136"/>
      <c r="B892" s="136"/>
      <c r="C892" s="136"/>
      <c r="D892" s="136"/>
      <c r="E892" s="136"/>
      <c r="F892" s="136"/>
      <c r="G892" s="136"/>
      <c r="H892" s="136"/>
      <c r="I892" s="136"/>
      <c r="J892" s="136"/>
      <c r="K892" s="451"/>
      <c r="L892" s="451"/>
      <c r="M892" s="136"/>
      <c r="N892" s="136"/>
      <c r="O892" s="136"/>
      <c r="P892" s="136"/>
      <c r="Q892" s="136"/>
      <c r="R892" s="136"/>
      <c r="S892" s="136"/>
      <c r="T892" s="136"/>
      <c r="U892" s="136"/>
      <c r="V892" s="136"/>
      <c r="W892" s="136"/>
    </row>
    <row r="893">
      <c r="A893" s="136"/>
      <c r="B893" s="136"/>
      <c r="C893" s="136"/>
      <c r="D893" s="136"/>
      <c r="E893" s="136"/>
      <c r="F893" s="136"/>
      <c r="G893" s="136"/>
      <c r="H893" s="136"/>
      <c r="I893" s="136"/>
      <c r="J893" s="136"/>
      <c r="K893" s="451"/>
      <c r="L893" s="451"/>
      <c r="M893" s="136"/>
      <c r="N893" s="136"/>
      <c r="O893" s="136"/>
      <c r="P893" s="136"/>
      <c r="Q893" s="136"/>
      <c r="R893" s="136"/>
      <c r="S893" s="136"/>
      <c r="T893" s="136"/>
      <c r="U893" s="136"/>
      <c r="V893" s="136"/>
      <c r="W893" s="136"/>
    </row>
    <row r="894">
      <c r="A894" s="136"/>
      <c r="B894" s="136"/>
      <c r="C894" s="136"/>
      <c r="D894" s="136"/>
      <c r="E894" s="136"/>
      <c r="F894" s="136"/>
      <c r="G894" s="136"/>
      <c r="H894" s="136"/>
      <c r="I894" s="136"/>
      <c r="J894" s="136"/>
      <c r="K894" s="451"/>
      <c r="L894" s="451"/>
      <c r="M894" s="136"/>
      <c r="N894" s="136"/>
      <c r="O894" s="136"/>
      <c r="P894" s="136"/>
      <c r="Q894" s="136"/>
      <c r="R894" s="136"/>
      <c r="S894" s="136"/>
      <c r="T894" s="136"/>
      <c r="U894" s="136"/>
      <c r="V894" s="136"/>
      <c r="W894" s="136"/>
    </row>
    <row r="895">
      <c r="A895" s="136"/>
      <c r="B895" s="136"/>
      <c r="C895" s="136"/>
      <c r="D895" s="136"/>
      <c r="E895" s="136"/>
      <c r="F895" s="136"/>
      <c r="G895" s="136"/>
      <c r="H895" s="136"/>
      <c r="I895" s="136"/>
      <c r="J895" s="136"/>
      <c r="K895" s="451"/>
      <c r="L895" s="451"/>
      <c r="M895" s="136"/>
      <c r="N895" s="136"/>
      <c r="O895" s="136"/>
      <c r="P895" s="136"/>
      <c r="Q895" s="136"/>
      <c r="R895" s="136"/>
      <c r="S895" s="136"/>
      <c r="T895" s="136"/>
      <c r="U895" s="136"/>
      <c r="V895" s="136"/>
      <c r="W895" s="136"/>
    </row>
    <row r="896">
      <c r="A896" s="136"/>
      <c r="B896" s="136"/>
      <c r="C896" s="136"/>
      <c r="D896" s="136"/>
      <c r="E896" s="136"/>
      <c r="F896" s="136"/>
      <c r="G896" s="136"/>
      <c r="H896" s="136"/>
      <c r="I896" s="136"/>
      <c r="J896" s="136"/>
      <c r="K896" s="451"/>
      <c r="L896" s="451"/>
      <c r="M896" s="136"/>
      <c r="N896" s="136"/>
      <c r="O896" s="136"/>
      <c r="P896" s="136"/>
      <c r="Q896" s="136"/>
      <c r="R896" s="136"/>
      <c r="S896" s="136"/>
      <c r="T896" s="136"/>
      <c r="U896" s="136"/>
      <c r="V896" s="136"/>
      <c r="W896" s="136"/>
    </row>
    <row r="897">
      <c r="A897" s="136"/>
      <c r="B897" s="136"/>
      <c r="C897" s="136"/>
      <c r="D897" s="136"/>
      <c r="E897" s="136"/>
      <c r="F897" s="136"/>
      <c r="G897" s="136"/>
      <c r="H897" s="136"/>
      <c r="I897" s="136"/>
      <c r="J897" s="136"/>
      <c r="K897" s="451"/>
      <c r="L897" s="451"/>
      <c r="M897" s="136"/>
      <c r="N897" s="136"/>
      <c r="O897" s="136"/>
      <c r="P897" s="136"/>
      <c r="Q897" s="136"/>
      <c r="R897" s="136"/>
      <c r="S897" s="136"/>
      <c r="T897" s="136"/>
      <c r="U897" s="136"/>
      <c r="V897" s="136"/>
      <c r="W897" s="136"/>
    </row>
    <row r="898">
      <c r="A898" s="136"/>
      <c r="B898" s="136"/>
      <c r="C898" s="136"/>
      <c r="D898" s="136"/>
      <c r="E898" s="136"/>
      <c r="F898" s="136"/>
      <c r="G898" s="136"/>
      <c r="H898" s="136"/>
      <c r="I898" s="136"/>
      <c r="J898" s="136"/>
      <c r="K898" s="451"/>
      <c r="L898" s="451"/>
      <c r="M898" s="136"/>
      <c r="N898" s="136"/>
      <c r="O898" s="136"/>
      <c r="P898" s="136"/>
      <c r="Q898" s="136"/>
      <c r="R898" s="136"/>
      <c r="S898" s="136"/>
      <c r="T898" s="136"/>
      <c r="U898" s="136"/>
      <c r="V898" s="136"/>
      <c r="W898" s="136"/>
    </row>
    <row r="899">
      <c r="A899" s="136"/>
      <c r="B899" s="136"/>
      <c r="C899" s="136"/>
      <c r="D899" s="136"/>
      <c r="E899" s="136"/>
      <c r="F899" s="136"/>
      <c r="G899" s="136"/>
      <c r="H899" s="136"/>
      <c r="I899" s="136"/>
      <c r="J899" s="136"/>
      <c r="K899" s="451"/>
      <c r="L899" s="451"/>
      <c r="M899" s="136"/>
      <c r="N899" s="136"/>
      <c r="O899" s="136"/>
      <c r="P899" s="136"/>
      <c r="Q899" s="136"/>
      <c r="R899" s="136"/>
      <c r="S899" s="136"/>
      <c r="T899" s="136"/>
      <c r="U899" s="136"/>
      <c r="V899" s="136"/>
      <c r="W899" s="136"/>
    </row>
    <row r="900">
      <c r="A900" s="136"/>
      <c r="B900" s="136"/>
      <c r="C900" s="136"/>
      <c r="D900" s="136"/>
      <c r="E900" s="136"/>
      <c r="F900" s="136"/>
      <c r="G900" s="136"/>
      <c r="H900" s="136"/>
      <c r="I900" s="136"/>
      <c r="J900" s="136"/>
      <c r="K900" s="451"/>
      <c r="L900" s="451"/>
      <c r="M900" s="136"/>
      <c r="N900" s="136"/>
      <c r="O900" s="136"/>
      <c r="P900" s="136"/>
      <c r="Q900" s="136"/>
      <c r="R900" s="136"/>
      <c r="S900" s="136"/>
      <c r="T900" s="136"/>
      <c r="U900" s="136"/>
      <c r="V900" s="136"/>
      <c r="W900" s="136"/>
    </row>
    <row r="901">
      <c r="A901" s="136"/>
      <c r="B901" s="136"/>
      <c r="C901" s="136"/>
      <c r="D901" s="136"/>
      <c r="E901" s="136"/>
      <c r="F901" s="136"/>
      <c r="G901" s="136"/>
      <c r="H901" s="136"/>
      <c r="I901" s="136"/>
      <c r="J901" s="136"/>
      <c r="K901" s="451"/>
      <c r="L901" s="451"/>
      <c r="M901" s="136"/>
      <c r="N901" s="136"/>
      <c r="O901" s="136"/>
      <c r="P901" s="136"/>
      <c r="Q901" s="136"/>
      <c r="R901" s="136"/>
      <c r="S901" s="136"/>
      <c r="T901" s="136"/>
      <c r="U901" s="136"/>
      <c r="V901" s="136"/>
      <c r="W901" s="136"/>
    </row>
    <row r="902">
      <c r="A902" s="136"/>
      <c r="B902" s="136"/>
      <c r="C902" s="136"/>
      <c r="D902" s="136"/>
      <c r="E902" s="136"/>
      <c r="F902" s="136"/>
      <c r="G902" s="136"/>
      <c r="H902" s="136"/>
      <c r="I902" s="136"/>
      <c r="J902" s="136"/>
      <c r="K902" s="451"/>
      <c r="L902" s="451"/>
      <c r="M902" s="136"/>
      <c r="N902" s="136"/>
      <c r="O902" s="136"/>
      <c r="P902" s="136"/>
      <c r="Q902" s="136"/>
      <c r="R902" s="136"/>
      <c r="S902" s="136"/>
      <c r="T902" s="136"/>
      <c r="U902" s="136"/>
      <c r="V902" s="136"/>
      <c r="W902" s="136"/>
    </row>
    <row r="903">
      <c r="A903" s="136"/>
      <c r="B903" s="136"/>
      <c r="C903" s="136"/>
      <c r="D903" s="136"/>
      <c r="E903" s="136"/>
      <c r="F903" s="136"/>
      <c r="G903" s="136"/>
      <c r="H903" s="136"/>
      <c r="I903" s="136"/>
      <c r="J903" s="136"/>
      <c r="K903" s="451"/>
      <c r="L903" s="451"/>
      <c r="M903" s="136"/>
      <c r="N903" s="136"/>
      <c r="O903" s="136"/>
      <c r="P903" s="136"/>
      <c r="Q903" s="136"/>
      <c r="R903" s="136"/>
      <c r="S903" s="136"/>
      <c r="T903" s="136"/>
      <c r="U903" s="136"/>
      <c r="V903" s="136"/>
      <c r="W903" s="136"/>
    </row>
    <row r="904">
      <c r="A904" s="136"/>
      <c r="B904" s="136"/>
      <c r="C904" s="136"/>
      <c r="D904" s="136"/>
      <c r="E904" s="136"/>
      <c r="F904" s="136"/>
      <c r="G904" s="136"/>
      <c r="H904" s="136"/>
      <c r="I904" s="136"/>
      <c r="J904" s="136"/>
      <c r="K904" s="451"/>
      <c r="L904" s="451"/>
      <c r="M904" s="136"/>
      <c r="N904" s="136"/>
      <c r="O904" s="136"/>
      <c r="P904" s="136"/>
      <c r="Q904" s="136"/>
      <c r="R904" s="136"/>
      <c r="S904" s="136"/>
      <c r="T904" s="136"/>
      <c r="U904" s="136"/>
      <c r="V904" s="136"/>
      <c r="W904" s="136"/>
    </row>
    <row r="905">
      <c r="A905" s="136"/>
      <c r="B905" s="136"/>
      <c r="C905" s="136"/>
      <c r="D905" s="136"/>
      <c r="E905" s="136"/>
      <c r="F905" s="136"/>
      <c r="G905" s="136"/>
      <c r="H905" s="136"/>
      <c r="I905" s="136"/>
      <c r="J905" s="136"/>
      <c r="K905" s="451"/>
      <c r="L905" s="451"/>
      <c r="M905" s="136"/>
      <c r="N905" s="136"/>
      <c r="O905" s="136"/>
      <c r="P905" s="136"/>
      <c r="Q905" s="136"/>
      <c r="R905" s="136"/>
      <c r="S905" s="136"/>
      <c r="T905" s="136"/>
      <c r="U905" s="136"/>
      <c r="V905" s="136"/>
      <c r="W905" s="136"/>
    </row>
    <row r="906">
      <c r="A906" s="136"/>
      <c r="B906" s="136"/>
      <c r="C906" s="136"/>
      <c r="D906" s="136"/>
      <c r="E906" s="136"/>
      <c r="F906" s="136"/>
      <c r="G906" s="136"/>
      <c r="H906" s="136"/>
      <c r="I906" s="136"/>
      <c r="J906" s="136"/>
      <c r="K906" s="451"/>
      <c r="L906" s="451"/>
      <c r="M906" s="136"/>
      <c r="N906" s="136"/>
      <c r="O906" s="136"/>
      <c r="P906" s="136"/>
      <c r="Q906" s="136"/>
      <c r="R906" s="136"/>
      <c r="S906" s="136"/>
      <c r="T906" s="136"/>
      <c r="U906" s="136"/>
      <c r="V906" s="136"/>
      <c r="W906" s="136"/>
    </row>
    <row r="907">
      <c r="A907" s="136"/>
      <c r="B907" s="136"/>
      <c r="C907" s="136"/>
      <c r="D907" s="136"/>
      <c r="E907" s="136"/>
      <c r="F907" s="136"/>
      <c r="G907" s="136"/>
      <c r="H907" s="136"/>
      <c r="I907" s="136"/>
      <c r="J907" s="136"/>
      <c r="K907" s="451"/>
      <c r="L907" s="451"/>
      <c r="M907" s="136"/>
      <c r="N907" s="136"/>
      <c r="O907" s="136"/>
      <c r="P907" s="136"/>
      <c r="Q907" s="136"/>
      <c r="R907" s="136"/>
      <c r="S907" s="136"/>
      <c r="T907" s="136"/>
      <c r="U907" s="136"/>
      <c r="V907" s="136"/>
      <c r="W907" s="136"/>
    </row>
    <row r="908">
      <c r="A908" s="136"/>
      <c r="B908" s="136"/>
      <c r="C908" s="136"/>
      <c r="D908" s="136"/>
      <c r="E908" s="136"/>
      <c r="F908" s="136"/>
      <c r="G908" s="136"/>
      <c r="H908" s="136"/>
      <c r="I908" s="136"/>
      <c r="J908" s="136"/>
      <c r="K908" s="451"/>
      <c r="L908" s="451"/>
      <c r="M908" s="136"/>
      <c r="N908" s="136"/>
      <c r="O908" s="136"/>
      <c r="P908" s="136"/>
      <c r="Q908" s="136"/>
      <c r="R908" s="136"/>
      <c r="S908" s="136"/>
      <c r="T908" s="136"/>
      <c r="U908" s="136"/>
      <c r="V908" s="136"/>
      <c r="W908" s="136"/>
    </row>
    <row r="909">
      <c r="A909" s="136"/>
      <c r="B909" s="136"/>
      <c r="C909" s="136"/>
      <c r="D909" s="136"/>
      <c r="E909" s="136"/>
      <c r="F909" s="136"/>
      <c r="G909" s="136"/>
      <c r="H909" s="136"/>
      <c r="I909" s="136"/>
      <c r="J909" s="136"/>
      <c r="K909" s="451"/>
      <c r="L909" s="451"/>
      <c r="M909" s="136"/>
      <c r="N909" s="136"/>
      <c r="O909" s="136"/>
      <c r="P909" s="136"/>
      <c r="Q909" s="136"/>
      <c r="R909" s="136"/>
      <c r="S909" s="136"/>
      <c r="T909" s="136"/>
      <c r="U909" s="136"/>
      <c r="V909" s="136"/>
      <c r="W909" s="136"/>
    </row>
    <row r="910">
      <c r="A910" s="136"/>
      <c r="B910" s="136"/>
      <c r="C910" s="136"/>
      <c r="D910" s="136"/>
      <c r="E910" s="136"/>
      <c r="F910" s="136"/>
      <c r="G910" s="136"/>
      <c r="H910" s="136"/>
      <c r="I910" s="136"/>
      <c r="J910" s="136"/>
      <c r="K910" s="451"/>
      <c r="L910" s="451"/>
      <c r="M910" s="136"/>
      <c r="N910" s="136"/>
      <c r="O910" s="136"/>
      <c r="P910" s="136"/>
      <c r="Q910" s="136"/>
      <c r="R910" s="136"/>
      <c r="S910" s="136"/>
      <c r="T910" s="136"/>
      <c r="U910" s="136"/>
      <c r="V910" s="136"/>
      <c r="W910" s="136"/>
    </row>
    <row r="911">
      <c r="A911" s="136"/>
      <c r="B911" s="136"/>
      <c r="C911" s="136"/>
      <c r="D911" s="136"/>
      <c r="E911" s="136"/>
      <c r="F911" s="136"/>
      <c r="G911" s="136"/>
      <c r="H911" s="136"/>
      <c r="I911" s="136"/>
      <c r="J911" s="136"/>
      <c r="K911" s="451"/>
      <c r="L911" s="451"/>
      <c r="M911" s="136"/>
      <c r="N911" s="136"/>
      <c r="O911" s="136"/>
      <c r="P911" s="136"/>
      <c r="Q911" s="136"/>
      <c r="R911" s="136"/>
      <c r="S911" s="136"/>
      <c r="T911" s="136"/>
      <c r="U911" s="136"/>
      <c r="V911" s="136"/>
      <c r="W911" s="136"/>
    </row>
    <row r="912">
      <c r="A912" s="136"/>
      <c r="B912" s="136"/>
      <c r="C912" s="136"/>
      <c r="D912" s="136"/>
      <c r="E912" s="136"/>
      <c r="F912" s="136"/>
      <c r="G912" s="136"/>
      <c r="H912" s="136"/>
      <c r="I912" s="136"/>
      <c r="J912" s="136"/>
      <c r="K912" s="451"/>
      <c r="L912" s="451"/>
      <c r="M912" s="136"/>
      <c r="N912" s="136"/>
      <c r="O912" s="136"/>
      <c r="P912" s="136"/>
      <c r="Q912" s="136"/>
      <c r="R912" s="136"/>
      <c r="S912" s="136"/>
      <c r="T912" s="136"/>
      <c r="U912" s="136"/>
      <c r="V912" s="136"/>
      <c r="W912" s="136"/>
    </row>
    <row r="913">
      <c r="A913" s="136"/>
      <c r="B913" s="136"/>
      <c r="C913" s="136"/>
      <c r="D913" s="136"/>
      <c r="E913" s="136"/>
      <c r="F913" s="136"/>
      <c r="G913" s="136"/>
      <c r="H913" s="136"/>
      <c r="I913" s="136"/>
      <c r="J913" s="136"/>
      <c r="K913" s="451"/>
      <c r="L913" s="451"/>
      <c r="M913" s="136"/>
      <c r="N913" s="136"/>
      <c r="O913" s="136"/>
      <c r="P913" s="136"/>
      <c r="Q913" s="136"/>
      <c r="R913" s="136"/>
      <c r="S913" s="136"/>
      <c r="T913" s="136"/>
      <c r="U913" s="136"/>
      <c r="V913" s="136"/>
      <c r="W913" s="136"/>
    </row>
    <row r="914">
      <c r="A914" s="136"/>
      <c r="B914" s="136"/>
      <c r="C914" s="136"/>
      <c r="D914" s="136"/>
      <c r="E914" s="136"/>
      <c r="F914" s="136"/>
      <c r="G914" s="136"/>
      <c r="H914" s="136"/>
      <c r="I914" s="136"/>
      <c r="J914" s="136"/>
      <c r="K914" s="451"/>
      <c r="L914" s="451"/>
      <c r="M914" s="136"/>
      <c r="N914" s="136"/>
      <c r="O914" s="136"/>
      <c r="P914" s="136"/>
      <c r="Q914" s="136"/>
      <c r="R914" s="136"/>
      <c r="S914" s="136"/>
      <c r="T914" s="136"/>
      <c r="U914" s="136"/>
      <c r="V914" s="136"/>
      <c r="W914" s="136"/>
    </row>
    <row r="915">
      <c r="A915" s="136"/>
      <c r="B915" s="136"/>
      <c r="C915" s="136"/>
      <c r="D915" s="136"/>
      <c r="E915" s="136"/>
      <c r="F915" s="136"/>
      <c r="G915" s="136"/>
      <c r="H915" s="136"/>
      <c r="I915" s="136"/>
      <c r="J915" s="136"/>
      <c r="K915" s="451"/>
      <c r="L915" s="451"/>
      <c r="M915" s="136"/>
      <c r="N915" s="136"/>
      <c r="O915" s="136"/>
      <c r="P915" s="136"/>
      <c r="Q915" s="136"/>
      <c r="R915" s="136"/>
      <c r="S915" s="136"/>
      <c r="T915" s="136"/>
      <c r="U915" s="136"/>
      <c r="V915" s="136"/>
      <c r="W915" s="136"/>
    </row>
    <row r="916">
      <c r="A916" s="136"/>
      <c r="B916" s="136"/>
      <c r="C916" s="136"/>
      <c r="D916" s="136"/>
      <c r="E916" s="136"/>
      <c r="F916" s="136"/>
      <c r="G916" s="136"/>
      <c r="H916" s="136"/>
      <c r="I916" s="136"/>
      <c r="J916" s="136"/>
      <c r="K916" s="451"/>
      <c r="L916" s="451"/>
      <c r="M916" s="136"/>
      <c r="N916" s="136"/>
      <c r="O916" s="136"/>
      <c r="P916" s="136"/>
      <c r="Q916" s="136"/>
      <c r="R916" s="136"/>
      <c r="S916" s="136"/>
      <c r="T916" s="136"/>
      <c r="U916" s="136"/>
      <c r="V916" s="136"/>
      <c r="W916" s="136"/>
    </row>
    <row r="917">
      <c r="A917" s="136"/>
      <c r="B917" s="136"/>
      <c r="C917" s="136"/>
      <c r="D917" s="136"/>
      <c r="E917" s="136"/>
      <c r="F917" s="136"/>
      <c r="G917" s="136"/>
      <c r="H917" s="136"/>
      <c r="I917" s="136"/>
      <c r="J917" s="136"/>
      <c r="K917" s="451"/>
      <c r="L917" s="451"/>
      <c r="M917" s="136"/>
      <c r="N917" s="136"/>
      <c r="O917" s="136"/>
      <c r="P917" s="136"/>
      <c r="Q917" s="136"/>
      <c r="R917" s="136"/>
      <c r="S917" s="136"/>
      <c r="T917" s="136"/>
      <c r="U917" s="136"/>
      <c r="V917" s="136"/>
      <c r="W917" s="136"/>
    </row>
    <row r="918">
      <c r="A918" s="136"/>
      <c r="B918" s="136"/>
      <c r="C918" s="136"/>
      <c r="D918" s="136"/>
      <c r="E918" s="136"/>
      <c r="F918" s="136"/>
      <c r="G918" s="136"/>
      <c r="H918" s="136"/>
      <c r="I918" s="136"/>
      <c r="J918" s="136"/>
      <c r="K918" s="451"/>
      <c r="L918" s="451"/>
      <c r="M918" s="136"/>
      <c r="N918" s="136"/>
      <c r="O918" s="136"/>
      <c r="P918" s="136"/>
      <c r="Q918" s="136"/>
      <c r="R918" s="136"/>
      <c r="S918" s="136"/>
      <c r="T918" s="136"/>
      <c r="U918" s="136"/>
      <c r="V918" s="136"/>
      <c r="W918" s="136"/>
    </row>
    <row r="919">
      <c r="A919" s="136"/>
      <c r="B919" s="136"/>
      <c r="C919" s="136"/>
      <c r="D919" s="136"/>
      <c r="E919" s="136"/>
      <c r="F919" s="136"/>
      <c r="G919" s="136"/>
      <c r="H919" s="136"/>
      <c r="I919" s="136"/>
      <c r="J919" s="136"/>
      <c r="K919" s="451"/>
      <c r="L919" s="451"/>
      <c r="M919" s="136"/>
      <c r="N919" s="136"/>
      <c r="O919" s="136"/>
      <c r="P919" s="136"/>
      <c r="Q919" s="136"/>
      <c r="R919" s="136"/>
      <c r="S919" s="136"/>
      <c r="T919" s="136"/>
      <c r="U919" s="136"/>
      <c r="V919" s="136"/>
      <c r="W919" s="136"/>
    </row>
    <row r="920">
      <c r="A920" s="136"/>
      <c r="B920" s="136"/>
      <c r="C920" s="136"/>
      <c r="D920" s="136"/>
      <c r="E920" s="136"/>
      <c r="F920" s="136"/>
      <c r="G920" s="136"/>
      <c r="H920" s="136"/>
      <c r="I920" s="136"/>
      <c r="J920" s="136"/>
      <c r="K920" s="451"/>
      <c r="L920" s="451"/>
      <c r="M920" s="136"/>
      <c r="N920" s="136"/>
      <c r="O920" s="136"/>
      <c r="P920" s="136"/>
      <c r="Q920" s="136"/>
      <c r="R920" s="136"/>
      <c r="S920" s="136"/>
      <c r="T920" s="136"/>
      <c r="U920" s="136"/>
      <c r="V920" s="136"/>
      <c r="W920" s="136"/>
    </row>
    <row r="921">
      <c r="A921" s="136"/>
      <c r="B921" s="136"/>
      <c r="C921" s="136"/>
      <c r="D921" s="136"/>
      <c r="E921" s="136"/>
      <c r="F921" s="136"/>
      <c r="G921" s="136"/>
      <c r="H921" s="136"/>
      <c r="I921" s="136"/>
      <c r="J921" s="136"/>
      <c r="K921" s="451"/>
      <c r="L921" s="451"/>
      <c r="M921" s="136"/>
      <c r="N921" s="136"/>
      <c r="O921" s="136"/>
      <c r="P921" s="136"/>
      <c r="Q921" s="136"/>
      <c r="R921" s="136"/>
      <c r="S921" s="136"/>
      <c r="T921" s="136"/>
      <c r="U921" s="136"/>
      <c r="V921" s="136"/>
      <c r="W921" s="136"/>
    </row>
    <row r="922">
      <c r="A922" s="136"/>
      <c r="B922" s="136"/>
      <c r="C922" s="136"/>
      <c r="D922" s="136"/>
      <c r="E922" s="136"/>
      <c r="F922" s="136"/>
      <c r="G922" s="136"/>
      <c r="H922" s="136"/>
      <c r="I922" s="136"/>
      <c r="J922" s="136"/>
      <c r="K922" s="451"/>
      <c r="L922" s="451"/>
      <c r="M922" s="136"/>
      <c r="N922" s="136"/>
      <c r="O922" s="136"/>
      <c r="P922" s="136"/>
      <c r="Q922" s="136"/>
      <c r="R922" s="136"/>
      <c r="S922" s="136"/>
      <c r="T922" s="136"/>
      <c r="U922" s="136"/>
      <c r="V922" s="136"/>
      <c r="W922" s="136"/>
    </row>
    <row r="923">
      <c r="A923" s="136"/>
      <c r="B923" s="136"/>
      <c r="C923" s="136"/>
      <c r="D923" s="136"/>
      <c r="E923" s="136"/>
      <c r="F923" s="136"/>
      <c r="G923" s="136"/>
      <c r="H923" s="136"/>
      <c r="I923" s="136"/>
      <c r="J923" s="136"/>
      <c r="K923" s="451"/>
      <c r="L923" s="451"/>
      <c r="M923" s="136"/>
      <c r="N923" s="136"/>
      <c r="O923" s="136"/>
      <c r="P923" s="136"/>
      <c r="Q923" s="136"/>
      <c r="R923" s="136"/>
      <c r="S923" s="136"/>
      <c r="T923" s="136"/>
      <c r="U923" s="136"/>
      <c r="V923" s="136"/>
      <c r="W923" s="136"/>
    </row>
    <row r="924">
      <c r="A924" s="136"/>
      <c r="B924" s="136"/>
      <c r="C924" s="136"/>
      <c r="D924" s="136"/>
      <c r="E924" s="136"/>
      <c r="F924" s="136"/>
      <c r="G924" s="136"/>
      <c r="H924" s="136"/>
      <c r="I924" s="136"/>
      <c r="J924" s="136"/>
      <c r="K924" s="451"/>
      <c r="L924" s="451"/>
      <c r="M924" s="136"/>
      <c r="N924" s="136"/>
      <c r="O924" s="136"/>
      <c r="P924" s="136"/>
      <c r="Q924" s="136"/>
      <c r="R924" s="136"/>
      <c r="S924" s="136"/>
      <c r="T924" s="136"/>
      <c r="U924" s="136"/>
      <c r="V924" s="136"/>
      <c r="W924" s="136"/>
    </row>
    <row r="925">
      <c r="A925" s="136"/>
      <c r="B925" s="136"/>
      <c r="C925" s="136"/>
      <c r="D925" s="136"/>
      <c r="E925" s="136"/>
      <c r="F925" s="136"/>
      <c r="G925" s="136"/>
      <c r="H925" s="136"/>
      <c r="I925" s="136"/>
      <c r="J925" s="136"/>
      <c r="K925" s="451"/>
      <c r="L925" s="451"/>
      <c r="M925" s="136"/>
      <c r="N925" s="136"/>
      <c r="O925" s="136"/>
      <c r="P925" s="136"/>
      <c r="Q925" s="136"/>
      <c r="R925" s="136"/>
      <c r="S925" s="136"/>
      <c r="T925" s="136"/>
      <c r="U925" s="136"/>
      <c r="V925" s="136"/>
      <c r="W925" s="136"/>
    </row>
    <row r="926">
      <c r="A926" s="136"/>
      <c r="B926" s="136"/>
      <c r="C926" s="136"/>
      <c r="D926" s="136"/>
      <c r="E926" s="136"/>
      <c r="F926" s="136"/>
      <c r="G926" s="136"/>
      <c r="H926" s="136"/>
      <c r="I926" s="136"/>
      <c r="J926" s="136"/>
      <c r="K926" s="451"/>
      <c r="L926" s="451"/>
      <c r="M926" s="136"/>
      <c r="N926" s="136"/>
      <c r="O926" s="136"/>
      <c r="P926" s="136"/>
      <c r="Q926" s="136"/>
      <c r="R926" s="136"/>
      <c r="S926" s="136"/>
      <c r="T926" s="136"/>
      <c r="U926" s="136"/>
      <c r="V926" s="136"/>
      <c r="W926" s="136"/>
    </row>
    <row r="927">
      <c r="A927" s="136"/>
      <c r="B927" s="136"/>
      <c r="C927" s="136"/>
      <c r="D927" s="136"/>
      <c r="E927" s="136"/>
      <c r="F927" s="136"/>
      <c r="G927" s="136"/>
      <c r="H927" s="136"/>
      <c r="I927" s="136"/>
      <c r="J927" s="136"/>
      <c r="K927" s="451"/>
      <c r="L927" s="451"/>
      <c r="M927" s="136"/>
      <c r="N927" s="136"/>
      <c r="O927" s="136"/>
      <c r="P927" s="136"/>
      <c r="Q927" s="136"/>
      <c r="R927" s="136"/>
      <c r="S927" s="136"/>
      <c r="T927" s="136"/>
      <c r="U927" s="136"/>
      <c r="V927" s="136"/>
      <c r="W927" s="136"/>
    </row>
    <row r="928">
      <c r="A928" s="136"/>
      <c r="B928" s="136"/>
      <c r="C928" s="136"/>
      <c r="D928" s="136"/>
      <c r="E928" s="136"/>
      <c r="F928" s="136"/>
      <c r="G928" s="136"/>
      <c r="H928" s="136"/>
      <c r="I928" s="136"/>
      <c r="J928" s="136"/>
      <c r="K928" s="451"/>
      <c r="L928" s="451"/>
      <c r="M928" s="136"/>
      <c r="N928" s="136"/>
      <c r="O928" s="136"/>
      <c r="P928" s="136"/>
      <c r="Q928" s="136"/>
      <c r="R928" s="136"/>
      <c r="S928" s="136"/>
      <c r="T928" s="136"/>
      <c r="U928" s="136"/>
      <c r="V928" s="136"/>
      <c r="W928" s="136"/>
    </row>
    <row r="929">
      <c r="A929" s="136"/>
      <c r="B929" s="136"/>
      <c r="C929" s="136"/>
      <c r="D929" s="136"/>
      <c r="E929" s="136"/>
      <c r="F929" s="136"/>
      <c r="G929" s="136"/>
      <c r="H929" s="136"/>
      <c r="I929" s="136"/>
      <c r="J929" s="136"/>
      <c r="K929" s="451"/>
      <c r="L929" s="451"/>
      <c r="M929" s="136"/>
      <c r="N929" s="136"/>
      <c r="O929" s="136"/>
      <c r="P929" s="136"/>
      <c r="Q929" s="136"/>
      <c r="R929" s="136"/>
      <c r="S929" s="136"/>
      <c r="T929" s="136"/>
      <c r="U929" s="136"/>
      <c r="V929" s="136"/>
      <c r="W929" s="136"/>
    </row>
    <row r="930">
      <c r="A930" s="136"/>
      <c r="B930" s="136"/>
      <c r="C930" s="136"/>
      <c r="D930" s="136"/>
      <c r="E930" s="136"/>
      <c r="F930" s="136"/>
      <c r="G930" s="136"/>
      <c r="H930" s="136"/>
      <c r="I930" s="136"/>
      <c r="J930" s="136"/>
      <c r="K930" s="451"/>
      <c r="L930" s="451"/>
      <c r="M930" s="136"/>
      <c r="N930" s="136"/>
      <c r="O930" s="136"/>
      <c r="P930" s="136"/>
      <c r="Q930" s="136"/>
      <c r="R930" s="136"/>
      <c r="S930" s="136"/>
      <c r="T930" s="136"/>
      <c r="U930" s="136"/>
      <c r="V930" s="136"/>
      <c r="W930" s="136"/>
    </row>
    <row r="931">
      <c r="A931" s="136"/>
      <c r="B931" s="136"/>
      <c r="C931" s="136"/>
      <c r="D931" s="136"/>
      <c r="E931" s="136"/>
      <c r="F931" s="136"/>
      <c r="G931" s="136"/>
      <c r="H931" s="136"/>
      <c r="I931" s="136"/>
      <c r="J931" s="136"/>
      <c r="K931" s="451"/>
      <c r="L931" s="451"/>
      <c r="M931" s="136"/>
      <c r="N931" s="136"/>
      <c r="O931" s="136"/>
      <c r="P931" s="136"/>
      <c r="Q931" s="136"/>
      <c r="R931" s="136"/>
      <c r="S931" s="136"/>
      <c r="T931" s="136"/>
      <c r="U931" s="136"/>
      <c r="V931" s="136"/>
      <c r="W931" s="136"/>
    </row>
    <row r="932">
      <c r="A932" s="136"/>
      <c r="B932" s="136"/>
      <c r="C932" s="136"/>
      <c r="D932" s="136"/>
      <c r="E932" s="136"/>
      <c r="F932" s="136"/>
      <c r="G932" s="136"/>
      <c r="H932" s="136"/>
      <c r="I932" s="136"/>
      <c r="J932" s="136"/>
      <c r="K932" s="451"/>
      <c r="L932" s="451"/>
      <c r="M932" s="136"/>
      <c r="N932" s="136"/>
      <c r="O932" s="136"/>
      <c r="P932" s="136"/>
      <c r="Q932" s="136"/>
      <c r="R932" s="136"/>
      <c r="S932" s="136"/>
      <c r="T932" s="136"/>
      <c r="U932" s="136"/>
      <c r="V932" s="136"/>
      <c r="W932" s="136"/>
    </row>
    <row r="933">
      <c r="A933" s="136"/>
      <c r="B933" s="136"/>
      <c r="C933" s="136"/>
      <c r="D933" s="136"/>
      <c r="E933" s="136"/>
      <c r="F933" s="136"/>
      <c r="G933" s="136"/>
      <c r="H933" s="136"/>
      <c r="I933" s="136"/>
      <c r="J933" s="136"/>
      <c r="K933" s="451"/>
      <c r="L933" s="451"/>
      <c r="M933" s="136"/>
      <c r="N933" s="136"/>
      <c r="O933" s="136"/>
      <c r="P933" s="136"/>
      <c r="Q933" s="136"/>
      <c r="R933" s="136"/>
      <c r="S933" s="136"/>
      <c r="T933" s="136"/>
      <c r="U933" s="136"/>
      <c r="V933" s="136"/>
      <c r="W933" s="136"/>
    </row>
    <row r="934">
      <c r="A934" s="136"/>
      <c r="B934" s="136"/>
      <c r="C934" s="136"/>
      <c r="D934" s="136"/>
      <c r="E934" s="136"/>
      <c r="F934" s="136"/>
      <c r="G934" s="136"/>
      <c r="H934" s="136"/>
      <c r="I934" s="136"/>
      <c r="J934" s="136"/>
      <c r="K934" s="451"/>
      <c r="L934" s="451"/>
      <c r="M934" s="136"/>
      <c r="N934" s="136"/>
      <c r="O934" s="136"/>
      <c r="P934" s="136"/>
      <c r="Q934" s="136"/>
      <c r="R934" s="136"/>
      <c r="S934" s="136"/>
      <c r="T934" s="136"/>
      <c r="U934" s="136"/>
      <c r="V934" s="136"/>
      <c r="W934" s="136"/>
    </row>
    <row r="935">
      <c r="A935" s="136"/>
      <c r="B935" s="136"/>
      <c r="C935" s="136"/>
      <c r="D935" s="136"/>
      <c r="E935" s="136"/>
      <c r="F935" s="136"/>
      <c r="G935" s="136"/>
      <c r="H935" s="136"/>
      <c r="I935" s="136"/>
      <c r="J935" s="136"/>
      <c r="K935" s="451"/>
      <c r="L935" s="451"/>
      <c r="M935" s="136"/>
      <c r="N935" s="136"/>
      <c r="O935" s="136"/>
      <c r="P935" s="136"/>
      <c r="Q935" s="136"/>
      <c r="R935" s="136"/>
      <c r="S935" s="136"/>
      <c r="T935" s="136"/>
      <c r="U935" s="136"/>
      <c r="V935" s="136"/>
      <c r="W935" s="136"/>
    </row>
    <row r="936">
      <c r="A936" s="136"/>
      <c r="B936" s="136"/>
      <c r="C936" s="136"/>
      <c r="D936" s="136"/>
      <c r="E936" s="136"/>
      <c r="F936" s="136"/>
      <c r="G936" s="136"/>
      <c r="H936" s="136"/>
      <c r="I936" s="136"/>
      <c r="J936" s="136"/>
      <c r="K936" s="451"/>
      <c r="L936" s="451"/>
      <c r="M936" s="136"/>
      <c r="N936" s="136"/>
      <c r="O936" s="136"/>
      <c r="P936" s="136"/>
      <c r="Q936" s="136"/>
      <c r="R936" s="136"/>
      <c r="S936" s="136"/>
      <c r="T936" s="136"/>
      <c r="U936" s="136"/>
      <c r="V936" s="136"/>
      <c r="W936" s="136"/>
    </row>
    <row r="937">
      <c r="A937" s="136"/>
      <c r="B937" s="136"/>
      <c r="C937" s="136"/>
      <c r="D937" s="136"/>
      <c r="E937" s="136"/>
      <c r="F937" s="136"/>
      <c r="G937" s="136"/>
      <c r="H937" s="136"/>
      <c r="I937" s="136"/>
      <c r="J937" s="136"/>
      <c r="K937" s="451"/>
      <c r="L937" s="451"/>
      <c r="M937" s="136"/>
      <c r="N937" s="136"/>
      <c r="O937" s="136"/>
      <c r="P937" s="136"/>
      <c r="Q937" s="136"/>
      <c r="R937" s="136"/>
      <c r="S937" s="136"/>
      <c r="T937" s="136"/>
      <c r="U937" s="136"/>
      <c r="V937" s="136"/>
      <c r="W937" s="136"/>
    </row>
    <row r="938">
      <c r="A938" s="136"/>
      <c r="B938" s="136"/>
      <c r="C938" s="136"/>
      <c r="D938" s="136"/>
      <c r="E938" s="136"/>
      <c r="F938" s="136"/>
      <c r="G938" s="136"/>
      <c r="H938" s="136"/>
      <c r="I938" s="136"/>
      <c r="J938" s="136"/>
      <c r="K938" s="451"/>
      <c r="L938" s="451"/>
      <c r="M938" s="136"/>
      <c r="N938" s="136"/>
      <c r="O938" s="136"/>
      <c r="P938" s="136"/>
      <c r="Q938" s="136"/>
      <c r="R938" s="136"/>
      <c r="S938" s="136"/>
      <c r="T938" s="136"/>
      <c r="U938" s="136"/>
      <c r="V938" s="136"/>
      <c r="W938" s="136"/>
    </row>
    <row r="939">
      <c r="A939" s="136"/>
      <c r="B939" s="136"/>
      <c r="C939" s="136"/>
      <c r="D939" s="136"/>
      <c r="E939" s="136"/>
      <c r="F939" s="136"/>
      <c r="G939" s="136"/>
      <c r="H939" s="136"/>
      <c r="I939" s="136"/>
      <c r="J939" s="136"/>
      <c r="K939" s="451"/>
      <c r="L939" s="451"/>
      <c r="M939" s="136"/>
      <c r="N939" s="136"/>
      <c r="O939" s="136"/>
      <c r="P939" s="136"/>
      <c r="Q939" s="136"/>
      <c r="R939" s="136"/>
      <c r="S939" s="136"/>
      <c r="T939" s="136"/>
      <c r="U939" s="136"/>
      <c r="V939" s="136"/>
      <c r="W939" s="136"/>
    </row>
    <row r="940">
      <c r="A940" s="136"/>
      <c r="B940" s="136"/>
      <c r="C940" s="136"/>
      <c r="D940" s="136"/>
      <c r="E940" s="136"/>
      <c r="F940" s="136"/>
      <c r="G940" s="136"/>
      <c r="H940" s="136"/>
      <c r="I940" s="136"/>
      <c r="J940" s="136"/>
      <c r="K940" s="451"/>
      <c r="L940" s="451"/>
      <c r="M940" s="136"/>
      <c r="N940" s="136"/>
      <c r="O940" s="136"/>
      <c r="P940" s="136"/>
      <c r="Q940" s="136"/>
      <c r="R940" s="136"/>
      <c r="S940" s="136"/>
      <c r="T940" s="136"/>
      <c r="U940" s="136"/>
      <c r="V940" s="136"/>
      <c r="W940" s="136"/>
    </row>
    <row r="941">
      <c r="A941" s="136"/>
      <c r="B941" s="136"/>
      <c r="C941" s="136"/>
      <c r="D941" s="136"/>
      <c r="E941" s="136"/>
      <c r="F941" s="136"/>
      <c r="G941" s="136"/>
      <c r="H941" s="136"/>
      <c r="I941" s="136"/>
      <c r="J941" s="136"/>
      <c r="K941" s="451"/>
      <c r="L941" s="451"/>
      <c r="M941" s="136"/>
      <c r="N941" s="136"/>
      <c r="O941" s="136"/>
      <c r="P941" s="136"/>
      <c r="Q941" s="136"/>
      <c r="R941" s="136"/>
      <c r="S941" s="136"/>
      <c r="T941" s="136"/>
      <c r="U941" s="136"/>
      <c r="V941" s="136"/>
      <c r="W941" s="136"/>
    </row>
    <row r="942">
      <c r="A942" s="136"/>
      <c r="B942" s="136"/>
      <c r="C942" s="136"/>
      <c r="D942" s="136"/>
      <c r="E942" s="136"/>
      <c r="F942" s="136"/>
      <c r="G942" s="136"/>
      <c r="H942" s="136"/>
      <c r="I942" s="136"/>
      <c r="J942" s="136"/>
      <c r="K942" s="451"/>
      <c r="L942" s="451"/>
      <c r="M942" s="136"/>
      <c r="N942" s="136"/>
      <c r="O942" s="136"/>
      <c r="P942" s="136"/>
      <c r="Q942" s="136"/>
      <c r="R942" s="136"/>
      <c r="S942" s="136"/>
      <c r="T942" s="136"/>
      <c r="U942" s="136"/>
      <c r="V942" s="136"/>
      <c r="W942" s="136"/>
    </row>
    <row r="943">
      <c r="A943" s="136"/>
      <c r="B943" s="136"/>
      <c r="C943" s="136"/>
      <c r="D943" s="136"/>
      <c r="E943" s="136"/>
      <c r="F943" s="136"/>
      <c r="G943" s="136"/>
      <c r="H943" s="136"/>
      <c r="I943" s="136"/>
      <c r="J943" s="136"/>
      <c r="K943" s="451"/>
      <c r="L943" s="451"/>
      <c r="M943" s="136"/>
      <c r="N943" s="136"/>
      <c r="O943" s="136"/>
      <c r="P943" s="136"/>
      <c r="Q943" s="136"/>
      <c r="R943" s="136"/>
      <c r="S943" s="136"/>
      <c r="T943" s="136"/>
      <c r="U943" s="136"/>
      <c r="V943" s="136"/>
      <c r="W943" s="136"/>
    </row>
    <row r="944">
      <c r="A944" s="136"/>
      <c r="B944" s="136"/>
      <c r="C944" s="136"/>
      <c r="D944" s="136"/>
      <c r="E944" s="136"/>
      <c r="F944" s="136"/>
      <c r="G944" s="136"/>
      <c r="H944" s="136"/>
      <c r="I944" s="136"/>
      <c r="J944" s="136"/>
      <c r="K944" s="451"/>
      <c r="L944" s="451"/>
      <c r="M944" s="136"/>
      <c r="N944" s="136"/>
      <c r="O944" s="136"/>
      <c r="P944" s="136"/>
      <c r="Q944" s="136"/>
      <c r="R944" s="136"/>
      <c r="S944" s="136"/>
      <c r="T944" s="136"/>
      <c r="U944" s="136"/>
      <c r="V944" s="136"/>
      <c r="W944" s="136"/>
    </row>
    <row r="945">
      <c r="A945" s="136"/>
      <c r="B945" s="136"/>
      <c r="C945" s="136"/>
      <c r="D945" s="136"/>
      <c r="E945" s="136"/>
      <c r="F945" s="136"/>
      <c r="G945" s="136"/>
      <c r="H945" s="136"/>
      <c r="I945" s="136"/>
      <c r="J945" s="136"/>
      <c r="K945" s="451"/>
      <c r="L945" s="451"/>
      <c r="M945" s="136"/>
      <c r="N945" s="136"/>
      <c r="O945" s="136"/>
      <c r="P945" s="136"/>
      <c r="Q945" s="136"/>
      <c r="R945" s="136"/>
      <c r="S945" s="136"/>
      <c r="T945" s="136"/>
      <c r="U945" s="136"/>
      <c r="V945" s="136"/>
      <c r="W945" s="136"/>
    </row>
    <row r="946">
      <c r="A946" s="136"/>
      <c r="B946" s="136"/>
      <c r="C946" s="136"/>
      <c r="D946" s="136"/>
      <c r="E946" s="136"/>
      <c r="F946" s="136"/>
      <c r="G946" s="136"/>
      <c r="H946" s="136"/>
      <c r="I946" s="136"/>
      <c r="J946" s="136"/>
      <c r="K946" s="451"/>
      <c r="L946" s="451"/>
      <c r="M946" s="136"/>
      <c r="N946" s="136"/>
      <c r="O946" s="136"/>
      <c r="P946" s="136"/>
      <c r="Q946" s="136"/>
      <c r="R946" s="136"/>
      <c r="S946" s="136"/>
      <c r="T946" s="136"/>
      <c r="U946" s="136"/>
      <c r="V946" s="136"/>
      <c r="W946" s="136"/>
    </row>
    <row r="947">
      <c r="A947" s="136"/>
      <c r="B947" s="136"/>
      <c r="C947" s="136"/>
      <c r="D947" s="136"/>
      <c r="E947" s="136"/>
      <c r="F947" s="136"/>
      <c r="G947" s="136"/>
      <c r="H947" s="136"/>
      <c r="I947" s="136"/>
      <c r="J947" s="136"/>
      <c r="K947" s="451"/>
      <c r="L947" s="451"/>
      <c r="M947" s="136"/>
      <c r="N947" s="136"/>
      <c r="O947" s="136"/>
      <c r="P947" s="136"/>
      <c r="Q947" s="136"/>
      <c r="R947" s="136"/>
      <c r="S947" s="136"/>
      <c r="T947" s="136"/>
      <c r="U947" s="136"/>
      <c r="V947" s="136"/>
      <c r="W947" s="136"/>
    </row>
    <row r="948">
      <c r="A948" s="136"/>
      <c r="B948" s="136"/>
      <c r="C948" s="136"/>
      <c r="D948" s="136"/>
      <c r="E948" s="136"/>
      <c r="F948" s="136"/>
      <c r="G948" s="136"/>
      <c r="H948" s="136"/>
      <c r="I948" s="136"/>
      <c r="J948" s="136"/>
      <c r="K948" s="451"/>
      <c r="L948" s="451"/>
      <c r="M948" s="136"/>
      <c r="N948" s="136"/>
      <c r="O948" s="136"/>
      <c r="P948" s="136"/>
      <c r="Q948" s="136"/>
      <c r="R948" s="136"/>
      <c r="S948" s="136"/>
      <c r="T948" s="136"/>
      <c r="U948" s="136"/>
      <c r="V948" s="136"/>
      <c r="W948" s="136"/>
    </row>
    <row r="949">
      <c r="A949" s="136"/>
      <c r="B949" s="136"/>
      <c r="C949" s="136"/>
      <c r="D949" s="136"/>
      <c r="E949" s="136"/>
      <c r="F949" s="136"/>
      <c r="G949" s="136"/>
      <c r="H949" s="136"/>
      <c r="I949" s="136"/>
      <c r="J949" s="136"/>
      <c r="K949" s="451"/>
      <c r="L949" s="451"/>
      <c r="M949" s="136"/>
      <c r="N949" s="136"/>
      <c r="O949" s="136"/>
      <c r="P949" s="136"/>
      <c r="Q949" s="136"/>
      <c r="R949" s="136"/>
      <c r="S949" s="136"/>
      <c r="T949" s="136"/>
      <c r="U949" s="136"/>
      <c r="V949" s="136"/>
      <c r="W949" s="136"/>
    </row>
    <row r="950">
      <c r="A950" s="136"/>
      <c r="B950" s="136"/>
      <c r="C950" s="136"/>
      <c r="D950" s="136"/>
      <c r="E950" s="136"/>
      <c r="F950" s="136"/>
      <c r="G950" s="136"/>
      <c r="H950" s="136"/>
      <c r="I950" s="136"/>
      <c r="J950" s="136"/>
      <c r="K950" s="451"/>
      <c r="L950" s="451"/>
      <c r="M950" s="136"/>
      <c r="N950" s="136"/>
      <c r="O950" s="136"/>
      <c r="P950" s="136"/>
      <c r="Q950" s="136"/>
      <c r="R950" s="136"/>
      <c r="S950" s="136"/>
      <c r="T950" s="136"/>
      <c r="U950" s="136"/>
      <c r="V950" s="136"/>
      <c r="W950" s="136"/>
    </row>
    <row r="951">
      <c r="A951" s="136"/>
      <c r="B951" s="136"/>
      <c r="C951" s="136"/>
      <c r="D951" s="136"/>
      <c r="E951" s="136"/>
      <c r="F951" s="136"/>
      <c r="G951" s="136"/>
      <c r="H951" s="136"/>
      <c r="I951" s="136"/>
      <c r="J951" s="136"/>
      <c r="K951" s="451"/>
      <c r="L951" s="451"/>
      <c r="M951" s="136"/>
      <c r="N951" s="136"/>
      <c r="O951" s="136"/>
      <c r="P951" s="136"/>
      <c r="Q951" s="136"/>
      <c r="R951" s="136"/>
      <c r="S951" s="136"/>
      <c r="T951" s="136"/>
      <c r="U951" s="136"/>
      <c r="V951" s="136"/>
      <c r="W951" s="136"/>
    </row>
    <row r="952">
      <c r="A952" s="136"/>
      <c r="B952" s="136"/>
      <c r="C952" s="136"/>
      <c r="D952" s="136"/>
      <c r="E952" s="136"/>
      <c r="F952" s="136"/>
      <c r="G952" s="136"/>
      <c r="H952" s="136"/>
      <c r="I952" s="136"/>
      <c r="J952" s="136"/>
      <c r="K952" s="451"/>
      <c r="L952" s="451"/>
      <c r="M952" s="136"/>
      <c r="N952" s="136"/>
      <c r="O952" s="136"/>
      <c r="P952" s="136"/>
      <c r="Q952" s="136"/>
      <c r="R952" s="136"/>
      <c r="S952" s="136"/>
      <c r="T952" s="136"/>
      <c r="U952" s="136"/>
      <c r="V952" s="136"/>
      <c r="W952" s="136"/>
    </row>
    <row r="953">
      <c r="A953" s="136"/>
      <c r="B953" s="136"/>
      <c r="C953" s="136"/>
      <c r="D953" s="136"/>
      <c r="E953" s="136"/>
      <c r="F953" s="136"/>
      <c r="G953" s="136"/>
      <c r="H953" s="136"/>
      <c r="I953" s="136"/>
      <c r="J953" s="136"/>
      <c r="K953" s="451"/>
      <c r="L953" s="451"/>
      <c r="M953" s="136"/>
      <c r="N953" s="136"/>
      <c r="O953" s="136"/>
      <c r="P953" s="136"/>
      <c r="Q953" s="136"/>
      <c r="R953" s="136"/>
      <c r="S953" s="136"/>
      <c r="T953" s="136"/>
      <c r="U953" s="136"/>
      <c r="V953" s="136"/>
      <c r="W953" s="136"/>
    </row>
    <row r="954">
      <c r="A954" s="136"/>
      <c r="B954" s="136"/>
      <c r="C954" s="136"/>
      <c r="D954" s="136"/>
      <c r="E954" s="136"/>
      <c r="F954" s="136"/>
      <c r="G954" s="136"/>
      <c r="H954" s="136"/>
      <c r="I954" s="136"/>
      <c r="J954" s="136"/>
      <c r="K954" s="451"/>
      <c r="L954" s="451"/>
      <c r="M954" s="136"/>
      <c r="N954" s="136"/>
      <c r="O954" s="136"/>
      <c r="P954" s="136"/>
      <c r="Q954" s="136"/>
      <c r="R954" s="136"/>
      <c r="S954" s="136"/>
      <c r="T954" s="136"/>
      <c r="U954" s="136"/>
      <c r="V954" s="136"/>
      <c r="W954" s="136"/>
    </row>
    <row r="955">
      <c r="A955" s="136"/>
      <c r="B955" s="136"/>
      <c r="C955" s="136"/>
      <c r="D955" s="136"/>
      <c r="E955" s="136"/>
      <c r="F955" s="136"/>
      <c r="G955" s="136"/>
      <c r="H955" s="136"/>
      <c r="I955" s="136"/>
      <c r="J955" s="136"/>
      <c r="K955" s="451"/>
      <c r="L955" s="451"/>
      <c r="M955" s="136"/>
      <c r="N955" s="136"/>
      <c r="O955" s="136"/>
      <c r="P955" s="136"/>
      <c r="Q955" s="136"/>
      <c r="R955" s="136"/>
      <c r="S955" s="136"/>
      <c r="T955" s="136"/>
      <c r="U955" s="136"/>
      <c r="V955" s="136"/>
      <c r="W955" s="136"/>
    </row>
    <row r="956">
      <c r="A956" s="136"/>
      <c r="B956" s="136"/>
      <c r="C956" s="136"/>
      <c r="D956" s="136"/>
      <c r="E956" s="136"/>
      <c r="F956" s="136"/>
      <c r="G956" s="136"/>
      <c r="H956" s="136"/>
      <c r="I956" s="136"/>
      <c r="J956" s="136"/>
      <c r="K956" s="451"/>
      <c r="L956" s="451"/>
      <c r="M956" s="136"/>
      <c r="N956" s="136"/>
      <c r="O956" s="136"/>
      <c r="P956" s="136"/>
      <c r="Q956" s="136"/>
      <c r="R956" s="136"/>
      <c r="S956" s="136"/>
      <c r="T956" s="136"/>
      <c r="U956" s="136"/>
      <c r="V956" s="136"/>
      <c r="W956" s="136"/>
    </row>
    <row r="957">
      <c r="A957" s="136"/>
      <c r="B957" s="136"/>
      <c r="C957" s="136"/>
      <c r="D957" s="136"/>
      <c r="E957" s="136"/>
      <c r="F957" s="136"/>
      <c r="G957" s="136"/>
      <c r="H957" s="136"/>
      <c r="I957" s="136"/>
      <c r="J957" s="136"/>
      <c r="K957" s="451"/>
      <c r="L957" s="451"/>
      <c r="M957" s="136"/>
      <c r="N957" s="136"/>
      <c r="O957" s="136"/>
      <c r="P957" s="136"/>
      <c r="Q957" s="136"/>
      <c r="R957" s="136"/>
      <c r="S957" s="136"/>
      <c r="T957" s="136"/>
      <c r="U957" s="136"/>
      <c r="V957" s="136"/>
      <c r="W957" s="136"/>
    </row>
    <row r="958">
      <c r="A958" s="136"/>
      <c r="B958" s="136"/>
      <c r="C958" s="136"/>
      <c r="D958" s="136"/>
      <c r="E958" s="136"/>
      <c r="F958" s="136"/>
      <c r="G958" s="136"/>
      <c r="H958" s="136"/>
      <c r="I958" s="136"/>
      <c r="J958" s="136"/>
      <c r="K958" s="451"/>
      <c r="L958" s="451"/>
      <c r="M958" s="136"/>
      <c r="N958" s="136"/>
      <c r="O958" s="136"/>
      <c r="P958" s="136"/>
      <c r="Q958" s="136"/>
      <c r="R958" s="136"/>
      <c r="S958" s="136"/>
      <c r="T958" s="136"/>
      <c r="U958" s="136"/>
      <c r="V958" s="136"/>
      <c r="W958" s="136"/>
    </row>
    <row r="959">
      <c r="A959" s="136"/>
      <c r="B959" s="136"/>
      <c r="C959" s="136"/>
      <c r="D959" s="136"/>
      <c r="E959" s="136"/>
      <c r="F959" s="136"/>
      <c r="G959" s="136"/>
      <c r="H959" s="136"/>
      <c r="I959" s="136"/>
      <c r="J959" s="136"/>
      <c r="K959" s="451"/>
      <c r="L959" s="451"/>
      <c r="M959" s="136"/>
      <c r="N959" s="136"/>
      <c r="O959" s="136"/>
      <c r="P959" s="136"/>
      <c r="Q959" s="136"/>
      <c r="R959" s="136"/>
      <c r="S959" s="136"/>
      <c r="T959" s="136"/>
      <c r="U959" s="136"/>
      <c r="V959" s="136"/>
      <c r="W959" s="136"/>
    </row>
    <row r="960">
      <c r="A960" s="136"/>
      <c r="B960" s="136"/>
      <c r="C960" s="136"/>
      <c r="D960" s="136"/>
      <c r="E960" s="136"/>
      <c r="F960" s="136"/>
      <c r="G960" s="136"/>
      <c r="H960" s="136"/>
      <c r="I960" s="136"/>
      <c r="J960" s="136"/>
      <c r="K960" s="451"/>
      <c r="L960" s="451"/>
      <c r="M960" s="136"/>
      <c r="N960" s="136"/>
      <c r="O960" s="136"/>
      <c r="P960" s="136"/>
      <c r="Q960" s="136"/>
      <c r="R960" s="136"/>
      <c r="S960" s="136"/>
      <c r="T960" s="136"/>
      <c r="U960" s="136"/>
      <c r="V960" s="136"/>
      <c r="W960" s="136"/>
    </row>
    <row r="961">
      <c r="A961" s="136"/>
      <c r="B961" s="136"/>
      <c r="C961" s="136"/>
      <c r="D961" s="136"/>
      <c r="E961" s="136"/>
      <c r="F961" s="136"/>
      <c r="G961" s="136"/>
      <c r="H961" s="136"/>
      <c r="I961" s="136"/>
      <c r="J961" s="136"/>
      <c r="K961" s="451"/>
      <c r="L961" s="451"/>
      <c r="M961" s="136"/>
      <c r="N961" s="136"/>
      <c r="O961" s="136"/>
      <c r="P961" s="136"/>
      <c r="Q961" s="136"/>
      <c r="R961" s="136"/>
      <c r="S961" s="136"/>
      <c r="T961" s="136"/>
      <c r="U961" s="136"/>
      <c r="V961" s="136"/>
      <c r="W961" s="136"/>
    </row>
    <row r="962">
      <c r="A962" s="136"/>
      <c r="B962" s="136"/>
      <c r="C962" s="136"/>
      <c r="D962" s="136"/>
      <c r="E962" s="136"/>
      <c r="F962" s="136"/>
      <c r="G962" s="136"/>
      <c r="H962" s="136"/>
      <c r="I962" s="136"/>
      <c r="J962" s="136"/>
      <c r="K962" s="451"/>
      <c r="L962" s="451"/>
      <c r="M962" s="136"/>
      <c r="N962" s="136"/>
      <c r="O962" s="136"/>
      <c r="P962" s="136"/>
      <c r="Q962" s="136"/>
      <c r="R962" s="136"/>
      <c r="S962" s="136"/>
      <c r="T962" s="136"/>
      <c r="U962" s="136"/>
      <c r="V962" s="136"/>
      <c r="W962" s="136"/>
    </row>
    <row r="963">
      <c r="A963" s="136"/>
      <c r="B963" s="136"/>
      <c r="C963" s="136"/>
      <c r="D963" s="136"/>
      <c r="E963" s="136"/>
      <c r="F963" s="136"/>
      <c r="G963" s="136"/>
      <c r="H963" s="136"/>
      <c r="I963" s="136"/>
      <c r="J963" s="136"/>
      <c r="K963" s="451"/>
      <c r="L963" s="451"/>
      <c r="M963" s="136"/>
      <c r="N963" s="136"/>
      <c r="O963" s="136"/>
      <c r="P963" s="136"/>
      <c r="Q963" s="136"/>
      <c r="R963" s="136"/>
      <c r="S963" s="136"/>
      <c r="T963" s="136"/>
      <c r="U963" s="136"/>
      <c r="V963" s="136"/>
      <c r="W963" s="136"/>
    </row>
    <row r="964">
      <c r="A964" s="136"/>
      <c r="B964" s="136"/>
      <c r="C964" s="136"/>
      <c r="D964" s="136"/>
      <c r="E964" s="136"/>
      <c r="F964" s="136"/>
      <c r="G964" s="136"/>
      <c r="H964" s="136"/>
      <c r="I964" s="136"/>
      <c r="J964" s="136"/>
      <c r="K964" s="451"/>
      <c r="L964" s="451"/>
      <c r="M964" s="136"/>
      <c r="N964" s="136"/>
      <c r="O964" s="136"/>
      <c r="P964" s="136"/>
      <c r="Q964" s="136"/>
      <c r="R964" s="136"/>
      <c r="S964" s="136"/>
      <c r="T964" s="136"/>
      <c r="U964" s="136"/>
      <c r="V964" s="136"/>
      <c r="W964" s="136"/>
    </row>
    <row r="965">
      <c r="A965" s="136"/>
      <c r="B965" s="136"/>
      <c r="C965" s="136"/>
      <c r="D965" s="136"/>
      <c r="E965" s="136"/>
      <c r="F965" s="136"/>
      <c r="G965" s="136"/>
      <c r="H965" s="136"/>
      <c r="I965" s="136"/>
      <c r="J965" s="136"/>
      <c r="K965" s="451"/>
      <c r="L965" s="451"/>
      <c r="M965" s="136"/>
      <c r="N965" s="136"/>
      <c r="O965" s="136"/>
      <c r="P965" s="136"/>
      <c r="Q965" s="136"/>
      <c r="R965" s="136"/>
      <c r="S965" s="136"/>
      <c r="T965" s="136"/>
      <c r="U965" s="136"/>
      <c r="V965" s="136"/>
      <c r="W965" s="136"/>
    </row>
    <row r="966">
      <c r="A966" s="136"/>
      <c r="B966" s="136"/>
      <c r="C966" s="136"/>
      <c r="D966" s="136"/>
      <c r="E966" s="136"/>
      <c r="F966" s="136"/>
      <c r="G966" s="136"/>
      <c r="H966" s="136"/>
      <c r="I966" s="136"/>
      <c r="J966" s="136"/>
      <c r="K966" s="451"/>
      <c r="L966" s="451"/>
      <c r="M966" s="136"/>
      <c r="N966" s="136"/>
      <c r="O966" s="136"/>
      <c r="P966" s="136"/>
      <c r="Q966" s="136"/>
      <c r="R966" s="136"/>
      <c r="S966" s="136"/>
      <c r="T966" s="136"/>
      <c r="U966" s="136"/>
      <c r="V966" s="136"/>
      <c r="W966" s="136"/>
    </row>
    <row r="967">
      <c r="A967" s="136"/>
      <c r="B967" s="136"/>
      <c r="C967" s="136"/>
      <c r="D967" s="136"/>
      <c r="E967" s="136"/>
      <c r="F967" s="136"/>
      <c r="G967" s="136"/>
      <c r="H967" s="136"/>
      <c r="I967" s="136"/>
      <c r="J967" s="136"/>
      <c r="K967" s="451"/>
      <c r="L967" s="451"/>
      <c r="M967" s="136"/>
      <c r="N967" s="136"/>
      <c r="O967" s="136"/>
      <c r="P967" s="136"/>
      <c r="Q967" s="136"/>
      <c r="R967" s="136"/>
      <c r="S967" s="136"/>
      <c r="T967" s="136"/>
      <c r="U967" s="136"/>
      <c r="V967" s="136"/>
      <c r="W967" s="136"/>
    </row>
    <row r="968">
      <c r="A968" s="136"/>
      <c r="B968" s="136"/>
      <c r="C968" s="136"/>
      <c r="D968" s="136"/>
      <c r="E968" s="136"/>
      <c r="F968" s="136"/>
      <c r="G968" s="136"/>
      <c r="H968" s="136"/>
      <c r="I968" s="136"/>
      <c r="J968" s="136"/>
      <c r="K968" s="451"/>
      <c r="L968" s="451"/>
      <c r="M968" s="136"/>
      <c r="N968" s="136"/>
      <c r="O968" s="136"/>
      <c r="P968" s="136"/>
      <c r="Q968" s="136"/>
      <c r="R968" s="136"/>
      <c r="S968" s="136"/>
      <c r="T968" s="136"/>
      <c r="U968" s="136"/>
      <c r="V968" s="136"/>
      <c r="W968" s="136"/>
    </row>
    <row r="969">
      <c r="A969" s="136"/>
      <c r="B969" s="136"/>
      <c r="C969" s="136"/>
      <c r="D969" s="136"/>
      <c r="E969" s="136"/>
      <c r="F969" s="136"/>
      <c r="G969" s="136"/>
      <c r="H969" s="136"/>
      <c r="I969" s="136"/>
      <c r="J969" s="136"/>
      <c r="K969" s="451"/>
      <c r="L969" s="451"/>
      <c r="M969" s="136"/>
      <c r="N969" s="136"/>
      <c r="O969" s="136"/>
      <c r="P969" s="136"/>
      <c r="Q969" s="136"/>
      <c r="R969" s="136"/>
      <c r="S969" s="136"/>
      <c r="T969" s="136"/>
      <c r="U969" s="136"/>
      <c r="V969" s="136"/>
      <c r="W969" s="136"/>
    </row>
    <row r="970">
      <c r="A970" s="136"/>
      <c r="B970" s="136"/>
      <c r="C970" s="136"/>
      <c r="D970" s="136"/>
      <c r="E970" s="136"/>
      <c r="F970" s="136"/>
      <c r="G970" s="136"/>
      <c r="H970" s="136"/>
      <c r="I970" s="136"/>
      <c r="J970" s="136"/>
      <c r="K970" s="451"/>
      <c r="L970" s="451"/>
      <c r="M970" s="136"/>
      <c r="N970" s="136"/>
      <c r="O970" s="136"/>
      <c r="P970" s="136"/>
      <c r="Q970" s="136"/>
      <c r="R970" s="136"/>
      <c r="S970" s="136"/>
      <c r="T970" s="136"/>
      <c r="U970" s="136"/>
      <c r="V970" s="136"/>
      <c r="W970" s="136"/>
    </row>
    <row r="971">
      <c r="A971" s="136"/>
      <c r="B971" s="136"/>
      <c r="C971" s="136"/>
      <c r="D971" s="136"/>
      <c r="E971" s="136"/>
      <c r="F971" s="136"/>
      <c r="G971" s="136"/>
      <c r="H971" s="136"/>
      <c r="I971" s="136"/>
      <c r="J971" s="136"/>
      <c r="K971" s="451"/>
      <c r="L971" s="451"/>
      <c r="M971" s="136"/>
      <c r="N971" s="136"/>
      <c r="O971" s="136"/>
      <c r="P971" s="136"/>
      <c r="Q971" s="136"/>
      <c r="R971" s="136"/>
      <c r="S971" s="136"/>
      <c r="T971" s="136"/>
      <c r="U971" s="136"/>
      <c r="V971" s="136"/>
      <c r="W971" s="136"/>
    </row>
    <row r="972">
      <c r="A972" s="136"/>
      <c r="B972" s="136"/>
      <c r="C972" s="136"/>
      <c r="D972" s="136"/>
      <c r="E972" s="136"/>
      <c r="F972" s="136"/>
      <c r="G972" s="136"/>
      <c r="H972" s="136"/>
      <c r="I972" s="136"/>
      <c r="J972" s="136"/>
      <c r="K972" s="451"/>
      <c r="L972" s="451"/>
      <c r="M972" s="136"/>
      <c r="N972" s="136"/>
      <c r="O972" s="136"/>
      <c r="P972" s="136"/>
      <c r="Q972" s="136"/>
      <c r="R972" s="136"/>
      <c r="S972" s="136"/>
      <c r="T972" s="136"/>
      <c r="U972" s="136"/>
      <c r="V972" s="136"/>
      <c r="W972" s="136"/>
    </row>
    <row r="973">
      <c r="A973" s="136"/>
      <c r="B973" s="136"/>
      <c r="C973" s="136"/>
      <c r="D973" s="136"/>
      <c r="E973" s="136"/>
      <c r="F973" s="136"/>
      <c r="G973" s="136"/>
      <c r="H973" s="136"/>
      <c r="I973" s="136"/>
      <c r="J973" s="136"/>
      <c r="K973" s="451"/>
      <c r="L973" s="451"/>
      <c r="M973" s="136"/>
      <c r="N973" s="136"/>
      <c r="O973" s="136"/>
      <c r="P973" s="136"/>
      <c r="Q973" s="136"/>
      <c r="R973" s="136"/>
      <c r="S973" s="136"/>
      <c r="T973" s="136"/>
      <c r="U973" s="136"/>
      <c r="V973" s="136"/>
      <c r="W973" s="136"/>
    </row>
    <row r="974">
      <c r="A974" s="136"/>
      <c r="B974" s="136"/>
      <c r="C974" s="136"/>
      <c r="D974" s="136"/>
      <c r="E974" s="136"/>
      <c r="F974" s="136"/>
      <c r="G974" s="136"/>
      <c r="H974" s="136"/>
      <c r="I974" s="136"/>
      <c r="J974" s="136"/>
      <c r="K974" s="451"/>
      <c r="L974" s="451"/>
      <c r="M974" s="136"/>
      <c r="N974" s="136"/>
      <c r="O974" s="136"/>
      <c r="P974" s="136"/>
      <c r="Q974" s="136"/>
      <c r="R974" s="136"/>
      <c r="S974" s="136"/>
      <c r="T974" s="136"/>
      <c r="U974" s="136"/>
      <c r="V974" s="136"/>
      <c r="W974" s="136"/>
    </row>
    <row r="975">
      <c r="A975" s="136"/>
      <c r="B975" s="136"/>
      <c r="C975" s="136"/>
      <c r="D975" s="136"/>
      <c r="E975" s="136"/>
      <c r="F975" s="136"/>
      <c r="G975" s="136"/>
      <c r="H975" s="136"/>
      <c r="I975" s="136"/>
      <c r="J975" s="136"/>
      <c r="K975" s="451"/>
      <c r="L975" s="451"/>
      <c r="M975" s="136"/>
      <c r="N975" s="136"/>
      <c r="O975" s="136"/>
      <c r="P975" s="136"/>
      <c r="Q975" s="136"/>
      <c r="R975" s="136"/>
      <c r="S975" s="136"/>
      <c r="T975" s="136"/>
      <c r="U975" s="136"/>
      <c r="V975" s="136"/>
      <c r="W975" s="136"/>
    </row>
    <row r="976">
      <c r="A976" s="136"/>
      <c r="B976" s="136"/>
      <c r="C976" s="136"/>
      <c r="D976" s="136"/>
      <c r="E976" s="136"/>
      <c r="F976" s="136"/>
      <c r="G976" s="136"/>
      <c r="H976" s="136"/>
      <c r="I976" s="136"/>
      <c r="J976" s="136"/>
      <c r="K976" s="451"/>
      <c r="L976" s="451"/>
      <c r="M976" s="136"/>
      <c r="N976" s="136"/>
      <c r="O976" s="136"/>
      <c r="P976" s="136"/>
      <c r="Q976" s="136"/>
      <c r="R976" s="136"/>
      <c r="S976" s="136"/>
      <c r="T976" s="136"/>
      <c r="U976" s="136"/>
      <c r="V976" s="136"/>
      <c r="W976" s="136"/>
    </row>
    <row r="977">
      <c r="A977" s="136"/>
      <c r="B977" s="136"/>
      <c r="C977" s="136"/>
      <c r="D977" s="136"/>
      <c r="E977" s="136"/>
      <c r="F977" s="136"/>
      <c r="G977" s="136"/>
      <c r="H977" s="136"/>
      <c r="I977" s="136"/>
      <c r="J977" s="136"/>
      <c r="K977" s="451"/>
      <c r="L977" s="451"/>
      <c r="M977" s="136"/>
      <c r="N977" s="136"/>
      <c r="O977" s="136"/>
      <c r="P977" s="136"/>
      <c r="Q977" s="136"/>
      <c r="R977" s="136"/>
      <c r="S977" s="136"/>
      <c r="T977" s="136"/>
      <c r="U977" s="136"/>
      <c r="V977" s="136"/>
      <c r="W977" s="136"/>
    </row>
    <row r="978">
      <c r="A978" s="136"/>
      <c r="B978" s="136"/>
      <c r="C978" s="136"/>
      <c r="D978" s="136"/>
      <c r="E978" s="136"/>
      <c r="F978" s="136"/>
      <c r="G978" s="136"/>
      <c r="H978" s="136"/>
      <c r="I978" s="136"/>
      <c r="J978" s="136"/>
      <c r="K978" s="451"/>
      <c r="L978" s="451"/>
      <c r="M978" s="136"/>
      <c r="N978" s="136"/>
      <c r="O978" s="136"/>
      <c r="P978" s="136"/>
      <c r="Q978" s="136"/>
      <c r="R978" s="136"/>
      <c r="S978" s="136"/>
      <c r="T978" s="136"/>
      <c r="U978" s="136"/>
      <c r="V978" s="136"/>
      <c r="W978" s="136"/>
    </row>
    <row r="979">
      <c r="A979" s="136"/>
      <c r="B979" s="136"/>
      <c r="C979" s="136"/>
      <c r="D979" s="136"/>
      <c r="E979" s="136"/>
      <c r="F979" s="136"/>
      <c r="G979" s="136"/>
      <c r="H979" s="136"/>
      <c r="I979" s="136"/>
      <c r="J979" s="136"/>
      <c r="K979" s="451"/>
      <c r="L979" s="451"/>
      <c r="M979" s="136"/>
      <c r="N979" s="136"/>
      <c r="O979" s="136"/>
      <c r="P979" s="136"/>
      <c r="Q979" s="136"/>
      <c r="R979" s="136"/>
      <c r="S979" s="136"/>
      <c r="T979" s="136"/>
      <c r="U979" s="136"/>
      <c r="V979" s="136"/>
      <c r="W979" s="136"/>
    </row>
    <row r="980">
      <c r="A980" s="136"/>
      <c r="B980" s="136"/>
      <c r="C980" s="136"/>
      <c r="D980" s="136"/>
      <c r="E980" s="136"/>
      <c r="F980" s="136"/>
      <c r="G980" s="136"/>
      <c r="H980" s="136"/>
      <c r="I980" s="136"/>
      <c r="J980" s="136"/>
      <c r="K980" s="451"/>
      <c r="L980" s="451"/>
      <c r="M980" s="136"/>
      <c r="N980" s="136"/>
      <c r="O980" s="136"/>
      <c r="P980" s="136"/>
      <c r="Q980" s="136"/>
      <c r="R980" s="136"/>
      <c r="S980" s="136"/>
      <c r="T980" s="136"/>
      <c r="U980" s="136"/>
      <c r="V980" s="136"/>
      <c r="W980" s="136"/>
    </row>
    <row r="981">
      <c r="A981" s="136"/>
      <c r="B981" s="136"/>
      <c r="C981" s="136"/>
      <c r="D981" s="136"/>
      <c r="E981" s="136"/>
      <c r="F981" s="136"/>
      <c r="G981" s="136"/>
      <c r="H981" s="136"/>
      <c r="I981" s="136"/>
      <c r="J981" s="136"/>
      <c r="K981" s="451"/>
      <c r="L981" s="451"/>
      <c r="M981" s="136"/>
      <c r="N981" s="136"/>
      <c r="O981" s="136"/>
      <c r="P981" s="136"/>
      <c r="Q981" s="136"/>
      <c r="R981" s="136"/>
      <c r="S981" s="136"/>
      <c r="T981" s="136"/>
      <c r="U981" s="136"/>
      <c r="V981" s="136"/>
      <c r="W981" s="136"/>
    </row>
    <row r="982">
      <c r="A982" s="136"/>
      <c r="B982" s="136"/>
      <c r="C982" s="136"/>
      <c r="D982" s="136"/>
      <c r="E982" s="136"/>
      <c r="F982" s="136"/>
      <c r="G982" s="136"/>
      <c r="H982" s="136"/>
      <c r="I982" s="136"/>
      <c r="J982" s="136"/>
      <c r="K982" s="451"/>
      <c r="L982" s="451"/>
      <c r="M982" s="136"/>
      <c r="N982" s="136"/>
      <c r="O982" s="136"/>
      <c r="P982" s="136"/>
      <c r="Q982" s="136"/>
      <c r="R982" s="136"/>
      <c r="S982" s="136"/>
      <c r="T982" s="136"/>
      <c r="U982" s="136"/>
      <c r="V982" s="136"/>
      <c r="W982" s="136"/>
    </row>
    <row r="983">
      <c r="A983" s="136"/>
      <c r="B983" s="136"/>
      <c r="C983" s="136"/>
      <c r="D983" s="136"/>
      <c r="E983" s="136"/>
      <c r="F983" s="136"/>
      <c r="G983" s="136"/>
      <c r="H983" s="136"/>
      <c r="I983" s="136"/>
      <c r="J983" s="136"/>
      <c r="K983" s="451"/>
      <c r="L983" s="451"/>
      <c r="M983" s="136"/>
      <c r="N983" s="136"/>
      <c r="O983" s="136"/>
      <c r="P983" s="136"/>
      <c r="Q983" s="136"/>
      <c r="R983" s="136"/>
      <c r="S983" s="136"/>
      <c r="T983" s="136"/>
      <c r="U983" s="136"/>
      <c r="V983" s="136"/>
      <c r="W983" s="136"/>
    </row>
    <row r="984">
      <c r="A984" s="136"/>
      <c r="B984" s="136"/>
      <c r="C984" s="136"/>
      <c r="D984" s="136"/>
      <c r="E984" s="136"/>
      <c r="F984" s="136"/>
      <c r="G984" s="136"/>
      <c r="H984" s="136"/>
      <c r="I984" s="136"/>
      <c r="J984" s="136"/>
      <c r="K984" s="451"/>
      <c r="L984" s="451"/>
      <c r="M984" s="136"/>
      <c r="N984" s="136"/>
      <c r="O984" s="136"/>
      <c r="P984" s="136"/>
      <c r="Q984" s="136"/>
      <c r="R984" s="136"/>
      <c r="S984" s="136"/>
      <c r="T984" s="136"/>
      <c r="U984" s="136"/>
      <c r="V984" s="136"/>
      <c r="W984" s="136"/>
    </row>
    <row r="985">
      <c r="A985" s="136"/>
      <c r="B985" s="136"/>
      <c r="C985" s="136"/>
      <c r="D985" s="136"/>
      <c r="E985" s="136"/>
      <c r="F985" s="136"/>
      <c r="G985" s="136"/>
      <c r="H985" s="136"/>
      <c r="I985" s="136"/>
      <c r="J985" s="136"/>
      <c r="K985" s="451"/>
      <c r="L985" s="451"/>
      <c r="M985" s="136"/>
      <c r="N985" s="136"/>
      <c r="O985" s="136"/>
      <c r="P985" s="136"/>
      <c r="Q985" s="136"/>
      <c r="R985" s="136"/>
      <c r="S985" s="136"/>
      <c r="T985" s="136"/>
      <c r="U985" s="136"/>
      <c r="V985" s="136"/>
      <c r="W985" s="136"/>
    </row>
    <row r="986">
      <c r="A986" s="136"/>
      <c r="B986" s="136"/>
      <c r="C986" s="136"/>
      <c r="D986" s="136"/>
      <c r="E986" s="136"/>
      <c r="F986" s="136"/>
      <c r="G986" s="136"/>
      <c r="H986" s="136"/>
      <c r="I986" s="136"/>
      <c r="J986" s="136"/>
      <c r="K986" s="451"/>
      <c r="L986" s="451"/>
      <c r="M986" s="136"/>
      <c r="N986" s="136"/>
      <c r="O986" s="136"/>
      <c r="P986" s="136"/>
      <c r="Q986" s="136"/>
      <c r="R986" s="136"/>
      <c r="S986" s="136"/>
      <c r="T986" s="136"/>
      <c r="U986" s="136"/>
      <c r="V986" s="136"/>
      <c r="W986" s="136"/>
    </row>
    <row r="987">
      <c r="A987" s="136"/>
      <c r="B987" s="136"/>
      <c r="C987" s="136"/>
      <c r="D987" s="136"/>
      <c r="E987" s="136"/>
      <c r="F987" s="136"/>
      <c r="G987" s="136"/>
      <c r="H987" s="136"/>
      <c r="I987" s="136"/>
      <c r="J987" s="136"/>
      <c r="K987" s="451"/>
      <c r="L987" s="451"/>
      <c r="M987" s="136"/>
      <c r="N987" s="136"/>
      <c r="O987" s="136"/>
      <c r="P987" s="136"/>
      <c r="Q987" s="136"/>
      <c r="R987" s="136"/>
      <c r="S987" s="136"/>
      <c r="T987" s="136"/>
      <c r="U987" s="136"/>
      <c r="V987" s="136"/>
      <c r="W987" s="136"/>
    </row>
    <row r="988">
      <c r="A988" s="136"/>
      <c r="B988" s="136"/>
      <c r="C988" s="136"/>
      <c r="D988" s="136"/>
      <c r="E988" s="136"/>
      <c r="F988" s="136"/>
      <c r="G988" s="136"/>
      <c r="H988" s="136"/>
      <c r="I988" s="136"/>
      <c r="J988" s="136"/>
      <c r="K988" s="451"/>
      <c r="L988" s="451"/>
      <c r="M988" s="136"/>
      <c r="N988" s="136"/>
      <c r="O988" s="136"/>
      <c r="P988" s="136"/>
      <c r="Q988" s="136"/>
      <c r="R988" s="136"/>
      <c r="S988" s="136"/>
      <c r="T988" s="136"/>
      <c r="U988" s="136"/>
      <c r="V988" s="136"/>
      <c r="W988" s="136"/>
    </row>
    <row r="989">
      <c r="A989" s="136"/>
      <c r="B989" s="136"/>
      <c r="C989" s="136"/>
      <c r="D989" s="136"/>
      <c r="E989" s="136"/>
      <c r="F989" s="136"/>
      <c r="G989" s="136"/>
      <c r="H989" s="136"/>
      <c r="I989" s="136"/>
      <c r="J989" s="136"/>
      <c r="K989" s="451"/>
      <c r="L989" s="451"/>
      <c r="M989" s="136"/>
      <c r="N989" s="136"/>
      <c r="O989" s="136"/>
      <c r="P989" s="136"/>
      <c r="Q989" s="136"/>
      <c r="R989" s="136"/>
      <c r="S989" s="136"/>
      <c r="T989" s="136"/>
      <c r="U989" s="136"/>
      <c r="V989" s="136"/>
      <c r="W989" s="136"/>
    </row>
    <row r="990">
      <c r="A990" s="136"/>
      <c r="B990" s="136"/>
      <c r="C990" s="136"/>
      <c r="D990" s="136"/>
      <c r="E990" s="136"/>
      <c r="F990" s="136"/>
      <c r="G990" s="136"/>
      <c r="H990" s="136"/>
      <c r="I990" s="136"/>
      <c r="J990" s="136"/>
      <c r="K990" s="451"/>
      <c r="L990" s="451"/>
      <c r="M990" s="136"/>
      <c r="N990" s="136"/>
      <c r="O990" s="136"/>
      <c r="P990" s="136"/>
      <c r="Q990" s="136"/>
      <c r="R990" s="136"/>
      <c r="S990" s="136"/>
      <c r="T990" s="136"/>
      <c r="U990" s="136"/>
      <c r="V990" s="136"/>
      <c r="W990" s="136"/>
    </row>
    <row r="991">
      <c r="A991" s="136"/>
      <c r="B991" s="136"/>
      <c r="C991" s="136"/>
      <c r="D991" s="136"/>
      <c r="E991" s="136"/>
      <c r="F991" s="136"/>
      <c r="G991" s="136"/>
      <c r="H991" s="136"/>
      <c r="I991" s="136"/>
      <c r="J991" s="136"/>
      <c r="K991" s="451"/>
      <c r="L991" s="451"/>
      <c r="M991" s="136"/>
      <c r="N991" s="136"/>
      <c r="O991" s="136"/>
      <c r="P991" s="136"/>
      <c r="Q991" s="136"/>
      <c r="R991" s="136"/>
      <c r="S991" s="136"/>
      <c r="T991" s="136"/>
      <c r="U991" s="136"/>
      <c r="V991" s="136"/>
      <c r="W991" s="136"/>
    </row>
    <row r="992">
      <c r="A992" s="136"/>
      <c r="B992" s="136"/>
      <c r="C992" s="136"/>
      <c r="D992" s="136"/>
      <c r="E992" s="136"/>
      <c r="F992" s="136"/>
      <c r="G992" s="136"/>
      <c r="H992" s="136"/>
      <c r="I992" s="136"/>
      <c r="J992" s="136"/>
      <c r="K992" s="451"/>
      <c r="L992" s="451"/>
      <c r="M992" s="136"/>
      <c r="N992" s="136"/>
      <c r="O992" s="136"/>
      <c r="P992" s="136"/>
      <c r="Q992" s="136"/>
      <c r="R992" s="136"/>
      <c r="S992" s="136"/>
      <c r="T992" s="136"/>
      <c r="U992" s="136"/>
      <c r="V992" s="136"/>
      <c r="W992" s="136"/>
    </row>
    <row r="993">
      <c r="A993" s="136"/>
      <c r="B993" s="136"/>
      <c r="C993" s="136"/>
      <c r="D993" s="136"/>
      <c r="E993" s="136"/>
      <c r="F993" s="136"/>
      <c r="G993" s="136"/>
      <c r="H993" s="136"/>
      <c r="I993" s="136"/>
      <c r="J993" s="136"/>
      <c r="K993" s="451"/>
      <c r="L993" s="451"/>
      <c r="M993" s="136"/>
      <c r="N993" s="136"/>
      <c r="O993" s="136"/>
      <c r="P993" s="136"/>
      <c r="Q993" s="136"/>
      <c r="R993" s="136"/>
      <c r="S993" s="136"/>
      <c r="T993" s="136"/>
      <c r="U993" s="136"/>
      <c r="V993" s="136"/>
      <c r="W993" s="136"/>
    </row>
    <row r="994">
      <c r="A994" s="136"/>
      <c r="B994" s="136"/>
      <c r="C994" s="136"/>
      <c r="D994" s="136"/>
      <c r="E994" s="136"/>
      <c r="F994" s="136"/>
      <c r="G994" s="136"/>
      <c r="H994" s="136"/>
      <c r="I994" s="136"/>
      <c r="J994" s="136"/>
      <c r="K994" s="451"/>
      <c r="L994" s="451"/>
      <c r="M994" s="136"/>
      <c r="N994" s="136"/>
      <c r="O994" s="136"/>
      <c r="P994" s="136"/>
      <c r="Q994" s="136"/>
      <c r="R994" s="136"/>
      <c r="S994" s="136"/>
      <c r="T994" s="136"/>
      <c r="U994" s="136"/>
      <c r="V994" s="136"/>
      <c r="W994" s="136"/>
    </row>
    <row r="995">
      <c r="A995" s="136"/>
      <c r="B995" s="136"/>
      <c r="C995" s="136"/>
      <c r="D995" s="136"/>
      <c r="E995" s="136"/>
      <c r="F995" s="136"/>
      <c r="G995" s="136"/>
      <c r="H995" s="136"/>
      <c r="I995" s="136"/>
      <c r="J995" s="136"/>
      <c r="K995" s="451"/>
      <c r="L995" s="451"/>
      <c r="M995" s="136"/>
      <c r="N995" s="136"/>
      <c r="O995" s="136"/>
      <c r="P995" s="136"/>
      <c r="Q995" s="136"/>
      <c r="R995" s="136"/>
      <c r="S995" s="136"/>
      <c r="T995" s="136"/>
      <c r="U995" s="136"/>
      <c r="V995" s="136"/>
      <c r="W995" s="136"/>
    </row>
    <row r="996">
      <c r="A996" s="136"/>
      <c r="B996" s="136"/>
      <c r="C996" s="136"/>
      <c r="D996" s="136"/>
      <c r="E996" s="136"/>
      <c r="F996" s="136"/>
      <c r="G996" s="136"/>
      <c r="H996" s="136"/>
      <c r="I996" s="136"/>
      <c r="J996" s="136"/>
      <c r="K996" s="451"/>
      <c r="L996" s="451"/>
      <c r="M996" s="136"/>
      <c r="N996" s="136"/>
      <c r="O996" s="136"/>
      <c r="P996" s="136"/>
      <c r="Q996" s="136"/>
      <c r="R996" s="136"/>
      <c r="S996" s="136"/>
      <c r="T996" s="136"/>
      <c r="U996" s="136"/>
      <c r="V996" s="136"/>
      <c r="W996" s="136"/>
    </row>
    <row r="997">
      <c r="A997" s="136"/>
      <c r="B997" s="136"/>
      <c r="C997" s="136"/>
      <c r="D997" s="136"/>
      <c r="E997" s="136"/>
      <c r="F997" s="136"/>
      <c r="G997" s="136"/>
      <c r="H997" s="136"/>
      <c r="I997" s="136"/>
      <c r="J997" s="136"/>
      <c r="K997" s="451"/>
      <c r="L997" s="451"/>
      <c r="M997" s="136"/>
      <c r="N997" s="136"/>
      <c r="O997" s="136"/>
      <c r="P997" s="136"/>
      <c r="Q997" s="136"/>
      <c r="R997" s="136"/>
      <c r="S997" s="136"/>
      <c r="T997" s="136"/>
      <c r="U997" s="136"/>
      <c r="V997" s="136"/>
      <c r="W997" s="136"/>
    </row>
    <row r="998">
      <c r="A998" s="136"/>
      <c r="B998" s="136"/>
      <c r="C998" s="136"/>
      <c r="D998" s="136"/>
      <c r="E998" s="136"/>
      <c r="F998" s="136"/>
      <c r="G998" s="136"/>
      <c r="H998" s="136"/>
      <c r="I998" s="136"/>
      <c r="J998" s="136"/>
      <c r="K998" s="451"/>
      <c r="L998" s="451"/>
      <c r="M998" s="136"/>
      <c r="N998" s="136"/>
      <c r="O998" s="136"/>
      <c r="P998" s="136"/>
      <c r="Q998" s="136"/>
      <c r="R998" s="136"/>
      <c r="S998" s="136"/>
      <c r="T998" s="136"/>
      <c r="U998" s="136"/>
      <c r="V998" s="136"/>
      <c r="W998" s="136"/>
    </row>
    <row r="999">
      <c r="A999" s="136"/>
      <c r="B999" s="136"/>
      <c r="C999" s="136"/>
      <c r="D999" s="136"/>
      <c r="E999" s="136"/>
      <c r="F999" s="136"/>
      <c r="G999" s="136"/>
      <c r="H999" s="136"/>
      <c r="I999" s="136"/>
      <c r="J999" s="136"/>
      <c r="K999" s="451"/>
      <c r="L999" s="451"/>
      <c r="M999" s="136"/>
      <c r="N999" s="136"/>
      <c r="O999" s="136"/>
      <c r="P999" s="136"/>
      <c r="Q999" s="136"/>
      <c r="R999" s="136"/>
      <c r="S999" s="136"/>
      <c r="T999" s="136"/>
      <c r="U999" s="136"/>
      <c r="V999" s="136"/>
      <c r="W999" s="136"/>
    </row>
    <row r="1000">
      <c r="A1000" s="136"/>
      <c r="B1000" s="136"/>
      <c r="C1000" s="136"/>
      <c r="D1000" s="136"/>
      <c r="E1000" s="136"/>
      <c r="F1000" s="136"/>
      <c r="G1000" s="136"/>
      <c r="H1000" s="136"/>
      <c r="I1000" s="136"/>
      <c r="J1000" s="136"/>
      <c r="K1000" s="451"/>
      <c r="L1000" s="451"/>
      <c r="M1000" s="136"/>
      <c r="N1000" s="136"/>
      <c r="O1000" s="136"/>
      <c r="P1000" s="136"/>
      <c r="Q1000" s="136"/>
      <c r="R1000" s="136"/>
      <c r="S1000" s="136"/>
      <c r="T1000" s="136"/>
      <c r="U1000" s="136"/>
      <c r="V1000" s="136"/>
      <c r="W1000" s="136"/>
    </row>
    <row r="1001">
      <c r="A1001" s="136"/>
      <c r="B1001" s="136"/>
      <c r="C1001" s="136"/>
      <c r="D1001" s="136"/>
      <c r="E1001" s="136"/>
      <c r="F1001" s="136"/>
      <c r="G1001" s="136"/>
      <c r="H1001" s="136"/>
      <c r="I1001" s="136"/>
      <c r="J1001" s="136"/>
      <c r="K1001" s="136"/>
      <c r="L1001" s="136"/>
      <c r="M1001" s="136"/>
      <c r="N1001" s="136"/>
      <c r="O1001" s="136"/>
      <c r="P1001" s="136"/>
      <c r="Q1001" s="136"/>
      <c r="R1001" s="136"/>
      <c r="S1001" s="136"/>
      <c r="T1001" s="136"/>
      <c r="U1001" s="136"/>
      <c r="V1001" s="136"/>
      <c r="W1001" s="136"/>
    </row>
    <row r="1002">
      <c r="A1002" s="136"/>
      <c r="B1002" s="136"/>
      <c r="C1002" s="136"/>
      <c r="D1002" s="136"/>
      <c r="E1002" s="136"/>
      <c r="F1002" s="136"/>
      <c r="G1002" s="136"/>
      <c r="H1002" s="136"/>
      <c r="I1002" s="136"/>
      <c r="J1002" s="136"/>
      <c r="K1002" s="136"/>
      <c r="L1002" s="136"/>
      <c r="M1002" s="136"/>
      <c r="N1002" s="136"/>
      <c r="O1002" s="136"/>
      <c r="P1002" s="136"/>
      <c r="Q1002" s="136"/>
      <c r="R1002" s="136"/>
      <c r="S1002" s="136"/>
      <c r="T1002" s="136"/>
      <c r="U1002" s="136"/>
      <c r="V1002" s="136"/>
      <c r="W1002" s="136"/>
    </row>
    <row r="1003">
      <c r="A1003" s="136"/>
      <c r="B1003" s="136"/>
      <c r="C1003" s="136"/>
      <c r="D1003" s="136"/>
      <c r="E1003" s="136"/>
      <c r="F1003" s="136"/>
      <c r="G1003" s="136"/>
      <c r="H1003" s="136"/>
      <c r="I1003" s="136"/>
      <c r="J1003" s="136"/>
      <c r="K1003" s="136"/>
      <c r="L1003" s="136"/>
      <c r="M1003" s="136"/>
      <c r="N1003" s="136"/>
      <c r="O1003" s="136"/>
      <c r="P1003" s="136"/>
      <c r="Q1003" s="136"/>
      <c r="R1003" s="136"/>
      <c r="S1003" s="136"/>
      <c r="T1003" s="136"/>
      <c r="U1003" s="136"/>
      <c r="V1003" s="136"/>
      <c r="W1003" s="136"/>
    </row>
    <row r="1004">
      <c r="A1004" s="136"/>
      <c r="B1004" s="136"/>
      <c r="C1004" s="136"/>
      <c r="D1004" s="136"/>
      <c r="E1004" s="136"/>
      <c r="F1004" s="136"/>
      <c r="G1004" s="136"/>
      <c r="H1004" s="136"/>
      <c r="I1004" s="136"/>
      <c r="J1004" s="136"/>
      <c r="K1004" s="136"/>
      <c r="L1004" s="136"/>
      <c r="M1004" s="136"/>
      <c r="N1004" s="136"/>
      <c r="O1004" s="136"/>
      <c r="P1004" s="136"/>
      <c r="Q1004" s="136"/>
      <c r="R1004" s="136"/>
      <c r="S1004" s="136"/>
      <c r="T1004" s="136"/>
      <c r="U1004" s="136"/>
      <c r="V1004" s="136"/>
      <c r="W1004" s="136"/>
    </row>
    <row r="1005">
      <c r="A1005" s="136"/>
      <c r="B1005" s="136"/>
      <c r="C1005" s="136"/>
      <c r="D1005" s="136"/>
      <c r="E1005" s="136"/>
      <c r="F1005" s="136"/>
      <c r="G1005" s="136"/>
      <c r="H1005" s="136"/>
      <c r="I1005" s="136"/>
      <c r="J1005" s="136"/>
      <c r="K1005" s="136"/>
      <c r="L1005" s="136"/>
      <c r="M1005" s="136"/>
      <c r="N1005" s="136"/>
      <c r="O1005" s="136"/>
      <c r="P1005" s="136"/>
      <c r="Q1005" s="136"/>
      <c r="R1005" s="136"/>
      <c r="S1005" s="136"/>
      <c r="T1005" s="136"/>
      <c r="U1005" s="136"/>
      <c r="V1005" s="136"/>
      <c r="W1005" s="136"/>
    </row>
    <row r="1006">
      <c r="A1006" s="136"/>
      <c r="B1006" s="136"/>
      <c r="C1006" s="136"/>
      <c r="D1006" s="136"/>
      <c r="E1006" s="136"/>
      <c r="F1006" s="136"/>
      <c r="G1006" s="136"/>
      <c r="H1006" s="136"/>
      <c r="I1006" s="136"/>
      <c r="J1006" s="136"/>
      <c r="K1006" s="136"/>
      <c r="L1006" s="136"/>
      <c r="M1006" s="136"/>
      <c r="N1006" s="136"/>
      <c r="O1006" s="136"/>
      <c r="P1006" s="136"/>
      <c r="Q1006" s="136"/>
      <c r="R1006" s="136"/>
      <c r="S1006" s="136"/>
      <c r="T1006" s="136"/>
      <c r="U1006" s="136"/>
      <c r="V1006" s="136"/>
      <c r="W1006" s="136"/>
    </row>
    <row r="1007">
      <c r="A1007" s="136"/>
      <c r="B1007" s="136"/>
      <c r="C1007" s="136"/>
      <c r="D1007" s="136"/>
      <c r="E1007" s="136"/>
      <c r="F1007" s="136"/>
      <c r="G1007" s="136"/>
      <c r="H1007" s="136"/>
      <c r="I1007" s="136"/>
      <c r="J1007" s="136"/>
      <c r="K1007" s="136"/>
      <c r="L1007" s="136"/>
      <c r="M1007" s="136"/>
      <c r="N1007" s="136"/>
      <c r="O1007" s="136"/>
      <c r="P1007" s="136"/>
      <c r="Q1007" s="136"/>
      <c r="R1007" s="136"/>
      <c r="S1007" s="136"/>
      <c r="T1007" s="136"/>
      <c r="U1007" s="136"/>
      <c r="V1007" s="136"/>
      <c r="W1007" s="136"/>
    </row>
    <row r="1008">
      <c r="A1008" s="136"/>
      <c r="B1008" s="136"/>
      <c r="C1008" s="136"/>
      <c r="D1008" s="136"/>
      <c r="E1008" s="136"/>
      <c r="F1008" s="136"/>
      <c r="G1008" s="136"/>
      <c r="H1008" s="136"/>
      <c r="I1008" s="136"/>
      <c r="J1008" s="136"/>
      <c r="K1008" s="136"/>
      <c r="L1008" s="136"/>
      <c r="M1008" s="136"/>
      <c r="N1008" s="136"/>
      <c r="O1008" s="136"/>
      <c r="P1008" s="136"/>
      <c r="Q1008" s="136"/>
      <c r="R1008" s="136"/>
      <c r="S1008" s="136"/>
      <c r="T1008" s="136"/>
      <c r="U1008" s="136"/>
      <c r="V1008" s="136"/>
      <c r="W1008" s="136"/>
    </row>
    <row r="1009">
      <c r="A1009" s="136"/>
      <c r="B1009" s="136"/>
      <c r="C1009" s="136"/>
      <c r="D1009" s="136"/>
      <c r="E1009" s="136"/>
      <c r="F1009" s="136"/>
      <c r="G1009" s="136"/>
      <c r="H1009" s="136"/>
      <c r="I1009" s="136"/>
      <c r="J1009" s="136"/>
      <c r="K1009" s="136"/>
      <c r="L1009" s="136"/>
      <c r="M1009" s="136"/>
      <c r="N1009" s="136"/>
      <c r="O1009" s="136"/>
      <c r="P1009" s="136"/>
      <c r="Q1009" s="136"/>
      <c r="R1009" s="136"/>
      <c r="S1009" s="136"/>
      <c r="T1009" s="136"/>
      <c r="U1009" s="136"/>
      <c r="V1009" s="136"/>
      <c r="W1009" s="136"/>
    </row>
    <row r="1010">
      <c r="A1010" s="136"/>
      <c r="B1010" s="136"/>
      <c r="C1010" s="136"/>
      <c r="D1010" s="136"/>
      <c r="E1010" s="136"/>
      <c r="F1010" s="136"/>
      <c r="G1010" s="136"/>
      <c r="H1010" s="136"/>
      <c r="I1010" s="136"/>
      <c r="J1010" s="136"/>
      <c r="K1010" s="136"/>
      <c r="L1010" s="136"/>
      <c r="M1010" s="136"/>
      <c r="N1010" s="136"/>
      <c r="O1010" s="136"/>
      <c r="P1010" s="136"/>
      <c r="Q1010" s="136"/>
      <c r="R1010" s="136"/>
      <c r="S1010" s="136"/>
      <c r="T1010" s="136"/>
      <c r="U1010" s="136"/>
      <c r="V1010" s="136"/>
      <c r="W1010" s="136"/>
    </row>
    <row r="1011">
      <c r="A1011" s="136"/>
      <c r="B1011" s="136"/>
      <c r="C1011" s="136"/>
      <c r="D1011" s="136"/>
      <c r="E1011" s="136"/>
      <c r="F1011" s="136"/>
      <c r="G1011" s="136"/>
      <c r="H1011" s="136"/>
      <c r="I1011" s="136"/>
      <c r="J1011" s="136"/>
      <c r="K1011" s="136"/>
      <c r="L1011" s="136"/>
      <c r="M1011" s="136"/>
      <c r="N1011" s="136"/>
      <c r="O1011" s="136"/>
      <c r="P1011" s="136"/>
      <c r="Q1011" s="136"/>
      <c r="R1011" s="136"/>
      <c r="S1011" s="136"/>
      <c r="T1011" s="136"/>
      <c r="U1011" s="136"/>
      <c r="V1011" s="136"/>
      <c r="W1011" s="136"/>
    </row>
    <row r="1012">
      <c r="A1012" s="136"/>
      <c r="B1012" s="136"/>
      <c r="C1012" s="136"/>
      <c r="D1012" s="136"/>
      <c r="E1012" s="136"/>
      <c r="F1012" s="136"/>
      <c r="G1012" s="136"/>
      <c r="H1012" s="136"/>
      <c r="I1012" s="136"/>
      <c r="J1012" s="136"/>
      <c r="K1012" s="136"/>
      <c r="L1012" s="136"/>
      <c r="M1012" s="136"/>
      <c r="N1012" s="136"/>
      <c r="O1012" s="136"/>
      <c r="P1012" s="136"/>
      <c r="Q1012" s="136"/>
      <c r="R1012" s="136"/>
      <c r="S1012" s="136"/>
      <c r="T1012" s="136"/>
      <c r="U1012" s="136"/>
      <c r="V1012" s="136"/>
      <c r="W1012" s="136"/>
    </row>
    <row r="1013">
      <c r="A1013" s="136"/>
      <c r="B1013" s="136"/>
      <c r="C1013" s="136"/>
      <c r="D1013" s="136"/>
      <c r="E1013" s="136"/>
      <c r="F1013" s="136"/>
      <c r="G1013" s="136"/>
      <c r="H1013" s="136"/>
      <c r="I1013" s="136"/>
      <c r="J1013" s="136"/>
      <c r="K1013" s="136"/>
      <c r="L1013" s="136"/>
      <c r="M1013" s="136"/>
      <c r="N1013" s="136"/>
      <c r="O1013" s="136"/>
      <c r="P1013" s="136"/>
      <c r="Q1013" s="136"/>
      <c r="R1013" s="136"/>
      <c r="S1013" s="136"/>
      <c r="T1013" s="136"/>
      <c r="U1013" s="136"/>
      <c r="V1013" s="136"/>
      <c r="W1013" s="136"/>
    </row>
    <row r="1014">
      <c r="A1014" s="136"/>
      <c r="B1014" s="136"/>
      <c r="C1014" s="136"/>
      <c r="D1014" s="136"/>
      <c r="E1014" s="136"/>
      <c r="F1014" s="136"/>
      <c r="G1014" s="136"/>
      <c r="H1014" s="136"/>
      <c r="I1014" s="136"/>
      <c r="J1014" s="136"/>
      <c r="K1014" s="136"/>
      <c r="L1014" s="136"/>
      <c r="M1014" s="136"/>
      <c r="N1014" s="136"/>
      <c r="O1014" s="136"/>
      <c r="P1014" s="136"/>
      <c r="Q1014" s="136"/>
      <c r="R1014" s="136"/>
      <c r="S1014" s="136"/>
      <c r="T1014" s="136"/>
      <c r="U1014" s="136"/>
      <c r="V1014" s="136"/>
      <c r="W1014" s="136"/>
    </row>
    <row r="1015">
      <c r="A1015" s="136"/>
      <c r="B1015" s="136"/>
      <c r="C1015" s="136"/>
      <c r="D1015" s="136"/>
      <c r="E1015" s="136"/>
      <c r="F1015" s="136"/>
      <c r="G1015" s="136"/>
      <c r="H1015" s="136"/>
      <c r="I1015" s="136"/>
      <c r="J1015" s="136"/>
      <c r="K1015" s="136"/>
      <c r="L1015" s="136"/>
      <c r="M1015" s="136"/>
      <c r="N1015" s="136"/>
      <c r="O1015" s="136"/>
      <c r="P1015" s="136"/>
      <c r="Q1015" s="136"/>
      <c r="R1015" s="136"/>
      <c r="S1015" s="136"/>
      <c r="T1015" s="136"/>
      <c r="U1015" s="136"/>
      <c r="V1015" s="136"/>
      <c r="W1015" s="136"/>
    </row>
    <row r="1016">
      <c r="A1016" s="136"/>
      <c r="B1016" s="136"/>
      <c r="C1016" s="136"/>
      <c r="D1016" s="136"/>
      <c r="E1016" s="136"/>
      <c r="F1016" s="136"/>
      <c r="G1016" s="136"/>
      <c r="H1016" s="136"/>
      <c r="I1016" s="136"/>
      <c r="J1016" s="136"/>
      <c r="K1016" s="136"/>
      <c r="L1016" s="136"/>
      <c r="M1016" s="136"/>
      <c r="N1016" s="136"/>
      <c r="O1016" s="136"/>
      <c r="P1016" s="136"/>
      <c r="Q1016" s="136"/>
      <c r="R1016" s="136"/>
      <c r="S1016" s="136"/>
      <c r="T1016" s="136"/>
      <c r="U1016" s="136"/>
      <c r="V1016" s="136"/>
      <c r="W1016" s="136"/>
    </row>
    <row r="1017">
      <c r="A1017" s="136"/>
      <c r="B1017" s="136"/>
      <c r="C1017" s="136"/>
      <c r="D1017" s="136"/>
      <c r="E1017" s="136"/>
      <c r="F1017" s="136"/>
      <c r="G1017" s="136"/>
      <c r="H1017" s="136"/>
      <c r="I1017" s="136"/>
      <c r="J1017" s="136"/>
      <c r="K1017" s="136"/>
      <c r="L1017" s="136"/>
      <c r="M1017" s="136"/>
      <c r="N1017" s="136"/>
      <c r="O1017" s="136"/>
      <c r="P1017" s="136"/>
      <c r="Q1017" s="136"/>
      <c r="R1017" s="136"/>
      <c r="S1017" s="136"/>
      <c r="T1017" s="136"/>
      <c r="U1017" s="136"/>
      <c r="V1017" s="136"/>
      <c r="W1017" s="136"/>
    </row>
    <row r="1018">
      <c r="A1018" s="136"/>
      <c r="B1018" s="136"/>
      <c r="C1018" s="136"/>
      <c r="D1018" s="136"/>
      <c r="E1018" s="136"/>
      <c r="F1018" s="136"/>
      <c r="G1018" s="136"/>
      <c r="H1018" s="136"/>
      <c r="I1018" s="136"/>
      <c r="J1018" s="136"/>
      <c r="K1018" s="136"/>
      <c r="L1018" s="136"/>
      <c r="M1018" s="136"/>
      <c r="N1018" s="136"/>
      <c r="O1018" s="136"/>
      <c r="P1018" s="136"/>
      <c r="Q1018" s="136"/>
      <c r="R1018" s="136"/>
      <c r="S1018" s="136"/>
      <c r="T1018" s="136"/>
      <c r="U1018" s="136"/>
      <c r="V1018" s="136"/>
      <c r="W1018" s="136"/>
    </row>
    <row r="1019">
      <c r="A1019" s="136"/>
      <c r="B1019" s="136"/>
      <c r="C1019" s="136"/>
      <c r="D1019" s="136"/>
      <c r="E1019" s="136"/>
      <c r="F1019" s="136"/>
      <c r="G1019" s="136"/>
      <c r="H1019" s="136"/>
      <c r="I1019" s="136"/>
      <c r="J1019" s="136"/>
      <c r="K1019" s="136"/>
      <c r="L1019" s="136"/>
      <c r="M1019" s="136"/>
      <c r="N1019" s="136"/>
      <c r="O1019" s="136"/>
      <c r="P1019" s="136"/>
      <c r="Q1019" s="136"/>
      <c r="R1019" s="136"/>
      <c r="S1019" s="136"/>
      <c r="T1019" s="136"/>
      <c r="U1019" s="136"/>
      <c r="V1019" s="136"/>
      <c r="W1019" s="136"/>
    </row>
    <row r="1020">
      <c r="A1020" s="136"/>
      <c r="B1020" s="136"/>
      <c r="C1020" s="136"/>
      <c r="D1020" s="136"/>
      <c r="E1020" s="136"/>
      <c r="F1020" s="136"/>
      <c r="G1020" s="136"/>
      <c r="H1020" s="136"/>
      <c r="I1020" s="136"/>
      <c r="J1020" s="136"/>
      <c r="K1020" s="136"/>
      <c r="L1020" s="136"/>
      <c r="M1020" s="136"/>
      <c r="N1020" s="136"/>
      <c r="O1020" s="136"/>
      <c r="P1020" s="136"/>
      <c r="Q1020" s="136"/>
      <c r="R1020" s="136"/>
      <c r="S1020" s="136"/>
      <c r="T1020" s="136"/>
      <c r="U1020" s="136"/>
      <c r="V1020" s="136"/>
      <c r="W1020" s="136"/>
    </row>
    <row r="1021">
      <c r="A1021" s="136"/>
      <c r="B1021" s="136"/>
      <c r="C1021" s="136"/>
      <c r="D1021" s="136"/>
      <c r="E1021" s="136"/>
      <c r="F1021" s="136"/>
      <c r="G1021" s="136"/>
      <c r="H1021" s="136"/>
      <c r="I1021" s="136"/>
      <c r="J1021" s="136"/>
      <c r="K1021" s="136"/>
      <c r="L1021" s="136"/>
      <c r="M1021" s="136"/>
      <c r="N1021" s="136"/>
      <c r="O1021" s="136"/>
      <c r="P1021" s="136"/>
      <c r="Q1021" s="136"/>
      <c r="R1021" s="136"/>
      <c r="S1021" s="136"/>
      <c r="T1021" s="136"/>
      <c r="U1021" s="136"/>
      <c r="V1021" s="136"/>
      <c r="W1021" s="136"/>
    </row>
    <row r="1022">
      <c r="A1022" s="136"/>
      <c r="B1022" s="136"/>
      <c r="C1022" s="136"/>
      <c r="D1022" s="136"/>
      <c r="E1022" s="136"/>
      <c r="F1022" s="136"/>
      <c r="G1022" s="136"/>
      <c r="H1022" s="136"/>
      <c r="I1022" s="136"/>
      <c r="J1022" s="136"/>
      <c r="K1022" s="136"/>
      <c r="L1022" s="136"/>
      <c r="M1022" s="136"/>
      <c r="N1022" s="136"/>
      <c r="O1022" s="136"/>
      <c r="P1022" s="136"/>
      <c r="Q1022" s="136"/>
      <c r="R1022" s="136"/>
      <c r="S1022" s="136"/>
      <c r="T1022" s="136"/>
      <c r="U1022" s="136"/>
      <c r="V1022" s="136"/>
      <c r="W1022" s="136"/>
    </row>
    <row r="1023">
      <c r="A1023" s="136"/>
      <c r="B1023" s="136"/>
      <c r="C1023" s="136"/>
      <c r="D1023" s="136"/>
      <c r="E1023" s="136"/>
      <c r="F1023" s="136"/>
      <c r="G1023" s="136"/>
      <c r="H1023" s="136"/>
      <c r="I1023" s="136"/>
      <c r="J1023" s="136"/>
      <c r="K1023" s="136"/>
      <c r="L1023" s="136"/>
      <c r="M1023" s="136"/>
      <c r="N1023" s="136"/>
      <c r="O1023" s="136"/>
      <c r="P1023" s="136"/>
      <c r="Q1023" s="136"/>
      <c r="R1023" s="136"/>
      <c r="S1023" s="136"/>
      <c r="T1023" s="136"/>
      <c r="U1023" s="136"/>
      <c r="V1023" s="136"/>
      <c r="W1023" s="136"/>
    </row>
    <row r="1024">
      <c r="A1024" s="136"/>
      <c r="B1024" s="136"/>
      <c r="C1024" s="136"/>
      <c r="D1024" s="136"/>
      <c r="E1024" s="136"/>
      <c r="F1024" s="136"/>
      <c r="G1024" s="136"/>
      <c r="H1024" s="136"/>
      <c r="I1024" s="136"/>
      <c r="J1024" s="136"/>
      <c r="K1024" s="136"/>
      <c r="L1024" s="136"/>
      <c r="M1024" s="136"/>
      <c r="N1024" s="136"/>
      <c r="O1024" s="136"/>
      <c r="P1024" s="136"/>
      <c r="Q1024" s="136"/>
      <c r="R1024" s="136"/>
      <c r="S1024" s="136"/>
      <c r="T1024" s="136"/>
      <c r="U1024" s="136"/>
      <c r="V1024" s="136"/>
      <c r="W1024" s="136"/>
    </row>
    <row r="1025">
      <c r="A1025" s="136"/>
      <c r="B1025" s="136"/>
      <c r="C1025" s="136"/>
      <c r="D1025" s="136"/>
      <c r="E1025" s="136"/>
      <c r="F1025" s="136"/>
      <c r="G1025" s="136"/>
      <c r="H1025" s="136"/>
      <c r="I1025" s="136"/>
      <c r="J1025" s="136"/>
      <c r="K1025" s="136"/>
      <c r="L1025" s="136"/>
      <c r="M1025" s="136"/>
      <c r="N1025" s="136"/>
      <c r="O1025" s="136"/>
      <c r="P1025" s="136"/>
      <c r="Q1025" s="136"/>
      <c r="R1025" s="136"/>
      <c r="S1025" s="136"/>
      <c r="T1025" s="136"/>
      <c r="U1025" s="136"/>
      <c r="V1025" s="136"/>
      <c r="W1025" s="136"/>
    </row>
    <row r="1026">
      <c r="A1026" s="136"/>
      <c r="B1026" s="136"/>
      <c r="C1026" s="136"/>
      <c r="D1026" s="136"/>
      <c r="E1026" s="136"/>
      <c r="F1026" s="136"/>
      <c r="G1026" s="136"/>
      <c r="H1026" s="136"/>
      <c r="I1026" s="136"/>
      <c r="J1026" s="136"/>
      <c r="K1026" s="136"/>
      <c r="L1026" s="136"/>
      <c r="M1026" s="136"/>
      <c r="N1026" s="136"/>
      <c r="O1026" s="136"/>
      <c r="P1026" s="136"/>
      <c r="Q1026" s="136"/>
      <c r="R1026" s="136"/>
      <c r="S1026" s="136"/>
      <c r="T1026" s="136"/>
      <c r="U1026" s="136"/>
      <c r="V1026" s="136"/>
      <c r="W1026" s="136"/>
    </row>
  </sheetData>
  <hyperlinks>
    <hyperlink r:id="rId1" ref="B10"/>
    <hyperlink r:id="rId2" ref="D10"/>
    <hyperlink r:id="rId3" ref="F10"/>
    <hyperlink r:id="rId4" ref="H10"/>
    <hyperlink r:id="rId5" ref="J10"/>
  </hyperlinks>
  <drawing r:id="rId6"/>
</worksheet>
</file>